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autoCompressPictures="0"/>
  <mc:AlternateContent xmlns:mc="http://schemas.openxmlformats.org/markup-compatibility/2006">
    <mc:Choice Requires="x15">
      <x15ac:absPath xmlns:x15ac="http://schemas.microsoft.com/office/spreadsheetml/2010/11/ac" url="Y:\Finance Department\ERP MA3\MA3\Примеры файлов\"/>
    </mc:Choice>
  </mc:AlternateContent>
  <xr:revisionPtr revIDLastSave="0" documentId="13_ncr:1_{8404579A-08E4-4DE6-B13B-83BACE83B456}" xr6:coauthVersionLast="46" xr6:coauthVersionMax="46" xr10:uidLastSave="{00000000-0000-0000-0000-000000000000}"/>
  <bookViews>
    <workbookView xWindow="28680" yWindow="-120" windowWidth="29040" windowHeight="15840" activeTab="1" xr2:uid="{00000000-000D-0000-FFFF-FFFF00000000}"/>
  </bookViews>
  <sheets>
    <sheet name="График" sheetId="5" r:id="rId1"/>
    <sheet name="Первоначальный" sheetId="22" r:id="rId2"/>
    <sheet name="Support" sheetId="3" r:id="rId3"/>
  </sheets>
  <definedNames>
    <definedName name="_xlnm._FilterDatabase" localSheetId="1" hidden="1">Первоначальный!$A$11:$AK$135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23" i="5" l="1"/>
  <c r="A116" i="5" l="1"/>
  <c r="A117" i="5"/>
  <c r="A118" i="5"/>
  <c r="A119" i="5"/>
  <c r="A120" i="5"/>
  <c r="A121" i="5"/>
  <c r="A122" i="5"/>
  <c r="T13" i="22" l="1" a="1"/>
  <c r="T13" i="22" s="1"/>
  <c r="W13" i="22" a="1"/>
  <c r="W13" i="22" s="1"/>
  <c r="AJ9" i="22" l="1"/>
  <c r="AI9" i="22"/>
  <c r="AH9" i="22"/>
  <c r="AB9" i="22"/>
  <c r="AA9" i="22"/>
  <c r="Z12" i="22" l="1"/>
  <c r="Y12" i="22"/>
  <c r="A13" i="22"/>
  <c r="Z13" i="22" l="1"/>
  <c r="A14" i="22"/>
  <c r="A8" i="22"/>
  <c r="AD13" i="22" l="1"/>
  <c r="C14" i="22" s="1"/>
  <c r="A15" i="22"/>
  <c r="Z14" i="22"/>
  <c r="A16" i="22" l="1"/>
  <c r="Z15" i="22"/>
  <c r="A17" i="22" l="1"/>
  <c r="Z16" i="22"/>
  <c r="Z17" i="22" l="1"/>
  <c r="A18" i="22"/>
  <c r="A19" i="22" l="1"/>
  <c r="Z18" i="22"/>
  <c r="A20" i="22" l="1"/>
  <c r="Z19" i="22"/>
  <c r="A21" i="22" l="1"/>
  <c r="Z20" i="22"/>
  <c r="Z21" i="22" l="1"/>
  <c r="A22" i="22"/>
  <c r="A23" i="22" l="1"/>
  <c r="Z22" i="22"/>
  <c r="A24" i="22" l="1"/>
  <c r="Z23" i="22"/>
  <c r="A25" i="22" l="1"/>
  <c r="Z24" i="22"/>
  <c r="Z25" i="22" l="1"/>
  <c r="A26" i="22"/>
  <c r="A27" i="22" l="1"/>
  <c r="Z26" i="22"/>
  <c r="A28" i="22" l="1"/>
  <c r="Z27" i="22"/>
  <c r="A29" i="22" l="1"/>
  <c r="Z28" i="22"/>
  <c r="Z29" i="22" l="1"/>
  <c r="A30" i="22"/>
  <c r="A31" i="22" l="1"/>
  <c r="Z30" i="22"/>
  <c r="A32" i="22" l="1"/>
  <c r="Z31" i="22"/>
  <c r="A33" i="22" l="1"/>
  <c r="Z32" i="22"/>
  <c r="Z33" i="22" l="1"/>
  <c r="A34" i="22"/>
  <c r="A35" i="22" l="1"/>
  <c r="Z34" i="22"/>
  <c r="A36" i="22" l="1"/>
  <c r="Z35" i="22"/>
  <c r="A37" i="22" l="1"/>
  <c r="Z36" i="22"/>
  <c r="Z37" i="22" l="1"/>
  <c r="A38" i="22"/>
  <c r="A39" i="22" l="1"/>
  <c r="Z38" i="22"/>
  <c r="A40" i="22" l="1"/>
  <c r="Z39" i="22"/>
  <c r="A41" i="22" l="1"/>
  <c r="Z40" i="22"/>
  <c r="Z41" i="22" l="1"/>
  <c r="A42" i="22"/>
  <c r="A43" i="22" l="1"/>
  <c r="Z42" i="22"/>
  <c r="A44" i="22" l="1"/>
  <c r="Z43" i="22"/>
  <c r="A45" i="22" l="1"/>
  <c r="Z44" i="22"/>
  <c r="Z45" i="22" l="1"/>
  <c r="A46" i="22"/>
  <c r="A47" i="22" l="1"/>
  <c r="Z46" i="22"/>
  <c r="A48" i="22" l="1"/>
  <c r="Z47" i="22"/>
  <c r="A49" i="22" l="1"/>
  <c r="Z48" i="22"/>
  <c r="Z49" i="22" l="1"/>
  <c r="A50" i="22"/>
  <c r="A51" i="22" l="1"/>
  <c r="Z50" i="22"/>
  <c r="A52" i="22" l="1"/>
  <c r="Z51" i="22"/>
  <c r="A53" i="22" l="1"/>
  <c r="Z52" i="22"/>
  <c r="Z53" i="22" l="1"/>
  <c r="A54" i="22"/>
  <c r="A55" i="22" l="1"/>
  <c r="Z54" i="22"/>
  <c r="A56" i="22" l="1"/>
  <c r="Z55" i="22"/>
  <c r="A57" i="22" l="1"/>
  <c r="Z56" i="22"/>
  <c r="Z57" i="22" l="1"/>
  <c r="A58" i="22"/>
  <c r="A59" i="22" l="1"/>
  <c r="Z58" i="22"/>
  <c r="A60" i="22" l="1"/>
  <c r="Z59" i="22"/>
  <c r="A61" i="22" l="1"/>
  <c r="Z60" i="22"/>
  <c r="Z61" i="22" l="1"/>
  <c r="A62" i="22"/>
  <c r="A63" i="22" l="1"/>
  <c r="Z62" i="22"/>
  <c r="A64" i="22" l="1"/>
  <c r="Z63" i="22"/>
  <c r="A65" i="22" l="1"/>
  <c r="Z64" i="22"/>
  <c r="Z65" i="22" l="1"/>
  <c r="A66" i="22"/>
  <c r="A67" i="22" l="1"/>
  <c r="Z66" i="22"/>
  <c r="A68" i="22" l="1"/>
  <c r="Z67" i="22"/>
  <c r="A69" i="22" l="1"/>
  <c r="Z68" i="22"/>
  <c r="Z69" i="22" l="1"/>
  <c r="A70" i="22"/>
  <c r="A71" i="22" l="1"/>
  <c r="Z70" i="22"/>
  <c r="A72" i="22" l="1"/>
  <c r="Z71" i="22"/>
  <c r="A73" i="22" l="1"/>
  <c r="Z72" i="22"/>
  <c r="Z73" i="22" l="1"/>
  <c r="A74" i="22"/>
  <c r="A75" i="22" l="1"/>
  <c r="Z74" i="22"/>
  <c r="A76" i="22" l="1"/>
  <c r="Z75" i="22"/>
  <c r="A77" i="22" l="1"/>
  <c r="Z76" i="22"/>
  <c r="Z77" i="22" l="1"/>
  <c r="A78" i="22"/>
  <c r="A79" i="22" l="1"/>
  <c r="Z78" i="22"/>
  <c r="A80" i="22" l="1"/>
  <c r="Z79" i="22"/>
  <c r="A81" i="22" l="1"/>
  <c r="Z80" i="22"/>
  <c r="Z81" i="22" l="1"/>
  <c r="A82" i="22"/>
  <c r="A83" i="22" l="1"/>
  <c r="Z82" i="22"/>
  <c r="A84" i="22" l="1"/>
  <c r="Z83" i="22"/>
  <c r="A85" i="22" l="1"/>
  <c r="Z84" i="22"/>
  <c r="Z85" i="22" l="1"/>
  <c r="A86" i="22"/>
  <c r="A87" i="22" l="1"/>
  <c r="Z86" i="22"/>
  <c r="A88" i="22" l="1"/>
  <c r="Z87" i="22"/>
  <c r="A89" i="22" l="1"/>
  <c r="Z88" i="22"/>
  <c r="Z89" i="22" l="1"/>
  <c r="A90" i="22"/>
  <c r="A91" i="22" l="1"/>
  <c r="Z90" i="22"/>
  <c r="A92" i="22" l="1"/>
  <c r="Z91" i="22"/>
  <c r="A93" i="22" l="1"/>
  <c r="Z92" i="22"/>
  <c r="Z93" i="22" l="1"/>
  <c r="A94" i="22"/>
  <c r="A95" i="22" l="1"/>
  <c r="Z94" i="22"/>
  <c r="A96" i="22" l="1"/>
  <c r="Z95" i="22"/>
  <c r="A97" i="22" l="1"/>
  <c r="Z96" i="22"/>
  <c r="Z97" i="22" l="1"/>
  <c r="A98" i="22"/>
  <c r="A99" i="22" l="1"/>
  <c r="Z98" i="22"/>
  <c r="A100" i="22" l="1"/>
  <c r="Z99" i="22"/>
  <c r="A101" i="22" l="1"/>
  <c r="Z100" i="22"/>
  <c r="Z101" i="22" l="1"/>
  <c r="A102" i="22"/>
  <c r="A103" i="22" l="1"/>
  <c r="Z102" i="22"/>
  <c r="A104" i="22" l="1"/>
  <c r="Z103" i="22"/>
  <c r="A105" i="22" l="1"/>
  <c r="Z104" i="22"/>
  <c r="Z105" i="22" l="1"/>
  <c r="A106" i="22"/>
  <c r="A107" i="22" l="1"/>
  <c r="Z106" i="22"/>
  <c r="A108" i="22" l="1"/>
  <c r="Z107" i="22"/>
  <c r="A109" i="22" l="1"/>
  <c r="Z108" i="22"/>
  <c r="Z109" i="22" l="1"/>
  <c r="A110" i="22"/>
  <c r="A111" i="22" l="1"/>
  <c r="Z110" i="22"/>
  <c r="A112" i="22" l="1"/>
  <c r="Z111" i="22"/>
  <c r="A113" i="22" l="1"/>
  <c r="Z112" i="22"/>
  <c r="Z113" i="22" l="1"/>
  <c r="A114" i="22"/>
  <c r="A115" i="22" l="1"/>
  <c r="Z114" i="22"/>
  <c r="A116" i="22" l="1"/>
  <c r="Z115" i="22"/>
  <c r="A117" i="22" l="1"/>
  <c r="Z116" i="22"/>
  <c r="Z117" i="22" l="1"/>
  <c r="A118" i="22"/>
  <c r="A119" i="22" l="1"/>
  <c r="Z118" i="22"/>
  <c r="A120" i="22" l="1"/>
  <c r="Z119" i="22"/>
  <c r="A121" i="22" l="1"/>
  <c r="Z120" i="22"/>
  <c r="Z121" i="22" l="1"/>
  <c r="A122" i="22"/>
  <c r="A123" i="22" l="1"/>
  <c r="Z122" i="22"/>
  <c r="A124" i="22" l="1"/>
  <c r="Z123" i="22"/>
  <c r="A125" i="22" l="1"/>
  <c r="Z124" i="22"/>
  <c r="Z125" i="22" l="1"/>
  <c r="A126" i="22"/>
  <c r="A127" i="22" l="1"/>
  <c r="Z126" i="22"/>
  <c r="A128" i="22" l="1"/>
  <c r="Z127" i="22"/>
  <c r="A129" i="22" l="1"/>
  <c r="Z128" i="22"/>
  <c r="Z129" i="22" l="1"/>
  <c r="A130" i="22"/>
  <c r="A131" i="22" l="1"/>
  <c r="Z130" i="22"/>
  <c r="A132" i="22" l="1"/>
  <c r="Z131" i="22"/>
  <c r="A133" i="22" l="1"/>
  <c r="Z132" i="22"/>
  <c r="Z133" i="22" l="1"/>
  <c r="A134" i="22"/>
  <c r="A135" i="22" l="1"/>
  <c r="Z134" i="22"/>
  <c r="A136" i="22" l="1"/>
  <c r="Z135" i="22"/>
  <c r="A137" i="22" l="1"/>
  <c r="Z136" i="22"/>
  <c r="Z137" i="22" l="1"/>
  <c r="A138" i="22"/>
  <c r="A139" i="22" l="1"/>
  <c r="Z138" i="22"/>
  <c r="A140" i="22" l="1"/>
  <c r="Z139" i="22"/>
  <c r="A141" i="22" l="1"/>
  <c r="Z140" i="22"/>
  <c r="Z141" i="22" l="1"/>
  <c r="A142" i="22"/>
  <c r="A143" i="22" l="1"/>
  <c r="Z142" i="22"/>
  <c r="A144" i="22" l="1"/>
  <c r="Z143" i="22"/>
  <c r="A145" i="22" l="1"/>
  <c r="Z144" i="22"/>
  <c r="Z145" i="22" l="1"/>
  <c r="A146" i="22"/>
  <c r="A147" i="22" l="1"/>
  <c r="Z146" i="22"/>
  <c r="A148" i="22" l="1"/>
  <c r="Z147" i="22"/>
  <c r="A149" i="22" l="1"/>
  <c r="Z148" i="22"/>
  <c r="Z149" i="22" l="1"/>
  <c r="A150" i="22"/>
  <c r="A151" i="22" l="1"/>
  <c r="Z150" i="22"/>
  <c r="A152" i="22" l="1"/>
  <c r="Z151" i="22"/>
  <c r="A153" i="22" l="1"/>
  <c r="Z152" i="22"/>
  <c r="Z153" i="22" l="1"/>
  <c r="A154" i="22"/>
  <c r="A155" i="22" l="1"/>
  <c r="Z154" i="22"/>
  <c r="A156" i="22" l="1"/>
  <c r="Z155" i="22"/>
  <c r="A157" i="22" l="1"/>
  <c r="Z156" i="22"/>
  <c r="Z157" i="22" l="1"/>
  <c r="A158" i="22"/>
  <c r="A159" i="22" l="1"/>
  <c r="Z158" i="22"/>
  <c r="A160" i="22" l="1"/>
  <c r="Z159" i="22"/>
  <c r="A161" i="22" l="1"/>
  <c r="Z160" i="22"/>
  <c r="Z161" i="22" l="1"/>
  <c r="A162" i="22"/>
  <c r="A163" i="22" l="1"/>
  <c r="Z162" i="22"/>
  <c r="A164" i="22" l="1"/>
  <c r="Z163" i="22"/>
  <c r="A165" i="22" l="1"/>
  <c r="Z164" i="22"/>
  <c r="Z165" i="22" l="1"/>
  <c r="A166" i="22"/>
  <c r="A167" i="22" l="1"/>
  <c r="Z166" i="22"/>
  <c r="A168" i="22" l="1"/>
  <c r="Z167" i="22"/>
  <c r="A169" i="22" l="1"/>
  <c r="Z168" i="22"/>
  <c r="Z169" i="22" l="1"/>
  <c r="A170" i="22"/>
  <c r="A171" i="22" l="1"/>
  <c r="Z170" i="22"/>
  <c r="A172" i="22" l="1"/>
  <c r="Z171" i="22"/>
  <c r="A173" i="22" l="1"/>
  <c r="Z172" i="22"/>
  <c r="Z173" i="22" l="1"/>
  <c r="A174" i="22"/>
  <c r="A175" i="22" l="1"/>
  <c r="Z174" i="22"/>
  <c r="A176" i="22" l="1"/>
  <c r="Z175" i="22"/>
  <c r="A177" i="22" l="1"/>
  <c r="Z176" i="22"/>
  <c r="Z177" i="22" l="1"/>
  <c r="A178" i="22"/>
  <c r="A179" i="22" l="1"/>
  <c r="Z178" i="22"/>
  <c r="A180" i="22" l="1"/>
  <c r="Z179" i="22"/>
  <c r="A181" i="22" l="1"/>
  <c r="Z180" i="22"/>
  <c r="Z181" i="22" l="1"/>
  <c r="A182" i="22"/>
  <c r="A183" i="22" l="1"/>
  <c r="Z182" i="22"/>
  <c r="A184" i="22" l="1"/>
  <c r="Z183" i="22"/>
  <c r="A185" i="22" l="1"/>
  <c r="Z184" i="22"/>
  <c r="Z185" i="22" l="1"/>
  <c r="A186" i="22"/>
  <c r="A187" i="22" l="1"/>
  <c r="Z186" i="22"/>
  <c r="A188" i="22" l="1"/>
  <c r="Z187" i="22"/>
  <c r="A189" i="22" l="1"/>
  <c r="Z188" i="22"/>
  <c r="Z189" i="22" l="1"/>
  <c r="A190" i="22"/>
  <c r="A191" i="22" l="1"/>
  <c r="Z190" i="22"/>
  <c r="A192" i="22" l="1"/>
  <c r="Z191" i="22"/>
  <c r="A193" i="22" l="1"/>
  <c r="Z192" i="22"/>
  <c r="Z193" i="22" l="1"/>
  <c r="A194" i="22"/>
  <c r="A195" i="22" l="1"/>
  <c r="Z194" i="22"/>
  <c r="A196" i="22" l="1"/>
  <c r="Z195" i="22"/>
  <c r="A197" i="22" l="1"/>
  <c r="Z196" i="22"/>
  <c r="Z197" i="22" l="1"/>
  <c r="A198" i="22"/>
  <c r="A199" i="22" l="1"/>
  <c r="Z198" i="22"/>
  <c r="A200" i="22" l="1"/>
  <c r="Z199" i="22"/>
  <c r="A201" i="22" l="1"/>
  <c r="Z200" i="22"/>
  <c r="Z201" i="22" l="1"/>
  <c r="A202" i="22"/>
  <c r="A203" i="22" l="1"/>
  <c r="Z202" i="22"/>
  <c r="A204" i="22" l="1"/>
  <c r="Z203" i="22"/>
  <c r="A205" i="22" l="1"/>
  <c r="Z204" i="22"/>
  <c r="Z205" i="22" l="1"/>
  <c r="A206" i="22"/>
  <c r="A207" i="22" l="1"/>
  <c r="Z206" i="22"/>
  <c r="A208" i="22" l="1"/>
  <c r="Z207" i="22"/>
  <c r="A209" i="22" l="1"/>
  <c r="Z208" i="22"/>
  <c r="Z209" i="22" l="1"/>
  <c r="A210" i="22"/>
  <c r="A211" i="22" l="1"/>
  <c r="Z210" i="22"/>
  <c r="A212" i="22" l="1"/>
  <c r="Z211" i="22"/>
  <c r="A213" i="22" l="1"/>
  <c r="Z212" i="22"/>
  <c r="Z213" i="22" l="1"/>
  <c r="A214" i="22"/>
  <c r="A215" i="22" l="1"/>
  <c r="Z214" i="22"/>
  <c r="A216" i="22" l="1"/>
  <c r="Z215" i="22"/>
  <c r="A217" i="22" l="1"/>
  <c r="Z216" i="22"/>
  <c r="Z217" i="22" l="1"/>
  <c r="A218" i="22"/>
  <c r="A219" i="22" l="1"/>
  <c r="Z218" i="22"/>
  <c r="A220" i="22" l="1"/>
  <c r="Z219" i="22"/>
  <c r="A221" i="22" l="1"/>
  <c r="Z220" i="22"/>
  <c r="Z221" i="22" l="1"/>
  <c r="A222" i="22"/>
  <c r="A223" i="22" l="1"/>
  <c r="Z222" i="22"/>
  <c r="A224" i="22" l="1"/>
  <c r="Z223" i="22"/>
  <c r="A225" i="22" l="1"/>
  <c r="Z224" i="22"/>
  <c r="Z225" i="22" l="1"/>
  <c r="A226" i="22"/>
  <c r="A227" i="22" l="1"/>
  <c r="Z226" i="22"/>
  <c r="A228" i="22" l="1"/>
  <c r="Z227" i="22"/>
  <c r="A229" i="22" l="1"/>
  <c r="Z228" i="22"/>
  <c r="Z229" i="22" l="1"/>
  <c r="A230" i="22"/>
  <c r="A231" i="22" l="1"/>
  <c r="Z230" i="22"/>
  <c r="A232" i="22" l="1"/>
  <c r="Z231" i="22"/>
  <c r="A233" i="22" l="1"/>
  <c r="Z232" i="22"/>
  <c r="Z233" i="22" l="1"/>
  <c r="A234" i="22"/>
  <c r="A235" i="22" l="1"/>
  <c r="Z234" i="22"/>
  <c r="A236" i="22" l="1"/>
  <c r="Z235" i="22"/>
  <c r="A237" i="22" l="1"/>
  <c r="Z236" i="22"/>
  <c r="Z237" i="22" l="1"/>
  <c r="A238" i="22"/>
  <c r="A239" i="22" l="1"/>
  <c r="Z238" i="22"/>
  <c r="A240" i="22" l="1"/>
  <c r="Z239" i="22"/>
  <c r="A241" i="22" l="1"/>
  <c r="Z240" i="22"/>
  <c r="Z241" i="22" l="1"/>
  <c r="A242" i="22"/>
  <c r="A243" i="22" l="1"/>
  <c r="Z242" i="22"/>
  <c r="A244" i="22" l="1"/>
  <c r="Z243" i="22"/>
  <c r="A245" i="22" l="1"/>
  <c r="Z244" i="22"/>
  <c r="Z245" i="22" l="1"/>
  <c r="A246" i="22"/>
  <c r="A247" i="22" l="1"/>
  <c r="Z246" i="22"/>
  <c r="Z247" i="22" l="1"/>
  <c r="A248" i="22"/>
  <c r="Z248" i="22" l="1"/>
  <c r="A249" i="22"/>
  <c r="A250" i="22" l="1"/>
  <c r="Z249" i="22"/>
  <c r="A251" i="22" l="1"/>
  <c r="Z250" i="22"/>
  <c r="Z251" i="22" l="1"/>
  <c r="A252" i="22"/>
  <c r="Z252" i="22" l="1"/>
  <c r="A253" i="22"/>
  <c r="Z253" i="22" l="1"/>
  <c r="A254" i="22"/>
  <c r="A255" i="22" l="1"/>
  <c r="Z254" i="22"/>
  <c r="Z255" i="22" l="1"/>
  <c r="A256" i="22"/>
  <c r="Z256" i="22" l="1"/>
  <c r="A257" i="22"/>
  <c r="Z257" i="22" l="1"/>
  <c r="A258" i="22"/>
  <c r="A259" i="22" l="1"/>
  <c r="Z258" i="22"/>
  <c r="Z259" i="22" l="1"/>
  <c r="A260" i="22"/>
  <c r="A261" i="22" l="1"/>
  <c r="Z260" i="22"/>
  <c r="Z261" i="22" l="1"/>
  <c r="A262" i="22"/>
  <c r="A263" i="22" l="1"/>
  <c r="Z262" i="22"/>
  <c r="Z263" i="22" l="1"/>
  <c r="A264" i="22"/>
  <c r="Z264" i="22" l="1"/>
  <c r="A265" i="22"/>
  <c r="A266" i="22" l="1"/>
  <c r="Z265" i="22"/>
  <c r="A267" i="22" l="1"/>
  <c r="Z266" i="22"/>
  <c r="Z267" i="22" l="1"/>
  <c r="A268" i="22"/>
  <c r="Z268" i="22" l="1"/>
  <c r="A269" i="22"/>
  <c r="Z269" i="22" l="1"/>
  <c r="A270" i="22"/>
  <c r="A271" i="22" l="1"/>
  <c r="Z270" i="22"/>
  <c r="Z271" i="22" l="1"/>
  <c r="A272" i="22"/>
  <c r="Z272" i="22" l="1"/>
  <c r="A273" i="22"/>
  <c r="Z273" i="22" l="1"/>
  <c r="A274" i="22"/>
  <c r="A275" i="22" l="1"/>
  <c r="Z274" i="22"/>
  <c r="Z275" i="22" l="1"/>
  <c r="A276" i="22"/>
  <c r="A277" i="22" l="1"/>
  <c r="Z276" i="22"/>
  <c r="Z277" i="22" l="1"/>
  <c r="A278" i="22"/>
  <c r="A279" i="22" l="1"/>
  <c r="Z278" i="22"/>
  <c r="Z279" i="22" l="1"/>
  <c r="A280" i="22"/>
  <c r="Z280" i="22" l="1"/>
  <c r="A281" i="22"/>
  <c r="A282" i="22" l="1"/>
  <c r="Z281" i="22"/>
  <c r="A283" i="22" l="1"/>
  <c r="Z282" i="22"/>
  <c r="Z283" i="22" l="1"/>
  <c r="A284" i="22"/>
  <c r="Z284" i="22" l="1"/>
  <c r="A285" i="22"/>
  <c r="Z285" i="22" l="1"/>
  <c r="A286" i="22"/>
  <c r="A287" i="22" l="1"/>
  <c r="Z286" i="22"/>
  <c r="Z287" i="22" l="1"/>
  <c r="A288" i="22"/>
  <c r="Z288" i="22" l="1"/>
  <c r="A289" i="22"/>
  <c r="Z289" i="22" l="1"/>
  <c r="A290" i="22"/>
  <c r="A291" i="22" l="1"/>
  <c r="Z290" i="22"/>
  <c r="Z291" i="22" l="1"/>
  <c r="A292" i="22"/>
  <c r="A293" i="22" l="1"/>
  <c r="Z292" i="22"/>
  <c r="Z293" i="22" l="1"/>
  <c r="A294" i="22"/>
  <c r="A295" i="22" l="1"/>
  <c r="Z294" i="22"/>
  <c r="Z295" i="22" l="1"/>
  <c r="A296" i="22"/>
  <c r="Z296" i="22" l="1"/>
  <c r="A297" i="22"/>
  <c r="A298" i="22" l="1"/>
  <c r="Z297" i="22"/>
  <c r="A299" i="22" l="1"/>
  <c r="Z298" i="22"/>
  <c r="Z299" i="22" l="1"/>
  <c r="A300" i="22"/>
  <c r="Z300" i="22" l="1"/>
  <c r="A301" i="22"/>
  <c r="A302" i="22" l="1"/>
  <c r="Z301" i="22"/>
  <c r="A303" i="22" l="1"/>
  <c r="Z302" i="22"/>
  <c r="A304" i="22" l="1"/>
  <c r="Z303" i="22"/>
  <c r="Z304" i="22" l="1"/>
  <c r="A305" i="22"/>
  <c r="A306" i="22" l="1"/>
  <c r="Z305" i="22"/>
  <c r="A307" i="22" l="1"/>
  <c r="Z306" i="22"/>
  <c r="A308" i="22" l="1"/>
  <c r="Z307" i="22"/>
  <c r="Z308" i="22" l="1"/>
  <c r="A309" i="22"/>
  <c r="A310" i="22" l="1"/>
  <c r="Z309" i="22"/>
  <c r="A311" i="22" l="1"/>
  <c r="Z310" i="22"/>
  <c r="A312" i="22" l="1"/>
  <c r="Z311" i="22"/>
  <c r="Z312" i="22" l="1"/>
  <c r="A313" i="22"/>
  <c r="A314" i="22" l="1"/>
  <c r="Z313" i="22"/>
  <c r="A315" i="22" l="1"/>
  <c r="Z314" i="22"/>
  <c r="A316" i="22" l="1"/>
  <c r="Z315" i="22"/>
  <c r="Z316" i="22" l="1"/>
  <c r="A317" i="22"/>
  <c r="A318" i="22" l="1"/>
  <c r="Z317" i="22"/>
  <c r="A319" i="22" l="1"/>
  <c r="Z318" i="22"/>
  <c r="A320" i="22" l="1"/>
  <c r="Z319" i="22"/>
  <c r="Z320" i="22" l="1"/>
  <c r="A321" i="22"/>
  <c r="A322" i="22" l="1"/>
  <c r="Z321" i="22"/>
  <c r="A323" i="22" l="1"/>
  <c r="Z322" i="22"/>
  <c r="A324" i="22" l="1"/>
  <c r="Z323" i="22"/>
  <c r="Z324" i="22" l="1"/>
  <c r="A325" i="22"/>
  <c r="A326" i="22" l="1"/>
  <c r="Z325" i="22"/>
  <c r="A327" i="22" l="1"/>
  <c r="Z326" i="22"/>
  <c r="A328" i="22" l="1"/>
  <c r="Z327" i="22"/>
  <c r="A329" i="22" l="1"/>
  <c r="Z328" i="22"/>
  <c r="Z329" i="22" l="1"/>
  <c r="A330" i="22"/>
  <c r="A331" i="22" l="1"/>
  <c r="Z330" i="22"/>
  <c r="A332" i="22" l="1"/>
  <c r="Z331" i="22"/>
  <c r="A333" i="22" l="1"/>
  <c r="Z332" i="22"/>
  <c r="Z333" i="22" l="1"/>
  <c r="A334" i="22"/>
  <c r="A335" i="22" l="1"/>
  <c r="Z334" i="22"/>
  <c r="A336" i="22" l="1"/>
  <c r="Z335" i="22"/>
  <c r="A337" i="22" l="1"/>
  <c r="Z336" i="22"/>
  <c r="Z337" i="22" l="1"/>
  <c r="A338" i="22"/>
  <c r="A339" i="22" l="1"/>
  <c r="Z338" i="22"/>
  <c r="A340" i="22" l="1"/>
  <c r="Z339" i="22"/>
  <c r="A341" i="22" l="1"/>
  <c r="Z340" i="22"/>
  <c r="Z341" i="22" l="1"/>
  <c r="A342" i="22"/>
  <c r="A343" i="22" l="1"/>
  <c r="Z342" i="22"/>
  <c r="A344" i="22" l="1"/>
  <c r="Z343" i="22"/>
  <c r="A345" i="22" l="1"/>
  <c r="Z344" i="22"/>
  <c r="Z345" i="22" l="1"/>
  <c r="A346" i="22"/>
  <c r="A347" i="22" l="1"/>
  <c r="Z346" i="22"/>
  <c r="A348" i="22" l="1"/>
  <c r="Z347" i="22"/>
  <c r="A349" i="22" l="1"/>
  <c r="Z348" i="22"/>
  <c r="Z349" i="22" l="1"/>
  <c r="A350" i="22"/>
  <c r="A351" i="22" l="1"/>
  <c r="Z350" i="22"/>
  <c r="A352" i="22" l="1"/>
  <c r="Z351" i="22"/>
  <c r="A353" i="22" l="1"/>
  <c r="Z352" i="22"/>
  <c r="Z353" i="22" l="1"/>
  <c r="A354" i="22"/>
  <c r="A355" i="22" l="1"/>
  <c r="Z354" i="22"/>
  <c r="A356" i="22" l="1"/>
  <c r="Z355" i="22"/>
  <c r="A357" i="22" l="1"/>
  <c r="Z356" i="22"/>
  <c r="Z357" i="22" l="1"/>
  <c r="A358" i="22"/>
  <c r="A359" i="22" l="1"/>
  <c r="Z358" i="22"/>
  <c r="A360" i="22" l="1"/>
  <c r="Z359" i="22"/>
  <c r="A361" i="22" l="1"/>
  <c r="Z360" i="22"/>
  <c r="Z361" i="22" l="1"/>
  <c r="A362" i="22"/>
  <c r="A363" i="22" l="1"/>
  <c r="Z362" i="22"/>
  <c r="A364" i="22" l="1"/>
  <c r="Z363" i="22"/>
  <c r="A365" i="22" l="1"/>
  <c r="Z364" i="22"/>
  <c r="Z365" i="22" l="1"/>
  <c r="A366" i="22"/>
  <c r="A367" i="22" l="1"/>
  <c r="Z366" i="22"/>
  <c r="A368" i="22" l="1"/>
  <c r="Z367" i="22"/>
  <c r="A369" i="22" l="1"/>
  <c r="Z368" i="22"/>
  <c r="Z369" i="22" l="1"/>
  <c r="A370" i="22"/>
  <c r="A371" i="22" l="1"/>
  <c r="Z370" i="22"/>
  <c r="A372" i="22" l="1"/>
  <c r="Z371" i="22"/>
  <c r="A373" i="22" l="1"/>
  <c r="Z372" i="22"/>
  <c r="Z373" i="22" l="1"/>
  <c r="A374" i="22"/>
  <c r="A375" i="22" l="1"/>
  <c r="Z374" i="22"/>
  <c r="A376" i="22" l="1"/>
  <c r="Z375" i="22"/>
  <c r="A377" i="22" l="1"/>
  <c r="Z376" i="22"/>
  <c r="Z377" i="22" l="1"/>
  <c r="A378" i="22"/>
  <c r="A379" i="22" l="1"/>
  <c r="Z378" i="22"/>
  <c r="A380" i="22" l="1"/>
  <c r="Z379" i="22"/>
  <c r="A381" i="22" l="1"/>
  <c r="Z380" i="22"/>
  <c r="Z381" i="22" l="1"/>
  <c r="A382" i="22"/>
  <c r="A383" i="22" l="1"/>
  <c r="Z382" i="22"/>
  <c r="A384" i="22" l="1"/>
  <c r="Z383" i="22"/>
  <c r="A385" i="22" l="1"/>
  <c r="Z384" i="22"/>
  <c r="Z385" i="22" l="1"/>
  <c r="A386" i="22"/>
  <c r="A387" i="22" l="1"/>
  <c r="Z386" i="22"/>
  <c r="A388" i="22" l="1"/>
  <c r="Z387" i="22"/>
  <c r="A389" i="22" l="1"/>
  <c r="Z388" i="22"/>
  <c r="Z389" i="22" l="1"/>
  <c r="A390" i="22"/>
  <c r="A391" i="22" l="1"/>
  <c r="Z390" i="22"/>
  <c r="A392" i="22" l="1"/>
  <c r="Z391" i="22"/>
  <c r="A393" i="22" l="1"/>
  <c r="Z392" i="22"/>
  <c r="Z393" i="22" l="1"/>
  <c r="A394" i="22"/>
  <c r="A395" i="22" l="1"/>
  <c r="Z394" i="22"/>
  <c r="A396" i="22" l="1"/>
  <c r="Z395" i="22"/>
  <c r="A397" i="22" l="1"/>
  <c r="Z396" i="22"/>
  <c r="Z397" i="22" l="1"/>
  <c r="A398" i="22"/>
  <c r="A399" i="22" l="1"/>
  <c r="Z398" i="22"/>
  <c r="A400" i="22" l="1"/>
  <c r="Z399" i="22"/>
  <c r="A401" i="22" l="1"/>
  <c r="Z400" i="22"/>
  <c r="Z401" i="22" l="1"/>
  <c r="A402" i="22"/>
  <c r="A403" i="22" l="1"/>
  <c r="Z402" i="22"/>
  <c r="A404" i="22" l="1"/>
  <c r="Z403" i="22"/>
  <c r="A405" i="22" l="1"/>
  <c r="Z404" i="22"/>
  <c r="Z405" i="22" l="1"/>
  <c r="A406" i="22"/>
  <c r="A407" i="22" l="1"/>
  <c r="Z406" i="22"/>
  <c r="A408" i="22" l="1"/>
  <c r="Z407" i="22"/>
  <c r="A409" i="22" l="1"/>
  <c r="Z408" i="22"/>
  <c r="Z409" i="22" l="1"/>
  <c r="A410" i="22"/>
  <c r="A411" i="22" l="1"/>
  <c r="Z410" i="22"/>
  <c r="A412" i="22" l="1"/>
  <c r="Z411" i="22"/>
  <c r="A413" i="22" l="1"/>
  <c r="Z412" i="22"/>
  <c r="Z413" i="22" l="1"/>
  <c r="A414" i="22"/>
  <c r="A415" i="22" l="1"/>
  <c r="Z414" i="22"/>
  <c r="A416" i="22" l="1"/>
  <c r="Z415" i="22"/>
  <c r="A417" i="22" l="1"/>
  <c r="Z416" i="22"/>
  <c r="Z417" i="22" l="1"/>
  <c r="A418" i="22"/>
  <c r="A419" i="22" l="1"/>
  <c r="Z418" i="22"/>
  <c r="A420" i="22" l="1"/>
  <c r="Z419" i="22"/>
  <c r="A421" i="22" l="1"/>
  <c r="Z420" i="22"/>
  <c r="Z421" i="22" l="1"/>
  <c r="A422" i="22"/>
  <c r="A423" i="22" l="1"/>
  <c r="Z422" i="22"/>
  <c r="A424" i="22" l="1"/>
  <c r="Z423" i="22"/>
  <c r="A425" i="22" l="1"/>
  <c r="Z424" i="22"/>
  <c r="Z425" i="22" l="1"/>
  <c r="A426" i="22"/>
  <c r="A427" i="22" l="1"/>
  <c r="Z426" i="22"/>
  <c r="A428" i="22" l="1"/>
  <c r="Z427" i="22"/>
  <c r="A429" i="22" l="1"/>
  <c r="Z428" i="22"/>
  <c r="Z429" i="22" l="1"/>
  <c r="A430" i="22"/>
  <c r="A431" i="22" l="1"/>
  <c r="Z430" i="22"/>
  <c r="A432" i="22" l="1"/>
  <c r="Z431" i="22"/>
  <c r="A433" i="22" l="1"/>
  <c r="Z432" i="22"/>
  <c r="Z433" i="22" l="1"/>
  <c r="A434" i="22"/>
  <c r="A435" i="22" l="1"/>
  <c r="Z434" i="22"/>
  <c r="A436" i="22" l="1"/>
  <c r="Z435" i="22"/>
  <c r="A437" i="22" l="1"/>
  <c r="Z436" i="22"/>
  <c r="Z437" i="22" l="1"/>
  <c r="A438" i="22"/>
  <c r="A439" i="22" l="1"/>
  <c r="Z438" i="22"/>
  <c r="A440" i="22" l="1"/>
  <c r="Z439" i="22"/>
  <c r="A441" i="22" l="1"/>
  <c r="Z440" i="22"/>
  <c r="Z441" i="22" l="1"/>
  <c r="A442" i="22"/>
  <c r="A443" i="22" l="1"/>
  <c r="Z442" i="22"/>
  <c r="A444" i="22" l="1"/>
  <c r="Z443" i="22"/>
  <c r="A445" i="22" l="1"/>
  <c r="Z444" i="22"/>
  <c r="Z445" i="22" l="1"/>
  <c r="A446" i="22"/>
  <c r="A447" i="22" l="1"/>
  <c r="Z446" i="22"/>
  <c r="A448" i="22" l="1"/>
  <c r="Z447" i="22"/>
  <c r="A449" i="22" l="1"/>
  <c r="Z448" i="22"/>
  <c r="Z449" i="22" l="1"/>
  <c r="A450" i="22"/>
  <c r="A451" i="22" l="1"/>
  <c r="Z450" i="22"/>
  <c r="A452" i="22" l="1"/>
  <c r="Z451" i="22"/>
  <c r="A453" i="22" l="1"/>
  <c r="Z452" i="22"/>
  <c r="Z453" i="22" l="1"/>
  <c r="A454" i="22"/>
  <c r="A455" i="22" l="1"/>
  <c r="Z454" i="22"/>
  <c r="A456" i="22" l="1"/>
  <c r="Z455" i="22"/>
  <c r="A457" i="22" l="1"/>
  <c r="Z456" i="22"/>
  <c r="Z457" i="22" l="1"/>
  <c r="A458" i="22"/>
  <c r="A459" i="22" l="1"/>
  <c r="Z458" i="22"/>
  <c r="A460" i="22" l="1"/>
  <c r="Z459" i="22"/>
  <c r="A461" i="22" l="1"/>
  <c r="Z460" i="22"/>
  <c r="Z461" i="22" l="1"/>
  <c r="A462" i="22"/>
  <c r="A463" i="22" l="1"/>
  <c r="Z462" i="22"/>
  <c r="A464" i="22" l="1"/>
  <c r="Z463" i="22"/>
  <c r="A465" i="22" l="1"/>
  <c r="Z464" i="22"/>
  <c r="Z465" i="22" l="1"/>
  <c r="A466" i="22"/>
  <c r="A467" i="22" l="1"/>
  <c r="Z466" i="22"/>
  <c r="A468" i="22" l="1"/>
  <c r="Z467" i="22"/>
  <c r="A469" i="22" l="1"/>
  <c r="Z468" i="22"/>
  <c r="Z469" i="22" l="1"/>
  <c r="A470" i="22"/>
  <c r="A471" i="22" l="1"/>
  <c r="Z470" i="22"/>
  <c r="A472" i="22" l="1"/>
  <c r="Z471" i="22"/>
  <c r="A473" i="22" l="1"/>
  <c r="Z472" i="22"/>
  <c r="Z473" i="22" l="1"/>
  <c r="A474" i="22"/>
  <c r="A475" i="22" l="1"/>
  <c r="Z474" i="22"/>
  <c r="A476" i="22" l="1"/>
  <c r="Z475" i="22"/>
  <c r="A477" i="22" l="1"/>
  <c r="Z476" i="22"/>
  <c r="Z477" i="22" l="1"/>
  <c r="A478" i="22"/>
  <c r="A479" i="22" l="1"/>
  <c r="Z478" i="22"/>
  <c r="A480" i="22" l="1"/>
  <c r="Z479" i="22"/>
  <c r="A481" i="22" l="1"/>
  <c r="Z480" i="22"/>
  <c r="Z481" i="22" l="1"/>
  <c r="A482" i="22"/>
  <c r="A483" i="22" l="1"/>
  <c r="Z482" i="22"/>
  <c r="A484" i="22" l="1"/>
  <c r="Z483" i="22"/>
  <c r="A485" i="22" l="1"/>
  <c r="Z484" i="22"/>
  <c r="Z485" i="22" l="1"/>
  <c r="A486" i="22"/>
  <c r="A487" i="22" l="1"/>
  <c r="Z486" i="22"/>
  <c r="A488" i="22" l="1"/>
  <c r="Z487" i="22"/>
  <c r="A489" i="22" l="1"/>
  <c r="Z488" i="22"/>
  <c r="Z489" i="22" l="1"/>
  <c r="A490" i="22"/>
  <c r="A491" i="22" l="1"/>
  <c r="Z490" i="22"/>
  <c r="A492" i="22" l="1"/>
  <c r="Z491" i="22"/>
  <c r="A493" i="22" l="1"/>
  <c r="Z492" i="22"/>
  <c r="Z493" i="22" l="1"/>
  <c r="A494" i="22"/>
  <c r="A495" i="22" l="1"/>
  <c r="Z494" i="22"/>
  <c r="A496" i="22" l="1"/>
  <c r="Z495" i="22"/>
  <c r="A497" i="22" l="1"/>
  <c r="Z496" i="22"/>
  <c r="Z497" i="22" l="1"/>
  <c r="A498" i="22"/>
  <c r="A499" i="22" l="1"/>
  <c r="Z498" i="22"/>
  <c r="A500" i="22" l="1"/>
  <c r="Z499" i="22"/>
  <c r="A501" i="22" l="1"/>
  <c r="Z500" i="22"/>
  <c r="Z501" i="22" l="1"/>
  <c r="A502" i="22"/>
  <c r="A503" i="22" l="1"/>
  <c r="Z502" i="22"/>
  <c r="A504" i="22" l="1"/>
  <c r="Z503" i="22"/>
  <c r="A505" i="22" l="1"/>
  <c r="Z504" i="22"/>
  <c r="Z505" i="22" l="1"/>
  <c r="A506" i="22"/>
  <c r="A507" i="22" l="1"/>
  <c r="Z506" i="22"/>
  <c r="A508" i="22" l="1"/>
  <c r="Z507" i="22"/>
  <c r="A509" i="22" l="1"/>
  <c r="Z508" i="22"/>
  <c r="Z509" i="22" l="1"/>
  <c r="A510" i="22"/>
  <c r="A511" i="22" l="1"/>
  <c r="Z510" i="22"/>
  <c r="A512" i="22" l="1"/>
  <c r="Z511" i="22"/>
  <c r="A513" i="22" l="1"/>
  <c r="Z512" i="22"/>
  <c r="Z513" i="22" l="1"/>
  <c r="A514" i="22"/>
  <c r="A515" i="22" l="1"/>
  <c r="Z514" i="22"/>
  <c r="A516" i="22" l="1"/>
  <c r="Z515" i="22"/>
  <c r="A517" i="22" l="1"/>
  <c r="Z516" i="22"/>
  <c r="Z517" i="22" l="1"/>
  <c r="A518" i="22"/>
  <c r="A519" i="22" l="1"/>
  <c r="Z518" i="22"/>
  <c r="A520" i="22" l="1"/>
  <c r="Z519" i="22"/>
  <c r="A521" i="22" l="1"/>
  <c r="Z520" i="22"/>
  <c r="Z521" i="22" l="1"/>
  <c r="A522" i="22"/>
  <c r="A523" i="22" l="1"/>
  <c r="Z522" i="22"/>
  <c r="A524" i="22" l="1"/>
  <c r="Z523" i="22"/>
  <c r="A525" i="22" l="1"/>
  <c r="Z524" i="22"/>
  <c r="Z525" i="22" l="1"/>
  <c r="A526" i="22"/>
  <c r="A527" i="22" l="1"/>
  <c r="Z526" i="22"/>
  <c r="A528" i="22" l="1"/>
  <c r="Z527" i="22"/>
  <c r="A529" i="22" l="1"/>
  <c r="Z528" i="22"/>
  <c r="A530" i="22" l="1"/>
  <c r="Z529" i="22"/>
  <c r="A531" i="22" l="1"/>
  <c r="Z530" i="22"/>
  <c r="Z531" i="22" l="1"/>
  <c r="A532" i="22"/>
  <c r="Z532" i="22" l="1"/>
  <c r="A533" i="22"/>
  <c r="Z533" i="22" l="1"/>
  <c r="A534" i="22"/>
  <c r="A535" i="22" l="1"/>
  <c r="Z534" i="22"/>
  <c r="Z535" i="22" l="1"/>
  <c r="A536" i="22"/>
  <c r="Z536" i="22" l="1"/>
  <c r="A537" i="22"/>
  <c r="Z537" i="22" l="1"/>
  <c r="A538" i="22"/>
  <c r="A539" i="22" l="1"/>
  <c r="Z538" i="22"/>
  <c r="Z539" i="22" l="1"/>
  <c r="A540" i="22"/>
  <c r="A541" i="22" l="1"/>
  <c r="Z540" i="22"/>
  <c r="Z541" i="22" l="1"/>
  <c r="A542" i="22"/>
  <c r="A543" i="22" l="1"/>
  <c r="Z542" i="22"/>
  <c r="Z543" i="22" l="1"/>
  <c r="A544" i="22"/>
  <c r="Z544" i="22" l="1"/>
  <c r="A545" i="22"/>
  <c r="A546" i="22" l="1"/>
  <c r="Z545" i="22"/>
  <c r="V13" i="22"/>
  <c r="AF13" i="22" s="1"/>
  <c r="E14" i="22" s="1"/>
  <c r="U13" i="22"/>
  <c r="AE13" i="22" s="1"/>
  <c r="D14" i="22" s="1"/>
  <c r="A547" i="22" l="1"/>
  <c r="Z546" i="22"/>
  <c r="Z547" i="22" l="1"/>
  <c r="A548" i="22"/>
  <c r="AC13" i="22" l="1"/>
  <c r="X13" i="22"/>
  <c r="AG13" i="22" s="1"/>
  <c r="F14" i="22" s="1"/>
  <c r="Z548" i="22"/>
  <c r="A549" i="22"/>
  <c r="AK13" i="22" l="1"/>
  <c r="G14" i="22" s="1"/>
  <c r="T14" i="22" s="1" a="1"/>
  <c r="T14" i="22" s="1"/>
  <c r="B14" i="22"/>
  <c r="Y13" i="22"/>
  <c r="Z549" i="22"/>
  <c r="A550" i="22"/>
  <c r="V14" i="22" l="1"/>
  <c r="AF14" i="22" s="1"/>
  <c r="E15" i="22" s="1"/>
  <c r="A551" i="22"/>
  <c r="Z550" i="22"/>
  <c r="Z551" i="22" l="1"/>
  <c r="A552" i="22"/>
  <c r="A553" i="22" l="1"/>
  <c r="Z552" i="22"/>
  <c r="Z553" i="22" l="1"/>
  <c r="A554" i="22"/>
  <c r="A555" i="22" l="1"/>
  <c r="Z554" i="22"/>
  <c r="Z555" i="22" l="1"/>
  <c r="A556" i="22"/>
  <c r="A557" i="22" l="1"/>
  <c r="Z556" i="22"/>
  <c r="Z557" i="22" l="1"/>
  <c r="A558" i="22"/>
  <c r="A559" i="22" l="1"/>
  <c r="Z558" i="22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Z559" i="22" l="1"/>
  <c r="A560" i="22"/>
  <c r="A561" i="22" l="1"/>
  <c r="Z560" i="22"/>
  <c r="Z561" i="22" l="1"/>
  <c r="A562" i="22"/>
  <c r="A563" i="22" l="1"/>
  <c r="Z562" i="22"/>
  <c r="Z563" i="22" l="1"/>
  <c r="A564" i="22"/>
  <c r="A565" i="22" l="1"/>
  <c r="Z564" i="22"/>
  <c r="Z565" i="22" l="1"/>
  <c r="A566" i="22"/>
  <c r="A567" i="22" l="1"/>
  <c r="Z566" i="22"/>
  <c r="Z567" i="22" l="1"/>
  <c r="A568" i="22"/>
  <c r="A569" i="22" l="1"/>
  <c r="Z568" i="22"/>
  <c r="Z569" i="22" l="1"/>
  <c r="A570" i="22"/>
  <c r="A571" i="22" l="1"/>
  <c r="Z570" i="22"/>
  <c r="Z571" i="22" l="1"/>
  <c r="A572" i="22"/>
  <c r="A573" i="22" l="1"/>
  <c r="Z572" i="22"/>
  <c r="Z573" i="22" l="1"/>
  <c r="A574" i="22"/>
  <c r="A575" i="22" l="1"/>
  <c r="Z574" i="22"/>
  <c r="Z575" i="22" l="1"/>
  <c r="A576" i="22"/>
  <c r="A577" i="22" l="1"/>
  <c r="Z576" i="22"/>
  <c r="Z577" i="22" l="1"/>
  <c r="A578" i="22"/>
  <c r="A579" i="22" l="1"/>
  <c r="Z578" i="22"/>
  <c r="Z579" i="22" l="1"/>
  <c r="A580" i="22"/>
  <c r="A581" i="22" l="1"/>
  <c r="Z580" i="22"/>
  <c r="Z581" i="22" l="1"/>
  <c r="A582" i="22"/>
  <c r="A583" i="22" l="1"/>
  <c r="Z582" i="22"/>
  <c r="Z583" i="22" l="1"/>
  <c r="A584" i="22"/>
  <c r="A585" i="22" l="1"/>
  <c r="Z584" i="22"/>
  <c r="Z585" i="22" l="1"/>
  <c r="A586" i="22"/>
  <c r="A587" i="22" l="1"/>
  <c r="Z586" i="22"/>
  <c r="Z587" i="22" l="1"/>
  <c r="A588" i="22"/>
  <c r="A589" i="22" l="1"/>
  <c r="Z588" i="22"/>
  <c r="Z589" i="22" l="1"/>
  <c r="A590" i="22"/>
  <c r="A591" i="22" l="1"/>
  <c r="Z590" i="22"/>
  <c r="Z591" i="22" l="1"/>
  <c r="A592" i="22"/>
  <c r="A593" i="22" l="1"/>
  <c r="Z592" i="22"/>
  <c r="Z593" i="22" l="1"/>
  <c r="A594" i="22"/>
  <c r="A595" i="22" l="1"/>
  <c r="Z594" i="22"/>
  <c r="Z595" i="22" l="1"/>
  <c r="A596" i="22"/>
  <c r="A597" i="22" l="1"/>
  <c r="Z596" i="22"/>
  <c r="Z597" i="22" l="1"/>
  <c r="A598" i="22"/>
  <c r="A599" i="22" l="1"/>
  <c r="Z598" i="22"/>
  <c r="Z599" i="22" l="1"/>
  <c r="A600" i="22"/>
  <c r="A601" i="22" l="1"/>
  <c r="Z600" i="22"/>
  <c r="Z601" i="22" l="1"/>
  <c r="A602" i="22"/>
  <c r="A603" i="22" l="1"/>
  <c r="Z602" i="22"/>
  <c r="Z603" i="22" l="1"/>
  <c r="A604" i="22"/>
  <c r="A605" i="22" l="1"/>
  <c r="Z604" i="22"/>
  <c r="Z605" i="22" l="1"/>
  <c r="A606" i="22"/>
  <c r="A607" i="22" l="1"/>
  <c r="Z606" i="22"/>
  <c r="Z607" i="22" l="1"/>
  <c r="A608" i="22"/>
  <c r="A609" i="22" l="1"/>
  <c r="Z608" i="22"/>
  <c r="A610" i="22" l="1"/>
  <c r="Z609" i="22"/>
  <c r="A611" i="22" l="1"/>
  <c r="Z610" i="22"/>
  <c r="Z611" i="22" l="1"/>
  <c r="A612" i="22"/>
  <c r="A613" i="22" l="1"/>
  <c r="Z612" i="22"/>
  <c r="A614" i="22" l="1"/>
  <c r="Z613" i="22"/>
  <c r="A615" i="22" l="1"/>
  <c r="Z614" i="22"/>
  <c r="Z615" i="22" l="1"/>
  <c r="A616" i="22"/>
  <c r="A617" i="22" l="1"/>
  <c r="Z616" i="22"/>
  <c r="A618" i="22" l="1"/>
  <c r="Z617" i="22"/>
  <c r="A619" i="22" l="1"/>
  <c r="Z618" i="22"/>
  <c r="Z619" i="22" l="1"/>
  <c r="A620" i="22"/>
  <c r="A621" i="22" l="1"/>
  <c r="Z620" i="22"/>
  <c r="A622" i="22" l="1"/>
  <c r="Z621" i="22"/>
  <c r="A623" i="22" l="1"/>
  <c r="Z622" i="22"/>
  <c r="Z623" i="22" l="1"/>
  <c r="A624" i="22"/>
  <c r="A625" i="22" l="1"/>
  <c r="Z624" i="22"/>
  <c r="A626" i="22" l="1"/>
  <c r="Z625" i="22"/>
  <c r="A627" i="22" l="1"/>
  <c r="Z626" i="22"/>
  <c r="A628" i="22" l="1"/>
  <c r="Z627" i="22"/>
  <c r="Z628" i="22" l="1"/>
  <c r="A629" i="22"/>
  <c r="A630" i="22" l="1"/>
  <c r="Z629" i="22"/>
  <c r="A631" i="22" l="1"/>
  <c r="Z630" i="22"/>
  <c r="A632" i="22" l="1"/>
  <c r="Z631" i="22"/>
  <c r="Z632" i="22" l="1"/>
  <c r="A633" i="22"/>
  <c r="A634" i="22" l="1"/>
  <c r="Z633" i="22"/>
  <c r="A635" i="22" l="1"/>
  <c r="Z634" i="22"/>
  <c r="A636" i="22" l="1"/>
  <c r="Z635" i="22"/>
  <c r="Z636" i="22" l="1"/>
  <c r="A637" i="22"/>
  <c r="A638" i="22" l="1"/>
  <c r="Z637" i="22"/>
  <c r="A639" i="22" l="1"/>
  <c r="Z638" i="22"/>
  <c r="A640" i="22" l="1"/>
  <c r="Z639" i="22"/>
  <c r="Z640" i="22" l="1"/>
  <c r="A641" i="22"/>
  <c r="A642" i="22" l="1"/>
  <c r="Z641" i="22"/>
  <c r="A643" i="22" l="1"/>
  <c r="Z642" i="22"/>
  <c r="A644" i="22" l="1"/>
  <c r="Z643" i="22"/>
  <c r="Z644" i="22" l="1"/>
  <c r="A645" i="22"/>
  <c r="A646" i="22" l="1"/>
  <c r="Z645" i="22"/>
  <c r="A647" i="22" l="1"/>
  <c r="Z646" i="22"/>
  <c r="A648" i="22" l="1"/>
  <c r="Z647" i="22"/>
  <c r="Z648" i="22" l="1"/>
  <c r="A649" i="22"/>
  <c r="A650" i="22" l="1"/>
  <c r="Z649" i="22"/>
  <c r="A651" i="22" l="1"/>
  <c r="Z650" i="22"/>
  <c r="A652" i="22" l="1"/>
  <c r="Z651" i="22"/>
  <c r="Z652" i="22" l="1"/>
  <c r="A653" i="22"/>
  <c r="A654" i="22" l="1"/>
  <c r="Z653" i="22"/>
  <c r="A655" i="22" l="1"/>
  <c r="Z654" i="22"/>
  <c r="A656" i="22" l="1"/>
  <c r="Z655" i="22"/>
  <c r="Z656" i="22" l="1"/>
  <c r="A657" i="22"/>
  <c r="A658" i="22" l="1"/>
  <c r="Z657" i="22"/>
  <c r="A659" i="22" l="1"/>
  <c r="Z658" i="22"/>
  <c r="A660" i="22" l="1"/>
  <c r="Z659" i="22"/>
  <c r="Z660" i="22" l="1"/>
  <c r="A661" i="22"/>
  <c r="A662" i="22" l="1"/>
  <c r="Z661" i="22"/>
  <c r="A663" i="22" l="1"/>
  <c r="Z662" i="22"/>
  <c r="A664" i="22" l="1"/>
  <c r="Z663" i="22"/>
  <c r="Z664" i="22" l="1"/>
  <c r="A665" i="22"/>
  <c r="A666" i="22" l="1"/>
  <c r="Z665" i="22"/>
  <c r="A667" i="22" l="1"/>
  <c r="Z666" i="22"/>
  <c r="A668" i="22" l="1"/>
  <c r="Z667" i="22"/>
  <c r="Z668" i="22" l="1"/>
  <c r="A669" i="22"/>
  <c r="A670" i="22" l="1"/>
  <c r="Z669" i="22"/>
  <c r="A671" i="22" l="1"/>
  <c r="Z670" i="22"/>
  <c r="A672" i="22" l="1"/>
  <c r="Z671" i="22"/>
  <c r="Z672" i="22" l="1"/>
  <c r="A673" i="22"/>
  <c r="A674" i="22" l="1"/>
  <c r="Z673" i="22"/>
  <c r="A675" i="22" l="1"/>
  <c r="Z674" i="22"/>
  <c r="A676" i="22" l="1"/>
  <c r="Z675" i="22"/>
  <c r="Z676" i="22" l="1"/>
  <c r="A677" i="22"/>
  <c r="A678" i="22" l="1"/>
  <c r="Z677" i="22"/>
  <c r="A679" i="22" l="1"/>
  <c r="Z678" i="22"/>
  <c r="A680" i="22" l="1"/>
  <c r="Z679" i="22"/>
  <c r="Z680" i="22" l="1"/>
  <c r="A681" i="22"/>
  <c r="A682" i="22" l="1"/>
  <c r="Z681" i="22"/>
  <c r="A683" i="22" l="1"/>
  <c r="Z682" i="22"/>
  <c r="A684" i="22" l="1"/>
  <c r="Z683" i="22"/>
  <c r="Z684" i="22" l="1"/>
  <c r="A685" i="22"/>
  <c r="A686" i="22" l="1"/>
  <c r="Z685" i="22"/>
  <c r="A687" i="22" l="1"/>
  <c r="Z686" i="22"/>
  <c r="A688" i="22" l="1"/>
  <c r="Z687" i="22"/>
  <c r="Z688" i="22" l="1"/>
  <c r="A689" i="22"/>
  <c r="A690" i="22" l="1"/>
  <c r="Z689" i="22"/>
  <c r="A691" i="22" l="1"/>
  <c r="Z690" i="22"/>
  <c r="A692" i="22" l="1"/>
  <c r="Z691" i="22"/>
  <c r="Z692" i="22" l="1"/>
  <c r="A693" i="22"/>
  <c r="A694" i="22" l="1"/>
  <c r="Z693" i="22"/>
  <c r="A695" i="22" l="1"/>
  <c r="Z694" i="22"/>
  <c r="A696" i="22" l="1"/>
  <c r="Z695" i="22"/>
  <c r="Z696" i="22" l="1"/>
  <c r="A697" i="22"/>
  <c r="A698" i="22" l="1"/>
  <c r="Z697" i="22"/>
  <c r="A699" i="22" l="1"/>
  <c r="Z698" i="22"/>
  <c r="A700" i="22" l="1"/>
  <c r="Z699" i="22"/>
  <c r="Z700" i="22" l="1"/>
  <c r="A701" i="22"/>
  <c r="A702" i="22" l="1"/>
  <c r="Z701" i="22"/>
  <c r="A703" i="22" l="1"/>
  <c r="Z702" i="22"/>
  <c r="A704" i="22" l="1"/>
  <c r="Z703" i="22"/>
  <c r="Z704" i="22" l="1"/>
  <c r="A705" i="22"/>
  <c r="A706" i="22" l="1"/>
  <c r="Z705" i="22"/>
  <c r="A707" i="22" l="1"/>
  <c r="Z706" i="22"/>
  <c r="A708" i="22" l="1"/>
  <c r="Z707" i="22"/>
  <c r="Z708" i="22" l="1"/>
  <c r="A709" i="22"/>
  <c r="A710" i="22" l="1"/>
  <c r="Z709" i="22"/>
  <c r="A711" i="22" l="1"/>
  <c r="Z710" i="22"/>
  <c r="A712" i="22" l="1"/>
  <c r="Z711" i="22"/>
  <c r="Z712" i="22" l="1"/>
  <c r="A713" i="22"/>
  <c r="A714" i="22" l="1"/>
  <c r="Z713" i="22"/>
  <c r="A715" i="22" l="1"/>
  <c r="Z714" i="22"/>
  <c r="A716" i="22" l="1"/>
  <c r="Z715" i="22"/>
  <c r="Z716" i="22" l="1"/>
  <c r="A717" i="22"/>
  <c r="A718" i="22" l="1"/>
  <c r="Z717" i="22"/>
  <c r="A719" i="22" l="1"/>
  <c r="Z718" i="22"/>
  <c r="A720" i="22" l="1"/>
  <c r="Z719" i="22"/>
  <c r="Z720" i="22" l="1"/>
  <c r="A721" i="22"/>
  <c r="A722" i="22" l="1"/>
  <c r="Z721" i="22"/>
  <c r="A723" i="22" l="1"/>
  <c r="Z722" i="22"/>
  <c r="A724" i="22" l="1"/>
  <c r="Z723" i="22"/>
  <c r="Z724" i="22" l="1"/>
  <c r="A725" i="22"/>
  <c r="A726" i="22" l="1"/>
  <c r="Z725" i="22"/>
  <c r="A727" i="22" l="1"/>
  <c r="Z726" i="22"/>
  <c r="A728" i="22" l="1"/>
  <c r="Z727" i="22"/>
  <c r="Z728" i="22" l="1"/>
  <c r="A729" i="22"/>
  <c r="A730" i="22" l="1"/>
  <c r="Z729" i="22"/>
  <c r="A731" i="22" l="1"/>
  <c r="Z730" i="22"/>
  <c r="A732" i="22" l="1"/>
  <c r="Z731" i="22"/>
  <c r="Z732" i="22" l="1"/>
  <c r="A733" i="22"/>
  <c r="A734" i="22" l="1"/>
  <c r="Z733" i="22"/>
  <c r="A735" i="22" l="1"/>
  <c r="Z734" i="22"/>
  <c r="A736" i="22" l="1"/>
  <c r="Z735" i="22"/>
  <c r="Z736" i="22" l="1"/>
  <c r="A737" i="22"/>
  <c r="A738" i="22" l="1"/>
  <c r="Z737" i="22"/>
  <c r="A739" i="22" l="1"/>
  <c r="Z738" i="22"/>
  <c r="A740" i="22" l="1"/>
  <c r="Z739" i="22"/>
  <c r="Z740" i="22" l="1"/>
  <c r="A741" i="22"/>
  <c r="A742" i="22" l="1"/>
  <c r="Z741" i="22"/>
  <c r="A743" i="22" l="1"/>
  <c r="Z742" i="22"/>
  <c r="A744" i="22" l="1"/>
  <c r="Z743" i="22"/>
  <c r="Z744" i="22" l="1"/>
  <c r="A745" i="22"/>
  <c r="A746" i="22" l="1"/>
  <c r="Z745" i="22"/>
  <c r="A747" i="22" l="1"/>
  <c r="Z746" i="22"/>
  <c r="Z747" i="22" l="1"/>
  <c r="A748" i="22"/>
  <c r="A749" i="22" l="1"/>
  <c r="Z748" i="22"/>
  <c r="Z749" i="22" l="1"/>
  <c r="A750" i="22"/>
  <c r="Z750" i="22" l="1"/>
  <c r="A751" i="22"/>
  <c r="Z751" i="22" l="1"/>
  <c r="A752" i="22"/>
  <c r="A753" i="22" l="1"/>
  <c r="Z752" i="22"/>
  <c r="Z753" i="22" l="1"/>
  <c r="A754" i="22"/>
  <c r="A755" i="22" l="1"/>
  <c r="Z754" i="22"/>
  <c r="Z755" i="22" l="1"/>
  <c r="A756" i="22"/>
  <c r="A757" i="22" l="1"/>
  <c r="Z756" i="22"/>
  <c r="Z757" i="22" l="1"/>
  <c r="A758" i="22"/>
  <c r="Z758" i="22" l="1"/>
  <c r="A759" i="22"/>
  <c r="A760" i="22" l="1"/>
  <c r="Z759" i="22"/>
  <c r="A761" i="22" l="1"/>
  <c r="Z760" i="22"/>
  <c r="Z761" i="22" l="1"/>
  <c r="A762" i="22"/>
  <c r="Z762" i="22" l="1"/>
  <c r="A763" i="22"/>
  <c r="Z763" i="22" l="1"/>
  <c r="A764" i="22"/>
  <c r="A765" i="22" l="1"/>
  <c r="Z764" i="22"/>
  <c r="Z765" i="22" l="1"/>
  <c r="A766" i="22"/>
  <c r="Z766" i="22" l="1"/>
  <c r="A767" i="22"/>
  <c r="Z767" i="22" l="1"/>
  <c r="A768" i="22"/>
  <c r="A769" i="22" l="1"/>
  <c r="Z768" i="22"/>
  <c r="Z769" i="22" l="1"/>
  <c r="A770" i="22"/>
  <c r="A771" i="22" l="1"/>
  <c r="Z770" i="22"/>
  <c r="A772" i="22" l="1"/>
  <c r="Z771" i="22"/>
  <c r="A773" i="22" l="1"/>
  <c r="Z772" i="22"/>
  <c r="A774" i="22" l="1"/>
  <c r="Z773" i="22"/>
  <c r="Z774" i="22" l="1"/>
  <c r="A775" i="22"/>
  <c r="A776" i="22" l="1"/>
  <c r="Z775" i="22"/>
  <c r="A777" i="22" l="1"/>
  <c r="Z776" i="22"/>
  <c r="A778" i="22" l="1"/>
  <c r="Z777" i="22"/>
  <c r="Z778" i="22" l="1"/>
  <c r="A779" i="22"/>
  <c r="A780" i="22" l="1"/>
  <c r="Z779" i="22"/>
  <c r="A781" i="22" l="1"/>
  <c r="Z780" i="22"/>
  <c r="A782" i="22" l="1"/>
  <c r="Z781" i="22"/>
  <c r="Z782" i="22" l="1"/>
  <c r="A783" i="22"/>
  <c r="A784" i="22" l="1"/>
  <c r="Z783" i="22"/>
  <c r="A785" i="22" l="1"/>
  <c r="Z784" i="22"/>
  <c r="A786" i="22" l="1"/>
  <c r="Z785" i="22"/>
  <c r="A787" i="22" l="1"/>
  <c r="Z786" i="22"/>
  <c r="Z787" i="22" l="1"/>
  <c r="A788" i="22"/>
  <c r="A789" i="22" l="1"/>
  <c r="Z788" i="22"/>
  <c r="A790" i="22" l="1"/>
  <c r="Z789" i="22"/>
  <c r="A791" i="22" l="1"/>
  <c r="Z790" i="22"/>
  <c r="A792" i="22" l="1"/>
  <c r="Z791" i="22"/>
  <c r="Z792" i="22" l="1"/>
  <c r="A793" i="22"/>
  <c r="A794" i="22" l="1"/>
  <c r="Z793" i="22"/>
  <c r="A795" i="22" l="1"/>
  <c r="Z794" i="22"/>
  <c r="A796" i="22" l="1"/>
  <c r="Z795" i="22"/>
  <c r="Z796" i="22" l="1"/>
  <c r="A797" i="22"/>
  <c r="A798" i="22" l="1"/>
  <c r="Z797" i="22"/>
  <c r="A799" i="22" l="1"/>
  <c r="Z798" i="22"/>
  <c r="A800" i="22" l="1"/>
  <c r="Z799" i="22"/>
  <c r="Z800" i="22" l="1"/>
  <c r="A801" i="22"/>
  <c r="A802" i="22" l="1"/>
  <c r="Z801" i="22"/>
  <c r="A803" i="22" l="1"/>
  <c r="Z802" i="22"/>
  <c r="A804" i="22" l="1"/>
  <c r="Z803" i="22"/>
  <c r="Z804" i="22" l="1"/>
  <c r="A805" i="22"/>
  <c r="A806" i="22" l="1"/>
  <c r="Z805" i="22"/>
  <c r="A807" i="22" l="1"/>
  <c r="Z806" i="22"/>
  <c r="A808" i="22" l="1"/>
  <c r="Z807" i="22"/>
  <c r="Z808" i="22" l="1"/>
  <c r="A809" i="22"/>
  <c r="A810" i="22" l="1"/>
  <c r="Z809" i="22"/>
  <c r="A811" i="22" l="1"/>
  <c r="Z810" i="22"/>
  <c r="A812" i="22" l="1"/>
  <c r="Z811" i="22"/>
  <c r="Z812" i="22" l="1"/>
  <c r="A813" i="22"/>
  <c r="A814" i="22" l="1"/>
  <c r="Z813" i="22"/>
  <c r="A815" i="22" l="1"/>
  <c r="Z814" i="22"/>
  <c r="A816" i="22" l="1"/>
  <c r="Z815" i="22"/>
  <c r="Z816" i="22" l="1"/>
  <c r="A817" i="22"/>
  <c r="A818" i="22" l="1"/>
  <c r="Z817" i="22"/>
  <c r="A819" i="22" l="1"/>
  <c r="Z818" i="22"/>
  <c r="A820" i="22" l="1"/>
  <c r="Z819" i="22"/>
  <c r="Z820" i="22" l="1"/>
  <c r="A821" i="22"/>
  <c r="A822" i="22" l="1"/>
  <c r="Z821" i="22"/>
  <c r="A823" i="22" l="1"/>
  <c r="Z822" i="22"/>
  <c r="A824" i="22" l="1"/>
  <c r="Z823" i="22"/>
  <c r="Z824" i="22" l="1"/>
  <c r="A825" i="22"/>
  <c r="A826" i="22" l="1"/>
  <c r="Z825" i="22"/>
  <c r="A827" i="22" l="1"/>
  <c r="Z826" i="22"/>
  <c r="A828" i="22" l="1"/>
  <c r="Z827" i="22"/>
  <c r="Z828" i="22" l="1"/>
  <c r="A829" i="22"/>
  <c r="A830" i="22" l="1"/>
  <c r="Z829" i="22"/>
  <c r="A831" i="22" l="1"/>
  <c r="Z830" i="22"/>
  <c r="A832" i="22" l="1"/>
  <c r="Z831" i="22"/>
  <c r="Z832" i="22" l="1"/>
  <c r="A833" i="22"/>
  <c r="A834" i="22" l="1"/>
  <c r="Z833" i="22"/>
  <c r="A835" i="22" l="1"/>
  <c r="Z834" i="22"/>
  <c r="A836" i="22" l="1"/>
  <c r="Z835" i="22"/>
  <c r="Z836" i="22" l="1"/>
  <c r="A837" i="22"/>
  <c r="A838" i="22" l="1"/>
  <c r="Z837" i="22"/>
  <c r="A839" i="22" l="1"/>
  <c r="Z838" i="22"/>
  <c r="A840" i="22" l="1"/>
  <c r="Z839" i="22"/>
  <c r="Z840" i="22" l="1"/>
  <c r="A841" i="22"/>
  <c r="A842" i="22" l="1"/>
  <c r="Z841" i="22"/>
  <c r="A843" i="22" l="1"/>
  <c r="Z842" i="22"/>
  <c r="A844" i="22" l="1"/>
  <c r="Z843" i="22"/>
  <c r="Z844" i="22" l="1"/>
  <c r="A845" i="22"/>
  <c r="A846" i="22" l="1"/>
  <c r="Z845" i="22"/>
  <c r="A847" i="22" l="1"/>
  <c r="Z846" i="22"/>
  <c r="A848" i="22" l="1"/>
  <c r="Z847" i="22"/>
  <c r="Z848" i="22" l="1"/>
  <c r="A849" i="22"/>
  <c r="A850" i="22" l="1"/>
  <c r="Z849" i="22"/>
  <c r="A851" i="22" l="1"/>
  <c r="Z850" i="22"/>
  <c r="A852" i="22" l="1"/>
  <c r="Z851" i="22"/>
  <c r="Z852" i="22" l="1"/>
  <c r="A853" i="22"/>
  <c r="A854" i="22" l="1"/>
  <c r="Z853" i="22"/>
  <c r="A855" i="22" l="1"/>
  <c r="Z854" i="22"/>
  <c r="A856" i="22" l="1"/>
  <c r="Z855" i="22"/>
  <c r="Z856" i="22" l="1"/>
  <c r="A857" i="22"/>
  <c r="A858" i="22" l="1"/>
  <c r="Z857" i="22"/>
  <c r="A859" i="22" l="1"/>
  <c r="Z858" i="22"/>
  <c r="A860" i="22" l="1"/>
  <c r="Z859" i="22"/>
  <c r="Z860" i="22" l="1"/>
  <c r="A861" i="22"/>
  <c r="A862" i="22" l="1"/>
  <c r="Z861" i="22"/>
  <c r="A863" i="22" l="1"/>
  <c r="Z862" i="22"/>
  <c r="A864" i="22" l="1"/>
  <c r="Z863" i="22"/>
  <c r="Z864" i="22" l="1"/>
  <c r="A865" i="22"/>
  <c r="A866" i="22" l="1"/>
  <c r="Z865" i="22"/>
  <c r="A867" i="22" l="1"/>
  <c r="Z866" i="22"/>
  <c r="A868" i="22" l="1"/>
  <c r="Z867" i="22"/>
  <c r="Z868" i="22" l="1"/>
  <c r="A869" i="22"/>
  <c r="A870" i="22" l="1"/>
  <c r="Z869" i="22"/>
  <c r="A871" i="22" l="1"/>
  <c r="Z870" i="22"/>
  <c r="A872" i="22" l="1"/>
  <c r="Z871" i="22"/>
  <c r="Z872" i="22" l="1"/>
  <c r="A873" i="22"/>
  <c r="A874" i="22" l="1"/>
  <c r="Z873" i="22"/>
  <c r="A875" i="22" l="1"/>
  <c r="Z874" i="22"/>
  <c r="A876" i="22" l="1"/>
  <c r="Z875" i="22"/>
  <c r="Z876" i="22" l="1"/>
  <c r="A877" i="22"/>
  <c r="A878" i="22" l="1"/>
  <c r="Z877" i="22"/>
  <c r="A879" i="22" l="1"/>
  <c r="Z878" i="22"/>
  <c r="A880" i="22" l="1"/>
  <c r="Z879" i="22"/>
  <c r="Z880" i="22" l="1"/>
  <c r="A881" i="22"/>
  <c r="A882" i="22" l="1"/>
  <c r="Z881" i="22"/>
  <c r="A883" i="22" l="1"/>
  <c r="Z882" i="22"/>
  <c r="A884" i="22" l="1"/>
  <c r="Z883" i="22"/>
  <c r="Z884" i="22" l="1"/>
  <c r="A885" i="22"/>
  <c r="A886" i="22" l="1"/>
  <c r="Z885" i="22"/>
  <c r="Z886" i="22" l="1"/>
  <c r="A887" i="22"/>
  <c r="A888" i="22" l="1"/>
  <c r="Z887" i="22"/>
  <c r="Z888" i="22" l="1"/>
  <c r="A889" i="22"/>
  <c r="Z889" i="22" l="1"/>
  <c r="A890" i="22"/>
  <c r="Z890" i="22" l="1"/>
  <c r="A891" i="22"/>
  <c r="A892" i="22" l="1"/>
  <c r="Z891" i="22"/>
  <c r="Z892" i="22" l="1"/>
  <c r="A893" i="22"/>
  <c r="A894" i="22" l="1"/>
  <c r="Z893" i="22"/>
  <c r="Z894" i="22" l="1"/>
  <c r="A895" i="22"/>
  <c r="A896" i="22" l="1"/>
  <c r="Z895" i="22"/>
  <c r="Z896" i="22" l="1"/>
  <c r="A897" i="22"/>
  <c r="Z897" i="22" l="1"/>
  <c r="A898" i="22"/>
  <c r="A899" i="22" l="1"/>
  <c r="Z898" i="22"/>
  <c r="A900" i="22" l="1"/>
  <c r="Z899" i="22"/>
  <c r="A901" i="22" l="1"/>
  <c r="Z900" i="22"/>
  <c r="Z901" i="22" l="1"/>
  <c r="A902" i="22"/>
  <c r="A903" i="22" l="1"/>
  <c r="Z902" i="22"/>
  <c r="A904" i="22" l="1"/>
  <c r="Z903" i="22"/>
  <c r="A905" i="22" l="1"/>
  <c r="Z904" i="22"/>
  <c r="Z905" i="22" l="1"/>
  <c r="A906" i="22"/>
  <c r="A907" i="22" l="1"/>
  <c r="Z906" i="22"/>
  <c r="A908" i="22" l="1"/>
  <c r="Z907" i="22"/>
  <c r="A909" i="22" l="1"/>
  <c r="Z908" i="22"/>
  <c r="Z909" i="22" l="1"/>
  <c r="A910" i="22"/>
  <c r="A911" i="22" l="1"/>
  <c r="Z910" i="22"/>
  <c r="A912" i="22" l="1"/>
  <c r="Z911" i="22"/>
  <c r="A913" i="22" l="1"/>
  <c r="Z912" i="22"/>
  <c r="Z913" i="22" l="1"/>
  <c r="A914" i="22"/>
  <c r="A915" i="22" l="1"/>
  <c r="Z914" i="22"/>
  <c r="A916" i="22" l="1"/>
  <c r="Z915" i="22"/>
  <c r="A917" i="22" l="1"/>
  <c r="Z916" i="22"/>
  <c r="Z917" i="22" l="1"/>
  <c r="A918" i="22"/>
  <c r="A919" i="22" l="1"/>
  <c r="Z918" i="22"/>
  <c r="A920" i="22" l="1"/>
  <c r="Z919" i="22"/>
  <c r="A921" i="22" l="1"/>
  <c r="Z920" i="22"/>
  <c r="Z921" i="22" l="1"/>
  <c r="A922" i="22"/>
  <c r="A923" i="22" l="1"/>
  <c r="Z922" i="22"/>
  <c r="A924" i="22" l="1"/>
  <c r="Z923" i="22"/>
  <c r="A925" i="22" l="1"/>
  <c r="Z924" i="22"/>
  <c r="Z925" i="22" l="1"/>
  <c r="A926" i="22"/>
  <c r="A927" i="22" l="1"/>
  <c r="Z926" i="22"/>
  <c r="A928" i="22" l="1"/>
  <c r="Z927" i="22"/>
  <c r="A929" i="22" l="1"/>
  <c r="Z928" i="22"/>
  <c r="Z929" i="22" l="1"/>
  <c r="A930" i="22"/>
  <c r="A931" i="22" l="1"/>
  <c r="Z930" i="22"/>
  <c r="A932" i="22" l="1"/>
  <c r="Z931" i="22"/>
  <c r="A933" i="22" l="1"/>
  <c r="Z932" i="22"/>
  <c r="Z933" i="22" l="1"/>
  <c r="A934" i="22"/>
  <c r="A935" i="22" l="1"/>
  <c r="Z934" i="22"/>
  <c r="A936" i="22" l="1"/>
  <c r="Z935" i="22"/>
  <c r="A937" i="22" l="1"/>
  <c r="Z936" i="22"/>
  <c r="Z937" i="22" l="1"/>
  <c r="A938" i="22"/>
  <c r="A939" i="22" l="1"/>
  <c r="Z938" i="22"/>
  <c r="A940" i="22" l="1"/>
  <c r="Z939" i="22"/>
  <c r="A941" i="22" l="1"/>
  <c r="Z940" i="22"/>
  <c r="Z941" i="22" l="1"/>
  <c r="A942" i="22"/>
  <c r="A943" i="22" l="1"/>
  <c r="Z942" i="22"/>
  <c r="A944" i="22" l="1"/>
  <c r="Z943" i="22"/>
  <c r="A945" i="22" l="1"/>
  <c r="Z944" i="22"/>
  <c r="Z945" i="22" l="1"/>
  <c r="A946" i="22"/>
  <c r="A947" i="22" l="1"/>
  <c r="Z946" i="22"/>
  <c r="A948" i="22" l="1"/>
  <c r="Z947" i="22"/>
  <c r="A949" i="22" l="1"/>
  <c r="Z948" i="22"/>
  <c r="Z949" i="22" l="1"/>
  <c r="A950" i="22"/>
  <c r="A951" i="22" l="1"/>
  <c r="Z950" i="22"/>
  <c r="A952" i="22" l="1"/>
  <c r="Z951" i="22"/>
  <c r="A953" i="22" l="1"/>
  <c r="Z952" i="22"/>
  <c r="Z953" i="22" l="1"/>
  <c r="A954" i="22"/>
  <c r="A955" i="22" l="1"/>
  <c r="Z954" i="22"/>
  <c r="A956" i="22" l="1"/>
  <c r="Z955" i="22"/>
  <c r="A957" i="22" l="1"/>
  <c r="Z956" i="22"/>
  <c r="Z957" i="22" l="1"/>
  <c r="A958" i="22"/>
  <c r="A959" i="22" l="1"/>
  <c r="Z958" i="22"/>
  <c r="A960" i="22" l="1"/>
  <c r="Z959" i="22"/>
  <c r="A961" i="22" l="1"/>
  <c r="Z960" i="22"/>
  <c r="Z961" i="22" l="1"/>
  <c r="A962" i="22"/>
  <c r="A963" i="22" l="1"/>
  <c r="Z962" i="22"/>
  <c r="A964" i="22" l="1"/>
  <c r="Z963" i="22"/>
  <c r="A965" i="22" l="1"/>
  <c r="Z964" i="22"/>
  <c r="Z965" i="22" l="1"/>
  <c r="A966" i="22"/>
  <c r="A967" i="22" l="1"/>
  <c r="Z966" i="22"/>
  <c r="A968" i="22" l="1"/>
  <c r="Z967" i="22"/>
  <c r="A969" i="22" l="1"/>
  <c r="Z968" i="22"/>
  <c r="Z969" i="22" l="1"/>
  <c r="A970" i="22"/>
  <c r="A971" i="22" l="1"/>
  <c r="Z970" i="22"/>
  <c r="A972" i="22" l="1"/>
  <c r="Z971" i="22"/>
  <c r="A973" i="22" l="1"/>
  <c r="Z972" i="22"/>
  <c r="Z973" i="22" l="1"/>
  <c r="A974" i="22"/>
  <c r="A975" i="22" l="1"/>
  <c r="Z974" i="22"/>
  <c r="A976" i="22" l="1"/>
  <c r="Z975" i="22"/>
  <c r="A977" i="22" l="1"/>
  <c r="Z976" i="22"/>
  <c r="Z977" i="22" l="1"/>
  <c r="A978" i="22"/>
  <c r="A979" i="22" l="1"/>
  <c r="Z978" i="22"/>
  <c r="A980" i="22" l="1"/>
  <c r="Z979" i="22"/>
  <c r="A981" i="22" l="1"/>
  <c r="Z980" i="22"/>
  <c r="Z981" i="22" l="1"/>
  <c r="A982" i="22"/>
  <c r="A983" i="22" l="1"/>
  <c r="Z982" i="22"/>
  <c r="A984" i="22" l="1"/>
  <c r="Z983" i="22"/>
  <c r="A985" i="22" l="1"/>
  <c r="Z984" i="22"/>
  <c r="Z985" i="22" l="1"/>
  <c r="A986" i="22"/>
  <c r="A987" i="22" l="1"/>
  <c r="Z986" i="22"/>
  <c r="A988" i="22" l="1"/>
  <c r="Z987" i="22"/>
  <c r="A989" i="22" l="1"/>
  <c r="Z988" i="22"/>
  <c r="Z989" i="22" l="1"/>
  <c r="A990" i="22"/>
  <c r="A991" i="22" l="1"/>
  <c r="Z990" i="22"/>
  <c r="A992" i="22" l="1"/>
  <c r="Z991" i="22"/>
  <c r="A993" i="22" l="1"/>
  <c r="Z992" i="22"/>
  <c r="Z993" i="22" l="1"/>
  <c r="A994" i="22"/>
  <c r="A995" i="22" l="1"/>
  <c r="Z994" i="22"/>
  <c r="A996" i="22" l="1"/>
  <c r="Z995" i="22"/>
  <c r="A997" i="22" l="1"/>
  <c r="Z996" i="22"/>
  <c r="Z997" i="22" l="1"/>
  <c r="A998" i="22"/>
  <c r="A999" i="22" l="1"/>
  <c r="Z998" i="22"/>
  <c r="A1000" i="22" l="1"/>
  <c r="Z999" i="22"/>
  <c r="A1001" i="22" l="1"/>
  <c r="Z1000" i="22"/>
  <c r="Z1001" i="22" l="1"/>
  <c r="A1002" i="22"/>
  <c r="A1003" i="22" l="1"/>
  <c r="Z1002" i="22"/>
  <c r="A1004" i="22" l="1"/>
  <c r="Z1003" i="22"/>
  <c r="A1005" i="22" l="1"/>
  <c r="Z1004" i="22"/>
  <c r="Z1005" i="22" l="1"/>
  <c r="A1006" i="22"/>
  <c r="A1007" i="22" l="1"/>
  <c r="Z1006" i="22"/>
  <c r="A1008" i="22" l="1"/>
  <c r="Z1007" i="22"/>
  <c r="A1009" i="22" l="1"/>
  <c r="Z1008" i="22"/>
  <c r="Z1009" i="22" l="1"/>
  <c r="A1010" i="22"/>
  <c r="A1011" i="22" l="1"/>
  <c r="Z1010" i="22"/>
  <c r="A1012" i="22" l="1"/>
  <c r="Z1011" i="22"/>
  <c r="A1013" i="22" l="1"/>
  <c r="Z1012" i="22"/>
  <c r="Z1013" i="22" l="1"/>
  <c r="A1014" i="22"/>
  <c r="A1015" i="22" l="1"/>
  <c r="Z1014" i="22"/>
  <c r="A1016" i="22" l="1"/>
  <c r="Z1015" i="22"/>
  <c r="A1017" i="22" l="1"/>
  <c r="Z1016" i="22"/>
  <c r="Z1017" i="22" l="1"/>
  <c r="A1018" i="22"/>
  <c r="A1019" i="22" l="1"/>
  <c r="Z1018" i="22"/>
  <c r="A1020" i="22" l="1"/>
  <c r="Z1019" i="22"/>
  <c r="A1021" i="22" l="1"/>
  <c r="Z1020" i="22"/>
  <c r="Z1021" i="22" l="1"/>
  <c r="A1022" i="22"/>
  <c r="A1023" i="22" l="1"/>
  <c r="Z1022" i="22"/>
  <c r="A1024" i="22" l="1"/>
  <c r="Z1023" i="22"/>
  <c r="A1025" i="22" l="1"/>
  <c r="Z1024" i="22"/>
  <c r="Z1025" i="22" l="1"/>
  <c r="A1026" i="22"/>
  <c r="A1027" i="22" l="1"/>
  <c r="Z1026" i="22"/>
  <c r="A1028" i="22" l="1"/>
  <c r="Z1027" i="22"/>
  <c r="A1029" i="22" l="1"/>
  <c r="Z1028" i="22"/>
  <c r="Z1029" i="22" l="1"/>
  <c r="A1030" i="22"/>
  <c r="A1031" i="22" l="1"/>
  <c r="Z1030" i="22"/>
  <c r="A1032" i="22" l="1"/>
  <c r="Z1031" i="22"/>
  <c r="A1033" i="22" l="1"/>
  <c r="Z1032" i="22"/>
  <c r="Z1033" i="22" l="1"/>
  <c r="A1034" i="22"/>
  <c r="A1035" i="22" l="1"/>
  <c r="Z1034" i="22"/>
  <c r="A1036" i="22" l="1"/>
  <c r="Z1035" i="22"/>
  <c r="A1037" i="22" l="1"/>
  <c r="Z1036" i="22"/>
  <c r="Z1037" i="22" l="1"/>
  <c r="A1038" i="22"/>
  <c r="A1039" i="22" l="1"/>
  <c r="Z1038" i="22"/>
  <c r="A1040" i="22" l="1"/>
  <c r="Z1039" i="22"/>
  <c r="A1041" i="22" l="1"/>
  <c r="Z1040" i="22"/>
  <c r="Z1041" i="22" l="1"/>
  <c r="A1042" i="22"/>
  <c r="A1043" i="22" l="1"/>
  <c r="Z1042" i="22"/>
  <c r="A1044" i="22" l="1"/>
  <c r="Z1043" i="22"/>
  <c r="Z1044" i="22" l="1"/>
  <c r="A1045" i="22"/>
  <c r="Z1045" i="22" l="1"/>
  <c r="A1046" i="22"/>
  <c r="Z1046" i="22" l="1"/>
  <c r="A1047" i="22"/>
  <c r="A1048" i="22" l="1"/>
  <c r="Z1047" i="22"/>
  <c r="A1049" i="22" l="1"/>
  <c r="Z1048" i="22"/>
  <c r="Z1049" i="22" l="1"/>
  <c r="A1050" i="22"/>
  <c r="A1051" i="22" l="1"/>
  <c r="Z1050" i="22"/>
  <c r="A1052" i="22" l="1"/>
  <c r="Z1051" i="22"/>
  <c r="A1053" i="22" l="1"/>
  <c r="Z1052" i="22"/>
  <c r="Z1053" i="22" l="1"/>
  <c r="A1054" i="22"/>
  <c r="A1055" i="22" l="1"/>
  <c r="Z1054" i="22"/>
  <c r="A1056" i="22" l="1"/>
  <c r="Z1055" i="22"/>
  <c r="A1057" i="22" l="1"/>
  <c r="Z1056" i="22"/>
  <c r="Z1057" i="22" l="1"/>
  <c r="A1058" i="22"/>
  <c r="A1059" i="22" l="1"/>
  <c r="Z1058" i="22"/>
  <c r="A1060" i="22" l="1"/>
  <c r="Z1059" i="22"/>
  <c r="A1061" i="22" l="1"/>
  <c r="Z1060" i="22"/>
  <c r="Z1061" i="22" l="1"/>
  <c r="A1062" i="22"/>
  <c r="A1063" i="22" l="1"/>
  <c r="Z1062" i="22"/>
  <c r="A1064" i="22" l="1"/>
  <c r="Z1063" i="22"/>
  <c r="A1065" i="22" l="1"/>
  <c r="Z1064" i="22"/>
  <c r="Z1065" i="22" l="1"/>
  <c r="A1066" i="22"/>
  <c r="A1067" i="22" l="1"/>
  <c r="Z1066" i="22"/>
  <c r="A1068" i="22" l="1"/>
  <c r="Z1067" i="22"/>
  <c r="A1069" i="22" l="1"/>
  <c r="Z1068" i="22"/>
  <c r="Z1069" i="22" l="1"/>
  <c r="A1070" i="22"/>
  <c r="A1071" i="22" l="1"/>
  <c r="Z1070" i="22"/>
  <c r="A1072" i="22" l="1"/>
  <c r="Z1071" i="22"/>
  <c r="A1073" i="22" l="1"/>
  <c r="Z1072" i="22"/>
  <c r="Z1073" i="22" l="1"/>
  <c r="A1074" i="22"/>
  <c r="A1075" i="22" l="1"/>
  <c r="Z1074" i="22"/>
  <c r="A1076" i="22" l="1"/>
  <c r="Z1075" i="22"/>
  <c r="A1077" i="22" l="1"/>
  <c r="Z1076" i="22"/>
  <c r="Z1077" i="22" l="1"/>
  <c r="A1078" i="22"/>
  <c r="A1079" i="22" l="1"/>
  <c r="Z1078" i="22"/>
  <c r="A1080" i="22" l="1"/>
  <c r="Z1079" i="22"/>
  <c r="A1081" i="22" l="1"/>
  <c r="Z1080" i="22"/>
  <c r="Z1081" i="22" l="1"/>
  <c r="A1082" i="22"/>
  <c r="A1083" i="22" l="1"/>
  <c r="Z1082" i="22"/>
  <c r="A1084" i="22" l="1"/>
  <c r="Z1083" i="22"/>
  <c r="A1085" i="22" l="1"/>
  <c r="Z1084" i="22"/>
  <c r="Z1085" i="22" l="1"/>
  <c r="A1086" i="22"/>
  <c r="A1087" i="22" l="1"/>
  <c r="Z1086" i="22"/>
  <c r="A1088" i="22" l="1"/>
  <c r="Z1087" i="22"/>
  <c r="A1089" i="22" l="1"/>
  <c r="Z1088" i="22"/>
  <c r="Z1089" i="22" l="1"/>
  <c r="A1090" i="22"/>
  <c r="A1091" i="22" l="1"/>
  <c r="Z1090" i="22"/>
  <c r="A1092" i="22" l="1"/>
  <c r="Z1091" i="22"/>
  <c r="A1093" i="22" l="1"/>
  <c r="Z1092" i="22"/>
  <c r="Z1093" i="22" l="1"/>
  <c r="A1094" i="22"/>
  <c r="A1095" i="22" l="1"/>
  <c r="Z1094" i="22"/>
  <c r="A1096" i="22" l="1"/>
  <c r="Z1095" i="22"/>
  <c r="A1097" i="22" l="1"/>
  <c r="Z1096" i="22"/>
  <c r="Z1097" i="22" l="1"/>
  <c r="A1098" i="22"/>
  <c r="A1099" i="22" l="1"/>
  <c r="Z1098" i="22"/>
  <c r="A1100" i="22" l="1"/>
  <c r="Z1099" i="22"/>
  <c r="A1101" i="22" l="1"/>
  <c r="Z1100" i="22"/>
  <c r="Z1101" i="22" l="1"/>
  <c r="A1102" i="22"/>
  <c r="A1103" i="22" l="1"/>
  <c r="Z1102" i="22"/>
  <c r="A1104" i="22" l="1"/>
  <c r="Z1103" i="22"/>
  <c r="A1105" i="22" l="1"/>
  <c r="Z1104" i="22"/>
  <c r="Z1105" i="22" l="1"/>
  <c r="A1106" i="22"/>
  <c r="A1107" i="22" l="1"/>
  <c r="Z1106" i="22"/>
  <c r="A1108" i="22" l="1"/>
  <c r="Z1107" i="22"/>
  <c r="A1109" i="22" l="1"/>
  <c r="Z1108" i="22"/>
  <c r="Z1109" i="22" l="1"/>
  <c r="A1110" i="22"/>
  <c r="A1111" i="22" l="1"/>
  <c r="Z1110" i="22"/>
  <c r="A1112" i="22" l="1"/>
  <c r="Z1111" i="22"/>
  <c r="A1113" i="22" l="1"/>
  <c r="Z1112" i="22"/>
  <c r="Z1113" i="22" l="1"/>
  <c r="A1114" i="22"/>
  <c r="A1115" i="22" l="1"/>
  <c r="Z1114" i="22"/>
  <c r="A1116" i="22" l="1"/>
  <c r="Z1115" i="22"/>
  <c r="A1117" i="22" l="1"/>
  <c r="Z1116" i="22"/>
  <c r="Z1117" i="22" l="1"/>
  <c r="A1118" i="22"/>
  <c r="A1119" i="22" l="1"/>
  <c r="Z1118" i="22"/>
  <c r="A1120" i="22" l="1"/>
  <c r="Z1119" i="22"/>
  <c r="A1121" i="22" l="1"/>
  <c r="Z1120" i="22"/>
  <c r="Z1121" i="22" l="1"/>
  <c r="A1122" i="22"/>
  <c r="A1123" i="22" l="1"/>
  <c r="Z1122" i="22"/>
  <c r="A1124" i="22" l="1"/>
  <c r="Z1123" i="22"/>
  <c r="A1125" i="22" l="1"/>
  <c r="Z1124" i="22"/>
  <c r="Z1125" i="22" l="1"/>
  <c r="A1126" i="22"/>
  <c r="A1127" i="22" l="1"/>
  <c r="Z1126" i="22"/>
  <c r="A1128" i="22" l="1"/>
  <c r="Z1127" i="22"/>
  <c r="A1129" i="22" l="1"/>
  <c r="Z1128" i="22"/>
  <c r="Z1129" i="22" l="1"/>
  <c r="A1130" i="22"/>
  <c r="A1131" i="22" l="1"/>
  <c r="Z1130" i="22"/>
  <c r="A1132" i="22" l="1"/>
  <c r="Z1131" i="22"/>
  <c r="A1133" i="22" l="1"/>
  <c r="Z1132" i="22"/>
  <c r="Z1133" i="22" l="1"/>
  <c r="A1134" i="22"/>
  <c r="A1135" i="22" l="1"/>
  <c r="Z1134" i="22"/>
  <c r="A1136" i="22" l="1"/>
  <c r="Z1135" i="22"/>
  <c r="A1137" i="22" l="1"/>
  <c r="Z1136" i="22"/>
  <c r="Z1137" i="22" l="1"/>
  <c r="A1138" i="22"/>
  <c r="A1139" i="22" l="1"/>
  <c r="Z1138" i="22"/>
  <c r="A1140" i="22" l="1"/>
  <c r="Z1139" i="22"/>
  <c r="A1141" i="22" l="1"/>
  <c r="Z1140" i="22"/>
  <c r="Z1141" i="22" l="1"/>
  <c r="A1142" i="22"/>
  <c r="A1143" i="22" l="1"/>
  <c r="Z1142" i="22"/>
  <c r="A1144" i="22" l="1"/>
  <c r="Z1143" i="22"/>
  <c r="A1145" i="22" l="1"/>
  <c r="Z1144" i="22"/>
  <c r="Z1145" i="22" l="1"/>
  <c r="A1146" i="22"/>
  <c r="A1147" i="22" l="1"/>
  <c r="Z1146" i="22"/>
  <c r="A1148" i="22" l="1"/>
  <c r="Z1147" i="22"/>
  <c r="A1149" i="22" l="1"/>
  <c r="Z1148" i="22"/>
  <c r="Z1149" i="22" l="1"/>
  <c r="A1150" i="22"/>
  <c r="A1151" i="22" l="1"/>
  <c r="Z1150" i="22"/>
  <c r="A1152" i="22" l="1"/>
  <c r="Z1151" i="22"/>
  <c r="A1153" i="22" l="1"/>
  <c r="Z1152" i="22"/>
  <c r="Z1153" i="22" l="1"/>
  <c r="A1154" i="22"/>
  <c r="A1155" i="22" l="1"/>
  <c r="Z1154" i="22"/>
  <c r="A1156" i="22" l="1"/>
  <c r="Z1155" i="22"/>
  <c r="A1157" i="22" l="1"/>
  <c r="Z1156" i="22"/>
  <c r="Z1157" i="22" l="1"/>
  <c r="A1158" i="22"/>
  <c r="A1159" i="22" l="1"/>
  <c r="Z1158" i="22"/>
  <c r="A1160" i="22" l="1"/>
  <c r="Z1159" i="22"/>
  <c r="A1161" i="22" l="1"/>
  <c r="Z1160" i="22"/>
  <c r="Z1161" i="22" l="1"/>
  <c r="A1162" i="22"/>
  <c r="A1163" i="22" l="1"/>
  <c r="Z1162" i="22"/>
  <c r="A1164" i="22" l="1"/>
  <c r="Z1163" i="22"/>
  <c r="A1165" i="22" l="1"/>
  <c r="Z1164" i="22"/>
  <c r="Z1165" i="22" l="1"/>
  <c r="A1166" i="22"/>
  <c r="A1167" i="22" l="1"/>
  <c r="Z1166" i="22"/>
  <c r="A1168" i="22" l="1"/>
  <c r="Z1167" i="22"/>
  <c r="A1169" i="22" l="1"/>
  <c r="Z1168" i="22"/>
  <c r="Z1169" i="22" l="1"/>
  <c r="A1170" i="22"/>
  <c r="A1171" i="22" l="1"/>
  <c r="Z1170" i="22"/>
  <c r="A1172" i="22" l="1"/>
  <c r="Z1171" i="22"/>
  <c r="A1173" i="22" l="1"/>
  <c r="Z1172" i="22"/>
  <c r="Z1173" i="22" l="1"/>
  <c r="A1174" i="22"/>
  <c r="A1175" i="22" l="1"/>
  <c r="Z1174" i="22"/>
  <c r="A1176" i="22" l="1"/>
  <c r="Z1175" i="22"/>
  <c r="A1177" i="22" l="1"/>
  <c r="Z1176" i="22"/>
  <c r="Z1177" i="22" l="1"/>
  <c r="A1178" i="22"/>
  <c r="A1179" i="22" l="1"/>
  <c r="Z1178" i="22"/>
  <c r="A1180" i="22" l="1"/>
  <c r="Z1179" i="22"/>
  <c r="A1181" i="22" l="1"/>
  <c r="Z1180" i="22"/>
  <c r="Z1181" i="22" l="1"/>
  <c r="A1182" i="22"/>
  <c r="A1183" i="22" l="1"/>
  <c r="Z1182" i="22"/>
  <c r="A1184" i="22" l="1"/>
  <c r="Z1183" i="22"/>
  <c r="A1185" i="22" l="1"/>
  <c r="Z1184" i="22"/>
  <c r="Z1185" i="22" l="1"/>
  <c r="A1186" i="22"/>
  <c r="A1187" i="22" l="1"/>
  <c r="Z1186" i="22"/>
  <c r="A1188" i="22" l="1"/>
  <c r="Z1187" i="22"/>
  <c r="A1189" i="22" l="1"/>
  <c r="Z1188" i="22"/>
  <c r="Z1189" i="22" l="1"/>
  <c r="A1190" i="22"/>
  <c r="A1191" i="22" l="1"/>
  <c r="Z1190" i="22"/>
  <c r="A1192" i="22" l="1"/>
  <c r="Z1191" i="22"/>
  <c r="A1193" i="22" l="1"/>
  <c r="Z1192" i="22"/>
  <c r="Z1193" i="22" l="1"/>
  <c r="A1194" i="22"/>
  <c r="A1195" i="22" l="1"/>
  <c r="Z1194" i="22"/>
  <c r="A1196" i="22" l="1"/>
  <c r="Z1195" i="22"/>
  <c r="A1197" i="22" l="1"/>
  <c r="Z1196" i="22"/>
  <c r="Z1197" i="22" l="1"/>
  <c r="A1198" i="22"/>
  <c r="Z1198" i="22" l="1"/>
  <c r="A1199" i="22"/>
  <c r="Z1199" i="22" l="1"/>
  <c r="A1200" i="22"/>
  <c r="A1201" i="22" l="1"/>
  <c r="Z1200" i="22"/>
  <c r="A1202" i="22" l="1"/>
  <c r="Z1201" i="22"/>
  <c r="Z1202" i="22" l="1"/>
  <c r="A1203" i="22"/>
  <c r="Z1203" i="22" l="1"/>
  <c r="A1204" i="22"/>
  <c r="Z1204" i="22" l="1"/>
  <c r="A1205" i="22"/>
  <c r="A1206" i="22" l="1"/>
  <c r="Z1205" i="22"/>
  <c r="Z1206" i="22" l="1"/>
  <c r="A1207" i="22"/>
  <c r="Z1207" i="22" l="1"/>
  <c r="A1208" i="22"/>
  <c r="Z1208" i="22" l="1"/>
  <c r="A1209" i="22"/>
  <c r="A1210" i="22" l="1"/>
  <c r="Z1209" i="22"/>
  <c r="Z1210" i="22" l="1"/>
  <c r="A1211" i="22"/>
  <c r="A1212" i="22" l="1"/>
  <c r="Z1211" i="22"/>
  <c r="Z1212" i="22" l="1"/>
  <c r="A1213" i="22"/>
  <c r="A1214" i="22" l="1"/>
  <c r="Z1213" i="22"/>
  <c r="Z1214" i="22" l="1"/>
  <c r="A1215" i="22"/>
  <c r="A1216" i="22" l="1"/>
  <c r="Z1215" i="22"/>
  <c r="Z1216" i="22" l="1"/>
  <c r="A1217" i="22"/>
  <c r="A1218" i="22" l="1"/>
  <c r="Z1217" i="22"/>
  <c r="A1219" i="22" l="1"/>
  <c r="Z1218" i="22"/>
  <c r="A1220" i="22" l="1"/>
  <c r="Z1219" i="22"/>
  <c r="Z1220" i="22" l="1"/>
  <c r="A1221" i="22"/>
  <c r="A1222" i="22" l="1"/>
  <c r="Z1221" i="22"/>
  <c r="A1223" i="22" l="1"/>
  <c r="Z1222" i="22"/>
  <c r="A1224" i="22" l="1"/>
  <c r="Z1223" i="22"/>
  <c r="Z1224" i="22" l="1"/>
  <c r="A1225" i="22"/>
  <c r="A1226" i="22" l="1"/>
  <c r="Z1225" i="22"/>
  <c r="A1227" i="22" l="1"/>
  <c r="Z1226" i="22"/>
  <c r="A1228" i="22" l="1"/>
  <c r="Z1227" i="22"/>
  <c r="Z1228" i="22" l="1"/>
  <c r="A1229" i="22"/>
  <c r="A1230" i="22" l="1"/>
  <c r="Z1229" i="22"/>
  <c r="A1231" i="22" l="1"/>
  <c r="Z1230" i="22"/>
  <c r="A1232" i="22" l="1"/>
  <c r="Z1231" i="22"/>
  <c r="Z1232" i="22" l="1"/>
  <c r="A1233" i="22"/>
  <c r="A1234" i="22" l="1"/>
  <c r="Z1233" i="22"/>
  <c r="A1235" i="22" l="1"/>
  <c r="Z1234" i="22"/>
  <c r="A1236" i="22" l="1"/>
  <c r="Z1235" i="22"/>
  <c r="Z1236" i="22" l="1"/>
  <c r="A1237" i="22"/>
  <c r="A1238" i="22" l="1"/>
  <c r="Z1237" i="22"/>
  <c r="A1239" i="22" l="1"/>
  <c r="Z1238" i="22"/>
  <c r="A1240" i="22" l="1"/>
  <c r="Z1239" i="22"/>
  <c r="Z1240" i="22" l="1"/>
  <c r="A1241" i="22"/>
  <c r="A1242" i="22" l="1"/>
  <c r="Z1241" i="22"/>
  <c r="A1243" i="22" l="1"/>
  <c r="Z1242" i="22"/>
  <c r="A1244" i="22" l="1"/>
  <c r="Z1243" i="22"/>
  <c r="Z1244" i="22" l="1"/>
  <c r="A1245" i="22"/>
  <c r="A1246" i="22" l="1"/>
  <c r="Z1245" i="22"/>
  <c r="A1247" i="22" l="1"/>
  <c r="Z1246" i="22"/>
  <c r="A1248" i="22" l="1"/>
  <c r="Z1247" i="22"/>
  <c r="Z1248" i="22" l="1"/>
  <c r="A1249" i="22"/>
  <c r="A1250" i="22" l="1"/>
  <c r="Z1249" i="22"/>
  <c r="A1251" i="22" l="1"/>
  <c r="Z1250" i="22"/>
  <c r="A1252" i="22" l="1"/>
  <c r="Z1251" i="22"/>
  <c r="Z1252" i="22" l="1"/>
  <c r="A1253" i="22"/>
  <c r="A1254" i="22" l="1"/>
  <c r="Z1253" i="22"/>
  <c r="A1255" i="22" l="1"/>
  <c r="Z1254" i="22"/>
  <c r="A1256" i="22" l="1"/>
  <c r="Z1255" i="22"/>
  <c r="Z1256" i="22" l="1"/>
  <c r="A1257" i="22"/>
  <c r="A1258" i="22" l="1"/>
  <c r="Z1257" i="22"/>
  <c r="A1259" i="22" l="1"/>
  <c r="Z1258" i="22"/>
  <c r="A1260" i="22" l="1"/>
  <c r="Z1259" i="22"/>
  <c r="Z1260" i="22" l="1"/>
  <c r="A1261" i="22"/>
  <c r="A1262" i="22" l="1"/>
  <c r="Z1261" i="22"/>
  <c r="A1263" i="22" l="1"/>
  <c r="Z1262" i="22"/>
  <c r="A1264" i="22" l="1"/>
  <c r="Z1263" i="22"/>
  <c r="Z1264" i="22" l="1"/>
  <c r="A1265" i="22"/>
  <c r="A1266" i="22" l="1"/>
  <c r="Z1265" i="22"/>
  <c r="Z1266" i="22" l="1"/>
  <c r="A1267" i="22"/>
  <c r="Z1267" i="22" l="1"/>
  <c r="A1268" i="22"/>
  <c r="Z1268" i="22" l="1"/>
  <c r="A1269" i="22"/>
  <c r="A1270" i="22" l="1"/>
  <c r="Z1269" i="22"/>
  <c r="Z1270" i="22" l="1"/>
  <c r="A1271" i="22"/>
  <c r="A1272" i="22" l="1"/>
  <c r="Z1271" i="22"/>
  <c r="Z1272" i="22" l="1"/>
  <c r="A1273" i="22"/>
  <c r="A1274" i="22" l="1"/>
  <c r="Z1273" i="22"/>
  <c r="Z1274" i="22" l="1"/>
  <c r="A1275" i="22"/>
  <c r="Z1275" i="22" l="1"/>
  <c r="A1276" i="22"/>
  <c r="A1277" i="22" l="1"/>
  <c r="Z1276" i="22"/>
  <c r="A1278" i="22" l="1"/>
  <c r="Z1277" i="22"/>
  <c r="Z1278" i="22" l="1"/>
  <c r="A1279" i="22"/>
  <c r="Z1279" i="22" l="1"/>
  <c r="A1280" i="22"/>
  <c r="A1281" i="22" l="1"/>
  <c r="Z1280" i="22"/>
  <c r="A1282" i="22" l="1"/>
  <c r="Z1281" i="22"/>
  <c r="Z1282" i="22" l="1"/>
  <c r="A1283" i="22"/>
  <c r="Z1283" i="22" l="1"/>
  <c r="A1284" i="22"/>
  <c r="A1285" i="22" l="1"/>
  <c r="Z1284" i="22"/>
  <c r="A1286" i="22" l="1"/>
  <c r="Z1285" i="22"/>
  <c r="Z1286" i="22" l="1"/>
  <c r="A1287" i="22"/>
  <c r="Z1287" i="22" l="1"/>
  <c r="A1288" i="22"/>
  <c r="A1289" i="22" l="1"/>
  <c r="Z1288" i="22"/>
  <c r="A1290" i="22" l="1"/>
  <c r="Z1289" i="22"/>
  <c r="Z1290" i="22" l="1"/>
  <c r="A1291" i="22"/>
  <c r="Z1291" i="22" l="1"/>
  <c r="A1292" i="22"/>
  <c r="A1293" i="22" l="1"/>
  <c r="Z1292" i="22"/>
  <c r="A1294" i="22" l="1"/>
  <c r="Z1293" i="22"/>
  <c r="Z1294" i="22" l="1"/>
  <c r="A1295" i="22"/>
  <c r="Z1295" i="22" l="1"/>
  <c r="A1296" i="22"/>
  <c r="A1297" i="22" l="1"/>
  <c r="Z1296" i="22"/>
  <c r="A1298" i="22" l="1"/>
  <c r="Z1297" i="22"/>
  <c r="Z1298" i="22" l="1"/>
  <c r="A1299" i="22"/>
  <c r="A1300" i="22" l="1"/>
  <c r="Z1299" i="22"/>
  <c r="A1301" i="22" l="1"/>
  <c r="Z1300" i="22"/>
  <c r="A1302" i="22" l="1"/>
  <c r="Z1301" i="22"/>
  <c r="Z1302" i="22" l="1"/>
  <c r="A1303" i="22"/>
  <c r="A1304" i="22" l="1"/>
  <c r="Z1303" i="22"/>
  <c r="A1305" i="22" l="1"/>
  <c r="Z1304" i="22"/>
  <c r="A1306" i="22" l="1"/>
  <c r="Z1305" i="22"/>
  <c r="Z1306" i="22" l="1"/>
  <c r="A1307" i="22"/>
  <c r="A1308" i="22" l="1"/>
  <c r="Z1307" i="22"/>
  <c r="A1309" i="22" l="1"/>
  <c r="Z1308" i="22"/>
  <c r="A1310" i="22" l="1"/>
  <c r="Z1309" i="22"/>
  <c r="Z1310" i="22" l="1"/>
  <c r="A1311" i="22"/>
  <c r="A1312" i="22" l="1"/>
  <c r="Z1311" i="22"/>
  <c r="A1313" i="22" l="1"/>
  <c r="Z1312" i="22"/>
  <c r="A1314" i="22" l="1"/>
  <c r="Z1313" i="22"/>
  <c r="Z1314" i="22" l="1"/>
  <c r="A1315" i="22"/>
  <c r="A1316" i="22" l="1"/>
  <c r="Z1315" i="22"/>
  <c r="A1317" i="22" l="1"/>
  <c r="Z1316" i="22"/>
  <c r="A1318" i="22" l="1"/>
  <c r="Z1317" i="22"/>
  <c r="Z1318" i="22" l="1"/>
  <c r="A1319" i="22"/>
  <c r="A1320" i="22" l="1"/>
  <c r="Z1319" i="22"/>
  <c r="A1321" i="22" l="1"/>
  <c r="Z1320" i="22"/>
  <c r="A1322" i="22" l="1"/>
  <c r="Z1321" i="22"/>
  <c r="Z1322" i="22" l="1"/>
  <c r="A1323" i="22"/>
  <c r="A1324" i="22" l="1"/>
  <c r="Z1323" i="22"/>
  <c r="A1325" i="22" l="1"/>
  <c r="Z1324" i="22"/>
  <c r="A1326" i="22" l="1"/>
  <c r="Z1325" i="22"/>
  <c r="Z1326" i="22" l="1"/>
  <c r="A1327" i="22"/>
  <c r="A1328" i="22" l="1"/>
  <c r="Z1327" i="22"/>
  <c r="A1329" i="22" l="1"/>
  <c r="Z1328" i="22"/>
  <c r="A1330" i="22" l="1"/>
  <c r="Z1329" i="22"/>
  <c r="Z1330" i="22" l="1"/>
  <c r="A1331" i="22"/>
  <c r="A1332" i="22" l="1"/>
  <c r="Z1331" i="22"/>
  <c r="A1333" i="22" l="1"/>
  <c r="Z1332" i="22"/>
  <c r="A1334" i="22" l="1"/>
  <c r="Z1333" i="22"/>
  <c r="Z1334" i="22" l="1"/>
  <c r="A1335" i="22"/>
  <c r="Z1335" i="22" l="1"/>
  <c r="A1336" i="22"/>
  <c r="A1337" i="22" l="1"/>
  <c r="Z1336" i="22"/>
  <c r="Z1337" i="22" l="1"/>
  <c r="A1338" i="22"/>
  <c r="Z1338" i="22" l="1"/>
  <c r="A1339" i="22"/>
  <c r="Z1339" i="22" l="1"/>
  <c r="A1340" i="22"/>
  <c r="A1341" i="22" l="1"/>
  <c r="Z1340" i="22"/>
  <c r="Z1341" i="22" l="1"/>
  <c r="A1342" i="22"/>
  <c r="A1343" i="22" l="1"/>
  <c r="Z1342" i="22"/>
  <c r="Z1343" i="22" l="1"/>
  <c r="A1344" i="22"/>
  <c r="A1345" i="22" l="1"/>
  <c r="Z1344" i="22"/>
  <c r="Z1345" i="22" l="1"/>
  <c r="A1346" i="22"/>
  <c r="A1347" i="22" l="1"/>
  <c r="Z1346" i="22"/>
  <c r="Z1347" i="22" l="1"/>
  <c r="A1348" i="22"/>
  <c r="A1349" i="22" l="1"/>
  <c r="Z1348" i="22"/>
  <c r="Z1349" i="22" l="1"/>
  <c r="A1350" i="22"/>
  <c r="A1351" i="22" l="1"/>
  <c r="Z1350" i="22"/>
  <c r="Z1351" i="22" l="1"/>
  <c r="A1352" i="22"/>
  <c r="A1353" i="22" l="1"/>
  <c r="Z1352" i="22"/>
  <c r="Z1353" i="22" l="1"/>
  <c r="A1354" i="22"/>
  <c r="A1355" i="22" l="1"/>
  <c r="Z1354" i="22"/>
  <c r="Z1355" i="22" l="1"/>
  <c r="A1356" i="22"/>
  <c r="A1357" i="22" l="1"/>
  <c r="Z1356" i="22"/>
  <c r="Z1357" i="22" l="1"/>
  <c r="A1358" i="22"/>
  <c r="A1359" i="22" l="1"/>
  <c r="Z1358" i="22"/>
  <c r="A1360" i="22" l="1"/>
  <c r="Z1359" i="22"/>
  <c r="A1361" i="22" l="1"/>
  <c r="Z1360" i="22"/>
  <c r="A1362" i="22" l="1"/>
  <c r="Z1361" i="22"/>
  <c r="Z1362" i="22" l="1"/>
  <c r="A1363" i="22"/>
  <c r="A1364" i="22" l="1"/>
  <c r="Z1363" i="22"/>
  <c r="A1365" i="22" l="1"/>
  <c r="Z1364" i="22"/>
  <c r="A1366" i="22" l="1"/>
  <c r="Z1365" i="22"/>
  <c r="Z1366" i="22" l="1"/>
  <c r="A1367" i="22"/>
  <c r="A1368" i="22" l="1"/>
  <c r="Z1367" i="22"/>
  <c r="A1369" i="22" l="1"/>
  <c r="Z1368" i="22"/>
  <c r="A1370" i="22" l="1"/>
  <c r="Z1369" i="22"/>
  <c r="Z1370" i="22" l="1"/>
  <c r="A1371" i="22"/>
  <c r="A1372" i="22" l="1"/>
  <c r="Z1371" i="22"/>
  <c r="A1373" i="22" l="1"/>
  <c r="Z1372" i="22"/>
  <c r="A1374" i="22" l="1"/>
  <c r="Z1373" i="22"/>
  <c r="Z1374" i="22" l="1"/>
  <c r="A1375" i="22"/>
  <c r="A1376" i="22" l="1"/>
  <c r="Z1375" i="22"/>
  <c r="A1377" i="22" l="1"/>
  <c r="Z1376" i="22"/>
  <c r="A1378" i="22" l="1"/>
  <c r="Z1377" i="22"/>
  <c r="Z1378" i="22" l="1"/>
  <c r="A1379" i="22"/>
  <c r="A1380" i="22" l="1"/>
  <c r="Z1379" i="22"/>
  <c r="A1381" i="22" l="1"/>
  <c r="Z1380" i="22"/>
  <c r="A1382" i="22" l="1"/>
  <c r="Z1381" i="22"/>
  <c r="Z1382" i="22" l="1"/>
  <c r="A1383" i="22"/>
  <c r="A1384" i="22" l="1"/>
  <c r="Z1383" i="22"/>
  <c r="A1385" i="22" l="1"/>
  <c r="Z1384" i="22"/>
  <c r="A1386" i="22" l="1"/>
  <c r="Z1385" i="22"/>
  <c r="Z1386" i="22" l="1"/>
  <c r="A1387" i="22"/>
  <c r="A1388" i="22" l="1"/>
  <c r="Z1387" i="22"/>
  <c r="A1389" i="22" l="1"/>
  <c r="Z1388" i="22"/>
  <c r="A1390" i="22" l="1"/>
  <c r="Z1389" i="22"/>
  <c r="Z1390" i="22" l="1"/>
  <c r="A1391" i="22"/>
  <c r="A1392" i="22" l="1"/>
  <c r="Z1391" i="22"/>
  <c r="A1393" i="22" l="1"/>
  <c r="Z1392" i="22"/>
  <c r="A1394" i="22" l="1"/>
  <c r="Z1393" i="22"/>
  <c r="Z1394" i="22" l="1"/>
  <c r="A1395" i="22"/>
  <c r="A1396" i="22" l="1"/>
  <c r="Z1395" i="22"/>
  <c r="A1397" i="22" l="1"/>
  <c r="Z1396" i="22"/>
  <c r="A1398" i="22" l="1"/>
  <c r="Z1397" i="22"/>
  <c r="Z1398" i="22" l="1"/>
  <c r="A1399" i="22"/>
  <c r="A1400" i="22" l="1"/>
  <c r="Z1399" i="22"/>
  <c r="A1401" i="22" l="1"/>
  <c r="Z1400" i="22"/>
  <c r="A1402" i="22" l="1"/>
  <c r="Z1401" i="22"/>
  <c r="Z1402" i="22" l="1"/>
  <c r="A1403" i="22"/>
  <c r="A1404" i="22" l="1"/>
  <c r="Z1403" i="22"/>
  <c r="A1405" i="22" l="1"/>
  <c r="Z1404" i="22"/>
  <c r="A1406" i="22" l="1"/>
  <c r="Z1405" i="22"/>
  <c r="Z1406" i="22" l="1"/>
  <c r="A1407" i="22"/>
  <c r="A1408" i="22" l="1"/>
  <c r="Z1407" i="22"/>
  <c r="A1409" i="22" l="1"/>
  <c r="Z1408" i="22"/>
  <c r="A1410" i="22" l="1"/>
  <c r="Z1409" i="22"/>
  <c r="Z1410" i="22" l="1"/>
  <c r="A1411" i="22"/>
  <c r="A1412" i="22" l="1"/>
  <c r="Z1411" i="22"/>
  <c r="A1413" i="22" l="1"/>
  <c r="Z1412" i="22"/>
  <c r="A1414" i="22" l="1"/>
  <c r="Z1413" i="22"/>
  <c r="Z1414" i="22" l="1"/>
  <c r="A1415" i="22"/>
  <c r="A1416" i="22" l="1"/>
  <c r="Z1415" i="22"/>
  <c r="A1417" i="22" l="1"/>
  <c r="Z1416" i="22"/>
  <c r="Z1417" i="22" l="1"/>
  <c r="A1418" i="22"/>
  <c r="Z1418" i="22" l="1"/>
  <c r="A1419" i="22"/>
  <c r="Z1419" i="22" l="1"/>
  <c r="A1420" i="22"/>
  <c r="A1421" i="22" l="1"/>
  <c r="Z1420" i="22"/>
  <c r="Z1421" i="22" l="1"/>
  <c r="A1422" i="22"/>
  <c r="Z1422" i="22" l="1"/>
  <c r="A1423" i="22"/>
  <c r="Z1423" i="22" l="1"/>
  <c r="A1424" i="22"/>
  <c r="A1425" i="22" l="1"/>
  <c r="Z1424" i="22"/>
  <c r="Z1425" i="22" l="1"/>
  <c r="A1426" i="22"/>
  <c r="A1427" i="22" l="1"/>
  <c r="Z1426" i="22"/>
  <c r="Z1427" i="22" l="1"/>
  <c r="A1428" i="22"/>
  <c r="A1429" i="22" l="1"/>
  <c r="Z1428" i="22"/>
  <c r="Z1429" i="22" l="1"/>
  <c r="A1430" i="22"/>
  <c r="A1431" i="22" l="1"/>
  <c r="Z1430" i="22"/>
  <c r="Z1431" i="22" l="1"/>
  <c r="A1432" i="22"/>
  <c r="A1433" i="22" l="1"/>
  <c r="Z1432" i="22"/>
  <c r="A1434" i="22" l="1"/>
  <c r="Z1433" i="22"/>
  <c r="Z1434" i="22" l="1"/>
  <c r="A1435" i="22"/>
  <c r="A1436" i="22" l="1"/>
  <c r="Z1435" i="22"/>
  <c r="A1437" i="22" l="1"/>
  <c r="Z1436" i="22"/>
  <c r="A1438" i="22" l="1"/>
  <c r="Z1437" i="22"/>
  <c r="Z1438" i="22" l="1"/>
  <c r="A1439" i="22"/>
  <c r="A1440" i="22" l="1"/>
  <c r="Z1439" i="22"/>
  <c r="A1441" i="22" l="1"/>
  <c r="Z1440" i="22"/>
  <c r="A1442" i="22" l="1"/>
  <c r="Z1441" i="22"/>
  <c r="Z1442" i="22" l="1"/>
  <c r="A1443" i="22"/>
  <c r="A1444" i="22" l="1"/>
  <c r="Z1443" i="22"/>
  <c r="A1445" i="22" l="1"/>
  <c r="Z1444" i="22"/>
  <c r="A1446" i="22" l="1"/>
  <c r="Z1445" i="22"/>
  <c r="Z1446" i="22" l="1"/>
  <c r="A1447" i="22"/>
  <c r="A1448" i="22" l="1"/>
  <c r="Z1447" i="22"/>
  <c r="A1449" i="22" l="1"/>
  <c r="Z1448" i="22"/>
  <c r="A1450" i="22" l="1"/>
  <c r="Z1449" i="22"/>
  <c r="Z1450" i="22" l="1"/>
  <c r="A1451" i="22"/>
  <c r="A1452" i="22" l="1"/>
  <c r="Z1451" i="22"/>
  <c r="A1453" i="22" l="1"/>
  <c r="Z1452" i="22"/>
  <c r="A1454" i="22" l="1"/>
  <c r="Z1453" i="22"/>
  <c r="Z1454" i="22" l="1"/>
  <c r="A1455" i="22"/>
  <c r="A1456" i="22" l="1"/>
  <c r="Z1455" i="22"/>
  <c r="A1457" i="22" l="1"/>
  <c r="Z1456" i="22"/>
  <c r="A1458" i="22" l="1"/>
  <c r="Z1457" i="22"/>
  <c r="Z1458" i="22" l="1"/>
  <c r="A1459" i="22"/>
  <c r="A1460" i="22" l="1"/>
  <c r="Z1459" i="22"/>
  <c r="A1461" i="22" l="1"/>
  <c r="Z1460" i="22"/>
  <c r="A1462" i="22" l="1"/>
  <c r="Z1461" i="22"/>
  <c r="Z1462" i="22" l="1"/>
  <c r="A1463" i="22"/>
  <c r="A1464" i="22" l="1"/>
  <c r="Z1463" i="22"/>
  <c r="A1465" i="22" l="1"/>
  <c r="Z1464" i="22"/>
  <c r="A1466" i="22" l="1"/>
  <c r="Z1465" i="22"/>
  <c r="Z1466" i="22" l="1"/>
  <c r="A1467" i="22"/>
  <c r="A1468" i="22" l="1"/>
  <c r="Z1467" i="22"/>
  <c r="A1469" i="22" l="1"/>
  <c r="Z1468" i="22"/>
  <c r="A1470" i="22" l="1"/>
  <c r="Z1469" i="22"/>
  <c r="Z1470" i="22" l="1"/>
  <c r="A1471" i="22"/>
  <c r="A1472" i="22" l="1"/>
  <c r="Z1471" i="22"/>
  <c r="A1473" i="22" l="1"/>
  <c r="Z1472" i="22"/>
  <c r="A1474" i="22" l="1"/>
  <c r="Z1473" i="22"/>
  <c r="Z1474" i="22" l="1"/>
  <c r="A1475" i="22"/>
  <c r="A1476" i="22" l="1"/>
  <c r="Z1475" i="22"/>
  <c r="A1477" i="22" l="1"/>
  <c r="Z1476" i="22"/>
  <c r="A1478" i="22" l="1"/>
  <c r="Z1477" i="22"/>
  <c r="Z1478" i="22" l="1"/>
  <c r="A1479" i="22"/>
  <c r="A1480" i="22" l="1"/>
  <c r="Z1479" i="22"/>
  <c r="A1481" i="22" l="1"/>
  <c r="Z1480" i="22"/>
  <c r="A1482" i="22" l="1"/>
  <c r="Z1481" i="22"/>
  <c r="Z1482" i="22" l="1"/>
  <c r="A1483" i="22"/>
  <c r="A1484" i="22" l="1"/>
  <c r="Z1483" i="22"/>
  <c r="A1485" i="22" l="1"/>
  <c r="Z1484" i="22"/>
  <c r="A1486" i="22" l="1"/>
  <c r="Z1485" i="22"/>
  <c r="Z1486" i="22" l="1"/>
  <c r="A1487" i="22"/>
  <c r="A1488" i="22" l="1"/>
  <c r="Z1487" i="22"/>
  <c r="A1489" i="22" l="1"/>
  <c r="Z1488" i="22"/>
  <c r="Z1489" i="22" l="1"/>
  <c r="A1490" i="22"/>
  <c r="Z1490" i="22" l="1"/>
  <c r="A1491" i="22"/>
  <c r="A1492" i="22" l="1"/>
  <c r="Z1491" i="22"/>
  <c r="A1493" i="22" l="1"/>
  <c r="Z1492" i="22"/>
  <c r="Z1493" i="22" l="1"/>
  <c r="A1494" i="22"/>
  <c r="A1495" i="22" l="1"/>
  <c r="Z1494" i="22"/>
  <c r="A1496" i="22" l="1"/>
  <c r="Z1495" i="22"/>
  <c r="A1497" i="22" l="1"/>
  <c r="Z1496" i="22"/>
  <c r="Z1497" i="22" l="1"/>
  <c r="A1498" i="22"/>
  <c r="A1499" i="22" l="1"/>
  <c r="Z1498" i="22"/>
  <c r="A1500" i="22" l="1"/>
  <c r="Z1499" i="22"/>
  <c r="A1501" i="22" l="1"/>
  <c r="Z1500" i="22"/>
  <c r="A1502" i="22" l="1"/>
  <c r="Z1501" i="22"/>
  <c r="Z1502" i="22" l="1"/>
  <c r="A1503" i="22"/>
  <c r="A1504" i="22" l="1"/>
  <c r="Z1503" i="22"/>
  <c r="A1505" i="22" l="1"/>
  <c r="Z1504" i="22"/>
  <c r="A1506" i="22" l="1"/>
  <c r="Z1505" i="22"/>
  <c r="Z1506" i="22" l="1"/>
  <c r="A1507" i="22"/>
  <c r="A1508" i="22" l="1"/>
  <c r="Z1507" i="22"/>
  <c r="A1509" i="22" l="1"/>
  <c r="Z1508" i="22"/>
  <c r="A1510" i="22" l="1"/>
  <c r="Z1509" i="22"/>
  <c r="Z1510" i="22" l="1"/>
  <c r="A1511" i="22"/>
  <c r="A1512" i="22" l="1"/>
  <c r="Z1511" i="22"/>
  <c r="A1513" i="22" l="1"/>
  <c r="Z1512" i="22"/>
  <c r="A1514" i="22" l="1"/>
  <c r="Z1513" i="22"/>
  <c r="Z1514" i="22" l="1"/>
  <c r="A1515" i="22"/>
  <c r="A1516" i="22" l="1"/>
  <c r="Z1515" i="22"/>
  <c r="A1517" i="22" l="1"/>
  <c r="Z1516" i="22"/>
  <c r="A1518" i="22" l="1"/>
  <c r="Z1517" i="22"/>
  <c r="Z1518" i="22" l="1"/>
  <c r="A1519" i="22"/>
  <c r="A1520" i="22" l="1"/>
  <c r="Z1519" i="22"/>
  <c r="A1521" i="22" l="1"/>
  <c r="Z1520" i="22"/>
  <c r="A1522" i="22" l="1"/>
  <c r="Z1521" i="22"/>
  <c r="Z1522" i="22" l="1"/>
  <c r="A1523" i="22"/>
  <c r="A1524" i="22" l="1"/>
  <c r="Z1523" i="22"/>
  <c r="A1525" i="22" l="1"/>
  <c r="Z1524" i="22"/>
  <c r="A1526" i="22" l="1"/>
  <c r="Z1525" i="22"/>
  <c r="Z1526" i="22" l="1"/>
  <c r="A1527" i="22"/>
  <c r="A1528" i="22" l="1"/>
  <c r="Z1527" i="22"/>
  <c r="A1529" i="22" l="1"/>
  <c r="Z1528" i="22"/>
  <c r="A1530" i="22" l="1"/>
  <c r="Z1529" i="22"/>
  <c r="Z1530" i="22" l="1"/>
  <c r="A1531" i="22"/>
  <c r="A1532" i="22" l="1"/>
  <c r="Z1531" i="22"/>
  <c r="A1533" i="22" l="1"/>
  <c r="Z1532" i="22"/>
  <c r="A1534" i="22" l="1"/>
  <c r="Z1533" i="22"/>
  <c r="Z1534" i="22" l="1"/>
  <c r="A1535" i="22"/>
  <c r="A1536" i="22" l="1"/>
  <c r="Z1535" i="22"/>
  <c r="A1537" i="22" l="1"/>
  <c r="Z1536" i="22"/>
  <c r="A1538" i="22" l="1"/>
  <c r="Z1537" i="22"/>
  <c r="Z1538" i="22" l="1"/>
  <c r="A1539" i="22"/>
  <c r="A1540" i="22" l="1"/>
  <c r="Z1539" i="22"/>
  <c r="A1541" i="22" l="1"/>
  <c r="Z1540" i="22"/>
  <c r="A1542" i="22" l="1"/>
  <c r="Z1541" i="22"/>
  <c r="Z1542" i="22" l="1"/>
  <c r="A1543" i="22"/>
  <c r="A1544" i="22" l="1"/>
  <c r="Z1543" i="22"/>
  <c r="A1545" i="22" l="1"/>
  <c r="Z1544" i="22"/>
  <c r="A1546" i="22" l="1"/>
  <c r="Z1545" i="22"/>
  <c r="Z1546" i="22" l="1"/>
  <c r="A1547" i="22"/>
  <c r="A1548" i="22" l="1"/>
  <c r="Z1547" i="22"/>
  <c r="A1549" i="22" l="1"/>
  <c r="Z1548" i="22"/>
  <c r="A1550" i="22" l="1"/>
  <c r="Z1549" i="22"/>
  <c r="Z1550" i="22" l="1"/>
  <c r="A1551" i="22"/>
  <c r="A1552" i="22" l="1"/>
  <c r="Z1551" i="22"/>
  <c r="A1553" i="22" l="1"/>
  <c r="Z1552" i="22"/>
  <c r="A1554" i="22" l="1"/>
  <c r="Z1553" i="22"/>
  <c r="Z1554" i="22" l="1"/>
  <c r="A1555" i="22"/>
  <c r="A1556" i="22" l="1"/>
  <c r="Z1555" i="22"/>
  <c r="A1557" i="22" l="1"/>
  <c r="Z1556" i="22"/>
  <c r="Z1557" i="22" l="1"/>
  <c r="A1558" i="22"/>
  <c r="Z1558" i="22" l="1"/>
  <c r="A1559" i="22"/>
  <c r="A1560" i="22" l="1"/>
  <c r="Z1559" i="22"/>
  <c r="A1561" i="22" l="1"/>
  <c r="Z1560" i="22"/>
  <c r="Z1561" i="22" l="1"/>
  <c r="A1562" i="22"/>
  <c r="A1563" i="22" l="1"/>
  <c r="Z1562" i="22"/>
  <c r="A1564" i="22" l="1"/>
  <c r="Z1563" i="22"/>
  <c r="A1565" i="22" l="1"/>
  <c r="Z1564" i="22"/>
  <c r="Z1565" i="22" l="1"/>
  <c r="A1566" i="22"/>
  <c r="A1567" i="22" l="1"/>
  <c r="Z1566" i="22"/>
  <c r="Z1567" i="22" l="1"/>
  <c r="A1568" i="22"/>
  <c r="Z1568" i="22" l="1"/>
  <c r="A1569" i="22"/>
  <c r="A1570" i="22" l="1"/>
  <c r="Z1569" i="22"/>
  <c r="A1571" i="22" l="1"/>
  <c r="Z1570" i="22"/>
  <c r="Z1571" i="22" l="1"/>
  <c r="K148" i="5" l="1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X11" i="5" l="1"/>
  <c r="X5" i="5"/>
  <c r="K147" i="5"/>
  <c r="K146" i="5"/>
  <c r="K145" i="5"/>
  <c r="K144" i="5"/>
  <c r="K143" i="5"/>
  <c r="K142" i="5"/>
  <c r="K141" i="5"/>
  <c r="K140" i="5"/>
  <c r="K139" i="5"/>
  <c r="K138" i="5"/>
  <c r="K137" i="5"/>
  <c r="K136" i="5"/>
  <c r="K135" i="5"/>
  <c r="K134" i="5"/>
  <c r="K133" i="5"/>
  <c r="K132" i="5"/>
  <c r="K131" i="5"/>
  <c r="K130" i="5"/>
  <c r="K129" i="5"/>
  <c r="K128" i="5"/>
  <c r="K127" i="5"/>
  <c r="K126" i="5"/>
  <c r="K125" i="5"/>
  <c r="K124" i="5"/>
  <c r="K123" i="5"/>
  <c r="K122" i="5"/>
  <c r="K121" i="5"/>
  <c r="K120" i="5"/>
  <c r="K3" i="5" l="1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V12" i="5"/>
  <c r="V6" i="5"/>
  <c r="V3" i="5" l="1"/>
  <c r="V4" i="5"/>
  <c r="V5" i="5"/>
  <c r="V7" i="5"/>
  <c r="V8" i="5"/>
  <c r="V9" i="5"/>
  <c r="V10" i="5"/>
  <c r="V11" i="5"/>
  <c r="V13" i="5"/>
  <c r="V14" i="5"/>
  <c r="Y14" i="5"/>
  <c r="AL20" i="22" l="1" a="1"/>
  <c r="AL28" i="22" a="1"/>
  <c r="AL36" i="22" a="1"/>
  <c r="AL44" i="22" a="1"/>
  <c r="AL52" i="22" a="1"/>
  <c r="AL60" i="22" a="1"/>
  <c r="AL68" i="22" a="1"/>
  <c r="AL76" i="22" a="1"/>
  <c r="AL76" i="22" s="1"/>
  <c r="AL84" i="22" a="1"/>
  <c r="AL92" i="22" a="1"/>
  <c r="AL100" i="22" a="1"/>
  <c r="AL108" i="22" a="1"/>
  <c r="AL116" i="22" a="1"/>
  <c r="AL124" i="22" a="1"/>
  <c r="AL132" i="22" a="1"/>
  <c r="AL140" i="22" a="1"/>
  <c r="AL140" i="22" s="1"/>
  <c r="AL148" i="22" a="1"/>
  <c r="AL156" i="22" a="1"/>
  <c r="AL164" i="22" a="1"/>
  <c r="AL172" i="22" a="1"/>
  <c r="AL180" i="22" a="1"/>
  <c r="AL188" i="22" a="1"/>
  <c r="AL196" i="22" a="1"/>
  <c r="AL204" i="22" a="1"/>
  <c r="AL204" i="22" s="1"/>
  <c r="AL212" i="22" a="1"/>
  <c r="AL220" i="22" a="1"/>
  <c r="AL228" i="22" a="1"/>
  <c r="AL236" i="22" a="1"/>
  <c r="AL244" i="22" a="1"/>
  <c r="AL252" i="22" a="1"/>
  <c r="AL260" i="22" a="1"/>
  <c r="AL268" i="22" a="1"/>
  <c r="AL268" i="22" s="1"/>
  <c r="AL276" i="22" a="1"/>
  <c r="AL284" i="22" a="1"/>
  <c r="AL292" i="22" a="1"/>
  <c r="AL300" i="22" a="1"/>
  <c r="AL308" i="22" a="1"/>
  <c r="AL316" i="22" a="1"/>
  <c r="AL324" i="22" a="1"/>
  <c r="AL332" i="22" a="1"/>
  <c r="AL332" i="22" s="1"/>
  <c r="AL340" i="22" a="1"/>
  <c r="AL348" i="22" a="1"/>
  <c r="AL356" i="22" a="1"/>
  <c r="AL364" i="22" a="1"/>
  <c r="AL372" i="22" a="1"/>
  <c r="AL380" i="22" a="1"/>
  <c r="AL388" i="22" a="1"/>
  <c r="AL396" i="22" a="1"/>
  <c r="AL396" i="22" s="1"/>
  <c r="AL404" i="22" a="1"/>
  <c r="AL412" i="22" a="1"/>
  <c r="AL420" i="22" a="1"/>
  <c r="AL428" i="22" a="1"/>
  <c r="AL436" i="22" a="1"/>
  <c r="AL444" i="22" a="1"/>
  <c r="AL452" i="22" a="1"/>
  <c r="AL460" i="22" a="1"/>
  <c r="AL460" i="22" s="1"/>
  <c r="AL468" i="22" a="1"/>
  <c r="AL476" i="22" a="1"/>
  <c r="AL484" i="22" a="1"/>
  <c r="AL492" i="22" a="1"/>
  <c r="AL500" i="22" a="1"/>
  <c r="AL508" i="22" a="1"/>
  <c r="AL516" i="22" a="1"/>
  <c r="AL524" i="22" a="1"/>
  <c r="AL524" i="22" s="1"/>
  <c r="AL532" i="22" a="1"/>
  <c r="AL540" i="22" a="1"/>
  <c r="AL548" i="22" a="1"/>
  <c r="AL556" i="22" a="1"/>
  <c r="AL564" i="22" a="1"/>
  <c r="AL572" i="22" a="1"/>
  <c r="AL580" i="22" a="1"/>
  <c r="AL588" i="22" a="1"/>
  <c r="AL588" i="22" s="1"/>
  <c r="AL596" i="22" a="1"/>
  <c r="AL604" i="22" a="1"/>
  <c r="AL612" i="22" a="1"/>
  <c r="AL620" i="22" a="1"/>
  <c r="AL628" i="22" a="1"/>
  <c r="AL636" i="22" a="1"/>
  <c r="AL644" i="22" a="1"/>
  <c r="AL652" i="22" a="1"/>
  <c r="AL652" i="22" s="1"/>
  <c r="AL660" i="22" a="1"/>
  <c r="AL668" i="22" a="1"/>
  <c r="AL676" i="22" a="1"/>
  <c r="AL684" i="22" a="1"/>
  <c r="AL692" i="22" a="1"/>
  <c r="AL13" i="22" a="1"/>
  <c r="AL21" i="22" a="1"/>
  <c r="AL29" i="22" a="1"/>
  <c r="AL37" i="22" a="1"/>
  <c r="AL45" i="22" a="1"/>
  <c r="AL53" i="22" a="1"/>
  <c r="AL61" i="22" a="1"/>
  <c r="AL69" i="22" a="1"/>
  <c r="AL77" i="22" a="1"/>
  <c r="AL85" i="22" a="1"/>
  <c r="AL93" i="22" a="1"/>
  <c r="AL101" i="22" a="1"/>
  <c r="AL109" i="22" a="1"/>
  <c r="AL117" i="22" a="1"/>
  <c r="AL125" i="22" a="1"/>
  <c r="AL133" i="22" a="1"/>
  <c r="AL141" i="22" a="1"/>
  <c r="AL149" i="22" a="1"/>
  <c r="AL157" i="22" a="1"/>
  <c r="AL165" i="22" a="1"/>
  <c r="AL173" i="22" a="1"/>
  <c r="AL181" i="22" a="1"/>
  <c r="AL189" i="22" a="1"/>
  <c r="AL197" i="22" a="1"/>
  <c r="AL205" i="22" a="1"/>
  <c r="AL213" i="22" a="1"/>
  <c r="AL221" i="22" a="1"/>
  <c r="AL229" i="22" a="1"/>
  <c r="AL237" i="22" a="1"/>
  <c r="AL245" i="22" a="1"/>
  <c r="AL253" i="22" a="1"/>
  <c r="AL261" i="22" a="1"/>
  <c r="AL269" i="22" a="1"/>
  <c r="AL277" i="22" a="1"/>
  <c r="AL285" i="22" a="1"/>
  <c r="AL293" i="22" a="1"/>
  <c r="AL301" i="22" a="1"/>
  <c r="AL309" i="22" a="1"/>
  <c r="AL317" i="22" a="1"/>
  <c r="AL325" i="22" a="1"/>
  <c r="AL333" i="22" a="1"/>
  <c r="AL341" i="22" a="1"/>
  <c r="AL349" i="22" a="1"/>
  <c r="AL357" i="22" a="1"/>
  <c r="AL365" i="22" a="1"/>
  <c r="AL373" i="22" a="1"/>
  <c r="AL381" i="22" a="1"/>
  <c r="AL389" i="22" a="1"/>
  <c r="AL397" i="22" a="1"/>
  <c r="AL405" i="22" a="1"/>
  <c r="AL413" i="22" a="1"/>
  <c r="AL421" i="22" a="1"/>
  <c r="AL429" i="22" a="1"/>
  <c r="AL437" i="22" a="1"/>
  <c r="AL445" i="22" a="1"/>
  <c r="AL453" i="22" a="1"/>
  <c r="AL461" i="22" a="1"/>
  <c r="AL469" i="22" a="1"/>
  <c r="AL477" i="22" a="1"/>
  <c r="AL485" i="22" a="1"/>
  <c r="AL493" i="22" a="1"/>
  <c r="AL501" i="22" a="1"/>
  <c r="AL509" i="22" a="1"/>
  <c r="AL517" i="22" a="1"/>
  <c r="AL525" i="22" a="1"/>
  <c r="AL533" i="22" a="1"/>
  <c r="AL541" i="22" a="1"/>
  <c r="AL549" i="22" a="1"/>
  <c r="AL557" i="22" a="1"/>
  <c r="AL565" i="22" a="1"/>
  <c r="AL573" i="22" a="1"/>
  <c r="AL581" i="22" a="1"/>
  <c r="AL589" i="22" a="1"/>
  <c r="AL597" i="22" a="1"/>
  <c r="AL605" i="22" a="1"/>
  <c r="AL613" i="22" a="1"/>
  <c r="AL621" i="22" a="1"/>
  <c r="AL629" i="22" a="1"/>
  <c r="AL637" i="22" a="1"/>
  <c r="AL645" i="22" a="1"/>
  <c r="AL653" i="22" a="1"/>
  <c r="AL661" i="22" a="1"/>
  <c r="AL669" i="22" a="1"/>
  <c r="AL677" i="22" a="1"/>
  <c r="AL685" i="22" a="1"/>
  <c r="AL14" i="22" a="1"/>
  <c r="AL22" i="22" a="1"/>
  <c r="AL30" i="22" a="1"/>
  <c r="AL38" i="22" a="1"/>
  <c r="AL46" i="22" a="1"/>
  <c r="AL54" i="22" a="1"/>
  <c r="AL54" i="22" s="1"/>
  <c r="AL62" i="22" a="1"/>
  <c r="AL70" i="22" a="1"/>
  <c r="AL78" i="22" a="1"/>
  <c r="AL86" i="22" a="1"/>
  <c r="AL94" i="22" a="1"/>
  <c r="AL102" i="22" a="1"/>
  <c r="AL110" i="22" a="1"/>
  <c r="AL118" i="22" a="1"/>
  <c r="AL118" i="22" s="1"/>
  <c r="AL126" i="22" a="1"/>
  <c r="AL134" i="22" a="1"/>
  <c r="AL142" i="22" a="1"/>
  <c r="AL150" i="22" a="1"/>
  <c r="AL158" i="22" a="1"/>
  <c r="AL166" i="22" a="1"/>
  <c r="AL174" i="22" a="1"/>
  <c r="AL182" i="22" a="1"/>
  <c r="AL182" i="22" s="1"/>
  <c r="AL190" i="22" a="1"/>
  <c r="AL198" i="22" a="1"/>
  <c r="AL206" i="22" a="1"/>
  <c r="AL214" i="22" a="1"/>
  <c r="AL222" i="22" a="1"/>
  <c r="AL230" i="22" a="1"/>
  <c r="AL238" i="22" a="1"/>
  <c r="AL246" i="22" a="1"/>
  <c r="AL246" i="22" s="1"/>
  <c r="AL254" i="22" a="1"/>
  <c r="AL262" i="22" a="1"/>
  <c r="AL270" i="22" a="1"/>
  <c r="AL278" i="22" a="1"/>
  <c r="AL286" i="22" a="1"/>
  <c r="AL294" i="22" a="1"/>
  <c r="AL302" i="22" a="1"/>
  <c r="AL310" i="22" a="1"/>
  <c r="AL310" i="22" s="1"/>
  <c r="AL318" i="22" a="1"/>
  <c r="AL326" i="22" a="1"/>
  <c r="AL334" i="22" a="1"/>
  <c r="AL342" i="22" a="1"/>
  <c r="AL350" i="22" a="1"/>
  <c r="AL358" i="22" a="1"/>
  <c r="AL366" i="22" a="1"/>
  <c r="AL374" i="22" a="1"/>
  <c r="AL374" i="22" s="1"/>
  <c r="AL382" i="22" a="1"/>
  <c r="AL390" i="22" a="1"/>
  <c r="AL398" i="22" a="1"/>
  <c r="AL406" i="22" a="1"/>
  <c r="AL414" i="22" a="1"/>
  <c r="AL422" i="22" a="1"/>
  <c r="AL430" i="22" a="1"/>
  <c r="AL438" i="22" a="1"/>
  <c r="AL438" i="22" s="1"/>
  <c r="AL446" i="22" a="1"/>
  <c r="AL454" i="22" a="1"/>
  <c r="AL462" i="22" a="1"/>
  <c r="AL470" i="22" a="1"/>
  <c r="AL478" i="22" a="1"/>
  <c r="AL486" i="22" a="1"/>
  <c r="AL494" i="22" a="1"/>
  <c r="AL502" i="22" a="1"/>
  <c r="AL502" i="22" s="1"/>
  <c r="AL510" i="22" a="1"/>
  <c r="AL518" i="22" a="1"/>
  <c r="AL526" i="22" a="1"/>
  <c r="AL534" i="22" a="1"/>
  <c r="AL542" i="22" a="1"/>
  <c r="AL550" i="22" a="1"/>
  <c r="AL558" i="22" a="1"/>
  <c r="AL566" i="22" a="1"/>
  <c r="AL566" i="22" s="1"/>
  <c r="AL574" i="22" a="1"/>
  <c r="AL582" i="22" a="1"/>
  <c r="AL590" i="22" a="1"/>
  <c r="AL598" i="22" a="1"/>
  <c r="AL606" i="22" a="1"/>
  <c r="AL614" i="22" a="1"/>
  <c r="AL622" i="22" a="1"/>
  <c r="AL15" i="22" a="1"/>
  <c r="AL15" i="22" s="1"/>
  <c r="AL23" i="22" a="1"/>
  <c r="AL31" i="22" a="1"/>
  <c r="AL39" i="22" a="1"/>
  <c r="AL47" i="22" a="1"/>
  <c r="AL55" i="22" a="1"/>
  <c r="AL63" i="22" a="1"/>
  <c r="AL71" i="22" a="1"/>
  <c r="AL79" i="22" a="1"/>
  <c r="AL79" i="22" s="1"/>
  <c r="AL87" i="22" a="1"/>
  <c r="AL95" i="22" a="1"/>
  <c r="AL103" i="22" a="1"/>
  <c r="AL111" i="22" a="1"/>
  <c r="AL119" i="22" a="1"/>
  <c r="AL127" i="22" a="1"/>
  <c r="AL135" i="22" a="1"/>
  <c r="AL143" i="22" a="1"/>
  <c r="AL143" i="22" s="1"/>
  <c r="AL151" i="22" a="1"/>
  <c r="AL159" i="22" a="1"/>
  <c r="AL167" i="22" a="1"/>
  <c r="AL175" i="22" a="1"/>
  <c r="AL183" i="22" a="1"/>
  <c r="AL191" i="22" a="1"/>
  <c r="AL199" i="22" a="1"/>
  <c r="AL207" i="22" a="1"/>
  <c r="AL207" i="22" s="1"/>
  <c r="AL215" i="22" a="1"/>
  <c r="AL223" i="22" a="1"/>
  <c r="AL231" i="22" a="1"/>
  <c r="AL239" i="22" a="1"/>
  <c r="AL247" i="22" a="1"/>
  <c r="AL255" i="22" a="1"/>
  <c r="AL263" i="22" a="1"/>
  <c r="AL271" i="22" a="1"/>
  <c r="AL271" i="22" s="1"/>
  <c r="AL279" i="22" a="1"/>
  <c r="AL287" i="22" a="1"/>
  <c r="AL295" i="22" a="1"/>
  <c r="AL303" i="22" a="1"/>
  <c r="AL311" i="22" a="1"/>
  <c r="AL319" i="22" a="1"/>
  <c r="AL327" i="22" a="1"/>
  <c r="AL335" i="22" a="1"/>
  <c r="AL335" i="22" s="1"/>
  <c r="AL343" i="22" a="1"/>
  <c r="AL351" i="22" a="1"/>
  <c r="AL359" i="22" a="1"/>
  <c r="AL367" i="22" a="1"/>
  <c r="AL375" i="22" a="1"/>
  <c r="AL383" i="22" a="1"/>
  <c r="AL391" i="22" a="1"/>
  <c r="AL399" i="22" a="1"/>
  <c r="AL399" i="22" s="1"/>
  <c r="AL407" i="22" a="1"/>
  <c r="AL415" i="22" a="1"/>
  <c r="AL423" i="22" a="1"/>
  <c r="AL431" i="22" a="1"/>
  <c r="AL439" i="22" a="1"/>
  <c r="AL447" i="22" a="1"/>
  <c r="AL455" i="22" a="1"/>
  <c r="AL463" i="22" a="1"/>
  <c r="AL463" i="22" s="1"/>
  <c r="AL471" i="22" a="1"/>
  <c r="AL479" i="22" a="1"/>
  <c r="AL487" i="22" a="1"/>
  <c r="AL495" i="22" a="1"/>
  <c r="AL503" i="22" a="1"/>
  <c r="AL511" i="22" a="1"/>
  <c r="AL519" i="22" a="1"/>
  <c r="AL527" i="22" a="1"/>
  <c r="AL527" i="22" s="1"/>
  <c r="AL535" i="22" a="1"/>
  <c r="AL543" i="22" a="1"/>
  <c r="AL551" i="22" a="1"/>
  <c r="AL559" i="22" a="1"/>
  <c r="AL567" i="22" a="1"/>
  <c r="AL575" i="22" a="1"/>
  <c r="AL583" i="22" a="1"/>
  <c r="AL591" i="22" a="1"/>
  <c r="AL591" i="22" s="1"/>
  <c r="AL599" i="22" a="1"/>
  <c r="AL607" i="22" a="1"/>
  <c r="AL615" i="22" a="1"/>
  <c r="AL623" i="22" a="1"/>
  <c r="AL16" i="22" a="1"/>
  <c r="AL24" i="22" a="1"/>
  <c r="AL32" i="22" a="1"/>
  <c r="AL40" i="22" a="1"/>
  <c r="AL40" i="22" s="1"/>
  <c r="AL48" i="22" a="1"/>
  <c r="AL56" i="22" a="1"/>
  <c r="AL64" i="22" a="1"/>
  <c r="AL72" i="22" a="1"/>
  <c r="AL80" i="22" a="1"/>
  <c r="AL88" i="22" a="1"/>
  <c r="AL96" i="22" a="1"/>
  <c r="AL104" i="22" a="1"/>
  <c r="AL104" i="22" s="1"/>
  <c r="AL112" i="22" a="1"/>
  <c r="AL120" i="22" a="1"/>
  <c r="AL128" i="22" a="1"/>
  <c r="AL136" i="22" a="1"/>
  <c r="AL144" i="22" a="1"/>
  <c r="AL152" i="22" a="1"/>
  <c r="AL160" i="22" a="1"/>
  <c r="AL168" i="22" a="1"/>
  <c r="AL168" i="22" s="1"/>
  <c r="AL176" i="22" a="1"/>
  <c r="AL184" i="22" a="1"/>
  <c r="AL192" i="22" a="1"/>
  <c r="AL200" i="22" a="1"/>
  <c r="AL208" i="22" a="1"/>
  <c r="AL216" i="22" a="1"/>
  <c r="AL224" i="22" a="1"/>
  <c r="AL232" i="22" a="1"/>
  <c r="AL232" i="22" s="1"/>
  <c r="AL240" i="22" a="1"/>
  <c r="AL248" i="22" a="1"/>
  <c r="AL256" i="22" a="1"/>
  <c r="AL264" i="22" a="1"/>
  <c r="AL272" i="22" a="1"/>
  <c r="AL280" i="22" a="1"/>
  <c r="AL288" i="22" a="1"/>
  <c r="AL296" i="22" a="1"/>
  <c r="AL296" i="22" s="1"/>
  <c r="AL304" i="22" a="1"/>
  <c r="AL312" i="22" a="1"/>
  <c r="AL320" i="22" a="1"/>
  <c r="AL328" i="22" a="1"/>
  <c r="AL336" i="22" a="1"/>
  <c r="AL344" i="22" a="1"/>
  <c r="AL352" i="22" a="1"/>
  <c r="AL360" i="22" a="1"/>
  <c r="AL360" i="22" s="1"/>
  <c r="AL368" i="22" a="1"/>
  <c r="AL376" i="22" a="1"/>
  <c r="AL384" i="22" a="1"/>
  <c r="AL392" i="22" a="1"/>
  <c r="AL400" i="22" a="1"/>
  <c r="AL408" i="22" a="1"/>
  <c r="AL416" i="22" a="1"/>
  <c r="AL424" i="22" a="1"/>
  <c r="AL424" i="22" s="1"/>
  <c r="AL432" i="22" a="1"/>
  <c r="AL440" i="22" a="1"/>
  <c r="AL448" i="22" a="1"/>
  <c r="AL456" i="22" a="1"/>
  <c r="AL464" i="22" a="1"/>
  <c r="AL472" i="22" a="1"/>
  <c r="AL480" i="22" a="1"/>
  <c r="AL488" i="22" a="1"/>
  <c r="AL488" i="22" s="1"/>
  <c r="AL496" i="22" a="1"/>
  <c r="AL504" i="22" a="1"/>
  <c r="AL512" i="22" a="1"/>
  <c r="AL520" i="22" a="1"/>
  <c r="AL528" i="22" a="1"/>
  <c r="AL536" i="22" a="1"/>
  <c r="AL544" i="22" a="1"/>
  <c r="AL552" i="22" a="1"/>
  <c r="AL552" i="22" s="1"/>
  <c r="AL560" i="22" a="1"/>
  <c r="AL568" i="22" a="1"/>
  <c r="AL576" i="22" a="1"/>
  <c r="AL584" i="22" a="1"/>
  <c r="AL592" i="22" a="1"/>
  <c r="AL600" i="22" a="1"/>
  <c r="AL608" i="22" a="1"/>
  <c r="AL616" i="22" a="1"/>
  <c r="AL616" i="22" s="1"/>
  <c r="AL624" i="22" a="1"/>
  <c r="AL632" i="22" a="1"/>
  <c r="AL640" i="22" a="1"/>
  <c r="AL648" i="22" a="1"/>
  <c r="AL656" i="22" a="1"/>
  <c r="AL664" i="22" a="1"/>
  <c r="AL672" i="22" a="1"/>
  <c r="AL680" i="22" a="1"/>
  <c r="AL680" i="22" s="1"/>
  <c r="AL688" i="22" a="1"/>
  <c r="AL17" i="22" a="1"/>
  <c r="AL25" i="22" a="1"/>
  <c r="AL33" i="22" a="1"/>
  <c r="AL41" i="22" a="1"/>
  <c r="AL49" i="22" a="1"/>
  <c r="AL57" i="22" a="1"/>
  <c r="AL65" i="22" a="1"/>
  <c r="AL65" i="22" s="1"/>
  <c r="AL73" i="22" a="1"/>
  <c r="AL81" i="22" a="1"/>
  <c r="AL89" i="22" a="1"/>
  <c r="AL97" i="22" a="1"/>
  <c r="AL105" i="22" a="1"/>
  <c r="AL113" i="22" a="1"/>
  <c r="AL121" i="22" a="1"/>
  <c r="AL129" i="22" a="1"/>
  <c r="AL129" i="22" s="1"/>
  <c r="AL137" i="22" a="1"/>
  <c r="AL145" i="22" a="1"/>
  <c r="AL153" i="22" a="1"/>
  <c r="AL161" i="22" a="1"/>
  <c r="AL169" i="22" a="1"/>
  <c r="AL177" i="22" a="1"/>
  <c r="AL185" i="22" a="1"/>
  <c r="AL193" i="22" a="1"/>
  <c r="AL193" i="22" s="1"/>
  <c r="AL201" i="22" a="1"/>
  <c r="AL209" i="22" a="1"/>
  <c r="AL217" i="22" a="1"/>
  <c r="AL225" i="22" a="1"/>
  <c r="AL233" i="22" a="1"/>
  <c r="AL241" i="22" a="1"/>
  <c r="AL249" i="22" a="1"/>
  <c r="AL257" i="22" a="1"/>
  <c r="AL257" i="22" s="1"/>
  <c r="AL265" i="22" a="1"/>
  <c r="AL273" i="22" a="1"/>
  <c r="AL281" i="22" a="1"/>
  <c r="AL289" i="22" a="1"/>
  <c r="AL297" i="22" a="1"/>
  <c r="AL305" i="22" a="1"/>
  <c r="AL313" i="22" a="1"/>
  <c r="AL321" i="22" a="1"/>
  <c r="AL321" i="22" s="1"/>
  <c r="AL329" i="22" a="1"/>
  <c r="AL337" i="22" a="1"/>
  <c r="AL345" i="22" a="1"/>
  <c r="AL353" i="22" a="1"/>
  <c r="AL361" i="22" a="1"/>
  <c r="AL369" i="22" a="1"/>
  <c r="AL377" i="22" a="1"/>
  <c r="AL385" i="22" a="1"/>
  <c r="AL385" i="22" s="1"/>
  <c r="AL393" i="22" a="1"/>
  <c r="AL401" i="22" a="1"/>
  <c r="AL409" i="22" a="1"/>
  <c r="AL417" i="22" a="1"/>
  <c r="AL425" i="22" a="1"/>
  <c r="AL433" i="22" a="1"/>
  <c r="AL441" i="22" a="1"/>
  <c r="AL449" i="22" a="1"/>
  <c r="AL449" i="22" s="1"/>
  <c r="AL457" i="22" a="1"/>
  <c r="AL465" i="22" a="1"/>
  <c r="AL473" i="22" a="1"/>
  <c r="AL481" i="22" a="1"/>
  <c r="AL489" i="22" a="1"/>
  <c r="AL497" i="22" a="1"/>
  <c r="AL505" i="22" a="1"/>
  <c r="AL513" i="22" a="1"/>
  <c r="AL513" i="22" s="1"/>
  <c r="AL521" i="22" a="1"/>
  <c r="AL529" i="22" a="1"/>
  <c r="AL537" i="22" a="1"/>
  <c r="AL545" i="22" a="1"/>
  <c r="AL553" i="22" a="1"/>
  <c r="AL561" i="22" a="1"/>
  <c r="AL569" i="22" a="1"/>
  <c r="AL577" i="22" a="1"/>
  <c r="AL577" i="22" s="1"/>
  <c r="AL585" i="22" a="1"/>
  <c r="AL593" i="22" a="1"/>
  <c r="AL601" i="22" a="1"/>
  <c r="AL609" i="22" a="1"/>
  <c r="AL617" i="22" a="1"/>
  <c r="AL625" i="22" a="1"/>
  <c r="AL633" i="22" a="1"/>
  <c r="AL641" i="22" a="1"/>
  <c r="AL641" i="22" s="1"/>
  <c r="AL649" i="22" a="1"/>
  <c r="AL657" i="22" a="1"/>
  <c r="AL665" i="22" a="1"/>
  <c r="AL673" i="22" a="1"/>
  <c r="AL681" i="22" a="1"/>
  <c r="AL689" i="22" a="1"/>
  <c r="AL18" i="22" a="1"/>
  <c r="AL18" i="22" s="1"/>
  <c r="AL26" i="22" a="1"/>
  <c r="AL26" i="22" s="1"/>
  <c r="AL34" i="22" a="1"/>
  <c r="AL42" i="22" a="1"/>
  <c r="AL50" i="22" a="1"/>
  <c r="AL58" i="22" a="1"/>
  <c r="AL66" i="22" a="1"/>
  <c r="AL74" i="22" a="1"/>
  <c r="AL82" i="22" a="1"/>
  <c r="AL90" i="22" a="1"/>
  <c r="AL90" i="22" s="1"/>
  <c r="AL98" i="22" a="1"/>
  <c r="AL106" i="22" a="1"/>
  <c r="AL114" i="22" a="1"/>
  <c r="AL122" i="22" a="1"/>
  <c r="AL130" i="22" a="1"/>
  <c r="AL138" i="22" a="1"/>
  <c r="AL146" i="22" a="1"/>
  <c r="AL146" i="22" s="1"/>
  <c r="AL154" i="22" a="1"/>
  <c r="AL154" i="22" s="1"/>
  <c r="AL162" i="22" a="1"/>
  <c r="AL170" i="22" a="1"/>
  <c r="AL178" i="22" a="1"/>
  <c r="AL186" i="22" a="1"/>
  <c r="AL194" i="22" a="1"/>
  <c r="AL202" i="22" a="1"/>
  <c r="AL210" i="22" a="1"/>
  <c r="AL218" i="22" a="1"/>
  <c r="AL218" i="22" s="1"/>
  <c r="AL226" i="22" a="1"/>
  <c r="AL234" i="22" a="1"/>
  <c r="AL242" i="22" a="1"/>
  <c r="AL250" i="22" a="1"/>
  <c r="AL258" i="22" a="1"/>
  <c r="AL266" i="22" a="1"/>
  <c r="AL274" i="22" a="1"/>
  <c r="AL282" i="22" a="1"/>
  <c r="AL282" i="22" s="1"/>
  <c r="AL290" i="22" a="1"/>
  <c r="AL298" i="22" a="1"/>
  <c r="AL306" i="22" a="1"/>
  <c r="AL314" i="22" a="1"/>
  <c r="AL322" i="22" a="1"/>
  <c r="AL330" i="22" a="1"/>
  <c r="AL338" i="22" a="1"/>
  <c r="AL346" i="22" a="1"/>
  <c r="AL346" i="22" s="1"/>
  <c r="AL354" i="22" a="1"/>
  <c r="AL362" i="22" a="1"/>
  <c r="AL370" i="22" a="1"/>
  <c r="AL378" i="22" a="1"/>
  <c r="AL386" i="22" a="1"/>
  <c r="AL394" i="22" a="1"/>
  <c r="AL402" i="22" a="1"/>
  <c r="AL402" i="22" s="1"/>
  <c r="AL410" i="22" a="1"/>
  <c r="AL410" i="22" s="1"/>
  <c r="AL418" i="22" a="1"/>
  <c r="AL426" i="22" a="1"/>
  <c r="AL434" i="22" a="1"/>
  <c r="AL442" i="22" a="1"/>
  <c r="AL450" i="22" a="1"/>
  <c r="AL458" i="22" a="1"/>
  <c r="AL466" i="22" a="1"/>
  <c r="AL466" i="22" s="1"/>
  <c r="AL474" i="22" a="1"/>
  <c r="AL474" i="22" s="1"/>
  <c r="AL482" i="22" a="1"/>
  <c r="AL490" i="22" a="1"/>
  <c r="AL498" i="22" a="1"/>
  <c r="AL506" i="22" a="1"/>
  <c r="AL514" i="22" a="1"/>
  <c r="AL522" i="22" a="1"/>
  <c r="AL530" i="22" a="1"/>
  <c r="AL530" i="22" s="1"/>
  <c r="AL538" i="22" a="1"/>
  <c r="AL538" i="22" s="1"/>
  <c r="AL546" i="22" a="1"/>
  <c r="AL554" i="22" a="1"/>
  <c r="AL562" i="22" a="1"/>
  <c r="AL570" i="22" a="1"/>
  <c r="AL578" i="22" a="1"/>
  <c r="AL586" i="22" a="1"/>
  <c r="AL594" i="22" a="1"/>
  <c r="AL602" i="22" a="1"/>
  <c r="AL602" i="22" s="1"/>
  <c r="AL610" i="22" a="1"/>
  <c r="AL618" i="22" a="1"/>
  <c r="AL626" i="22" a="1"/>
  <c r="AL634" i="22" a="1"/>
  <c r="AL642" i="22" a="1"/>
  <c r="AL650" i="22" a="1"/>
  <c r="AL658" i="22" a="1"/>
  <c r="AL666" i="22" a="1"/>
  <c r="AL666" i="22" s="1"/>
  <c r="AL674" i="22" a="1"/>
  <c r="AL682" i="22" a="1"/>
  <c r="AL690" i="22" a="1"/>
  <c r="AL19" i="22" a="1"/>
  <c r="AL27" i="22" a="1"/>
  <c r="AL35" i="22" a="1"/>
  <c r="AL43" i="22" a="1"/>
  <c r="AL43" i="22" s="1"/>
  <c r="AL51" i="22" a="1"/>
  <c r="AL51" i="22" s="1"/>
  <c r="AL59" i="22" a="1"/>
  <c r="AL67" i="22" a="1"/>
  <c r="AL75" i="22" a="1"/>
  <c r="AL83" i="22" a="1"/>
  <c r="AL91" i="22" a="1"/>
  <c r="AL99" i="22" a="1"/>
  <c r="AL107" i="22" a="1"/>
  <c r="AL107" i="22" s="1"/>
  <c r="AL115" i="22" a="1"/>
  <c r="AL115" i="22" s="1"/>
  <c r="AL123" i="22" a="1"/>
  <c r="AL131" i="22" a="1"/>
  <c r="AL139" i="22" a="1"/>
  <c r="AL147" i="22" a="1"/>
  <c r="AL155" i="22" a="1"/>
  <c r="AL163" i="22" a="1"/>
  <c r="AL171" i="22" a="1"/>
  <c r="AL179" i="22" a="1"/>
  <c r="AL179" i="22" s="1"/>
  <c r="AL187" i="22" a="1"/>
  <c r="AL195" i="22" a="1"/>
  <c r="AL203" i="22" a="1"/>
  <c r="AL211" i="22" a="1"/>
  <c r="AL219" i="22" a="1"/>
  <c r="AL227" i="22" a="1"/>
  <c r="AL235" i="22" a="1"/>
  <c r="AL235" i="22" s="1"/>
  <c r="AL243" i="22" a="1"/>
  <c r="AL243" i="22" s="1"/>
  <c r="AL251" i="22" a="1"/>
  <c r="AL259" i="22" a="1"/>
  <c r="AL267" i="22" a="1"/>
  <c r="AL275" i="22" a="1"/>
  <c r="AL283" i="22" a="1"/>
  <c r="AL291" i="22" a="1"/>
  <c r="AL299" i="22" a="1"/>
  <c r="AL307" i="22" a="1"/>
  <c r="AL307" i="22" s="1"/>
  <c r="AL315" i="22" a="1"/>
  <c r="AL323" i="22" a="1"/>
  <c r="AL331" i="22" a="1"/>
  <c r="AL339" i="22" a="1"/>
  <c r="AL347" i="22" a="1"/>
  <c r="AL355" i="22" a="1"/>
  <c r="AL363" i="22" a="1"/>
  <c r="AL371" i="22" a="1"/>
  <c r="AL371" i="22" s="1"/>
  <c r="AL379" i="22" a="1"/>
  <c r="AL387" i="22" a="1"/>
  <c r="AL395" i="22" a="1"/>
  <c r="AL403" i="22" a="1"/>
  <c r="AL411" i="22" a="1"/>
  <c r="AL419" i="22" a="1"/>
  <c r="AL427" i="22" a="1"/>
  <c r="AL427" i="22" s="1"/>
  <c r="AL435" i="22" a="1"/>
  <c r="AL435" i="22" s="1"/>
  <c r="AL443" i="22" a="1"/>
  <c r="AL451" i="22" a="1"/>
  <c r="AL459" i="22" a="1"/>
  <c r="AL467" i="22" a="1"/>
  <c r="AL475" i="22" a="1"/>
  <c r="AL483" i="22" a="1"/>
  <c r="AL491" i="22" a="1"/>
  <c r="AL491" i="22" s="1"/>
  <c r="AL499" i="22" a="1"/>
  <c r="AL499" i="22" s="1"/>
  <c r="AL507" i="22" a="1"/>
  <c r="AL515" i="22" a="1"/>
  <c r="AL523" i="22" a="1"/>
  <c r="AL531" i="22" a="1"/>
  <c r="AL539" i="22" a="1"/>
  <c r="AL547" i="22" a="1"/>
  <c r="AL555" i="22" a="1"/>
  <c r="AL555" i="22" s="1"/>
  <c r="AL563" i="22" a="1"/>
  <c r="AL563" i="22" s="1"/>
  <c r="AL571" i="22" a="1"/>
  <c r="AL579" i="22" a="1"/>
  <c r="AL587" i="22" a="1"/>
  <c r="AL595" i="22" a="1"/>
  <c r="AL603" i="22" a="1"/>
  <c r="AL611" i="22" a="1"/>
  <c r="AL619" i="22" a="1"/>
  <c r="AL619" i="22" s="1"/>
  <c r="AL627" i="22" a="1"/>
  <c r="AL627" i="22" s="1"/>
  <c r="AL635" i="22" a="1"/>
  <c r="AL643" i="22" a="1"/>
  <c r="AL651" i="22" a="1"/>
  <c r="AL659" i="22" a="1"/>
  <c r="AL667" i="22" a="1"/>
  <c r="AL675" i="22" a="1"/>
  <c r="AL683" i="22" a="1"/>
  <c r="AL691" i="22" a="1"/>
  <c r="AL691" i="22" s="1"/>
  <c r="AL655" i="22" a="1"/>
  <c r="AL687" i="22" a="1"/>
  <c r="AL700" i="22" a="1"/>
  <c r="AL708" i="22" a="1"/>
  <c r="AL716" i="22" a="1"/>
  <c r="AL724" i="22" a="1"/>
  <c r="AL732" i="22" a="1"/>
  <c r="AL732" i="22" s="1"/>
  <c r="AL740" i="22" a="1"/>
  <c r="AL740" i="22" s="1"/>
  <c r="AL748" i="22" a="1"/>
  <c r="AL756" i="22" a="1"/>
  <c r="AL764" i="22" a="1"/>
  <c r="AL772" i="22" a="1"/>
  <c r="AL780" i="22" a="1"/>
  <c r="AL788" i="22" a="1"/>
  <c r="AL796" i="22" a="1"/>
  <c r="AL796" i="22" s="1"/>
  <c r="AL804" i="22" a="1"/>
  <c r="AL804" i="22" s="1"/>
  <c r="AL812" i="22" a="1"/>
  <c r="AL820" i="22" a="1"/>
  <c r="AL828" i="22" a="1"/>
  <c r="AL836" i="22" a="1"/>
  <c r="AL844" i="22" a="1"/>
  <c r="AL852" i="22" a="1"/>
  <c r="AL860" i="22" a="1"/>
  <c r="AL860" i="22" s="1"/>
  <c r="AL868" i="22" a="1"/>
  <c r="AL868" i="22" s="1"/>
  <c r="AL876" i="22" a="1"/>
  <c r="AL884" i="22" a="1"/>
  <c r="AL892" i="22" a="1"/>
  <c r="AL900" i="22" a="1"/>
  <c r="AL908" i="22" a="1"/>
  <c r="AL916" i="22" a="1"/>
  <c r="AL924" i="22" a="1"/>
  <c r="AL924" i="22" s="1"/>
  <c r="AL932" i="22" a="1"/>
  <c r="AL932" i="22" s="1"/>
  <c r="AL940" i="22" a="1"/>
  <c r="AL948" i="22" a="1"/>
  <c r="AL956" i="22" a="1"/>
  <c r="AL964" i="22" a="1"/>
  <c r="AL972" i="22" a="1"/>
  <c r="AL980" i="22" a="1"/>
  <c r="AL988" i="22" a="1"/>
  <c r="AL996" i="22" a="1"/>
  <c r="AL996" i="22" s="1"/>
  <c r="AL1004" i="22" a="1"/>
  <c r="AL1012" i="22" a="1"/>
  <c r="AL1020" i="22" a="1"/>
  <c r="AL1028" i="22" a="1"/>
  <c r="AL1036" i="22" a="1"/>
  <c r="AL1044" i="22" a="1"/>
  <c r="AL1052" i="22" a="1"/>
  <c r="AL1052" i="22" s="1"/>
  <c r="AL1060" i="22" a="1"/>
  <c r="AL1060" i="22" s="1"/>
  <c r="AL1068" i="22" a="1"/>
  <c r="AL1076" i="22" a="1"/>
  <c r="AL1084" i="22" a="1"/>
  <c r="AL1092" i="22" a="1"/>
  <c r="AL1100" i="22" a="1"/>
  <c r="AL1108" i="22" a="1"/>
  <c r="AL1116" i="22" a="1"/>
  <c r="AL1124" i="22" a="1"/>
  <c r="AL1124" i="22" s="1"/>
  <c r="AL1132" i="22" a="1"/>
  <c r="AL1140" i="22" a="1"/>
  <c r="AL1148" i="22" a="1"/>
  <c r="AL1156" i="22" a="1"/>
  <c r="AL1164" i="22" a="1"/>
  <c r="AL1172" i="22" a="1"/>
  <c r="AL1180" i="22" a="1"/>
  <c r="AL1188" i="22" a="1"/>
  <c r="AL1188" i="22" s="1"/>
  <c r="AL1196" i="22" a="1"/>
  <c r="AL1204" i="22" a="1"/>
  <c r="AL1212" i="22" a="1"/>
  <c r="AL1220" i="22" a="1"/>
  <c r="AL1228" i="22" a="1"/>
  <c r="AL1236" i="22" a="1"/>
  <c r="AL1244" i="22" a="1"/>
  <c r="AL1244" i="22" s="1"/>
  <c r="AL1252" i="22" a="1"/>
  <c r="AL1252" i="22" s="1"/>
  <c r="AL1260" i="22" a="1"/>
  <c r="AL1268" i="22" a="1"/>
  <c r="AL1276" i="22" a="1"/>
  <c r="AL1284" i="22" a="1"/>
  <c r="AL1292" i="22" a="1"/>
  <c r="AL1300" i="22" a="1"/>
  <c r="AL1308" i="22" a="1"/>
  <c r="AL1308" i="22" s="1"/>
  <c r="AL1316" i="22" a="1"/>
  <c r="AL1316" i="22" s="1"/>
  <c r="AL1324" i="22" a="1"/>
  <c r="AL1332" i="22" a="1"/>
  <c r="AL1340" i="22" a="1"/>
  <c r="AL1348" i="22" a="1"/>
  <c r="AL630" i="22" a="1"/>
  <c r="AL662" i="22" a="1"/>
  <c r="AL693" i="22" a="1"/>
  <c r="AL693" i="22" s="1"/>
  <c r="AL701" i="22" a="1"/>
  <c r="AL701" i="22" s="1"/>
  <c r="AL709" i="22" a="1"/>
  <c r="AL717" i="22" a="1"/>
  <c r="AL725" i="22" a="1"/>
  <c r="AL733" i="22" a="1"/>
  <c r="AL741" i="22" a="1"/>
  <c r="AL749" i="22" a="1"/>
  <c r="AL757" i="22" a="1"/>
  <c r="AL765" i="22" a="1"/>
  <c r="AL773" i="22" a="1"/>
  <c r="AL781" i="22" a="1"/>
  <c r="AL789" i="22" a="1"/>
  <c r="AL797" i="22" a="1"/>
  <c r="AL805" i="22" a="1"/>
  <c r="AL813" i="22" a="1"/>
  <c r="AL821" i="22" a="1"/>
  <c r="AL829" i="22" a="1"/>
  <c r="AL837" i="22" a="1"/>
  <c r="AL845" i="22" a="1"/>
  <c r="AL853" i="22" a="1"/>
  <c r="AL861" i="22" a="1"/>
  <c r="AL869" i="22" a="1"/>
  <c r="AL877" i="22" a="1"/>
  <c r="AL885" i="22" a="1"/>
  <c r="AL885" i="22" s="1"/>
  <c r="AL893" i="22" a="1"/>
  <c r="AL893" i="22" s="1"/>
  <c r="AL901" i="22" a="1"/>
  <c r="AL909" i="22" a="1"/>
  <c r="AL917" i="22" a="1"/>
  <c r="AL925" i="22" a="1"/>
  <c r="AL933" i="22" a="1"/>
  <c r="AL941" i="22" a="1"/>
  <c r="AL949" i="22" a="1"/>
  <c r="AL949" i="22" s="1"/>
  <c r="AL957" i="22" a="1"/>
  <c r="AL957" i="22" s="1"/>
  <c r="AL965" i="22" a="1"/>
  <c r="AL973" i="22" a="1"/>
  <c r="AL981" i="22" a="1"/>
  <c r="AL989" i="22" a="1"/>
  <c r="AL997" i="22" a="1"/>
  <c r="AL1005" i="22" a="1"/>
  <c r="AL1013" i="22" a="1"/>
  <c r="AL1013" i="22" s="1"/>
  <c r="AL1021" i="22" a="1"/>
  <c r="AL1021" i="22" s="1"/>
  <c r="AL1029" i="22" a="1"/>
  <c r="AL1037" i="22" a="1"/>
  <c r="AL1045" i="22" a="1"/>
  <c r="AL1053" i="22" a="1"/>
  <c r="AL1061" i="22" a="1"/>
  <c r="AL1069" i="22" a="1"/>
  <c r="AL1077" i="22" a="1"/>
  <c r="AL1077" i="22" s="1"/>
  <c r="AL1085" i="22" a="1"/>
  <c r="AL1085" i="22" s="1"/>
  <c r="AL1093" i="22" a="1"/>
  <c r="AL1101" i="22" a="1"/>
  <c r="AL1109" i="22" a="1"/>
  <c r="AL1117" i="22" a="1"/>
  <c r="AL1125" i="22" a="1"/>
  <c r="AL1133" i="22" a="1"/>
  <c r="AL1141" i="22" a="1"/>
  <c r="AL1149" i="22" a="1"/>
  <c r="AL1149" i="22" s="1"/>
  <c r="AL1157" i="22" a="1"/>
  <c r="AL1165" i="22" a="1"/>
  <c r="AL1173" i="22" a="1"/>
  <c r="AL1181" i="22" a="1"/>
  <c r="AL1189" i="22" a="1"/>
  <c r="AL1197" i="22" a="1"/>
  <c r="AL1205" i="22" a="1"/>
  <c r="AL1205" i="22" s="1"/>
  <c r="AL1213" i="22" a="1"/>
  <c r="AL1213" i="22" s="1"/>
  <c r="AL1221" i="22" a="1"/>
  <c r="AL1229" i="22" a="1"/>
  <c r="AL1237" i="22" a="1"/>
  <c r="AL1245" i="22" a="1"/>
  <c r="AL1253" i="22" a="1"/>
  <c r="AL1261" i="22" a="1"/>
  <c r="AL1269" i="22" a="1"/>
  <c r="AL1277" i="22" a="1"/>
  <c r="AL1285" i="22" a="1"/>
  <c r="AL1293" i="22" a="1"/>
  <c r="AL1301" i="22" a="1"/>
  <c r="AL1309" i="22" a="1"/>
  <c r="AL1317" i="22" a="1"/>
  <c r="AL1325" i="22" a="1"/>
  <c r="AL1333" i="22" a="1"/>
  <c r="AL1341" i="22" a="1"/>
  <c r="AL1349" i="22" a="1"/>
  <c r="AL631" i="22" a="1"/>
  <c r="AL663" i="22" a="1"/>
  <c r="AL694" i="22" a="1"/>
  <c r="AL702" i="22" a="1"/>
  <c r="AL710" i="22" a="1"/>
  <c r="AL718" i="22" a="1"/>
  <c r="AL718" i="22" s="1"/>
  <c r="AL726" i="22" a="1"/>
  <c r="AL726" i="22" s="1"/>
  <c r="AL734" i="22" a="1"/>
  <c r="AL742" i="22" a="1"/>
  <c r="AL750" i="22" a="1"/>
  <c r="AL758" i="22" a="1"/>
  <c r="AL766" i="22" a="1"/>
  <c r="AL774" i="22" a="1"/>
  <c r="AL782" i="22" a="1"/>
  <c r="AL790" i="22" a="1"/>
  <c r="AL790" i="22" s="1"/>
  <c r="AL798" i="22" a="1"/>
  <c r="AL806" i="22" a="1"/>
  <c r="AL814" i="22" a="1"/>
  <c r="AL822" i="22" a="1"/>
  <c r="AL830" i="22" a="1"/>
  <c r="AL838" i="22" a="1"/>
  <c r="AL846" i="22" a="1"/>
  <c r="AL854" i="22" a="1"/>
  <c r="AL854" i="22" s="1"/>
  <c r="AL862" i="22" a="1"/>
  <c r="AL870" i="22" a="1"/>
  <c r="AL878" i="22" a="1"/>
  <c r="AL886" i="22" a="1"/>
  <c r="AL894" i="22" a="1"/>
  <c r="AL894" i="22" s="1"/>
  <c r="AL902" i="22" a="1"/>
  <c r="AL910" i="22" a="1"/>
  <c r="AL910" i="22" s="1"/>
  <c r="AL918" i="22" a="1"/>
  <c r="AL918" i="22" s="1"/>
  <c r="AL926" i="22" a="1"/>
  <c r="AL934" i="22" a="1"/>
  <c r="AL942" i="22" a="1"/>
  <c r="AL950" i="22" a="1"/>
  <c r="AL958" i="22" a="1"/>
  <c r="AL958" i="22" s="1"/>
  <c r="AL966" i="22" a="1"/>
  <c r="AL974" i="22" a="1"/>
  <c r="AL974" i="22" s="1"/>
  <c r="AL982" i="22" a="1"/>
  <c r="AL982" i="22" s="1"/>
  <c r="AL990" i="22" a="1"/>
  <c r="AL998" i="22" a="1"/>
  <c r="AL1006" i="22" a="1"/>
  <c r="AL1014" i="22" a="1"/>
  <c r="AL1022" i="22" a="1"/>
  <c r="AL1022" i="22" s="1"/>
  <c r="AL1030" i="22" a="1"/>
  <c r="AL1038" i="22" a="1"/>
  <c r="AL1038" i="22" s="1"/>
  <c r="AL1046" i="22" a="1"/>
  <c r="AL1046" i="22" s="1"/>
  <c r="AL1054" i="22" a="1"/>
  <c r="AL1062" i="22" a="1"/>
  <c r="AL1070" i="22" a="1"/>
  <c r="AL1078" i="22" a="1"/>
  <c r="AL1086" i="22" a="1"/>
  <c r="AL1094" i="22" a="1"/>
  <c r="AL1102" i="22" a="1"/>
  <c r="AL1102" i="22" s="1"/>
  <c r="AL1110" i="22" a="1"/>
  <c r="AL1110" i="22" s="1"/>
  <c r="AL1118" i="22" a="1"/>
  <c r="AL1126" i="22" a="1"/>
  <c r="AL1134" i="22" a="1"/>
  <c r="AL1142" i="22" a="1"/>
  <c r="AL1150" i="22" a="1"/>
  <c r="AL1150" i="22" s="1"/>
  <c r="AL1158" i="22" a="1"/>
  <c r="AL1166" i="22" a="1"/>
  <c r="AL1174" i="22" a="1"/>
  <c r="AL1174" i="22" s="1"/>
  <c r="AL1182" i="22" a="1"/>
  <c r="AL1190" i="22" a="1"/>
  <c r="AL1198" i="22" a="1"/>
  <c r="AL1206" i="22" a="1"/>
  <c r="AL1214" i="22" a="1"/>
  <c r="AL1222" i="22" a="1"/>
  <c r="AL1230" i="22" a="1"/>
  <c r="AL1230" i="22" s="1"/>
  <c r="AL1238" i="22" a="1"/>
  <c r="AL1238" i="22" s="1"/>
  <c r="AL1246" i="22" a="1"/>
  <c r="AL1254" i="22" a="1"/>
  <c r="AL1262" i="22" a="1"/>
  <c r="AL1270" i="22" a="1"/>
  <c r="AL1278" i="22" a="1"/>
  <c r="AL1286" i="22" a="1"/>
  <c r="AL1294" i="22" a="1"/>
  <c r="AL1302" i="22" a="1"/>
  <c r="AL1302" i="22" s="1"/>
  <c r="AL1310" i="22" a="1"/>
  <c r="AL1318" i="22" a="1"/>
  <c r="AL1326" i="22" a="1"/>
  <c r="AL1334" i="22" a="1"/>
  <c r="AL1342" i="22" a="1"/>
  <c r="AL1342" i="22" s="1"/>
  <c r="AL1350" i="22" a="1"/>
  <c r="AL638" i="22" a="1"/>
  <c r="AL638" i="22" s="1"/>
  <c r="AL670" i="22" a="1"/>
  <c r="AL670" i="22" s="1"/>
  <c r="AL695" i="22" a="1"/>
  <c r="AL703" i="22" a="1"/>
  <c r="AL711" i="22" a="1"/>
  <c r="AL719" i="22" a="1"/>
  <c r="AL727" i="22" a="1"/>
  <c r="AL735" i="22" a="1"/>
  <c r="AL743" i="22" a="1"/>
  <c r="AL743" i="22" s="1"/>
  <c r="AL751" i="22" a="1"/>
  <c r="AL751" i="22" s="1"/>
  <c r="AL759" i="22" a="1"/>
  <c r="AL767" i="22" a="1"/>
  <c r="AL775" i="22" a="1"/>
  <c r="AL783" i="22" a="1"/>
  <c r="AL791" i="22" a="1"/>
  <c r="AL791" i="22" s="1"/>
  <c r="AL799" i="22" a="1"/>
  <c r="AL807" i="22" a="1"/>
  <c r="AL807" i="22" s="1"/>
  <c r="AL815" i="22" a="1"/>
  <c r="AL815" i="22" s="1"/>
  <c r="AL823" i="22" a="1"/>
  <c r="AL831" i="22" a="1"/>
  <c r="AL839" i="22" a="1"/>
  <c r="AL847" i="22" a="1"/>
  <c r="AL855" i="22" a="1"/>
  <c r="AL863" i="22" a="1"/>
  <c r="AL871" i="22" a="1"/>
  <c r="AL879" i="22" a="1"/>
  <c r="AL879" i="22" s="1"/>
  <c r="AL887" i="22" a="1"/>
  <c r="AL895" i="22" a="1"/>
  <c r="AL903" i="22" a="1"/>
  <c r="AL911" i="22" a="1"/>
  <c r="AL919" i="22" a="1"/>
  <c r="AL927" i="22" a="1"/>
  <c r="AL935" i="22" a="1"/>
  <c r="AL935" i="22" s="1"/>
  <c r="AL943" i="22" a="1"/>
  <c r="AL943" i="22" s="1"/>
  <c r="AL951" i="22" a="1"/>
  <c r="AL959" i="22" a="1"/>
  <c r="AL967" i="22" a="1"/>
  <c r="AL975" i="22" a="1"/>
  <c r="AL983" i="22" a="1"/>
  <c r="AL983" i="22" s="1"/>
  <c r="AL991" i="22" a="1"/>
  <c r="AL999" i="22" a="1"/>
  <c r="AL1007" i="22" a="1"/>
  <c r="AL1007" i="22" s="1"/>
  <c r="AL1015" i="22" a="1"/>
  <c r="AL1023" i="22" a="1"/>
  <c r="AL1031" i="22" a="1"/>
  <c r="AL1039" i="22" a="1"/>
  <c r="AL1047" i="22" a="1"/>
  <c r="AL1047" i="22" s="1"/>
  <c r="AL1055" i="22" a="1"/>
  <c r="AL1063" i="22" a="1"/>
  <c r="AL1071" i="22" a="1"/>
  <c r="AL1071" i="22" s="1"/>
  <c r="AL1079" i="22" a="1"/>
  <c r="AL1087" i="22" a="1"/>
  <c r="AL1095" i="22" a="1"/>
  <c r="AL1103" i="22" a="1"/>
  <c r="AL1111" i="22" a="1"/>
  <c r="AL1111" i="22" s="1"/>
  <c r="AL1119" i="22" a="1"/>
  <c r="AL1127" i="22" a="1"/>
  <c r="AL1127" i="22" s="1"/>
  <c r="AL1135" i="22" a="1"/>
  <c r="AL1135" i="22" s="1"/>
  <c r="AL1143" i="22" a="1"/>
  <c r="AL1151" i="22" a="1"/>
  <c r="AL1159" i="22" a="1"/>
  <c r="AL1167" i="22" a="1"/>
  <c r="AL1175" i="22" a="1"/>
  <c r="AL1175" i="22" s="1"/>
  <c r="AL1183" i="22" a="1"/>
  <c r="AL1191" i="22" a="1"/>
  <c r="AL1191" i="22" s="1"/>
  <c r="AL1199" i="22" a="1"/>
  <c r="AL1199" i="22" s="1"/>
  <c r="AL1207" i="22" a="1"/>
  <c r="AL1215" i="22" a="1"/>
  <c r="AL1223" i="22" a="1"/>
  <c r="AL1231" i="22" a="1"/>
  <c r="AL1239" i="22" a="1"/>
  <c r="AL1247" i="22" a="1"/>
  <c r="AL1255" i="22" a="1"/>
  <c r="AL1255" i="22" s="1"/>
  <c r="AL1263" i="22" a="1"/>
  <c r="AL1263" i="22" s="1"/>
  <c r="AL1271" i="22" a="1"/>
  <c r="AL1279" i="22" a="1"/>
  <c r="AL1287" i="22" a="1"/>
  <c r="AL1295" i="22" a="1"/>
  <c r="AL1303" i="22" a="1"/>
  <c r="AL1303" i="22" s="1"/>
  <c r="AL1311" i="22" a="1"/>
  <c r="AL1319" i="22" a="1"/>
  <c r="AL1319" i="22" s="1"/>
  <c r="AL1327" i="22" a="1"/>
  <c r="AL1327" i="22" s="1"/>
  <c r="AL1335" i="22" a="1"/>
  <c r="AL1343" i="22" a="1"/>
  <c r="AL639" i="22" a="1"/>
  <c r="AL671" i="22" a="1"/>
  <c r="AL696" i="22" a="1"/>
  <c r="AL696" i="22" s="1"/>
  <c r="AL704" i="22" a="1"/>
  <c r="AL712" i="22" a="1"/>
  <c r="AL720" i="22" a="1"/>
  <c r="AL720" i="22" s="1"/>
  <c r="AL728" i="22" a="1"/>
  <c r="AL736" i="22" a="1"/>
  <c r="AL744" i="22" a="1"/>
  <c r="AL752" i="22" a="1"/>
  <c r="AL760" i="22" a="1"/>
  <c r="AL760" i="22" s="1"/>
  <c r="AL768" i="22" a="1"/>
  <c r="AL776" i="22" a="1"/>
  <c r="AL776" i="22" s="1"/>
  <c r="AL784" i="22" a="1"/>
  <c r="AL784" i="22" s="1"/>
  <c r="AL792" i="22" a="1"/>
  <c r="AL800" i="22" a="1"/>
  <c r="AL808" i="22" a="1"/>
  <c r="AL816" i="22" a="1"/>
  <c r="AL824" i="22" a="1"/>
  <c r="AL824" i="22" s="1"/>
  <c r="AL832" i="22" a="1"/>
  <c r="AL840" i="22" a="1"/>
  <c r="AL840" i="22" s="1"/>
  <c r="AL848" i="22" a="1"/>
  <c r="AL848" i="22" s="1"/>
  <c r="AL856" i="22" a="1"/>
  <c r="AL864" i="22" a="1"/>
  <c r="AL872" i="22" a="1"/>
  <c r="AL880" i="22" a="1"/>
  <c r="AL888" i="22" a="1"/>
  <c r="AL888" i="22" s="1"/>
  <c r="AL896" i="22" a="1"/>
  <c r="AL904" i="22" a="1"/>
  <c r="AL904" i="22" s="1"/>
  <c r="AL912" i="22" a="1"/>
  <c r="AL912" i="22" s="1"/>
  <c r="AL920" i="22" a="1"/>
  <c r="AL928" i="22" a="1"/>
  <c r="AL936" i="22" a="1"/>
  <c r="AL944" i="22" a="1"/>
  <c r="AL952" i="22" a="1"/>
  <c r="AL960" i="22" a="1"/>
  <c r="AL968" i="22" a="1"/>
  <c r="AL968" i="22" s="1"/>
  <c r="AL976" i="22" a="1"/>
  <c r="AL976" i="22" s="1"/>
  <c r="AL984" i="22" a="1"/>
  <c r="AL992" i="22" a="1"/>
  <c r="AL1000" i="22" a="1"/>
  <c r="AL1008" i="22" a="1"/>
  <c r="AL1016" i="22" a="1"/>
  <c r="AL1016" i="22" s="1"/>
  <c r="AL1024" i="22" a="1"/>
  <c r="AL1032" i="22" a="1"/>
  <c r="AL1032" i="22" s="1"/>
  <c r="AL1040" i="22" a="1"/>
  <c r="AL1040" i="22" s="1"/>
  <c r="AL1048" i="22" a="1"/>
  <c r="AL1056" i="22" a="1"/>
  <c r="AL1064" i="22" a="1"/>
  <c r="AL1072" i="22" a="1"/>
  <c r="AL1080" i="22" a="1"/>
  <c r="AL1088" i="22" a="1"/>
  <c r="AL1096" i="22" a="1"/>
  <c r="AL1096" i="22" s="1"/>
  <c r="AL1104" i="22" a="1"/>
  <c r="AL1104" i="22" s="1"/>
  <c r="AL1112" i="22" a="1"/>
  <c r="AL1120" i="22" a="1"/>
  <c r="AL1128" i="22" a="1"/>
  <c r="AL1136" i="22" a="1"/>
  <c r="AL1144" i="22" a="1"/>
  <c r="AL1152" i="22" a="1"/>
  <c r="AL1160" i="22" a="1"/>
  <c r="AL1168" i="22" a="1"/>
  <c r="AL1168" i="22" s="1"/>
  <c r="AL1176" i="22" a="1"/>
  <c r="AL1184" i="22" a="1"/>
  <c r="AL1192" i="22" a="1"/>
  <c r="AL1200" i="22" a="1"/>
  <c r="AL1208" i="22" a="1"/>
  <c r="AL1208" i="22" s="1"/>
  <c r="AL1216" i="22" a="1"/>
  <c r="AL1224" i="22" a="1"/>
  <c r="AL1232" i="22" a="1"/>
  <c r="AL1232" i="22" s="1"/>
  <c r="AL1240" i="22" a="1"/>
  <c r="AL1248" i="22" a="1"/>
  <c r="AL1256" i="22" a="1"/>
  <c r="AL1264" i="22" a="1"/>
  <c r="AL1272" i="22" a="1"/>
  <c r="AL1272" i="22" s="1"/>
  <c r="AL1280" i="22" a="1"/>
  <c r="AL1288" i="22" a="1"/>
  <c r="AL1288" i="22" s="1"/>
  <c r="AL1296" i="22" a="1"/>
  <c r="AL1296" i="22" s="1"/>
  <c r="AL1304" i="22" a="1"/>
  <c r="AL1312" i="22" a="1"/>
  <c r="AL1320" i="22" a="1"/>
  <c r="AL1328" i="22" a="1"/>
  <c r="AL1336" i="22" a="1"/>
  <c r="AL1336" i="22" s="1"/>
  <c r="AL1344" i="22" a="1"/>
  <c r="AL1352" i="22" a="1"/>
  <c r="AL1352" i="22" s="1"/>
  <c r="AL646" i="22" a="1"/>
  <c r="AL646" i="22" s="1"/>
  <c r="AL678" i="22" a="1"/>
  <c r="AL697" i="22" a="1"/>
  <c r="AL705" i="22" a="1"/>
  <c r="AL705" i="22" s="1"/>
  <c r="AL713" i="22" a="1"/>
  <c r="AL721" i="22" a="1"/>
  <c r="AL729" i="22" a="1"/>
  <c r="AL737" i="22" a="1"/>
  <c r="AL737" i="22" s="1"/>
  <c r="AL745" i="22" a="1"/>
  <c r="AL745" i="22" s="1"/>
  <c r="AL753" i="22" a="1"/>
  <c r="AL761" i="22" a="1"/>
  <c r="AL769" i="22" a="1"/>
  <c r="AL777" i="22" a="1"/>
  <c r="AL785" i="22" a="1"/>
  <c r="AL785" i="22" s="1"/>
  <c r="AL793" i="22" a="1"/>
  <c r="AL801" i="22" a="1"/>
  <c r="AL809" i="22" a="1"/>
  <c r="AL809" i="22" s="1"/>
  <c r="AL817" i="22" a="1"/>
  <c r="AL825" i="22" a="1"/>
  <c r="AL833" i="22" a="1"/>
  <c r="AL833" i="22" s="1"/>
  <c r="AL841" i="22" a="1"/>
  <c r="AL849" i="22" a="1"/>
  <c r="AL849" i="22" s="1"/>
  <c r="AL857" i="22" a="1"/>
  <c r="AL865" i="22" a="1"/>
  <c r="AL873" i="22" a="1"/>
  <c r="AL873" i="22" s="1"/>
  <c r="AL881" i="22" a="1"/>
  <c r="AL889" i="22" a="1"/>
  <c r="AL897" i="22" a="1"/>
  <c r="AL897" i="22" s="1"/>
  <c r="AL905" i="22" a="1"/>
  <c r="AL913" i="22" a="1"/>
  <c r="AL913" i="22" s="1"/>
  <c r="AL921" i="22" a="1"/>
  <c r="AL929" i="22" a="1"/>
  <c r="AL929" i="22" s="1"/>
  <c r="AL937" i="22" a="1"/>
  <c r="AL937" i="22" s="1"/>
  <c r="AL945" i="22" a="1"/>
  <c r="AL953" i="22" a="1"/>
  <c r="AL961" i="22" a="1"/>
  <c r="AL961" i="22" s="1"/>
  <c r="AL969" i="22" a="1"/>
  <c r="AL977" i="22" a="1"/>
  <c r="AL977" i="22" s="1"/>
  <c r="AL985" i="22" a="1"/>
  <c r="AL993" i="22" a="1"/>
  <c r="AL993" i="22" s="1"/>
  <c r="AL1001" i="22" a="1"/>
  <c r="AL1001" i="22" s="1"/>
  <c r="AL1009" i="22" a="1"/>
  <c r="AL1017" i="22" a="1"/>
  <c r="AL1025" i="22" a="1"/>
  <c r="AL1025" i="22" s="1"/>
  <c r="AL1033" i="22" a="1"/>
  <c r="AL1041" i="22" a="1"/>
  <c r="AL1049" i="22" a="1"/>
  <c r="AL1057" i="22" a="1"/>
  <c r="AL1057" i="22" s="1"/>
  <c r="AL1065" i="22" a="1"/>
  <c r="AL1065" i="22" s="1"/>
  <c r="AL1073" i="22" a="1"/>
  <c r="AL1081" i="22" a="1"/>
  <c r="AL1089" i="22" a="1"/>
  <c r="AL1089" i="22" s="1"/>
  <c r="AL1097" i="22" a="1"/>
  <c r="AL1105" i="22" a="1"/>
  <c r="AL1105" i="22" s="1"/>
  <c r="AL1113" i="22" a="1"/>
  <c r="AL1121" i="22" a="1"/>
  <c r="AL1121" i="22" s="1"/>
  <c r="AL1129" i="22" a="1"/>
  <c r="AL1129" i="22" s="1"/>
  <c r="AL1137" i="22" a="1"/>
  <c r="AL1145" i="22" a="1"/>
  <c r="AL1153" i="22" a="1"/>
  <c r="AL1161" i="22" a="1"/>
  <c r="AL1169" i="22" a="1"/>
  <c r="AL1177" i="22" a="1"/>
  <c r="AL1185" i="22" a="1"/>
  <c r="AL1185" i="22" s="1"/>
  <c r="AL1193" i="22" a="1"/>
  <c r="AL1193" i="22" s="1"/>
  <c r="AL1201" i="22" a="1"/>
  <c r="AL1209" i="22" a="1"/>
  <c r="AL1217" i="22" a="1"/>
  <c r="AL1225" i="22" a="1"/>
  <c r="AL1233" i="22" a="1"/>
  <c r="AL1241" i="22" a="1"/>
  <c r="AL1249" i="22" a="1"/>
  <c r="AL1249" i="22" s="1"/>
  <c r="AL1257" i="22" a="1"/>
  <c r="AL1257" i="22" s="1"/>
  <c r="AL1265" i="22" a="1"/>
  <c r="AL1273" i="22" a="1"/>
  <c r="AL1281" i="22" a="1"/>
  <c r="AL1289" i="22" a="1"/>
  <c r="AL1297" i="22" a="1"/>
  <c r="AL1297" i="22" s="1"/>
  <c r="AL1305" i="22" a="1"/>
  <c r="AL1313" i="22" a="1"/>
  <c r="AL1321" i="22" a="1"/>
  <c r="AL1321" i="22" s="1"/>
  <c r="AL1329" i="22" a="1"/>
  <c r="AL1337" i="22" a="1"/>
  <c r="AL1345" i="22" a="1"/>
  <c r="AL1345" i="22" s="1"/>
  <c r="AL1353" i="22" a="1"/>
  <c r="AL647" i="22" a="1"/>
  <c r="AL679" i="22" a="1"/>
  <c r="AL698" i="22" a="1"/>
  <c r="AL698" i="22" s="1"/>
  <c r="AL706" i="22" a="1"/>
  <c r="AL706" i="22" s="1"/>
  <c r="AL714" i="22" a="1"/>
  <c r="AL722" i="22" a="1"/>
  <c r="AL730" i="22" a="1"/>
  <c r="AL730" i="22" s="1"/>
  <c r="AL738" i="22" a="1"/>
  <c r="AL746" i="22" a="1"/>
  <c r="AL754" i="22" a="1"/>
  <c r="AL762" i="22" a="1"/>
  <c r="AL762" i="22" s="1"/>
  <c r="AL770" i="22" a="1"/>
  <c r="AL770" i="22" s="1"/>
  <c r="AL778" i="22" a="1"/>
  <c r="AL786" i="22" a="1"/>
  <c r="AL794" i="22" a="1"/>
  <c r="AL802" i="22" a="1"/>
  <c r="AL810" i="22" a="1"/>
  <c r="AL810" i="22" s="1"/>
  <c r="AL818" i="22" a="1"/>
  <c r="AL826" i="22" a="1"/>
  <c r="AL826" i="22" s="1"/>
  <c r="AL834" i="22" a="1"/>
  <c r="AL834" i="22" s="1"/>
  <c r="AL842" i="22" a="1"/>
  <c r="AL850" i="22" a="1"/>
  <c r="AL858" i="22" a="1"/>
  <c r="AL858" i="22" s="1"/>
  <c r="AL866" i="22" a="1"/>
  <c r="AL874" i="22" a="1"/>
  <c r="AL882" i="22" a="1"/>
  <c r="AL890" i="22" a="1"/>
  <c r="AL890" i="22" s="1"/>
  <c r="AL898" i="22" a="1"/>
  <c r="AL898" i="22" s="1"/>
  <c r="AL906" i="22" a="1"/>
  <c r="AL914" i="22" a="1"/>
  <c r="AL914" i="22" s="1"/>
  <c r="AL922" i="22" a="1"/>
  <c r="AL930" i="22" a="1"/>
  <c r="AL938" i="22" a="1"/>
  <c r="AL946" i="22" a="1"/>
  <c r="AL954" i="22" a="1"/>
  <c r="AL962" i="22" a="1"/>
  <c r="AL962" i="22" s="1"/>
  <c r="AL970" i="22" a="1"/>
  <c r="AL978" i="22" a="1"/>
  <c r="AL986" i="22" a="1"/>
  <c r="AL986" i="22" s="1"/>
  <c r="AL994" i="22" a="1"/>
  <c r="AL1002" i="22" a="1"/>
  <c r="AL1002" i="22" s="1"/>
  <c r="AL1010" i="22" a="1"/>
  <c r="AL1018" i="22" a="1"/>
  <c r="AL1026" i="22" a="1"/>
  <c r="AL1026" i="22" s="1"/>
  <c r="AL1034" i="22" a="1"/>
  <c r="AL1042" i="22" a="1"/>
  <c r="AL1050" i="22" a="1"/>
  <c r="AL1050" i="22" s="1"/>
  <c r="AL1058" i="22" a="1"/>
  <c r="AL1066" i="22" a="1"/>
  <c r="AL1066" i="22" s="1"/>
  <c r="AL1074" i="22" a="1"/>
  <c r="AL1082" i="22" a="1"/>
  <c r="AL1082" i="22" s="1"/>
  <c r="AL1090" i="22" a="1"/>
  <c r="AL1090" i="22" s="1"/>
  <c r="AL1098" i="22" a="1"/>
  <c r="AL1106" i="22" a="1"/>
  <c r="AL1106" i="22" s="1"/>
  <c r="AL1114" i="22" a="1"/>
  <c r="AL1114" i="22" s="1"/>
  <c r="AL1122" i="22" a="1"/>
  <c r="AL1130" i="22" a="1"/>
  <c r="AL1130" i="22" s="1"/>
  <c r="AL1138" i="22" a="1"/>
  <c r="AL1146" i="22" a="1"/>
  <c r="AL1146" i="22" s="1"/>
  <c r="AL1154" i="22" a="1"/>
  <c r="AL1154" i="22" s="1"/>
  <c r="AL1162" i="22" a="1"/>
  <c r="AL1170" i="22" a="1"/>
  <c r="AL1170" i="22" s="1"/>
  <c r="AL1178" i="22" a="1"/>
  <c r="AL1178" i="22" s="1"/>
  <c r="AL1186" i="22" a="1"/>
  <c r="AL1194" i="22" a="1"/>
  <c r="AL1194" i="22" s="1"/>
  <c r="AL1202" i="22" a="1"/>
  <c r="AL1210" i="22" a="1"/>
  <c r="AL1210" i="22" s="1"/>
  <c r="AL1218" i="22" a="1"/>
  <c r="AL1218" i="22" s="1"/>
  <c r="AL1226" i="22" a="1"/>
  <c r="AL1234" i="22" a="1"/>
  <c r="AL1234" i="22" s="1"/>
  <c r="AL1242" i="22" a="1"/>
  <c r="AL1242" i="22" s="1"/>
  <c r="AL1250" i="22" a="1"/>
  <c r="AL1258" i="22" a="1"/>
  <c r="AL1266" i="22" a="1"/>
  <c r="AL1274" i="22" a="1"/>
  <c r="AL1274" i="22" s="1"/>
  <c r="AL1282" i="22" a="1"/>
  <c r="AL1282" i="22" s="1"/>
  <c r="AL1290" i="22" a="1"/>
  <c r="AL1298" i="22" a="1"/>
  <c r="AL1298" i="22" s="1"/>
  <c r="AL1306" i="22" a="1"/>
  <c r="AL1306" i="22" s="1"/>
  <c r="AL1314" i="22" a="1"/>
  <c r="AL1322" i="22" a="1"/>
  <c r="AL1322" i="22" s="1"/>
  <c r="AL1330" i="22" a="1"/>
  <c r="AL1338" i="22" a="1"/>
  <c r="AL1338" i="22" s="1"/>
  <c r="AL1346" i="22" a="1"/>
  <c r="AL1346" i="22" s="1"/>
  <c r="AL1354" i="22" a="1"/>
  <c r="AL654" i="22" a="1"/>
  <c r="AL654" i="22" s="1"/>
  <c r="AL686" i="22" a="1"/>
  <c r="AL699" i="22" a="1"/>
  <c r="AL707" i="22" a="1"/>
  <c r="AL707" i="22" s="1"/>
  <c r="AL715" i="22" a="1"/>
  <c r="AL723" i="22" a="1"/>
  <c r="AL723" i="22" s="1"/>
  <c r="AL731" i="22" a="1"/>
  <c r="AL731" i="22" s="1"/>
  <c r="AL739" i="22" a="1"/>
  <c r="AL747" i="22" a="1"/>
  <c r="AL747" i="22" s="1"/>
  <c r="AL755" i="22" a="1"/>
  <c r="AL755" i="22" s="1"/>
  <c r="AL763" i="22" a="1"/>
  <c r="AL771" i="22" a="1"/>
  <c r="AL771" i="22" s="1"/>
  <c r="AL779" i="22" a="1"/>
  <c r="AL787" i="22" a="1"/>
  <c r="AL787" i="22" s="1"/>
  <c r="AL795" i="22" a="1"/>
  <c r="AL795" i="22" s="1"/>
  <c r="AL803" i="22" a="1"/>
  <c r="AL811" i="22" a="1"/>
  <c r="AL811" i="22" s="1"/>
  <c r="AL819" i="22" a="1"/>
  <c r="AL819" i="22" s="1"/>
  <c r="AL827" i="22" a="1"/>
  <c r="AL835" i="22" a="1"/>
  <c r="AL843" i="22" a="1"/>
  <c r="AL851" i="22" a="1"/>
  <c r="AL851" i="22" s="1"/>
  <c r="AL859" i="22" a="1"/>
  <c r="AL859" i="22" s="1"/>
  <c r="AL867" i="22" a="1"/>
  <c r="AL875" i="22" a="1"/>
  <c r="AL875" i="22" s="1"/>
  <c r="AL883" i="22" a="1"/>
  <c r="AL883" i="22" s="1"/>
  <c r="AL891" i="22" a="1"/>
  <c r="AL899" i="22" a="1"/>
  <c r="AL899" i="22" s="1"/>
  <c r="AL907" i="22" a="1"/>
  <c r="AL915" i="22" a="1"/>
  <c r="AL915" i="22" s="1"/>
  <c r="AL923" i="22" a="1"/>
  <c r="AL923" i="22" s="1"/>
  <c r="AL931" i="22" a="1"/>
  <c r="AL939" i="22" a="1"/>
  <c r="AL939" i="22" s="1"/>
  <c r="AL947" i="22" a="1"/>
  <c r="AL947" i="22" s="1"/>
  <c r="AL955" i="22" a="1"/>
  <c r="AL963" i="22" a="1"/>
  <c r="AL971" i="22" a="1"/>
  <c r="AL979" i="22" a="1"/>
  <c r="AL979" i="22" s="1"/>
  <c r="AL987" i="22" a="1"/>
  <c r="AL987" i="22" s="1"/>
  <c r="AL995" i="22" a="1"/>
  <c r="AL1003" i="22" a="1"/>
  <c r="AL1003" i="22" s="1"/>
  <c r="AL1011" i="22" a="1"/>
  <c r="AL1019" i="22" a="1"/>
  <c r="AL1027" i="22" a="1"/>
  <c r="AL1035" i="22" a="1"/>
  <c r="AL1043" i="22" a="1"/>
  <c r="AL1051" i="22" a="1"/>
  <c r="AL1051" i="22" s="1"/>
  <c r="AL1059" i="22" a="1"/>
  <c r="AL1067" i="22" a="1"/>
  <c r="AL1075" i="22" a="1"/>
  <c r="AL1075" i="22" s="1"/>
  <c r="AL1083" i="22" a="1"/>
  <c r="AL1091" i="22" a="1"/>
  <c r="AL1091" i="22" s="1"/>
  <c r="AL1099" i="22" a="1"/>
  <c r="AL1107" i="22" a="1"/>
  <c r="AL1115" i="22" a="1"/>
  <c r="AL1115" i="22" s="1"/>
  <c r="AL1123" i="22" a="1"/>
  <c r="AL1131" i="22" a="1"/>
  <c r="AL1131" i="22" s="1"/>
  <c r="AL1139" i="22" a="1"/>
  <c r="AL1139" i="22" s="1"/>
  <c r="AL1147" i="22" a="1"/>
  <c r="AL1155" i="22" a="1"/>
  <c r="AL1155" i="22" s="1"/>
  <c r="AL1163" i="22" a="1"/>
  <c r="AL1171" i="22" a="1"/>
  <c r="AL1171" i="22" s="1"/>
  <c r="AL1179" i="22" a="1"/>
  <c r="AL1179" i="22" s="1"/>
  <c r="AL1187" i="22" a="1"/>
  <c r="AL1195" i="22" a="1"/>
  <c r="AL1195" i="22" s="1"/>
  <c r="AL1203" i="22" a="1"/>
  <c r="AL1203" i="22" s="1"/>
  <c r="AL1211" i="22" a="1"/>
  <c r="AL1219" i="22" a="1"/>
  <c r="AL1219" i="22" s="1"/>
  <c r="AL1227" i="22" a="1"/>
  <c r="AL1235" i="22" a="1"/>
  <c r="AL1235" i="22" s="1"/>
  <c r="AL1243" i="22" a="1"/>
  <c r="AL1243" i="22" s="1"/>
  <c r="AL1251" i="22" a="1"/>
  <c r="AL1259" i="22" a="1"/>
  <c r="AL1259" i="22" s="1"/>
  <c r="AL1267" i="22" a="1"/>
  <c r="AL1267" i="22" s="1"/>
  <c r="AL1275" i="22" a="1"/>
  <c r="AL1283" i="22" a="1"/>
  <c r="AL1283" i="22" s="1"/>
  <c r="AL1291" i="22" a="1"/>
  <c r="AL1299" i="22" a="1"/>
  <c r="AL1299" i="22" s="1"/>
  <c r="AL1307" i="22" a="1"/>
  <c r="AL1307" i="22" s="1"/>
  <c r="AL1315" i="22" a="1"/>
  <c r="AL1323" i="22" a="1"/>
  <c r="AL1323" i="22" s="1"/>
  <c r="AL1331" i="22" a="1"/>
  <c r="AL1331" i="22" s="1"/>
  <c r="AL1339" i="22" a="1"/>
  <c r="AL1347" i="22" a="1"/>
  <c r="AL1361" i="22" a="1"/>
  <c r="AL1369" i="22" a="1"/>
  <c r="AL1369" i="22" s="1"/>
  <c r="AL1377" i="22" a="1"/>
  <c r="AL1377" i="22" s="1"/>
  <c r="AL1385" i="22" a="1"/>
  <c r="AL1393" i="22" a="1"/>
  <c r="AL1401" i="22" a="1"/>
  <c r="AL1401" i="22" s="1"/>
  <c r="AL1409" i="22" a="1"/>
  <c r="AL1417" i="22" a="1"/>
  <c r="AL1417" i="22" s="1"/>
  <c r="AL1425" i="22" a="1"/>
  <c r="AL1433" i="22" a="1"/>
  <c r="AL1433" i="22" s="1"/>
  <c r="AL1441" i="22" a="1"/>
  <c r="AL1441" i="22" s="1"/>
  <c r="AL1449" i="22" a="1"/>
  <c r="AL1457" i="22" a="1"/>
  <c r="AL1457" i="22" s="1"/>
  <c r="AL1465" i="22" a="1"/>
  <c r="AL1465" i="22" s="1"/>
  <c r="AL1473" i="22" a="1"/>
  <c r="AL1481" i="22" a="1"/>
  <c r="AL1481" i="22" s="1"/>
  <c r="AL1489" i="22" a="1"/>
  <c r="AL1497" i="22" a="1"/>
  <c r="AL1497" i="22" s="1"/>
  <c r="AL1505" i="22" a="1"/>
  <c r="AL1505" i="22" s="1"/>
  <c r="AL1513" i="22" a="1"/>
  <c r="AL1521" i="22" a="1"/>
  <c r="AL1529" i="22" a="1"/>
  <c r="AL1529" i="22" s="1"/>
  <c r="AL1537" i="22" a="1"/>
  <c r="AL1545" i="22" a="1"/>
  <c r="AL1545" i="22" s="1"/>
  <c r="AL1553" i="22" a="1"/>
  <c r="AL1561" i="22" a="1"/>
  <c r="AL1561" i="22" s="1"/>
  <c r="AL1569" i="22" a="1"/>
  <c r="AL1569" i="22" s="1"/>
  <c r="AL1351" i="22" a="1"/>
  <c r="AL1362" i="22" a="1"/>
  <c r="AL1362" i="22" s="1"/>
  <c r="AL1370" i="22" a="1"/>
  <c r="AL1370" i="22" s="1"/>
  <c r="AL1378" i="22" a="1"/>
  <c r="AL1386" i="22" a="1"/>
  <c r="AL1394" i="22" a="1"/>
  <c r="AL1402" i="22" a="1"/>
  <c r="AL1410" i="22" a="1"/>
  <c r="AL1410" i="22" s="1"/>
  <c r="AL1418" i="22" a="1"/>
  <c r="AL1426" i="22" a="1"/>
  <c r="AL1434" i="22" a="1"/>
  <c r="AL1434" i="22" s="1"/>
  <c r="AL1442" i="22" a="1"/>
  <c r="AL1450" i="22" a="1"/>
  <c r="AL1458" i="22" a="1"/>
  <c r="AL1466" i="22" a="1"/>
  <c r="AL1474" i="22" a="1"/>
  <c r="AL1474" i="22" s="1"/>
  <c r="AL1482" i="22" a="1"/>
  <c r="AL1490" i="22" a="1"/>
  <c r="AL1490" i="22" s="1"/>
  <c r="AL1498" i="22" a="1"/>
  <c r="AL1498" i="22" s="1"/>
  <c r="AL1506" i="22" a="1"/>
  <c r="AL1514" i="22" a="1"/>
  <c r="AL1522" i="22" a="1"/>
  <c r="AL1530" i="22" a="1"/>
  <c r="AL1538" i="22" a="1"/>
  <c r="AL1538" i="22" s="1"/>
  <c r="AL1546" i="22" a="1"/>
  <c r="AL1554" i="22" a="1"/>
  <c r="AL1554" i="22" s="1"/>
  <c r="AL1562" i="22" a="1"/>
  <c r="AL1562" i="22" s="1"/>
  <c r="AL1570" i="22" a="1"/>
  <c r="AL1355" i="22" a="1"/>
  <c r="AL1363" i="22" a="1"/>
  <c r="AL1371" i="22" a="1"/>
  <c r="AL1371" i="22" s="1"/>
  <c r="AL1379" i="22" a="1"/>
  <c r="AL1379" i="22" s="1"/>
  <c r="AL1387" i="22" a="1"/>
  <c r="AL1395" i="22" a="1"/>
  <c r="AL1395" i="22" s="1"/>
  <c r="AL1403" i="22" a="1"/>
  <c r="AL1411" i="22" a="1"/>
  <c r="AL1419" i="22" a="1"/>
  <c r="AL1427" i="22" a="1"/>
  <c r="AL1435" i="22" a="1"/>
  <c r="AL1435" i="22" s="1"/>
  <c r="AL1443" i="22" a="1"/>
  <c r="AL1443" i="22" s="1"/>
  <c r="AL1451" i="22" a="1"/>
  <c r="AL1459" i="22" a="1"/>
  <c r="AL1459" i="22" s="1"/>
  <c r="AL1467" i="22" a="1"/>
  <c r="AL1467" i="22" s="1"/>
  <c r="AL1475" i="22" a="1"/>
  <c r="AL1483" i="22" a="1"/>
  <c r="AL1491" i="22" a="1"/>
  <c r="AL1499" i="22" a="1"/>
  <c r="AL1499" i="22" s="1"/>
  <c r="AL1507" i="22" a="1"/>
  <c r="AL1507" i="22" s="1"/>
  <c r="AL1515" i="22" a="1"/>
  <c r="AL1523" i="22" a="1"/>
  <c r="AL1523" i="22" s="1"/>
  <c r="AL1531" i="22" a="1"/>
  <c r="AL1539" i="22" a="1"/>
  <c r="AL1547" i="22" a="1"/>
  <c r="AL1547" i="22" s="1"/>
  <c r="AL1555" i="22" a="1"/>
  <c r="AL1563" i="22" a="1"/>
  <c r="AL1563" i="22" s="1"/>
  <c r="AL1571" i="22" a="1"/>
  <c r="AL1571" i="22" s="1"/>
  <c r="AL1356" i="22" a="1"/>
  <c r="AL1364" i="22" a="1"/>
  <c r="AL1364" i="22" s="1"/>
  <c r="AL1372" i="22" a="1"/>
  <c r="AL1372" i="22" s="1"/>
  <c r="AL1380" i="22" a="1"/>
  <c r="AL1380" i="22" s="1"/>
  <c r="AL1388" i="22" a="1"/>
  <c r="AL1388" i="22" s="1"/>
  <c r="AL1396" i="22" a="1"/>
  <c r="AL1404" i="22" a="1"/>
  <c r="AL1404" i="22" s="1"/>
  <c r="AL1412" i="22" a="1"/>
  <c r="AL1412" i="22" s="1"/>
  <c r="AL1420" i="22" a="1"/>
  <c r="AL1428" i="22" a="1"/>
  <c r="AL1428" i="22" s="1"/>
  <c r="AL1436" i="22" a="1"/>
  <c r="AL1436" i="22" s="1"/>
  <c r="AL1444" i="22" a="1"/>
  <c r="AL1444" i="22" s="1"/>
  <c r="AL1452" i="22" a="1"/>
  <c r="AL1452" i="22" s="1"/>
  <c r="AL1460" i="22" a="1"/>
  <c r="AL1468" i="22" a="1"/>
  <c r="AL1468" i="22" s="1"/>
  <c r="AL1476" i="22" a="1"/>
  <c r="AL1476" i="22" s="1"/>
  <c r="AL1484" i="22" a="1"/>
  <c r="AL1484" i="22" s="1"/>
  <c r="AL1492" i="22" a="1"/>
  <c r="AL1492" i="22" s="1"/>
  <c r="AL1500" i="22" a="1"/>
  <c r="AL1500" i="22" s="1"/>
  <c r="AL1508" i="22" a="1"/>
  <c r="AL1508" i="22" s="1"/>
  <c r="AL1516" i="22" a="1"/>
  <c r="AL1516" i="22" s="1"/>
  <c r="AL1524" i="22" a="1"/>
  <c r="AL1532" i="22" a="1"/>
  <c r="AL1532" i="22" s="1"/>
  <c r="AL1540" i="22" a="1"/>
  <c r="AL1540" i="22" s="1"/>
  <c r="AL1548" i="22" a="1"/>
  <c r="AL1548" i="22" s="1"/>
  <c r="AL1556" i="22" a="1"/>
  <c r="AL1564" i="22" a="1"/>
  <c r="AL1564" i="22" s="1"/>
  <c r="AL1357" i="22" a="1"/>
  <c r="AL1365" i="22" a="1"/>
  <c r="AL1373" i="22" a="1"/>
  <c r="AL1381" i="22" a="1"/>
  <c r="AL1381" i="22" s="1"/>
  <c r="AL1389" i="22" a="1"/>
  <c r="AL1389" i="22" s="1"/>
  <c r="AL1397" i="22" a="1"/>
  <c r="AL1405" i="22" a="1"/>
  <c r="AL1405" i="22" s="1"/>
  <c r="AL1413" i="22" a="1"/>
  <c r="AL1413" i="22" s="1"/>
  <c r="AL1421" i="22" a="1"/>
  <c r="AL1421" i="22" s="1"/>
  <c r="AL1429" i="22" a="1"/>
  <c r="AL1437" i="22" a="1"/>
  <c r="AL1445" i="22" a="1"/>
  <c r="AL1445" i="22" s="1"/>
  <c r="AL1453" i="22" a="1"/>
  <c r="AL1453" i="22" s="1"/>
  <c r="AL1461" i="22" a="1"/>
  <c r="AL1469" i="22" a="1"/>
  <c r="AL1469" i="22" s="1"/>
  <c r="AL1477" i="22" a="1"/>
  <c r="AL1477" i="22" s="1"/>
  <c r="AL1485" i="22" a="1"/>
  <c r="AL1493" i="22" a="1"/>
  <c r="AL1493" i="22" s="1"/>
  <c r="AL1501" i="22" a="1"/>
  <c r="AL1509" i="22" a="1"/>
  <c r="AL1509" i="22" s="1"/>
  <c r="AL1517" i="22" a="1"/>
  <c r="AL1517" i="22" s="1"/>
  <c r="AL1525" i="22" a="1"/>
  <c r="AL1525" i="22" s="1"/>
  <c r="AL1533" i="22" a="1"/>
  <c r="AL1533" i="22" s="1"/>
  <c r="AL1541" i="22" a="1"/>
  <c r="AL1541" i="22" s="1"/>
  <c r="AL1549" i="22" a="1"/>
  <c r="AL1549" i="22" s="1"/>
  <c r="AL1557" i="22" a="1"/>
  <c r="AL1557" i="22" s="1"/>
  <c r="AL1565" i="22" a="1"/>
  <c r="AL1358" i="22" a="1"/>
  <c r="AL1366" i="22" a="1"/>
  <c r="AL1366" i="22" s="1"/>
  <c r="AL1374" i="22" a="1"/>
  <c r="AL1374" i="22" s="1"/>
  <c r="AL1382" i="22" a="1"/>
  <c r="AL1382" i="22" s="1"/>
  <c r="AL1390" i="22" a="1"/>
  <c r="AL1390" i="22" s="1"/>
  <c r="AL1398" i="22" a="1"/>
  <c r="AL1398" i="22" s="1"/>
  <c r="AL1406" i="22" a="1"/>
  <c r="AL1406" i="22" s="1"/>
  <c r="AL1414" i="22" a="1"/>
  <c r="AL1422" i="22" a="1"/>
  <c r="AL1430" i="22" a="1"/>
  <c r="AL1430" i="22" s="1"/>
  <c r="AL1438" i="22" a="1"/>
  <c r="AL1438" i="22" s="1"/>
  <c r="AL1446" i="22" a="1"/>
  <c r="AL1446" i="22" s="1"/>
  <c r="AL1454" i="22" a="1"/>
  <c r="AL1454" i="22" s="1"/>
  <c r="AL1462" i="22" a="1"/>
  <c r="AL1462" i="22" s="1"/>
  <c r="AL1470" i="22" a="1"/>
  <c r="AL1470" i="22" s="1"/>
  <c r="AL1478" i="22" a="1"/>
  <c r="AL1486" i="22" a="1"/>
  <c r="AL1494" i="22" a="1"/>
  <c r="AL1494" i="22" s="1"/>
  <c r="AL1502" i="22" a="1"/>
  <c r="AL1502" i="22" s="1"/>
  <c r="AL1510" i="22" a="1"/>
  <c r="AL1510" i="22" s="1"/>
  <c r="AL1518" i="22" a="1"/>
  <c r="AL1518" i="22" s="1"/>
  <c r="AL1526" i="22" a="1"/>
  <c r="AL1526" i="22" s="1"/>
  <c r="AL1534" i="22" a="1"/>
  <c r="AL1534" i="22" s="1"/>
  <c r="AL1542" i="22" a="1"/>
  <c r="AL1550" i="22" a="1"/>
  <c r="AL1558" i="22" a="1"/>
  <c r="AL1558" i="22" s="1"/>
  <c r="AL1566" i="22" a="1"/>
  <c r="AL1566" i="22" s="1"/>
  <c r="AL1359" i="22" a="1"/>
  <c r="AL1359" i="22" s="1"/>
  <c r="AL1367" i="22" a="1"/>
  <c r="AL1367" i="22" s="1"/>
  <c r="AL1375" i="22" a="1"/>
  <c r="AL1383" i="22" a="1"/>
  <c r="AL1383" i="22" s="1"/>
  <c r="AL1391" i="22" a="1"/>
  <c r="AL1399" i="22" a="1"/>
  <c r="AL1399" i="22" s="1"/>
  <c r="AL1407" i="22" a="1"/>
  <c r="AL1407" i="22" s="1"/>
  <c r="AL1415" i="22" a="1"/>
  <c r="AL1415" i="22" s="1"/>
  <c r="AL1423" i="22" a="1"/>
  <c r="AL1423" i="22" s="1"/>
  <c r="AL1431" i="22" a="1"/>
  <c r="AL1431" i="22" s="1"/>
  <c r="AL1439" i="22" a="1"/>
  <c r="AL1439" i="22" s="1"/>
  <c r="AL1447" i="22" a="1"/>
  <c r="AL1447" i="22" s="1"/>
  <c r="AL1455" i="22" a="1"/>
  <c r="AL1455" i="22" s="1"/>
  <c r="AL1463" i="22" a="1"/>
  <c r="AL1463" i="22" s="1"/>
  <c r="AL1471" i="22" a="1"/>
  <c r="AL1471" i="22" s="1"/>
  <c r="AL1479" i="22" a="1"/>
  <c r="AL1479" i="22" s="1"/>
  <c r="AL1487" i="22" a="1"/>
  <c r="AL1487" i="22" s="1"/>
  <c r="AL1495" i="22" a="1"/>
  <c r="AL1503" i="22" a="1"/>
  <c r="AL1503" i="22" s="1"/>
  <c r="AL1511" i="22" a="1"/>
  <c r="AL1511" i="22" s="1"/>
  <c r="AL1519" i="22" a="1"/>
  <c r="AL1519" i="22" s="1"/>
  <c r="AL1527" i="22" a="1"/>
  <c r="AL1527" i="22" s="1"/>
  <c r="AL1535" i="22" a="1"/>
  <c r="AL1535" i="22" s="1"/>
  <c r="AL1543" i="22" a="1"/>
  <c r="AL1551" i="22" a="1"/>
  <c r="AL1551" i="22" s="1"/>
  <c r="AL1559" i="22" a="1"/>
  <c r="AL1559" i="22" s="1"/>
  <c r="AL1567" i="22" a="1"/>
  <c r="AL1567" i="22" s="1"/>
  <c r="AL1360" i="22" a="1"/>
  <c r="AL1360" i="22" s="1"/>
  <c r="AL1368" i="22" a="1"/>
  <c r="AL1376" i="22" a="1"/>
  <c r="AL1376" i="22" s="1"/>
  <c r="AL1384" i="22" a="1"/>
  <c r="AL1384" i="22" s="1"/>
  <c r="AL1392" i="22" a="1"/>
  <c r="AL1392" i="22" s="1"/>
  <c r="AL1400" i="22" a="1"/>
  <c r="AL1400" i="22" s="1"/>
  <c r="AL1408" i="22" a="1"/>
  <c r="AL1408" i="22" s="1"/>
  <c r="AL1416" i="22" a="1"/>
  <c r="AL1416" i="22" s="1"/>
  <c r="AL1424" i="22" a="1"/>
  <c r="AL1424" i="22" s="1"/>
  <c r="AL1432" i="22" a="1"/>
  <c r="AL1432" i="22" s="1"/>
  <c r="AL1440" i="22" a="1"/>
  <c r="AL1440" i="22" s="1"/>
  <c r="AL1448" i="22" a="1"/>
  <c r="AL1448" i="22" s="1"/>
  <c r="AL1456" i="22" a="1"/>
  <c r="AL1456" i="22" s="1"/>
  <c r="AL1464" i="22" a="1"/>
  <c r="AL1464" i="22" s="1"/>
  <c r="AL1472" i="22" a="1"/>
  <c r="AL1472" i="22" s="1"/>
  <c r="AL1480" i="22" a="1"/>
  <c r="AL1480" i="22" s="1"/>
  <c r="AL1488" i="22" a="1"/>
  <c r="AL1488" i="22" s="1"/>
  <c r="AL1496" i="22" a="1"/>
  <c r="AL1504" i="22" a="1"/>
  <c r="AL1504" i="22" s="1"/>
  <c r="AL1512" i="22" a="1"/>
  <c r="AL1512" i="22" s="1"/>
  <c r="AL1520" i="22" a="1"/>
  <c r="AL1520" i="22" s="1"/>
  <c r="AL1528" i="22" a="1"/>
  <c r="AL1528" i="22" s="1"/>
  <c r="AL1536" i="22" a="1"/>
  <c r="AL1536" i="22" s="1"/>
  <c r="AL1544" i="22" a="1"/>
  <c r="AL1544" i="22" s="1"/>
  <c r="AL1552" i="22" a="1"/>
  <c r="AL1552" i="22" s="1"/>
  <c r="AL1560" i="22" a="1"/>
  <c r="AL1560" i="22" s="1"/>
  <c r="AL1568" i="22" a="1"/>
  <c r="AL13" i="22"/>
  <c r="AL14" i="22"/>
  <c r="AL16" i="22"/>
  <c r="AL17" i="22"/>
  <c r="AL19" i="22"/>
  <c r="AL20" i="22"/>
  <c r="AL21" i="22"/>
  <c r="AL22" i="22"/>
  <c r="AL23" i="22"/>
  <c r="AL24" i="22"/>
  <c r="AL25" i="22"/>
  <c r="AL27" i="22"/>
  <c r="AL28" i="22"/>
  <c r="AL29" i="22"/>
  <c r="AL30" i="22"/>
  <c r="AL31" i="22"/>
  <c r="AL32" i="22"/>
  <c r="AL33" i="22"/>
  <c r="AL34" i="22"/>
  <c r="AL35" i="22"/>
  <c r="AL36" i="22"/>
  <c r="AL37" i="22"/>
  <c r="AL38" i="22"/>
  <c r="AL39" i="22"/>
  <c r="AL41" i="22"/>
  <c r="AL42" i="22"/>
  <c r="AL44" i="22"/>
  <c r="AL45" i="22"/>
  <c r="AL46" i="22"/>
  <c r="AL47" i="22"/>
  <c r="AL48" i="22"/>
  <c r="AL49" i="22"/>
  <c r="AL50" i="22"/>
  <c r="AL52" i="22"/>
  <c r="AL53" i="22"/>
  <c r="AL55" i="22"/>
  <c r="AL56" i="22"/>
  <c r="AL57" i="22"/>
  <c r="AL58" i="22"/>
  <c r="AL59" i="22"/>
  <c r="AL60" i="22"/>
  <c r="AL61" i="22"/>
  <c r="AL62" i="22"/>
  <c r="AL63" i="22"/>
  <c r="AL64" i="22"/>
  <c r="AL66" i="22"/>
  <c r="AL67" i="22"/>
  <c r="AL68" i="22"/>
  <c r="AL69" i="22"/>
  <c r="AL70" i="22"/>
  <c r="AL71" i="22"/>
  <c r="AL72" i="22"/>
  <c r="AL73" i="22"/>
  <c r="AL74" i="22"/>
  <c r="AL75" i="22"/>
  <c r="AL77" i="22"/>
  <c r="AL78" i="22"/>
  <c r="AL80" i="22"/>
  <c r="AL81" i="22"/>
  <c r="AL82" i="22"/>
  <c r="AL83" i="22"/>
  <c r="AL84" i="22"/>
  <c r="AL85" i="22"/>
  <c r="AL86" i="22"/>
  <c r="AL87" i="22"/>
  <c r="AL88" i="22"/>
  <c r="AL89" i="22"/>
  <c r="AL91" i="22"/>
  <c r="AL92" i="22"/>
  <c r="AL93" i="22"/>
  <c r="AL94" i="22"/>
  <c r="AL95" i="22"/>
  <c r="AL96" i="22"/>
  <c r="AL97" i="22"/>
  <c r="AL98" i="22"/>
  <c r="AL99" i="22"/>
  <c r="AL100" i="22"/>
  <c r="AL101" i="22"/>
  <c r="AL102" i="22"/>
  <c r="AL103" i="22"/>
  <c r="AL105" i="22"/>
  <c r="AL106" i="22"/>
  <c r="AL108" i="22"/>
  <c r="AL109" i="22"/>
  <c r="AL110" i="22"/>
  <c r="AL111" i="22"/>
  <c r="AL112" i="22"/>
  <c r="AL113" i="22"/>
  <c r="AL114" i="22"/>
  <c r="AL116" i="22"/>
  <c r="AL117" i="22"/>
  <c r="AL119" i="22"/>
  <c r="AL120" i="22"/>
  <c r="AL121" i="22"/>
  <c r="AL122" i="22"/>
  <c r="AL123" i="22"/>
  <c r="AL124" i="22"/>
  <c r="AL125" i="22"/>
  <c r="AL126" i="22"/>
  <c r="AL127" i="22"/>
  <c r="AL128" i="22"/>
  <c r="AL130" i="22"/>
  <c r="AL131" i="22"/>
  <c r="AL132" i="22"/>
  <c r="AL133" i="22"/>
  <c r="AL134" i="22"/>
  <c r="AL135" i="22"/>
  <c r="AL136" i="22"/>
  <c r="AL137" i="22"/>
  <c r="AL138" i="22"/>
  <c r="AL139" i="22"/>
  <c r="AL141" i="22"/>
  <c r="AL142" i="22"/>
  <c r="AL144" i="22"/>
  <c r="AL145" i="22"/>
  <c r="AL147" i="22"/>
  <c r="AL148" i="22"/>
  <c r="AL149" i="22"/>
  <c r="AL150" i="22"/>
  <c r="AL151" i="22"/>
  <c r="AL152" i="22"/>
  <c r="AL153" i="22"/>
  <c r="AL155" i="22"/>
  <c r="AL156" i="22"/>
  <c r="AL157" i="22"/>
  <c r="AL158" i="22"/>
  <c r="AL159" i="22"/>
  <c r="AL160" i="22"/>
  <c r="AL161" i="22"/>
  <c r="AL162" i="22"/>
  <c r="AL163" i="22"/>
  <c r="AL164" i="22"/>
  <c r="AL165" i="22"/>
  <c r="AL166" i="22"/>
  <c r="AL167" i="22"/>
  <c r="AL169" i="22"/>
  <c r="AL170" i="22"/>
  <c r="AL171" i="22"/>
  <c r="AL172" i="22"/>
  <c r="AL173" i="22"/>
  <c r="AL174" i="22"/>
  <c r="AL175" i="22"/>
  <c r="AL176" i="22"/>
  <c r="AL177" i="22"/>
  <c r="AL178" i="22"/>
  <c r="AL180" i="22"/>
  <c r="AL181" i="22"/>
  <c r="AL183" i="22"/>
  <c r="AL184" i="22"/>
  <c r="AL185" i="22"/>
  <c r="AL186" i="22"/>
  <c r="AL187" i="22"/>
  <c r="AL188" i="22"/>
  <c r="AL189" i="22"/>
  <c r="AL190" i="22"/>
  <c r="AL191" i="22"/>
  <c r="AL192" i="22"/>
  <c r="AL194" i="22"/>
  <c r="AL195" i="22"/>
  <c r="AL196" i="22"/>
  <c r="AL197" i="22"/>
  <c r="AL198" i="22"/>
  <c r="AL199" i="22"/>
  <c r="AL200" i="22"/>
  <c r="AL201" i="22"/>
  <c r="AL202" i="22"/>
  <c r="AL203" i="22"/>
  <c r="AL205" i="22"/>
  <c r="AL206" i="22"/>
  <c r="AL208" i="22"/>
  <c r="AL209" i="22"/>
  <c r="AL210" i="22"/>
  <c r="AL211" i="22"/>
  <c r="AL212" i="22"/>
  <c r="AL213" i="22"/>
  <c r="AL214" i="22"/>
  <c r="AL215" i="22"/>
  <c r="AL216" i="22"/>
  <c r="AL217" i="22"/>
  <c r="AL219" i="22"/>
  <c r="AL220" i="22"/>
  <c r="AL221" i="22"/>
  <c r="AL222" i="22"/>
  <c r="AL223" i="22"/>
  <c r="AL224" i="22"/>
  <c r="AL225" i="22"/>
  <c r="AL226" i="22"/>
  <c r="AL227" i="22"/>
  <c r="AL228" i="22"/>
  <c r="AL229" i="22"/>
  <c r="AL230" i="22"/>
  <c r="AL231" i="22"/>
  <c r="AL233" i="22"/>
  <c r="AL234" i="22"/>
  <c r="AL236" i="22"/>
  <c r="AL237" i="22"/>
  <c r="AL238" i="22"/>
  <c r="AL239" i="22"/>
  <c r="AL240" i="22"/>
  <c r="AL241" i="22"/>
  <c r="AL242" i="22"/>
  <c r="AL244" i="22"/>
  <c r="AL245" i="22"/>
  <c r="AL247" i="22"/>
  <c r="AL248" i="22"/>
  <c r="AL249" i="22"/>
  <c r="AL250" i="22"/>
  <c r="AL251" i="22"/>
  <c r="AL252" i="22"/>
  <c r="AL253" i="22"/>
  <c r="AL254" i="22"/>
  <c r="AL255" i="22"/>
  <c r="AL256" i="22"/>
  <c r="AL258" i="22"/>
  <c r="AL259" i="22"/>
  <c r="AL260" i="22"/>
  <c r="AL261" i="22"/>
  <c r="AL262" i="22"/>
  <c r="AL263" i="22"/>
  <c r="AL264" i="22"/>
  <c r="AL265" i="22"/>
  <c r="AL266" i="22"/>
  <c r="AL267" i="22"/>
  <c r="AL269" i="22"/>
  <c r="AL270" i="22"/>
  <c r="AL272" i="22"/>
  <c r="AL273" i="22"/>
  <c r="AL274" i="22"/>
  <c r="AL275" i="22"/>
  <c r="AL276" i="22"/>
  <c r="AL277" i="22"/>
  <c r="AL278" i="22"/>
  <c r="AL279" i="22"/>
  <c r="AL280" i="22"/>
  <c r="AL281" i="22"/>
  <c r="AL283" i="22"/>
  <c r="AL284" i="22"/>
  <c r="AL285" i="22"/>
  <c r="AL286" i="22"/>
  <c r="AL287" i="22"/>
  <c r="AL288" i="22"/>
  <c r="AL289" i="22"/>
  <c r="AL290" i="22"/>
  <c r="AL291" i="22"/>
  <c r="AL292" i="22"/>
  <c r="AL293" i="22"/>
  <c r="AL294" i="22"/>
  <c r="AL295" i="22"/>
  <c r="AL297" i="22"/>
  <c r="AL298" i="22"/>
  <c r="AL299" i="22"/>
  <c r="AL300" i="22"/>
  <c r="AL301" i="22"/>
  <c r="AL302" i="22"/>
  <c r="AL303" i="22"/>
  <c r="AL304" i="22"/>
  <c r="AL305" i="22"/>
  <c r="AL306" i="22"/>
  <c r="AL308" i="22"/>
  <c r="AL309" i="22"/>
  <c r="AL311" i="22"/>
  <c r="AL312" i="22"/>
  <c r="AL313" i="22"/>
  <c r="AL314" i="22"/>
  <c r="AL315" i="22"/>
  <c r="AL316" i="22"/>
  <c r="AL317" i="22"/>
  <c r="AL318" i="22"/>
  <c r="AL319" i="22"/>
  <c r="AL320" i="22"/>
  <c r="AL322" i="22"/>
  <c r="AL323" i="22"/>
  <c r="AL324" i="22"/>
  <c r="AL325" i="22"/>
  <c r="AL326" i="22"/>
  <c r="AL327" i="22"/>
  <c r="AL328" i="22"/>
  <c r="AL329" i="22"/>
  <c r="AL330" i="22"/>
  <c r="AL331" i="22"/>
  <c r="AL333" i="22"/>
  <c r="AL334" i="22"/>
  <c r="AL336" i="22"/>
  <c r="AL337" i="22"/>
  <c r="AL338" i="22"/>
  <c r="AL339" i="22"/>
  <c r="AL340" i="22"/>
  <c r="AL341" i="22"/>
  <c r="AL342" i="22"/>
  <c r="AL343" i="22"/>
  <c r="AL344" i="22"/>
  <c r="AL345" i="22"/>
  <c r="AL347" i="22"/>
  <c r="AL348" i="22"/>
  <c r="AL349" i="22"/>
  <c r="AL350" i="22"/>
  <c r="AL351" i="22"/>
  <c r="AL352" i="22"/>
  <c r="AL354" i="22"/>
  <c r="AL353" i="22"/>
  <c r="AL355" i="22"/>
  <c r="AL356" i="22"/>
  <c r="AL357" i="22"/>
  <c r="AL358" i="22"/>
  <c r="AL359" i="22"/>
  <c r="AL361" i="22"/>
  <c r="AL362" i="22"/>
  <c r="AL363" i="22"/>
  <c r="AL364" i="22"/>
  <c r="AL365" i="22"/>
  <c r="AL366" i="22"/>
  <c r="AL367" i="22"/>
  <c r="AL368" i="22"/>
  <c r="AL369" i="22"/>
  <c r="AL370" i="22"/>
  <c r="AL372" i="22"/>
  <c r="AL373" i="22"/>
  <c r="AL375" i="22"/>
  <c r="AL376" i="22"/>
  <c r="AL377" i="22"/>
  <c r="AL378" i="22"/>
  <c r="AL379" i="22"/>
  <c r="AL380" i="22"/>
  <c r="AL381" i="22"/>
  <c r="AL382" i="22"/>
  <c r="AL383" i="22"/>
  <c r="AL384" i="22"/>
  <c r="AL386" i="22"/>
  <c r="AL387" i="22"/>
  <c r="AL388" i="22"/>
  <c r="AL389" i="22"/>
  <c r="AL390" i="22"/>
  <c r="AL391" i="22"/>
  <c r="AL392" i="22"/>
  <c r="AL393" i="22"/>
  <c r="AL394" i="22"/>
  <c r="AL395" i="22"/>
  <c r="AL397" i="22"/>
  <c r="AL398" i="22"/>
  <c r="AL400" i="22"/>
  <c r="AL401" i="22"/>
  <c r="AL403" i="22"/>
  <c r="AL404" i="22"/>
  <c r="AL405" i="22"/>
  <c r="AL406" i="22"/>
  <c r="AL407" i="22"/>
  <c r="AL408" i="22"/>
  <c r="AL409" i="22"/>
  <c r="AL411" i="22"/>
  <c r="AL412" i="22"/>
  <c r="AL413" i="22"/>
  <c r="AL414" i="22"/>
  <c r="AL415" i="22"/>
  <c r="AL416" i="22"/>
  <c r="AL417" i="22"/>
  <c r="AL418" i="22"/>
  <c r="AL419" i="22"/>
  <c r="AL420" i="22"/>
  <c r="AL421" i="22"/>
  <c r="AL422" i="22"/>
  <c r="AL423" i="22"/>
  <c r="AL425" i="22"/>
  <c r="AL426" i="22"/>
  <c r="AL428" i="22"/>
  <c r="AL429" i="22"/>
  <c r="AL430" i="22"/>
  <c r="AL431" i="22"/>
  <c r="AL432" i="22"/>
  <c r="AL433" i="22"/>
  <c r="AL434" i="22"/>
  <c r="AL436" i="22"/>
  <c r="AL437" i="22"/>
  <c r="AL439" i="22"/>
  <c r="AL440" i="22"/>
  <c r="AL441" i="22"/>
  <c r="AL442" i="22"/>
  <c r="AL443" i="22"/>
  <c r="AL444" i="22"/>
  <c r="AL445" i="22"/>
  <c r="AL446" i="22"/>
  <c r="AL447" i="22"/>
  <c r="AL448" i="22"/>
  <c r="AL450" i="22"/>
  <c r="AL451" i="22"/>
  <c r="AL452" i="22"/>
  <c r="AL453" i="22"/>
  <c r="AL454" i="22"/>
  <c r="AL455" i="22"/>
  <c r="AL456" i="22"/>
  <c r="AL457" i="22"/>
  <c r="AL458" i="22"/>
  <c r="AL459" i="22"/>
  <c r="AL461" i="22"/>
  <c r="AL462" i="22"/>
  <c r="AL464" i="22"/>
  <c r="AL465" i="22"/>
  <c r="AL467" i="22"/>
  <c r="AL468" i="22"/>
  <c r="AL469" i="22"/>
  <c r="AL470" i="22"/>
  <c r="AL471" i="22"/>
  <c r="AL472" i="22"/>
  <c r="AL473" i="22"/>
  <c r="AL475" i="22"/>
  <c r="AL476" i="22"/>
  <c r="AL477" i="22"/>
  <c r="AL478" i="22"/>
  <c r="AL479" i="22"/>
  <c r="AL480" i="22"/>
  <c r="AL481" i="22"/>
  <c r="AL482" i="22"/>
  <c r="AL483" i="22"/>
  <c r="AL484" i="22"/>
  <c r="AL485" i="22"/>
  <c r="AL486" i="22"/>
  <c r="AL487" i="22"/>
  <c r="AL489" i="22"/>
  <c r="AL490" i="22"/>
  <c r="AL492" i="22"/>
  <c r="AL493" i="22"/>
  <c r="AL494" i="22"/>
  <c r="AL495" i="22"/>
  <c r="AL496" i="22"/>
  <c r="AL497" i="22"/>
  <c r="AL498" i="22"/>
  <c r="AL500" i="22"/>
  <c r="AL501" i="22"/>
  <c r="AL503" i="22"/>
  <c r="AL504" i="22"/>
  <c r="AL505" i="22"/>
  <c r="AL506" i="22"/>
  <c r="AL507" i="22"/>
  <c r="AL508" i="22"/>
  <c r="AL509" i="22"/>
  <c r="AL510" i="22"/>
  <c r="AL511" i="22"/>
  <c r="AL512" i="22"/>
  <c r="AL514" i="22"/>
  <c r="AL515" i="22"/>
  <c r="AL516" i="22"/>
  <c r="AL517" i="22"/>
  <c r="AL518" i="22"/>
  <c r="AL519" i="22"/>
  <c r="AL520" i="22"/>
  <c r="AL521" i="22"/>
  <c r="AL522" i="22"/>
  <c r="AL523" i="22"/>
  <c r="AL525" i="22"/>
  <c r="AL526" i="22"/>
  <c r="AL528" i="22"/>
  <c r="AL529" i="22"/>
  <c r="AL531" i="22"/>
  <c r="AL532" i="22"/>
  <c r="AL533" i="22"/>
  <c r="AL534" i="22"/>
  <c r="AL535" i="22"/>
  <c r="AL536" i="22"/>
  <c r="AL537" i="22"/>
  <c r="AL539" i="22"/>
  <c r="AL540" i="22"/>
  <c r="AL541" i="22"/>
  <c r="AL542" i="22"/>
  <c r="AL543" i="22"/>
  <c r="AL544" i="22"/>
  <c r="AL545" i="22"/>
  <c r="AL546" i="22"/>
  <c r="AL547" i="22"/>
  <c r="AL548" i="22"/>
  <c r="AL549" i="22"/>
  <c r="AL550" i="22"/>
  <c r="AL551" i="22"/>
  <c r="AL553" i="22"/>
  <c r="AL554" i="22"/>
  <c r="AL556" i="22"/>
  <c r="AL557" i="22"/>
  <c r="AL558" i="22"/>
  <c r="AL559" i="22"/>
  <c r="AL560" i="22"/>
  <c r="AL561" i="22"/>
  <c r="AL562" i="22"/>
  <c r="AL564" i="22"/>
  <c r="AL565" i="22"/>
  <c r="AL567" i="22"/>
  <c r="AL568" i="22"/>
  <c r="AL569" i="22"/>
  <c r="AL570" i="22"/>
  <c r="AL571" i="22"/>
  <c r="AL572" i="22"/>
  <c r="AL573" i="22"/>
  <c r="AL574" i="22"/>
  <c r="AL575" i="22"/>
  <c r="AL576" i="22"/>
  <c r="AL578" i="22"/>
  <c r="AL579" i="22"/>
  <c r="AL580" i="22"/>
  <c r="AL581" i="22"/>
  <c r="AL582" i="22"/>
  <c r="AL583" i="22"/>
  <c r="AL584" i="22"/>
  <c r="AL585" i="22"/>
  <c r="AL586" i="22"/>
  <c r="AL587" i="22"/>
  <c r="AL589" i="22"/>
  <c r="AL590" i="22"/>
  <c r="AL592" i="22"/>
  <c r="AL593" i="22"/>
  <c r="AL594" i="22"/>
  <c r="AL595" i="22"/>
  <c r="AL596" i="22"/>
  <c r="AL597" i="22"/>
  <c r="AL598" i="22"/>
  <c r="AL599" i="22"/>
  <c r="AL600" i="22"/>
  <c r="AL601" i="22"/>
  <c r="AL603" i="22"/>
  <c r="AL604" i="22"/>
  <c r="AL605" i="22"/>
  <c r="AL606" i="22"/>
  <c r="AL607" i="22"/>
  <c r="AL608" i="22"/>
  <c r="AL609" i="22"/>
  <c r="AL610" i="22"/>
  <c r="AL611" i="22"/>
  <c r="AL612" i="22"/>
  <c r="AL613" i="22"/>
  <c r="AL614" i="22"/>
  <c r="AL615" i="22"/>
  <c r="AL617" i="22"/>
  <c r="AL618" i="22"/>
  <c r="AL620" i="22"/>
  <c r="AL621" i="22"/>
  <c r="AL622" i="22"/>
  <c r="AL623" i="22"/>
  <c r="AL624" i="22"/>
  <c r="AL625" i="22"/>
  <c r="AL626" i="22"/>
  <c r="AL628" i="22"/>
  <c r="AL629" i="22"/>
  <c r="AL630" i="22"/>
  <c r="AL631" i="22"/>
  <c r="AL632" i="22"/>
  <c r="AL633" i="22"/>
  <c r="AL634" i="22"/>
  <c r="AL635" i="22"/>
  <c r="AL636" i="22"/>
  <c r="AL637" i="22"/>
  <c r="AL639" i="22"/>
  <c r="AL640" i="22"/>
  <c r="AL642" i="22"/>
  <c r="AL643" i="22"/>
  <c r="AL644" i="22"/>
  <c r="AL645" i="22"/>
  <c r="AL647" i="22"/>
  <c r="AL648" i="22"/>
  <c r="AL649" i="22"/>
  <c r="AL650" i="22"/>
  <c r="AL651" i="22"/>
  <c r="AL653" i="22"/>
  <c r="AL655" i="22"/>
  <c r="AL656" i="22"/>
  <c r="AL657" i="22"/>
  <c r="AL658" i="22"/>
  <c r="AL659" i="22"/>
  <c r="AL660" i="22"/>
  <c r="AL661" i="22"/>
  <c r="AL662" i="22"/>
  <c r="AL663" i="22"/>
  <c r="AL664" i="22"/>
  <c r="AL665" i="22"/>
  <c r="AL667" i="22"/>
  <c r="AL668" i="22"/>
  <c r="AL669" i="22"/>
  <c r="AL671" i="22"/>
  <c r="AL672" i="22"/>
  <c r="AL673" i="22"/>
  <c r="AL674" i="22"/>
  <c r="AL675" i="22"/>
  <c r="AL676" i="22"/>
  <c r="AL677" i="22"/>
  <c r="AL678" i="22"/>
  <c r="AL679" i="22"/>
  <c r="AL681" i="22"/>
  <c r="AL682" i="22"/>
  <c r="AL683" i="22"/>
  <c r="AL684" i="22"/>
  <c r="AL685" i="22"/>
  <c r="AL686" i="22"/>
  <c r="AL687" i="22"/>
  <c r="AL688" i="22"/>
  <c r="AL689" i="22"/>
  <c r="AL690" i="22"/>
  <c r="AL692" i="22"/>
  <c r="AL694" i="22"/>
  <c r="AL695" i="22"/>
  <c r="AL697" i="22"/>
  <c r="AL699" i="22"/>
  <c r="AL700" i="22"/>
  <c r="AL702" i="22"/>
  <c r="AL703" i="22"/>
  <c r="AL704" i="22"/>
  <c r="AL708" i="22"/>
  <c r="AL709" i="22"/>
  <c r="AL710" i="22"/>
  <c r="AL711" i="22"/>
  <c r="AL712" i="22"/>
  <c r="AL713" i="22"/>
  <c r="AL714" i="22"/>
  <c r="AL715" i="22"/>
  <c r="AL716" i="22"/>
  <c r="AL717" i="22"/>
  <c r="AL719" i="22"/>
  <c r="AL721" i="22"/>
  <c r="AL722" i="22"/>
  <c r="AL724" i="22"/>
  <c r="AL725" i="22"/>
  <c r="AL727" i="22"/>
  <c r="AL728" i="22"/>
  <c r="AL729" i="22"/>
  <c r="AL733" i="22"/>
  <c r="AL734" i="22"/>
  <c r="AL735" i="22"/>
  <c r="AL736" i="22"/>
  <c r="AL738" i="22"/>
  <c r="AL739" i="22"/>
  <c r="AL741" i="22"/>
  <c r="AL742" i="22"/>
  <c r="AL744" i="22"/>
  <c r="AL746" i="22"/>
  <c r="AL748" i="22"/>
  <c r="AL749" i="22"/>
  <c r="AL750" i="22"/>
  <c r="AL752" i="22"/>
  <c r="AL753" i="22"/>
  <c r="AL754" i="22"/>
  <c r="AL756" i="22"/>
  <c r="AL757" i="22"/>
  <c r="AL758" i="22"/>
  <c r="AL759" i="22"/>
  <c r="AL761" i="22"/>
  <c r="AL763" i="22"/>
  <c r="AL764" i="22"/>
  <c r="AL765" i="22"/>
  <c r="AL766" i="22"/>
  <c r="AL767" i="22"/>
  <c r="AL768" i="22"/>
  <c r="AL769" i="22"/>
  <c r="AL772" i="22"/>
  <c r="AL773" i="22"/>
  <c r="AL774" i="22"/>
  <c r="AL775" i="22"/>
  <c r="AL777" i="22"/>
  <c r="AL778" i="22"/>
  <c r="AL779" i="22"/>
  <c r="AL780" i="22"/>
  <c r="AL781" i="22"/>
  <c r="AL782" i="22"/>
  <c r="AL783" i="22"/>
  <c r="AL786" i="22"/>
  <c r="AL788" i="22"/>
  <c r="AL789" i="22"/>
  <c r="AL792" i="22"/>
  <c r="AL793" i="22"/>
  <c r="AL794" i="22"/>
  <c r="AL797" i="22"/>
  <c r="AL798" i="22"/>
  <c r="AL799" i="22"/>
  <c r="AL800" i="22"/>
  <c r="AL801" i="22"/>
  <c r="AL802" i="22"/>
  <c r="AL803" i="22"/>
  <c r="AL805" i="22"/>
  <c r="AL806" i="22"/>
  <c r="AL808" i="22"/>
  <c r="AL812" i="22"/>
  <c r="AL813" i="22"/>
  <c r="AL814" i="22"/>
  <c r="AL816" i="22"/>
  <c r="AL817" i="22"/>
  <c r="AL818" i="22"/>
  <c r="AL820" i="22"/>
  <c r="AL821" i="22"/>
  <c r="AL822" i="22"/>
  <c r="AL823" i="22"/>
  <c r="AL825" i="22"/>
  <c r="AL827" i="22"/>
  <c r="AL828" i="22"/>
  <c r="AL829" i="22"/>
  <c r="AL830" i="22"/>
  <c r="AL831" i="22"/>
  <c r="AL832" i="22"/>
  <c r="AL835" i="22"/>
  <c r="AL836" i="22"/>
  <c r="AL837" i="22"/>
  <c r="AL838" i="22"/>
  <c r="AL839" i="22"/>
  <c r="AL841" i="22"/>
  <c r="AL842" i="22"/>
  <c r="AL843" i="22"/>
  <c r="AL844" i="22"/>
  <c r="AL845" i="22"/>
  <c r="AL846" i="22"/>
  <c r="AL847" i="22"/>
  <c r="AL850" i="22"/>
  <c r="AL852" i="22"/>
  <c r="AL853" i="22"/>
  <c r="AL855" i="22"/>
  <c r="AL856" i="22"/>
  <c r="AL857" i="22"/>
  <c r="AL861" i="22"/>
  <c r="AL862" i="22"/>
  <c r="AL863" i="22"/>
  <c r="AL864" i="22"/>
  <c r="AL865" i="22"/>
  <c r="AL866" i="22"/>
  <c r="AL867" i="22"/>
  <c r="AL869" i="22"/>
  <c r="AL870" i="22"/>
  <c r="AL871" i="22"/>
  <c r="AL872" i="22"/>
  <c r="AL874" i="22"/>
  <c r="AL876" i="22"/>
  <c r="AL877" i="22"/>
  <c r="AL878" i="22"/>
  <c r="AL880" i="22"/>
  <c r="AL881" i="22"/>
  <c r="AL882" i="22"/>
  <c r="AL884" i="22"/>
  <c r="AL886" i="22"/>
  <c r="AL887" i="22"/>
  <c r="AL889" i="22"/>
  <c r="AL891" i="22"/>
  <c r="AL892" i="22"/>
  <c r="AL895" i="22"/>
  <c r="AL896" i="22"/>
  <c r="AL900" i="22"/>
  <c r="AL901" i="22"/>
  <c r="AL902" i="22"/>
  <c r="AL903" i="22"/>
  <c r="AL905" i="22"/>
  <c r="AL906" i="22"/>
  <c r="AL907" i="22"/>
  <c r="AL908" i="22"/>
  <c r="AL909" i="22"/>
  <c r="AL911" i="22"/>
  <c r="AL916" i="22"/>
  <c r="AL917" i="22"/>
  <c r="AL919" i="22"/>
  <c r="AL920" i="22"/>
  <c r="AL921" i="22"/>
  <c r="AL922" i="22"/>
  <c r="AL925" i="22"/>
  <c r="AL926" i="22"/>
  <c r="AL927" i="22"/>
  <c r="AL928" i="22"/>
  <c r="AL930" i="22"/>
  <c r="AL931" i="22"/>
  <c r="AL933" i="22"/>
  <c r="AL934" i="22"/>
  <c r="AL936" i="22"/>
  <c r="AL938" i="22"/>
  <c r="AL940" i="22"/>
  <c r="AL941" i="22"/>
  <c r="AL942" i="22"/>
  <c r="AL944" i="22"/>
  <c r="AL945" i="22"/>
  <c r="AL946" i="22"/>
  <c r="AL948" i="22"/>
  <c r="AL950" i="22"/>
  <c r="AL951" i="22"/>
  <c r="AL952" i="22"/>
  <c r="AL953" i="22"/>
  <c r="AL954" i="22"/>
  <c r="AL955" i="22"/>
  <c r="AL956" i="22"/>
  <c r="AL959" i="22"/>
  <c r="AL960" i="22"/>
  <c r="AL963" i="22"/>
  <c r="AL964" i="22"/>
  <c r="AL965" i="22"/>
  <c r="AL966" i="22"/>
  <c r="AL967" i="22"/>
  <c r="AL969" i="22"/>
  <c r="AL970" i="22"/>
  <c r="AL971" i="22"/>
  <c r="AL972" i="22"/>
  <c r="AL973" i="22"/>
  <c r="AL975" i="22"/>
  <c r="AL978" i="22"/>
  <c r="AL980" i="22"/>
  <c r="AL981" i="22"/>
  <c r="AL984" i="22"/>
  <c r="AL985" i="22"/>
  <c r="AL988" i="22"/>
  <c r="AL989" i="22"/>
  <c r="AL990" i="22"/>
  <c r="AL991" i="22"/>
  <c r="AL992" i="22"/>
  <c r="AL994" i="22"/>
  <c r="AL995" i="22"/>
  <c r="AL997" i="22"/>
  <c r="AL998" i="22"/>
  <c r="AL999" i="22"/>
  <c r="AL1000" i="22"/>
  <c r="AL1004" i="22"/>
  <c r="AL1005" i="22"/>
  <c r="AL1006" i="22"/>
  <c r="AL1008" i="22"/>
  <c r="AL1009" i="22"/>
  <c r="AL1010" i="22"/>
  <c r="AL1011" i="22"/>
  <c r="AL1012" i="22"/>
  <c r="AL1014" i="22"/>
  <c r="AL1015" i="22"/>
  <c r="AL1017" i="22"/>
  <c r="AL1018" i="22"/>
  <c r="AL1019" i="22"/>
  <c r="AL1020" i="22"/>
  <c r="AL1023" i="22"/>
  <c r="AL1024" i="22"/>
  <c r="AL1027" i="22"/>
  <c r="AL1028" i="22"/>
  <c r="AL1029" i="22"/>
  <c r="AL1030" i="22"/>
  <c r="AL1031" i="22"/>
  <c r="AL1033" i="22"/>
  <c r="AL1034" i="22"/>
  <c r="AL1035" i="22"/>
  <c r="AL1036" i="22"/>
  <c r="AL1037" i="22"/>
  <c r="AL1039" i="22"/>
  <c r="AL1041" i="22"/>
  <c r="AL1042" i="22"/>
  <c r="AL1043" i="22"/>
  <c r="AL1044" i="22"/>
  <c r="AL1045" i="22"/>
  <c r="AL1048" i="22"/>
  <c r="AL1049" i="22"/>
  <c r="AL1053" i="22"/>
  <c r="AL1054" i="22"/>
  <c r="AL1055" i="22"/>
  <c r="AL1056" i="22"/>
  <c r="AL1058" i="22"/>
  <c r="AL1059" i="22"/>
  <c r="AL1061" i="22"/>
  <c r="AL1062" i="22"/>
  <c r="AL1063" i="22"/>
  <c r="AL1064" i="22"/>
  <c r="AL1067" i="22"/>
  <c r="AL1068" i="22"/>
  <c r="AL1069" i="22"/>
  <c r="AL1070" i="22"/>
  <c r="AL1072" i="22"/>
  <c r="AL1073" i="22"/>
  <c r="AL1074" i="22"/>
  <c r="AL1076" i="22"/>
  <c r="AL1078" i="22"/>
  <c r="AL1079" i="22"/>
  <c r="AL1080" i="22"/>
  <c r="AL1081" i="22"/>
  <c r="AL1083" i="22"/>
  <c r="AL1084" i="22"/>
  <c r="AL1086" i="22"/>
  <c r="AL1087" i="22"/>
  <c r="AL1088" i="22"/>
  <c r="AL1092" i="22"/>
  <c r="AL1093" i="22"/>
  <c r="AL1094" i="22"/>
  <c r="AL1095" i="22"/>
  <c r="AL1097" i="22"/>
  <c r="AL1098" i="22"/>
  <c r="AL1099" i="22"/>
  <c r="AL1100" i="22"/>
  <c r="AL1101" i="22"/>
  <c r="AL1103" i="22"/>
  <c r="AL1107" i="22"/>
  <c r="AL1108" i="22"/>
  <c r="AL1109" i="22"/>
  <c r="AL1112" i="22"/>
  <c r="AL1113" i="22"/>
  <c r="AL1116" i="22"/>
  <c r="AL1117" i="22"/>
  <c r="AL1118" i="22"/>
  <c r="AL1119" i="22"/>
  <c r="AL1120" i="22"/>
  <c r="AL1122" i="22"/>
  <c r="AL1123" i="22"/>
  <c r="AL1125" i="22"/>
  <c r="AL1126" i="22"/>
  <c r="AL1128" i="22"/>
  <c r="AL1132" i="22"/>
  <c r="AL1133" i="22"/>
  <c r="AL1134" i="22"/>
  <c r="AL1136" i="22"/>
  <c r="AL1137" i="22"/>
  <c r="AL1138" i="22"/>
  <c r="AL1140" i="22"/>
  <c r="AL1141" i="22"/>
  <c r="AL1142" i="22"/>
  <c r="AL1143" i="22"/>
  <c r="AL1144" i="22"/>
  <c r="AL1145" i="22"/>
  <c r="AL1147" i="22"/>
  <c r="AL1148" i="22"/>
  <c r="AL1151" i="22"/>
  <c r="AL1152" i="22"/>
  <c r="AL1153" i="22"/>
  <c r="AL1156" i="22"/>
  <c r="AL1157" i="22"/>
  <c r="AL1158" i="22"/>
  <c r="AL1159" i="22"/>
  <c r="AL1160" i="22"/>
  <c r="AL1161" i="22"/>
  <c r="AL1162" i="22"/>
  <c r="AL1163" i="22"/>
  <c r="AL1164" i="22"/>
  <c r="AL1165" i="22"/>
  <c r="AL1166" i="22"/>
  <c r="AL1167" i="22"/>
  <c r="AL1169" i="22"/>
  <c r="AL1172" i="22"/>
  <c r="AL1173" i="22"/>
  <c r="AL1176" i="22"/>
  <c r="AL1177" i="22"/>
  <c r="AL1180" i="22"/>
  <c r="AL1181" i="22"/>
  <c r="AL1182" i="22"/>
  <c r="AL1183" i="22"/>
  <c r="AL1184" i="22"/>
  <c r="AL1186" i="22"/>
  <c r="AL1187" i="22"/>
  <c r="AL1189" i="22"/>
  <c r="AL1190" i="22"/>
  <c r="AL1192" i="22"/>
  <c r="AL1196" i="22"/>
  <c r="AL1197" i="22"/>
  <c r="AL1198" i="22"/>
  <c r="AL1200" i="22"/>
  <c r="AL1201" i="22"/>
  <c r="AL1202" i="22"/>
  <c r="AL1204" i="22"/>
  <c r="AL1206" i="22"/>
  <c r="AL1207" i="22"/>
  <c r="AL1209" i="22"/>
  <c r="AL1211" i="22"/>
  <c r="AL1212" i="22"/>
  <c r="AL1214" i="22"/>
  <c r="AL1215" i="22"/>
  <c r="AL1216" i="22"/>
  <c r="AL1217" i="22"/>
  <c r="AL1220" i="22"/>
  <c r="AL1221" i="22"/>
  <c r="AL1222" i="22"/>
  <c r="AL1223" i="22"/>
  <c r="AL1224" i="22"/>
  <c r="AL1225" i="22"/>
  <c r="AL1226" i="22"/>
  <c r="AL1227" i="22"/>
  <c r="AL1228" i="22"/>
  <c r="AL1229" i="22"/>
  <c r="AL1231" i="22"/>
  <c r="AL1233" i="22"/>
  <c r="AL1236" i="22"/>
  <c r="AL1237" i="22"/>
  <c r="AL1239" i="22"/>
  <c r="AL1240" i="22"/>
  <c r="AL1241" i="22"/>
  <c r="AL1245" i="22"/>
  <c r="AL1246" i="22"/>
  <c r="AL1247" i="22"/>
  <c r="AL1248" i="22"/>
  <c r="AL1250" i="22"/>
  <c r="AL1251" i="22"/>
  <c r="AL1253" i="22"/>
  <c r="AL1254" i="22"/>
  <c r="AL1256" i="22"/>
  <c r="AL1258" i="22"/>
  <c r="AL1260" i="22"/>
  <c r="AL1261" i="22"/>
  <c r="AL1262" i="22"/>
  <c r="AL1264" i="22"/>
  <c r="AL1265" i="22"/>
  <c r="AL1266" i="22"/>
  <c r="AL1268" i="22"/>
  <c r="AL1269" i="22"/>
  <c r="AL1270" i="22"/>
  <c r="AL1271" i="22"/>
  <c r="AL1273" i="22"/>
  <c r="AL1275" i="22"/>
  <c r="AL1276" i="22"/>
  <c r="AL1277" i="22"/>
  <c r="AL1278" i="22"/>
  <c r="AL1279" i="22"/>
  <c r="AL1280" i="22"/>
  <c r="AL1281" i="22"/>
  <c r="AL1284" i="22"/>
  <c r="AL1285" i="22"/>
  <c r="AL1286" i="22"/>
  <c r="AL1287" i="22"/>
  <c r="AL1289" i="22"/>
  <c r="AL1290" i="22"/>
  <c r="AL1291" i="22"/>
  <c r="AL1292" i="22"/>
  <c r="AL1293" i="22"/>
  <c r="AL1294" i="22"/>
  <c r="AL1295" i="22"/>
  <c r="AL1300" i="22"/>
  <c r="AL1301" i="22"/>
  <c r="AL1304" i="22"/>
  <c r="AL1305" i="22"/>
  <c r="AL1309" i="22"/>
  <c r="AL1310" i="22"/>
  <c r="AL1311" i="22"/>
  <c r="AL1312" i="22"/>
  <c r="AL1313" i="22"/>
  <c r="AL1314" i="22"/>
  <c r="AL1315" i="22"/>
  <c r="AL1317" i="22"/>
  <c r="AL1318" i="22"/>
  <c r="AL1320" i="22"/>
  <c r="AL1324" i="22"/>
  <c r="AL1325" i="22"/>
  <c r="AL1326" i="22"/>
  <c r="AL1328" i="22"/>
  <c r="AL1329" i="22"/>
  <c r="AL1330" i="22"/>
  <c r="AL1332" i="22"/>
  <c r="AL1333" i="22"/>
  <c r="AL1334" i="22"/>
  <c r="AL1335" i="22"/>
  <c r="AL1337" i="22"/>
  <c r="AL1339" i="22"/>
  <c r="AL1340" i="22"/>
  <c r="AL1341" i="22"/>
  <c r="AL1343" i="22"/>
  <c r="AL1344" i="22"/>
  <c r="AL1347" i="22"/>
  <c r="AL1348" i="22"/>
  <c r="AL1349" i="22"/>
  <c r="AL1350" i="22"/>
  <c r="AL1351" i="22"/>
  <c r="AL1353" i="22"/>
  <c r="AL1354" i="22"/>
  <c r="AL1355" i="22"/>
  <c r="AL1356" i="22"/>
  <c r="AL1357" i="22"/>
  <c r="AL1358" i="22"/>
  <c r="AL1361" i="22"/>
  <c r="AL1363" i="22"/>
  <c r="AL1365" i="22"/>
  <c r="AL1368" i="22"/>
  <c r="AL1373" i="22"/>
  <c r="AL1375" i="22"/>
  <c r="AL1378" i="22"/>
  <c r="AL1385" i="22"/>
  <c r="AL1386" i="22"/>
  <c r="AL1387" i="22"/>
  <c r="AL1391" i="22"/>
  <c r="AL1393" i="22"/>
  <c r="AL1394" i="22"/>
  <c r="AL1396" i="22"/>
  <c r="AL1397" i="22"/>
  <c r="AL1402" i="22"/>
  <c r="AL1403" i="22"/>
  <c r="AL1409" i="22"/>
  <c r="AL1411" i="22"/>
  <c r="AL1414" i="22"/>
  <c r="AL1418" i="22"/>
  <c r="AL1419" i="22"/>
  <c r="AL1420" i="22"/>
  <c r="AL1422" i="22"/>
  <c r="AL1425" i="22"/>
  <c r="AL1426" i="22"/>
  <c r="AL1427" i="22"/>
  <c r="AL1429" i="22"/>
  <c r="AL1437" i="22"/>
  <c r="AL1442" i="22"/>
  <c r="AL1449" i="22"/>
  <c r="AL1450" i="22"/>
  <c r="AL1451" i="22"/>
  <c r="AL1458" i="22"/>
  <c r="AL1460" i="22"/>
  <c r="AL1461" i="22"/>
  <c r="AL1466" i="22"/>
  <c r="AL1473" i="22"/>
  <c r="AL1475" i="22"/>
  <c r="AL1478" i="22"/>
  <c r="AL1482" i="22"/>
  <c r="AL1483" i="22"/>
  <c r="AL1485" i="22"/>
  <c r="AL1486" i="22"/>
  <c r="AL1489" i="22"/>
  <c r="AL1491" i="22"/>
  <c r="AL1495" i="22"/>
  <c r="AL1496" i="22"/>
  <c r="AL1501" i="22"/>
  <c r="AL1506" i="22"/>
  <c r="AL1513" i="22"/>
  <c r="AL1514" i="22"/>
  <c r="AL1515" i="22"/>
  <c r="AL1521" i="22"/>
  <c r="AL1522" i="22"/>
  <c r="AL1524" i="22"/>
  <c r="AL1530" i="22"/>
  <c r="AL1531" i="22"/>
  <c r="AL1537" i="22"/>
  <c r="AL1539" i="22"/>
  <c r="AL1542" i="22"/>
  <c r="AL1543" i="22"/>
  <c r="AL1546" i="22"/>
  <c r="AL1550" i="22"/>
  <c r="AL1553" i="22"/>
  <c r="AL1555" i="22"/>
  <c r="AL1556" i="22"/>
  <c r="AL1565" i="22"/>
  <c r="AL1568" i="22"/>
  <c r="AL1570" i="22"/>
  <c r="A3" i="5"/>
  <c r="A18" i="5"/>
  <c r="A19" i="5"/>
  <c r="A20" i="5"/>
  <c r="A21" i="5"/>
  <c r="A22" i="5"/>
  <c r="A23" i="5"/>
  <c r="A24" i="5"/>
  <c r="A25" i="5"/>
  <c r="A26" i="5"/>
  <c r="A27" i="5"/>
  <c r="A9" i="5" l="1"/>
  <c r="A10" i="5"/>
  <c r="A11" i="5"/>
  <c r="A12" i="5"/>
  <c r="A13" i="5"/>
  <c r="A14" i="5"/>
  <c r="A15" i="5"/>
  <c r="A16" i="5"/>
  <c r="A17" i="5"/>
  <c r="A6" i="5" l="1"/>
  <c r="A7" i="5"/>
  <c r="A8" i="5"/>
  <c r="A4" i="5" l="1"/>
  <c r="A5" i="5"/>
  <c r="N13" i="22" l="1"/>
  <c r="N17" i="22"/>
  <c r="N21" i="22"/>
  <c r="N25" i="22"/>
  <c r="N29" i="22"/>
  <c r="N33" i="22"/>
  <c r="N37" i="22"/>
  <c r="N41" i="22"/>
  <c r="N45" i="22"/>
  <c r="N49" i="22"/>
  <c r="N53" i="22"/>
  <c r="N57" i="22"/>
  <c r="N61" i="22"/>
  <c r="N65" i="22"/>
  <c r="N69" i="22"/>
  <c r="N73" i="22"/>
  <c r="N77" i="22"/>
  <c r="N81" i="22"/>
  <c r="N85" i="22"/>
  <c r="N89" i="22"/>
  <c r="N93" i="22"/>
  <c r="N97" i="22"/>
  <c r="N101" i="22"/>
  <c r="N105" i="22"/>
  <c r="N109" i="22"/>
  <c r="N113" i="22"/>
  <c r="N117" i="22"/>
  <c r="N121" i="22"/>
  <c r="N125" i="22"/>
  <c r="N129" i="22"/>
  <c r="N133" i="22"/>
  <c r="N137" i="22"/>
  <c r="N141" i="22"/>
  <c r="N145" i="22"/>
  <c r="N149" i="22"/>
  <c r="N153" i="22"/>
  <c r="N157" i="22"/>
  <c r="N161" i="22"/>
  <c r="N165" i="22"/>
  <c r="N169" i="22"/>
  <c r="N173" i="22"/>
  <c r="N177" i="22"/>
  <c r="N181" i="22"/>
  <c r="N185" i="22"/>
  <c r="N189" i="22"/>
  <c r="N193" i="22"/>
  <c r="N197" i="22"/>
  <c r="N201" i="22"/>
  <c r="N205" i="22"/>
  <c r="N209" i="22"/>
  <c r="M13" i="22"/>
  <c r="M17" i="22"/>
  <c r="M21" i="22"/>
  <c r="M25" i="22"/>
  <c r="M29" i="22"/>
  <c r="M33" i="22"/>
  <c r="M37" i="22"/>
  <c r="M41" i="22"/>
  <c r="M45" i="22"/>
  <c r="M49" i="22"/>
  <c r="M53" i="22"/>
  <c r="M57" i="22"/>
  <c r="M61" i="22"/>
  <c r="M65" i="22"/>
  <c r="M69" i="22"/>
  <c r="M73" i="22"/>
  <c r="M77" i="22"/>
  <c r="M81" i="22"/>
  <c r="M85" i="22"/>
  <c r="M89" i="22"/>
  <c r="M93" i="22"/>
  <c r="M97" i="22"/>
  <c r="M101" i="22"/>
  <c r="M105" i="22"/>
  <c r="M109" i="22"/>
  <c r="M113" i="22"/>
  <c r="M117" i="22"/>
  <c r="M121" i="22"/>
  <c r="M125" i="22"/>
  <c r="M129" i="22"/>
  <c r="M133" i="22"/>
  <c r="M137" i="22"/>
  <c r="M141" i="22"/>
  <c r="M145" i="22"/>
  <c r="M149" i="22"/>
  <c r="M153" i="22"/>
  <c r="M157" i="22"/>
  <c r="M161" i="22"/>
  <c r="M165" i="22"/>
  <c r="M169" i="22"/>
  <c r="M173" i="22"/>
  <c r="M177" i="22"/>
  <c r="M181" i="22"/>
  <c r="M185" i="22"/>
  <c r="M189" i="22"/>
  <c r="M193" i="22"/>
  <c r="M197" i="22"/>
  <c r="M201" i="22"/>
  <c r="M205" i="22"/>
  <c r="M209" i="22"/>
  <c r="M213" i="22"/>
  <c r="M217" i="22"/>
  <c r="M221" i="22"/>
  <c r="N225" i="22"/>
  <c r="M229" i="22"/>
  <c r="M233" i="22"/>
  <c r="M237" i="22"/>
  <c r="M241" i="22"/>
  <c r="M245" i="22"/>
  <c r="M249" i="22"/>
  <c r="M253" i="22"/>
  <c r="M257" i="22"/>
  <c r="M261" i="22"/>
  <c r="M265" i="22"/>
  <c r="M269" i="22"/>
  <c r="M273" i="22"/>
  <c r="M277" i="22"/>
  <c r="M281" i="22"/>
  <c r="M285" i="22"/>
  <c r="M289" i="22"/>
  <c r="M293" i="22"/>
  <c r="N297" i="22"/>
  <c r="M301" i="22"/>
  <c r="M305" i="22"/>
  <c r="M309" i="22"/>
  <c r="M313" i="22"/>
  <c r="M317" i="22"/>
  <c r="M321" i="22"/>
  <c r="M325" i="22"/>
  <c r="M329" i="22"/>
  <c r="N333" i="22"/>
  <c r="M337" i="22"/>
  <c r="M341" i="22"/>
  <c r="M345" i="22"/>
  <c r="M349" i="22"/>
  <c r="N14" i="22"/>
  <c r="N18" i="22"/>
  <c r="N22" i="22"/>
  <c r="N26" i="22"/>
  <c r="N30" i="22"/>
  <c r="N34" i="22"/>
  <c r="N38" i="22"/>
  <c r="N42" i="22"/>
  <c r="N46" i="22"/>
  <c r="N50" i="22"/>
  <c r="N54" i="22"/>
  <c r="N58" i="22"/>
  <c r="N62" i="22"/>
  <c r="N66" i="22"/>
  <c r="N70" i="22"/>
  <c r="N74" i="22"/>
  <c r="N78" i="22"/>
  <c r="N82" i="22"/>
  <c r="N86" i="22"/>
  <c r="N90" i="22"/>
  <c r="N94" i="22"/>
  <c r="N98" i="22"/>
  <c r="N102" i="22"/>
  <c r="N106" i="22"/>
  <c r="N110" i="22"/>
  <c r="N114" i="22"/>
  <c r="N118" i="22"/>
  <c r="N122" i="22"/>
  <c r="N126" i="22"/>
  <c r="N130" i="22"/>
  <c r="N134" i="22"/>
  <c r="N138" i="22"/>
  <c r="N142" i="22"/>
  <c r="N146" i="22"/>
  <c r="N150" i="22"/>
  <c r="N154" i="22"/>
  <c r="N158" i="22"/>
  <c r="M162" i="22"/>
  <c r="N166" i="22"/>
  <c r="N170" i="22"/>
  <c r="M174" i="22"/>
  <c r="N178" i="22"/>
  <c r="N182" i="22"/>
  <c r="N186" i="22"/>
  <c r="N190" i="22"/>
  <c r="N194" i="22"/>
  <c r="N198" i="22"/>
  <c r="N202" i="22"/>
  <c r="N206" i="22"/>
  <c r="M14" i="22"/>
  <c r="M18" i="22"/>
  <c r="M22" i="22"/>
  <c r="M26" i="22"/>
  <c r="M30" i="22"/>
  <c r="M34" i="22"/>
  <c r="M38" i="22"/>
  <c r="M42" i="22"/>
  <c r="M46" i="22"/>
  <c r="M50" i="22"/>
  <c r="M54" i="22"/>
  <c r="M58" i="22"/>
  <c r="M62" i="22"/>
  <c r="M66" i="22"/>
  <c r="M70" i="22"/>
  <c r="M74" i="22"/>
  <c r="M78" i="22"/>
  <c r="M82" i="22"/>
  <c r="M86" i="22"/>
  <c r="M90" i="22"/>
  <c r="M94" i="22"/>
  <c r="M98" i="22"/>
  <c r="M102" i="22"/>
  <c r="M106" i="22"/>
  <c r="M110" i="22"/>
  <c r="M114" i="22"/>
  <c r="M118" i="22"/>
  <c r="M122" i="22"/>
  <c r="M126" i="22"/>
  <c r="M130" i="22"/>
  <c r="M134" i="22"/>
  <c r="M138" i="22"/>
  <c r="M142" i="22"/>
  <c r="M146" i="22"/>
  <c r="M150" i="22"/>
  <c r="M154" i="22"/>
  <c r="M158" i="22"/>
  <c r="N162" i="22"/>
  <c r="M166" i="22"/>
  <c r="M170" i="22"/>
  <c r="N174" i="22"/>
  <c r="M178" i="22"/>
  <c r="M182" i="22"/>
  <c r="M186" i="22"/>
  <c r="M190" i="22"/>
  <c r="M194" i="22"/>
  <c r="M198" i="22"/>
  <c r="M202" i="22"/>
  <c r="M206" i="22"/>
  <c r="N15" i="22"/>
  <c r="N19" i="22"/>
  <c r="N23" i="22"/>
  <c r="N27" i="22"/>
  <c r="N31" i="22"/>
  <c r="N35" i="22"/>
  <c r="N39" i="22"/>
  <c r="N43" i="22"/>
  <c r="N47" i="22"/>
  <c r="N51" i="22"/>
  <c r="N55" i="22"/>
  <c r="N59" i="22"/>
  <c r="N63" i="22"/>
  <c r="N67" i="22"/>
  <c r="N71" i="22"/>
  <c r="N75" i="22"/>
  <c r="N79" i="22"/>
  <c r="N83" i="22"/>
  <c r="N87" i="22"/>
  <c r="N91" i="22"/>
  <c r="N95" i="22"/>
  <c r="N99" i="22"/>
  <c r="N103" i="22"/>
  <c r="N107" i="22"/>
  <c r="N111" i="22"/>
  <c r="N115" i="22"/>
  <c r="N119" i="22"/>
  <c r="N123" i="22"/>
  <c r="N127" i="22"/>
  <c r="N131" i="22"/>
  <c r="N135" i="22"/>
  <c r="N139" i="22"/>
  <c r="N143" i="22"/>
  <c r="N147" i="22"/>
  <c r="N151" i="22"/>
  <c r="N155" i="22"/>
  <c r="N159" i="22"/>
  <c r="N163" i="22"/>
  <c r="N167" i="22"/>
  <c r="N171" i="22"/>
  <c r="N175" i="22"/>
  <c r="N179" i="22"/>
  <c r="N183" i="22"/>
  <c r="N187" i="22"/>
  <c r="N191" i="22"/>
  <c r="N195" i="22"/>
  <c r="N199" i="22"/>
  <c r="N203" i="22"/>
  <c r="N207" i="22"/>
  <c r="N211" i="22"/>
  <c r="M15" i="22"/>
  <c r="M19" i="22"/>
  <c r="M23" i="22"/>
  <c r="M27" i="22"/>
  <c r="M31" i="22"/>
  <c r="M35" i="22"/>
  <c r="M39" i="22"/>
  <c r="M43" i="22"/>
  <c r="M47" i="22"/>
  <c r="M51" i="22"/>
  <c r="M55" i="22"/>
  <c r="M59" i="22"/>
  <c r="M63" i="22"/>
  <c r="M67" i="22"/>
  <c r="M71" i="22"/>
  <c r="M75" i="22"/>
  <c r="M79" i="22"/>
  <c r="M83" i="22"/>
  <c r="M87" i="22"/>
  <c r="M91" i="22"/>
  <c r="M95" i="22"/>
  <c r="M99" i="22"/>
  <c r="M103" i="22"/>
  <c r="M107" i="22"/>
  <c r="M111" i="22"/>
  <c r="M115" i="22"/>
  <c r="M119" i="22"/>
  <c r="M123" i="22"/>
  <c r="M127" i="22"/>
  <c r="M131" i="22"/>
  <c r="M135" i="22"/>
  <c r="M139" i="22"/>
  <c r="M143" i="22"/>
  <c r="M147" i="22"/>
  <c r="M151" i="22"/>
  <c r="M155" i="22"/>
  <c r="M159" i="22"/>
  <c r="M163" i="22"/>
  <c r="M167" i="22"/>
  <c r="M171" i="22"/>
  <c r="M175" i="22"/>
  <c r="M179" i="22"/>
  <c r="M183" i="22"/>
  <c r="M187" i="22"/>
  <c r="M191" i="22"/>
  <c r="M195" i="22"/>
  <c r="M199" i="22"/>
  <c r="M203" i="22"/>
  <c r="M207" i="22"/>
  <c r="M211" i="22"/>
  <c r="M215" i="22"/>
  <c r="M219" i="22"/>
  <c r="M223" i="22"/>
  <c r="M227" i="22"/>
  <c r="M231" i="22"/>
  <c r="M235" i="22"/>
  <c r="M239" i="22"/>
  <c r="M243" i="22"/>
  <c r="M247" i="22"/>
  <c r="N251" i="22"/>
  <c r="N255" i="22"/>
  <c r="N259" i="22"/>
  <c r="N263" i="22"/>
  <c r="M267" i="22"/>
  <c r="N271" i="22"/>
  <c r="N275" i="22"/>
  <c r="N279" i="22"/>
  <c r="N283" i="22"/>
  <c r="N287" i="22"/>
  <c r="N291" i="22"/>
  <c r="N295" i="22"/>
  <c r="N299" i="22"/>
  <c r="N303" i="22"/>
  <c r="N307" i="22"/>
  <c r="N311" i="22"/>
  <c r="N315" i="22"/>
  <c r="N319" i="22"/>
  <c r="N323" i="22"/>
  <c r="N327" i="22"/>
  <c r="N331" i="22"/>
  <c r="N335" i="22"/>
  <c r="N339" i="22"/>
  <c r="N343" i="22"/>
  <c r="N347" i="22"/>
  <c r="N351" i="22"/>
  <c r="N16" i="22"/>
  <c r="N20" i="22"/>
  <c r="N24" i="22"/>
  <c r="N28" i="22"/>
  <c r="N32" i="22"/>
  <c r="N36" i="22"/>
  <c r="N40" i="22"/>
  <c r="N44" i="22"/>
  <c r="N48" i="22"/>
  <c r="N52" i="22"/>
  <c r="N56" i="22"/>
  <c r="N60" i="22"/>
  <c r="N64" i="22"/>
  <c r="N68" i="22"/>
  <c r="N72" i="22"/>
  <c r="N76" i="22"/>
  <c r="N80" i="22"/>
  <c r="N84" i="22"/>
  <c r="N88" i="22"/>
  <c r="N92" i="22"/>
  <c r="N96" i="22"/>
  <c r="N100" i="22"/>
  <c r="N104" i="22"/>
  <c r="N108" i="22"/>
  <c r="N112" i="22"/>
  <c r="N116" i="22"/>
  <c r="N120" i="22"/>
  <c r="N124" i="22"/>
  <c r="N128" i="22"/>
  <c r="N132" i="22"/>
  <c r="N136" i="22"/>
  <c r="N140" i="22"/>
  <c r="N144" i="22"/>
  <c r="N148" i="22"/>
  <c r="N152" i="22"/>
  <c r="N156" i="22"/>
  <c r="N160" i="22"/>
  <c r="N164" i="22"/>
  <c r="N168" i="22"/>
  <c r="M172" i="22"/>
  <c r="M176" i="22"/>
  <c r="N180" i="22"/>
  <c r="N184" i="22"/>
  <c r="N188" i="22"/>
  <c r="M192" i="22"/>
  <c r="M196" i="22"/>
  <c r="M200" i="22"/>
  <c r="M204" i="22"/>
  <c r="M208" i="22"/>
  <c r="M212" i="22"/>
  <c r="N216" i="22"/>
  <c r="M220" i="22"/>
  <c r="M224" i="22"/>
  <c r="M228" i="22"/>
  <c r="M232" i="22"/>
  <c r="M236" i="22"/>
  <c r="M240" i="22"/>
  <c r="M244" i="22"/>
  <c r="N248" i="22"/>
  <c r="M252" i="22"/>
  <c r="N256" i="22"/>
  <c r="N260" i="22"/>
  <c r="N264" i="22"/>
  <c r="N268" i="22"/>
  <c r="N272" i="22"/>
  <c r="N276" i="22"/>
  <c r="N280" i="22"/>
  <c r="N284" i="22"/>
  <c r="N288" i="22"/>
  <c r="N292" i="22"/>
  <c r="N296" i="22"/>
  <c r="N300" i="22"/>
  <c r="N304" i="22"/>
  <c r="N308" i="22"/>
  <c r="N312" i="22"/>
  <c r="N316" i="22"/>
  <c r="M16" i="22"/>
  <c r="M20" i="22"/>
  <c r="M24" i="22"/>
  <c r="M28" i="22"/>
  <c r="M32" i="22"/>
  <c r="M36" i="22"/>
  <c r="M40" i="22"/>
  <c r="M44" i="22"/>
  <c r="M48" i="22"/>
  <c r="M52" i="22"/>
  <c r="M56" i="22"/>
  <c r="M60" i="22"/>
  <c r="M64" i="22"/>
  <c r="M68" i="22"/>
  <c r="M72" i="22"/>
  <c r="M76" i="22"/>
  <c r="M80" i="22"/>
  <c r="M84" i="22"/>
  <c r="M88" i="22"/>
  <c r="M92" i="22"/>
  <c r="M96" i="22"/>
  <c r="M100" i="22"/>
  <c r="M104" i="22"/>
  <c r="M108" i="22"/>
  <c r="M112" i="22"/>
  <c r="M116" i="22"/>
  <c r="M120" i="22"/>
  <c r="M124" i="22"/>
  <c r="M128" i="22"/>
  <c r="M132" i="22"/>
  <c r="M136" i="22"/>
  <c r="M140" i="22"/>
  <c r="M144" i="22"/>
  <c r="M148" i="22"/>
  <c r="M152" i="22"/>
  <c r="M156" i="22"/>
  <c r="M160" i="22"/>
  <c r="M164" i="22"/>
  <c r="M168" i="22"/>
  <c r="N172" i="22"/>
  <c r="N176" i="22"/>
  <c r="M180" i="22"/>
  <c r="M184" i="22"/>
  <c r="M188" i="22"/>
  <c r="N192" i="22"/>
  <c r="N196" i="22"/>
  <c r="N200" i="22"/>
  <c r="N204" i="22"/>
  <c r="N208" i="22"/>
  <c r="N212" i="22"/>
  <c r="M216" i="22"/>
  <c r="N220" i="22"/>
  <c r="N224" i="22"/>
  <c r="N228" i="22"/>
  <c r="N232" i="22"/>
  <c r="N236" i="22"/>
  <c r="N240" i="22"/>
  <c r="N244" i="22"/>
  <c r="M248" i="22"/>
  <c r="N252" i="22"/>
  <c r="M256" i="22"/>
  <c r="M260" i="22"/>
  <c r="M264" i="22"/>
  <c r="M268" i="22"/>
  <c r="M272" i="22"/>
  <c r="M276" i="22"/>
  <c r="M280" i="22"/>
  <c r="M284" i="22"/>
  <c r="M288" i="22"/>
  <c r="M292" i="22"/>
  <c r="M296" i="22"/>
  <c r="M300" i="22"/>
  <c r="M304" i="22"/>
  <c r="M308" i="22"/>
  <c r="M312" i="22"/>
  <c r="M316" i="22"/>
  <c r="N210" i="22"/>
  <c r="M218" i="22"/>
  <c r="M226" i="22"/>
  <c r="M234" i="22"/>
  <c r="M242" i="22"/>
  <c r="M250" i="22"/>
  <c r="M258" i="22"/>
  <c r="M266" i="22"/>
  <c r="N274" i="22"/>
  <c r="M282" i="22"/>
  <c r="M290" i="22"/>
  <c r="M298" i="22"/>
  <c r="M306" i="22"/>
  <c r="M314" i="22"/>
  <c r="N321" i="22"/>
  <c r="M326" i="22"/>
  <c r="N332" i="22"/>
  <c r="N337" i="22"/>
  <c r="M342" i="22"/>
  <c r="N348" i="22"/>
  <c r="N353" i="22"/>
  <c r="N357" i="22"/>
  <c r="N361" i="22"/>
  <c r="N365" i="22"/>
  <c r="N369" i="22"/>
  <c r="N373" i="22"/>
  <c r="N377" i="22"/>
  <c r="N381" i="22"/>
  <c r="N385" i="22"/>
  <c r="N389" i="22"/>
  <c r="N393" i="22"/>
  <c r="N397" i="22"/>
  <c r="N401" i="22"/>
  <c r="N405" i="22"/>
  <c r="N409" i="22"/>
  <c r="N413" i="22"/>
  <c r="N417" i="22"/>
  <c r="N421" i="22"/>
  <c r="N425" i="22"/>
  <c r="N429" i="22"/>
  <c r="N433" i="22"/>
  <c r="N437" i="22"/>
  <c r="N441" i="22"/>
  <c r="N445" i="22"/>
  <c r="N449" i="22"/>
  <c r="N453" i="22"/>
  <c r="N457" i="22"/>
  <c r="N461" i="22"/>
  <c r="N465" i="22"/>
  <c r="N469" i="22"/>
  <c r="N473" i="22"/>
  <c r="M210" i="22"/>
  <c r="N219" i="22"/>
  <c r="N227" i="22"/>
  <c r="N235" i="22"/>
  <c r="N243" i="22"/>
  <c r="M251" i="22"/>
  <c r="M259" i="22"/>
  <c r="N267" i="22"/>
  <c r="M275" i="22"/>
  <c r="M283" i="22"/>
  <c r="M291" i="22"/>
  <c r="M299" i="22"/>
  <c r="M307" i="22"/>
  <c r="M315" i="22"/>
  <c r="N322" i="22"/>
  <c r="M327" i="22"/>
  <c r="M332" i="22"/>
  <c r="M338" i="22"/>
  <c r="M343" i="22"/>
  <c r="M348" i="22"/>
  <c r="M353" i="22"/>
  <c r="M357" i="22"/>
  <c r="M361" i="22"/>
  <c r="M365" i="22"/>
  <c r="M369" i="22"/>
  <c r="M373" i="22"/>
  <c r="M377" i="22"/>
  <c r="M381" i="22"/>
  <c r="M385" i="22"/>
  <c r="M389" i="22"/>
  <c r="M393" i="22"/>
  <c r="M397" i="22"/>
  <c r="M401" i="22"/>
  <c r="M405" i="22"/>
  <c r="M409" i="22"/>
  <c r="M413" i="22"/>
  <c r="M417" i="22"/>
  <c r="M421" i="22"/>
  <c r="M425" i="22"/>
  <c r="M429" i="22"/>
  <c r="M433" i="22"/>
  <c r="M437" i="22"/>
  <c r="M441" i="22"/>
  <c r="M445" i="22"/>
  <c r="M449" i="22"/>
  <c r="M453" i="22"/>
  <c r="M457" i="22"/>
  <c r="M461" i="22"/>
  <c r="M465" i="22"/>
  <c r="M469" i="22"/>
  <c r="M473" i="22"/>
  <c r="M477" i="22"/>
  <c r="M481" i="22"/>
  <c r="M485" i="22"/>
  <c r="M489" i="22"/>
  <c r="M493" i="22"/>
  <c r="M497" i="22"/>
  <c r="M501" i="22"/>
  <c r="M505" i="22"/>
  <c r="M509" i="22"/>
  <c r="M513" i="22"/>
  <c r="M517" i="22"/>
  <c r="M521" i="22"/>
  <c r="M525" i="22"/>
  <c r="M529" i="22"/>
  <c r="M533" i="22"/>
  <c r="M537" i="22"/>
  <c r="M541" i="22"/>
  <c r="M545" i="22"/>
  <c r="M549" i="22"/>
  <c r="M553" i="22"/>
  <c r="M557" i="22"/>
  <c r="M561" i="22"/>
  <c r="M565" i="22"/>
  <c r="M569" i="22"/>
  <c r="M573" i="22"/>
  <c r="N577" i="22"/>
  <c r="M581" i="22"/>
  <c r="M585" i="22"/>
  <c r="M589" i="22"/>
  <c r="M593" i="22"/>
  <c r="M597" i="22"/>
  <c r="M601" i="22"/>
  <c r="N605" i="22"/>
  <c r="M609" i="22"/>
  <c r="M613" i="22"/>
  <c r="N213" i="22"/>
  <c r="N221" i="22"/>
  <c r="N229" i="22"/>
  <c r="N237" i="22"/>
  <c r="N245" i="22"/>
  <c r="N253" i="22"/>
  <c r="N261" i="22"/>
  <c r="N269" i="22"/>
  <c r="N277" i="22"/>
  <c r="N285" i="22"/>
  <c r="N293" i="22"/>
  <c r="N301" i="22"/>
  <c r="N309" i="22"/>
  <c r="N317" i="22"/>
  <c r="M322" i="22"/>
  <c r="N328" i="22"/>
  <c r="M333" i="22"/>
  <c r="N338" i="22"/>
  <c r="N344" i="22"/>
  <c r="N349" i="22"/>
  <c r="N354" i="22"/>
  <c r="N358" i="22"/>
  <c r="N362" i="22"/>
  <c r="N366" i="22"/>
  <c r="N370" i="22"/>
  <c r="N374" i="22"/>
  <c r="N378" i="22"/>
  <c r="N382" i="22"/>
  <c r="N386" i="22"/>
  <c r="N390" i="22"/>
  <c r="N394" i="22"/>
  <c r="N398" i="22"/>
  <c r="N402" i="22"/>
  <c r="N406" i="22"/>
  <c r="N410" i="22"/>
  <c r="N414" i="22"/>
  <c r="N418" i="22"/>
  <c r="N422" i="22"/>
  <c r="N426" i="22"/>
  <c r="N430" i="22"/>
  <c r="N434" i="22"/>
  <c r="N438" i="22"/>
  <c r="N442" i="22"/>
  <c r="N446" i="22"/>
  <c r="N450" i="22"/>
  <c r="N454" i="22"/>
  <c r="N214" i="22"/>
  <c r="N222" i="22"/>
  <c r="N230" i="22"/>
  <c r="N238" i="22"/>
  <c r="N246" i="22"/>
  <c r="M254" i="22"/>
  <c r="N262" i="22"/>
  <c r="N270" i="22"/>
  <c r="N278" i="22"/>
  <c r="N286" i="22"/>
  <c r="N294" i="22"/>
  <c r="N302" i="22"/>
  <c r="N310" i="22"/>
  <c r="N318" i="22"/>
  <c r="M323" i="22"/>
  <c r="M328" i="22"/>
  <c r="N334" i="22"/>
  <c r="M339" i="22"/>
  <c r="M344" i="22"/>
  <c r="M350" i="22"/>
  <c r="M354" i="22"/>
  <c r="M358" i="22"/>
  <c r="M362" i="22"/>
  <c r="M366" i="22"/>
  <c r="M370" i="22"/>
  <c r="M374" i="22"/>
  <c r="M378" i="22"/>
  <c r="M382" i="22"/>
  <c r="M386" i="22"/>
  <c r="M390" i="22"/>
  <c r="M394" i="22"/>
  <c r="M398" i="22"/>
  <c r="M402" i="22"/>
  <c r="M406" i="22"/>
  <c r="M410" i="22"/>
  <c r="M414" i="22"/>
  <c r="M418" i="22"/>
  <c r="M422" i="22"/>
  <c r="M426" i="22"/>
  <c r="M430" i="22"/>
  <c r="M434" i="22"/>
  <c r="M438" i="22"/>
  <c r="M442" i="22"/>
  <c r="M446" i="22"/>
  <c r="M450" i="22"/>
  <c r="M454" i="22"/>
  <c r="M214" i="22"/>
  <c r="M222" i="22"/>
  <c r="M230" i="22"/>
  <c r="M238" i="22"/>
  <c r="M246" i="22"/>
  <c r="N254" i="22"/>
  <c r="M262" i="22"/>
  <c r="M270" i="22"/>
  <c r="M278" i="22"/>
  <c r="M286" i="22"/>
  <c r="M294" i="22"/>
  <c r="M302" i="22"/>
  <c r="M310" i="22"/>
  <c r="M318" i="22"/>
  <c r="N324" i="22"/>
  <c r="N329" i="22"/>
  <c r="M334" i="22"/>
  <c r="N340" i="22"/>
  <c r="N345" i="22"/>
  <c r="N350" i="22"/>
  <c r="M355" i="22"/>
  <c r="M359" i="22"/>
  <c r="M363" i="22"/>
  <c r="M367" i="22"/>
  <c r="M371" i="22"/>
  <c r="M375" i="22"/>
  <c r="M379" i="22"/>
  <c r="M383" i="22"/>
  <c r="M387" i="22"/>
  <c r="M391" i="22"/>
  <c r="M395" i="22"/>
  <c r="M399" i="22"/>
  <c r="M403" i="22"/>
  <c r="M407" i="22"/>
  <c r="M411" i="22"/>
  <c r="M415" i="22"/>
  <c r="M419" i="22"/>
  <c r="M423" i="22"/>
  <c r="M427" i="22"/>
  <c r="M431" i="22"/>
  <c r="M435" i="22"/>
  <c r="M439" i="22"/>
  <c r="M443" i="22"/>
  <c r="M447" i="22"/>
  <c r="M451" i="22"/>
  <c r="M455" i="22"/>
  <c r="M459" i="22"/>
  <c r="M463" i="22"/>
  <c r="M467" i="22"/>
  <c r="M471" i="22"/>
  <c r="M475" i="22"/>
  <c r="N215" i="22"/>
  <c r="N223" i="22"/>
  <c r="N231" i="22"/>
  <c r="N239" i="22"/>
  <c r="N247" i="22"/>
  <c r="M255" i="22"/>
  <c r="M263" i="22"/>
  <c r="M271" i="22"/>
  <c r="M279" i="22"/>
  <c r="M287" i="22"/>
  <c r="M295" i="22"/>
  <c r="M303" i="22"/>
  <c r="M311" i="22"/>
  <c r="M319" i="22"/>
  <c r="M324" i="22"/>
  <c r="N330" i="22"/>
  <c r="M335" i="22"/>
  <c r="M340" i="22"/>
  <c r="N346" i="22"/>
  <c r="M351" i="22"/>
  <c r="N355" i="22"/>
  <c r="N359" i="22"/>
  <c r="N363" i="22"/>
  <c r="N367" i="22"/>
  <c r="N371" i="22"/>
  <c r="N375" i="22"/>
  <c r="N379" i="22"/>
  <c r="N383" i="22"/>
  <c r="N387" i="22"/>
  <c r="N391" i="22"/>
  <c r="N395" i="22"/>
  <c r="N399" i="22"/>
  <c r="N403" i="22"/>
  <c r="N407" i="22"/>
  <c r="N411" i="22"/>
  <c r="N415" i="22"/>
  <c r="N419" i="22"/>
  <c r="N423" i="22"/>
  <c r="N427" i="22"/>
  <c r="N431" i="22"/>
  <c r="N435" i="22"/>
  <c r="N439" i="22"/>
  <c r="N443" i="22"/>
  <c r="N447" i="22"/>
  <c r="N451" i="22"/>
  <c r="N455" i="22"/>
  <c r="N459" i="22"/>
  <c r="N463" i="22"/>
  <c r="N467" i="22"/>
  <c r="N471" i="22"/>
  <c r="N475" i="22"/>
  <c r="N479" i="22"/>
  <c r="N483" i="22"/>
  <c r="N487" i="22"/>
  <c r="N491" i="22"/>
  <c r="N495" i="22"/>
  <c r="N499" i="22"/>
  <c r="N503" i="22"/>
  <c r="N507" i="22"/>
  <c r="N511" i="22"/>
  <c r="N515" i="22"/>
  <c r="N519" i="22"/>
  <c r="N523" i="22"/>
  <c r="M527" i="22"/>
  <c r="M531" i="22"/>
  <c r="M535" i="22"/>
  <c r="M539" i="22"/>
  <c r="M543" i="22"/>
  <c r="N547" i="22"/>
  <c r="M551" i="22"/>
  <c r="M555" i="22"/>
  <c r="M559" i="22"/>
  <c r="M563" i="22"/>
  <c r="N567" i="22"/>
  <c r="N571" i="22"/>
  <c r="M575" i="22"/>
  <c r="M579" i="22"/>
  <c r="M583" i="22"/>
  <c r="M587" i="22"/>
  <c r="M591" i="22"/>
  <c r="M595" i="22"/>
  <c r="M599" i="22"/>
  <c r="M603" i="22"/>
  <c r="M607" i="22"/>
  <c r="N611" i="22"/>
  <c r="N217" i="22"/>
  <c r="M225" i="22"/>
  <c r="N233" i="22"/>
  <c r="N241" i="22"/>
  <c r="N249" i="22"/>
  <c r="N257" i="22"/>
  <c r="N265" i="22"/>
  <c r="N273" i="22"/>
  <c r="N281" i="22"/>
  <c r="N289" i="22"/>
  <c r="M297" i="22"/>
  <c r="N305" i="22"/>
  <c r="N313" i="22"/>
  <c r="N320" i="22"/>
  <c r="N325" i="22"/>
  <c r="M330" i="22"/>
  <c r="N336" i="22"/>
  <c r="N341" i="22"/>
  <c r="M346" i="22"/>
  <c r="N352" i="22"/>
  <c r="N356" i="22"/>
  <c r="N360" i="22"/>
  <c r="N364" i="22"/>
  <c r="N368" i="22"/>
  <c r="N372" i="22"/>
  <c r="N376" i="22"/>
  <c r="N380" i="22"/>
  <c r="N384" i="22"/>
  <c r="N388" i="22"/>
  <c r="N392" i="22"/>
  <c r="N396" i="22"/>
  <c r="N400" i="22"/>
  <c r="N404" i="22"/>
  <c r="N408" i="22"/>
  <c r="N412" i="22"/>
  <c r="N416" i="22"/>
  <c r="N420" i="22"/>
  <c r="N424" i="22"/>
  <c r="N428" i="22"/>
  <c r="N432" i="22"/>
  <c r="N436" i="22"/>
  <c r="N440" i="22"/>
  <c r="N444" i="22"/>
  <c r="N448" i="22"/>
  <c r="N452" i="22"/>
  <c r="N456" i="22"/>
  <c r="N460" i="22"/>
  <c r="N464" i="22"/>
  <c r="N468" i="22"/>
  <c r="N472" i="22"/>
  <c r="N476" i="22"/>
  <c r="N480" i="22"/>
  <c r="N484" i="22"/>
  <c r="N488" i="22"/>
  <c r="N492" i="22"/>
  <c r="N496" i="22"/>
  <c r="N500" i="22"/>
  <c r="N504" i="22"/>
  <c r="N508" i="22"/>
  <c r="N512" i="22"/>
  <c r="N516" i="22"/>
  <c r="N520" i="22"/>
  <c r="N524" i="22"/>
  <c r="N528" i="22"/>
  <c r="N532" i="22"/>
  <c r="N536" i="22"/>
  <c r="N540" i="22"/>
  <c r="M544" i="22"/>
  <c r="N548" i="22"/>
  <c r="N552" i="22"/>
  <c r="N556" i="22"/>
  <c r="N560" i="22"/>
  <c r="N564" i="22"/>
  <c r="N568" i="22"/>
  <c r="N572" i="22"/>
  <c r="N576" i="22"/>
  <c r="N580" i="22"/>
  <c r="N584" i="22"/>
  <c r="N588" i="22"/>
  <c r="N592" i="22"/>
  <c r="N596" i="22"/>
  <c r="M600" i="22"/>
  <c r="N218" i="22"/>
  <c r="N226" i="22"/>
  <c r="N234" i="22"/>
  <c r="N242" i="22"/>
  <c r="N250" i="22"/>
  <c r="N258" i="22"/>
  <c r="N266" i="22"/>
  <c r="M274" i="22"/>
  <c r="N282" i="22"/>
  <c r="N290" i="22"/>
  <c r="N298" i="22"/>
  <c r="N306" i="22"/>
  <c r="N314" i="22"/>
  <c r="M320" i="22"/>
  <c r="N326" i="22"/>
  <c r="M331" i="22"/>
  <c r="M336" i="22"/>
  <c r="N342" i="22"/>
  <c r="M347" i="22"/>
  <c r="M352" i="22"/>
  <c r="M356" i="22"/>
  <c r="M360" i="22"/>
  <c r="M364" i="22"/>
  <c r="M368" i="22"/>
  <c r="M372" i="22"/>
  <c r="M376" i="22"/>
  <c r="M380" i="22"/>
  <c r="M384" i="22"/>
  <c r="M388" i="22"/>
  <c r="M392" i="22"/>
  <c r="M396" i="22"/>
  <c r="M400" i="22"/>
  <c r="M404" i="22"/>
  <c r="M408" i="22"/>
  <c r="M412" i="22"/>
  <c r="M416" i="22"/>
  <c r="M420" i="22"/>
  <c r="M424" i="22"/>
  <c r="M428" i="22"/>
  <c r="M432" i="22"/>
  <c r="M436" i="22"/>
  <c r="M440" i="22"/>
  <c r="M444" i="22"/>
  <c r="M448" i="22"/>
  <c r="M452" i="22"/>
  <c r="M456" i="22"/>
  <c r="M460" i="22"/>
  <c r="M464" i="22"/>
  <c r="M468" i="22"/>
  <c r="M472" i="22"/>
  <c r="M476" i="22"/>
  <c r="M480" i="22"/>
  <c r="M484" i="22"/>
  <c r="M488" i="22"/>
  <c r="M492" i="22"/>
  <c r="M496" i="22"/>
  <c r="M500" i="22"/>
  <c r="M504" i="22"/>
  <c r="M508" i="22"/>
  <c r="M512" i="22"/>
  <c r="M516" i="22"/>
  <c r="M520" i="22"/>
  <c r="M524" i="22"/>
  <c r="M528" i="22"/>
  <c r="M532" i="22"/>
  <c r="M536" i="22"/>
  <c r="M540" i="22"/>
  <c r="N544" i="22"/>
  <c r="M548" i="22"/>
  <c r="M552" i="22"/>
  <c r="M556" i="22"/>
  <c r="M560" i="22"/>
  <c r="M564" i="22"/>
  <c r="M568" i="22"/>
  <c r="M572" i="22"/>
  <c r="M576" i="22"/>
  <c r="M580" i="22"/>
  <c r="M584" i="22"/>
  <c r="M588" i="22"/>
  <c r="M592" i="22"/>
  <c r="M596" i="22"/>
  <c r="N600" i="22"/>
  <c r="N458" i="22"/>
  <c r="N474" i="22"/>
  <c r="M482" i="22"/>
  <c r="M490" i="22"/>
  <c r="M498" i="22"/>
  <c r="M506" i="22"/>
  <c r="M514" i="22"/>
  <c r="M522" i="22"/>
  <c r="M530" i="22"/>
  <c r="M538" i="22"/>
  <c r="M546" i="22"/>
  <c r="M554" i="22"/>
  <c r="M562" i="22"/>
  <c r="M570" i="22"/>
  <c r="M578" i="22"/>
  <c r="N586" i="22"/>
  <c r="M594" i="22"/>
  <c r="M602" i="22"/>
  <c r="N608" i="22"/>
  <c r="N613" i="22"/>
  <c r="M617" i="22"/>
  <c r="N621" i="22"/>
  <c r="M625" i="22"/>
  <c r="M629" i="22"/>
  <c r="N633" i="22"/>
  <c r="M637" i="22"/>
  <c r="M641" i="22"/>
  <c r="M645" i="22"/>
  <c r="M649" i="22"/>
  <c r="N653" i="22"/>
  <c r="M657" i="22"/>
  <c r="M661" i="22"/>
  <c r="N665" i="22"/>
  <c r="M669" i="22"/>
  <c r="N673" i="22"/>
  <c r="M677" i="22"/>
  <c r="N681" i="22"/>
  <c r="M685" i="22"/>
  <c r="M689" i="22"/>
  <c r="N693" i="22"/>
  <c r="M697" i="22"/>
  <c r="M701" i="22"/>
  <c r="M705" i="22"/>
  <c r="N709" i="22"/>
  <c r="N713" i="22"/>
  <c r="M717" i="22"/>
  <c r="M721" i="22"/>
  <c r="M725" i="22"/>
  <c r="M729" i="22"/>
  <c r="N733" i="22"/>
  <c r="M737" i="22"/>
  <c r="N741" i="22"/>
  <c r="M745" i="22"/>
  <c r="M749" i="22"/>
  <c r="N753" i="22"/>
  <c r="M757" i="22"/>
  <c r="N761" i="22"/>
  <c r="M765" i="22"/>
  <c r="M769" i="22"/>
  <c r="M773" i="22"/>
  <c r="M777" i="22"/>
  <c r="M781" i="22"/>
  <c r="M785" i="22"/>
  <c r="M789" i="22"/>
  <c r="M793" i="22"/>
  <c r="M797" i="22"/>
  <c r="N801" i="22"/>
  <c r="M805" i="22"/>
  <c r="N809" i="22"/>
  <c r="M813" i="22"/>
  <c r="M817" i="22"/>
  <c r="N821" i="22"/>
  <c r="M825" i="22"/>
  <c r="M829" i="22"/>
  <c r="N833" i="22"/>
  <c r="M837" i="22"/>
  <c r="M841" i="22"/>
  <c r="M845" i="22"/>
  <c r="M849" i="22"/>
  <c r="N853" i="22"/>
  <c r="M857" i="22"/>
  <c r="M861" i="22"/>
  <c r="M865" i="22"/>
  <c r="N869" i="22"/>
  <c r="M873" i="22"/>
  <c r="M458" i="22"/>
  <c r="M474" i="22"/>
  <c r="M483" i="22"/>
  <c r="M491" i="22"/>
  <c r="M499" i="22"/>
  <c r="M507" i="22"/>
  <c r="M515" i="22"/>
  <c r="M523" i="22"/>
  <c r="N531" i="22"/>
  <c r="N539" i="22"/>
  <c r="M547" i="22"/>
  <c r="N555" i="22"/>
  <c r="N563" i="22"/>
  <c r="M571" i="22"/>
  <c r="N579" i="22"/>
  <c r="N587" i="22"/>
  <c r="N595" i="22"/>
  <c r="N603" i="22"/>
  <c r="M608" i="22"/>
  <c r="N614" i="22"/>
  <c r="N618" i="22"/>
  <c r="N622" i="22"/>
  <c r="N626" i="22"/>
  <c r="N630" i="22"/>
  <c r="N634" i="22"/>
  <c r="M638" i="22"/>
  <c r="N642" i="22"/>
  <c r="N646" i="22"/>
  <c r="M650" i="22"/>
  <c r="N654" i="22"/>
  <c r="M658" i="22"/>
  <c r="N662" i="22"/>
  <c r="M666" i="22"/>
  <c r="N670" i="22"/>
  <c r="N674" i="22"/>
  <c r="N678" i="22"/>
  <c r="N682" i="22"/>
  <c r="N686" i="22"/>
  <c r="M690" i="22"/>
  <c r="M694" i="22"/>
  <c r="N698" i="22"/>
  <c r="N702" i="22"/>
  <c r="N706" i="22"/>
  <c r="N710" i="22"/>
  <c r="N714" i="22"/>
  <c r="M718" i="22"/>
  <c r="N722" i="22"/>
  <c r="N726" i="22"/>
  <c r="N730" i="22"/>
  <c r="N734" i="22"/>
  <c r="N738" i="22"/>
  <c r="N742" i="22"/>
  <c r="N746" i="22"/>
  <c r="N750" i="22"/>
  <c r="N754" i="22"/>
  <c r="M758" i="22"/>
  <c r="N762" i="22"/>
  <c r="M766" i="22"/>
  <c r="N770" i="22"/>
  <c r="N774" i="22"/>
  <c r="N778" i="22"/>
  <c r="M782" i="22"/>
  <c r="N786" i="22"/>
  <c r="N790" i="22"/>
  <c r="N794" i="22"/>
  <c r="M798" i="22"/>
  <c r="M802" i="22"/>
  <c r="N806" i="22"/>
  <c r="N810" i="22"/>
  <c r="N814" i="22"/>
  <c r="N818" i="22"/>
  <c r="N822" i="22"/>
  <c r="N826" i="22"/>
  <c r="N830" i="22"/>
  <c r="N834" i="22"/>
  <c r="N838" i="22"/>
  <c r="N842" i="22"/>
  <c r="N846" i="22"/>
  <c r="M850" i="22"/>
  <c r="N854" i="22"/>
  <c r="N858" i="22"/>
  <c r="N862" i="22"/>
  <c r="N866" i="22"/>
  <c r="N870" i="22"/>
  <c r="N874" i="22"/>
  <c r="N878" i="22"/>
  <c r="N462" i="22"/>
  <c r="N477" i="22"/>
  <c r="N485" i="22"/>
  <c r="N493" i="22"/>
  <c r="N501" i="22"/>
  <c r="N509" i="22"/>
  <c r="N517" i="22"/>
  <c r="N525" i="22"/>
  <c r="N533" i="22"/>
  <c r="N541" i="22"/>
  <c r="N549" i="22"/>
  <c r="N557" i="22"/>
  <c r="N565" i="22"/>
  <c r="N573" i="22"/>
  <c r="N581" i="22"/>
  <c r="N589" i="22"/>
  <c r="N597" i="22"/>
  <c r="M604" i="22"/>
  <c r="N609" i="22"/>
  <c r="M614" i="22"/>
  <c r="M618" i="22"/>
  <c r="M622" i="22"/>
  <c r="M626" i="22"/>
  <c r="M630" i="22"/>
  <c r="M634" i="22"/>
  <c r="N638" i="22"/>
  <c r="M642" i="22"/>
  <c r="M646" i="22"/>
  <c r="N650" i="22"/>
  <c r="M654" i="22"/>
  <c r="N658" i="22"/>
  <c r="M662" i="22"/>
  <c r="N666" i="22"/>
  <c r="M670" i="22"/>
  <c r="M674" i="22"/>
  <c r="M678" i="22"/>
  <c r="M682" i="22"/>
  <c r="M686" i="22"/>
  <c r="N690" i="22"/>
  <c r="N694" i="22"/>
  <c r="M698" i="22"/>
  <c r="M702" i="22"/>
  <c r="M706" i="22"/>
  <c r="M710" i="22"/>
  <c r="M714" i="22"/>
  <c r="N718" i="22"/>
  <c r="M722" i="22"/>
  <c r="M726" i="22"/>
  <c r="M730" i="22"/>
  <c r="M734" i="22"/>
  <c r="M738" i="22"/>
  <c r="M742" i="22"/>
  <c r="M746" i="22"/>
  <c r="M750" i="22"/>
  <c r="M754" i="22"/>
  <c r="N758" i="22"/>
  <c r="M762" i="22"/>
  <c r="N766" i="22"/>
  <c r="M770" i="22"/>
  <c r="M774" i="22"/>
  <c r="M778" i="22"/>
  <c r="M462" i="22"/>
  <c r="N478" i="22"/>
  <c r="N486" i="22"/>
  <c r="N494" i="22"/>
  <c r="N502" i="22"/>
  <c r="N510" i="22"/>
  <c r="N518" i="22"/>
  <c r="N526" i="22"/>
  <c r="N534" i="22"/>
  <c r="N542" i="22"/>
  <c r="N550" i="22"/>
  <c r="N558" i="22"/>
  <c r="N566" i="22"/>
  <c r="M574" i="22"/>
  <c r="N582" i="22"/>
  <c r="N590" i="22"/>
  <c r="M598" i="22"/>
  <c r="N604" i="22"/>
  <c r="N610" i="22"/>
  <c r="N615" i="22"/>
  <c r="N619" i="22"/>
  <c r="N623" i="22"/>
  <c r="N627" i="22"/>
  <c r="N631" i="22"/>
  <c r="N635" i="22"/>
  <c r="N639" i="22"/>
  <c r="N643" i="22"/>
  <c r="N647" i="22"/>
  <c r="N651" i="22"/>
  <c r="N655" i="22"/>
  <c r="N659" i="22"/>
  <c r="N663" i="22"/>
  <c r="N667" i="22"/>
  <c r="N671" i="22"/>
  <c r="M675" i="22"/>
  <c r="N679" i="22"/>
  <c r="N683" i="22"/>
  <c r="N687" i="22"/>
  <c r="M691" i="22"/>
  <c r="N695" i="22"/>
  <c r="N699" i="22"/>
  <c r="N703" i="22"/>
  <c r="N707" i="22"/>
  <c r="N711" i="22"/>
  <c r="N715" i="22"/>
  <c r="N719" i="22"/>
  <c r="N723" i="22"/>
  <c r="M727" i="22"/>
  <c r="N731" i="22"/>
  <c r="N735" i="22"/>
  <c r="N739" i="22"/>
  <c r="N743" i="22"/>
  <c r="N747" i="22"/>
  <c r="N751" i="22"/>
  <c r="N755" i="22"/>
  <c r="N759" i="22"/>
  <c r="N763" i="22"/>
  <c r="N767" i="22"/>
  <c r="N771" i="22"/>
  <c r="N775" i="22"/>
  <c r="N779" i="22"/>
  <c r="N466" i="22"/>
  <c r="M478" i="22"/>
  <c r="M486" i="22"/>
  <c r="M494" i="22"/>
  <c r="M502" i="22"/>
  <c r="M510" i="22"/>
  <c r="M518" i="22"/>
  <c r="M526" i="22"/>
  <c r="M534" i="22"/>
  <c r="M542" i="22"/>
  <c r="M550" i="22"/>
  <c r="M558" i="22"/>
  <c r="M566" i="22"/>
  <c r="N574" i="22"/>
  <c r="M582" i="22"/>
  <c r="M590" i="22"/>
  <c r="N598" i="22"/>
  <c r="M605" i="22"/>
  <c r="M610" i="22"/>
  <c r="M615" i="22"/>
  <c r="M619" i="22"/>
  <c r="M623" i="22"/>
  <c r="M627" i="22"/>
  <c r="M631" i="22"/>
  <c r="M635" i="22"/>
  <c r="M639" i="22"/>
  <c r="M643" i="22"/>
  <c r="M647" i="22"/>
  <c r="M651" i="22"/>
  <c r="M655" i="22"/>
  <c r="M659" i="22"/>
  <c r="M663" i="22"/>
  <c r="M667" i="22"/>
  <c r="M671" i="22"/>
  <c r="N675" i="22"/>
  <c r="M679" i="22"/>
  <c r="M683" i="22"/>
  <c r="M687" i="22"/>
  <c r="N691" i="22"/>
  <c r="M695" i="22"/>
  <c r="M699" i="22"/>
  <c r="M703" i="22"/>
  <c r="M707" i="22"/>
  <c r="M711" i="22"/>
  <c r="M715" i="22"/>
  <c r="M719" i="22"/>
  <c r="M723" i="22"/>
  <c r="N727" i="22"/>
  <c r="M731" i="22"/>
  <c r="M735" i="22"/>
  <c r="M739" i="22"/>
  <c r="M743" i="22"/>
  <c r="M747" i="22"/>
  <c r="M751" i="22"/>
  <c r="M755" i="22"/>
  <c r="M759" i="22"/>
  <c r="M763" i="22"/>
  <c r="M767" i="22"/>
  <c r="M771" i="22"/>
  <c r="M775" i="22"/>
  <c r="M779" i="22"/>
  <c r="N783" i="22"/>
  <c r="M787" i="22"/>
  <c r="N791" i="22"/>
  <c r="M795" i="22"/>
  <c r="M799" i="22"/>
  <c r="M803" i="22"/>
  <c r="M807" i="22"/>
  <c r="M811" i="22"/>
  <c r="M815" i="22"/>
  <c r="M819" i="22"/>
  <c r="M823" i="22"/>
  <c r="N827" i="22"/>
  <c r="N831" i="22"/>
  <c r="N835" i="22"/>
  <c r="N839" i="22"/>
  <c r="M843" i="22"/>
  <c r="M847" i="22"/>
  <c r="M851" i="22"/>
  <c r="M855" i="22"/>
  <c r="M859" i="22"/>
  <c r="M863" i="22"/>
  <c r="M867" i="22"/>
  <c r="N871" i="22"/>
  <c r="N875" i="22"/>
  <c r="M466" i="22"/>
  <c r="M479" i="22"/>
  <c r="M487" i="22"/>
  <c r="M495" i="22"/>
  <c r="M503" i="22"/>
  <c r="M511" i="22"/>
  <c r="M519" i="22"/>
  <c r="N527" i="22"/>
  <c r="N535" i="22"/>
  <c r="N543" i="22"/>
  <c r="N551" i="22"/>
  <c r="N559" i="22"/>
  <c r="M567" i="22"/>
  <c r="N575" i="22"/>
  <c r="N583" i="22"/>
  <c r="N591" i="22"/>
  <c r="N599" i="22"/>
  <c r="M606" i="22"/>
  <c r="M611" i="22"/>
  <c r="M616" i="22"/>
  <c r="M620" i="22"/>
  <c r="N624" i="22"/>
  <c r="N628" i="22"/>
  <c r="N632" i="22"/>
  <c r="N636" i="22"/>
  <c r="N640" i="22"/>
  <c r="N644" i="22"/>
  <c r="M648" i="22"/>
  <c r="N652" i="22"/>
  <c r="N656" i="22"/>
  <c r="N660" i="22"/>
  <c r="M664" i="22"/>
  <c r="N668" i="22"/>
  <c r="N672" i="22"/>
  <c r="M676" i="22"/>
  <c r="N680" i="22"/>
  <c r="M684" i="22"/>
  <c r="N688" i="22"/>
  <c r="N692" i="22"/>
  <c r="N696" i="22"/>
  <c r="N700" i="22"/>
  <c r="N704" i="22"/>
  <c r="N708" i="22"/>
  <c r="N712" i="22"/>
  <c r="N716" i="22"/>
  <c r="N720" i="22"/>
  <c r="N724" i="22"/>
  <c r="N728" i="22"/>
  <c r="N732" i="22"/>
  <c r="N736" i="22"/>
  <c r="N740" i="22"/>
  <c r="N744" i="22"/>
  <c r="N748" i="22"/>
  <c r="N752" i="22"/>
  <c r="N756" i="22"/>
  <c r="N760" i="22"/>
  <c r="M764" i="22"/>
  <c r="N768" i="22"/>
  <c r="N772" i="22"/>
  <c r="N776" i="22"/>
  <c r="N780" i="22"/>
  <c r="N784" i="22"/>
  <c r="N788" i="22"/>
  <c r="N792" i="22"/>
  <c r="M796" i="22"/>
  <c r="M800" i="22"/>
  <c r="M804" i="22"/>
  <c r="M808" i="22"/>
  <c r="N812" i="22"/>
  <c r="M816" i="22"/>
  <c r="N820" i="22"/>
  <c r="N824" i="22"/>
  <c r="N828" i="22"/>
  <c r="N832" i="22"/>
  <c r="N836" i="22"/>
  <c r="N840" i="22"/>
  <c r="N844" i="22"/>
  <c r="N848" i="22"/>
  <c r="M852" i="22"/>
  <c r="N856" i="22"/>
  <c r="N860" i="22"/>
  <c r="M864" i="22"/>
  <c r="N868" i="22"/>
  <c r="M872" i="22"/>
  <c r="N876" i="22"/>
  <c r="N470" i="22"/>
  <c r="N481" i="22"/>
  <c r="N489" i="22"/>
  <c r="N497" i="22"/>
  <c r="N505" i="22"/>
  <c r="N513" i="22"/>
  <c r="N521" i="22"/>
  <c r="N529" i="22"/>
  <c r="N537" i="22"/>
  <c r="N545" i="22"/>
  <c r="N553" i="22"/>
  <c r="N561" i="22"/>
  <c r="N569" i="22"/>
  <c r="M577" i="22"/>
  <c r="N585" i="22"/>
  <c r="N593" i="22"/>
  <c r="N601" i="22"/>
  <c r="N606" i="22"/>
  <c r="M612" i="22"/>
  <c r="N616" i="22"/>
  <c r="N620" i="22"/>
  <c r="M624" i="22"/>
  <c r="M628" i="22"/>
  <c r="M632" i="22"/>
  <c r="M636" i="22"/>
  <c r="M640" i="22"/>
  <c r="M644" i="22"/>
  <c r="N648" i="22"/>
  <c r="M652" i="22"/>
  <c r="M656" i="22"/>
  <c r="M660" i="22"/>
  <c r="N664" i="22"/>
  <c r="M668" i="22"/>
  <c r="M672" i="22"/>
  <c r="N676" i="22"/>
  <c r="M680" i="22"/>
  <c r="N684" i="22"/>
  <c r="M688" i="22"/>
  <c r="M692" i="22"/>
  <c r="M696" i="22"/>
  <c r="M700" i="22"/>
  <c r="M704" i="22"/>
  <c r="M708" i="22"/>
  <c r="M712" i="22"/>
  <c r="M716" i="22"/>
  <c r="M720" i="22"/>
  <c r="M724" i="22"/>
  <c r="M728" i="22"/>
  <c r="M732" i="22"/>
  <c r="M736" i="22"/>
  <c r="M740" i="22"/>
  <c r="M744" i="22"/>
  <c r="M748" i="22"/>
  <c r="M752" i="22"/>
  <c r="M756" i="22"/>
  <c r="M760" i="22"/>
  <c r="N764" i="22"/>
  <c r="M768" i="22"/>
  <c r="M772" i="22"/>
  <c r="M776" i="22"/>
  <c r="M780" i="22"/>
  <c r="M784" i="22"/>
  <c r="M788" i="22"/>
  <c r="M792" i="22"/>
  <c r="N796" i="22"/>
  <c r="N800" i="22"/>
  <c r="N804" i="22"/>
  <c r="N808" i="22"/>
  <c r="M812" i="22"/>
  <c r="N816" i="22"/>
  <c r="M820" i="22"/>
  <c r="M824" i="22"/>
  <c r="M828" i="22"/>
  <c r="M832" i="22"/>
  <c r="M836" i="22"/>
  <c r="M840" i="22"/>
  <c r="M844" i="22"/>
  <c r="M848" i="22"/>
  <c r="N852" i="22"/>
  <c r="M856" i="22"/>
  <c r="M860" i="22"/>
  <c r="N864" i="22"/>
  <c r="M868" i="22"/>
  <c r="N872" i="22"/>
  <c r="M876" i="22"/>
  <c r="M470" i="22"/>
  <c r="N482" i="22"/>
  <c r="N490" i="22"/>
  <c r="N498" i="22"/>
  <c r="N506" i="22"/>
  <c r="N514" i="22"/>
  <c r="N522" i="22"/>
  <c r="N530" i="22"/>
  <c r="N538" i="22"/>
  <c r="N546" i="22"/>
  <c r="N554" i="22"/>
  <c r="N562" i="22"/>
  <c r="N570" i="22"/>
  <c r="N578" i="22"/>
  <c r="M586" i="22"/>
  <c r="N594" i="22"/>
  <c r="N602" i="22"/>
  <c r="N607" i="22"/>
  <c r="N612" i="22"/>
  <c r="N617" i="22"/>
  <c r="M621" i="22"/>
  <c r="N625" i="22"/>
  <c r="N629" i="22"/>
  <c r="M633" i="22"/>
  <c r="N637" i="22"/>
  <c r="N641" i="22"/>
  <c r="N645" i="22"/>
  <c r="N649" i="22"/>
  <c r="M653" i="22"/>
  <c r="N657" i="22"/>
  <c r="N661" i="22"/>
  <c r="M665" i="22"/>
  <c r="N669" i="22"/>
  <c r="M673" i="22"/>
  <c r="N677" i="22"/>
  <c r="M681" i="22"/>
  <c r="N685" i="22"/>
  <c r="N689" i="22"/>
  <c r="M693" i="22"/>
  <c r="N697" i="22"/>
  <c r="N701" i="22"/>
  <c r="N705" i="22"/>
  <c r="M709" i="22"/>
  <c r="M713" i="22"/>
  <c r="N717" i="22"/>
  <c r="N721" i="22"/>
  <c r="N725" i="22"/>
  <c r="N729" i="22"/>
  <c r="M733" i="22"/>
  <c r="N737" i="22"/>
  <c r="M741" i="22"/>
  <c r="N745" i="22"/>
  <c r="N749" i="22"/>
  <c r="M753" i="22"/>
  <c r="N757" i="22"/>
  <c r="M761" i="22"/>
  <c r="N765" i="22"/>
  <c r="N769" i="22"/>
  <c r="N773" i="22"/>
  <c r="N777" i="22"/>
  <c r="N781" i="22"/>
  <c r="N785" i="22"/>
  <c r="N789" i="22"/>
  <c r="N793" i="22"/>
  <c r="N797" i="22"/>
  <c r="M801" i="22"/>
  <c r="N805" i="22"/>
  <c r="M809" i="22"/>
  <c r="N813" i="22"/>
  <c r="N817" i="22"/>
  <c r="M821" i="22"/>
  <c r="N825" i="22"/>
  <c r="N829" i="22"/>
  <c r="M833" i="22"/>
  <c r="N837" i="22"/>
  <c r="N841" i="22"/>
  <c r="N845" i="22"/>
  <c r="N849" i="22"/>
  <c r="M853" i="22"/>
  <c r="N857" i="22"/>
  <c r="N861" i="22"/>
  <c r="N865" i="22"/>
  <c r="M869" i="22"/>
  <c r="N873" i="22"/>
  <c r="M877" i="22"/>
  <c r="N782" i="22"/>
  <c r="N798" i="22"/>
  <c r="M814" i="22"/>
  <c r="M830" i="22"/>
  <c r="M846" i="22"/>
  <c r="M862" i="22"/>
  <c r="N877" i="22"/>
  <c r="N882" i="22"/>
  <c r="N886" i="22"/>
  <c r="N890" i="22"/>
  <c r="M894" i="22"/>
  <c r="N898" i="22"/>
  <c r="N902" i="22"/>
  <c r="N906" i="22"/>
  <c r="M910" i="22"/>
  <c r="M914" i="22"/>
  <c r="N918" i="22"/>
  <c r="M922" i="22"/>
  <c r="N926" i="22"/>
  <c r="N930" i="22"/>
  <c r="N934" i="22"/>
  <c r="N938" i="22"/>
  <c r="N942" i="22"/>
  <c r="N946" i="22"/>
  <c r="N950" i="22"/>
  <c r="N954" i="22"/>
  <c r="N958" i="22"/>
  <c r="N962" i="22"/>
  <c r="M966" i="22"/>
  <c r="M970" i="22"/>
  <c r="N974" i="22"/>
  <c r="N978" i="22"/>
  <c r="N982" i="22"/>
  <c r="N986" i="22"/>
  <c r="N990" i="22"/>
  <c r="N994" i="22"/>
  <c r="N998" i="22"/>
  <c r="N1002" i="22"/>
  <c r="N1006" i="22"/>
  <c r="N1010" i="22"/>
  <c r="N1014" i="22"/>
  <c r="M1018" i="22"/>
  <c r="N1022" i="22"/>
  <c r="M1026" i="22"/>
  <c r="N1030" i="22"/>
  <c r="N1034" i="22"/>
  <c r="N1038" i="22"/>
  <c r="N1042" i="22"/>
  <c r="N1046" i="22"/>
  <c r="M1050" i="22"/>
  <c r="N1054" i="22"/>
  <c r="M1058" i="22"/>
  <c r="N1062" i="22"/>
  <c r="N1066" i="22"/>
  <c r="N1070" i="22"/>
  <c r="M1074" i="22"/>
  <c r="N1078" i="22"/>
  <c r="N1082" i="22"/>
  <c r="N1086" i="22"/>
  <c r="N1090" i="22"/>
  <c r="M1094" i="22"/>
  <c r="N1098" i="22"/>
  <c r="N1102" i="22"/>
  <c r="N1106" i="22"/>
  <c r="N1110" i="22"/>
  <c r="M1114" i="22"/>
  <c r="N1118" i="22"/>
  <c r="N1122" i="22"/>
  <c r="N1126" i="22"/>
  <c r="M1130" i="22"/>
  <c r="N1134" i="22"/>
  <c r="N1138" i="22"/>
  <c r="N1142" i="22"/>
  <c r="M1146" i="22"/>
  <c r="N1150" i="22"/>
  <c r="N1154" i="22"/>
  <c r="M1158" i="22"/>
  <c r="N1162" i="22"/>
  <c r="M1166" i="22"/>
  <c r="N1170" i="22"/>
  <c r="N1174" i="22"/>
  <c r="M1178" i="22"/>
  <c r="M1182" i="22"/>
  <c r="N1186" i="22"/>
  <c r="M1190" i="22"/>
  <c r="N1194" i="22"/>
  <c r="M783" i="22"/>
  <c r="N799" i="22"/>
  <c r="N815" i="22"/>
  <c r="M831" i="22"/>
  <c r="N847" i="22"/>
  <c r="N863" i="22"/>
  <c r="M878" i="22"/>
  <c r="M882" i="22"/>
  <c r="M886" i="22"/>
  <c r="M890" i="22"/>
  <c r="N894" i="22"/>
  <c r="M898" i="22"/>
  <c r="M902" i="22"/>
  <c r="M906" i="22"/>
  <c r="N910" i="22"/>
  <c r="N914" i="22"/>
  <c r="M918" i="22"/>
  <c r="N922" i="22"/>
  <c r="M926" i="22"/>
  <c r="M930" i="22"/>
  <c r="M934" i="22"/>
  <c r="M938" i="22"/>
  <c r="M942" i="22"/>
  <c r="M946" i="22"/>
  <c r="M950" i="22"/>
  <c r="M954" i="22"/>
  <c r="M958" i="22"/>
  <c r="M962" i="22"/>
  <c r="N966" i="22"/>
  <c r="N970" i="22"/>
  <c r="M974" i="22"/>
  <c r="M978" i="22"/>
  <c r="M982" i="22"/>
  <c r="M986" i="22"/>
  <c r="M990" i="22"/>
  <c r="M994" i="22"/>
  <c r="M998" i="22"/>
  <c r="M1002" i="22"/>
  <c r="M1006" i="22"/>
  <c r="M1010" i="22"/>
  <c r="M1014" i="22"/>
  <c r="N1018" i="22"/>
  <c r="M1022" i="22"/>
  <c r="N1026" i="22"/>
  <c r="M1030" i="22"/>
  <c r="M1034" i="22"/>
  <c r="M1038" i="22"/>
  <c r="M1042" i="22"/>
  <c r="M1046" i="22"/>
  <c r="N1050" i="22"/>
  <c r="M1054" i="22"/>
  <c r="N1058" i="22"/>
  <c r="M1062" i="22"/>
  <c r="M1066" i="22"/>
  <c r="M1070" i="22"/>
  <c r="N1074" i="22"/>
  <c r="M1078" i="22"/>
  <c r="M1082" i="22"/>
  <c r="M1086" i="22"/>
  <c r="M1090" i="22"/>
  <c r="N1094" i="22"/>
  <c r="M1098" i="22"/>
  <c r="M1102" i="22"/>
  <c r="M1106" i="22"/>
  <c r="M1110" i="22"/>
  <c r="N1114" i="22"/>
  <c r="M1118" i="22"/>
  <c r="M1122" i="22"/>
  <c r="M1126" i="22"/>
  <c r="N1130" i="22"/>
  <c r="M1134" i="22"/>
  <c r="M1138" i="22"/>
  <c r="M1142" i="22"/>
  <c r="N1146" i="22"/>
  <c r="M1150" i="22"/>
  <c r="M1154" i="22"/>
  <c r="N1158" i="22"/>
  <c r="M1162" i="22"/>
  <c r="N1166" i="22"/>
  <c r="M1170" i="22"/>
  <c r="M1174" i="22"/>
  <c r="N1178" i="22"/>
  <c r="N1182" i="22"/>
  <c r="M1186" i="22"/>
  <c r="N1190" i="22"/>
  <c r="M1194" i="22"/>
  <c r="M786" i="22"/>
  <c r="N802" i="22"/>
  <c r="M818" i="22"/>
  <c r="M834" i="22"/>
  <c r="N850" i="22"/>
  <c r="M866" i="22"/>
  <c r="N879" i="22"/>
  <c r="M883" i="22"/>
  <c r="N887" i="22"/>
  <c r="N891" i="22"/>
  <c r="N895" i="22"/>
  <c r="N899" i="22"/>
  <c r="N903" i="22"/>
  <c r="M907" i="22"/>
  <c r="N911" i="22"/>
  <c r="N915" i="22"/>
  <c r="N919" i="22"/>
  <c r="M923" i="22"/>
  <c r="N927" i="22"/>
  <c r="M931" i="22"/>
  <c r="N935" i="22"/>
  <c r="M939" i="22"/>
  <c r="N943" i="22"/>
  <c r="M947" i="22"/>
  <c r="N951" i="22"/>
  <c r="N955" i="22"/>
  <c r="N959" i="22"/>
  <c r="N963" i="22"/>
  <c r="N967" i="22"/>
  <c r="N971" i="22"/>
  <c r="N975" i="22"/>
  <c r="N979" i="22"/>
  <c r="N983" i="22"/>
  <c r="N987" i="22"/>
  <c r="M991" i="22"/>
  <c r="N995" i="22"/>
  <c r="M999" i="22"/>
  <c r="M1003" i="22"/>
  <c r="N1007" i="22"/>
  <c r="N1011" i="22"/>
  <c r="N1015" i="22"/>
  <c r="N1019" i="22"/>
  <c r="N1023" i="22"/>
  <c r="N1027" i="22"/>
  <c r="M1031" i="22"/>
  <c r="M1035" i="22"/>
  <c r="M1039" i="22"/>
  <c r="M1043" i="22"/>
  <c r="N1047" i="22"/>
  <c r="M1051" i="22"/>
  <c r="N1055" i="22"/>
  <c r="N1059" i="22"/>
  <c r="N1063" i="22"/>
  <c r="M1067" i="22"/>
  <c r="M1071" i="22"/>
  <c r="M1075" i="22"/>
  <c r="M1079" i="22"/>
  <c r="N1083" i="22"/>
  <c r="M1087" i="22"/>
  <c r="N787" i="22"/>
  <c r="N803" i="22"/>
  <c r="N819" i="22"/>
  <c r="M835" i="22"/>
  <c r="N851" i="22"/>
  <c r="N867" i="22"/>
  <c r="M879" i="22"/>
  <c r="N883" i="22"/>
  <c r="M887" i="22"/>
  <c r="M891" i="22"/>
  <c r="M895" i="22"/>
  <c r="M899" i="22"/>
  <c r="M903" i="22"/>
  <c r="N907" i="22"/>
  <c r="M911" i="22"/>
  <c r="M915" i="22"/>
  <c r="M919" i="22"/>
  <c r="N923" i="22"/>
  <c r="M927" i="22"/>
  <c r="N931" i="22"/>
  <c r="M935" i="22"/>
  <c r="N939" i="22"/>
  <c r="M943" i="22"/>
  <c r="N947" i="22"/>
  <c r="M951" i="22"/>
  <c r="M955" i="22"/>
  <c r="M959" i="22"/>
  <c r="M963" i="22"/>
  <c r="M967" i="22"/>
  <c r="M971" i="22"/>
  <c r="M975" i="22"/>
  <c r="M979" i="22"/>
  <c r="M983" i="22"/>
  <c r="M987" i="22"/>
  <c r="N991" i="22"/>
  <c r="M995" i="22"/>
  <c r="N999" i="22"/>
  <c r="N1003" i="22"/>
  <c r="M1007" i="22"/>
  <c r="M1011" i="22"/>
  <c r="M1015" i="22"/>
  <c r="M1019" i="22"/>
  <c r="M1023" i="22"/>
  <c r="M1027" i="22"/>
  <c r="N1031" i="22"/>
  <c r="N1035" i="22"/>
  <c r="N1039" i="22"/>
  <c r="N1043" i="22"/>
  <c r="M1047" i="22"/>
  <c r="N1051" i="22"/>
  <c r="M1055" i="22"/>
  <c r="M1059" i="22"/>
  <c r="M1063" i="22"/>
  <c r="N1067" i="22"/>
  <c r="N1071" i="22"/>
  <c r="N1075" i="22"/>
  <c r="N1079" i="22"/>
  <c r="M1083" i="22"/>
  <c r="N1087" i="22"/>
  <c r="M790" i="22"/>
  <c r="M806" i="22"/>
  <c r="M822" i="22"/>
  <c r="M838" i="22"/>
  <c r="M854" i="22"/>
  <c r="M870" i="22"/>
  <c r="N880" i="22"/>
  <c r="M884" i="22"/>
  <c r="N888" i="22"/>
  <c r="M892" i="22"/>
  <c r="N896" i="22"/>
  <c r="N900" i="22"/>
  <c r="N904" i="22"/>
  <c r="N908" i="22"/>
  <c r="N912" i="22"/>
  <c r="N916" i="22"/>
  <c r="N920" i="22"/>
  <c r="N924" i="22"/>
  <c r="M928" i="22"/>
  <c r="M932" i="22"/>
  <c r="N936" i="22"/>
  <c r="M940" i="22"/>
  <c r="M944" i="22"/>
  <c r="N948" i="22"/>
  <c r="N952" i="22"/>
  <c r="N956" i="22"/>
  <c r="N960" i="22"/>
  <c r="N964" i="22"/>
  <c r="M968" i="22"/>
  <c r="N972" i="22"/>
  <c r="N976" i="22"/>
  <c r="N980" i="22"/>
  <c r="N984" i="22"/>
  <c r="N988" i="22"/>
  <c r="M992" i="22"/>
  <c r="N996" i="22"/>
  <c r="N1000" i="22"/>
  <c r="N1004" i="22"/>
  <c r="N1008" i="22"/>
  <c r="N1012" i="22"/>
  <c r="N1016" i="22"/>
  <c r="M1020" i="22"/>
  <c r="N1024" i="22"/>
  <c r="N1028" i="22"/>
  <c r="N1032" i="22"/>
  <c r="N1036" i="22"/>
  <c r="N1040" i="22"/>
  <c r="N1044" i="22"/>
  <c r="N1048" i="22"/>
  <c r="M1052" i="22"/>
  <c r="N1056" i="22"/>
  <c r="N1060" i="22"/>
  <c r="M1064" i="22"/>
  <c r="N1068" i="22"/>
  <c r="N1072" i="22"/>
  <c r="M1076" i="22"/>
  <c r="N1080" i="22"/>
  <c r="N1084" i="22"/>
  <c r="N1088" i="22"/>
  <c r="M1092" i="22"/>
  <c r="N1096" i="22"/>
  <c r="M1100" i="22"/>
  <c r="M1104" i="22"/>
  <c r="N1108" i="22"/>
  <c r="N1112" i="22"/>
  <c r="N1116" i="22"/>
  <c r="N1120" i="22"/>
  <c r="N1124" i="22"/>
  <c r="N1128" i="22"/>
  <c r="N1132" i="22"/>
  <c r="N1136" i="22"/>
  <c r="M1140" i="22"/>
  <c r="M1144" i="22"/>
  <c r="N1148" i="22"/>
  <c r="N1152" i="22"/>
  <c r="N1156" i="22"/>
  <c r="M1160" i="22"/>
  <c r="N1164" i="22"/>
  <c r="N1168" i="22"/>
  <c r="M1172" i="22"/>
  <c r="N1176" i="22"/>
  <c r="N1180" i="22"/>
  <c r="N1184" i="22"/>
  <c r="N1188" i="22"/>
  <c r="N1192" i="22"/>
  <c r="M791" i="22"/>
  <c r="N807" i="22"/>
  <c r="N823" i="22"/>
  <c r="M839" i="22"/>
  <c r="N855" i="22"/>
  <c r="M871" i="22"/>
  <c r="M880" i="22"/>
  <c r="N884" i="22"/>
  <c r="M888" i="22"/>
  <c r="N892" i="22"/>
  <c r="M896" i="22"/>
  <c r="M900" i="22"/>
  <c r="M904" i="22"/>
  <c r="M908" i="22"/>
  <c r="M912" i="22"/>
  <c r="M916" i="22"/>
  <c r="M920" i="22"/>
  <c r="M924" i="22"/>
  <c r="N928" i="22"/>
  <c r="N932" i="22"/>
  <c r="M936" i="22"/>
  <c r="N940" i="22"/>
  <c r="N944" i="22"/>
  <c r="M948" i="22"/>
  <c r="M952" i="22"/>
  <c r="M956" i="22"/>
  <c r="M960" i="22"/>
  <c r="M964" i="22"/>
  <c r="N968" i="22"/>
  <c r="M972" i="22"/>
  <c r="M976" i="22"/>
  <c r="M980" i="22"/>
  <c r="M984" i="22"/>
  <c r="M988" i="22"/>
  <c r="N992" i="22"/>
  <c r="M996" i="22"/>
  <c r="M1000" i="22"/>
  <c r="M1004" i="22"/>
  <c r="M1008" i="22"/>
  <c r="M1012" i="22"/>
  <c r="M1016" i="22"/>
  <c r="N1020" i="22"/>
  <c r="M1024" i="22"/>
  <c r="M1028" i="22"/>
  <c r="M1032" i="22"/>
  <c r="M1036" i="22"/>
  <c r="M1040" i="22"/>
  <c r="M1044" i="22"/>
  <c r="M1048" i="22"/>
  <c r="N1052" i="22"/>
  <c r="M1056" i="22"/>
  <c r="M1060" i="22"/>
  <c r="N1064" i="22"/>
  <c r="M1068" i="22"/>
  <c r="M1072" i="22"/>
  <c r="N1076" i="22"/>
  <c r="M1080" i="22"/>
  <c r="M1084" i="22"/>
  <c r="M1088" i="22"/>
  <c r="N1092" i="22"/>
  <c r="M1096" i="22"/>
  <c r="N1100" i="22"/>
  <c r="N1104" i="22"/>
  <c r="M1108" i="22"/>
  <c r="M1112" i="22"/>
  <c r="M1116" i="22"/>
  <c r="M1120" i="22"/>
  <c r="M1124" i="22"/>
  <c r="M1128" i="22"/>
  <c r="M1132" i="22"/>
  <c r="M1136" i="22"/>
  <c r="N1140" i="22"/>
  <c r="N1144" i="22"/>
  <c r="M1148" i="22"/>
  <c r="M1152" i="22"/>
  <c r="M1156" i="22"/>
  <c r="N1160" i="22"/>
  <c r="M1164" i="22"/>
  <c r="M1168" i="22"/>
  <c r="N1172" i="22"/>
  <c r="M1176" i="22"/>
  <c r="M1180" i="22"/>
  <c r="M1184" i="22"/>
  <c r="M1188" i="22"/>
  <c r="M1192" i="22"/>
  <c r="M794" i="22"/>
  <c r="M810" i="22"/>
  <c r="M826" i="22"/>
  <c r="M842" i="22"/>
  <c r="M858" i="22"/>
  <c r="M874" i="22"/>
  <c r="M881" i="22"/>
  <c r="N885" i="22"/>
  <c r="N889" i="22"/>
  <c r="N893" i="22"/>
  <c r="N897" i="22"/>
  <c r="M901" i="22"/>
  <c r="N905" i="22"/>
  <c r="N909" i="22"/>
  <c r="N913" i="22"/>
  <c r="M917" i="22"/>
  <c r="M921" i="22"/>
  <c r="M925" i="22"/>
  <c r="M929" i="22"/>
  <c r="N933" i="22"/>
  <c r="M937" i="22"/>
  <c r="N941" i="22"/>
  <c r="M945" i="22"/>
  <c r="M949" i="22"/>
  <c r="M953" i="22"/>
  <c r="N957" i="22"/>
  <c r="N961" i="22"/>
  <c r="M965" i="22"/>
  <c r="N969" i="22"/>
  <c r="N973" i="22"/>
  <c r="N977" i="22"/>
  <c r="N981" i="22"/>
  <c r="N985" i="22"/>
  <c r="M989" i="22"/>
  <c r="M993" i="22"/>
  <c r="M997" i="22"/>
  <c r="N1001" i="22"/>
  <c r="M1005" i="22"/>
  <c r="M1009" i="22"/>
  <c r="M1013" i="22"/>
  <c r="N1017" i="22"/>
  <c r="M1021" i="22"/>
  <c r="N1025" i="22"/>
  <c r="M1029" i="22"/>
  <c r="N1033" i="22"/>
  <c r="N1037" i="22"/>
  <c r="N1041" i="22"/>
  <c r="N1045" i="22"/>
  <c r="N1049" i="22"/>
  <c r="N1053" i="22"/>
  <c r="N1057" i="22"/>
  <c r="M1061" i="22"/>
  <c r="N1065" i="22"/>
  <c r="N1069" i="22"/>
  <c r="N1073" i="22"/>
  <c r="N1077" i="22"/>
  <c r="N1081" i="22"/>
  <c r="N1085" i="22"/>
  <c r="N1089" i="22"/>
  <c r="N1093" i="22"/>
  <c r="N1097" i="22"/>
  <c r="N1101" i="22"/>
  <c r="M1105" i="22"/>
  <c r="N1109" i="22"/>
  <c r="N1113" i="22"/>
  <c r="N1117" i="22"/>
  <c r="N1121" i="22"/>
  <c r="M1125" i="22"/>
  <c r="N1129" i="22"/>
  <c r="N1133" i="22"/>
  <c r="N1137" i="22"/>
  <c r="N1141" i="22"/>
  <c r="N1145" i="22"/>
  <c r="N1149" i="22"/>
  <c r="M1153" i="22"/>
  <c r="N1157" i="22"/>
  <c r="M1161" i="22"/>
  <c r="N1165" i="22"/>
  <c r="N1169" i="22"/>
  <c r="N1173" i="22"/>
  <c r="N1177" i="22"/>
  <c r="M1181" i="22"/>
  <c r="N1185" i="22"/>
  <c r="N1189" i="22"/>
  <c r="N1193" i="22"/>
  <c r="N795" i="22"/>
  <c r="N811" i="22"/>
  <c r="M827" i="22"/>
  <c r="N843" i="22"/>
  <c r="N859" i="22"/>
  <c r="M875" i="22"/>
  <c r="N881" i="22"/>
  <c r="M885" i="22"/>
  <c r="M889" i="22"/>
  <c r="M893" i="22"/>
  <c r="M897" i="22"/>
  <c r="N901" i="22"/>
  <c r="M905" i="22"/>
  <c r="M909" i="22"/>
  <c r="M913" i="22"/>
  <c r="N917" i="22"/>
  <c r="N921" i="22"/>
  <c r="N925" i="22"/>
  <c r="N929" i="22"/>
  <c r="M933" i="22"/>
  <c r="N937" i="22"/>
  <c r="M941" i="22"/>
  <c r="N945" i="22"/>
  <c r="N949" i="22"/>
  <c r="N953" i="22"/>
  <c r="M957" i="22"/>
  <c r="M961" i="22"/>
  <c r="N965" i="22"/>
  <c r="M969" i="22"/>
  <c r="M973" i="22"/>
  <c r="M977" i="22"/>
  <c r="M981" i="22"/>
  <c r="M985" i="22"/>
  <c r="N989" i="22"/>
  <c r="N993" i="22"/>
  <c r="N997" i="22"/>
  <c r="M1001" i="22"/>
  <c r="N1005" i="22"/>
  <c r="N1009" i="22"/>
  <c r="N1013" i="22"/>
  <c r="M1017" i="22"/>
  <c r="N1021" i="22"/>
  <c r="M1025" i="22"/>
  <c r="N1029" i="22"/>
  <c r="M1033" i="22"/>
  <c r="M1037" i="22"/>
  <c r="M1041" i="22"/>
  <c r="M1045" i="22"/>
  <c r="M1049" i="22"/>
  <c r="M1053" i="22"/>
  <c r="M1057" i="22"/>
  <c r="N1061" i="22"/>
  <c r="M1065" i="22"/>
  <c r="M1069" i="22"/>
  <c r="M1073" i="22"/>
  <c r="M1077" i="22"/>
  <c r="M1081" i="22"/>
  <c r="M1085" i="22"/>
  <c r="M1089" i="22"/>
  <c r="M1093" i="22"/>
  <c r="M1097" i="22"/>
  <c r="M1101" i="22"/>
  <c r="N1105" i="22"/>
  <c r="M1109" i="22"/>
  <c r="M1113" i="22"/>
  <c r="M1117" i="22"/>
  <c r="M1121" i="22"/>
  <c r="N1125" i="22"/>
  <c r="M1129" i="22"/>
  <c r="M1133" i="22"/>
  <c r="M1137" i="22"/>
  <c r="M1141" i="22"/>
  <c r="M1145" i="22"/>
  <c r="M1149" i="22"/>
  <c r="N1153" i="22"/>
  <c r="M1157" i="22"/>
  <c r="N1161" i="22"/>
  <c r="M1165" i="22"/>
  <c r="M1169" i="22"/>
  <c r="M1173" i="22"/>
  <c r="M1177" i="22"/>
  <c r="N1181" i="22"/>
  <c r="M1185" i="22"/>
  <c r="M1189" i="22"/>
  <c r="M1193" i="22"/>
  <c r="M1091" i="22"/>
  <c r="N1107" i="22"/>
  <c r="M1123" i="22"/>
  <c r="N1139" i="22"/>
  <c r="M1155" i="22"/>
  <c r="M1171" i="22"/>
  <c r="M1187" i="22"/>
  <c r="N1197" i="22"/>
  <c r="N1201" i="22"/>
  <c r="N1205" i="22"/>
  <c r="N1209" i="22"/>
  <c r="M1213" i="22"/>
  <c r="N1217" i="22"/>
  <c r="N1221" i="22"/>
  <c r="M1225" i="22"/>
  <c r="N1229" i="22"/>
  <c r="N1233" i="22"/>
  <c r="N1237" i="22"/>
  <c r="N1241" i="22"/>
  <c r="N1245" i="22"/>
  <c r="M1249" i="22"/>
  <c r="M1253" i="22"/>
  <c r="N1257" i="22"/>
  <c r="M1261" i="22"/>
  <c r="N1265" i="22"/>
  <c r="N1269" i="22"/>
  <c r="N1273" i="22"/>
  <c r="N1277" i="22"/>
  <c r="N1281" i="22"/>
  <c r="N1285" i="22"/>
  <c r="N1289" i="22"/>
  <c r="N1293" i="22"/>
  <c r="M1297" i="22"/>
  <c r="N1301" i="22"/>
  <c r="N1305" i="22"/>
  <c r="N1309" i="22"/>
  <c r="N1313" i="22"/>
  <c r="N1317" i="22"/>
  <c r="N1321" i="22"/>
  <c r="M1325" i="22"/>
  <c r="N1329" i="22"/>
  <c r="M1333" i="22"/>
  <c r="M1337" i="22"/>
  <c r="M1341" i="22"/>
  <c r="N1345" i="22"/>
  <c r="N1349" i="22"/>
  <c r="M1353" i="22"/>
  <c r="M1357" i="22"/>
  <c r="M1361" i="22"/>
  <c r="M1365" i="22"/>
  <c r="N1369" i="22"/>
  <c r="M1373" i="22"/>
  <c r="M1377" i="22"/>
  <c r="M1381" i="22"/>
  <c r="M1385" i="22"/>
  <c r="M1389" i="22"/>
  <c r="M1393" i="22"/>
  <c r="M1397" i="22"/>
  <c r="N1401" i="22"/>
  <c r="N1405" i="22"/>
  <c r="N1409" i="22"/>
  <c r="N1413" i="22"/>
  <c r="N1417" i="22"/>
  <c r="N1421" i="22"/>
  <c r="N1425" i="22"/>
  <c r="N1429" i="22"/>
  <c r="N1433" i="22"/>
  <c r="M1437" i="22"/>
  <c r="M1441" i="22"/>
  <c r="N1445" i="22"/>
  <c r="N1449" i="22"/>
  <c r="M1453" i="22"/>
  <c r="N1457" i="22"/>
  <c r="N1091" i="22"/>
  <c r="M1107" i="22"/>
  <c r="N1123" i="22"/>
  <c r="M1139" i="22"/>
  <c r="N1155" i="22"/>
  <c r="N1171" i="22"/>
  <c r="N1187" i="22"/>
  <c r="M1197" i="22"/>
  <c r="M1201" i="22"/>
  <c r="M1205" i="22"/>
  <c r="M1209" i="22"/>
  <c r="N1213" i="22"/>
  <c r="M1217" i="22"/>
  <c r="M1221" i="22"/>
  <c r="N1225" i="22"/>
  <c r="M1229" i="22"/>
  <c r="M1233" i="22"/>
  <c r="M1237" i="22"/>
  <c r="M1241" i="22"/>
  <c r="M1245" i="22"/>
  <c r="N1249" i="22"/>
  <c r="N1253" i="22"/>
  <c r="M1257" i="22"/>
  <c r="N1261" i="22"/>
  <c r="M1265" i="22"/>
  <c r="M1269" i="22"/>
  <c r="M1273" i="22"/>
  <c r="M1277" i="22"/>
  <c r="M1281" i="22"/>
  <c r="M1285" i="22"/>
  <c r="M1289" i="22"/>
  <c r="M1293" i="22"/>
  <c r="N1297" i="22"/>
  <c r="M1301" i="22"/>
  <c r="M1305" i="22"/>
  <c r="M1309" i="22"/>
  <c r="M1313" i="22"/>
  <c r="M1317" i="22"/>
  <c r="M1321" i="22"/>
  <c r="N1325" i="22"/>
  <c r="M1329" i="22"/>
  <c r="N1333" i="22"/>
  <c r="N1337" i="22"/>
  <c r="N1341" i="22"/>
  <c r="M1345" i="22"/>
  <c r="M1349" i="22"/>
  <c r="N1353" i="22"/>
  <c r="N1357" i="22"/>
  <c r="N1361" i="22"/>
  <c r="N1365" i="22"/>
  <c r="M1369" i="22"/>
  <c r="N1373" i="22"/>
  <c r="N1377" i="22"/>
  <c r="N1381" i="22"/>
  <c r="N1385" i="22"/>
  <c r="N1389" i="22"/>
  <c r="N1393" i="22"/>
  <c r="N1397" i="22"/>
  <c r="M1401" i="22"/>
  <c r="M1405" i="22"/>
  <c r="M1409" i="22"/>
  <c r="M1413" i="22"/>
  <c r="M1417" i="22"/>
  <c r="M1421" i="22"/>
  <c r="M1425" i="22"/>
  <c r="M1429" i="22"/>
  <c r="M1433" i="22"/>
  <c r="N1437" i="22"/>
  <c r="N1441" i="22"/>
  <c r="M1445" i="22"/>
  <c r="M1449" i="22"/>
  <c r="N1453" i="22"/>
  <c r="M1457" i="22"/>
  <c r="M1461" i="22"/>
  <c r="M1465" i="22"/>
  <c r="M1469" i="22"/>
  <c r="M1473" i="22"/>
  <c r="N1477" i="22"/>
  <c r="M1481" i="22"/>
  <c r="M1485" i="22"/>
  <c r="N1489" i="22"/>
  <c r="M1493" i="22"/>
  <c r="N1497" i="22"/>
  <c r="N1501" i="22"/>
  <c r="N1505" i="22"/>
  <c r="N1509" i="22"/>
  <c r="N1513" i="22"/>
  <c r="N1517" i="22"/>
  <c r="N1521" i="22"/>
  <c r="N1525" i="22"/>
  <c r="N1529" i="22"/>
  <c r="M1095" i="22"/>
  <c r="N1111" i="22"/>
  <c r="N1127" i="22"/>
  <c r="N1143" i="22"/>
  <c r="M1159" i="22"/>
  <c r="M1175" i="22"/>
  <c r="M1191" i="22"/>
  <c r="N1198" i="22"/>
  <c r="N1202" i="22"/>
  <c r="N1206" i="22"/>
  <c r="N1210" i="22"/>
  <c r="N1214" i="22"/>
  <c r="N1218" i="22"/>
  <c r="N1222" i="22"/>
  <c r="N1226" i="22"/>
  <c r="N1230" i="22"/>
  <c r="M1234" i="22"/>
  <c r="N1238" i="22"/>
  <c r="N1242" i="22"/>
  <c r="N1246" i="22"/>
  <c r="N1250" i="22"/>
  <c r="N1254" i="22"/>
  <c r="N1258" i="22"/>
  <c r="N1262" i="22"/>
  <c r="N1266" i="22"/>
  <c r="M1270" i="22"/>
  <c r="M1274" i="22"/>
  <c r="N1278" i="22"/>
  <c r="N1282" i="22"/>
  <c r="N1286" i="22"/>
  <c r="N1290" i="22"/>
  <c r="N1294" i="22"/>
  <c r="N1298" i="22"/>
  <c r="N1302" i="22"/>
  <c r="M1306" i="22"/>
  <c r="N1310" i="22"/>
  <c r="N1314" i="22"/>
  <c r="N1318" i="22"/>
  <c r="N1322" i="22"/>
  <c r="N1326" i="22"/>
  <c r="N1330" i="22"/>
  <c r="M1334" i="22"/>
  <c r="N1338" i="22"/>
  <c r="M1342" i="22"/>
  <c r="M1346" i="22"/>
  <c r="N1350" i="22"/>
  <c r="M1354" i="22"/>
  <c r="N1358" i="22"/>
  <c r="N1362" i="22"/>
  <c r="N1366" i="22"/>
  <c r="N1370" i="22"/>
  <c r="M1374" i="22"/>
  <c r="N1378" i="22"/>
  <c r="N1382" i="22"/>
  <c r="M1386" i="22"/>
  <c r="M1390" i="22"/>
  <c r="N1095" i="22"/>
  <c r="M1111" i="22"/>
  <c r="M1127" i="22"/>
  <c r="M1143" i="22"/>
  <c r="N1159" i="22"/>
  <c r="N1175" i="22"/>
  <c r="N1191" i="22"/>
  <c r="M1198" i="22"/>
  <c r="M1202" i="22"/>
  <c r="M1206" i="22"/>
  <c r="M1210" i="22"/>
  <c r="M1214" i="22"/>
  <c r="M1218" i="22"/>
  <c r="M1222" i="22"/>
  <c r="M1226" i="22"/>
  <c r="M1230" i="22"/>
  <c r="N1234" i="22"/>
  <c r="M1238" i="22"/>
  <c r="M1242" i="22"/>
  <c r="M1246" i="22"/>
  <c r="M1250" i="22"/>
  <c r="M1254" i="22"/>
  <c r="M1258" i="22"/>
  <c r="M1262" i="22"/>
  <c r="M1266" i="22"/>
  <c r="N1270" i="22"/>
  <c r="N1274" i="22"/>
  <c r="M1278" i="22"/>
  <c r="M1282" i="22"/>
  <c r="M1286" i="22"/>
  <c r="M1290" i="22"/>
  <c r="M1294" i="22"/>
  <c r="M1298" i="22"/>
  <c r="M1302" i="22"/>
  <c r="N1306" i="22"/>
  <c r="M1310" i="22"/>
  <c r="M1314" i="22"/>
  <c r="M1318" i="22"/>
  <c r="M1322" i="22"/>
  <c r="M1326" i="22"/>
  <c r="M1330" i="22"/>
  <c r="N1334" i="22"/>
  <c r="M1338" i="22"/>
  <c r="N1342" i="22"/>
  <c r="N1346" i="22"/>
  <c r="M1350" i="22"/>
  <c r="N1354" i="22"/>
  <c r="M1358" i="22"/>
  <c r="M1362" i="22"/>
  <c r="M1366" i="22"/>
  <c r="M1370" i="22"/>
  <c r="N1374" i="22"/>
  <c r="M1378" i="22"/>
  <c r="M1382" i="22"/>
  <c r="N1386" i="22"/>
  <c r="N1390" i="22"/>
  <c r="M1099" i="22"/>
  <c r="M1115" i="22"/>
  <c r="M1131" i="22"/>
  <c r="N1147" i="22"/>
  <c r="M1163" i="22"/>
  <c r="M1179" i="22"/>
  <c r="M1195" i="22"/>
  <c r="N1199" i="22"/>
  <c r="M1203" i="22"/>
  <c r="M1207" i="22"/>
  <c r="M1211" i="22"/>
  <c r="M1215" i="22"/>
  <c r="N1219" i="22"/>
  <c r="N1223" i="22"/>
  <c r="M1227" i="22"/>
  <c r="M1231" i="22"/>
  <c r="M1235" i="22"/>
  <c r="M1239" i="22"/>
  <c r="N1243" i="22"/>
  <c r="M1247" i="22"/>
  <c r="M1251" i="22"/>
  <c r="M1255" i="22"/>
  <c r="M1259" i="22"/>
  <c r="M1263" i="22"/>
  <c r="M1267" i="22"/>
  <c r="M1271" i="22"/>
  <c r="M1275" i="22"/>
  <c r="M1279" i="22"/>
  <c r="N1283" i="22"/>
  <c r="M1287" i="22"/>
  <c r="M1291" i="22"/>
  <c r="N1295" i="22"/>
  <c r="N1299" i="22"/>
  <c r="N1303" i="22"/>
  <c r="N1307" i="22"/>
  <c r="N1311" i="22"/>
  <c r="M1315" i="22"/>
  <c r="N1319" i="22"/>
  <c r="N1323" i="22"/>
  <c r="M1327" i="22"/>
  <c r="N1331" i="22"/>
  <c r="N1335" i="22"/>
  <c r="M1339" i="22"/>
  <c r="N1343" i="22"/>
  <c r="N1347" i="22"/>
  <c r="M1351" i="22"/>
  <c r="N1355" i="22"/>
  <c r="N1359" i="22"/>
  <c r="N1363" i="22"/>
  <c r="M1367" i="22"/>
  <c r="N1371" i="22"/>
  <c r="N1375" i="22"/>
  <c r="N1379" i="22"/>
  <c r="N1383" i="22"/>
  <c r="N1387" i="22"/>
  <c r="M1391" i="22"/>
  <c r="N1395" i="22"/>
  <c r="M1399" i="22"/>
  <c r="M1403" i="22"/>
  <c r="M1407" i="22"/>
  <c r="M1411" i="22"/>
  <c r="N1415" i="22"/>
  <c r="N1419" i="22"/>
  <c r="M1423" i="22"/>
  <c r="N1427" i="22"/>
  <c r="N1431" i="22"/>
  <c r="N1435" i="22"/>
  <c r="N1439" i="22"/>
  <c r="M1443" i="22"/>
  <c r="N1447" i="22"/>
  <c r="N1451" i="22"/>
  <c r="N1455" i="22"/>
  <c r="N1459" i="22"/>
  <c r="N1099" i="22"/>
  <c r="N1115" i="22"/>
  <c r="N1131" i="22"/>
  <c r="M1147" i="22"/>
  <c r="N1163" i="22"/>
  <c r="N1179" i="22"/>
  <c r="N1195" i="22"/>
  <c r="M1199" i="22"/>
  <c r="N1203" i="22"/>
  <c r="N1207" i="22"/>
  <c r="N1211" i="22"/>
  <c r="N1215" i="22"/>
  <c r="M1219" i="22"/>
  <c r="M1223" i="22"/>
  <c r="N1227" i="22"/>
  <c r="N1231" i="22"/>
  <c r="N1235" i="22"/>
  <c r="N1239" i="22"/>
  <c r="M1243" i="22"/>
  <c r="N1247" i="22"/>
  <c r="N1251" i="22"/>
  <c r="N1255" i="22"/>
  <c r="N1259" i="22"/>
  <c r="N1263" i="22"/>
  <c r="N1267" i="22"/>
  <c r="N1271" i="22"/>
  <c r="N1275" i="22"/>
  <c r="N1279" i="22"/>
  <c r="M1283" i="22"/>
  <c r="N1287" i="22"/>
  <c r="N1291" i="22"/>
  <c r="M1295" i="22"/>
  <c r="M1299" i="22"/>
  <c r="M1303" i="22"/>
  <c r="M1307" i="22"/>
  <c r="M1311" i="22"/>
  <c r="N1315" i="22"/>
  <c r="M1319" i="22"/>
  <c r="M1323" i="22"/>
  <c r="N1327" i="22"/>
  <c r="M1331" i="22"/>
  <c r="M1335" i="22"/>
  <c r="N1339" i="22"/>
  <c r="M1343" i="22"/>
  <c r="M1347" i="22"/>
  <c r="N1351" i="22"/>
  <c r="M1355" i="22"/>
  <c r="M1359" i="22"/>
  <c r="M1363" i="22"/>
  <c r="N1367" i="22"/>
  <c r="M1371" i="22"/>
  <c r="M1375" i="22"/>
  <c r="M1379" i="22"/>
  <c r="M1383" i="22"/>
  <c r="M1387" i="22"/>
  <c r="N1391" i="22"/>
  <c r="M1395" i="22"/>
  <c r="N1399" i="22"/>
  <c r="N1403" i="22"/>
  <c r="N1407" i="22"/>
  <c r="N1411" i="22"/>
  <c r="M1415" i="22"/>
  <c r="M1419" i="22"/>
  <c r="N1423" i="22"/>
  <c r="M1427" i="22"/>
  <c r="M1431" i="22"/>
  <c r="M1435" i="22"/>
  <c r="M1439" i="22"/>
  <c r="N1443" i="22"/>
  <c r="M1447" i="22"/>
  <c r="M1451" i="22"/>
  <c r="M1455" i="22"/>
  <c r="M1459" i="22"/>
  <c r="M1463" i="22"/>
  <c r="M1467" i="22"/>
  <c r="N1471" i="22"/>
  <c r="M1475" i="22"/>
  <c r="M1479" i="22"/>
  <c r="M1483" i="22"/>
  <c r="N1487" i="22"/>
  <c r="M1491" i="22"/>
  <c r="M1495" i="22"/>
  <c r="M1499" i="22"/>
  <c r="M1503" i="22"/>
  <c r="N1507" i="22"/>
  <c r="N1511" i="22"/>
  <c r="M1515" i="22"/>
  <c r="M1519" i="22"/>
  <c r="N1523" i="22"/>
  <c r="M1527" i="22"/>
  <c r="M1531" i="22"/>
  <c r="M1103" i="22"/>
  <c r="M1119" i="22"/>
  <c r="M1135" i="22"/>
  <c r="M1151" i="22"/>
  <c r="M1167" i="22"/>
  <c r="M1183" i="22"/>
  <c r="N1196" i="22"/>
  <c r="N1200" i="22"/>
  <c r="N1204" i="22"/>
  <c r="N1208" i="22"/>
  <c r="N1212" i="22"/>
  <c r="M1216" i="22"/>
  <c r="N1220" i="22"/>
  <c r="N1224" i="22"/>
  <c r="N1228" i="22"/>
  <c r="N1232" i="22"/>
  <c r="N1236" i="22"/>
  <c r="N1240" i="22"/>
  <c r="N1244" i="22"/>
  <c r="N1248" i="22"/>
  <c r="M1252" i="22"/>
  <c r="N1256" i="22"/>
  <c r="N1260" i="22"/>
  <c r="N1264" i="22"/>
  <c r="N1268" i="22"/>
  <c r="N1272" i="22"/>
  <c r="N1276" i="22"/>
  <c r="N1280" i="22"/>
  <c r="N1284" i="22"/>
  <c r="M1288" i="22"/>
  <c r="N1292" i="22"/>
  <c r="N1296" i="22"/>
  <c r="N1300" i="22"/>
  <c r="N1304" i="22"/>
  <c r="N1308" i="22"/>
  <c r="N1312" i="22"/>
  <c r="N1316" i="22"/>
  <c r="N1320" i="22"/>
  <c r="M1324" i="22"/>
  <c r="N1328" i="22"/>
  <c r="N1332" i="22"/>
  <c r="N1336" i="22"/>
  <c r="N1340" i="22"/>
  <c r="N1344" i="22"/>
  <c r="N1348" i="22"/>
  <c r="N1352" i="22"/>
  <c r="N1356" i="22"/>
  <c r="N1360" i="22"/>
  <c r="N1364" i="22"/>
  <c r="N1368" i="22"/>
  <c r="N1372" i="22"/>
  <c r="N1376" i="22"/>
  <c r="N1380" i="22"/>
  <c r="N1384" i="22"/>
  <c r="M1388" i="22"/>
  <c r="M1392" i="22"/>
  <c r="M1396" i="22"/>
  <c r="N1400" i="22"/>
  <c r="N1404" i="22"/>
  <c r="N1408" i="22"/>
  <c r="N1412" i="22"/>
  <c r="N1416" i="22"/>
  <c r="N1420" i="22"/>
  <c r="N1424" i="22"/>
  <c r="N1428" i="22"/>
  <c r="M1432" i="22"/>
  <c r="N1436" i="22"/>
  <c r="N1440" i="22"/>
  <c r="N1444" i="22"/>
  <c r="N1448" i="22"/>
  <c r="N1452" i="22"/>
  <c r="N1456" i="22"/>
  <c r="N1460" i="22"/>
  <c r="N1464" i="22"/>
  <c r="N1468" i="22"/>
  <c r="M1472" i="22"/>
  <c r="N1476" i="22"/>
  <c r="N1480" i="22"/>
  <c r="M1484" i="22"/>
  <c r="N1488" i="22"/>
  <c r="N1492" i="22"/>
  <c r="N1496" i="22"/>
  <c r="N1500" i="22"/>
  <c r="N1504" i="22"/>
  <c r="M1508" i="22"/>
  <c r="N1103" i="22"/>
  <c r="N1119" i="22"/>
  <c r="N1135" i="22"/>
  <c r="N1151" i="22"/>
  <c r="N1167" i="22"/>
  <c r="N1183" i="22"/>
  <c r="M1196" i="22"/>
  <c r="M1200" i="22"/>
  <c r="M1204" i="22"/>
  <c r="M1208" i="22"/>
  <c r="M1212" i="22"/>
  <c r="N1216" i="22"/>
  <c r="M1220" i="22"/>
  <c r="M1224" i="22"/>
  <c r="M1228" i="22"/>
  <c r="M1232" i="22"/>
  <c r="M1236" i="22"/>
  <c r="M1240" i="22"/>
  <c r="M1244" i="22"/>
  <c r="M1248" i="22"/>
  <c r="N1252" i="22"/>
  <c r="M1256" i="22"/>
  <c r="M1260" i="22"/>
  <c r="M1264" i="22"/>
  <c r="M1268" i="22"/>
  <c r="M1272" i="22"/>
  <c r="M1276" i="22"/>
  <c r="M1280" i="22"/>
  <c r="M1284" i="22"/>
  <c r="N1288" i="22"/>
  <c r="M1292" i="22"/>
  <c r="M1296" i="22"/>
  <c r="M1300" i="22"/>
  <c r="M1304" i="22"/>
  <c r="M1308" i="22"/>
  <c r="M1312" i="22"/>
  <c r="M1316" i="22"/>
  <c r="M1320" i="22"/>
  <c r="N1324" i="22"/>
  <c r="M1328" i="22"/>
  <c r="M1332" i="22"/>
  <c r="M1336" i="22"/>
  <c r="M1340" i="22"/>
  <c r="M1344" i="22"/>
  <c r="M1348" i="22"/>
  <c r="M1352" i="22"/>
  <c r="M1356" i="22"/>
  <c r="M1360" i="22"/>
  <c r="M1364" i="22"/>
  <c r="M1368" i="22"/>
  <c r="M1372" i="22"/>
  <c r="M1376" i="22"/>
  <c r="M1380" i="22"/>
  <c r="M1384" i="22"/>
  <c r="N1388" i="22"/>
  <c r="N1392" i="22"/>
  <c r="N1396" i="22"/>
  <c r="M1400" i="22"/>
  <c r="M1404" i="22"/>
  <c r="M1408" i="22"/>
  <c r="M1412" i="22"/>
  <c r="M1416" i="22"/>
  <c r="M1420" i="22"/>
  <c r="M1424" i="22"/>
  <c r="M1428" i="22"/>
  <c r="N1432" i="22"/>
  <c r="M1436" i="22"/>
  <c r="M1440" i="22"/>
  <c r="M1444" i="22"/>
  <c r="M1448" i="22"/>
  <c r="M1452" i="22"/>
  <c r="M1456" i="22"/>
  <c r="M1460" i="22"/>
  <c r="M1464" i="22"/>
  <c r="M1468" i="22"/>
  <c r="N1472" i="22"/>
  <c r="M1476" i="22"/>
  <c r="M1480" i="22"/>
  <c r="N1484" i="22"/>
  <c r="M1488" i="22"/>
  <c r="M1492" i="22"/>
  <c r="M1496" i="22"/>
  <c r="M1500" i="22"/>
  <c r="M1504" i="22"/>
  <c r="N1508" i="22"/>
  <c r="M1394" i="22"/>
  <c r="M1410" i="22"/>
  <c r="N1426" i="22"/>
  <c r="M1442" i="22"/>
  <c r="M1458" i="22"/>
  <c r="N1466" i="22"/>
  <c r="M1474" i="22"/>
  <c r="M1482" i="22"/>
  <c r="M1490" i="22"/>
  <c r="M1498" i="22"/>
  <c r="M1506" i="22"/>
  <c r="M1513" i="22"/>
  <c r="M1518" i="22"/>
  <c r="M1529" i="22"/>
  <c r="N1534" i="22"/>
  <c r="N1542" i="22"/>
  <c r="N1550" i="22"/>
  <c r="N1566" i="22"/>
  <c r="M1514" i="22"/>
  <c r="N1539" i="22"/>
  <c r="N1559" i="22"/>
  <c r="N1394" i="22"/>
  <c r="N1410" i="22"/>
  <c r="M1426" i="22"/>
  <c r="N1442" i="22"/>
  <c r="N1458" i="22"/>
  <c r="N1467" i="22"/>
  <c r="N1475" i="22"/>
  <c r="N1483" i="22"/>
  <c r="N1491" i="22"/>
  <c r="N1499" i="22"/>
  <c r="M1507" i="22"/>
  <c r="N1514" i="22"/>
  <c r="N1519" i="22"/>
  <c r="M1524" i="22"/>
  <c r="N1530" i="22"/>
  <c r="M1534" i="22"/>
  <c r="N1538" i="22"/>
  <c r="M1542" i="22"/>
  <c r="N1546" i="22"/>
  <c r="M1550" i="22"/>
  <c r="M1554" i="22"/>
  <c r="M1558" i="22"/>
  <c r="M1562" i="22"/>
  <c r="M1566" i="22"/>
  <c r="M1570" i="22"/>
  <c r="N1414" i="22"/>
  <c r="M1446" i="22"/>
  <c r="N1469" i="22"/>
  <c r="N1485" i="22"/>
  <c r="N1520" i="22"/>
  <c r="M1530" i="22"/>
  <c r="M1547" i="22"/>
  <c r="N1571" i="22"/>
  <c r="N1515" i="22"/>
  <c r="N1543" i="22"/>
  <c r="M1563" i="22"/>
  <c r="M1398" i="22"/>
  <c r="N1430" i="22"/>
  <c r="N1461" i="22"/>
  <c r="M1477" i="22"/>
  <c r="M1509" i="22"/>
  <c r="N1535" i="22"/>
  <c r="N1563" i="22"/>
  <c r="N1526" i="22"/>
  <c r="N1547" i="22"/>
  <c r="M1567" i="22"/>
  <c r="N1398" i="22"/>
  <c r="M1414" i="22"/>
  <c r="M1430" i="22"/>
  <c r="N1446" i="22"/>
  <c r="M1462" i="22"/>
  <c r="M1470" i="22"/>
  <c r="N1478" i="22"/>
  <c r="N1486" i="22"/>
  <c r="N1494" i="22"/>
  <c r="N1502" i="22"/>
  <c r="N1531" i="22"/>
  <c r="M1551" i="22"/>
  <c r="M1571" i="22"/>
  <c r="M1402" i="22"/>
  <c r="M1418" i="22"/>
  <c r="M1434" i="22"/>
  <c r="M1450" i="22"/>
  <c r="N1462" i="22"/>
  <c r="N1470" i="22"/>
  <c r="M1478" i="22"/>
  <c r="M1486" i="22"/>
  <c r="M1494" i="22"/>
  <c r="M1502" i="22"/>
  <c r="N1510" i="22"/>
  <c r="M1516" i="22"/>
  <c r="M1521" i="22"/>
  <c r="M1526" i="22"/>
  <c r="N1532" i="22"/>
  <c r="N1536" i="22"/>
  <c r="M1540" i="22"/>
  <c r="N1544" i="22"/>
  <c r="N1548" i="22"/>
  <c r="M1552" i="22"/>
  <c r="N1556" i="22"/>
  <c r="N1560" i="22"/>
  <c r="N1564" i="22"/>
  <c r="M1568" i="22"/>
  <c r="N1402" i="22"/>
  <c r="N1418" i="22"/>
  <c r="N1434" i="22"/>
  <c r="N1450" i="22"/>
  <c r="N1463" i="22"/>
  <c r="M1471" i="22"/>
  <c r="N1479" i="22"/>
  <c r="M1487" i="22"/>
  <c r="N1495" i="22"/>
  <c r="N1503" i="22"/>
  <c r="M1511" i="22"/>
  <c r="N1516" i="22"/>
  <c r="M1522" i="22"/>
  <c r="N1527" i="22"/>
  <c r="M1532" i="22"/>
  <c r="M1536" i="22"/>
  <c r="N1540" i="22"/>
  <c r="M1544" i="22"/>
  <c r="M1548" i="22"/>
  <c r="N1552" i="22"/>
  <c r="M1556" i="22"/>
  <c r="M1560" i="22"/>
  <c r="M1564" i="22"/>
  <c r="N1568" i="22"/>
  <c r="N1524" i="22"/>
  <c r="M1538" i="22"/>
  <c r="M1546" i="22"/>
  <c r="N1562" i="22"/>
  <c r="N1493" i="22"/>
  <c r="M1525" i="22"/>
  <c r="N1551" i="22"/>
  <c r="N1567" i="22"/>
  <c r="M1520" i="22"/>
  <c r="M1539" i="22"/>
  <c r="M1559" i="22"/>
  <c r="M1406" i="22"/>
  <c r="M1422" i="22"/>
  <c r="M1438" i="22"/>
  <c r="M1454" i="22"/>
  <c r="N1465" i="22"/>
  <c r="N1473" i="22"/>
  <c r="N1481" i="22"/>
  <c r="M1489" i="22"/>
  <c r="M1497" i="22"/>
  <c r="M1505" i="22"/>
  <c r="N1512" i="22"/>
  <c r="M1517" i="22"/>
  <c r="N1522" i="22"/>
  <c r="N1528" i="22"/>
  <c r="M1533" i="22"/>
  <c r="M1537" i="22"/>
  <c r="M1541" i="22"/>
  <c r="M1545" i="22"/>
  <c r="M1549" i="22"/>
  <c r="M1553" i="22"/>
  <c r="M1557" i="22"/>
  <c r="M1561" i="22"/>
  <c r="N1565" i="22"/>
  <c r="N1569" i="22"/>
  <c r="N1554" i="22"/>
  <c r="N1406" i="22"/>
  <c r="N1422" i="22"/>
  <c r="N1438" i="22"/>
  <c r="N1454" i="22"/>
  <c r="M1466" i="22"/>
  <c r="N1474" i="22"/>
  <c r="N1482" i="22"/>
  <c r="N1490" i="22"/>
  <c r="N1498" i="22"/>
  <c r="N1506" i="22"/>
  <c r="M1512" i="22"/>
  <c r="N1518" i="22"/>
  <c r="M1523" i="22"/>
  <c r="M1528" i="22"/>
  <c r="N1533" i="22"/>
  <c r="N1537" i="22"/>
  <c r="N1541" i="22"/>
  <c r="N1545" i="22"/>
  <c r="N1549" i="22"/>
  <c r="N1553" i="22"/>
  <c r="N1557" i="22"/>
  <c r="N1561" i="22"/>
  <c r="M1565" i="22"/>
  <c r="M1569" i="22"/>
  <c r="N1558" i="22"/>
  <c r="N1570" i="22"/>
  <c r="M1501" i="22"/>
  <c r="M1543" i="22"/>
  <c r="N1555" i="22"/>
  <c r="M1510" i="22"/>
  <c r="M1535" i="22"/>
  <c r="M1555" i="22"/>
  <c r="P13" i="22" a="1"/>
  <c r="P13" i="22" l="1"/>
  <c r="Q13" i="22"/>
  <c r="Q14" i="22"/>
  <c r="R13" i="22" l="1"/>
  <c r="S13" i="22" s="1"/>
  <c r="I14" i="22"/>
  <c r="H14" i="22" l="1"/>
  <c r="AD14" i="22" s="1"/>
  <c r="C15" i="22" s="1"/>
  <c r="U14" i="22"/>
  <c r="W14" i="22" a="1"/>
  <c r="W14" i="22" l="1"/>
  <c r="AE14" i="22"/>
  <c r="D15" i="22" s="1"/>
  <c r="P14" i="22" a="1"/>
  <c r="P14" i="22" l="1"/>
  <c r="AC14" i="22"/>
  <c r="I15" i="22" l="1"/>
  <c r="R14" i="22"/>
  <c r="S14" i="22" s="1"/>
  <c r="K14" i="22" s="1"/>
  <c r="B15" i="22"/>
  <c r="H15" i="22" l="1"/>
  <c r="X14" i="22"/>
  <c r="Y14" i="22" s="1"/>
  <c r="AG14" i="22" l="1"/>
  <c r="F15" i="22" l="1"/>
  <c r="AK14" i="22"/>
  <c r="G15" i="22" s="1"/>
  <c r="T15" i="22" l="1" a="1"/>
  <c r="T15" i="22" s="1"/>
  <c r="Q15" i="22" l="1"/>
  <c r="V15" i="22"/>
  <c r="AF15" i="22" s="1"/>
  <c r="E16" i="22" s="1"/>
  <c r="AD15" i="22"/>
  <c r="C16" i="22" s="1"/>
  <c r="U15" i="22"/>
  <c r="AE15" i="22" l="1"/>
  <c r="D16" i="22" s="1"/>
  <c r="W15" i="22" a="1"/>
  <c r="W15" i="22" l="1"/>
  <c r="AC15" i="22" s="1"/>
  <c r="P15" i="22" a="1"/>
  <c r="P15" i="22" l="1"/>
  <c r="R15" i="22"/>
  <c r="S15" i="22" s="1"/>
  <c r="K15" i="22" s="1"/>
  <c r="I16" i="22"/>
  <c r="B16" i="22"/>
  <c r="H16" i="22" l="1"/>
  <c r="X15" i="22"/>
  <c r="Y15" i="22" s="1"/>
  <c r="AG15" i="22" l="1"/>
  <c r="F16" i="22" l="1"/>
  <c r="AK15" i="22"/>
  <c r="G16" i="22" s="1"/>
  <c r="T16" i="22" l="1" a="1"/>
  <c r="T16" i="22" s="1"/>
  <c r="Q16" i="22" l="1"/>
  <c r="AD16" i="22"/>
  <c r="C17" i="22" s="1"/>
  <c r="V16" i="22"/>
  <c r="AF16" i="22" s="1"/>
  <c r="E17" i="22" s="1"/>
  <c r="U16" i="22"/>
  <c r="W16" i="22" a="1"/>
  <c r="W16" i="22" l="1"/>
  <c r="AE16" i="22"/>
  <c r="D17" i="22" s="1"/>
  <c r="P16" i="22" a="1"/>
  <c r="P16" i="22" l="1"/>
  <c r="AC16" i="22"/>
  <c r="B17" i="22" s="1"/>
  <c r="R16" i="22" l="1"/>
  <c r="S16" i="22" s="1"/>
  <c r="K16" i="22" s="1"/>
  <c r="I17" i="22"/>
  <c r="H17" i="22" s="1"/>
  <c r="X16" i="22" l="1"/>
  <c r="Y16" i="22" s="1"/>
  <c r="AG16" i="22" l="1"/>
  <c r="AK16" i="22" s="1"/>
  <c r="G17" i="22" s="1"/>
  <c r="F17" i="22" l="1"/>
  <c r="T17" i="22" a="1"/>
  <c r="T17" i="22" s="1"/>
  <c r="Q17" i="22" l="1"/>
  <c r="AD17" i="22"/>
  <c r="C18" i="22" s="1"/>
  <c r="V17" i="22"/>
  <c r="AF17" i="22" s="1"/>
  <c r="E18" i="22" s="1"/>
  <c r="U17" i="22"/>
  <c r="W17" i="22" a="1"/>
  <c r="W17" i="22" l="1"/>
  <c r="AE17" i="22"/>
  <c r="D18" i="22" s="1"/>
  <c r="P17" i="22" a="1"/>
  <c r="P17" i="22" l="1"/>
  <c r="AC17" i="22"/>
  <c r="B18" i="22" l="1"/>
  <c r="I18" i="22"/>
  <c r="R17" i="22"/>
  <c r="S17" i="22" s="1"/>
  <c r="K17" i="22" s="1"/>
  <c r="H18" i="22" l="1"/>
  <c r="X17" i="22"/>
  <c r="Y17" i="22" s="1"/>
  <c r="AG17" i="22" l="1"/>
  <c r="F18" i="22" l="1"/>
  <c r="AK17" i="22"/>
  <c r="G18" i="22" s="1"/>
  <c r="T18" i="22" l="1" a="1"/>
  <c r="T18" i="22" s="1"/>
  <c r="Q18" i="22" l="1"/>
  <c r="AD18" i="22"/>
  <c r="C19" i="22" s="1"/>
  <c r="V18" i="22"/>
  <c r="AF18" i="22" s="1"/>
  <c r="E19" i="22" s="1"/>
  <c r="U18" i="22"/>
  <c r="W18" i="22" a="1"/>
  <c r="W18" i="22" l="1"/>
  <c r="AE18" i="22"/>
  <c r="D19" i="22" s="1"/>
  <c r="P18" i="22" a="1"/>
  <c r="P18" i="22" l="1"/>
  <c r="AC18" i="22"/>
  <c r="I19" i="22" l="1"/>
  <c r="R18" i="22"/>
  <c r="S18" i="22" s="1"/>
  <c r="K18" i="22" s="1"/>
  <c r="B19" i="22"/>
  <c r="X18" i="22" l="1"/>
  <c r="Y18" i="22" s="1"/>
  <c r="H19" i="22"/>
  <c r="AG18" i="22" l="1"/>
  <c r="F19" i="22" l="1"/>
  <c r="AK18" i="22"/>
  <c r="G19" i="22" s="1"/>
  <c r="T19" i="22" l="1" a="1"/>
  <c r="T19" i="22" s="1"/>
  <c r="Q19" i="22" l="1"/>
  <c r="V19" i="22"/>
  <c r="AF19" i="22" s="1"/>
  <c r="E20" i="22" s="1"/>
  <c r="U19" i="22"/>
  <c r="AD19" i="22"/>
  <c r="C20" i="22" s="1"/>
  <c r="W19" i="22" a="1"/>
  <c r="W19" i="22" l="1"/>
  <c r="AE19" i="22"/>
  <c r="D20" i="22" s="1"/>
  <c r="P19" i="22" a="1"/>
  <c r="P19" i="22" l="1"/>
  <c r="AC19" i="22"/>
  <c r="R19" i="22" l="1"/>
  <c r="S19" i="22" s="1"/>
  <c r="K19" i="22" s="1"/>
  <c r="I20" i="22"/>
  <c r="B20" i="22"/>
  <c r="H20" i="22" l="1"/>
  <c r="X19" i="22"/>
  <c r="Y19" i="22" s="1"/>
  <c r="AG19" i="22" l="1"/>
  <c r="F20" i="22" l="1"/>
  <c r="AK19" i="22"/>
  <c r="G20" i="22" s="1"/>
  <c r="T20" i="22" l="1" a="1"/>
  <c r="T20" i="22" s="1"/>
  <c r="Q20" i="22" l="1"/>
  <c r="AD20" i="22"/>
  <c r="C21" i="22" s="1"/>
  <c r="V20" i="22"/>
  <c r="AF20" i="22" s="1"/>
  <c r="E21" i="22" s="1"/>
  <c r="U20" i="22"/>
  <c r="W20" i="22" a="1"/>
  <c r="W20" i="22" l="1"/>
  <c r="AE20" i="22"/>
  <c r="D21" i="22" s="1"/>
  <c r="P20" i="22" a="1"/>
  <c r="P20" i="22" l="1"/>
  <c r="AC20" i="22"/>
  <c r="B21" i="22" l="1"/>
  <c r="R20" i="22"/>
  <c r="S20" i="22" s="1"/>
  <c r="K20" i="22" s="1"/>
  <c r="I21" i="22"/>
  <c r="X20" i="22" l="1"/>
  <c r="Y20" i="22" s="1"/>
  <c r="H21" i="22"/>
  <c r="AG20" i="22" l="1"/>
  <c r="F21" i="22" l="1"/>
  <c r="AK20" i="22"/>
  <c r="G21" i="22" s="1"/>
  <c r="T21" i="22" l="1" a="1"/>
  <c r="T21" i="22" s="1"/>
  <c r="Q21" i="22" l="1"/>
  <c r="V21" i="22"/>
  <c r="AF21" i="22" s="1"/>
  <c r="E22" i="22" s="1"/>
  <c r="U21" i="22"/>
  <c r="AD21" i="22"/>
  <c r="C22" i="22" s="1"/>
  <c r="W21" i="22" a="1"/>
  <c r="W21" i="22" l="1"/>
  <c r="AE21" i="22"/>
  <c r="D22" i="22" s="1"/>
  <c r="P21" i="22" a="1"/>
  <c r="P21" i="22" l="1"/>
  <c r="AC21" i="22"/>
  <c r="B22" i="22" l="1"/>
  <c r="I22" i="22"/>
  <c r="R21" i="22"/>
  <c r="S21" i="22" s="1"/>
  <c r="K21" i="22" s="1"/>
  <c r="H22" i="22" l="1"/>
  <c r="X21" i="22"/>
  <c r="Y21" i="22" s="1"/>
  <c r="AG21" i="22" l="1"/>
  <c r="F22" i="22" l="1"/>
  <c r="AK21" i="22"/>
  <c r="G22" i="22" s="1"/>
  <c r="T22" i="22" l="1" a="1"/>
  <c r="T22" i="22" s="1"/>
  <c r="Q22" i="22" l="1"/>
  <c r="AD22" i="22"/>
  <c r="C23" i="22" s="1"/>
  <c r="V22" i="22"/>
  <c r="AF22" i="22" s="1"/>
  <c r="E23" i="22" s="1"/>
  <c r="U22" i="22"/>
  <c r="W22" i="22" a="1"/>
  <c r="W22" i="22" l="1"/>
  <c r="AE22" i="22"/>
  <c r="D23" i="22" s="1"/>
  <c r="P22" i="22" a="1"/>
  <c r="P22" i="22" l="1"/>
  <c r="AC22" i="22"/>
  <c r="B23" i="22" l="1"/>
  <c r="I23" i="22"/>
  <c r="R22" i="22"/>
  <c r="S22" i="22" s="1"/>
  <c r="K22" i="22" s="1"/>
  <c r="H23" i="22" l="1"/>
  <c r="X22" i="22"/>
  <c r="Y22" i="22" s="1"/>
  <c r="AG22" i="22" l="1"/>
  <c r="F23" i="22" l="1"/>
  <c r="AK22" i="22"/>
  <c r="G23" i="22" s="1"/>
  <c r="T23" i="22" l="1" a="1"/>
  <c r="T23" i="22" s="1"/>
  <c r="Q23" i="22" l="1"/>
  <c r="U23" i="22"/>
  <c r="V23" i="22"/>
  <c r="AF23" i="22" s="1"/>
  <c r="E24" i="22" s="1"/>
  <c r="AD23" i="22"/>
  <c r="C24" i="22" s="1"/>
  <c r="W23" i="22" a="1"/>
  <c r="W23" i="22" l="1"/>
  <c r="AE23" i="22"/>
  <c r="D24" i="22" s="1"/>
  <c r="P23" i="22" a="1"/>
  <c r="P23" i="22" l="1"/>
  <c r="AC23" i="22"/>
  <c r="B24" i="22" l="1"/>
  <c r="I24" i="22"/>
  <c r="R23" i="22"/>
  <c r="S23" i="22" s="1"/>
  <c r="K23" i="22" s="1"/>
  <c r="X23" i="22" l="1"/>
  <c r="Y23" i="22" s="1"/>
  <c r="H24" i="22"/>
  <c r="AG23" i="22" l="1"/>
  <c r="F24" i="22" l="1"/>
  <c r="AK23" i="22"/>
  <c r="G24" i="22" s="1"/>
  <c r="T24" i="22" l="1" a="1"/>
  <c r="T24" i="22" s="1"/>
  <c r="Q24" i="22" l="1"/>
  <c r="AD24" i="22"/>
  <c r="C25" i="22" s="1"/>
  <c r="V24" i="22"/>
  <c r="AF24" i="22" s="1"/>
  <c r="E25" i="22" s="1"/>
  <c r="U24" i="22"/>
  <c r="W24" i="22" a="1"/>
  <c r="W24" i="22" l="1"/>
  <c r="AE24" i="22"/>
  <c r="D25" i="22" s="1"/>
  <c r="P24" i="22" a="1"/>
  <c r="P24" i="22" l="1"/>
  <c r="AC24" i="22"/>
  <c r="B25" i="22" l="1"/>
  <c r="I25" i="22"/>
  <c r="R24" i="22"/>
  <c r="S24" i="22" s="1"/>
  <c r="K24" i="22" s="1"/>
  <c r="H25" i="22" l="1"/>
  <c r="X24" i="22"/>
  <c r="Y24" i="22" s="1"/>
  <c r="AG24" i="22" l="1"/>
  <c r="F25" i="22" l="1"/>
  <c r="AK24" i="22"/>
  <c r="G25" i="22" s="1"/>
  <c r="T25" i="22" l="1" a="1"/>
  <c r="T25" i="22" s="1"/>
  <c r="Q25" i="22" l="1"/>
  <c r="U25" i="22"/>
  <c r="AD25" i="22"/>
  <c r="C26" i="22" s="1"/>
  <c r="V25" i="22"/>
  <c r="AF25" i="22" s="1"/>
  <c r="E26" i="22" s="1"/>
  <c r="W25" i="22" a="1"/>
  <c r="W25" i="22" l="1"/>
  <c r="AE25" i="22"/>
  <c r="D26" i="22" s="1"/>
  <c r="P25" i="22" a="1"/>
  <c r="P25" i="22" l="1"/>
  <c r="AC25" i="22"/>
  <c r="B26" i="22" l="1"/>
  <c r="R25" i="22"/>
  <c r="S25" i="22" s="1"/>
  <c r="K25" i="22" s="1"/>
  <c r="I26" i="22"/>
  <c r="X25" i="22" l="1"/>
  <c r="Y25" i="22" s="1"/>
  <c r="H26" i="22"/>
  <c r="AG25" i="22" l="1"/>
  <c r="F26" i="22" l="1"/>
  <c r="AK25" i="22"/>
  <c r="G26" i="22" s="1"/>
  <c r="T26" i="22" l="1" a="1"/>
  <c r="T26" i="22" s="1"/>
  <c r="Q26" i="22" l="1"/>
  <c r="U26" i="22"/>
  <c r="AD26" i="22"/>
  <c r="C27" i="22" s="1"/>
  <c r="V26" i="22"/>
  <c r="AF26" i="22" s="1"/>
  <c r="E27" i="22" s="1"/>
  <c r="W26" i="22" a="1"/>
  <c r="W26" i="22" l="1"/>
  <c r="AE26" i="22"/>
  <c r="D27" i="22" s="1"/>
  <c r="P26" i="22" a="1"/>
  <c r="P26" i="22" l="1"/>
  <c r="AC26" i="22"/>
  <c r="B27" i="22" l="1"/>
  <c r="I27" i="22"/>
  <c r="R26" i="22"/>
  <c r="S26" i="22" s="1"/>
  <c r="K26" i="22" s="1"/>
  <c r="H27" i="22" l="1"/>
  <c r="X26" i="22"/>
  <c r="Y26" i="22" s="1"/>
  <c r="AG26" i="22" l="1"/>
  <c r="F27" i="22" l="1"/>
  <c r="AK26" i="22"/>
  <c r="G27" i="22" s="1"/>
  <c r="T27" i="22" l="1" a="1"/>
  <c r="T27" i="22" s="1"/>
  <c r="Q27" i="22" l="1"/>
  <c r="AD27" i="22"/>
  <c r="C28" i="22" s="1"/>
  <c r="U27" i="22"/>
  <c r="V27" i="22"/>
  <c r="AF27" i="22" s="1"/>
  <c r="E28" i="22" s="1"/>
  <c r="W27" i="22" a="1"/>
  <c r="W27" i="22" l="1"/>
  <c r="AE27" i="22"/>
  <c r="D28" i="22" s="1"/>
  <c r="P27" i="22" a="1"/>
  <c r="P27" i="22" l="1"/>
  <c r="AC27" i="22"/>
  <c r="B28" i="22" l="1"/>
  <c r="I28" i="22"/>
  <c r="R27" i="22"/>
  <c r="S27" i="22" s="1"/>
  <c r="K27" i="22" s="1"/>
  <c r="X27" i="22" l="1"/>
  <c r="Y27" i="22" s="1"/>
  <c r="H28" i="22"/>
  <c r="AG27" i="22" l="1"/>
  <c r="F28" i="22" l="1"/>
  <c r="AK27" i="22"/>
  <c r="G28" i="22" s="1"/>
  <c r="T28" i="22" a="1"/>
  <c r="T28" i="22" l="1"/>
  <c r="Q28" i="22" l="1"/>
  <c r="AD28" i="22"/>
  <c r="C29" i="22" s="1"/>
  <c r="U28" i="22"/>
  <c r="V28" i="22"/>
  <c r="AF28" i="22" s="1"/>
  <c r="E29" i="22" s="1"/>
  <c r="W28" i="22" a="1"/>
  <c r="W28" i="22" l="1"/>
  <c r="AE28" i="22"/>
  <c r="D29" i="22" s="1"/>
  <c r="P28" i="22" a="1"/>
  <c r="P28" i="22" l="1"/>
  <c r="AC28" i="22"/>
  <c r="B29" i="22" s="1"/>
  <c r="I29" i="22" l="1"/>
  <c r="H29" i="22" s="1"/>
  <c r="R28" i="22"/>
  <c r="S28" i="22" s="1"/>
  <c r="K28" i="22" s="1"/>
  <c r="X28" i="22" s="1"/>
  <c r="Y28" i="22" s="1"/>
  <c r="AG28" i="22" l="1"/>
  <c r="F29" i="22" s="1"/>
  <c r="AK28" i="22" l="1"/>
  <c r="G29" i="22" s="1"/>
  <c r="T29" i="22" a="1"/>
  <c r="T29" i="22" l="1"/>
  <c r="Q29" i="22"/>
  <c r="U29" i="22"/>
  <c r="AD29" i="22"/>
  <c r="C30" i="22" s="1"/>
  <c r="V29" i="22"/>
  <c r="AF29" i="22" s="1"/>
  <c r="E30" i="22" s="1"/>
  <c r="W29" i="22" a="1"/>
  <c r="W29" i="22" l="1"/>
  <c r="AE29" i="22"/>
  <c r="D30" i="22" s="1"/>
  <c r="P29" i="22" a="1"/>
  <c r="P29" i="22" l="1"/>
  <c r="AC29" i="22"/>
  <c r="B30" i="22" s="1"/>
  <c r="R29" i="22" l="1"/>
  <c r="S29" i="22" s="1"/>
  <c r="K29" i="22" s="1"/>
  <c r="I30" i="22"/>
  <c r="H30" i="22" s="1"/>
  <c r="X29" i="22" l="1"/>
  <c r="Y29" i="22" s="1"/>
  <c r="AG29" i="22" l="1"/>
  <c r="AK29" i="22" l="1"/>
  <c r="G30" i="22" s="1"/>
  <c r="F30" i="22"/>
  <c r="T30" i="22" a="1"/>
  <c r="T30" i="22" l="1"/>
  <c r="Q30" i="22" l="1"/>
  <c r="AD30" i="22"/>
  <c r="C31" i="22" s="1"/>
  <c r="U30" i="22"/>
  <c r="V30" i="22"/>
  <c r="AF30" i="22" s="1"/>
  <c r="E31" i="22" s="1"/>
  <c r="W30" i="22" a="1"/>
  <c r="W30" i="22" l="1"/>
  <c r="AE30" i="22"/>
  <c r="D31" i="22" s="1"/>
  <c r="P30" i="22" a="1"/>
  <c r="P30" i="22" l="1"/>
  <c r="AC30" i="22"/>
  <c r="B31" i="22" l="1"/>
  <c r="R30" i="22"/>
  <c r="S30" i="22" s="1"/>
  <c r="K30" i="22" s="1"/>
  <c r="I31" i="22"/>
  <c r="H31" i="22" l="1"/>
  <c r="X30" i="22"/>
  <c r="Y30" i="22" s="1"/>
  <c r="AG30" i="22" l="1"/>
  <c r="AK30" i="22" s="1"/>
  <c r="G31" i="22" s="1"/>
  <c r="T31" i="22" a="1"/>
  <c r="F31" i="22" l="1"/>
  <c r="T31" i="22"/>
  <c r="Q31" i="22" l="1"/>
  <c r="V31" i="22"/>
  <c r="AF31" i="22" s="1"/>
  <c r="E32" i="22" s="1"/>
  <c r="U31" i="22"/>
  <c r="AD31" i="22"/>
  <c r="C32" i="22" s="1"/>
  <c r="W31" i="22" a="1"/>
  <c r="W31" i="22" l="1"/>
  <c r="AE31" i="22"/>
  <c r="D32" i="22" s="1"/>
  <c r="P31" i="22" a="1"/>
  <c r="P31" i="22" l="1"/>
  <c r="AC31" i="22"/>
  <c r="I32" i="22" l="1"/>
  <c r="R31" i="22"/>
  <c r="S31" i="22" s="1"/>
  <c r="K31" i="22" s="1"/>
  <c r="B32" i="22"/>
  <c r="H32" i="22" l="1"/>
  <c r="X31" i="22"/>
  <c r="Y31" i="22" s="1"/>
  <c r="AG31" i="22" l="1"/>
  <c r="F32" i="22" s="1"/>
  <c r="AK31" i="22" l="1"/>
  <c r="G32" i="22" s="1"/>
  <c r="T32" i="22" a="1"/>
  <c r="T32" i="22" l="1"/>
  <c r="U32" i="22" s="1"/>
  <c r="V32" i="22" l="1"/>
  <c r="AD32" i="22"/>
  <c r="C33" i="22" s="1"/>
  <c r="Q32" i="22"/>
  <c r="AE32" i="22"/>
  <c r="D33" i="22" s="1"/>
  <c r="AF32" i="22" l="1"/>
  <c r="E33" i="22" s="1"/>
  <c r="W32" i="22" a="1"/>
  <c r="W32" i="22" l="1"/>
  <c r="P32" i="22" a="1"/>
  <c r="P32" i="22" l="1"/>
  <c r="AC32" i="22"/>
  <c r="B33" i="22" s="1"/>
  <c r="R32" i="22" l="1"/>
  <c r="S32" i="22" s="1"/>
  <c r="K32" i="22" s="1"/>
  <c r="X32" i="22" s="1"/>
  <c r="Y32" i="22" s="1"/>
  <c r="I33" i="22"/>
  <c r="H33" i="22" s="1"/>
  <c r="AG32" i="22" l="1"/>
  <c r="F33" i="22"/>
  <c r="AK32" i="22"/>
  <c r="G33" i="22" s="1"/>
  <c r="T33" i="22" a="1"/>
  <c r="T33" i="22" l="1"/>
  <c r="V33" i="22" l="1"/>
  <c r="AF33" i="22" s="1"/>
  <c r="E34" i="22" s="1"/>
  <c r="Q33" i="22"/>
  <c r="AD33" i="22"/>
  <c r="C34" i="22" s="1"/>
  <c r="U33" i="22"/>
  <c r="W33" i="22" a="1"/>
  <c r="W33" i="22" l="1"/>
  <c r="AE33" i="22"/>
  <c r="D34" i="22" s="1"/>
  <c r="P33" i="22" a="1"/>
  <c r="P33" i="22" l="1"/>
  <c r="AC33" i="22"/>
  <c r="B34" i="22" l="1"/>
  <c r="I34" i="22"/>
  <c r="R33" i="22"/>
  <c r="S33" i="22" s="1"/>
  <c r="K33" i="22" s="1"/>
  <c r="X33" i="22" l="1"/>
  <c r="Y33" i="22" s="1"/>
  <c r="H34" i="22"/>
  <c r="AG33" i="22" l="1"/>
  <c r="F34" i="22" l="1"/>
  <c r="AK33" i="22"/>
  <c r="G34" i="22" s="1"/>
  <c r="T34" i="22" a="1"/>
  <c r="T34" i="22" l="1"/>
  <c r="Q34" i="22" l="1"/>
  <c r="U34" i="22"/>
  <c r="V34" i="22"/>
  <c r="AF34" i="22" s="1"/>
  <c r="E35" i="22" s="1"/>
  <c r="AD34" i="22"/>
  <c r="C35" i="22" s="1"/>
  <c r="W34" i="22" a="1"/>
  <c r="W34" i="22" l="1"/>
  <c r="AE34" i="22"/>
  <c r="D35" i="22" s="1"/>
  <c r="P34" i="22" a="1"/>
  <c r="P34" i="22" l="1"/>
  <c r="AC34" i="22"/>
  <c r="B35" i="22" l="1"/>
  <c r="I35" i="22"/>
  <c r="R34" i="22"/>
  <c r="S34" i="22" s="1"/>
  <c r="K34" i="22" s="1"/>
  <c r="X34" i="22" l="1"/>
  <c r="Y34" i="22" s="1"/>
  <c r="H35" i="22"/>
  <c r="AG34" i="22" l="1"/>
  <c r="F35" i="22" l="1"/>
  <c r="AK34" i="22"/>
  <c r="G35" i="22" s="1"/>
  <c r="T35" i="22" a="1"/>
  <c r="T35" i="22" l="1"/>
  <c r="Q35" i="22" l="1"/>
  <c r="AD35" i="22"/>
  <c r="C36" i="22" s="1"/>
  <c r="U35" i="22"/>
  <c r="V35" i="22"/>
  <c r="AF35" i="22" s="1"/>
  <c r="E36" i="22" s="1"/>
  <c r="W35" i="22" a="1"/>
  <c r="W35" i="22" l="1"/>
  <c r="AE35" i="22"/>
  <c r="D36" i="22" s="1"/>
  <c r="P35" i="22" a="1"/>
  <c r="P35" i="22" l="1"/>
  <c r="AC35" i="22"/>
  <c r="R35" i="22" l="1"/>
  <c r="S35" i="22" s="1"/>
  <c r="K35" i="22" s="1"/>
  <c r="I36" i="22"/>
  <c r="B36" i="22"/>
  <c r="X35" i="22" l="1"/>
  <c r="Y35" i="22" s="1"/>
  <c r="H36" i="22"/>
  <c r="AG35" i="22" l="1"/>
  <c r="F36" i="22" l="1"/>
  <c r="AK35" i="22"/>
  <c r="G36" i="22" s="1"/>
  <c r="T36" i="22" a="1"/>
  <c r="T36" i="22" l="1"/>
  <c r="Q36" i="22" l="1"/>
  <c r="V36" i="22"/>
  <c r="AF36" i="22" s="1"/>
  <c r="E37" i="22" s="1"/>
  <c r="AD36" i="22"/>
  <c r="C37" i="22" s="1"/>
  <c r="U36" i="22"/>
  <c r="W36" i="22" a="1"/>
  <c r="W36" i="22" l="1"/>
  <c r="AE36" i="22"/>
  <c r="D37" i="22" s="1"/>
  <c r="P36" i="22" a="1"/>
  <c r="P36" i="22" l="1"/>
  <c r="AC36" i="22"/>
  <c r="B37" i="22" l="1"/>
  <c r="R36" i="22"/>
  <c r="S36" i="22" s="1"/>
  <c r="K36" i="22" s="1"/>
  <c r="I37" i="22"/>
  <c r="X36" i="22" l="1"/>
  <c r="Y36" i="22" s="1"/>
  <c r="H37" i="22"/>
  <c r="AG36" i="22" l="1"/>
  <c r="F37" i="22" l="1"/>
  <c r="AK36" i="22"/>
  <c r="G37" i="22" s="1"/>
  <c r="T37" i="22" a="1"/>
  <c r="T37" i="22" l="1"/>
  <c r="V37" i="22" l="1"/>
  <c r="AF37" i="22" s="1"/>
  <c r="E38" i="22" s="1"/>
  <c r="Q37" i="22"/>
  <c r="U37" i="22"/>
  <c r="AD37" i="22"/>
  <c r="C38" i="22" s="1"/>
  <c r="W37" i="22" a="1"/>
  <c r="W37" i="22" l="1"/>
  <c r="AE37" i="22"/>
  <c r="D38" i="22" s="1"/>
  <c r="P37" i="22" a="1"/>
  <c r="P37" i="22" l="1"/>
  <c r="AC37" i="22"/>
  <c r="B38" i="22" l="1"/>
  <c r="R37" i="22"/>
  <c r="S37" i="22" s="1"/>
  <c r="K37" i="22" s="1"/>
  <c r="I38" i="22"/>
  <c r="H38" i="22" l="1"/>
  <c r="X37" i="22"/>
  <c r="Y37" i="22" s="1"/>
  <c r="AG37" i="22" l="1"/>
  <c r="F38" i="22" l="1"/>
  <c r="AK37" i="22"/>
  <c r="G38" i="22" s="1"/>
  <c r="T38" i="22" a="1"/>
  <c r="T38" i="22" l="1"/>
  <c r="Q38" i="22" l="1"/>
  <c r="U38" i="22"/>
  <c r="AD38" i="22"/>
  <c r="C39" i="22" s="1"/>
  <c r="V38" i="22"/>
  <c r="AF38" i="22" s="1"/>
  <c r="E39" i="22" s="1"/>
  <c r="W38" i="22" a="1"/>
  <c r="W38" i="22" l="1"/>
  <c r="AE38" i="22"/>
  <c r="D39" i="22" s="1"/>
  <c r="P38" i="22" a="1"/>
  <c r="P38" i="22" l="1"/>
  <c r="AC38" i="22"/>
  <c r="B39" i="22" l="1"/>
  <c r="I39" i="22"/>
  <c r="R38" i="22"/>
  <c r="S38" i="22" s="1"/>
  <c r="K38" i="22" s="1"/>
  <c r="X38" i="22" l="1"/>
  <c r="Y38" i="22" s="1"/>
  <c r="H39" i="22"/>
  <c r="AG38" i="22" l="1"/>
  <c r="F39" i="22" l="1"/>
  <c r="AK38" i="22"/>
  <c r="G39" i="22" s="1"/>
  <c r="T39" i="22" a="1"/>
  <c r="T39" i="22" l="1"/>
  <c r="Q39" i="22" l="1"/>
  <c r="U39" i="22"/>
  <c r="V39" i="22"/>
  <c r="AF39" i="22" s="1"/>
  <c r="E40" i="22" s="1"/>
  <c r="AD39" i="22"/>
  <c r="C40" i="22" s="1"/>
  <c r="W39" i="22" a="1"/>
  <c r="W39" i="22" l="1"/>
  <c r="AE39" i="22"/>
  <c r="D40" i="22" s="1"/>
  <c r="P39" i="22" a="1"/>
  <c r="P39" i="22" l="1"/>
  <c r="AC39" i="22"/>
  <c r="B40" i="22" l="1"/>
  <c r="I40" i="22"/>
  <c r="R39" i="22"/>
  <c r="S39" i="22" s="1"/>
  <c r="K39" i="22" s="1"/>
  <c r="H40" i="22" l="1"/>
  <c r="X39" i="22"/>
  <c r="Y39" i="22" s="1"/>
  <c r="AG39" i="22" l="1"/>
  <c r="F40" i="22" l="1"/>
  <c r="AK39" i="22"/>
  <c r="G40" i="22" s="1"/>
  <c r="T40" i="22" a="1"/>
  <c r="T40" i="22" l="1"/>
  <c r="Q40" i="22" l="1"/>
  <c r="AD40" i="22"/>
  <c r="C41" i="22" s="1"/>
  <c r="U40" i="22"/>
  <c r="V40" i="22"/>
  <c r="AF40" i="22" s="1"/>
  <c r="E41" i="22" s="1"/>
  <c r="W40" i="22" a="1"/>
  <c r="W40" i="22" l="1"/>
  <c r="AE40" i="22"/>
  <c r="D41" i="22" s="1"/>
  <c r="P40" i="22" a="1"/>
  <c r="P40" i="22" l="1"/>
  <c r="AC40" i="22"/>
  <c r="B41" i="22" l="1"/>
  <c r="I41" i="22"/>
  <c r="R40" i="22"/>
  <c r="S40" i="22" s="1"/>
  <c r="K40" i="22" s="1"/>
  <c r="X40" i="22" l="1"/>
  <c r="Y40" i="22" s="1"/>
  <c r="H41" i="22"/>
  <c r="AG40" i="22" l="1"/>
  <c r="F41" i="22" l="1"/>
  <c r="AK40" i="22"/>
  <c r="G41" i="22" s="1"/>
  <c r="T41" i="22" a="1"/>
  <c r="T41" i="22" l="1"/>
  <c r="Q41" i="22" l="1"/>
  <c r="U41" i="22"/>
  <c r="AD41" i="22"/>
  <c r="C42" i="22" s="1"/>
  <c r="V41" i="22"/>
  <c r="AF41" i="22" s="1"/>
  <c r="E42" i="22" s="1"/>
  <c r="W41" i="22" a="1"/>
  <c r="W41" i="22" l="1"/>
  <c r="AE41" i="22"/>
  <c r="D42" i="22" s="1"/>
  <c r="P41" i="22" a="1"/>
  <c r="P41" i="22" l="1"/>
  <c r="AC41" i="22"/>
  <c r="B42" i="22" l="1"/>
  <c r="I42" i="22"/>
  <c r="R41" i="22"/>
  <c r="S41" i="22" s="1"/>
  <c r="K41" i="22" s="1"/>
  <c r="X41" i="22" l="1"/>
  <c r="Y41" i="22" s="1"/>
  <c r="H42" i="22"/>
  <c r="AG41" i="22" l="1"/>
  <c r="F42" i="22" l="1"/>
  <c r="AK41" i="22"/>
  <c r="G42" i="22" s="1"/>
  <c r="T42" i="22" a="1"/>
  <c r="T42" i="22" l="1"/>
  <c r="V42" i="22" l="1"/>
  <c r="AF42" i="22" s="1"/>
  <c r="E43" i="22" s="1"/>
  <c r="Q42" i="22"/>
  <c r="AD42" i="22"/>
  <c r="C43" i="22" s="1"/>
  <c r="U42" i="22"/>
  <c r="W42" i="22" a="1"/>
  <c r="W42" i="22" l="1"/>
  <c r="AE42" i="22"/>
  <c r="D43" i="22" s="1"/>
  <c r="P42" i="22" a="1"/>
  <c r="P42" i="22" l="1"/>
  <c r="AC42" i="22"/>
  <c r="R42" i="22" l="1"/>
  <c r="S42" i="22" s="1"/>
  <c r="K42" i="22" s="1"/>
  <c r="I43" i="22"/>
  <c r="B43" i="22"/>
  <c r="H43" i="22" l="1"/>
  <c r="X42" i="22"/>
  <c r="Y42" i="22" s="1"/>
  <c r="AG42" i="22" l="1"/>
  <c r="F43" i="22" l="1"/>
  <c r="AK42" i="22"/>
  <c r="G43" i="22" s="1"/>
  <c r="T43" i="22" a="1"/>
  <c r="T43" i="22" l="1"/>
  <c r="Q43" i="22" l="1"/>
  <c r="U43" i="22"/>
  <c r="AD43" i="22"/>
  <c r="C44" i="22" s="1"/>
  <c r="V43" i="22"/>
  <c r="AF43" i="22" s="1"/>
  <c r="E44" i="22" s="1"/>
  <c r="W43" i="22" a="1"/>
  <c r="W43" i="22" l="1"/>
  <c r="AE43" i="22"/>
  <c r="D44" i="22" s="1"/>
  <c r="P43" i="22" a="1"/>
  <c r="P43" i="22" l="1"/>
  <c r="AC43" i="22"/>
  <c r="I44" i="22" l="1"/>
  <c r="R43" i="22"/>
  <c r="S43" i="22" s="1"/>
  <c r="K43" i="22" s="1"/>
  <c r="B44" i="22"/>
  <c r="H44" i="22" l="1"/>
  <c r="X43" i="22"/>
  <c r="Y43" i="22" s="1"/>
  <c r="AG43" i="22" l="1"/>
  <c r="F44" i="22" l="1"/>
  <c r="AK43" i="22"/>
  <c r="G44" i="22" s="1"/>
  <c r="T44" i="22" a="1"/>
  <c r="T44" i="22" l="1"/>
  <c r="Q44" i="22" l="1"/>
  <c r="U44" i="22"/>
  <c r="AD44" i="22"/>
  <c r="C45" i="22" s="1"/>
  <c r="V44" i="22"/>
  <c r="AF44" i="22" s="1"/>
  <c r="E45" i="22" s="1"/>
  <c r="W44" i="22" a="1"/>
  <c r="W44" i="22" l="1"/>
  <c r="AE44" i="22"/>
  <c r="D45" i="22" s="1"/>
  <c r="P44" i="22" a="1"/>
  <c r="P44" i="22" l="1"/>
  <c r="AC44" i="22"/>
  <c r="R44" i="22" l="1"/>
  <c r="S44" i="22" s="1"/>
  <c r="K44" i="22" s="1"/>
  <c r="I45" i="22"/>
  <c r="B45" i="22"/>
  <c r="H45" i="22" l="1"/>
  <c r="X44" i="22"/>
  <c r="Y44" i="22" s="1"/>
  <c r="AG44" i="22" l="1"/>
  <c r="F45" i="22" l="1"/>
  <c r="AK44" i="22"/>
  <c r="G45" i="22" s="1"/>
  <c r="T45" i="22" a="1"/>
  <c r="T45" i="22" l="1"/>
  <c r="Q45" i="22" l="1"/>
  <c r="AD45" i="22"/>
  <c r="C46" i="22" s="1"/>
  <c r="V45" i="22"/>
  <c r="AF45" i="22" s="1"/>
  <c r="E46" i="22" s="1"/>
  <c r="U45" i="22"/>
  <c r="W45" i="22" a="1"/>
  <c r="W45" i="22" l="1"/>
  <c r="AE45" i="22"/>
  <c r="D46" i="22" s="1"/>
  <c r="P45" i="22" a="1"/>
  <c r="P45" i="22" l="1"/>
  <c r="AC45" i="22"/>
  <c r="B46" i="22" l="1"/>
  <c r="R45" i="22"/>
  <c r="S45" i="22" s="1"/>
  <c r="K45" i="22" s="1"/>
  <c r="I46" i="22"/>
  <c r="X45" i="22" l="1"/>
  <c r="Y45" i="22" s="1"/>
  <c r="H46" i="22"/>
  <c r="AG45" i="22" l="1"/>
  <c r="F46" i="22" l="1"/>
  <c r="AK45" i="22"/>
  <c r="G46" i="22" s="1"/>
  <c r="T46" i="22" a="1"/>
  <c r="T46" i="22" l="1"/>
  <c r="Q46" i="22" l="1"/>
  <c r="U46" i="22"/>
  <c r="V46" i="22"/>
  <c r="AF46" i="22" s="1"/>
  <c r="E47" i="22" s="1"/>
  <c r="AD46" i="22"/>
  <c r="C47" i="22" s="1"/>
  <c r="W46" i="22" a="1"/>
  <c r="W46" i="22" l="1"/>
  <c r="AE46" i="22"/>
  <c r="D47" i="22" s="1"/>
  <c r="P46" i="22" a="1"/>
  <c r="P46" i="22" l="1"/>
  <c r="AC46" i="22"/>
  <c r="B47" i="22" l="1"/>
  <c r="I47" i="22"/>
  <c r="R46" i="22"/>
  <c r="S46" i="22" s="1"/>
  <c r="K46" i="22" s="1"/>
  <c r="X46" i="22" l="1"/>
  <c r="Y46" i="22" s="1"/>
  <c r="H47" i="22"/>
  <c r="AG46" i="22" l="1"/>
  <c r="F47" i="22" l="1"/>
  <c r="AK46" i="22"/>
  <c r="G47" i="22" s="1"/>
  <c r="T47" i="22" a="1"/>
  <c r="T47" i="22" l="1"/>
  <c r="Q47" i="22" l="1"/>
  <c r="AD47" i="22"/>
  <c r="C48" i="22" s="1"/>
  <c r="V47" i="22"/>
  <c r="AF47" i="22" s="1"/>
  <c r="E48" i="22" s="1"/>
  <c r="U47" i="22"/>
  <c r="W47" i="22" a="1"/>
  <c r="W47" i="22" l="1"/>
  <c r="AE47" i="22"/>
  <c r="D48" i="22" s="1"/>
  <c r="P47" i="22" a="1"/>
  <c r="P47" i="22" l="1"/>
  <c r="AC47" i="22"/>
  <c r="R47" i="22" l="1"/>
  <c r="S47" i="22" s="1"/>
  <c r="K47" i="22" s="1"/>
  <c r="I48" i="22"/>
  <c r="B48" i="22"/>
  <c r="H48" i="22" l="1"/>
  <c r="X47" i="22"/>
  <c r="Y47" i="22" s="1"/>
  <c r="AG47" i="22" l="1"/>
  <c r="F48" i="22" l="1"/>
  <c r="AK47" i="22"/>
  <c r="G48" i="22" s="1"/>
  <c r="T48" i="22" a="1"/>
  <c r="T48" i="22" l="1"/>
  <c r="Q48" i="22" l="1"/>
  <c r="U48" i="22"/>
  <c r="AD48" i="22"/>
  <c r="C49" i="22" s="1"/>
  <c r="V48" i="22"/>
  <c r="AF48" i="22" s="1"/>
  <c r="E49" i="22" s="1"/>
  <c r="W48" i="22" a="1"/>
  <c r="W48" i="22" l="1"/>
  <c r="AE48" i="22"/>
  <c r="D49" i="22" s="1"/>
  <c r="P48" i="22" a="1"/>
  <c r="P48" i="22" l="1"/>
  <c r="AC48" i="22"/>
  <c r="B49" i="22" s="1"/>
  <c r="R48" i="22" l="1"/>
  <c r="S48" i="22" s="1"/>
  <c r="K48" i="22" s="1"/>
  <c r="I49" i="22"/>
  <c r="H49" i="22" s="1"/>
  <c r="X48" i="22" l="1"/>
  <c r="Y48" i="22" s="1"/>
  <c r="AG48" i="22" l="1"/>
  <c r="AK48" i="22" l="1"/>
  <c r="G49" i="22" s="1"/>
  <c r="F49" i="22"/>
  <c r="T49" i="22" a="1"/>
  <c r="T49" i="22" l="1"/>
  <c r="Q49" i="22" l="1"/>
  <c r="AD49" i="22"/>
  <c r="C50" i="22" s="1"/>
  <c r="V49" i="22"/>
  <c r="AF49" i="22" s="1"/>
  <c r="E50" i="22" s="1"/>
  <c r="U49" i="22"/>
  <c r="W49" i="22" a="1"/>
  <c r="W49" i="22" l="1"/>
  <c r="AE49" i="22"/>
  <c r="D50" i="22" s="1"/>
  <c r="P49" i="22" a="1"/>
  <c r="P49" i="22" l="1"/>
  <c r="AC49" i="22"/>
  <c r="I50" i="22" l="1"/>
  <c r="R49" i="22"/>
  <c r="S49" i="22" s="1"/>
  <c r="K49" i="22" s="1"/>
  <c r="B50" i="22"/>
  <c r="H50" i="22" l="1"/>
  <c r="X49" i="22"/>
  <c r="Y49" i="22" s="1"/>
  <c r="AG49" i="22" l="1"/>
  <c r="F50" i="22" l="1"/>
  <c r="AK49" i="22"/>
  <c r="G50" i="22" s="1"/>
  <c r="T50" i="22" a="1"/>
  <c r="T50" i="22" l="1"/>
  <c r="Q50" i="22" l="1"/>
  <c r="U50" i="22"/>
  <c r="AD50" i="22"/>
  <c r="C51" i="22" s="1"/>
  <c r="V50" i="22"/>
  <c r="AF50" i="22" s="1"/>
  <c r="E51" i="22" s="1"/>
  <c r="W50" i="22" a="1"/>
  <c r="W50" i="22" l="1"/>
  <c r="AE50" i="22"/>
  <c r="D51" i="22" s="1"/>
  <c r="P50" i="22" a="1"/>
  <c r="P50" i="22" l="1"/>
  <c r="AC50" i="22"/>
  <c r="B51" i="22" l="1"/>
  <c r="R50" i="22"/>
  <c r="S50" i="22" s="1"/>
  <c r="K50" i="22" s="1"/>
  <c r="I51" i="22"/>
  <c r="H51" i="22" l="1"/>
  <c r="X50" i="22"/>
  <c r="Y50" i="22" s="1"/>
  <c r="AG50" i="22" l="1"/>
  <c r="F51" i="22" l="1"/>
  <c r="AK50" i="22"/>
  <c r="G51" i="22" s="1"/>
  <c r="T51" i="22" a="1"/>
  <c r="T51" i="22" l="1"/>
  <c r="Q51" i="22" l="1"/>
  <c r="AD51" i="22"/>
  <c r="C52" i="22" s="1"/>
  <c r="V51" i="22"/>
  <c r="AF51" i="22" s="1"/>
  <c r="E52" i="22" s="1"/>
  <c r="U51" i="22"/>
  <c r="W51" i="22" a="1"/>
  <c r="W51" i="22" l="1"/>
  <c r="AE51" i="22"/>
  <c r="D52" i="22" s="1"/>
  <c r="P51" i="22" a="1"/>
  <c r="P51" i="22" l="1"/>
  <c r="AC51" i="22"/>
  <c r="B52" i="22" l="1"/>
  <c r="I52" i="22"/>
  <c r="R51" i="22"/>
  <c r="S51" i="22" s="1"/>
  <c r="K51" i="22" s="1"/>
  <c r="X51" i="22" l="1"/>
  <c r="Y51" i="22" s="1"/>
  <c r="H52" i="22"/>
  <c r="AG51" i="22" l="1"/>
  <c r="F52" i="22" s="1"/>
  <c r="AK51" i="22" l="1"/>
  <c r="G52" i="22" s="1"/>
  <c r="T52" i="22" a="1"/>
  <c r="T52" i="22" l="1"/>
  <c r="Q52" i="22" s="1"/>
  <c r="U52" i="22"/>
  <c r="AD52" i="22" l="1"/>
  <c r="C53" i="22" s="1"/>
  <c r="V52" i="22"/>
  <c r="AE52" i="22"/>
  <c r="D53" i="22" s="1"/>
  <c r="W52" i="22" a="1"/>
  <c r="W52" i="22" l="1"/>
  <c r="AF52" i="22"/>
  <c r="E53" i="22" s="1"/>
  <c r="AC52" i="22"/>
  <c r="P52" i="22" a="1"/>
  <c r="P52" i="22" l="1"/>
  <c r="I53" i="22" s="1"/>
  <c r="B53" i="22"/>
  <c r="R52" i="22"/>
  <c r="S52" i="22" s="1"/>
  <c r="K52" i="22" s="1"/>
  <c r="X52" i="22" l="1"/>
  <c r="Y52" i="22" s="1"/>
  <c r="H53" i="22"/>
  <c r="AG52" i="22" l="1"/>
  <c r="F53" i="22" l="1"/>
  <c r="AK52" i="22"/>
  <c r="G53" i="22" s="1"/>
  <c r="T53" i="22" a="1"/>
  <c r="T53" i="22" l="1"/>
  <c r="Q53" i="22" l="1"/>
  <c r="AD53" i="22"/>
  <c r="C54" i="22" s="1"/>
  <c r="V53" i="22"/>
  <c r="AF53" i="22" s="1"/>
  <c r="E54" i="22" s="1"/>
  <c r="U53" i="22"/>
  <c r="W53" i="22" a="1"/>
  <c r="W53" i="22" l="1"/>
  <c r="AE53" i="22"/>
  <c r="D54" i="22" s="1"/>
  <c r="P53" i="22" a="1"/>
  <c r="P53" i="22" l="1"/>
  <c r="AC53" i="22"/>
  <c r="R53" i="22" l="1"/>
  <c r="S53" i="22" s="1"/>
  <c r="K53" i="22" s="1"/>
  <c r="I54" i="22"/>
  <c r="B54" i="22"/>
  <c r="H54" i="22" l="1"/>
  <c r="X53" i="22"/>
  <c r="Y53" i="22" s="1"/>
  <c r="AG53" i="22" l="1"/>
  <c r="F54" i="22" l="1"/>
  <c r="AK53" i="22"/>
  <c r="G54" i="22" s="1"/>
  <c r="T54" i="22" a="1"/>
  <c r="T54" i="22" l="1"/>
  <c r="Q54" i="22" l="1"/>
  <c r="V54" i="22"/>
  <c r="AF54" i="22" s="1"/>
  <c r="E55" i="22" s="1"/>
  <c r="AD54" i="22"/>
  <c r="C55" i="22" s="1"/>
  <c r="U54" i="22"/>
  <c r="W54" i="22" a="1"/>
  <c r="W54" i="22" l="1"/>
  <c r="AE54" i="22"/>
  <c r="D55" i="22" s="1"/>
  <c r="P54" i="22" a="1"/>
  <c r="P54" i="22" l="1"/>
  <c r="AC54" i="22"/>
  <c r="B55" i="22" l="1"/>
  <c r="R54" i="22"/>
  <c r="S54" i="22" s="1"/>
  <c r="K54" i="22" s="1"/>
  <c r="I55" i="22"/>
  <c r="H55" i="22" l="1"/>
  <c r="X54" i="22"/>
  <c r="Y54" i="22" s="1"/>
  <c r="AG54" i="22" l="1"/>
  <c r="F55" i="22" l="1"/>
  <c r="AK54" i="22"/>
  <c r="G55" i="22" s="1"/>
  <c r="T55" i="22" a="1"/>
  <c r="T55" i="22" l="1"/>
  <c r="Q55" i="22" l="1"/>
  <c r="V55" i="22"/>
  <c r="AF55" i="22" s="1"/>
  <c r="E56" i="22" s="1"/>
  <c r="AD55" i="22"/>
  <c r="C56" i="22" s="1"/>
  <c r="U55" i="22"/>
  <c r="W55" i="22" a="1"/>
  <c r="W55" i="22" l="1"/>
  <c r="AE55" i="22"/>
  <c r="D56" i="22" s="1"/>
  <c r="P55" i="22" a="1"/>
  <c r="P55" i="22" l="1"/>
  <c r="AC55" i="22"/>
  <c r="B56" i="22" l="1"/>
  <c r="R55" i="22"/>
  <c r="S55" i="22" s="1"/>
  <c r="K55" i="22" s="1"/>
  <c r="I56" i="22"/>
  <c r="X55" i="22" l="1"/>
  <c r="Y55" i="22" s="1"/>
  <c r="H56" i="22"/>
  <c r="AG55" i="22" l="1"/>
  <c r="F56" i="22" l="1"/>
  <c r="AK55" i="22"/>
  <c r="G56" i="22" s="1"/>
  <c r="T56" i="22" a="1"/>
  <c r="T56" i="22" l="1"/>
  <c r="Q56" i="22" l="1"/>
  <c r="V56" i="22"/>
  <c r="AF56" i="22" s="1"/>
  <c r="E57" i="22" s="1"/>
  <c r="U56" i="22"/>
  <c r="AD56" i="22"/>
  <c r="C57" i="22" s="1"/>
  <c r="W56" i="22" a="1"/>
  <c r="W56" i="22" l="1"/>
  <c r="AE56" i="22"/>
  <c r="D57" i="22" s="1"/>
  <c r="P56" i="22" a="1"/>
  <c r="P56" i="22" l="1"/>
  <c r="AC56" i="22"/>
  <c r="B57" i="22" l="1"/>
  <c r="R56" i="22"/>
  <c r="S56" i="22" s="1"/>
  <c r="K56" i="22" s="1"/>
  <c r="I57" i="22"/>
  <c r="X56" i="22" l="1"/>
  <c r="Y56" i="22" s="1"/>
  <c r="H57" i="22"/>
  <c r="AG56" i="22" l="1"/>
  <c r="F57" i="22" l="1"/>
  <c r="AK56" i="22"/>
  <c r="G57" i="22" s="1"/>
  <c r="T57" i="22" a="1"/>
  <c r="T57" i="22" l="1"/>
  <c r="Q57" i="22" l="1"/>
  <c r="V57" i="22"/>
  <c r="AF57" i="22" s="1"/>
  <c r="E58" i="22" s="1"/>
  <c r="AD57" i="22"/>
  <c r="C58" i="22" s="1"/>
  <c r="U57" i="22"/>
  <c r="W57" i="22" a="1"/>
  <c r="W57" i="22" l="1"/>
  <c r="AE57" i="22"/>
  <c r="D58" i="22" s="1"/>
  <c r="P57" i="22" a="1"/>
  <c r="P57" i="22" l="1"/>
  <c r="AC57" i="22"/>
  <c r="I58" i="22" l="1"/>
  <c r="R57" i="22"/>
  <c r="S57" i="22" s="1"/>
  <c r="K57" i="22" s="1"/>
  <c r="B58" i="22"/>
  <c r="H58" i="22" l="1"/>
  <c r="X57" i="22"/>
  <c r="Y57" i="22" s="1"/>
  <c r="AG57" i="22" l="1"/>
  <c r="F58" i="22" l="1"/>
  <c r="AK57" i="22"/>
  <c r="G58" i="22" s="1"/>
  <c r="T58" i="22" a="1"/>
  <c r="T58" i="22" l="1"/>
  <c r="Q58" i="22" l="1"/>
  <c r="U58" i="22"/>
  <c r="AD58" i="22"/>
  <c r="C59" i="22" s="1"/>
  <c r="V58" i="22"/>
  <c r="AF58" i="22" s="1"/>
  <c r="E59" i="22" s="1"/>
  <c r="W58" i="22" a="1"/>
  <c r="W58" i="22" l="1"/>
  <c r="AE58" i="22"/>
  <c r="D59" i="22" s="1"/>
  <c r="P58" i="22" a="1"/>
  <c r="P58" i="22" l="1"/>
  <c r="AC58" i="22"/>
  <c r="B59" i="22" l="1"/>
  <c r="R58" i="22"/>
  <c r="S58" i="22" s="1"/>
  <c r="K58" i="22" s="1"/>
  <c r="I59" i="22"/>
  <c r="H59" i="22" l="1"/>
  <c r="X58" i="22"/>
  <c r="Y58" i="22" s="1"/>
  <c r="AG58" i="22" l="1"/>
  <c r="F59" i="22" l="1"/>
  <c r="AK58" i="22"/>
  <c r="G59" i="22" s="1"/>
  <c r="T59" i="22" a="1"/>
  <c r="T59" i="22" l="1"/>
  <c r="Q59" i="22" l="1"/>
  <c r="U59" i="22"/>
  <c r="AD59" i="22"/>
  <c r="C60" i="22" s="1"/>
  <c r="V59" i="22"/>
  <c r="AF59" i="22" s="1"/>
  <c r="E60" i="22" s="1"/>
  <c r="W59" i="22" a="1"/>
  <c r="W59" i="22" l="1"/>
  <c r="AE59" i="22"/>
  <c r="D60" i="22" s="1"/>
  <c r="P59" i="22" a="1"/>
  <c r="P59" i="22" l="1"/>
  <c r="AC59" i="22"/>
  <c r="B60" i="22" l="1"/>
  <c r="I60" i="22"/>
  <c r="R59" i="22"/>
  <c r="S59" i="22" s="1"/>
  <c r="K59" i="22" s="1"/>
  <c r="H60" i="22" l="1"/>
  <c r="X59" i="22"/>
  <c r="Y59" i="22" s="1"/>
  <c r="AG59" i="22" l="1"/>
  <c r="F60" i="22" l="1"/>
  <c r="AK59" i="22"/>
  <c r="G60" i="22" s="1"/>
  <c r="T60" i="22" a="1"/>
  <c r="T60" i="22" l="1"/>
  <c r="Q60" i="22" l="1"/>
  <c r="V60" i="22"/>
  <c r="AF60" i="22" s="1"/>
  <c r="E61" i="22" s="1"/>
  <c r="AD60" i="22"/>
  <c r="C61" i="22" s="1"/>
  <c r="U60" i="22"/>
  <c r="W60" i="22" a="1"/>
  <c r="W60" i="22" l="1"/>
  <c r="AE60" i="22"/>
  <c r="D61" i="22" s="1"/>
  <c r="P60" i="22" a="1"/>
  <c r="P60" i="22" l="1"/>
  <c r="AC60" i="22"/>
  <c r="B61" i="22" l="1"/>
  <c r="I61" i="22"/>
  <c r="R60" i="22"/>
  <c r="S60" i="22" s="1"/>
  <c r="K60" i="22" s="1"/>
  <c r="X60" i="22" l="1"/>
  <c r="Y60" i="22" s="1"/>
  <c r="H61" i="22"/>
  <c r="AG60" i="22" l="1"/>
  <c r="F61" i="22" l="1"/>
  <c r="AK60" i="22"/>
  <c r="G61" i="22" s="1"/>
  <c r="T61" i="22" a="1"/>
  <c r="T61" i="22" l="1"/>
  <c r="Q61" i="22" l="1"/>
  <c r="U61" i="22"/>
  <c r="V61" i="22"/>
  <c r="AF61" i="22" s="1"/>
  <c r="E62" i="22" s="1"/>
  <c r="AD61" i="22"/>
  <c r="C62" i="22" s="1"/>
  <c r="W61" i="22" a="1"/>
  <c r="W61" i="22" l="1"/>
  <c r="AE61" i="22"/>
  <c r="D62" i="22" s="1"/>
  <c r="P61" i="22" a="1"/>
  <c r="P61" i="22" l="1"/>
  <c r="AC61" i="22"/>
  <c r="B62" i="22" l="1"/>
  <c r="I62" i="22"/>
  <c r="R61" i="22"/>
  <c r="S61" i="22" s="1"/>
  <c r="K61" i="22" s="1"/>
  <c r="X61" i="22" l="1"/>
  <c r="Y61" i="22" s="1"/>
  <c r="H62" i="22"/>
  <c r="AG61" i="22" l="1"/>
  <c r="F62" i="22" l="1"/>
  <c r="AK61" i="22"/>
  <c r="G62" i="22" s="1"/>
  <c r="T62" i="22" a="1"/>
  <c r="T62" i="22" l="1"/>
  <c r="Q62" i="22" l="1"/>
  <c r="U62" i="22"/>
  <c r="AD62" i="22"/>
  <c r="C63" i="22" s="1"/>
  <c r="V62" i="22"/>
  <c r="AF62" i="22" s="1"/>
  <c r="E63" i="22" s="1"/>
  <c r="W62" i="22" a="1"/>
  <c r="W62" i="22" l="1"/>
  <c r="AE62" i="22"/>
  <c r="D63" i="22" s="1"/>
  <c r="P62" i="22" a="1"/>
  <c r="P62" i="22" l="1"/>
  <c r="AC62" i="22"/>
  <c r="B63" i="22" s="1"/>
  <c r="I63" i="22" l="1"/>
  <c r="H63" i="22" s="1"/>
  <c r="R62" i="22"/>
  <c r="S62" i="22" s="1"/>
  <c r="K62" i="22" s="1"/>
  <c r="X62" i="22" l="1"/>
  <c r="Y62" i="22" s="1"/>
  <c r="AG62" i="22" l="1"/>
  <c r="AK62" i="22" l="1"/>
  <c r="G63" i="22" s="1"/>
  <c r="F63" i="22"/>
  <c r="T63" i="22" a="1"/>
  <c r="T63" i="22" l="1"/>
  <c r="Q63" i="22" l="1"/>
  <c r="AD63" i="22"/>
  <c r="C64" i="22" s="1"/>
  <c r="V63" i="22"/>
  <c r="AF63" i="22" s="1"/>
  <c r="E64" i="22" s="1"/>
  <c r="U63" i="22"/>
  <c r="W63" i="22" a="1"/>
  <c r="W63" i="22" l="1"/>
  <c r="AE63" i="22"/>
  <c r="D64" i="22" s="1"/>
  <c r="P63" i="22" a="1"/>
  <c r="P63" i="22" l="1"/>
  <c r="AC63" i="22"/>
  <c r="B64" i="22" l="1"/>
  <c r="R63" i="22"/>
  <c r="S63" i="22" s="1"/>
  <c r="K63" i="22" s="1"/>
  <c r="I64" i="22"/>
  <c r="X63" i="22" l="1"/>
  <c r="Y63" i="22" s="1"/>
  <c r="H64" i="22"/>
  <c r="AG63" i="22" l="1"/>
  <c r="F64" i="22" l="1"/>
  <c r="AK63" i="22"/>
  <c r="G64" i="22" s="1"/>
  <c r="T64" i="22" a="1"/>
  <c r="T64" i="22" l="1"/>
  <c r="Q64" i="22" l="1"/>
  <c r="U64" i="22"/>
  <c r="V64" i="22"/>
  <c r="AF64" i="22" s="1"/>
  <c r="E65" i="22" s="1"/>
  <c r="AD64" i="22"/>
  <c r="C65" i="22" s="1"/>
  <c r="W64" i="22" a="1"/>
  <c r="W64" i="22" l="1"/>
  <c r="AE64" i="22"/>
  <c r="D65" i="22" s="1"/>
  <c r="P64" i="22" a="1"/>
  <c r="P64" i="22" l="1"/>
  <c r="AC64" i="22"/>
  <c r="B65" i="22" l="1"/>
  <c r="I65" i="22"/>
  <c r="R64" i="22"/>
  <c r="S64" i="22" s="1"/>
  <c r="K64" i="22" s="1"/>
  <c r="H65" i="22" l="1"/>
  <c r="X64" i="22"/>
  <c r="Y64" i="22" s="1"/>
  <c r="AG64" i="22" l="1"/>
  <c r="F65" i="22" s="1"/>
  <c r="AK64" i="22" l="1"/>
  <c r="G65" i="22" s="1"/>
  <c r="T65" i="22" a="1"/>
  <c r="T65" i="22" l="1"/>
  <c r="AD65" i="22" s="1"/>
  <c r="C66" i="22" s="1"/>
  <c r="Q65" i="22"/>
  <c r="U65" i="22" l="1"/>
  <c r="AE65" i="22" s="1"/>
  <c r="D66" i="22" s="1"/>
  <c r="V65" i="22"/>
  <c r="W65" i="22" a="1"/>
  <c r="W65" i="22" l="1"/>
  <c r="AF65" i="22"/>
  <c r="E66" i="22" s="1"/>
  <c r="AC65" i="22"/>
  <c r="P65" i="22" a="1"/>
  <c r="P65" i="22" l="1"/>
  <c r="I66" i="22" s="1"/>
  <c r="R65" i="22"/>
  <c r="S65" i="22" s="1"/>
  <c r="K65" i="22" s="1"/>
  <c r="B66" i="22"/>
  <c r="H66" i="22" l="1"/>
  <c r="X65" i="22"/>
  <c r="Y65" i="22" s="1"/>
  <c r="AG65" i="22" l="1"/>
  <c r="F66" i="22" s="1"/>
  <c r="AK65" i="22" l="1"/>
  <c r="G66" i="22" s="1"/>
  <c r="T66" i="22" a="1"/>
  <c r="T66" i="22" l="1"/>
  <c r="Q66" i="22" s="1"/>
  <c r="V66" i="22" l="1"/>
  <c r="AF66" i="22" s="1"/>
  <c r="E67" i="22" s="1"/>
  <c r="AD66" i="22"/>
  <c r="C67" i="22" s="1"/>
  <c r="U66" i="22"/>
  <c r="AE66" i="22" s="1"/>
  <c r="D67" i="22" s="1"/>
  <c r="W66" i="22" a="1"/>
  <c r="W66" i="22" l="1"/>
  <c r="AC66" i="22" s="1"/>
  <c r="P66" i="22" a="1"/>
  <c r="P66" i="22" l="1"/>
  <c r="R66" i="22" s="1"/>
  <c r="S66" i="22" s="1"/>
  <c r="K66" i="22" s="1"/>
  <c r="B67" i="22"/>
  <c r="I67" i="22" l="1"/>
  <c r="H67" i="22" s="1"/>
  <c r="X66" i="22"/>
  <c r="Y66" i="22" s="1"/>
  <c r="AG66" i="22" l="1"/>
  <c r="F67" i="22" l="1"/>
  <c r="AK66" i="22"/>
  <c r="G67" i="22" s="1"/>
  <c r="T67" i="22" a="1"/>
  <c r="T67" i="22" l="1"/>
  <c r="Q67" i="22" l="1"/>
  <c r="AD67" i="22"/>
  <c r="C68" i="22" s="1"/>
  <c r="U67" i="22"/>
  <c r="V67" i="22"/>
  <c r="AF67" i="22" s="1"/>
  <c r="E68" i="22" s="1"/>
  <c r="W67" i="22" a="1"/>
  <c r="W67" i="22" l="1"/>
  <c r="AE67" i="22"/>
  <c r="D68" i="22" s="1"/>
  <c r="P67" i="22" a="1"/>
  <c r="P67" i="22" l="1"/>
  <c r="AC67" i="22"/>
  <c r="R67" i="22" l="1"/>
  <c r="S67" i="22" s="1"/>
  <c r="K67" i="22" s="1"/>
  <c r="I68" i="22"/>
  <c r="B68" i="22"/>
  <c r="H68" i="22" l="1"/>
  <c r="X67" i="22"/>
  <c r="Y67" i="22" s="1"/>
  <c r="AG67" i="22" l="1"/>
  <c r="F68" i="22" s="1"/>
  <c r="AK67" i="22" l="1"/>
  <c r="G68" i="22" s="1"/>
  <c r="T68" i="22" a="1"/>
  <c r="T68" i="22" l="1"/>
  <c r="AD68" i="22" s="1"/>
  <c r="C69" i="22" s="1"/>
  <c r="Q68" i="22"/>
  <c r="U68" i="22"/>
  <c r="V68" i="22" l="1"/>
  <c r="AE68" i="22"/>
  <c r="D69" i="22" s="1"/>
  <c r="W68" i="22" a="1"/>
  <c r="W68" i="22" l="1"/>
  <c r="AF68" i="22"/>
  <c r="E69" i="22" s="1"/>
  <c r="P68" i="22" a="1"/>
  <c r="P68" i="22" l="1"/>
  <c r="I69" i="22" s="1"/>
  <c r="AC68" i="22"/>
  <c r="B69" i="22" s="1"/>
  <c r="R68" i="22"/>
  <c r="S68" i="22" s="1"/>
  <c r="K68" i="22" s="1"/>
  <c r="X68" i="22" l="1"/>
  <c r="Y68" i="22" s="1"/>
  <c r="H69" i="22"/>
  <c r="AG68" i="22" l="1"/>
  <c r="F69" i="22" l="1"/>
  <c r="AK68" i="22"/>
  <c r="G69" i="22" s="1"/>
  <c r="T69" i="22" a="1"/>
  <c r="T69" i="22" l="1"/>
  <c r="Q69" i="22" l="1"/>
  <c r="U69" i="22"/>
  <c r="AD69" i="22"/>
  <c r="C70" i="22" s="1"/>
  <c r="V69" i="22"/>
  <c r="AF69" i="22" s="1"/>
  <c r="E70" i="22" s="1"/>
  <c r="W69" i="22" a="1"/>
  <c r="W69" i="22" l="1"/>
  <c r="AE69" i="22"/>
  <c r="D70" i="22" s="1"/>
  <c r="P69" i="22" a="1"/>
  <c r="P69" i="22" l="1"/>
  <c r="AC69" i="22"/>
  <c r="B70" i="22" l="1"/>
  <c r="R69" i="22"/>
  <c r="S69" i="22" s="1"/>
  <c r="K69" i="22" s="1"/>
  <c r="I70" i="22"/>
  <c r="X69" i="22" l="1"/>
  <c r="Y69" i="22" s="1"/>
  <c r="H70" i="22"/>
  <c r="AG69" i="22" l="1"/>
  <c r="F70" i="22" l="1"/>
  <c r="AK69" i="22"/>
  <c r="G70" i="22" s="1"/>
  <c r="T70" i="22" a="1"/>
  <c r="T70" i="22" l="1"/>
  <c r="Q70" i="22" l="1"/>
  <c r="V70" i="22"/>
  <c r="AF70" i="22" s="1"/>
  <c r="E71" i="22" s="1"/>
  <c r="AD70" i="22"/>
  <c r="C71" i="22" s="1"/>
  <c r="U70" i="22"/>
  <c r="W70" i="22" a="1"/>
  <c r="W70" i="22" l="1"/>
  <c r="AE70" i="22"/>
  <c r="D71" i="22" s="1"/>
  <c r="P70" i="22" a="1"/>
  <c r="P70" i="22" l="1"/>
  <c r="AC70" i="22"/>
  <c r="I71" i="22" l="1"/>
  <c r="R70" i="22"/>
  <c r="S70" i="22" s="1"/>
  <c r="K70" i="22" s="1"/>
  <c r="B71" i="22"/>
  <c r="H71" i="22" l="1"/>
  <c r="X70" i="22"/>
  <c r="Y70" i="22" s="1"/>
  <c r="AG70" i="22" l="1"/>
  <c r="F71" i="22" s="1"/>
  <c r="AK70" i="22" l="1"/>
  <c r="G71" i="22" s="1"/>
  <c r="T71" i="22" a="1"/>
  <c r="T71" i="22" l="1"/>
  <c r="Q71" i="22"/>
  <c r="AD71" i="22"/>
  <c r="C72" i="22" s="1"/>
  <c r="U71" i="22"/>
  <c r="V71" i="22"/>
  <c r="AF71" i="22" s="1"/>
  <c r="E72" i="22" s="1"/>
  <c r="W71" i="22" a="1"/>
  <c r="W71" i="22" l="1"/>
  <c r="AE71" i="22"/>
  <c r="D72" i="22" s="1"/>
  <c r="P71" i="22" a="1"/>
  <c r="P71" i="22" l="1"/>
  <c r="AC71" i="22"/>
  <c r="I72" i="22" l="1"/>
  <c r="R71" i="22"/>
  <c r="S71" i="22" s="1"/>
  <c r="K71" i="22" s="1"/>
  <c r="B72" i="22"/>
  <c r="X71" i="22" l="1"/>
  <c r="Y71" i="22" s="1"/>
  <c r="H72" i="22"/>
  <c r="AG71" i="22" l="1"/>
  <c r="F72" i="22" l="1"/>
  <c r="AK71" i="22"/>
  <c r="G72" i="22" s="1"/>
  <c r="T72" i="22" a="1"/>
  <c r="T72" i="22" l="1"/>
  <c r="Q72" i="22" l="1"/>
  <c r="AD72" i="22"/>
  <c r="C73" i="22" s="1"/>
  <c r="V72" i="22"/>
  <c r="AF72" i="22" s="1"/>
  <c r="E73" i="22" s="1"/>
  <c r="U72" i="22"/>
  <c r="W72" i="22" a="1"/>
  <c r="W72" i="22" l="1"/>
  <c r="AE72" i="22"/>
  <c r="D73" i="22" s="1"/>
  <c r="P72" i="22" a="1"/>
  <c r="P72" i="22" l="1"/>
  <c r="AC72" i="22"/>
  <c r="B73" i="22" l="1"/>
  <c r="I73" i="22"/>
  <c r="R72" i="22"/>
  <c r="S72" i="22" s="1"/>
  <c r="K72" i="22" s="1"/>
  <c r="X72" i="22" l="1"/>
  <c r="Y72" i="22" s="1"/>
  <c r="H73" i="22"/>
  <c r="AG72" i="22" l="1"/>
  <c r="F73" i="22" l="1"/>
  <c r="AK72" i="22"/>
  <c r="G73" i="22" s="1"/>
  <c r="T73" i="22" a="1"/>
  <c r="T73" i="22" l="1"/>
  <c r="Q73" i="22" l="1"/>
  <c r="AD73" i="22"/>
  <c r="C74" i="22" s="1"/>
  <c r="V73" i="22"/>
  <c r="AF73" i="22" s="1"/>
  <c r="E74" i="22" s="1"/>
  <c r="U73" i="22"/>
  <c r="W73" i="22" a="1"/>
  <c r="W73" i="22" l="1"/>
  <c r="AE73" i="22"/>
  <c r="D74" i="22" s="1"/>
  <c r="P73" i="22" a="1"/>
  <c r="P73" i="22" l="1"/>
  <c r="AC73" i="22"/>
  <c r="B74" i="22" l="1"/>
  <c r="R73" i="22"/>
  <c r="S73" i="22" s="1"/>
  <c r="K73" i="22" s="1"/>
  <c r="I74" i="22"/>
  <c r="H74" i="22" l="1"/>
  <c r="X73" i="22"/>
  <c r="Y73" i="22" s="1"/>
  <c r="AG73" i="22" l="1"/>
  <c r="F74" i="22" l="1"/>
  <c r="AK73" i="22"/>
  <c r="G74" i="22" s="1"/>
  <c r="T74" i="22" a="1"/>
  <c r="T74" i="22" l="1"/>
  <c r="Q74" i="22" l="1"/>
  <c r="U74" i="22"/>
  <c r="V74" i="22"/>
  <c r="AF74" i="22" s="1"/>
  <c r="E75" i="22" s="1"/>
  <c r="AD74" i="22"/>
  <c r="C75" i="22" s="1"/>
  <c r="W74" i="22" a="1"/>
  <c r="W74" i="22" l="1"/>
  <c r="AE74" i="22"/>
  <c r="D75" i="22" s="1"/>
  <c r="P74" i="22" a="1"/>
  <c r="P74" i="22" l="1"/>
  <c r="AC74" i="22"/>
  <c r="B75" i="22" l="1"/>
  <c r="R74" i="22"/>
  <c r="S74" i="22" s="1"/>
  <c r="K74" i="22" s="1"/>
  <c r="I75" i="22"/>
  <c r="H75" i="22" l="1"/>
  <c r="X74" i="22"/>
  <c r="Y74" i="22" s="1"/>
  <c r="AG74" i="22" l="1"/>
  <c r="F75" i="22" l="1"/>
  <c r="AK74" i="22"/>
  <c r="G75" i="22" s="1"/>
  <c r="T75" i="22" a="1"/>
  <c r="T75" i="22" l="1"/>
  <c r="Q75" i="22" l="1"/>
  <c r="AD75" i="22"/>
  <c r="C76" i="22" s="1"/>
  <c r="U75" i="22"/>
  <c r="V75" i="22"/>
  <c r="AF75" i="22" s="1"/>
  <c r="E76" i="22" s="1"/>
  <c r="W75" i="22" a="1"/>
  <c r="W75" i="22" l="1"/>
  <c r="AE75" i="22"/>
  <c r="D76" i="22" s="1"/>
  <c r="P75" i="22" a="1"/>
  <c r="P75" i="22" l="1"/>
  <c r="AC75" i="22"/>
  <c r="I76" i="22" l="1"/>
  <c r="R75" i="22"/>
  <c r="S75" i="22" s="1"/>
  <c r="K75" i="22" s="1"/>
  <c r="B76" i="22"/>
  <c r="H76" i="22" l="1"/>
  <c r="X75" i="22"/>
  <c r="Y75" i="22" s="1"/>
  <c r="AG75" i="22" l="1"/>
  <c r="F76" i="22" l="1"/>
  <c r="AK75" i="22"/>
  <c r="G76" i="22" s="1"/>
  <c r="T76" i="22" a="1"/>
  <c r="T76" i="22" l="1"/>
  <c r="Q76" i="22" l="1"/>
  <c r="V76" i="22"/>
  <c r="AF76" i="22" s="1"/>
  <c r="E77" i="22" s="1"/>
  <c r="AD76" i="22"/>
  <c r="C77" i="22" s="1"/>
  <c r="U76" i="22"/>
  <c r="AE76" i="22" l="1"/>
  <c r="D77" i="22" s="1"/>
  <c r="W76" i="22" a="1"/>
  <c r="W76" i="22" l="1"/>
  <c r="AC76" i="22"/>
  <c r="P76" i="22" a="1"/>
  <c r="P76" i="22" l="1"/>
  <c r="R76" i="22"/>
  <c r="S76" i="22" s="1"/>
  <c r="K76" i="22" s="1"/>
  <c r="I77" i="22"/>
  <c r="B77" i="22"/>
  <c r="X76" i="22" l="1"/>
  <c r="Y76" i="22" s="1"/>
  <c r="H77" i="22"/>
  <c r="AG76" i="22" l="1"/>
  <c r="F77" i="22" s="1"/>
  <c r="AK76" i="22" l="1"/>
  <c r="G77" i="22" s="1"/>
  <c r="T77" i="22" a="1"/>
  <c r="T77" i="22" l="1"/>
  <c r="Q77" i="22"/>
  <c r="V77" i="22"/>
  <c r="AF77" i="22" s="1"/>
  <c r="E78" i="22" s="1"/>
  <c r="U77" i="22"/>
  <c r="AD77" i="22"/>
  <c r="C78" i="22" s="1"/>
  <c r="W77" i="22" a="1"/>
  <c r="W77" i="22" l="1"/>
  <c r="AE77" i="22"/>
  <c r="D78" i="22" s="1"/>
  <c r="P77" i="22" a="1"/>
  <c r="P77" i="22" l="1"/>
  <c r="AC77" i="22"/>
  <c r="R77" i="22" l="1"/>
  <c r="S77" i="22" s="1"/>
  <c r="K77" i="22" s="1"/>
  <c r="I78" i="22"/>
  <c r="B78" i="22"/>
  <c r="X77" i="22" l="1"/>
  <c r="Y77" i="22" s="1"/>
  <c r="H78" i="22"/>
  <c r="AG77" i="22" l="1"/>
  <c r="F78" i="22" l="1"/>
  <c r="AK77" i="22"/>
  <c r="G78" i="22" s="1"/>
  <c r="T78" i="22" a="1"/>
  <c r="T78" i="22" l="1"/>
  <c r="Q78" i="22" l="1"/>
  <c r="U78" i="22"/>
  <c r="AD78" i="22"/>
  <c r="C79" i="22" s="1"/>
  <c r="V78" i="22"/>
  <c r="AF78" i="22" s="1"/>
  <c r="E79" i="22" s="1"/>
  <c r="W78" i="22" a="1"/>
  <c r="W78" i="22" l="1"/>
  <c r="AE78" i="22"/>
  <c r="D79" i="22" s="1"/>
  <c r="P78" i="22" a="1"/>
  <c r="P78" i="22" l="1"/>
  <c r="AC78" i="22"/>
  <c r="B79" i="22" l="1"/>
  <c r="I79" i="22"/>
  <c r="R78" i="22"/>
  <c r="S78" i="22" s="1"/>
  <c r="K78" i="22" s="1"/>
  <c r="H79" i="22" l="1"/>
  <c r="X78" i="22"/>
  <c r="Y78" i="22" s="1"/>
  <c r="AG78" i="22" l="1"/>
  <c r="F79" i="22" l="1"/>
  <c r="AK78" i="22"/>
  <c r="G79" i="22" s="1"/>
  <c r="T79" i="22" a="1"/>
  <c r="T79" i="22" l="1"/>
  <c r="Q79" i="22" l="1"/>
  <c r="V79" i="22"/>
  <c r="AF79" i="22" s="1"/>
  <c r="E80" i="22" s="1"/>
  <c r="AD79" i="22"/>
  <c r="C80" i="22" s="1"/>
  <c r="U79" i="22"/>
  <c r="AE79" i="22" l="1"/>
  <c r="D80" i="22" s="1"/>
  <c r="W79" i="22" a="1"/>
  <c r="W79" i="22" l="1"/>
  <c r="AC79" i="22"/>
  <c r="P79" i="22" a="1"/>
  <c r="P79" i="22" l="1"/>
  <c r="I80" i="22"/>
  <c r="R79" i="22"/>
  <c r="S79" i="22" s="1"/>
  <c r="K79" i="22" s="1"/>
  <c r="B80" i="22"/>
  <c r="H80" i="22" l="1"/>
  <c r="X79" i="22"/>
  <c r="Y79" i="22" s="1"/>
  <c r="AG79" i="22" l="1"/>
  <c r="F80" i="22" l="1"/>
  <c r="AK79" i="22"/>
  <c r="G80" i="22" s="1"/>
  <c r="T80" i="22" a="1"/>
  <c r="T80" i="22" l="1"/>
  <c r="Q80" i="22" l="1"/>
  <c r="U80" i="22"/>
  <c r="AD80" i="22"/>
  <c r="C81" i="22" s="1"/>
  <c r="V80" i="22"/>
  <c r="AF80" i="22" s="1"/>
  <c r="E81" i="22" s="1"/>
  <c r="W80" i="22" a="1"/>
  <c r="W80" i="22" l="1"/>
  <c r="AE80" i="22"/>
  <c r="D81" i="22" s="1"/>
  <c r="P80" i="22" a="1"/>
  <c r="P80" i="22" l="1"/>
  <c r="AC80" i="22"/>
  <c r="B81" i="22" l="1"/>
  <c r="R80" i="22"/>
  <c r="S80" i="22" s="1"/>
  <c r="K80" i="22" s="1"/>
  <c r="I81" i="22"/>
  <c r="X80" i="22" l="1"/>
  <c r="Y80" i="22" s="1"/>
  <c r="H81" i="22"/>
  <c r="AG80" i="22" l="1"/>
  <c r="F81" i="22" l="1"/>
  <c r="AK80" i="22"/>
  <c r="G81" i="22" s="1"/>
  <c r="T81" i="22" a="1"/>
  <c r="T81" i="22" l="1"/>
  <c r="Q81" i="22" l="1"/>
  <c r="U81" i="22"/>
  <c r="V81" i="22"/>
  <c r="AF81" i="22" s="1"/>
  <c r="E82" i="22" s="1"/>
  <c r="AD81" i="22"/>
  <c r="C82" i="22" s="1"/>
  <c r="W81" i="22" a="1"/>
  <c r="W81" i="22" l="1"/>
  <c r="AE81" i="22"/>
  <c r="D82" i="22" s="1"/>
  <c r="P81" i="22" a="1"/>
  <c r="P81" i="22" l="1"/>
  <c r="AC81" i="22"/>
  <c r="B82" i="22" l="1"/>
  <c r="I82" i="22"/>
  <c r="R81" i="22"/>
  <c r="S81" i="22" s="1"/>
  <c r="K81" i="22" s="1"/>
  <c r="X81" i="22" l="1"/>
  <c r="Y81" i="22" s="1"/>
  <c r="H82" i="22"/>
  <c r="AG81" i="22" l="1"/>
  <c r="F82" i="22" l="1"/>
  <c r="AK81" i="22"/>
  <c r="G82" i="22" s="1"/>
  <c r="T82" i="22" a="1"/>
  <c r="T82" i="22" l="1"/>
  <c r="Q82" i="22" l="1"/>
  <c r="U82" i="22"/>
  <c r="V82" i="22"/>
  <c r="AF82" i="22" s="1"/>
  <c r="E83" i="22" s="1"/>
  <c r="AD82" i="22"/>
  <c r="C83" i="22" s="1"/>
  <c r="W82" i="22" a="1"/>
  <c r="W82" i="22" l="1"/>
  <c r="AE82" i="22"/>
  <c r="D83" i="22" s="1"/>
  <c r="P82" i="22" a="1"/>
  <c r="P82" i="22" l="1"/>
  <c r="AC82" i="22"/>
  <c r="B83" i="22" l="1"/>
  <c r="I83" i="22"/>
  <c r="R82" i="22"/>
  <c r="S82" i="22" s="1"/>
  <c r="K82" i="22" s="1"/>
  <c r="H83" i="22" l="1"/>
  <c r="X82" i="22"/>
  <c r="Y82" i="22" s="1"/>
  <c r="AG82" i="22" l="1"/>
  <c r="F83" i="22" l="1"/>
  <c r="AK82" i="22"/>
  <c r="G83" i="22" s="1"/>
  <c r="T83" i="22" a="1"/>
  <c r="T83" i="22" l="1"/>
  <c r="Q83" i="22" l="1"/>
  <c r="U83" i="22"/>
  <c r="AD83" i="22"/>
  <c r="C84" i="22" s="1"/>
  <c r="V83" i="22"/>
  <c r="AF83" i="22" s="1"/>
  <c r="E84" i="22" s="1"/>
  <c r="W83" i="22" a="1"/>
  <c r="W83" i="22" l="1"/>
  <c r="AE83" i="22"/>
  <c r="D84" i="22" s="1"/>
  <c r="P83" i="22" a="1"/>
  <c r="P83" i="22" l="1"/>
  <c r="AC83" i="22"/>
  <c r="B84" i="22" l="1"/>
  <c r="I84" i="22"/>
  <c r="R83" i="22"/>
  <c r="S83" i="22" s="1"/>
  <c r="K83" i="22" s="1"/>
  <c r="H84" i="22" l="1"/>
  <c r="X83" i="22"/>
  <c r="Y83" i="22" s="1"/>
  <c r="AG83" i="22" l="1"/>
  <c r="F84" i="22" l="1"/>
  <c r="AK83" i="22"/>
  <c r="G84" i="22" s="1"/>
  <c r="T84" i="22" a="1"/>
  <c r="T84" i="22" l="1"/>
  <c r="Q84" i="22" l="1"/>
  <c r="U84" i="22"/>
  <c r="V84" i="22"/>
  <c r="AF84" i="22" s="1"/>
  <c r="E85" i="22" s="1"/>
  <c r="AD84" i="22"/>
  <c r="C85" i="22" s="1"/>
  <c r="W84" i="22" a="1"/>
  <c r="W84" i="22" l="1"/>
  <c r="AE84" i="22"/>
  <c r="D85" i="22" s="1"/>
  <c r="P84" i="22" a="1"/>
  <c r="P84" i="22" l="1"/>
  <c r="AC84" i="22"/>
  <c r="B85" i="22" l="1"/>
  <c r="I85" i="22"/>
  <c r="R84" i="22"/>
  <c r="S84" i="22" s="1"/>
  <c r="K84" i="22" s="1"/>
  <c r="X84" i="22" l="1"/>
  <c r="Y84" i="22" s="1"/>
  <c r="H85" i="22"/>
  <c r="AG84" i="22" l="1"/>
  <c r="F85" i="22" l="1"/>
  <c r="AK84" i="22"/>
  <c r="G85" i="22" s="1"/>
  <c r="T85" i="22" a="1"/>
  <c r="T85" i="22" l="1"/>
  <c r="Q85" i="22" l="1"/>
  <c r="AD85" i="22"/>
  <c r="C86" i="22" s="1"/>
  <c r="V85" i="22"/>
  <c r="AF85" i="22" s="1"/>
  <c r="E86" i="22" s="1"/>
  <c r="U85" i="22"/>
  <c r="W85" i="22" a="1"/>
  <c r="W85" i="22" l="1"/>
  <c r="AE85" i="22"/>
  <c r="D86" i="22" s="1"/>
  <c r="P85" i="22" a="1"/>
  <c r="P85" i="22" l="1"/>
  <c r="AC85" i="22"/>
  <c r="B86" i="22" l="1"/>
  <c r="I86" i="22"/>
  <c r="R85" i="22"/>
  <c r="S85" i="22" s="1"/>
  <c r="K85" i="22" s="1"/>
  <c r="X85" i="22" l="1"/>
  <c r="Y85" i="22" s="1"/>
  <c r="H86" i="22"/>
  <c r="AG85" i="22" l="1"/>
  <c r="F86" i="22" l="1"/>
  <c r="AK85" i="22"/>
  <c r="G86" i="22" s="1"/>
  <c r="T86" i="22" a="1"/>
  <c r="T86" i="22" l="1"/>
  <c r="Q86" i="22" l="1"/>
  <c r="U86" i="22"/>
  <c r="AD86" i="22"/>
  <c r="C87" i="22" s="1"/>
  <c r="V86" i="22"/>
  <c r="AF86" i="22" s="1"/>
  <c r="E87" i="22" s="1"/>
  <c r="W86" i="22" a="1"/>
  <c r="W86" i="22" l="1"/>
  <c r="AE86" i="22"/>
  <c r="D87" i="22" s="1"/>
  <c r="P86" i="22" a="1"/>
  <c r="P86" i="22" l="1"/>
  <c r="AC86" i="22"/>
  <c r="B87" i="22" l="1"/>
  <c r="I87" i="22"/>
  <c r="R86" i="22"/>
  <c r="S86" i="22" s="1"/>
  <c r="K86" i="22" s="1"/>
  <c r="X86" i="22" l="1"/>
  <c r="Y86" i="22" s="1"/>
  <c r="H87" i="22"/>
  <c r="AG86" i="22" l="1"/>
  <c r="F87" i="22" l="1"/>
  <c r="AK86" i="22"/>
  <c r="G87" i="22" s="1"/>
  <c r="T87" i="22" a="1"/>
  <c r="T87" i="22" l="1"/>
  <c r="Q87" i="22"/>
  <c r="V87" i="22" l="1"/>
  <c r="AF87" i="22" s="1"/>
  <c r="E88" i="22" s="1"/>
  <c r="U87" i="22"/>
  <c r="AD87" i="22"/>
  <c r="C88" i="22" s="1"/>
  <c r="W87" i="22" a="1"/>
  <c r="W87" i="22" l="1"/>
  <c r="AE87" i="22"/>
  <c r="D88" i="22" s="1"/>
  <c r="P87" i="22" a="1"/>
  <c r="P87" i="22" l="1"/>
  <c r="AC87" i="22"/>
  <c r="B88" i="22" l="1"/>
  <c r="I88" i="22"/>
  <c r="R87" i="22"/>
  <c r="S87" i="22" s="1"/>
  <c r="K87" i="22" s="1"/>
  <c r="X87" i="22" l="1"/>
  <c r="Y87" i="22" s="1"/>
  <c r="H88" i="22"/>
  <c r="AG87" i="22" l="1"/>
  <c r="F88" i="22" l="1"/>
  <c r="AK87" i="22"/>
  <c r="G88" i="22" s="1"/>
  <c r="T88" i="22" a="1"/>
  <c r="T88" i="22" l="1"/>
  <c r="Q88" i="22" l="1"/>
  <c r="V88" i="22"/>
  <c r="AF88" i="22" s="1"/>
  <c r="E89" i="22" s="1"/>
  <c r="U88" i="22"/>
  <c r="AD88" i="22"/>
  <c r="C89" i="22" s="1"/>
  <c r="W88" i="22" a="1"/>
  <c r="W88" i="22" l="1"/>
  <c r="AE88" i="22"/>
  <c r="D89" i="22" s="1"/>
  <c r="P88" i="22" a="1"/>
  <c r="P88" i="22" l="1"/>
  <c r="AC88" i="22"/>
  <c r="B89" i="22" l="1"/>
  <c r="I89" i="22"/>
  <c r="R88" i="22"/>
  <c r="S88" i="22" s="1"/>
  <c r="K88" i="22" s="1"/>
  <c r="H89" i="22" l="1"/>
  <c r="X88" i="22"/>
  <c r="Y88" i="22" s="1"/>
  <c r="AG88" i="22" l="1"/>
  <c r="F89" i="22" s="1"/>
  <c r="AK88" i="22" l="1"/>
  <c r="G89" i="22" s="1"/>
  <c r="T89" i="22" a="1"/>
  <c r="T89" i="22" l="1"/>
  <c r="U89" i="22" s="1"/>
  <c r="Q89" i="22"/>
  <c r="V89" i="22"/>
  <c r="AF89" i="22" s="1"/>
  <c r="E90" i="22" s="1"/>
  <c r="W89" i="22" a="1"/>
  <c r="AD89" i="22" l="1"/>
  <c r="C90" i="22" s="1"/>
  <c r="W89" i="22"/>
  <c r="AE89" i="22"/>
  <c r="D90" i="22" s="1"/>
  <c r="P89" i="22" a="1"/>
  <c r="P89" i="22" l="1"/>
  <c r="AC89" i="22"/>
  <c r="B90" i="22" l="1"/>
  <c r="R89" i="22"/>
  <c r="S89" i="22" s="1"/>
  <c r="K89" i="22" s="1"/>
  <c r="I90" i="22"/>
  <c r="H90" i="22" l="1"/>
  <c r="X89" i="22"/>
  <c r="Y89" i="22" s="1"/>
  <c r="AG89" i="22" l="1"/>
  <c r="F90" i="22" l="1"/>
  <c r="AK89" i="22"/>
  <c r="G90" i="22" s="1"/>
  <c r="T90" i="22" a="1"/>
  <c r="T90" i="22" l="1"/>
  <c r="Q90" i="22" l="1"/>
  <c r="AD90" i="22"/>
  <c r="C91" i="22" s="1"/>
  <c r="U90" i="22"/>
  <c r="V90" i="22"/>
  <c r="AF90" i="22" s="1"/>
  <c r="E91" i="22" s="1"/>
  <c r="W90" i="22" a="1"/>
  <c r="W90" i="22" l="1"/>
  <c r="AE90" i="22"/>
  <c r="D91" i="22" s="1"/>
  <c r="P90" i="22" a="1"/>
  <c r="P90" i="22" l="1"/>
  <c r="AC90" i="22"/>
  <c r="B91" i="22" l="1"/>
  <c r="I91" i="22"/>
  <c r="R90" i="22"/>
  <c r="S90" i="22" s="1"/>
  <c r="K90" i="22" s="1"/>
  <c r="H91" i="22" l="1"/>
  <c r="X90" i="22"/>
  <c r="Y90" i="22" s="1"/>
  <c r="AG90" i="22" l="1"/>
  <c r="F91" i="22" s="1"/>
  <c r="AK90" i="22" l="1"/>
  <c r="G91" i="22" s="1"/>
  <c r="T91" i="22" a="1"/>
  <c r="T91" i="22" l="1"/>
  <c r="Q91" i="22" s="1"/>
  <c r="V91" i="22"/>
  <c r="AF91" i="22" s="1"/>
  <c r="E92" i="22" s="1"/>
  <c r="U91" i="22" l="1"/>
  <c r="AD91" i="22"/>
  <c r="C92" i="22" s="1"/>
  <c r="W91" i="22" a="1"/>
  <c r="W91" i="22" l="1"/>
  <c r="AE91" i="22"/>
  <c r="D92" i="22" s="1"/>
  <c r="AC91" i="22"/>
  <c r="P91" i="22" a="1"/>
  <c r="P91" i="22" l="1"/>
  <c r="I92" i="22" s="1"/>
  <c r="B92" i="22"/>
  <c r="R91" i="22"/>
  <c r="S91" i="22" s="1"/>
  <c r="K91" i="22" s="1"/>
  <c r="H92" i="22" l="1"/>
  <c r="X91" i="22"/>
  <c r="Y91" i="22" s="1"/>
  <c r="AG91" i="22" l="1"/>
  <c r="F92" i="22" l="1"/>
  <c r="AK91" i="22"/>
  <c r="G92" i="22" s="1"/>
  <c r="T92" i="22" a="1"/>
  <c r="T92" i="22" l="1"/>
  <c r="Q92" i="22" l="1"/>
  <c r="AD92" i="22"/>
  <c r="C93" i="22" s="1"/>
  <c r="V92" i="22"/>
  <c r="AF92" i="22" s="1"/>
  <c r="E93" i="22" s="1"/>
  <c r="U92" i="22"/>
  <c r="W92" i="22" a="1"/>
  <c r="W92" i="22" l="1"/>
  <c r="AE92" i="22"/>
  <c r="D93" i="22" s="1"/>
  <c r="P92" i="22" a="1"/>
  <c r="P92" i="22" l="1"/>
  <c r="AC92" i="22"/>
  <c r="B93" i="22" l="1"/>
  <c r="R92" i="22"/>
  <c r="S92" i="22" s="1"/>
  <c r="K92" i="22" s="1"/>
  <c r="I93" i="22"/>
  <c r="X92" i="22" l="1"/>
  <c r="Y92" i="22" s="1"/>
  <c r="H93" i="22"/>
  <c r="AG92" i="22" l="1"/>
  <c r="F93" i="22" l="1"/>
  <c r="AK92" i="22"/>
  <c r="G93" i="22" s="1"/>
  <c r="T93" i="22" a="1"/>
  <c r="T93" i="22" l="1"/>
  <c r="Q93" i="22" l="1"/>
  <c r="U93" i="22"/>
  <c r="AD93" i="22"/>
  <c r="C94" i="22" s="1"/>
  <c r="V93" i="22"/>
  <c r="AF93" i="22" s="1"/>
  <c r="E94" i="22" s="1"/>
  <c r="W93" i="22" a="1"/>
  <c r="W93" i="22" l="1"/>
  <c r="AE93" i="22"/>
  <c r="D94" i="22" s="1"/>
  <c r="P93" i="22" a="1"/>
  <c r="P93" i="22" l="1"/>
  <c r="AC93" i="22"/>
  <c r="B94" i="22" l="1"/>
  <c r="R93" i="22"/>
  <c r="S93" i="22" s="1"/>
  <c r="K93" i="22" s="1"/>
  <c r="I94" i="22"/>
  <c r="X93" i="22" l="1"/>
  <c r="Y93" i="22" s="1"/>
  <c r="H94" i="22"/>
  <c r="AG93" i="22" l="1"/>
  <c r="F94" i="22" l="1"/>
  <c r="AK93" i="22"/>
  <c r="G94" i="22" s="1"/>
  <c r="T94" i="22" a="1"/>
  <c r="T94" i="22" l="1"/>
  <c r="Q94" i="22" l="1"/>
  <c r="U94" i="22"/>
  <c r="AD94" i="22"/>
  <c r="C95" i="22" s="1"/>
  <c r="V94" i="22"/>
  <c r="AF94" i="22" s="1"/>
  <c r="E95" i="22" s="1"/>
  <c r="AE94" i="22" l="1"/>
  <c r="D95" i="22" s="1"/>
  <c r="W94" i="22" a="1"/>
  <c r="W94" i="22" l="1"/>
  <c r="AC94" i="22" s="1"/>
  <c r="P94" i="22" a="1"/>
  <c r="P94" i="22" l="1"/>
  <c r="I95" i="22" s="1"/>
  <c r="B95" i="22"/>
  <c r="R94" i="22"/>
  <c r="S94" i="22" s="1"/>
  <c r="K94" i="22" s="1"/>
  <c r="X94" i="22" l="1"/>
  <c r="Y94" i="22" s="1"/>
  <c r="H95" i="22"/>
  <c r="AG94" i="22" l="1"/>
  <c r="F95" i="22" l="1"/>
  <c r="AK94" i="22"/>
  <c r="G95" i="22" s="1"/>
  <c r="T95" i="22" a="1"/>
  <c r="T95" i="22" l="1"/>
  <c r="Q95" i="22" l="1"/>
  <c r="U95" i="22"/>
  <c r="V95" i="22"/>
  <c r="AF95" i="22" s="1"/>
  <c r="E96" i="22" s="1"/>
  <c r="AD95" i="22"/>
  <c r="C96" i="22" s="1"/>
  <c r="W95" i="22" a="1"/>
  <c r="W95" i="22" l="1"/>
  <c r="AE95" i="22"/>
  <c r="D96" i="22" s="1"/>
  <c r="P95" i="22" a="1"/>
  <c r="P95" i="22" l="1"/>
  <c r="AC95" i="22"/>
  <c r="B96" i="22" l="1"/>
  <c r="R95" i="22"/>
  <c r="S95" i="22" s="1"/>
  <c r="K95" i="22" s="1"/>
  <c r="I96" i="22"/>
  <c r="X95" i="22" l="1"/>
  <c r="Y95" i="22" s="1"/>
  <c r="H96" i="22"/>
  <c r="AG95" i="22" l="1"/>
  <c r="F96" i="22" l="1"/>
  <c r="AK95" i="22"/>
  <c r="G96" i="22" s="1"/>
  <c r="T96" i="22" a="1"/>
  <c r="T96" i="22" l="1"/>
  <c r="Q96" i="22" l="1"/>
  <c r="AD96" i="22"/>
  <c r="C97" i="22" s="1"/>
  <c r="V96" i="22"/>
  <c r="AF96" i="22" s="1"/>
  <c r="E97" i="22" s="1"/>
  <c r="U96" i="22"/>
  <c r="W96" i="22" a="1"/>
  <c r="W96" i="22" l="1"/>
  <c r="AE96" i="22"/>
  <c r="D97" i="22" s="1"/>
  <c r="P96" i="22" a="1"/>
  <c r="P96" i="22" l="1"/>
  <c r="AC96" i="22"/>
  <c r="I97" i="22" l="1"/>
  <c r="R96" i="22"/>
  <c r="S96" i="22" s="1"/>
  <c r="K96" i="22" s="1"/>
  <c r="B97" i="22"/>
  <c r="H97" i="22" l="1"/>
  <c r="X96" i="22"/>
  <c r="Y96" i="22" s="1"/>
  <c r="AG96" i="22" l="1"/>
  <c r="F97" i="22" l="1"/>
  <c r="AK96" i="22"/>
  <c r="G97" i="22" s="1"/>
  <c r="T97" i="22" a="1"/>
  <c r="T97" i="22" l="1"/>
  <c r="Q97" i="22" l="1"/>
  <c r="AD97" i="22"/>
  <c r="C98" i="22" s="1"/>
  <c r="U97" i="22"/>
  <c r="V97" i="22"/>
  <c r="AF97" i="22" s="1"/>
  <c r="E98" i="22" s="1"/>
  <c r="W97" i="22" a="1"/>
  <c r="W97" i="22" l="1"/>
  <c r="AE97" i="22"/>
  <c r="D98" i="22" s="1"/>
  <c r="P97" i="22" a="1"/>
  <c r="P97" i="22" l="1"/>
  <c r="AC97" i="22"/>
  <c r="B98" i="22" l="1"/>
  <c r="R97" i="22"/>
  <c r="S97" i="22" s="1"/>
  <c r="K97" i="22" s="1"/>
  <c r="I98" i="22"/>
  <c r="X97" i="22" l="1"/>
  <c r="Y97" i="22" s="1"/>
  <c r="H98" i="22"/>
  <c r="AG97" i="22" l="1"/>
  <c r="F98" i="22" l="1"/>
  <c r="AK97" i="22"/>
  <c r="G98" i="22" s="1"/>
  <c r="T98" i="22" a="1"/>
  <c r="T98" i="22" l="1"/>
  <c r="Q98" i="22" l="1"/>
  <c r="U98" i="22"/>
  <c r="AD98" i="22"/>
  <c r="C99" i="22" s="1"/>
  <c r="V98" i="22"/>
  <c r="AF98" i="22" s="1"/>
  <c r="E99" i="22" s="1"/>
  <c r="W98" i="22" a="1"/>
  <c r="W98" i="22" l="1"/>
  <c r="AE98" i="22"/>
  <c r="D99" i="22" s="1"/>
  <c r="P98" i="22" a="1"/>
  <c r="P98" i="22" l="1"/>
  <c r="AC98" i="22"/>
  <c r="I99" i="22" l="1"/>
  <c r="R98" i="22"/>
  <c r="S98" i="22" s="1"/>
  <c r="K98" i="22" s="1"/>
  <c r="B99" i="22"/>
  <c r="H99" i="22" l="1"/>
  <c r="X98" i="22"/>
  <c r="Y98" i="22" s="1"/>
  <c r="AG98" i="22" l="1"/>
  <c r="F99" i="22" l="1"/>
  <c r="AK98" i="22"/>
  <c r="G99" i="22" s="1"/>
  <c r="T99" i="22" a="1"/>
  <c r="T99" i="22" l="1"/>
  <c r="Q99" i="22" l="1"/>
  <c r="U99" i="22"/>
  <c r="V99" i="22"/>
  <c r="AF99" i="22" s="1"/>
  <c r="E100" i="22" s="1"/>
  <c r="AD99" i="22"/>
  <c r="C100" i="22" s="1"/>
  <c r="W99" i="22" a="1"/>
  <c r="W99" i="22" l="1"/>
  <c r="AE99" i="22"/>
  <c r="D100" i="22" s="1"/>
  <c r="P99" i="22" a="1"/>
  <c r="P99" i="22" l="1"/>
  <c r="AC99" i="22"/>
  <c r="B100" i="22" l="1"/>
  <c r="R99" i="22"/>
  <c r="S99" i="22" s="1"/>
  <c r="K99" i="22" s="1"/>
  <c r="I100" i="22"/>
  <c r="X99" i="22" l="1"/>
  <c r="Y99" i="22" s="1"/>
  <c r="H100" i="22"/>
  <c r="AG99" i="22" l="1"/>
  <c r="F100" i="22" l="1"/>
  <c r="AK99" i="22"/>
  <c r="G100" i="22" s="1"/>
  <c r="T100" i="22" a="1"/>
  <c r="T100" i="22" l="1"/>
  <c r="Q100" i="22" l="1"/>
  <c r="U100" i="22"/>
  <c r="AD100" i="22"/>
  <c r="C101" i="22" s="1"/>
  <c r="V100" i="22"/>
  <c r="AF100" i="22" s="1"/>
  <c r="E101" i="22" s="1"/>
  <c r="W100" i="22" a="1"/>
  <c r="W100" i="22" l="1"/>
  <c r="AE100" i="22"/>
  <c r="D101" i="22" s="1"/>
  <c r="P100" i="22" a="1"/>
  <c r="P100" i="22" l="1"/>
  <c r="AC100" i="22"/>
  <c r="R100" i="22" l="1"/>
  <c r="S100" i="22" s="1"/>
  <c r="K100" i="22" s="1"/>
  <c r="I101" i="22"/>
  <c r="B101" i="22"/>
  <c r="H101" i="22" l="1"/>
  <c r="X100" i="22"/>
  <c r="Y100" i="22" s="1"/>
  <c r="AG100" i="22" l="1"/>
  <c r="F101" i="22" l="1"/>
  <c r="AK100" i="22"/>
  <c r="G101" i="22" s="1"/>
  <c r="T101" i="22" a="1"/>
  <c r="T101" i="22" l="1"/>
  <c r="Q101" i="22" l="1"/>
  <c r="AD101" i="22"/>
  <c r="C102" i="22" s="1"/>
  <c r="V101" i="22"/>
  <c r="AF101" i="22" s="1"/>
  <c r="E102" i="22" s="1"/>
  <c r="U101" i="22"/>
  <c r="W101" i="22" a="1"/>
  <c r="W101" i="22" l="1"/>
  <c r="AE101" i="22"/>
  <c r="D102" i="22" s="1"/>
  <c r="P101" i="22" a="1"/>
  <c r="P101" i="22" l="1"/>
  <c r="AC101" i="22"/>
  <c r="B102" i="22" l="1"/>
  <c r="I102" i="22"/>
  <c r="R101" i="22"/>
  <c r="S101" i="22" s="1"/>
  <c r="K101" i="22" s="1"/>
  <c r="X101" i="22" l="1"/>
  <c r="Y101" i="22" s="1"/>
  <c r="H102" i="22"/>
  <c r="AG101" i="22" l="1"/>
  <c r="F102" i="22" l="1"/>
  <c r="AK101" i="22"/>
  <c r="G102" i="22" s="1"/>
  <c r="T102" i="22" a="1"/>
  <c r="T102" i="22" l="1"/>
  <c r="Q102" i="22" l="1"/>
  <c r="U102" i="22"/>
  <c r="AD102" i="22"/>
  <c r="C103" i="22" s="1"/>
  <c r="V102" i="22"/>
  <c r="AF102" i="22" s="1"/>
  <c r="E103" i="22" s="1"/>
  <c r="W102" i="22" a="1"/>
  <c r="W102" i="22" l="1"/>
  <c r="AE102" i="22"/>
  <c r="D103" i="22" s="1"/>
  <c r="P102" i="22" a="1"/>
  <c r="P102" i="22" l="1"/>
  <c r="AC102" i="22"/>
  <c r="B103" i="22" l="1"/>
  <c r="I103" i="22"/>
  <c r="R102" i="22"/>
  <c r="S102" i="22" s="1"/>
  <c r="K102" i="22" s="1"/>
  <c r="X102" i="22" l="1"/>
  <c r="Y102" i="22" s="1"/>
  <c r="H103" i="22"/>
  <c r="AG102" i="22" l="1"/>
  <c r="F103" i="22" l="1"/>
  <c r="AK102" i="22"/>
  <c r="G103" i="22" s="1"/>
  <c r="T103" i="22" a="1"/>
  <c r="T103" i="22" l="1"/>
  <c r="Q103" i="22" l="1"/>
  <c r="U103" i="22"/>
  <c r="AD103" i="22"/>
  <c r="C104" i="22" s="1"/>
  <c r="V103" i="22"/>
  <c r="AF103" i="22" s="1"/>
  <c r="E104" i="22" s="1"/>
  <c r="W103" i="22" a="1"/>
  <c r="W103" i="22" l="1"/>
  <c r="AE103" i="22"/>
  <c r="D104" i="22" s="1"/>
  <c r="P103" i="22" a="1"/>
  <c r="P103" i="22" l="1"/>
  <c r="AC103" i="22"/>
  <c r="B104" i="22" l="1"/>
  <c r="I104" i="22"/>
  <c r="R103" i="22"/>
  <c r="S103" i="22" s="1"/>
  <c r="K103" i="22" s="1"/>
  <c r="X103" i="22" l="1"/>
  <c r="Y103" i="22" s="1"/>
  <c r="H104" i="22"/>
  <c r="AG103" i="22" l="1"/>
  <c r="F104" i="22" l="1"/>
  <c r="AK103" i="22"/>
  <c r="G104" i="22" s="1"/>
  <c r="T104" i="22" a="1"/>
  <c r="T104" i="22" l="1"/>
  <c r="Q104" i="22" l="1"/>
  <c r="U104" i="22"/>
  <c r="V104" i="22"/>
  <c r="AF104" i="22" s="1"/>
  <c r="E105" i="22" s="1"/>
  <c r="AD104" i="22"/>
  <c r="C105" i="22" s="1"/>
  <c r="W104" i="22" a="1"/>
  <c r="W104" i="22" l="1"/>
  <c r="AE104" i="22"/>
  <c r="D105" i="22" s="1"/>
  <c r="P104" i="22" a="1"/>
  <c r="P104" i="22" l="1"/>
  <c r="AC104" i="22"/>
  <c r="B105" i="22" l="1"/>
  <c r="R104" i="22"/>
  <c r="S104" i="22" s="1"/>
  <c r="K104" i="22" s="1"/>
  <c r="I105" i="22"/>
  <c r="X104" i="22" l="1"/>
  <c r="Y104" i="22" s="1"/>
  <c r="H105" i="22"/>
  <c r="AG104" i="22" l="1"/>
  <c r="F105" i="22" l="1"/>
  <c r="AK104" i="22"/>
  <c r="G105" i="22" s="1"/>
  <c r="T105" i="22" a="1"/>
  <c r="T105" i="22" l="1"/>
  <c r="Q105" i="22" l="1"/>
  <c r="V105" i="22"/>
  <c r="AF105" i="22" s="1"/>
  <c r="E106" i="22" s="1"/>
  <c r="U105" i="22"/>
  <c r="AD105" i="22"/>
  <c r="C106" i="22" s="1"/>
  <c r="W105" i="22" a="1"/>
  <c r="W105" i="22" l="1"/>
  <c r="AE105" i="22"/>
  <c r="D106" i="22" s="1"/>
  <c r="P105" i="22" a="1"/>
  <c r="P105" i="22" l="1"/>
  <c r="AC105" i="22"/>
  <c r="B106" i="22" l="1"/>
  <c r="I106" i="22"/>
  <c r="R105" i="22"/>
  <c r="S105" i="22" s="1"/>
  <c r="K105" i="22" s="1"/>
  <c r="X105" i="22" l="1"/>
  <c r="Y105" i="22" s="1"/>
  <c r="H106" i="22"/>
  <c r="AG105" i="22" l="1"/>
  <c r="F106" i="22" l="1"/>
  <c r="AK105" i="22"/>
  <c r="G106" i="22" s="1"/>
  <c r="T106" i="22" a="1"/>
  <c r="T106" i="22" l="1"/>
  <c r="Q106" i="22" l="1"/>
  <c r="AD106" i="22"/>
  <c r="C107" i="22" s="1"/>
  <c r="U106" i="22"/>
  <c r="V106" i="22"/>
  <c r="AF106" i="22" s="1"/>
  <c r="E107" i="22" s="1"/>
  <c r="W106" i="22" a="1"/>
  <c r="W106" i="22" l="1"/>
  <c r="AE106" i="22"/>
  <c r="D107" i="22" s="1"/>
  <c r="P106" i="22" a="1"/>
  <c r="P106" i="22" l="1"/>
  <c r="AC106" i="22"/>
  <c r="B107" i="22" l="1"/>
  <c r="R106" i="22"/>
  <c r="S106" i="22" s="1"/>
  <c r="K106" i="22" s="1"/>
  <c r="I107" i="22"/>
  <c r="H107" i="22" l="1"/>
  <c r="X106" i="22"/>
  <c r="Y106" i="22" s="1"/>
  <c r="AG106" i="22" l="1"/>
  <c r="AK106" i="22" s="1"/>
  <c r="G107" i="22" s="1"/>
  <c r="T107" i="22" a="1"/>
  <c r="F107" i="22" l="1"/>
  <c r="T107" i="22"/>
  <c r="Q107" i="22" l="1"/>
  <c r="V107" i="22"/>
  <c r="AF107" i="22" s="1"/>
  <c r="E108" i="22" s="1"/>
  <c r="AD107" i="22"/>
  <c r="C108" i="22" s="1"/>
  <c r="U107" i="22"/>
  <c r="W107" i="22" a="1"/>
  <c r="W107" i="22" l="1"/>
  <c r="AE107" i="22"/>
  <c r="D108" i="22" s="1"/>
  <c r="P107" i="22" a="1"/>
  <c r="P107" i="22" l="1"/>
  <c r="AC107" i="22"/>
  <c r="I108" i="22" l="1"/>
  <c r="R107" i="22"/>
  <c r="S107" i="22" s="1"/>
  <c r="K107" i="22" s="1"/>
  <c r="B108" i="22"/>
  <c r="X107" i="22" l="1"/>
  <c r="Y107" i="22" s="1"/>
  <c r="H108" i="22"/>
  <c r="AG107" i="22" l="1"/>
  <c r="F108" i="22" l="1"/>
  <c r="AK107" i="22"/>
  <c r="G108" i="22" s="1"/>
  <c r="T108" i="22" a="1"/>
  <c r="T108" i="22" l="1"/>
  <c r="Q108" i="22" l="1"/>
  <c r="AD108" i="22"/>
  <c r="C109" i="22" s="1"/>
  <c r="U108" i="22"/>
  <c r="V108" i="22"/>
  <c r="AF108" i="22" s="1"/>
  <c r="E109" i="22" s="1"/>
  <c r="W108" i="22" a="1"/>
  <c r="W108" i="22" l="1"/>
  <c r="AE108" i="22"/>
  <c r="D109" i="22" s="1"/>
  <c r="P108" i="22" a="1"/>
  <c r="P108" i="22" l="1"/>
  <c r="AC108" i="22"/>
  <c r="B109" i="22" l="1"/>
  <c r="I109" i="22"/>
  <c r="R108" i="22"/>
  <c r="S108" i="22" s="1"/>
  <c r="K108" i="22" s="1"/>
  <c r="X108" i="22" l="1"/>
  <c r="Y108" i="22" s="1"/>
  <c r="H109" i="22"/>
  <c r="AG108" i="22" l="1"/>
  <c r="F109" i="22" l="1"/>
  <c r="AK108" i="22"/>
  <c r="G109" i="22" s="1"/>
  <c r="T109" i="22" a="1"/>
  <c r="T109" i="22" l="1"/>
  <c r="Q109" i="22" l="1"/>
  <c r="U109" i="22"/>
  <c r="V109" i="22"/>
  <c r="AF109" i="22" s="1"/>
  <c r="E110" i="22" s="1"/>
  <c r="AD109" i="22"/>
  <c r="C110" i="22" s="1"/>
  <c r="W109" i="22" a="1"/>
  <c r="W109" i="22" l="1"/>
  <c r="AE109" i="22"/>
  <c r="D110" i="22" s="1"/>
  <c r="P109" i="22" a="1"/>
  <c r="P109" i="22" l="1"/>
  <c r="AC109" i="22"/>
  <c r="I110" i="22" l="1"/>
  <c r="R109" i="22"/>
  <c r="S109" i="22" s="1"/>
  <c r="K109" i="22" s="1"/>
  <c r="B110" i="22"/>
  <c r="H110" i="22" l="1"/>
  <c r="X109" i="22"/>
  <c r="Y109" i="22" s="1"/>
  <c r="AG109" i="22" l="1"/>
  <c r="F110" i="22" s="1"/>
  <c r="AK109" i="22" l="1"/>
  <c r="G110" i="22" s="1"/>
  <c r="T110" i="22" a="1"/>
  <c r="T110" i="22" l="1"/>
  <c r="Q110" i="22" s="1"/>
  <c r="V110" i="22" l="1"/>
  <c r="AF110" i="22" s="1"/>
  <c r="E111" i="22" s="1"/>
  <c r="U110" i="22"/>
  <c r="AE110" i="22" s="1"/>
  <c r="D111" i="22" s="1"/>
  <c r="AD110" i="22"/>
  <c r="C111" i="22" s="1"/>
  <c r="W110" i="22" l="1" a="1"/>
  <c r="W110" i="22" l="1"/>
  <c r="P110" i="22" a="1"/>
  <c r="P110" i="22" l="1"/>
  <c r="AC110" i="22"/>
  <c r="B111" i="22" l="1"/>
  <c r="R110" i="22"/>
  <c r="S110" i="22" s="1"/>
  <c r="K110" i="22" s="1"/>
  <c r="I111" i="22"/>
  <c r="X110" i="22" l="1"/>
  <c r="Y110" i="22" s="1"/>
  <c r="H111" i="22"/>
  <c r="AG110" i="22" l="1"/>
  <c r="F111" i="22" l="1"/>
  <c r="AK110" i="22"/>
  <c r="G111" i="22" s="1"/>
  <c r="T111" i="22" l="1" a="1"/>
  <c r="T111" i="22" l="1"/>
  <c r="Q111" i="22" l="1"/>
  <c r="V111" i="22"/>
  <c r="AF111" i="22" s="1"/>
  <c r="E112" i="22" s="1"/>
  <c r="AD111" i="22"/>
  <c r="C112" i="22" s="1"/>
  <c r="U111" i="22"/>
  <c r="AE111" i="22" s="1"/>
  <c r="D112" i="22" s="1"/>
  <c r="W111" i="22" a="1"/>
  <c r="W111" i="22" l="1"/>
  <c r="P111" i="22" a="1"/>
  <c r="P111" i="22" l="1"/>
  <c r="AC111" i="22"/>
  <c r="R111" i="22" l="1"/>
  <c r="S111" i="22" s="1"/>
  <c r="K111" i="22" s="1"/>
  <c r="I112" i="22"/>
  <c r="B112" i="22"/>
  <c r="H112" i="22" l="1"/>
  <c r="X111" i="22"/>
  <c r="Y111" i="22" s="1"/>
  <c r="AG111" i="22" l="1"/>
  <c r="F112" i="22" l="1"/>
  <c r="AK111" i="22"/>
  <c r="G112" i="22" s="1"/>
  <c r="T112" i="22" l="1" a="1"/>
  <c r="T112" i="22" l="1"/>
  <c r="Q112" i="22" l="1"/>
  <c r="U112" i="22"/>
  <c r="AE112" i="22" s="1"/>
  <c r="D113" i="22" s="1"/>
  <c r="AD112" i="22"/>
  <c r="C113" i="22" s="1"/>
  <c r="V112" i="22"/>
  <c r="AF112" i="22" s="1"/>
  <c r="E113" i="22" s="1"/>
  <c r="W112" i="22" l="1" a="1"/>
  <c r="W112" i="22" l="1"/>
  <c r="P112" i="22" a="1"/>
  <c r="P112" i="22" l="1"/>
  <c r="AC112" i="22"/>
  <c r="I113" i="22" l="1"/>
  <c r="R112" i="22"/>
  <c r="S112" i="22" s="1"/>
  <c r="K112" i="22" s="1"/>
  <c r="B113" i="22"/>
  <c r="H113" i="22" l="1"/>
  <c r="X112" i="22"/>
  <c r="Y112" i="22" s="1"/>
  <c r="AG112" i="22" l="1"/>
  <c r="F113" i="22" l="1"/>
  <c r="AK112" i="22"/>
  <c r="G113" i="22" s="1"/>
  <c r="T113" i="22" l="1" a="1"/>
  <c r="T113" i="22" l="1"/>
  <c r="Q113" i="22" l="1"/>
  <c r="V113" i="22"/>
  <c r="AF113" i="22" s="1"/>
  <c r="E114" i="22" s="1"/>
  <c r="AD113" i="22"/>
  <c r="C114" i="22" s="1"/>
  <c r="U113" i="22"/>
  <c r="AE113" i="22" s="1"/>
  <c r="D114" i="22" s="1"/>
  <c r="W113" i="22" l="1" a="1"/>
  <c r="W113" i="22" l="1"/>
  <c r="P113" i="22" a="1"/>
  <c r="P113" i="22" l="1"/>
  <c r="AC113" i="22"/>
  <c r="R113" i="22" l="1"/>
  <c r="S113" i="22" s="1"/>
  <c r="K113" i="22" s="1"/>
  <c r="I114" i="22"/>
  <c r="B114" i="22"/>
  <c r="X113" i="22" l="1"/>
  <c r="Y113" i="22" s="1"/>
  <c r="H114" i="22"/>
  <c r="AG113" i="22" l="1"/>
  <c r="F114" i="22" l="1"/>
  <c r="AK113" i="22"/>
  <c r="G114" i="22" s="1"/>
  <c r="T114" i="22" l="1" a="1"/>
  <c r="T114" i="22" l="1"/>
  <c r="Q114" i="22" l="1"/>
  <c r="U114" i="22"/>
  <c r="AE114" i="22" s="1"/>
  <c r="D115" i="22" s="1"/>
  <c r="V114" i="22"/>
  <c r="AF114" i="22" s="1"/>
  <c r="E115" i="22" s="1"/>
  <c r="AD114" i="22"/>
  <c r="C115" i="22" s="1"/>
  <c r="W114" i="22" l="1" a="1"/>
  <c r="W114" i="22" l="1"/>
  <c r="P114" i="22" a="1"/>
  <c r="P114" i="22" l="1"/>
  <c r="AC114" i="22"/>
  <c r="B115" i="22" l="1"/>
  <c r="I115" i="22"/>
  <c r="R114" i="22"/>
  <c r="S114" i="22" s="1"/>
  <c r="K114" i="22" s="1"/>
  <c r="H115" i="22" l="1"/>
  <c r="X114" i="22"/>
  <c r="Y114" i="22" s="1"/>
  <c r="AG114" i="22" l="1"/>
  <c r="F115" i="22" l="1"/>
  <c r="AK114" i="22"/>
  <c r="G115" i="22" s="1"/>
  <c r="T115" i="22" l="1" a="1"/>
  <c r="T115" i="22" l="1"/>
  <c r="Q115" i="22" l="1"/>
  <c r="AD115" i="22"/>
  <c r="C116" i="22" s="1"/>
  <c r="V115" i="22"/>
  <c r="AF115" i="22" s="1"/>
  <c r="E116" i="22" s="1"/>
  <c r="U115" i="22"/>
  <c r="AE115" i="22" s="1"/>
  <c r="D116" i="22" s="1"/>
  <c r="W115" i="22" a="1"/>
  <c r="W115" i="22" l="1"/>
  <c r="P115" i="22" a="1"/>
  <c r="P115" i="22" l="1"/>
  <c r="AC115" i="22"/>
  <c r="B116" i="22" l="1"/>
  <c r="R115" i="22"/>
  <c r="S115" i="22" s="1"/>
  <c r="K115" i="22" s="1"/>
  <c r="I116" i="22"/>
  <c r="X115" i="22" l="1"/>
  <c r="Y115" i="22" s="1"/>
  <c r="H116" i="22"/>
  <c r="AG115" i="22" l="1"/>
  <c r="F116" i="22" l="1"/>
  <c r="AK115" i="22"/>
  <c r="G116" i="22" s="1"/>
  <c r="T116" i="22" l="1" a="1"/>
  <c r="T116" i="22" l="1"/>
  <c r="Q116" i="22" l="1"/>
  <c r="U116" i="22"/>
  <c r="AE116" i="22" s="1"/>
  <c r="D117" i="22" s="1"/>
  <c r="AD116" i="22"/>
  <c r="C117" i="22" s="1"/>
  <c r="V116" i="22"/>
  <c r="AF116" i="22" s="1"/>
  <c r="E117" i="22" s="1"/>
  <c r="W116" i="22" a="1"/>
  <c r="W116" i="22" l="1"/>
  <c r="P116" i="22" a="1"/>
  <c r="P116" i="22" l="1"/>
  <c r="AC116" i="22"/>
  <c r="I117" i="22" l="1"/>
  <c r="R116" i="22"/>
  <c r="S116" i="22" s="1"/>
  <c r="K116" i="22" s="1"/>
  <c r="B117" i="22"/>
  <c r="H117" i="22" l="1"/>
  <c r="X116" i="22"/>
  <c r="Y116" i="22" s="1"/>
  <c r="AG116" i="22" l="1"/>
  <c r="F117" i="22" l="1"/>
  <c r="AK116" i="22"/>
  <c r="G117" i="22" s="1"/>
  <c r="T117" i="22" l="1" a="1"/>
  <c r="T117" i="22" l="1"/>
  <c r="Q117" i="22" l="1"/>
  <c r="U117" i="22"/>
  <c r="AE117" i="22" s="1"/>
  <c r="D118" i="22" s="1"/>
  <c r="AD117" i="22"/>
  <c r="C118" i="22" s="1"/>
  <c r="V117" i="22"/>
  <c r="AF117" i="22" s="1"/>
  <c r="E118" i="22" s="1"/>
  <c r="W117" i="22" a="1"/>
  <c r="W117" i="22" l="1"/>
  <c r="P117" i="22" a="1"/>
  <c r="P117" i="22" l="1"/>
  <c r="AC117" i="22"/>
  <c r="R117" i="22" l="1"/>
  <c r="S117" i="22" s="1"/>
  <c r="K117" i="22" s="1"/>
  <c r="I118" i="22"/>
  <c r="B118" i="22"/>
  <c r="X117" i="22" l="1"/>
  <c r="Y117" i="22" s="1"/>
  <c r="H118" i="22"/>
  <c r="AG117" i="22" l="1"/>
  <c r="F118" i="22" l="1"/>
  <c r="AK117" i="22"/>
  <c r="G118" i="22" s="1"/>
  <c r="T118" i="22" l="1" a="1"/>
  <c r="T118" i="22" l="1"/>
  <c r="Q118" i="22" l="1"/>
  <c r="V118" i="22"/>
  <c r="AF118" i="22" s="1"/>
  <c r="E119" i="22" s="1"/>
  <c r="U118" i="22"/>
  <c r="AE118" i="22" s="1"/>
  <c r="D119" i="22" s="1"/>
  <c r="AD118" i="22"/>
  <c r="C119" i="22" s="1"/>
  <c r="W118" i="22" a="1"/>
  <c r="W118" i="22" l="1"/>
  <c r="P118" i="22" a="1"/>
  <c r="P118" i="22" l="1"/>
  <c r="AC118" i="22"/>
  <c r="I119" i="22" l="1"/>
  <c r="R118" i="22"/>
  <c r="S118" i="22" s="1"/>
  <c r="K118" i="22" s="1"/>
  <c r="B119" i="22"/>
  <c r="H119" i="22" l="1"/>
  <c r="X118" i="22"/>
  <c r="Y118" i="22" s="1"/>
  <c r="AG118" i="22" l="1"/>
  <c r="F119" i="22" l="1"/>
  <c r="AK118" i="22"/>
  <c r="G119" i="22" s="1"/>
  <c r="T119" i="22" l="1" a="1"/>
  <c r="T119" i="22" l="1"/>
  <c r="Q119" i="22" l="1"/>
  <c r="AD119" i="22"/>
  <c r="C120" i="22" s="1"/>
  <c r="U119" i="22"/>
  <c r="AE119" i="22" s="1"/>
  <c r="D120" i="22" s="1"/>
  <c r="V119" i="22"/>
  <c r="AF119" i="22" s="1"/>
  <c r="E120" i="22" s="1"/>
  <c r="W119" i="22" a="1"/>
  <c r="W119" i="22" l="1"/>
  <c r="P119" i="22" a="1"/>
  <c r="P119" i="22" l="1"/>
  <c r="AC119" i="22"/>
  <c r="B120" i="22" l="1"/>
  <c r="R119" i="22"/>
  <c r="S119" i="22" s="1"/>
  <c r="K119" i="22" s="1"/>
  <c r="I120" i="22"/>
  <c r="X119" i="22" l="1"/>
  <c r="Y119" i="22" s="1"/>
  <c r="H120" i="22"/>
  <c r="AG119" i="22" l="1"/>
  <c r="F120" i="22" l="1"/>
  <c r="AK119" i="22"/>
  <c r="G120" i="22" s="1"/>
  <c r="T120" i="22" l="1" a="1"/>
  <c r="T120" i="22" l="1"/>
  <c r="Q120" i="22" l="1"/>
  <c r="AD120" i="22"/>
  <c r="C121" i="22" s="1"/>
  <c r="U120" i="22"/>
  <c r="AE120" i="22" s="1"/>
  <c r="D121" i="22" s="1"/>
  <c r="V120" i="22"/>
  <c r="AF120" i="22" s="1"/>
  <c r="E121" i="22" s="1"/>
  <c r="W120" i="22" a="1"/>
  <c r="W120" i="22" l="1"/>
  <c r="P120" i="22" a="1"/>
  <c r="P120" i="22" l="1"/>
  <c r="AC120" i="22"/>
  <c r="I121" i="22" l="1"/>
  <c r="R120" i="22"/>
  <c r="S120" i="22" s="1"/>
  <c r="K120" i="22" s="1"/>
  <c r="B121" i="22"/>
  <c r="H121" i="22" l="1"/>
  <c r="X120" i="22"/>
  <c r="Y120" i="22" s="1"/>
  <c r="AG120" i="22" l="1"/>
  <c r="F121" i="22" l="1"/>
  <c r="AK120" i="22"/>
  <c r="G121" i="22" s="1"/>
  <c r="T121" i="22" l="1" a="1"/>
  <c r="T121" i="22" l="1"/>
  <c r="Q121" i="22" l="1"/>
  <c r="U121" i="22"/>
  <c r="AE121" i="22" s="1"/>
  <c r="D122" i="22" s="1"/>
  <c r="V121" i="22"/>
  <c r="AF121" i="22" s="1"/>
  <c r="E122" i="22" s="1"/>
  <c r="AD121" i="22"/>
  <c r="C122" i="22" s="1"/>
  <c r="W121" i="22" a="1"/>
  <c r="W121" i="22" l="1"/>
  <c r="P121" i="22" a="1"/>
  <c r="P121" i="22" l="1"/>
  <c r="AC121" i="22"/>
  <c r="I122" i="22" l="1"/>
  <c r="R121" i="22"/>
  <c r="S121" i="22" s="1"/>
  <c r="K121" i="22" s="1"/>
  <c r="B122" i="22"/>
  <c r="H122" i="22" l="1"/>
  <c r="X121" i="22"/>
  <c r="Y121" i="22" s="1"/>
  <c r="AG121" i="22" l="1"/>
  <c r="F122" i="22" l="1"/>
  <c r="AK121" i="22"/>
  <c r="G122" i="22" s="1"/>
  <c r="T122" i="22" l="1" a="1"/>
  <c r="T122" i="22" l="1"/>
  <c r="Q122" i="22" l="1"/>
  <c r="U122" i="22"/>
  <c r="AE122" i="22" s="1"/>
  <c r="D123" i="22" s="1"/>
  <c r="AD122" i="22"/>
  <c r="C123" i="22" s="1"/>
  <c r="V122" i="22"/>
  <c r="AF122" i="22" s="1"/>
  <c r="E123" i="22" s="1"/>
  <c r="W122" i="22" l="1" a="1"/>
  <c r="W122" i="22" l="1"/>
  <c r="P122" i="22" a="1"/>
  <c r="P122" i="22" l="1"/>
  <c r="AC122" i="22"/>
  <c r="B123" i="22" l="1"/>
  <c r="R122" i="22"/>
  <c r="S122" i="22" s="1"/>
  <c r="K122" i="22" s="1"/>
  <c r="I123" i="22"/>
  <c r="X122" i="22" l="1"/>
  <c r="Y122" i="22" s="1"/>
  <c r="H123" i="22"/>
  <c r="AG122" i="22" l="1"/>
  <c r="F123" i="22" l="1"/>
  <c r="AK122" i="22"/>
  <c r="G123" i="22" s="1"/>
  <c r="T123" i="22" l="1" a="1"/>
  <c r="T123" i="22" l="1"/>
  <c r="Q123" i="22" l="1"/>
  <c r="V123" i="22"/>
  <c r="AF123" i="22" s="1"/>
  <c r="E124" i="22" s="1"/>
  <c r="AD123" i="22"/>
  <c r="C124" i="22" s="1"/>
  <c r="U123" i="22"/>
  <c r="AE123" i="22" s="1"/>
  <c r="D124" i="22" s="1"/>
  <c r="W123" i="22" a="1"/>
  <c r="W123" i="22" l="1"/>
  <c r="P123" i="22" a="1"/>
  <c r="P123" i="22" l="1"/>
  <c r="AC123" i="22"/>
  <c r="I124" i="22" l="1"/>
  <c r="R123" i="22"/>
  <c r="S123" i="22" s="1"/>
  <c r="K123" i="22" s="1"/>
  <c r="B124" i="22"/>
  <c r="X123" i="22" l="1"/>
  <c r="Y123" i="22" s="1"/>
  <c r="H124" i="22"/>
  <c r="AG123" i="22" l="1"/>
  <c r="F124" i="22" l="1"/>
  <c r="AK123" i="22"/>
  <c r="G124" i="22" s="1"/>
  <c r="T124" i="22" l="1" a="1"/>
  <c r="T124" i="22" l="1"/>
  <c r="Q124" i="22" l="1"/>
  <c r="AD124" i="22"/>
  <c r="C125" i="22" s="1"/>
  <c r="U124" i="22"/>
  <c r="AE124" i="22" s="1"/>
  <c r="D125" i="22" s="1"/>
  <c r="V124" i="22"/>
  <c r="AF124" i="22" s="1"/>
  <c r="E125" i="22" s="1"/>
  <c r="W124" i="22" a="1"/>
  <c r="W124" i="22" l="1"/>
  <c r="P124" i="22" a="1"/>
  <c r="P124" i="22" l="1"/>
  <c r="AC124" i="22"/>
  <c r="B125" i="22" l="1"/>
  <c r="R124" i="22"/>
  <c r="S124" i="22" s="1"/>
  <c r="K124" i="22" s="1"/>
  <c r="I125" i="22"/>
  <c r="X124" i="22" l="1"/>
  <c r="Y124" i="22" s="1"/>
  <c r="H125" i="22"/>
  <c r="AG124" i="22" l="1"/>
  <c r="F125" i="22" l="1"/>
  <c r="AK124" i="22"/>
  <c r="G125" i="22" s="1"/>
  <c r="T125" i="22" l="1" a="1"/>
  <c r="T125" i="22" l="1"/>
  <c r="Q125" i="22" l="1"/>
  <c r="V125" i="22"/>
  <c r="AF125" i="22" s="1"/>
  <c r="E126" i="22" s="1"/>
  <c r="U125" i="22"/>
  <c r="AE125" i="22" s="1"/>
  <c r="D126" i="22" s="1"/>
  <c r="AD125" i="22"/>
  <c r="C126" i="22" s="1"/>
  <c r="W125" i="22" a="1"/>
  <c r="W125" i="22" l="1"/>
  <c r="P125" i="22" a="1"/>
  <c r="P125" i="22" l="1"/>
  <c r="AC125" i="22"/>
  <c r="R125" i="22" l="1"/>
  <c r="S125" i="22" s="1"/>
  <c r="K125" i="22" s="1"/>
  <c r="I126" i="22"/>
  <c r="B126" i="22"/>
  <c r="X125" i="22" l="1"/>
  <c r="Y125" i="22" s="1"/>
  <c r="H126" i="22"/>
  <c r="AG125" i="22" l="1"/>
  <c r="F126" i="22" l="1"/>
  <c r="AK125" i="22"/>
  <c r="G126" i="22" s="1"/>
  <c r="T126" i="22" l="1" a="1"/>
  <c r="T126" i="22" l="1"/>
  <c r="AD126" i="22" l="1"/>
  <c r="C127" i="22" s="1"/>
  <c r="Q126" i="22"/>
  <c r="V126" i="22"/>
  <c r="AF126" i="22" s="1"/>
  <c r="E127" i="22" s="1"/>
  <c r="U126" i="22"/>
  <c r="AE126" i="22" s="1"/>
  <c r="D127" i="22" s="1"/>
  <c r="W126" i="22" l="1" a="1"/>
  <c r="W126" i="22" l="1"/>
  <c r="P126" i="22" a="1"/>
  <c r="P126" i="22" l="1"/>
  <c r="AC126" i="22"/>
  <c r="I127" i="22" l="1"/>
  <c r="R126" i="22"/>
  <c r="S126" i="22" s="1"/>
  <c r="K126" i="22" s="1"/>
  <c r="B127" i="22"/>
  <c r="X126" i="22" l="1"/>
  <c r="Y126" i="22" s="1"/>
  <c r="H127" i="22"/>
  <c r="AG126" i="22" l="1"/>
  <c r="F127" i="22" l="1"/>
  <c r="AK126" i="22"/>
  <c r="G127" i="22" s="1"/>
  <c r="T127" i="22" l="1" a="1"/>
  <c r="T127" i="22" l="1"/>
  <c r="Q127" i="22" l="1"/>
  <c r="AD127" i="22"/>
  <c r="C128" i="22" s="1"/>
  <c r="V127" i="22"/>
  <c r="AF127" i="22" s="1"/>
  <c r="E128" i="22" s="1"/>
  <c r="U127" i="22"/>
  <c r="AE127" i="22" s="1"/>
  <c r="D128" i="22" s="1"/>
  <c r="W127" i="22" a="1"/>
  <c r="W127" i="22" l="1"/>
  <c r="P127" i="22" a="1"/>
  <c r="P127" i="22" l="1"/>
  <c r="AC127" i="22"/>
  <c r="I128" i="22" l="1"/>
  <c r="R127" i="22"/>
  <c r="S127" i="22" s="1"/>
  <c r="K127" i="22" s="1"/>
  <c r="B128" i="22"/>
  <c r="X127" i="22" l="1"/>
  <c r="Y127" i="22" s="1"/>
  <c r="H128" i="22"/>
  <c r="AG127" i="22" l="1"/>
  <c r="F128" i="22" l="1"/>
  <c r="AK127" i="22"/>
  <c r="G128" i="22" s="1"/>
  <c r="T128" i="22" l="1" a="1"/>
  <c r="T128" i="22" l="1"/>
  <c r="Q128" i="22" l="1"/>
  <c r="AD128" i="22"/>
  <c r="C129" i="22" s="1"/>
  <c r="V128" i="22"/>
  <c r="AF128" i="22" s="1"/>
  <c r="E129" i="22" s="1"/>
  <c r="U128" i="22"/>
  <c r="AE128" i="22" s="1"/>
  <c r="D129" i="22" s="1"/>
  <c r="W128" i="22" a="1"/>
  <c r="W128" i="22" l="1"/>
  <c r="P128" i="22" a="1"/>
  <c r="P128" i="22" l="1"/>
  <c r="AC128" i="22"/>
  <c r="R128" i="22" l="1"/>
  <c r="S128" i="22" s="1"/>
  <c r="K128" i="22" s="1"/>
  <c r="I129" i="22"/>
  <c r="B129" i="22"/>
  <c r="X128" i="22" l="1"/>
  <c r="Y128" i="22" s="1"/>
  <c r="H129" i="22"/>
  <c r="AG128" i="22" l="1"/>
  <c r="F129" i="22" l="1"/>
  <c r="AK128" i="22"/>
  <c r="G129" i="22" s="1"/>
  <c r="T129" i="22" l="1" a="1"/>
  <c r="T129" i="22" l="1"/>
  <c r="Q129" i="22" l="1"/>
  <c r="AD129" i="22"/>
  <c r="C130" i="22" s="1"/>
  <c r="V129" i="22"/>
  <c r="AF129" i="22" s="1"/>
  <c r="E130" i="22" s="1"/>
  <c r="U129" i="22"/>
  <c r="AE129" i="22" s="1"/>
  <c r="D130" i="22" s="1"/>
  <c r="W129" i="22" a="1"/>
  <c r="W129" i="22" l="1"/>
  <c r="P129" i="22" a="1"/>
  <c r="P129" i="22" l="1"/>
  <c r="AC129" i="22"/>
  <c r="R129" i="22" l="1"/>
  <c r="S129" i="22" s="1"/>
  <c r="K129" i="22" s="1"/>
  <c r="I130" i="22"/>
  <c r="B130" i="22"/>
  <c r="H130" i="22" l="1"/>
  <c r="X129" i="22"/>
  <c r="Y129" i="22" s="1"/>
  <c r="AG129" i="22" l="1"/>
  <c r="F130" i="22" l="1"/>
  <c r="AK129" i="22"/>
  <c r="G130" i="22" s="1"/>
  <c r="T130" i="22" l="1" a="1"/>
  <c r="T130" i="22" l="1"/>
  <c r="Q130" i="22" l="1"/>
  <c r="V130" i="22"/>
  <c r="AF130" i="22" s="1"/>
  <c r="E131" i="22" s="1"/>
  <c r="AD130" i="22"/>
  <c r="C131" i="22" s="1"/>
  <c r="U130" i="22"/>
  <c r="AE130" i="22" s="1"/>
  <c r="D131" i="22" s="1"/>
  <c r="W130" i="22" a="1"/>
  <c r="W130" i="22" l="1"/>
  <c r="P130" i="22" a="1"/>
  <c r="P130" i="22" l="1"/>
  <c r="AC130" i="22"/>
  <c r="R130" i="22" l="1"/>
  <c r="S130" i="22" s="1"/>
  <c r="K130" i="22" s="1"/>
  <c r="I131" i="22"/>
  <c r="B131" i="22"/>
  <c r="H131" i="22" l="1"/>
  <c r="X130" i="22"/>
  <c r="Y130" i="22" s="1"/>
  <c r="AG130" i="22" l="1"/>
  <c r="F131" i="22" l="1"/>
  <c r="AK130" i="22"/>
  <c r="G131" i="22" s="1"/>
  <c r="T131" i="22" l="1" a="1"/>
  <c r="T131" i="22" l="1"/>
  <c r="Q131" i="22" l="1"/>
  <c r="V131" i="22"/>
  <c r="AF131" i="22" s="1"/>
  <c r="E132" i="22" s="1"/>
  <c r="AD131" i="22"/>
  <c r="C132" i="22" s="1"/>
  <c r="U131" i="22"/>
  <c r="AE131" i="22" s="1"/>
  <c r="D132" i="22" s="1"/>
  <c r="W131" i="22" a="1"/>
  <c r="W131" i="22" l="1"/>
  <c r="P131" i="22" a="1"/>
  <c r="P131" i="22" l="1"/>
  <c r="AC131" i="22"/>
  <c r="R131" i="22" l="1"/>
  <c r="S131" i="22" s="1"/>
  <c r="K131" i="22" s="1"/>
  <c r="I132" i="22"/>
  <c r="B132" i="22"/>
  <c r="X131" i="22" l="1"/>
  <c r="Y131" i="22" s="1"/>
  <c r="H132" i="22"/>
  <c r="AG131" i="22" l="1"/>
  <c r="F132" i="22" l="1"/>
  <c r="AK131" i="22"/>
  <c r="G132" i="22" s="1"/>
  <c r="T132" i="22" l="1" a="1"/>
  <c r="T132" i="22" l="1"/>
  <c r="Q132" i="22" l="1"/>
  <c r="V132" i="22"/>
  <c r="AF132" i="22" s="1"/>
  <c r="E133" i="22" s="1"/>
  <c r="U132" i="22"/>
  <c r="AE132" i="22" s="1"/>
  <c r="D133" i="22" s="1"/>
  <c r="AD132" i="22"/>
  <c r="C133" i="22" s="1"/>
  <c r="W132" i="22" a="1"/>
  <c r="W132" i="22" l="1"/>
  <c r="P132" i="22" a="1"/>
  <c r="P132" i="22" l="1"/>
  <c r="AC132" i="22"/>
  <c r="I133" i="22" l="1"/>
  <c r="R132" i="22"/>
  <c r="S132" i="22" s="1"/>
  <c r="K132" i="22" s="1"/>
  <c r="B133" i="22"/>
  <c r="H133" i="22" l="1"/>
  <c r="X132" i="22"/>
  <c r="Y132" i="22" s="1"/>
  <c r="AG132" i="22" l="1"/>
  <c r="F133" i="22" l="1"/>
  <c r="AK132" i="22"/>
  <c r="G133" i="22" s="1"/>
  <c r="T133" i="22" l="1" a="1"/>
  <c r="T133" i="22" l="1"/>
  <c r="Q133" i="22" l="1"/>
  <c r="V133" i="22"/>
  <c r="AF133" i="22" s="1"/>
  <c r="E134" i="22" s="1"/>
  <c r="AD133" i="22"/>
  <c r="C134" i="22" s="1"/>
  <c r="U133" i="22"/>
  <c r="AE133" i="22" s="1"/>
  <c r="D134" i="22" s="1"/>
  <c r="W133" i="22" a="1"/>
  <c r="W133" i="22" l="1"/>
  <c r="P133" i="22" a="1"/>
  <c r="P133" i="22" l="1"/>
  <c r="AC133" i="22"/>
  <c r="R133" i="22" l="1"/>
  <c r="S133" i="22" s="1"/>
  <c r="K133" i="22" s="1"/>
  <c r="I134" i="22"/>
  <c r="B134" i="22"/>
  <c r="H134" i="22" l="1"/>
  <c r="X133" i="22"/>
  <c r="Y133" i="22" s="1"/>
  <c r="AG133" i="22" l="1"/>
  <c r="F134" i="22" l="1"/>
  <c r="AK133" i="22"/>
  <c r="G134" i="22" s="1"/>
  <c r="T134" i="22" l="1" a="1"/>
  <c r="T134" i="22" l="1"/>
  <c r="Q134" i="22" l="1"/>
  <c r="AD134" i="22"/>
  <c r="C135" i="22" s="1"/>
  <c r="U134" i="22"/>
  <c r="AE134" i="22" s="1"/>
  <c r="D135" i="22" s="1"/>
  <c r="V134" i="22"/>
  <c r="AF134" i="22" s="1"/>
  <c r="E135" i="22" s="1"/>
  <c r="W134" i="22" a="1"/>
  <c r="W134" i="22" l="1"/>
  <c r="P134" i="22" a="1"/>
  <c r="P134" i="22" l="1"/>
  <c r="AC134" i="22"/>
  <c r="R134" i="22" l="1"/>
  <c r="S134" i="22" s="1"/>
  <c r="K134" i="22" s="1"/>
  <c r="I135" i="22"/>
  <c r="B135" i="22"/>
  <c r="H135" i="22" l="1"/>
  <c r="X134" i="22"/>
  <c r="Y134" i="22" s="1"/>
  <c r="AG134" i="22" l="1"/>
  <c r="AK134" i="22" s="1"/>
  <c r="G135" i="22" s="1"/>
  <c r="F135" i="22" l="1"/>
  <c r="T135" i="22" a="1"/>
  <c r="T135" i="22" l="1"/>
  <c r="Q135" i="22" l="1"/>
  <c r="V135" i="22"/>
  <c r="AF135" i="22" s="1"/>
  <c r="E136" i="22" s="1"/>
  <c r="U135" i="22"/>
  <c r="AE135" i="22" s="1"/>
  <c r="D136" i="22" s="1"/>
  <c r="AD135" i="22"/>
  <c r="C136" i="22" s="1"/>
  <c r="W135" i="22" l="1" a="1"/>
  <c r="W135" i="22" l="1"/>
  <c r="P135" i="22" a="1"/>
  <c r="P135" i="22" l="1"/>
  <c r="AC135" i="22"/>
  <c r="I136" i="22" l="1"/>
  <c r="R135" i="22"/>
  <c r="S135" i="22" s="1"/>
  <c r="K135" i="22" s="1"/>
  <c r="B136" i="22"/>
  <c r="X135" i="22" l="1"/>
  <c r="Y135" i="22" s="1"/>
  <c r="H136" i="22"/>
  <c r="AG135" i="22" l="1"/>
  <c r="F136" i="22" l="1"/>
  <c r="AK135" i="22"/>
  <c r="G136" i="22" s="1"/>
  <c r="T136" i="22" a="1"/>
  <c r="T136" i="22" l="1"/>
  <c r="Q136" i="22" l="1"/>
  <c r="U136" i="22"/>
  <c r="AE136" i="22" s="1"/>
  <c r="D137" i="22" s="1"/>
  <c r="V136" i="22"/>
  <c r="AF136" i="22" s="1"/>
  <c r="E137" i="22" s="1"/>
  <c r="AD136" i="22"/>
  <c r="C137" i="22" s="1"/>
  <c r="W136" i="22" a="1"/>
  <c r="W136" i="22" l="1"/>
  <c r="P136" i="22" a="1"/>
  <c r="P136" i="22" l="1"/>
  <c r="AC136" i="22"/>
  <c r="R136" i="22" l="1"/>
  <c r="S136" i="22" s="1"/>
  <c r="K136" i="22" s="1"/>
  <c r="I137" i="22"/>
  <c r="B137" i="22"/>
  <c r="H137" i="22" l="1"/>
  <c r="X136" i="22"/>
  <c r="Y136" i="22" s="1"/>
  <c r="AG136" i="22" l="1"/>
  <c r="F137" i="22" l="1"/>
  <c r="AK136" i="22"/>
  <c r="G137" i="22" s="1"/>
  <c r="T137" i="22" a="1"/>
  <c r="T137" i="22" l="1"/>
  <c r="Q137" i="22" l="1"/>
  <c r="U137" i="22"/>
  <c r="AE137" i="22" s="1"/>
  <c r="D138" i="22" s="1"/>
  <c r="V137" i="22"/>
  <c r="AF137" i="22" s="1"/>
  <c r="E138" i="22" s="1"/>
  <c r="AD137" i="22"/>
  <c r="C138" i="22" s="1"/>
  <c r="W137" i="22" a="1"/>
  <c r="W137" i="22" l="1"/>
  <c r="P137" i="22" a="1"/>
  <c r="P137" i="22" l="1"/>
  <c r="AC137" i="22"/>
  <c r="B138" i="22" l="1"/>
  <c r="R137" i="22"/>
  <c r="S137" i="22" s="1"/>
  <c r="K137" i="22" s="1"/>
  <c r="I138" i="22"/>
  <c r="H138" i="22" l="1"/>
  <c r="X137" i="22"/>
  <c r="Y137" i="22" s="1"/>
  <c r="AG137" i="22" l="1"/>
  <c r="F138" i="22" l="1"/>
  <c r="AK137" i="22"/>
  <c r="G138" i="22" s="1"/>
  <c r="T138" i="22" a="1"/>
  <c r="T138" i="22" l="1"/>
  <c r="Q138" i="22" l="1"/>
  <c r="AD138" i="22"/>
  <c r="C139" i="22" s="1"/>
  <c r="U138" i="22"/>
  <c r="AE138" i="22" s="1"/>
  <c r="D139" i="22" s="1"/>
  <c r="V138" i="22"/>
  <c r="AF138" i="22" s="1"/>
  <c r="E139" i="22" s="1"/>
  <c r="W138" i="22" a="1"/>
  <c r="W138" i="22" l="1"/>
  <c r="P138" i="22" a="1"/>
  <c r="P138" i="22" l="1"/>
  <c r="AC138" i="22"/>
  <c r="B139" i="22" l="1"/>
  <c r="R138" i="22"/>
  <c r="S138" i="22" s="1"/>
  <c r="K138" i="22" s="1"/>
  <c r="I139" i="22"/>
  <c r="H139" i="22" l="1"/>
  <c r="X138" i="22"/>
  <c r="Y138" i="22" s="1"/>
  <c r="AG138" i="22" l="1"/>
  <c r="F139" i="22" l="1"/>
  <c r="AK138" i="22"/>
  <c r="G139" i="22" s="1"/>
  <c r="T139" i="22" a="1"/>
  <c r="T139" i="22" l="1"/>
  <c r="Q139" i="22" l="1"/>
  <c r="V139" i="22"/>
  <c r="AF139" i="22" s="1"/>
  <c r="E140" i="22" s="1"/>
  <c r="AD139" i="22"/>
  <c r="C140" i="22" s="1"/>
  <c r="U139" i="22"/>
  <c r="AE139" i="22" s="1"/>
  <c r="D140" i="22" s="1"/>
  <c r="W139" i="22" a="1"/>
  <c r="W139" i="22" l="1"/>
  <c r="P139" i="22" a="1"/>
  <c r="P139" i="22" l="1"/>
  <c r="AC139" i="22"/>
  <c r="B140" i="22" l="1"/>
  <c r="I140" i="22"/>
  <c r="R139" i="22"/>
  <c r="S139" i="22" s="1"/>
  <c r="K139" i="22" s="1"/>
  <c r="H140" i="22" l="1"/>
  <c r="X139" i="22"/>
  <c r="Y139" i="22" s="1"/>
  <c r="AG139" i="22" l="1"/>
  <c r="F140" i="22" l="1"/>
  <c r="AK139" i="22"/>
  <c r="G140" i="22" s="1"/>
  <c r="T140" i="22" a="1"/>
  <c r="T140" i="22" l="1"/>
  <c r="Q140" i="22" l="1"/>
  <c r="V140" i="22"/>
  <c r="AF140" i="22" s="1"/>
  <c r="E141" i="22" s="1"/>
  <c r="AD140" i="22"/>
  <c r="C141" i="22" s="1"/>
  <c r="U140" i="22"/>
  <c r="AE140" i="22" s="1"/>
  <c r="D141" i="22" s="1"/>
  <c r="W140" i="22" a="1"/>
  <c r="W140" i="22" l="1"/>
  <c r="P140" i="22" a="1"/>
  <c r="P140" i="22" l="1"/>
  <c r="AC140" i="22"/>
  <c r="B141" i="22" l="1"/>
  <c r="R140" i="22"/>
  <c r="S140" i="22" s="1"/>
  <c r="K140" i="22" s="1"/>
  <c r="I141" i="22"/>
  <c r="H141" i="22" l="1"/>
  <c r="X140" i="22"/>
  <c r="Y140" i="22" s="1"/>
  <c r="AG140" i="22" l="1"/>
  <c r="F141" i="22" l="1"/>
  <c r="AK140" i="22"/>
  <c r="G141" i="22" s="1"/>
  <c r="T141" i="22" a="1"/>
  <c r="T141" i="22" l="1"/>
  <c r="Q141" i="22" l="1"/>
  <c r="U141" i="22"/>
  <c r="AE141" i="22" s="1"/>
  <c r="D142" i="22" s="1"/>
  <c r="AD141" i="22"/>
  <c r="C142" i="22" s="1"/>
  <c r="V141" i="22"/>
  <c r="AF141" i="22" s="1"/>
  <c r="E142" i="22" s="1"/>
  <c r="W141" i="22" a="1"/>
  <c r="W141" i="22" l="1"/>
  <c r="P141" i="22" a="1"/>
  <c r="P141" i="22" l="1"/>
  <c r="AC141" i="22"/>
  <c r="B142" i="22" l="1"/>
  <c r="R141" i="22"/>
  <c r="S141" i="22" s="1"/>
  <c r="K141" i="22" s="1"/>
  <c r="I142" i="22"/>
  <c r="H142" i="22" l="1"/>
  <c r="X141" i="22"/>
  <c r="Y141" i="22" s="1"/>
  <c r="AG141" i="22" l="1"/>
  <c r="F142" i="22"/>
  <c r="AK141" i="22"/>
  <c r="G142" i="22" s="1"/>
  <c r="T142" i="22" a="1"/>
  <c r="T142" i="22" l="1"/>
  <c r="Q142" i="22" l="1"/>
  <c r="AD142" i="22"/>
  <c r="C143" i="22" s="1"/>
  <c r="V142" i="22"/>
  <c r="AF142" i="22" s="1"/>
  <c r="E143" i="22" s="1"/>
  <c r="U142" i="22"/>
  <c r="AE142" i="22" s="1"/>
  <c r="D143" i="22" s="1"/>
  <c r="W142" i="22" a="1"/>
  <c r="W142" i="22" l="1"/>
  <c r="P142" i="22" a="1"/>
  <c r="P142" i="22" l="1"/>
  <c r="AC142" i="22"/>
  <c r="R142" i="22" l="1"/>
  <c r="S142" i="22" s="1"/>
  <c r="K142" i="22" s="1"/>
  <c r="I143" i="22"/>
  <c r="B143" i="22"/>
  <c r="X142" i="22" l="1"/>
  <c r="Y142" i="22" s="1"/>
  <c r="H143" i="22"/>
  <c r="AG142" i="22" l="1"/>
  <c r="F143" i="22" l="1"/>
  <c r="AK142" i="22"/>
  <c r="G143" i="22" s="1"/>
  <c r="T143" i="22" a="1"/>
  <c r="T143" i="22" l="1"/>
  <c r="U143" i="22" l="1"/>
  <c r="AE143" i="22" s="1"/>
  <c r="D144" i="22" s="1"/>
  <c r="Q143" i="22"/>
  <c r="AD143" i="22"/>
  <c r="C144" i="22" s="1"/>
  <c r="V143" i="22"/>
  <c r="AF143" i="22" s="1"/>
  <c r="E144" i="22" s="1"/>
  <c r="W143" i="22" a="1"/>
  <c r="W143" i="22" l="1"/>
  <c r="P143" i="22" a="1"/>
  <c r="P143" i="22" l="1"/>
  <c r="AC143" i="22"/>
  <c r="R143" i="22" l="1"/>
  <c r="S143" i="22" s="1"/>
  <c r="K143" i="22" s="1"/>
  <c r="I144" i="22"/>
  <c r="B144" i="22"/>
  <c r="H144" i="22" l="1"/>
  <c r="X143" i="22"/>
  <c r="Y143" i="22" s="1"/>
  <c r="AG143" i="22" l="1"/>
  <c r="F144" i="22" l="1"/>
  <c r="AK143" i="22"/>
  <c r="G144" i="22" s="1"/>
  <c r="T144" i="22" a="1"/>
  <c r="T144" i="22" l="1"/>
  <c r="U144" i="22" l="1"/>
  <c r="AE144" i="22" s="1"/>
  <c r="D145" i="22" s="1"/>
  <c r="Q144" i="22"/>
  <c r="AD144" i="22"/>
  <c r="C145" i="22" s="1"/>
  <c r="V144" i="22"/>
  <c r="AF144" i="22" s="1"/>
  <c r="E145" i="22" s="1"/>
  <c r="W144" i="22" a="1"/>
  <c r="W144" i="22" l="1"/>
  <c r="P144" i="22" a="1"/>
  <c r="P144" i="22" l="1"/>
  <c r="AC144" i="22"/>
  <c r="B145" i="22" l="1"/>
  <c r="I145" i="22"/>
  <c r="R144" i="22"/>
  <c r="S144" i="22" s="1"/>
  <c r="K144" i="22" s="1"/>
  <c r="X144" i="22" l="1"/>
  <c r="Y144" i="22" s="1"/>
  <c r="H145" i="22"/>
  <c r="AG144" i="22" l="1"/>
  <c r="F145" i="22" l="1"/>
  <c r="AK144" i="22"/>
  <c r="G145" i="22" s="1"/>
  <c r="T145" i="22" a="1"/>
  <c r="T145" i="22" l="1"/>
  <c r="Q145" i="22" l="1"/>
  <c r="AD145" i="22"/>
  <c r="C146" i="22" s="1"/>
  <c r="U145" i="22"/>
  <c r="AE145" i="22" s="1"/>
  <c r="D146" i="22" s="1"/>
  <c r="V145" i="22"/>
  <c r="AF145" i="22" s="1"/>
  <c r="E146" i="22" s="1"/>
  <c r="W145" i="22" a="1"/>
  <c r="W145" i="22" l="1"/>
  <c r="P145" i="22" a="1"/>
  <c r="P145" i="22" l="1"/>
  <c r="AC145" i="22"/>
  <c r="B146" i="22" l="1"/>
  <c r="H146" i="22" s="1"/>
  <c r="I146" i="22"/>
  <c r="R145" i="22"/>
  <c r="S145" i="22" s="1"/>
  <c r="K145" i="22" s="1"/>
  <c r="X145" i="22" l="1"/>
  <c r="Y145" i="22" s="1"/>
  <c r="AG145" i="22" l="1"/>
  <c r="F146" i="22" l="1"/>
  <c r="AK145" i="22"/>
  <c r="G146" i="22" s="1"/>
  <c r="T146" i="22" a="1"/>
  <c r="T146" i="22" l="1"/>
  <c r="U146" i="22" l="1"/>
  <c r="AE146" i="22" s="1"/>
  <c r="D147" i="22" s="1"/>
  <c r="Q146" i="22"/>
  <c r="AD146" i="22"/>
  <c r="C147" i="22" s="1"/>
  <c r="V146" i="22"/>
  <c r="AF146" i="22" s="1"/>
  <c r="E147" i="22" s="1"/>
  <c r="W146" i="22" a="1"/>
  <c r="W146" i="22" l="1"/>
  <c r="P146" i="22" a="1"/>
  <c r="P146" i="22" l="1"/>
  <c r="AC146" i="22"/>
  <c r="I147" i="22" l="1"/>
  <c r="R146" i="22"/>
  <c r="S146" i="22" s="1"/>
  <c r="K146" i="22" s="1"/>
  <c r="B147" i="22"/>
  <c r="H147" i="22" l="1"/>
  <c r="X146" i="22"/>
  <c r="Y146" i="22" s="1"/>
  <c r="AG146" i="22" l="1"/>
  <c r="F147" i="22" l="1"/>
  <c r="AK146" i="22"/>
  <c r="G147" i="22" s="1"/>
  <c r="T147" i="22" a="1"/>
  <c r="T147" i="22" l="1"/>
  <c r="Q147" i="22" l="1"/>
  <c r="U147" i="22"/>
  <c r="AE147" i="22" s="1"/>
  <c r="D148" i="22" s="1"/>
  <c r="V147" i="22"/>
  <c r="AF147" i="22" s="1"/>
  <c r="E148" i="22" s="1"/>
  <c r="AD147" i="22"/>
  <c r="C148" i="22" s="1"/>
  <c r="W147" i="22" a="1"/>
  <c r="W147" i="22" l="1"/>
  <c r="P147" i="22" a="1"/>
  <c r="P147" i="22" l="1"/>
  <c r="AC147" i="22"/>
  <c r="B148" i="22" l="1"/>
  <c r="R147" i="22"/>
  <c r="S147" i="22" s="1"/>
  <c r="K147" i="22" s="1"/>
  <c r="I148" i="22"/>
  <c r="H148" i="22" l="1"/>
  <c r="X147" i="22"/>
  <c r="Y147" i="22" s="1"/>
  <c r="AG147" i="22" l="1"/>
  <c r="F148" i="22" l="1"/>
  <c r="AK147" i="22"/>
  <c r="G148" i="22" s="1"/>
  <c r="T148" i="22" a="1"/>
  <c r="T148" i="22" l="1"/>
  <c r="Q148" i="22" l="1"/>
  <c r="V148" i="22"/>
  <c r="AF148" i="22" s="1"/>
  <c r="E149" i="22" s="1"/>
  <c r="AD148" i="22"/>
  <c r="C149" i="22" s="1"/>
  <c r="U148" i="22"/>
  <c r="AE148" i="22" s="1"/>
  <c r="D149" i="22" s="1"/>
  <c r="W148" i="22" a="1"/>
  <c r="W148" i="22" l="1"/>
  <c r="P148" i="22" a="1"/>
  <c r="P148" i="22" l="1"/>
  <c r="AC148" i="22"/>
  <c r="B149" i="22" l="1"/>
  <c r="I149" i="22"/>
  <c r="R148" i="22"/>
  <c r="S148" i="22" s="1"/>
  <c r="K148" i="22" s="1"/>
  <c r="X148" i="22" l="1"/>
  <c r="Y148" i="22" s="1"/>
  <c r="H149" i="22"/>
  <c r="AG148" i="22" l="1"/>
  <c r="F149" i="22" l="1"/>
  <c r="AK148" i="22"/>
  <c r="G149" i="22" s="1"/>
  <c r="T149" i="22" a="1"/>
  <c r="T149" i="22" l="1"/>
  <c r="U149" i="22" l="1"/>
  <c r="AE149" i="22" s="1"/>
  <c r="D150" i="22" s="1"/>
  <c r="Q149" i="22"/>
  <c r="AD149" i="22"/>
  <c r="C150" i="22" s="1"/>
  <c r="V149" i="22"/>
  <c r="AF149" i="22" s="1"/>
  <c r="E150" i="22" s="1"/>
  <c r="W149" i="22" a="1"/>
  <c r="W149" i="22" l="1"/>
  <c r="P149" i="22" a="1"/>
  <c r="P149" i="22" l="1"/>
  <c r="AC149" i="22"/>
  <c r="B150" i="22" l="1"/>
  <c r="R149" i="22"/>
  <c r="S149" i="22" s="1"/>
  <c r="K149" i="22" s="1"/>
  <c r="I150" i="22"/>
  <c r="H150" i="22" l="1"/>
  <c r="X149" i="22"/>
  <c r="Y149" i="22" s="1"/>
  <c r="AG149" i="22" l="1"/>
  <c r="F150" i="22" l="1"/>
  <c r="AK149" i="22"/>
  <c r="G150" i="22" s="1"/>
  <c r="T150" i="22" a="1"/>
  <c r="T150" i="22" l="1"/>
  <c r="Q150" i="22" l="1"/>
  <c r="V150" i="22"/>
  <c r="AF150" i="22" s="1"/>
  <c r="E151" i="22" s="1"/>
  <c r="AD150" i="22"/>
  <c r="C151" i="22" s="1"/>
  <c r="U150" i="22"/>
  <c r="AE150" i="22" s="1"/>
  <c r="D151" i="22" s="1"/>
  <c r="W150" i="22" a="1"/>
  <c r="W150" i="22" l="1"/>
  <c r="P150" i="22" a="1"/>
  <c r="P150" i="22" l="1"/>
  <c r="AC150" i="22"/>
  <c r="I151" i="22" l="1"/>
  <c r="R150" i="22"/>
  <c r="S150" i="22" s="1"/>
  <c r="K150" i="22" s="1"/>
  <c r="B151" i="22"/>
  <c r="H151" i="22" l="1"/>
  <c r="X150" i="22"/>
  <c r="Y150" i="22" s="1"/>
  <c r="AG150" i="22" l="1"/>
  <c r="F151" i="22" l="1"/>
  <c r="AK150" i="22"/>
  <c r="G151" i="22" s="1"/>
  <c r="T151" i="22" a="1"/>
  <c r="T151" i="22" l="1"/>
  <c r="Q151" i="22" l="1"/>
  <c r="U151" i="22"/>
  <c r="AE151" i="22" s="1"/>
  <c r="D152" i="22" s="1"/>
  <c r="V151" i="22"/>
  <c r="AF151" i="22" s="1"/>
  <c r="E152" i="22" s="1"/>
  <c r="AD151" i="22"/>
  <c r="C152" i="22" s="1"/>
  <c r="W151" i="22" a="1"/>
  <c r="W151" i="22" l="1"/>
  <c r="P151" i="22" a="1"/>
  <c r="P151" i="22" l="1"/>
  <c r="AC151" i="22"/>
  <c r="B152" i="22" l="1"/>
  <c r="R151" i="22"/>
  <c r="S151" i="22" s="1"/>
  <c r="K151" i="22" s="1"/>
  <c r="I152" i="22"/>
  <c r="X151" i="22" l="1"/>
  <c r="Y151" i="22" s="1"/>
  <c r="H152" i="22"/>
  <c r="AG151" i="22" l="1"/>
  <c r="F152" i="22" l="1"/>
  <c r="AK151" i="22"/>
  <c r="G152" i="22" s="1"/>
  <c r="T152" i="22" a="1"/>
  <c r="T152" i="22" l="1"/>
  <c r="Q152" i="22" l="1"/>
  <c r="V152" i="22"/>
  <c r="AF152" i="22" s="1"/>
  <c r="E153" i="22" s="1"/>
  <c r="AD152" i="22"/>
  <c r="C153" i="22" s="1"/>
  <c r="U152" i="22"/>
  <c r="AE152" i="22" s="1"/>
  <c r="D153" i="22" s="1"/>
  <c r="W152" i="22" a="1"/>
  <c r="W152" i="22" l="1"/>
  <c r="P152" i="22" a="1"/>
  <c r="P152" i="22" l="1"/>
  <c r="AC152" i="22"/>
  <c r="I153" i="22" l="1"/>
  <c r="R152" i="22"/>
  <c r="S152" i="22" s="1"/>
  <c r="K152" i="22" s="1"/>
  <c r="B153" i="22"/>
  <c r="H153" i="22" l="1"/>
  <c r="X152" i="22"/>
  <c r="Y152" i="22" s="1"/>
  <c r="AG152" i="22" l="1"/>
  <c r="F153" i="22" l="1"/>
  <c r="AK152" i="22"/>
  <c r="G153" i="22" s="1"/>
  <c r="T153" i="22" a="1"/>
  <c r="T153" i="22" l="1"/>
  <c r="V153" i="22" l="1"/>
  <c r="AF153" i="22" s="1"/>
  <c r="E154" i="22" s="1"/>
  <c r="Q153" i="22"/>
  <c r="U153" i="22"/>
  <c r="AE153" i="22" s="1"/>
  <c r="D154" i="22" s="1"/>
  <c r="AD153" i="22"/>
  <c r="C154" i="22" s="1"/>
  <c r="W153" i="22" a="1"/>
  <c r="W153" i="22" l="1"/>
  <c r="P153" i="22" a="1"/>
  <c r="P153" i="22" l="1"/>
  <c r="AC153" i="22"/>
  <c r="B154" i="22" l="1"/>
  <c r="I154" i="22"/>
  <c r="R153" i="22"/>
  <c r="S153" i="22" s="1"/>
  <c r="K153" i="22" s="1"/>
  <c r="X153" i="22" l="1"/>
  <c r="Y153" i="22" s="1"/>
  <c r="H154" i="22"/>
  <c r="AG153" i="22" l="1"/>
  <c r="F154" i="22" l="1"/>
  <c r="AK153" i="22"/>
  <c r="G154" i="22" s="1"/>
  <c r="T154" i="22" a="1"/>
  <c r="T154" i="22" l="1"/>
  <c r="Q154" i="22" l="1"/>
  <c r="V154" i="22"/>
  <c r="AF154" i="22" s="1"/>
  <c r="E155" i="22" s="1"/>
  <c r="AD154" i="22"/>
  <c r="C155" i="22" s="1"/>
  <c r="U154" i="22"/>
  <c r="AE154" i="22" s="1"/>
  <c r="D155" i="22" s="1"/>
  <c r="W154" i="22" a="1"/>
  <c r="W154" i="22" l="1"/>
  <c r="P154" i="22" a="1"/>
  <c r="P154" i="22" l="1"/>
  <c r="AC154" i="22"/>
  <c r="B155" i="22" l="1"/>
  <c r="I155" i="22"/>
  <c r="R154" i="22"/>
  <c r="S154" i="22" s="1"/>
  <c r="K154" i="22" s="1"/>
  <c r="H155" i="22" l="1"/>
  <c r="X154" i="22"/>
  <c r="Y154" i="22" s="1"/>
  <c r="AG154" i="22" l="1"/>
  <c r="F155" i="22" l="1"/>
  <c r="AK154" i="22"/>
  <c r="G155" i="22" s="1"/>
  <c r="T155" i="22" a="1"/>
  <c r="T155" i="22" l="1"/>
  <c r="Q155" i="22" l="1"/>
  <c r="U155" i="22"/>
  <c r="AE155" i="22" s="1"/>
  <c r="D156" i="22" s="1"/>
  <c r="V155" i="22"/>
  <c r="AF155" i="22" s="1"/>
  <c r="E156" i="22" s="1"/>
  <c r="AD155" i="22"/>
  <c r="C156" i="22" s="1"/>
  <c r="W155" i="22" a="1"/>
  <c r="W155" i="22" l="1"/>
  <c r="P155" i="22" a="1"/>
  <c r="P155" i="22" l="1"/>
  <c r="AC155" i="22"/>
  <c r="R155" i="22" l="1"/>
  <c r="S155" i="22" s="1"/>
  <c r="K155" i="22" s="1"/>
  <c r="I156" i="22"/>
  <c r="B156" i="22"/>
  <c r="H156" i="22" l="1"/>
  <c r="X155" i="22"/>
  <c r="Y155" i="22" s="1"/>
  <c r="AG155" i="22" l="1"/>
  <c r="F156" i="22" l="1"/>
  <c r="AK155" i="22"/>
  <c r="G156" i="22" s="1"/>
  <c r="T156" i="22" a="1"/>
  <c r="T156" i="22" l="1"/>
  <c r="Q156" i="22" l="1"/>
  <c r="U156" i="22"/>
  <c r="AE156" i="22" s="1"/>
  <c r="D157" i="22" s="1"/>
  <c r="V156" i="22"/>
  <c r="AF156" i="22" s="1"/>
  <c r="E157" i="22" s="1"/>
  <c r="AD156" i="22"/>
  <c r="C157" i="22" s="1"/>
  <c r="W156" i="22" a="1"/>
  <c r="W156" i="22" l="1"/>
  <c r="P156" i="22" a="1"/>
  <c r="P156" i="22" l="1"/>
  <c r="AC156" i="22"/>
  <c r="B157" i="22" l="1"/>
  <c r="I157" i="22"/>
  <c r="R156" i="22"/>
  <c r="S156" i="22" s="1"/>
  <c r="K156" i="22" s="1"/>
  <c r="H157" i="22" l="1"/>
  <c r="X156" i="22"/>
  <c r="Y156" i="22" s="1"/>
  <c r="AG156" i="22" l="1"/>
  <c r="F157" i="22" l="1"/>
  <c r="AK156" i="22"/>
  <c r="G157" i="22" s="1"/>
  <c r="T157" i="22" a="1"/>
  <c r="T157" i="22" l="1"/>
  <c r="Q157" i="22" l="1"/>
  <c r="V157" i="22"/>
  <c r="AF157" i="22" s="1"/>
  <c r="E158" i="22" s="1"/>
  <c r="AD157" i="22"/>
  <c r="C158" i="22" s="1"/>
  <c r="U157" i="22"/>
  <c r="AE157" i="22" s="1"/>
  <c r="D158" i="22" s="1"/>
  <c r="W157" i="22" a="1"/>
  <c r="W157" i="22" l="1"/>
  <c r="P157" i="22" a="1"/>
  <c r="P157" i="22" l="1"/>
  <c r="AC157" i="22"/>
  <c r="B158" i="22" l="1"/>
  <c r="R157" i="22"/>
  <c r="S157" i="22" s="1"/>
  <c r="K157" i="22" s="1"/>
  <c r="I158" i="22"/>
  <c r="X157" i="22" l="1"/>
  <c r="Y157" i="22" s="1"/>
  <c r="H158" i="22"/>
  <c r="AG157" i="22" l="1"/>
  <c r="F158" i="22" l="1"/>
  <c r="AK157" i="22"/>
  <c r="G158" i="22" s="1"/>
  <c r="T158" i="22" a="1"/>
  <c r="T158" i="22" l="1"/>
  <c r="Q158" i="22" l="1"/>
  <c r="U158" i="22"/>
  <c r="AE158" i="22" s="1"/>
  <c r="D159" i="22" s="1"/>
  <c r="V158" i="22"/>
  <c r="AF158" i="22" s="1"/>
  <c r="E159" i="22" s="1"/>
  <c r="AD158" i="22"/>
  <c r="C159" i="22" s="1"/>
  <c r="W158" i="22" a="1"/>
  <c r="W158" i="22" l="1"/>
  <c r="P158" i="22" a="1"/>
  <c r="P158" i="22" l="1"/>
  <c r="AC158" i="22"/>
  <c r="R158" i="22" l="1"/>
  <c r="S158" i="22" s="1"/>
  <c r="K158" i="22" s="1"/>
  <c r="I159" i="22"/>
  <c r="B159" i="22"/>
  <c r="H159" i="22" l="1"/>
  <c r="X158" i="22"/>
  <c r="Y158" i="22" s="1"/>
  <c r="AG158" i="22" l="1"/>
  <c r="F159" i="22" l="1"/>
  <c r="AK158" i="22"/>
  <c r="G159" i="22" s="1"/>
  <c r="T159" i="22" a="1"/>
  <c r="T159" i="22" l="1"/>
  <c r="Q159" i="22" l="1"/>
  <c r="U159" i="22"/>
  <c r="AE159" i="22" s="1"/>
  <c r="D160" i="22" s="1"/>
  <c r="AD159" i="22"/>
  <c r="C160" i="22" s="1"/>
  <c r="V159" i="22"/>
  <c r="AF159" i="22" s="1"/>
  <c r="E160" i="22" s="1"/>
  <c r="W159" i="22" a="1"/>
  <c r="W159" i="22" l="1"/>
  <c r="P159" i="22" a="1"/>
  <c r="P159" i="22" l="1"/>
  <c r="AC159" i="22"/>
  <c r="I160" i="22" l="1"/>
  <c r="R159" i="22"/>
  <c r="S159" i="22" s="1"/>
  <c r="K159" i="22" s="1"/>
  <c r="B160" i="22"/>
  <c r="X159" i="22" l="1"/>
  <c r="Y159" i="22" s="1"/>
  <c r="H160" i="22"/>
  <c r="AG159" i="22" l="1"/>
  <c r="F160" i="22" l="1"/>
  <c r="AK159" i="22"/>
  <c r="G160" i="22" s="1"/>
  <c r="T160" i="22" a="1"/>
  <c r="T160" i="22" l="1"/>
  <c r="Q160" i="22" l="1"/>
  <c r="U160" i="22"/>
  <c r="AE160" i="22" s="1"/>
  <c r="D161" i="22" s="1"/>
  <c r="AD160" i="22"/>
  <c r="C161" i="22" s="1"/>
  <c r="V160" i="22"/>
  <c r="AF160" i="22" s="1"/>
  <c r="E161" i="22" s="1"/>
  <c r="W160" i="22" a="1"/>
  <c r="W160" i="22" l="1"/>
  <c r="P160" i="22" a="1"/>
  <c r="P160" i="22" l="1"/>
  <c r="AC160" i="22"/>
  <c r="B161" i="22" l="1"/>
  <c r="R160" i="22"/>
  <c r="S160" i="22" s="1"/>
  <c r="K160" i="22" s="1"/>
  <c r="I161" i="22"/>
  <c r="X160" i="22" l="1"/>
  <c r="Y160" i="22" s="1"/>
  <c r="H161" i="22"/>
  <c r="AG160" i="22" l="1"/>
  <c r="F161" i="22" l="1"/>
  <c r="AK160" i="22"/>
  <c r="G161" i="22" s="1"/>
  <c r="T161" i="22" a="1"/>
  <c r="T161" i="22" l="1"/>
  <c r="U161" i="22" l="1"/>
  <c r="AE161" i="22" s="1"/>
  <c r="D162" i="22" s="1"/>
  <c r="Q161" i="22"/>
  <c r="V161" i="22"/>
  <c r="AF161" i="22" s="1"/>
  <c r="E162" i="22" s="1"/>
  <c r="AD161" i="22"/>
  <c r="C162" i="22" s="1"/>
  <c r="W161" i="22" a="1"/>
  <c r="W161" i="22" l="1"/>
  <c r="P161" i="22" a="1"/>
  <c r="P161" i="22" l="1"/>
  <c r="AC161" i="22"/>
  <c r="B162" i="22" l="1"/>
  <c r="R161" i="22"/>
  <c r="S161" i="22" s="1"/>
  <c r="K161" i="22" s="1"/>
  <c r="I162" i="22"/>
  <c r="H162" i="22" s="1"/>
  <c r="X161" i="22" l="1"/>
  <c r="Y161" i="22" s="1"/>
  <c r="AG161" i="22" l="1"/>
  <c r="F162" i="22" l="1"/>
  <c r="AK161" i="22"/>
  <c r="G162" i="22" s="1"/>
  <c r="T162" i="22" a="1"/>
  <c r="T162" i="22" l="1"/>
  <c r="Q162" i="22" l="1"/>
  <c r="AD162" i="22"/>
  <c r="C163" i="22" s="1"/>
  <c r="U162" i="22"/>
  <c r="AE162" i="22" s="1"/>
  <c r="D163" i="22" s="1"/>
  <c r="V162" i="22"/>
  <c r="AF162" i="22" s="1"/>
  <c r="E163" i="22" s="1"/>
  <c r="W162" i="22" a="1"/>
  <c r="W162" i="22" l="1"/>
  <c r="P162" i="22" a="1"/>
  <c r="P162" i="22" l="1"/>
  <c r="AC162" i="22"/>
  <c r="B163" i="22" l="1"/>
  <c r="I163" i="22"/>
  <c r="R162" i="22"/>
  <c r="S162" i="22" s="1"/>
  <c r="K162" i="22" s="1"/>
  <c r="X162" i="22" l="1"/>
  <c r="Y162" i="22" s="1"/>
  <c r="H163" i="22"/>
  <c r="AG162" i="22" l="1"/>
  <c r="F163" i="22" l="1"/>
  <c r="AK162" i="22"/>
  <c r="G163" i="22" s="1"/>
  <c r="T163" i="22" a="1"/>
  <c r="T163" i="22" l="1"/>
  <c r="Q163" i="22" l="1"/>
  <c r="U163" i="22"/>
  <c r="AE163" i="22" s="1"/>
  <c r="D164" i="22" s="1"/>
  <c r="V163" i="22"/>
  <c r="AF163" i="22" s="1"/>
  <c r="E164" i="22" s="1"/>
  <c r="AD163" i="22"/>
  <c r="C164" i="22" s="1"/>
  <c r="W163" i="22" a="1"/>
  <c r="W163" i="22" l="1"/>
  <c r="P163" i="22" a="1"/>
  <c r="P163" i="22" l="1"/>
  <c r="AC163" i="22"/>
  <c r="I164" i="22" l="1"/>
  <c r="R163" i="22"/>
  <c r="S163" i="22" s="1"/>
  <c r="K163" i="22" s="1"/>
  <c r="B164" i="22"/>
  <c r="X163" i="22" l="1"/>
  <c r="Y163" i="22" s="1"/>
  <c r="H164" i="22"/>
  <c r="AG163" i="22" l="1"/>
  <c r="F164" i="22" l="1"/>
  <c r="AK163" i="22"/>
  <c r="G164" i="22" s="1"/>
  <c r="T164" i="22" a="1"/>
  <c r="T164" i="22" l="1"/>
  <c r="Q164" i="22" l="1"/>
  <c r="AD164" i="22"/>
  <c r="C165" i="22" s="1"/>
  <c r="U164" i="22"/>
  <c r="AE164" i="22" s="1"/>
  <c r="D165" i="22" s="1"/>
  <c r="V164" i="22"/>
  <c r="AF164" i="22" s="1"/>
  <c r="E165" i="22" s="1"/>
  <c r="W164" i="22" a="1"/>
  <c r="W164" i="22" l="1"/>
  <c r="P164" i="22" a="1"/>
  <c r="P164" i="22" l="1"/>
  <c r="AC164" i="22"/>
  <c r="R164" i="22" l="1"/>
  <c r="S164" i="22" s="1"/>
  <c r="K164" i="22" s="1"/>
  <c r="I165" i="22"/>
  <c r="B165" i="22"/>
  <c r="H165" i="22" l="1"/>
  <c r="X164" i="22"/>
  <c r="Y164" i="22" s="1"/>
  <c r="AG164" i="22" l="1"/>
  <c r="F165" i="22" l="1"/>
  <c r="AK164" i="22"/>
  <c r="G165" i="22" s="1"/>
  <c r="T165" i="22" a="1"/>
  <c r="T165" i="22" l="1"/>
  <c r="Q165" i="22" l="1"/>
  <c r="V165" i="22"/>
  <c r="AF165" i="22" s="1"/>
  <c r="E166" i="22" s="1"/>
  <c r="AD165" i="22"/>
  <c r="C166" i="22" s="1"/>
  <c r="U165" i="22"/>
  <c r="AE165" i="22" s="1"/>
  <c r="D166" i="22" s="1"/>
  <c r="W165" i="22" a="1"/>
  <c r="W165" i="22" l="1"/>
  <c r="P165" i="22" a="1"/>
  <c r="P165" i="22" l="1"/>
  <c r="AC165" i="22"/>
  <c r="B166" i="22" l="1"/>
  <c r="R165" i="22"/>
  <c r="S165" i="22" s="1"/>
  <c r="K165" i="22" s="1"/>
  <c r="I166" i="22"/>
  <c r="H166" i="22" l="1"/>
  <c r="X165" i="22"/>
  <c r="Y165" i="22" s="1"/>
  <c r="AG165" i="22" l="1"/>
  <c r="F166" i="22" l="1"/>
  <c r="AK165" i="22"/>
  <c r="G166" i="22" s="1"/>
  <c r="T166" i="22" a="1"/>
  <c r="T166" i="22" l="1"/>
  <c r="Q166" i="22" l="1"/>
  <c r="U166" i="22"/>
  <c r="AE166" i="22" s="1"/>
  <c r="D167" i="22" s="1"/>
  <c r="V166" i="22"/>
  <c r="AF166" i="22" s="1"/>
  <c r="E167" i="22" s="1"/>
  <c r="AD166" i="22"/>
  <c r="C167" i="22" s="1"/>
  <c r="W166" i="22" a="1"/>
  <c r="W166" i="22" l="1"/>
  <c r="P166" i="22" a="1"/>
  <c r="P166" i="22" l="1"/>
  <c r="AC166" i="22"/>
  <c r="B167" i="22" l="1"/>
  <c r="I167" i="22"/>
  <c r="R166" i="22"/>
  <c r="S166" i="22" s="1"/>
  <c r="K166" i="22" s="1"/>
  <c r="H167" i="22" l="1"/>
  <c r="X166" i="22"/>
  <c r="Y166" i="22" s="1"/>
  <c r="AG166" i="22" l="1"/>
  <c r="F167" i="22" l="1"/>
  <c r="AK166" i="22"/>
  <c r="G167" i="22" s="1"/>
  <c r="T167" i="22" a="1"/>
  <c r="T167" i="22" l="1"/>
  <c r="Q167" i="22" l="1"/>
  <c r="V167" i="22"/>
  <c r="AF167" i="22" s="1"/>
  <c r="E168" i="22" s="1"/>
  <c r="U167" i="22"/>
  <c r="AE167" i="22" s="1"/>
  <c r="D168" i="22" s="1"/>
  <c r="AD167" i="22"/>
  <c r="C168" i="22" s="1"/>
  <c r="W167" i="22" a="1"/>
  <c r="W167" i="22" l="1"/>
  <c r="P167" i="22" a="1"/>
  <c r="P167" i="22" l="1"/>
  <c r="AC167" i="22"/>
  <c r="B168" i="22" l="1"/>
  <c r="I168" i="22"/>
  <c r="R167" i="22"/>
  <c r="S167" i="22" s="1"/>
  <c r="K167" i="22" s="1"/>
  <c r="H168" i="22" l="1"/>
  <c r="X167" i="22"/>
  <c r="Y167" i="22" s="1"/>
  <c r="AG167" i="22" l="1"/>
  <c r="F168" i="22"/>
  <c r="AK167" i="22"/>
  <c r="G168" i="22" s="1"/>
  <c r="T168" i="22" a="1"/>
  <c r="T168" i="22" l="1"/>
  <c r="Q168" i="22" l="1"/>
  <c r="V168" i="22"/>
  <c r="AF168" i="22" s="1"/>
  <c r="E169" i="22" s="1"/>
  <c r="U168" i="22"/>
  <c r="AE168" i="22" s="1"/>
  <c r="D169" i="22" s="1"/>
  <c r="AD168" i="22"/>
  <c r="C169" i="22" s="1"/>
  <c r="W168" i="22" a="1"/>
  <c r="W168" i="22" l="1"/>
  <c r="P168" i="22" a="1"/>
  <c r="P168" i="22" l="1"/>
  <c r="AC168" i="22"/>
  <c r="I169" i="22" l="1"/>
  <c r="R168" i="22"/>
  <c r="S168" i="22" s="1"/>
  <c r="K168" i="22" s="1"/>
  <c r="B169" i="22"/>
  <c r="H169" i="22" l="1"/>
  <c r="X168" i="22"/>
  <c r="Y168" i="22" s="1"/>
  <c r="AG168" i="22" l="1"/>
  <c r="F169" i="22" l="1"/>
  <c r="AK168" i="22"/>
  <c r="G169" i="22" s="1"/>
  <c r="T169" i="22" a="1"/>
  <c r="T169" i="22" l="1"/>
  <c r="Q169" i="22" l="1"/>
  <c r="U169" i="22"/>
  <c r="AE169" i="22" s="1"/>
  <c r="D170" i="22" s="1"/>
  <c r="AD169" i="22"/>
  <c r="C170" i="22" s="1"/>
  <c r="V169" i="22"/>
  <c r="AF169" i="22" s="1"/>
  <c r="E170" i="22" s="1"/>
  <c r="W169" i="22" a="1"/>
  <c r="W169" i="22" l="1"/>
  <c r="P169" i="22" a="1"/>
  <c r="P169" i="22" l="1"/>
  <c r="AC169" i="22"/>
  <c r="B170" i="22" l="1"/>
  <c r="R169" i="22"/>
  <c r="S169" i="22" s="1"/>
  <c r="K169" i="22" s="1"/>
  <c r="I170" i="22"/>
  <c r="H170" i="22" l="1"/>
  <c r="X169" i="22"/>
  <c r="Y169" i="22" s="1"/>
  <c r="AG169" i="22" l="1"/>
  <c r="F170" i="22" l="1"/>
  <c r="AK169" i="22"/>
  <c r="G170" i="22" s="1"/>
  <c r="T170" i="22" a="1"/>
  <c r="T170" i="22" l="1"/>
  <c r="Q170" i="22" l="1"/>
  <c r="V170" i="22"/>
  <c r="AF170" i="22" s="1"/>
  <c r="E171" i="22" s="1"/>
  <c r="AD170" i="22"/>
  <c r="C171" i="22" s="1"/>
  <c r="U170" i="22"/>
  <c r="AE170" i="22" s="1"/>
  <c r="D171" i="22" s="1"/>
  <c r="W170" i="22" a="1"/>
  <c r="W170" i="22" l="1"/>
  <c r="P170" i="22" a="1"/>
  <c r="P170" i="22" l="1"/>
  <c r="AC170" i="22"/>
  <c r="I171" i="22" l="1"/>
  <c r="R170" i="22"/>
  <c r="S170" i="22" s="1"/>
  <c r="K170" i="22" s="1"/>
  <c r="B171" i="22"/>
  <c r="X170" i="22" l="1"/>
  <c r="Y170" i="22" s="1"/>
  <c r="H171" i="22"/>
  <c r="AG170" i="22" l="1"/>
  <c r="F171" i="22" l="1"/>
  <c r="AK170" i="22"/>
  <c r="G171" i="22" s="1"/>
  <c r="T171" i="22" a="1"/>
  <c r="T171" i="22" l="1"/>
  <c r="Q171" i="22" l="1"/>
  <c r="V171" i="22"/>
  <c r="AF171" i="22" s="1"/>
  <c r="E172" i="22" s="1"/>
  <c r="AD171" i="22"/>
  <c r="C172" i="22" s="1"/>
  <c r="U171" i="22"/>
  <c r="AE171" i="22" s="1"/>
  <c r="D172" i="22" s="1"/>
  <c r="W171" i="22" a="1"/>
  <c r="W171" i="22" l="1"/>
  <c r="P171" i="22" a="1"/>
  <c r="P171" i="22" l="1"/>
  <c r="AC171" i="22"/>
  <c r="B172" i="22" l="1"/>
  <c r="I172" i="22"/>
  <c r="R171" i="22"/>
  <c r="S171" i="22" s="1"/>
  <c r="K171" i="22" s="1"/>
  <c r="X171" i="22" l="1"/>
  <c r="Y171" i="22" s="1"/>
  <c r="H172" i="22"/>
  <c r="AG171" i="22" l="1"/>
  <c r="F172" i="22" l="1"/>
  <c r="AK171" i="22"/>
  <c r="G172" i="22" s="1"/>
  <c r="T172" i="22" a="1"/>
  <c r="T172" i="22" l="1"/>
  <c r="Q172" i="22" l="1"/>
  <c r="V172" i="22"/>
  <c r="AF172" i="22" s="1"/>
  <c r="E173" i="22" s="1"/>
  <c r="U172" i="22"/>
  <c r="AE172" i="22" s="1"/>
  <c r="D173" i="22" s="1"/>
  <c r="AD172" i="22"/>
  <c r="C173" i="22" s="1"/>
  <c r="W172" i="22" a="1"/>
  <c r="W172" i="22" l="1"/>
  <c r="P172" i="22" a="1"/>
  <c r="P172" i="22" l="1"/>
  <c r="AC172" i="22"/>
  <c r="B173" i="22" l="1"/>
  <c r="R172" i="22"/>
  <c r="S172" i="22" s="1"/>
  <c r="K172" i="22" s="1"/>
  <c r="I173" i="22"/>
  <c r="H173" i="22" l="1"/>
  <c r="X172" i="22"/>
  <c r="Y172" i="22" s="1"/>
  <c r="AG172" i="22" l="1"/>
  <c r="F173" i="22" l="1"/>
  <c r="AK172" i="22"/>
  <c r="G173" i="22" s="1"/>
  <c r="T173" i="22" a="1"/>
  <c r="T173" i="22" l="1"/>
  <c r="Q173" i="22" l="1"/>
  <c r="U173" i="22"/>
  <c r="AE173" i="22" s="1"/>
  <c r="D174" i="22" s="1"/>
  <c r="V173" i="22"/>
  <c r="AF173" i="22" s="1"/>
  <c r="E174" i="22" s="1"/>
  <c r="AD173" i="22"/>
  <c r="C174" i="22" s="1"/>
  <c r="W173" i="22" a="1"/>
  <c r="W173" i="22" l="1"/>
  <c r="P173" i="22" a="1"/>
  <c r="P173" i="22" l="1"/>
  <c r="AC173" i="22"/>
  <c r="B174" i="22" l="1"/>
  <c r="I174" i="22"/>
  <c r="R173" i="22"/>
  <c r="S173" i="22" s="1"/>
  <c r="K173" i="22" s="1"/>
  <c r="X173" i="22" l="1"/>
  <c r="Y173" i="22" s="1"/>
  <c r="H174" i="22"/>
  <c r="AG173" i="22" l="1"/>
  <c r="F174" i="22" l="1"/>
  <c r="AK173" i="22"/>
  <c r="G174" i="22" s="1"/>
  <c r="T174" i="22" a="1"/>
  <c r="T174" i="22" l="1"/>
  <c r="Q174" i="22" l="1"/>
  <c r="U174" i="22"/>
  <c r="AE174" i="22" s="1"/>
  <c r="D175" i="22" s="1"/>
  <c r="AD174" i="22"/>
  <c r="C175" i="22" s="1"/>
  <c r="V174" i="22"/>
  <c r="AF174" i="22" s="1"/>
  <c r="E175" i="22" s="1"/>
  <c r="W174" i="22" a="1"/>
  <c r="W174" i="22" l="1"/>
  <c r="P174" i="22" a="1"/>
  <c r="P174" i="22" l="1"/>
  <c r="AC174" i="22"/>
  <c r="B175" i="22" l="1"/>
  <c r="I175" i="22"/>
  <c r="R174" i="22"/>
  <c r="S174" i="22" s="1"/>
  <c r="K174" i="22" s="1"/>
  <c r="X174" i="22" l="1"/>
  <c r="Y174" i="22" s="1"/>
  <c r="H175" i="22"/>
  <c r="AG174" i="22" l="1"/>
  <c r="F175" i="22" l="1"/>
  <c r="AK174" i="22"/>
  <c r="G175" i="22" s="1"/>
  <c r="T175" i="22" a="1"/>
  <c r="T175" i="22" l="1"/>
  <c r="Q175" i="22" l="1"/>
  <c r="U175" i="22"/>
  <c r="AE175" i="22" s="1"/>
  <c r="D176" i="22" s="1"/>
  <c r="V175" i="22"/>
  <c r="AF175" i="22" s="1"/>
  <c r="E176" i="22" s="1"/>
  <c r="AD175" i="22"/>
  <c r="C176" i="22" s="1"/>
  <c r="W175" i="22" a="1"/>
  <c r="W175" i="22" l="1"/>
  <c r="P175" i="22" a="1"/>
  <c r="P175" i="22" l="1"/>
  <c r="AC175" i="22"/>
  <c r="B176" i="22" l="1"/>
  <c r="I176" i="22"/>
  <c r="R175" i="22"/>
  <c r="S175" i="22" s="1"/>
  <c r="K175" i="22" s="1"/>
  <c r="H176" i="22" l="1"/>
  <c r="X175" i="22"/>
  <c r="Y175" i="22" s="1"/>
  <c r="AG175" i="22" l="1"/>
  <c r="F176" i="22" l="1"/>
  <c r="AK175" i="22"/>
  <c r="G176" i="22" s="1"/>
  <c r="T176" i="22" a="1"/>
  <c r="T176" i="22" l="1"/>
  <c r="Q176" i="22" l="1"/>
  <c r="U176" i="22"/>
  <c r="AE176" i="22" s="1"/>
  <c r="D177" i="22" s="1"/>
  <c r="AD176" i="22"/>
  <c r="C177" i="22" s="1"/>
  <c r="V176" i="22"/>
  <c r="AF176" i="22" s="1"/>
  <c r="E177" i="22" s="1"/>
  <c r="W176" i="22" a="1"/>
  <c r="W176" i="22" l="1"/>
  <c r="P176" i="22" a="1"/>
  <c r="P176" i="22" l="1"/>
  <c r="AC176" i="22"/>
  <c r="I177" i="22" l="1"/>
  <c r="R176" i="22"/>
  <c r="S176" i="22" s="1"/>
  <c r="K176" i="22" s="1"/>
  <c r="B177" i="22"/>
  <c r="H177" i="22" l="1"/>
  <c r="X176" i="22"/>
  <c r="Y176" i="22" s="1"/>
  <c r="AG176" i="22" l="1"/>
  <c r="F177" i="22" s="1"/>
  <c r="AK176" i="22" l="1"/>
  <c r="G177" i="22" s="1"/>
  <c r="T177" i="22" a="1"/>
  <c r="T177" i="22" l="1"/>
  <c r="AD177" i="22" s="1"/>
  <c r="C178" i="22" s="1"/>
  <c r="Q177" i="22"/>
  <c r="U177" i="22"/>
  <c r="AE177" i="22" s="1"/>
  <c r="D178" i="22" s="1"/>
  <c r="V177" i="22" l="1"/>
  <c r="W177" i="22" a="1"/>
  <c r="W177" i="22" l="1"/>
  <c r="AF177" i="22"/>
  <c r="E178" i="22" s="1"/>
  <c r="P177" i="22" a="1"/>
  <c r="P177" i="22" l="1"/>
  <c r="I178" i="22" s="1"/>
  <c r="AC177" i="22"/>
  <c r="B178" i="22" s="1"/>
  <c r="R177" i="22"/>
  <c r="S177" i="22" s="1"/>
  <c r="K177" i="22" s="1"/>
  <c r="H178" i="22" l="1"/>
  <c r="X177" i="22"/>
  <c r="Y177" i="22" s="1"/>
  <c r="AG177" i="22" l="1"/>
  <c r="F178" i="22" l="1"/>
  <c r="AK177" i="22"/>
  <c r="G178" i="22" s="1"/>
  <c r="T178" i="22" a="1"/>
  <c r="T178" i="22" l="1"/>
  <c r="Q178" i="22" l="1"/>
  <c r="AD178" i="22"/>
  <c r="C179" i="22" s="1"/>
  <c r="V178" i="22"/>
  <c r="AF178" i="22" s="1"/>
  <c r="E179" i="22" s="1"/>
  <c r="U178" i="22"/>
  <c r="AE178" i="22" s="1"/>
  <c r="D179" i="22" s="1"/>
  <c r="W178" i="22" a="1"/>
  <c r="W178" i="22" l="1"/>
  <c r="P178" i="22" a="1"/>
  <c r="P178" i="22" l="1"/>
  <c r="AC178" i="22"/>
  <c r="B179" i="22" l="1"/>
  <c r="R178" i="22"/>
  <c r="S178" i="22" s="1"/>
  <c r="K178" i="22" s="1"/>
  <c r="I179" i="22"/>
  <c r="H179" i="22" l="1"/>
  <c r="X178" i="22"/>
  <c r="Y178" i="22" s="1"/>
  <c r="AG178" i="22" l="1"/>
  <c r="F179" i="22" l="1"/>
  <c r="AK178" i="22"/>
  <c r="G179" i="22" s="1"/>
  <c r="T179" i="22" a="1"/>
  <c r="T179" i="22" l="1"/>
  <c r="V179" i="22" l="1"/>
  <c r="AF179" i="22" s="1"/>
  <c r="E180" i="22" s="1"/>
  <c r="Q179" i="22"/>
  <c r="U179" i="22"/>
  <c r="AE179" i="22" s="1"/>
  <c r="D180" i="22" s="1"/>
  <c r="AD179" i="22"/>
  <c r="C180" i="22" s="1"/>
  <c r="W179" i="22" a="1"/>
  <c r="W179" i="22" l="1"/>
  <c r="P179" i="22" a="1"/>
  <c r="P179" i="22" l="1"/>
  <c r="AC179" i="22"/>
  <c r="B180" i="22" l="1"/>
  <c r="I180" i="22"/>
  <c r="R179" i="22"/>
  <c r="S179" i="22" s="1"/>
  <c r="K179" i="22" s="1"/>
  <c r="H180" i="22" l="1"/>
  <c r="X179" i="22"/>
  <c r="Y179" i="22" s="1"/>
  <c r="AG179" i="22" l="1"/>
  <c r="F180" i="22" l="1"/>
  <c r="AK179" i="22"/>
  <c r="G180" i="22" s="1"/>
  <c r="T180" i="22" a="1"/>
  <c r="T180" i="22" l="1"/>
  <c r="Q180" i="22" l="1"/>
  <c r="U180" i="22"/>
  <c r="AE180" i="22" s="1"/>
  <c r="D181" i="22" s="1"/>
  <c r="V180" i="22"/>
  <c r="AF180" i="22" s="1"/>
  <c r="E181" i="22" s="1"/>
  <c r="AD180" i="22"/>
  <c r="C181" i="22" s="1"/>
  <c r="W180" i="22" a="1"/>
  <c r="W180" i="22" l="1"/>
  <c r="P180" i="22" a="1"/>
  <c r="P180" i="22" l="1"/>
  <c r="AC180" i="22"/>
  <c r="B181" i="22" l="1"/>
  <c r="R180" i="22"/>
  <c r="S180" i="22" s="1"/>
  <c r="K180" i="22" s="1"/>
  <c r="I181" i="22"/>
  <c r="X180" i="22" l="1"/>
  <c r="Y180" i="22" s="1"/>
  <c r="H181" i="22"/>
  <c r="AG180" i="22" l="1"/>
  <c r="F181" i="22"/>
  <c r="AK180" i="22"/>
  <c r="G181" i="22" s="1"/>
  <c r="T181" i="22" a="1"/>
  <c r="T181" i="22" l="1"/>
  <c r="Q181" i="22" l="1"/>
  <c r="AD181" i="22"/>
  <c r="C182" i="22" s="1"/>
  <c r="V181" i="22"/>
  <c r="AF181" i="22" s="1"/>
  <c r="E182" i="22" s="1"/>
  <c r="U181" i="22"/>
  <c r="AE181" i="22" s="1"/>
  <c r="D182" i="22" s="1"/>
  <c r="W181" i="22" a="1"/>
  <c r="W181" i="22" l="1"/>
  <c r="P181" i="22" a="1"/>
  <c r="P181" i="22" l="1"/>
  <c r="AC181" i="22"/>
  <c r="B182" i="22" l="1"/>
  <c r="I182" i="22"/>
  <c r="R181" i="22"/>
  <c r="S181" i="22" s="1"/>
  <c r="K181" i="22" s="1"/>
  <c r="X181" i="22" l="1"/>
  <c r="Y181" i="22" s="1"/>
  <c r="H182" i="22"/>
  <c r="AG181" i="22" l="1"/>
  <c r="F182" i="22" l="1"/>
  <c r="AK181" i="22"/>
  <c r="G182" i="22" s="1"/>
  <c r="T182" i="22" a="1"/>
  <c r="T182" i="22" l="1"/>
  <c r="U182" i="22" l="1"/>
  <c r="AE182" i="22" s="1"/>
  <c r="D183" i="22" s="1"/>
  <c r="Q182" i="22"/>
  <c r="AD182" i="22"/>
  <c r="C183" i="22" s="1"/>
  <c r="V182" i="22"/>
  <c r="AF182" i="22" s="1"/>
  <c r="E183" i="22" s="1"/>
  <c r="W182" i="22" a="1"/>
  <c r="W182" i="22" l="1"/>
  <c r="P182" i="22" a="1"/>
  <c r="P182" i="22" l="1"/>
  <c r="AC182" i="22"/>
  <c r="B183" i="22" l="1"/>
  <c r="R182" i="22"/>
  <c r="S182" i="22" s="1"/>
  <c r="K182" i="22" s="1"/>
  <c r="I183" i="22"/>
  <c r="X182" i="22" l="1"/>
  <c r="Y182" i="22" s="1"/>
  <c r="H183" i="22"/>
  <c r="AG182" i="22" l="1"/>
  <c r="F183" i="22" l="1"/>
  <c r="AK182" i="22"/>
  <c r="G183" i="22" s="1"/>
  <c r="T183" i="22" a="1"/>
  <c r="T183" i="22" l="1"/>
  <c r="Q183" i="22" l="1"/>
  <c r="U183" i="22"/>
  <c r="AE183" i="22" s="1"/>
  <c r="D184" i="22" s="1"/>
  <c r="V183" i="22"/>
  <c r="AF183" i="22" s="1"/>
  <c r="E184" i="22" s="1"/>
  <c r="AD183" i="22"/>
  <c r="C184" i="22" s="1"/>
  <c r="W183" i="22" a="1"/>
  <c r="W183" i="22" l="1"/>
  <c r="P183" i="22" a="1"/>
  <c r="P183" i="22" l="1"/>
  <c r="AC183" i="22"/>
  <c r="B184" i="22" l="1"/>
  <c r="R183" i="22"/>
  <c r="S183" i="22" s="1"/>
  <c r="K183" i="22" s="1"/>
  <c r="I184" i="22"/>
  <c r="X183" i="22" l="1"/>
  <c r="Y183" i="22" s="1"/>
  <c r="H184" i="22"/>
  <c r="AG183" i="22" l="1"/>
  <c r="F184" i="22" l="1"/>
  <c r="AK183" i="22"/>
  <c r="G184" i="22" s="1"/>
  <c r="T184" i="22" a="1"/>
  <c r="T184" i="22" l="1"/>
  <c r="Q184" i="22" l="1"/>
  <c r="V184" i="22"/>
  <c r="AF184" i="22" s="1"/>
  <c r="E185" i="22" s="1"/>
  <c r="U184" i="22"/>
  <c r="AE184" i="22" s="1"/>
  <c r="D185" i="22" s="1"/>
  <c r="AD184" i="22"/>
  <c r="C185" i="22" s="1"/>
  <c r="W184" i="22" a="1"/>
  <c r="W184" i="22" l="1"/>
  <c r="P184" i="22" a="1"/>
  <c r="P184" i="22" l="1"/>
  <c r="AC184" i="22"/>
  <c r="I185" i="22" l="1"/>
  <c r="R184" i="22"/>
  <c r="S184" i="22" s="1"/>
  <c r="K184" i="22" s="1"/>
  <c r="B185" i="22"/>
  <c r="H185" i="22" l="1"/>
  <c r="X184" i="22"/>
  <c r="Y184" i="22" s="1"/>
  <c r="AG184" i="22" l="1"/>
  <c r="F185" i="22" l="1"/>
  <c r="AK184" i="22"/>
  <c r="G185" i="22" s="1"/>
  <c r="T185" i="22" a="1"/>
  <c r="T185" i="22" l="1"/>
  <c r="Q185" i="22" l="1"/>
  <c r="U185" i="22"/>
  <c r="AE185" i="22" s="1"/>
  <c r="D186" i="22" s="1"/>
  <c r="AD185" i="22"/>
  <c r="C186" i="22" s="1"/>
  <c r="V185" i="22"/>
  <c r="AF185" i="22" s="1"/>
  <c r="E186" i="22" s="1"/>
  <c r="W185" i="22" a="1"/>
  <c r="W185" i="22" l="1"/>
  <c r="P185" i="22" a="1"/>
  <c r="P185" i="22" l="1"/>
  <c r="AC185" i="22"/>
  <c r="R185" i="22" l="1"/>
  <c r="S185" i="22" s="1"/>
  <c r="K185" i="22" s="1"/>
  <c r="I186" i="22"/>
  <c r="B186" i="22"/>
  <c r="H186" i="22" l="1"/>
  <c r="X185" i="22"/>
  <c r="Y185" i="22" s="1"/>
  <c r="AG185" i="22" l="1"/>
  <c r="F186" i="22" l="1"/>
  <c r="AK185" i="22"/>
  <c r="G186" i="22" s="1"/>
  <c r="T186" i="22" a="1"/>
  <c r="T186" i="22" l="1"/>
  <c r="Q186" i="22" l="1"/>
  <c r="AD186" i="22"/>
  <c r="C187" i="22" s="1"/>
  <c r="U186" i="22"/>
  <c r="AE186" i="22" s="1"/>
  <c r="D187" i="22" s="1"/>
  <c r="V186" i="22"/>
  <c r="AF186" i="22" s="1"/>
  <c r="E187" i="22" s="1"/>
  <c r="W186" i="22" a="1"/>
  <c r="W186" i="22" l="1"/>
  <c r="P186" i="22" a="1"/>
  <c r="P186" i="22" l="1"/>
  <c r="AC186" i="22"/>
  <c r="R186" i="22" l="1"/>
  <c r="S186" i="22" s="1"/>
  <c r="K186" i="22" s="1"/>
  <c r="I187" i="22"/>
  <c r="B187" i="22"/>
  <c r="H187" i="22" l="1"/>
  <c r="X186" i="22"/>
  <c r="Y186" i="22" s="1"/>
  <c r="AG186" i="22" l="1"/>
  <c r="F187" i="22" l="1"/>
  <c r="AK186" i="22"/>
  <c r="G187" i="22" s="1"/>
  <c r="T187" i="22" a="1"/>
  <c r="T187" i="22" l="1"/>
  <c r="Q187" i="22" l="1"/>
  <c r="V187" i="22"/>
  <c r="AF187" i="22" s="1"/>
  <c r="E188" i="22" s="1"/>
  <c r="U187" i="22"/>
  <c r="AE187" i="22" s="1"/>
  <c r="D188" i="22" s="1"/>
  <c r="AD187" i="22"/>
  <c r="C188" i="22" s="1"/>
  <c r="W187" i="22" a="1"/>
  <c r="W187" i="22" l="1"/>
  <c r="P187" i="22" a="1"/>
  <c r="P187" i="22" l="1"/>
  <c r="AC187" i="22"/>
  <c r="B188" i="22" l="1"/>
  <c r="R187" i="22"/>
  <c r="S187" i="22" s="1"/>
  <c r="K187" i="22" s="1"/>
  <c r="I188" i="22"/>
  <c r="X187" i="22" l="1"/>
  <c r="Y187" i="22" s="1"/>
  <c r="H188" i="22"/>
  <c r="AG187" i="22" l="1"/>
  <c r="F188" i="22" s="1"/>
  <c r="AK187" i="22"/>
  <c r="G188" i="22" s="1"/>
  <c r="T188" i="22" a="1"/>
  <c r="T188" i="22" l="1"/>
  <c r="Q188" i="22" l="1"/>
  <c r="AD188" i="22"/>
  <c r="C189" i="22" s="1"/>
  <c r="V188" i="22"/>
  <c r="AF188" i="22" s="1"/>
  <c r="E189" i="22" s="1"/>
  <c r="U188" i="22"/>
  <c r="AE188" i="22" s="1"/>
  <c r="D189" i="22" s="1"/>
  <c r="W188" i="22" a="1"/>
  <c r="W188" i="22" l="1"/>
  <c r="P188" i="22" a="1"/>
  <c r="P188" i="22" l="1"/>
  <c r="AC188" i="22"/>
  <c r="I189" i="22" l="1"/>
  <c r="R188" i="22"/>
  <c r="S188" i="22" s="1"/>
  <c r="K188" i="22" s="1"/>
  <c r="B189" i="22"/>
  <c r="H189" i="22" l="1"/>
  <c r="X188" i="22"/>
  <c r="Y188" i="22" s="1"/>
  <c r="AG188" i="22" l="1"/>
  <c r="F189" i="22" l="1"/>
  <c r="AK188" i="22"/>
  <c r="G189" i="22" s="1"/>
  <c r="T189" i="22" a="1"/>
  <c r="T189" i="22" l="1"/>
  <c r="Q189" i="22" l="1"/>
  <c r="V189" i="22"/>
  <c r="AF189" i="22" s="1"/>
  <c r="E190" i="22" s="1"/>
  <c r="U189" i="22"/>
  <c r="AE189" i="22" s="1"/>
  <c r="D190" i="22" s="1"/>
  <c r="AD189" i="22"/>
  <c r="C190" i="22" s="1"/>
  <c r="W189" i="22" a="1"/>
  <c r="W189" i="22" l="1"/>
  <c r="P189" i="22" a="1"/>
  <c r="P189" i="22" l="1"/>
  <c r="AC189" i="22"/>
  <c r="B190" i="22" l="1"/>
  <c r="I190" i="22"/>
  <c r="R189" i="22"/>
  <c r="S189" i="22" s="1"/>
  <c r="K189" i="22" s="1"/>
  <c r="X189" i="22" l="1"/>
  <c r="Y189" i="22" s="1"/>
  <c r="H190" i="22"/>
  <c r="AG189" i="22" l="1"/>
  <c r="F190" i="22" l="1"/>
  <c r="AK189" i="22"/>
  <c r="G190" i="22" s="1"/>
  <c r="T190" i="22" a="1"/>
  <c r="T190" i="22" l="1"/>
  <c r="Q190" i="22" l="1"/>
  <c r="U190" i="22"/>
  <c r="AE190" i="22" s="1"/>
  <c r="D191" i="22" s="1"/>
  <c r="V190" i="22"/>
  <c r="AF190" i="22" s="1"/>
  <c r="E191" i="22" s="1"/>
  <c r="AD190" i="22"/>
  <c r="C191" i="22" s="1"/>
  <c r="W190" i="22" a="1"/>
  <c r="W190" i="22" l="1"/>
  <c r="P190" i="22" a="1"/>
  <c r="P190" i="22" l="1"/>
  <c r="AC190" i="22"/>
  <c r="B191" i="22" l="1"/>
  <c r="I191" i="22"/>
  <c r="R190" i="22"/>
  <c r="S190" i="22" s="1"/>
  <c r="K190" i="22" s="1"/>
  <c r="X190" i="22" l="1"/>
  <c r="Y190" i="22" s="1"/>
  <c r="H191" i="22"/>
  <c r="AG190" i="22" l="1"/>
  <c r="F191" i="22" l="1"/>
  <c r="AK190" i="22"/>
  <c r="G191" i="22" s="1"/>
  <c r="T191" i="22" a="1"/>
  <c r="T191" i="22" l="1"/>
  <c r="Q191" i="22" l="1"/>
  <c r="AD191" i="22"/>
  <c r="C192" i="22" s="1"/>
  <c r="V191" i="22"/>
  <c r="AF191" i="22" s="1"/>
  <c r="E192" i="22" s="1"/>
  <c r="U191" i="22"/>
  <c r="AE191" i="22" s="1"/>
  <c r="D192" i="22" s="1"/>
  <c r="W191" i="22" a="1"/>
  <c r="W191" i="22" l="1"/>
  <c r="P191" i="22" a="1"/>
  <c r="P191" i="22" l="1"/>
  <c r="AC191" i="22"/>
  <c r="B192" i="22" l="1"/>
  <c r="I192" i="22"/>
  <c r="R191" i="22"/>
  <c r="S191" i="22" s="1"/>
  <c r="K191" i="22" s="1"/>
  <c r="X191" i="22" l="1"/>
  <c r="Y191" i="22" s="1"/>
  <c r="H192" i="22"/>
  <c r="AG191" i="22" l="1"/>
  <c r="F192" i="22" l="1"/>
  <c r="AK191" i="22"/>
  <c r="G192" i="22" s="1"/>
  <c r="T192" i="22" a="1"/>
  <c r="T192" i="22" l="1"/>
  <c r="Q192" i="22" l="1"/>
  <c r="U192" i="22"/>
  <c r="AE192" i="22" s="1"/>
  <c r="D193" i="22" s="1"/>
  <c r="V192" i="22"/>
  <c r="AF192" i="22" s="1"/>
  <c r="E193" i="22" s="1"/>
  <c r="AD192" i="22"/>
  <c r="C193" i="22" s="1"/>
  <c r="W192" i="22" a="1"/>
  <c r="W192" i="22" l="1"/>
  <c r="P192" i="22" a="1"/>
  <c r="P192" i="22" l="1"/>
  <c r="AC192" i="22"/>
  <c r="B193" i="22" l="1"/>
  <c r="I193" i="22"/>
  <c r="R192" i="22"/>
  <c r="S192" i="22" s="1"/>
  <c r="K192" i="22" s="1"/>
  <c r="X192" i="22" l="1"/>
  <c r="Y192" i="22" s="1"/>
  <c r="H193" i="22"/>
  <c r="AG192" i="22" l="1"/>
  <c r="F193" i="22" l="1"/>
  <c r="AK192" i="22"/>
  <c r="G193" i="22" s="1"/>
  <c r="T193" i="22" a="1"/>
  <c r="T193" i="22" l="1"/>
  <c r="Q193" i="22" l="1"/>
  <c r="V193" i="22"/>
  <c r="AF193" i="22" s="1"/>
  <c r="E194" i="22" s="1"/>
  <c r="AD193" i="22"/>
  <c r="C194" i="22" s="1"/>
  <c r="U193" i="22"/>
  <c r="AE193" i="22" s="1"/>
  <c r="D194" i="22" s="1"/>
  <c r="W193" i="22" a="1"/>
  <c r="W193" i="22" l="1"/>
  <c r="P193" i="22" a="1"/>
  <c r="P193" i="22" l="1"/>
  <c r="AC193" i="22"/>
  <c r="R193" i="22" l="1"/>
  <c r="S193" i="22" s="1"/>
  <c r="K193" i="22" s="1"/>
  <c r="I194" i="22"/>
  <c r="B194" i="22"/>
  <c r="H194" i="22" l="1"/>
  <c r="X193" i="22"/>
  <c r="Y193" i="22" s="1"/>
  <c r="AG193" i="22" l="1"/>
  <c r="F194" i="22" l="1"/>
  <c r="AK193" i="22"/>
  <c r="G194" i="22" s="1"/>
  <c r="T194" i="22" a="1"/>
  <c r="T194" i="22" l="1"/>
  <c r="Q194" i="22" l="1"/>
  <c r="U194" i="22"/>
  <c r="AE194" i="22" s="1"/>
  <c r="D195" i="22" s="1"/>
  <c r="AD194" i="22"/>
  <c r="C195" i="22" s="1"/>
  <c r="V194" i="22"/>
  <c r="AF194" i="22" s="1"/>
  <c r="E195" i="22" s="1"/>
  <c r="W194" i="22" a="1"/>
  <c r="W194" i="22" l="1"/>
  <c r="P194" i="22" a="1"/>
  <c r="P194" i="22" l="1"/>
  <c r="AC194" i="22"/>
  <c r="R194" i="22" l="1"/>
  <c r="S194" i="22" s="1"/>
  <c r="K194" i="22" s="1"/>
  <c r="I195" i="22"/>
  <c r="B195" i="22"/>
  <c r="X194" i="22" l="1"/>
  <c r="Y194" i="22" s="1"/>
  <c r="H195" i="22"/>
  <c r="AG194" i="22" l="1"/>
  <c r="F195" i="22" l="1"/>
  <c r="AK194" i="22"/>
  <c r="G195" i="22" s="1"/>
  <c r="T195" i="22" a="1"/>
  <c r="T195" i="22" l="1"/>
  <c r="Q195" i="22" l="1"/>
  <c r="U195" i="22"/>
  <c r="AE195" i="22" s="1"/>
  <c r="D196" i="22" s="1"/>
  <c r="AD195" i="22"/>
  <c r="C196" i="22" s="1"/>
  <c r="V195" i="22"/>
  <c r="AF195" i="22" s="1"/>
  <c r="E196" i="22" s="1"/>
  <c r="W195" i="22" a="1"/>
  <c r="W195" i="22" l="1"/>
  <c r="P195" i="22" a="1"/>
  <c r="P195" i="22" l="1"/>
  <c r="AC195" i="22"/>
  <c r="B196" i="22" l="1"/>
  <c r="I196" i="22"/>
  <c r="R195" i="22"/>
  <c r="S195" i="22" s="1"/>
  <c r="K195" i="22" s="1"/>
  <c r="X195" i="22" l="1"/>
  <c r="Y195" i="22" s="1"/>
  <c r="H196" i="22"/>
  <c r="AG195" i="22" l="1"/>
  <c r="F196" i="22" l="1"/>
  <c r="AK195" i="22"/>
  <c r="G196" i="22" s="1"/>
  <c r="T196" i="22" a="1"/>
  <c r="T196" i="22" l="1"/>
  <c r="Q196" i="22" l="1"/>
  <c r="U196" i="22"/>
  <c r="AE196" i="22" s="1"/>
  <c r="D197" i="22" s="1"/>
  <c r="V196" i="22"/>
  <c r="AF196" i="22" s="1"/>
  <c r="E197" i="22" s="1"/>
  <c r="AD196" i="22"/>
  <c r="C197" i="22" s="1"/>
  <c r="W196" i="22" a="1"/>
  <c r="W196" i="22" l="1"/>
  <c r="P196" i="22" a="1"/>
  <c r="P196" i="22" l="1"/>
  <c r="AC196" i="22"/>
  <c r="B197" i="22" l="1"/>
  <c r="I197" i="22"/>
  <c r="R196" i="22"/>
  <c r="S196" i="22" s="1"/>
  <c r="K196" i="22" s="1"/>
  <c r="H197" i="22" l="1"/>
  <c r="X196" i="22"/>
  <c r="Y196" i="22" s="1"/>
  <c r="AG196" i="22" l="1"/>
  <c r="F197" i="22" l="1"/>
  <c r="AK196" i="22"/>
  <c r="G197" i="22" s="1"/>
  <c r="T197" i="22" a="1"/>
  <c r="T197" i="22" l="1"/>
  <c r="Q197" i="22" l="1"/>
  <c r="AD197" i="22"/>
  <c r="C198" i="22" s="1"/>
  <c r="V197" i="22"/>
  <c r="AF197" i="22" s="1"/>
  <c r="E198" i="22" s="1"/>
  <c r="U197" i="22"/>
  <c r="AE197" i="22" s="1"/>
  <c r="D198" i="22" s="1"/>
  <c r="W197" i="22" a="1"/>
  <c r="W197" i="22" l="1"/>
  <c r="P197" i="22" a="1"/>
  <c r="P197" i="22" l="1"/>
  <c r="AC197" i="22"/>
  <c r="B198" i="22" l="1"/>
  <c r="I198" i="22"/>
  <c r="R197" i="22"/>
  <c r="S197" i="22" s="1"/>
  <c r="K197" i="22" s="1"/>
  <c r="X197" i="22" l="1"/>
  <c r="Y197" i="22" s="1"/>
  <c r="H198" i="22"/>
  <c r="AG197" i="22" l="1"/>
  <c r="F198" i="22" l="1"/>
  <c r="AK197" i="22"/>
  <c r="G198" i="22" s="1"/>
  <c r="T198" i="22" a="1"/>
  <c r="T198" i="22" l="1"/>
  <c r="Q198" i="22" l="1"/>
  <c r="U198" i="22"/>
  <c r="AE198" i="22" s="1"/>
  <c r="D199" i="22" s="1"/>
  <c r="AD198" i="22"/>
  <c r="C199" i="22" s="1"/>
  <c r="V198" i="22"/>
  <c r="AF198" i="22" s="1"/>
  <c r="E199" i="22" s="1"/>
  <c r="W198" i="22" a="1"/>
  <c r="W198" i="22" l="1"/>
  <c r="P198" i="22" a="1"/>
  <c r="P198" i="22" l="1"/>
  <c r="AC198" i="22"/>
  <c r="R198" i="22" l="1"/>
  <c r="S198" i="22" s="1"/>
  <c r="K198" i="22" s="1"/>
  <c r="I199" i="22"/>
  <c r="B199" i="22"/>
  <c r="H199" i="22" l="1"/>
  <c r="X198" i="22"/>
  <c r="Y198" i="22" s="1"/>
  <c r="AG198" i="22" l="1"/>
  <c r="F199" i="22" l="1"/>
  <c r="AK198" i="22"/>
  <c r="G199" i="22" s="1"/>
  <c r="T199" i="22" a="1"/>
  <c r="T199" i="22" l="1"/>
  <c r="Q199" i="22" l="1"/>
  <c r="U199" i="22"/>
  <c r="AE199" i="22" s="1"/>
  <c r="D200" i="22" s="1"/>
  <c r="AD199" i="22"/>
  <c r="C200" i="22" s="1"/>
  <c r="V199" i="22"/>
  <c r="AF199" i="22" s="1"/>
  <c r="E200" i="22" s="1"/>
  <c r="W199" i="22" a="1"/>
  <c r="W199" i="22" l="1"/>
  <c r="P199" i="22" a="1"/>
  <c r="P199" i="22" l="1"/>
  <c r="AC199" i="22"/>
  <c r="B200" i="22" l="1"/>
  <c r="I200" i="22"/>
  <c r="R199" i="22"/>
  <c r="S199" i="22" s="1"/>
  <c r="K199" i="22" s="1"/>
  <c r="X199" i="22" l="1"/>
  <c r="Y199" i="22" s="1"/>
  <c r="H200" i="22"/>
  <c r="AG199" i="22" l="1"/>
  <c r="F200" i="22" l="1"/>
  <c r="AK199" i="22"/>
  <c r="G200" i="22" s="1"/>
  <c r="T200" i="22" a="1"/>
  <c r="T200" i="22" l="1"/>
  <c r="Q200" i="22" l="1"/>
  <c r="V200" i="22"/>
  <c r="AF200" i="22" s="1"/>
  <c r="E201" i="22" s="1"/>
  <c r="AD200" i="22"/>
  <c r="C201" i="22" s="1"/>
  <c r="U200" i="22"/>
  <c r="AE200" i="22" s="1"/>
  <c r="D201" i="22" s="1"/>
  <c r="W200" i="22" a="1"/>
  <c r="W200" i="22" l="1"/>
  <c r="P200" i="22" a="1"/>
  <c r="P200" i="22" l="1"/>
  <c r="AC200" i="22"/>
  <c r="B201" i="22" l="1"/>
  <c r="R200" i="22"/>
  <c r="S200" i="22" s="1"/>
  <c r="K200" i="22" s="1"/>
  <c r="I201" i="22"/>
  <c r="X200" i="22" l="1"/>
  <c r="Y200" i="22" s="1"/>
  <c r="H201" i="22"/>
  <c r="AG200" i="22" l="1"/>
  <c r="F201" i="22" l="1"/>
  <c r="AK200" i="22"/>
  <c r="G201" i="22" s="1"/>
  <c r="T201" i="22" a="1"/>
  <c r="T201" i="22" l="1"/>
  <c r="Q201" i="22" l="1"/>
  <c r="U201" i="22"/>
  <c r="AE201" i="22" s="1"/>
  <c r="D202" i="22" s="1"/>
  <c r="AD201" i="22"/>
  <c r="C202" i="22" s="1"/>
  <c r="V201" i="22"/>
  <c r="AF201" i="22" s="1"/>
  <c r="E202" i="22" s="1"/>
  <c r="W201" i="22" a="1"/>
  <c r="W201" i="22" l="1"/>
  <c r="P201" i="22" a="1"/>
  <c r="P201" i="22" l="1"/>
  <c r="AC201" i="22"/>
  <c r="B202" i="22" l="1"/>
  <c r="I202" i="22"/>
  <c r="R201" i="22"/>
  <c r="S201" i="22" s="1"/>
  <c r="K201" i="22" s="1"/>
  <c r="H202" i="22" l="1"/>
  <c r="X201" i="22"/>
  <c r="Y201" i="22" s="1"/>
  <c r="AG201" i="22" l="1"/>
  <c r="F202" i="22" l="1"/>
  <c r="AK201" i="22"/>
  <c r="G202" i="22" s="1"/>
  <c r="T202" i="22" a="1"/>
  <c r="T202" i="22" l="1"/>
  <c r="Q202" i="22" l="1"/>
  <c r="U202" i="22"/>
  <c r="AE202" i="22" s="1"/>
  <c r="D203" i="22" s="1"/>
  <c r="AD202" i="22"/>
  <c r="C203" i="22" s="1"/>
  <c r="V202" i="22"/>
  <c r="AF202" i="22" s="1"/>
  <c r="E203" i="22" s="1"/>
  <c r="W202" i="22" a="1"/>
  <c r="W202" i="22" l="1"/>
  <c r="P202" i="22" a="1"/>
  <c r="P202" i="22" l="1"/>
  <c r="AC202" i="22"/>
  <c r="R202" i="22" l="1"/>
  <c r="S202" i="22" s="1"/>
  <c r="K202" i="22" s="1"/>
  <c r="I203" i="22"/>
  <c r="B203" i="22"/>
  <c r="X202" i="22" l="1"/>
  <c r="Y202" i="22" s="1"/>
  <c r="H203" i="22"/>
  <c r="AG202" i="22" l="1"/>
  <c r="F203" i="22" l="1"/>
  <c r="AK202" i="22"/>
  <c r="G203" i="22" s="1"/>
  <c r="T203" i="22" a="1"/>
  <c r="T203" i="22" l="1"/>
  <c r="Q203" i="22" l="1"/>
  <c r="AD203" i="22"/>
  <c r="C204" i="22" s="1"/>
  <c r="U203" i="22"/>
  <c r="AE203" i="22" s="1"/>
  <c r="D204" i="22" s="1"/>
  <c r="V203" i="22"/>
  <c r="AF203" i="22" s="1"/>
  <c r="E204" i="22" s="1"/>
  <c r="W203" i="22" a="1"/>
  <c r="W203" i="22" l="1"/>
  <c r="P203" i="22" a="1"/>
  <c r="P203" i="22" l="1"/>
  <c r="AC203" i="22"/>
  <c r="I204" i="22" l="1"/>
  <c r="R203" i="22"/>
  <c r="S203" i="22" s="1"/>
  <c r="K203" i="22" s="1"/>
  <c r="B204" i="22"/>
  <c r="H204" i="22" l="1"/>
  <c r="X203" i="22"/>
  <c r="Y203" i="22" s="1"/>
  <c r="AG203" i="22" l="1"/>
  <c r="F204" i="22" l="1"/>
  <c r="AK203" i="22"/>
  <c r="G204" i="22" s="1"/>
  <c r="T204" i="22" a="1"/>
  <c r="T204" i="22" l="1"/>
  <c r="Q204" i="22" l="1"/>
  <c r="V204" i="22"/>
  <c r="AF204" i="22" s="1"/>
  <c r="E205" i="22" s="1"/>
  <c r="AD204" i="22"/>
  <c r="C205" i="22" s="1"/>
  <c r="U204" i="22"/>
  <c r="AE204" i="22" s="1"/>
  <c r="D205" i="22" s="1"/>
  <c r="W204" i="22" a="1"/>
  <c r="W204" i="22" l="1"/>
  <c r="P204" i="22" a="1"/>
  <c r="P204" i="22" l="1"/>
  <c r="AC204" i="22"/>
  <c r="R204" i="22" l="1"/>
  <c r="S204" i="22" s="1"/>
  <c r="K204" i="22" s="1"/>
  <c r="I205" i="22"/>
  <c r="B205" i="22"/>
  <c r="H205" i="22" l="1"/>
  <c r="X204" i="22"/>
  <c r="Y204" i="22" s="1"/>
  <c r="AG204" i="22" l="1"/>
  <c r="F205" i="22" l="1"/>
  <c r="AK204" i="22"/>
  <c r="G205" i="22" s="1"/>
  <c r="T205" i="22" a="1"/>
  <c r="T205" i="22" l="1"/>
  <c r="Q205" i="22" l="1"/>
  <c r="V205" i="22"/>
  <c r="AF205" i="22" s="1"/>
  <c r="E206" i="22" s="1"/>
  <c r="AD205" i="22"/>
  <c r="C206" i="22" s="1"/>
  <c r="U205" i="22"/>
  <c r="AE205" i="22" s="1"/>
  <c r="D206" i="22" s="1"/>
  <c r="W205" i="22" a="1"/>
  <c r="W205" i="22" l="1"/>
  <c r="P205" i="22" a="1"/>
  <c r="P205" i="22" l="1"/>
  <c r="AC205" i="22"/>
  <c r="R205" i="22" l="1"/>
  <c r="S205" i="22" s="1"/>
  <c r="K205" i="22" s="1"/>
  <c r="I206" i="22"/>
  <c r="B206" i="22"/>
  <c r="X205" i="22" l="1"/>
  <c r="Y205" i="22" s="1"/>
  <c r="H206" i="22"/>
  <c r="AG205" i="22" l="1"/>
  <c r="F206" i="22" l="1"/>
  <c r="AK205" i="22"/>
  <c r="G206" i="22" s="1"/>
  <c r="T206" i="22" a="1"/>
  <c r="T206" i="22" l="1"/>
  <c r="Q206" i="22" l="1"/>
  <c r="U206" i="22"/>
  <c r="AE206" i="22" s="1"/>
  <c r="D207" i="22" s="1"/>
  <c r="V206" i="22"/>
  <c r="AF206" i="22" s="1"/>
  <c r="E207" i="22" s="1"/>
  <c r="AD206" i="22"/>
  <c r="C207" i="22" s="1"/>
  <c r="W206" i="22" a="1"/>
  <c r="W206" i="22" l="1"/>
  <c r="P206" i="22" a="1"/>
  <c r="P206" i="22" l="1"/>
  <c r="AC206" i="22"/>
  <c r="B207" i="22" l="1"/>
  <c r="R206" i="22"/>
  <c r="S206" i="22" s="1"/>
  <c r="K206" i="22" s="1"/>
  <c r="I207" i="22"/>
  <c r="X206" i="22" l="1"/>
  <c r="Y206" i="22" s="1"/>
  <c r="H207" i="22"/>
  <c r="AG206" i="22" l="1"/>
  <c r="F207" i="22" l="1"/>
  <c r="AK206" i="22"/>
  <c r="G207" i="22" s="1"/>
  <c r="T207" i="22" a="1"/>
  <c r="T207" i="22" l="1"/>
  <c r="Q207" i="22" l="1"/>
  <c r="AD207" i="22"/>
  <c r="C208" i="22" s="1"/>
  <c r="V207" i="22"/>
  <c r="AF207" i="22" s="1"/>
  <c r="E208" i="22" s="1"/>
  <c r="U207" i="22"/>
  <c r="AE207" i="22" s="1"/>
  <c r="D208" i="22" s="1"/>
  <c r="W207" i="22" a="1"/>
  <c r="W207" i="22" l="1"/>
  <c r="P207" i="22" a="1"/>
  <c r="P207" i="22" l="1"/>
  <c r="AC207" i="22"/>
  <c r="B208" i="22" l="1"/>
  <c r="R207" i="22"/>
  <c r="S207" i="22" s="1"/>
  <c r="K207" i="22" s="1"/>
  <c r="I208" i="22"/>
  <c r="H208" i="22" l="1"/>
  <c r="X207" i="22"/>
  <c r="Y207" i="22" s="1"/>
  <c r="AG207" i="22" l="1"/>
  <c r="F208" i="22" l="1"/>
  <c r="AK207" i="22"/>
  <c r="G208" i="22" s="1"/>
  <c r="T208" i="22" a="1"/>
  <c r="T208" i="22" l="1"/>
  <c r="Q208" i="22" l="1"/>
  <c r="V208" i="22"/>
  <c r="AF208" i="22" s="1"/>
  <c r="E209" i="22" s="1"/>
  <c r="AD208" i="22"/>
  <c r="C209" i="22" s="1"/>
  <c r="U208" i="22"/>
  <c r="AE208" i="22" s="1"/>
  <c r="D209" i="22" s="1"/>
  <c r="W208" i="22" a="1"/>
  <c r="W208" i="22" l="1"/>
  <c r="P208" i="22" a="1"/>
  <c r="P208" i="22" l="1"/>
  <c r="AC208" i="22"/>
  <c r="I209" i="22" l="1"/>
  <c r="R208" i="22"/>
  <c r="S208" i="22" s="1"/>
  <c r="K208" i="22" s="1"/>
  <c r="B209" i="22"/>
  <c r="H209" i="22" l="1"/>
  <c r="X208" i="22"/>
  <c r="Y208" i="22" s="1"/>
  <c r="AG208" i="22" l="1"/>
  <c r="F209" i="22" l="1"/>
  <c r="AK208" i="22"/>
  <c r="G209" i="22" s="1"/>
  <c r="T209" i="22" a="1"/>
  <c r="T209" i="22" l="1"/>
  <c r="Q209" i="22" l="1"/>
  <c r="V209" i="22"/>
  <c r="AF209" i="22" s="1"/>
  <c r="E210" i="22" s="1"/>
  <c r="AD209" i="22"/>
  <c r="C210" i="22" s="1"/>
  <c r="U209" i="22"/>
  <c r="AE209" i="22" s="1"/>
  <c r="D210" i="22" s="1"/>
  <c r="W209" i="22" a="1"/>
  <c r="W209" i="22" l="1"/>
  <c r="P209" i="22" a="1"/>
  <c r="P209" i="22" l="1"/>
  <c r="AC209" i="22"/>
  <c r="I210" i="22" l="1"/>
  <c r="R209" i="22"/>
  <c r="S209" i="22" s="1"/>
  <c r="K209" i="22" s="1"/>
  <c r="B210" i="22"/>
  <c r="H210" i="22" l="1"/>
  <c r="X209" i="22"/>
  <c r="Y209" i="22" s="1"/>
  <c r="AG209" i="22" l="1"/>
  <c r="F210" i="22" l="1"/>
  <c r="AK209" i="22"/>
  <c r="G210" i="22" s="1"/>
  <c r="T210" i="22" a="1"/>
  <c r="T210" i="22" l="1"/>
  <c r="Q210" i="22" l="1"/>
  <c r="AD210" i="22"/>
  <c r="C211" i="22" s="1"/>
  <c r="U210" i="22"/>
  <c r="AE210" i="22" s="1"/>
  <c r="D211" i="22" s="1"/>
  <c r="V210" i="22"/>
  <c r="AF210" i="22" s="1"/>
  <c r="E211" i="22" s="1"/>
  <c r="W210" i="22" a="1"/>
  <c r="W210" i="22" l="1"/>
  <c r="P210" i="22" a="1"/>
  <c r="P210" i="22" l="1"/>
  <c r="AC210" i="22"/>
  <c r="I211" i="22" l="1"/>
  <c r="R210" i="22"/>
  <c r="S210" i="22" s="1"/>
  <c r="K210" i="22" s="1"/>
  <c r="B211" i="22"/>
  <c r="X210" i="22" l="1"/>
  <c r="Y210" i="22" s="1"/>
  <c r="H211" i="22"/>
  <c r="AG210" i="22" l="1"/>
  <c r="F211" i="22" l="1"/>
  <c r="AK210" i="22"/>
  <c r="G211" i="22" s="1"/>
  <c r="T211" i="22" a="1"/>
  <c r="T211" i="22" l="1"/>
  <c r="Q211" i="22" l="1"/>
  <c r="V211" i="22"/>
  <c r="AF211" i="22" s="1"/>
  <c r="E212" i="22" s="1"/>
  <c r="AD211" i="22"/>
  <c r="C212" i="22" s="1"/>
  <c r="U211" i="22"/>
  <c r="AE211" i="22" s="1"/>
  <c r="D212" i="22" s="1"/>
  <c r="W211" i="22" a="1"/>
  <c r="W211" i="22" l="1"/>
  <c r="P211" i="22" a="1"/>
  <c r="P211" i="22" l="1"/>
  <c r="AC211" i="22"/>
  <c r="B212" i="22" l="1"/>
  <c r="R211" i="22"/>
  <c r="S211" i="22" s="1"/>
  <c r="K211" i="22" s="1"/>
  <c r="I212" i="22"/>
  <c r="X211" i="22" l="1"/>
  <c r="Y211" i="22" s="1"/>
  <c r="H212" i="22"/>
  <c r="AG211" i="22" l="1"/>
  <c r="F212" i="22" l="1"/>
  <c r="AK211" i="22"/>
  <c r="G212" i="22" s="1"/>
  <c r="T212" i="22" a="1"/>
  <c r="T212" i="22" l="1"/>
  <c r="Q212" i="22" l="1"/>
  <c r="U212" i="22"/>
  <c r="AE212" i="22" s="1"/>
  <c r="D213" i="22" s="1"/>
  <c r="AD212" i="22"/>
  <c r="C213" i="22" s="1"/>
  <c r="V212" i="22"/>
  <c r="AF212" i="22" s="1"/>
  <c r="E213" i="22" s="1"/>
  <c r="W212" i="22" a="1"/>
  <c r="W212" i="22" l="1"/>
  <c r="P212" i="22" a="1"/>
  <c r="P212" i="22" l="1"/>
  <c r="AC212" i="22"/>
  <c r="R212" i="22" l="1"/>
  <c r="S212" i="22" s="1"/>
  <c r="K212" i="22" s="1"/>
  <c r="I213" i="22"/>
  <c r="B213" i="22"/>
  <c r="H213" i="22" l="1"/>
  <c r="X212" i="22"/>
  <c r="Y212" i="22" s="1"/>
  <c r="AG212" i="22" l="1"/>
  <c r="F213" i="22" l="1"/>
  <c r="AK212" i="22"/>
  <c r="G213" i="22" s="1"/>
  <c r="T213" i="22" a="1"/>
  <c r="T213" i="22" l="1"/>
  <c r="Q213" i="22" l="1"/>
  <c r="AD213" i="22"/>
  <c r="C214" i="22" s="1"/>
  <c r="U213" i="22"/>
  <c r="AE213" i="22" s="1"/>
  <c r="D214" i="22" s="1"/>
  <c r="V213" i="22"/>
  <c r="AF213" i="22" s="1"/>
  <c r="E214" i="22" s="1"/>
  <c r="W213" i="22" a="1"/>
  <c r="W213" i="22" l="1"/>
  <c r="P213" i="22" a="1"/>
  <c r="P213" i="22" l="1"/>
  <c r="AC213" i="22"/>
  <c r="R213" i="22" l="1"/>
  <c r="S213" i="22" s="1"/>
  <c r="K213" i="22" s="1"/>
  <c r="I214" i="22"/>
  <c r="B214" i="22"/>
  <c r="H214" i="22" l="1"/>
  <c r="X213" i="22"/>
  <c r="Y213" i="22" s="1"/>
  <c r="AG213" i="22" l="1"/>
  <c r="F214" i="22" l="1"/>
  <c r="AK213" i="22"/>
  <c r="G214" i="22" s="1"/>
  <c r="T214" i="22" a="1"/>
  <c r="T214" i="22" l="1"/>
  <c r="Q214" i="22" l="1"/>
  <c r="V214" i="22"/>
  <c r="AF214" i="22" s="1"/>
  <c r="E215" i="22" s="1"/>
  <c r="AD214" i="22"/>
  <c r="C215" i="22" s="1"/>
  <c r="U214" i="22"/>
  <c r="AE214" i="22" s="1"/>
  <c r="D215" i="22" s="1"/>
  <c r="W214" i="22" a="1"/>
  <c r="W214" i="22" l="1"/>
  <c r="P214" i="22" a="1"/>
  <c r="P214" i="22" l="1"/>
  <c r="AC214" i="22"/>
  <c r="B215" i="22" l="1"/>
  <c r="R214" i="22"/>
  <c r="S214" i="22" s="1"/>
  <c r="K214" i="22" s="1"/>
  <c r="I215" i="22"/>
  <c r="X214" i="22" l="1"/>
  <c r="Y214" i="22" s="1"/>
  <c r="H215" i="22"/>
  <c r="AG214" i="22" l="1"/>
  <c r="F215" i="22" s="1"/>
  <c r="AK214" i="22"/>
  <c r="G215" i="22" s="1"/>
  <c r="T215" i="22" a="1"/>
  <c r="T215" i="22" l="1"/>
  <c r="Q215" i="22" l="1"/>
  <c r="U215" i="22"/>
  <c r="AE215" i="22" s="1"/>
  <c r="D216" i="22" s="1"/>
  <c r="AD215" i="22"/>
  <c r="C216" i="22" s="1"/>
  <c r="V215" i="22"/>
  <c r="AF215" i="22" s="1"/>
  <c r="E216" i="22" s="1"/>
  <c r="W215" i="22" a="1"/>
  <c r="W215" i="22" l="1"/>
  <c r="P215" i="22" a="1"/>
  <c r="P215" i="22" l="1"/>
  <c r="AC215" i="22"/>
  <c r="B216" i="22" l="1"/>
  <c r="R215" i="22"/>
  <c r="S215" i="22" s="1"/>
  <c r="K215" i="22" s="1"/>
  <c r="I216" i="22"/>
  <c r="H216" i="22" l="1"/>
  <c r="X215" i="22"/>
  <c r="Y215" i="22" s="1"/>
  <c r="AG215" i="22" l="1"/>
  <c r="F216" i="22"/>
  <c r="AK215" i="22"/>
  <c r="G216" i="22" s="1"/>
  <c r="T216" i="22" a="1"/>
  <c r="T216" i="22" l="1"/>
  <c r="AD216" i="22" l="1"/>
  <c r="C217" i="22" s="1"/>
  <c r="Q216" i="22"/>
  <c r="V216" i="22"/>
  <c r="AF216" i="22" s="1"/>
  <c r="E217" i="22" s="1"/>
  <c r="U216" i="22"/>
  <c r="AE216" i="22" s="1"/>
  <c r="D217" i="22" s="1"/>
  <c r="W216" i="22" a="1"/>
  <c r="W216" i="22" l="1"/>
  <c r="P216" i="22" a="1"/>
  <c r="P216" i="22" l="1"/>
  <c r="AC216" i="22"/>
  <c r="B217" i="22" l="1"/>
  <c r="I217" i="22"/>
  <c r="R216" i="22"/>
  <c r="S216" i="22" s="1"/>
  <c r="K216" i="22" s="1"/>
  <c r="X216" i="22" l="1"/>
  <c r="Y216" i="22" s="1"/>
  <c r="H217" i="22"/>
  <c r="AG216" i="22" l="1"/>
  <c r="F217" i="22" l="1"/>
  <c r="AK216" i="22"/>
  <c r="G217" i="22" s="1"/>
  <c r="T217" i="22" a="1"/>
  <c r="T217" i="22" l="1"/>
  <c r="Q217" i="22" l="1"/>
  <c r="U217" i="22"/>
  <c r="AE217" i="22" s="1"/>
  <c r="D218" i="22" s="1"/>
  <c r="AD217" i="22"/>
  <c r="C218" i="22" s="1"/>
  <c r="V217" i="22"/>
  <c r="AF217" i="22" s="1"/>
  <c r="E218" i="22" s="1"/>
  <c r="W217" i="22" a="1"/>
  <c r="W217" i="22" l="1"/>
  <c r="P217" i="22" a="1"/>
  <c r="P217" i="22" l="1"/>
  <c r="AC217" i="22"/>
  <c r="B218" i="22" l="1"/>
  <c r="R217" i="22"/>
  <c r="S217" i="22" s="1"/>
  <c r="K217" i="22" s="1"/>
  <c r="I218" i="22"/>
  <c r="H218" i="22" l="1"/>
  <c r="X217" i="22"/>
  <c r="Y217" i="22" s="1"/>
  <c r="AG217" i="22" l="1"/>
  <c r="F218" i="22" l="1"/>
  <c r="AK217" i="22"/>
  <c r="G218" i="22" s="1"/>
  <c r="T218" i="22" a="1"/>
  <c r="T218" i="22" l="1"/>
  <c r="Q218" i="22" l="1"/>
  <c r="V218" i="22"/>
  <c r="AF218" i="22" s="1"/>
  <c r="E219" i="22" s="1"/>
  <c r="AD218" i="22"/>
  <c r="C219" i="22" s="1"/>
  <c r="U218" i="22"/>
  <c r="AE218" i="22" s="1"/>
  <c r="D219" i="22" s="1"/>
  <c r="W218" i="22" a="1"/>
  <c r="W218" i="22" l="1"/>
  <c r="P218" i="22" a="1"/>
  <c r="P218" i="22" l="1"/>
  <c r="AC218" i="22"/>
  <c r="I219" i="22" l="1"/>
  <c r="R218" i="22"/>
  <c r="S218" i="22" s="1"/>
  <c r="K218" i="22" s="1"/>
  <c r="B219" i="22"/>
  <c r="H219" i="22" l="1"/>
  <c r="X218" i="22"/>
  <c r="Y218" i="22" s="1"/>
  <c r="AG218" i="22" l="1"/>
  <c r="F219" i="22" l="1"/>
  <c r="AK218" i="22"/>
  <c r="G219" i="22" s="1"/>
  <c r="T219" i="22" a="1"/>
  <c r="T219" i="22" l="1"/>
  <c r="Q219" i="22" l="1"/>
  <c r="V219" i="22"/>
  <c r="AF219" i="22" s="1"/>
  <c r="E220" i="22" s="1"/>
  <c r="AD219" i="22"/>
  <c r="C220" i="22" s="1"/>
  <c r="U219" i="22"/>
  <c r="AE219" i="22" s="1"/>
  <c r="D220" i="22" s="1"/>
  <c r="W219" i="22" a="1"/>
  <c r="W219" i="22" l="1"/>
  <c r="P219" i="22" a="1"/>
  <c r="P219" i="22" l="1"/>
  <c r="AC219" i="22"/>
  <c r="B220" i="22" l="1"/>
  <c r="R219" i="22"/>
  <c r="S219" i="22" s="1"/>
  <c r="K219" i="22" s="1"/>
  <c r="I220" i="22"/>
  <c r="X219" i="22" l="1"/>
  <c r="Y219" i="22" s="1"/>
  <c r="H220" i="22"/>
  <c r="AG219" i="22" l="1"/>
  <c r="F220" i="22" l="1"/>
  <c r="AK219" i="22"/>
  <c r="G220" i="22" s="1"/>
  <c r="T220" i="22" a="1"/>
  <c r="T220" i="22" l="1"/>
  <c r="Q220" i="22" l="1"/>
  <c r="V220" i="22"/>
  <c r="AF220" i="22" s="1"/>
  <c r="E221" i="22" s="1"/>
  <c r="AD220" i="22"/>
  <c r="C221" i="22" s="1"/>
  <c r="U220" i="22"/>
  <c r="AE220" i="22" s="1"/>
  <c r="D221" i="22" s="1"/>
  <c r="W220" i="22" a="1"/>
  <c r="W220" i="22" l="1"/>
  <c r="P220" i="22" a="1"/>
  <c r="P220" i="22" l="1"/>
  <c r="AC220" i="22"/>
  <c r="I221" i="22" l="1"/>
  <c r="R220" i="22"/>
  <c r="S220" i="22" s="1"/>
  <c r="K220" i="22" s="1"/>
  <c r="B221" i="22"/>
  <c r="H221" i="22" l="1"/>
  <c r="X220" i="22"/>
  <c r="Y220" i="22" s="1"/>
  <c r="AG220" i="22" l="1"/>
  <c r="F221" i="22" l="1"/>
  <c r="AK220" i="22"/>
  <c r="G221" i="22" s="1"/>
  <c r="T221" i="22" a="1"/>
  <c r="T221" i="22" l="1"/>
  <c r="Q221" i="22" l="1"/>
  <c r="U221" i="22"/>
  <c r="AE221" i="22" s="1"/>
  <c r="D222" i="22" s="1"/>
  <c r="AD221" i="22"/>
  <c r="C222" i="22" s="1"/>
  <c r="V221" i="22"/>
  <c r="AF221" i="22" s="1"/>
  <c r="E222" i="22" s="1"/>
  <c r="W221" i="22" a="1"/>
  <c r="W221" i="22" l="1"/>
  <c r="P221" i="22" a="1"/>
  <c r="P221" i="22" l="1"/>
  <c r="AC221" i="22"/>
  <c r="B222" i="22" l="1"/>
  <c r="R221" i="22"/>
  <c r="S221" i="22" s="1"/>
  <c r="K221" i="22" s="1"/>
  <c r="I222" i="22"/>
  <c r="H222" i="22" l="1"/>
  <c r="X221" i="22"/>
  <c r="Y221" i="22" s="1"/>
  <c r="AG221" i="22" l="1"/>
  <c r="F222" i="22" l="1"/>
  <c r="AK221" i="22"/>
  <c r="G222" i="22" s="1"/>
  <c r="T222" i="22" a="1"/>
  <c r="T222" i="22" l="1"/>
  <c r="Q222" i="22" l="1"/>
  <c r="AD222" i="22"/>
  <c r="C223" i="22" s="1"/>
  <c r="U222" i="22"/>
  <c r="AE222" i="22" s="1"/>
  <c r="D223" i="22" s="1"/>
  <c r="V222" i="22"/>
  <c r="AF222" i="22" s="1"/>
  <c r="E223" i="22" s="1"/>
  <c r="W222" i="22" a="1"/>
  <c r="W222" i="22" l="1"/>
  <c r="P222" i="22" a="1"/>
  <c r="P222" i="22" l="1"/>
  <c r="AC222" i="22"/>
  <c r="B223" i="22" l="1"/>
  <c r="I223" i="22"/>
  <c r="R222" i="22"/>
  <c r="S222" i="22" s="1"/>
  <c r="K222" i="22" s="1"/>
  <c r="H223" i="22" l="1"/>
  <c r="X222" i="22"/>
  <c r="Y222" i="22" s="1"/>
  <c r="AG222" i="22" l="1"/>
  <c r="F223" i="22" l="1"/>
  <c r="AK222" i="22"/>
  <c r="G223" i="22" s="1"/>
  <c r="T223" i="22" a="1"/>
  <c r="T223" i="22" l="1"/>
  <c r="Q223" i="22" l="1"/>
  <c r="V223" i="22"/>
  <c r="AF223" i="22" s="1"/>
  <c r="E224" i="22" s="1"/>
  <c r="AD223" i="22"/>
  <c r="C224" i="22" s="1"/>
  <c r="U223" i="22"/>
  <c r="AE223" i="22" s="1"/>
  <c r="D224" i="22" s="1"/>
  <c r="W223" i="22" a="1"/>
  <c r="W223" i="22" l="1"/>
  <c r="P223" i="22" a="1"/>
  <c r="P223" i="22" l="1"/>
  <c r="AC223" i="22"/>
  <c r="I224" i="22" l="1"/>
  <c r="R223" i="22"/>
  <c r="S223" i="22" s="1"/>
  <c r="K223" i="22" s="1"/>
  <c r="B224" i="22"/>
  <c r="X223" i="22" l="1"/>
  <c r="Y223" i="22" s="1"/>
  <c r="H224" i="22"/>
  <c r="AG223" i="22" l="1"/>
  <c r="F224" i="22" l="1"/>
  <c r="AK223" i="22"/>
  <c r="G224" i="22" s="1"/>
  <c r="T224" i="22" a="1"/>
  <c r="T224" i="22" l="1"/>
  <c r="AD224" i="22" l="1"/>
  <c r="C225" i="22" s="1"/>
  <c r="Q224" i="22"/>
  <c r="U224" i="22"/>
  <c r="AE224" i="22" s="1"/>
  <c r="D225" i="22" s="1"/>
  <c r="V224" i="22"/>
  <c r="AF224" i="22" s="1"/>
  <c r="E225" i="22" s="1"/>
  <c r="W224" i="22" a="1"/>
  <c r="W224" i="22" l="1"/>
  <c r="P224" i="22" a="1"/>
  <c r="P224" i="22" l="1"/>
  <c r="AC224" i="22"/>
  <c r="I225" i="22" l="1"/>
  <c r="R224" i="22"/>
  <c r="S224" i="22" s="1"/>
  <c r="K224" i="22" s="1"/>
  <c r="B225" i="22"/>
  <c r="H225" i="22" l="1"/>
  <c r="X224" i="22"/>
  <c r="Y224" i="22" s="1"/>
  <c r="AG224" i="22" l="1"/>
  <c r="F225" i="22" l="1"/>
  <c r="AK224" i="22"/>
  <c r="G225" i="22" s="1"/>
  <c r="T225" i="22" a="1"/>
  <c r="T225" i="22" l="1"/>
  <c r="Q225" i="22" l="1"/>
  <c r="U225" i="22"/>
  <c r="AE225" i="22" s="1"/>
  <c r="D226" i="22" s="1"/>
  <c r="V225" i="22"/>
  <c r="AF225" i="22" s="1"/>
  <c r="E226" i="22" s="1"/>
  <c r="AD225" i="22"/>
  <c r="C226" i="22" s="1"/>
  <c r="W225" i="22" a="1"/>
  <c r="W225" i="22" l="1"/>
  <c r="P225" i="22" a="1"/>
  <c r="P225" i="22" l="1"/>
  <c r="AC225" i="22"/>
  <c r="I226" i="22" l="1"/>
  <c r="R225" i="22"/>
  <c r="S225" i="22" s="1"/>
  <c r="K225" i="22" s="1"/>
  <c r="B226" i="22"/>
  <c r="X225" i="22" l="1"/>
  <c r="Y225" i="22" s="1"/>
  <c r="H226" i="22"/>
  <c r="AG225" i="22" l="1"/>
  <c r="F226" i="22" l="1"/>
  <c r="AK225" i="22"/>
  <c r="G226" i="22" s="1"/>
  <c r="T226" i="22" a="1"/>
  <c r="T226" i="22" l="1"/>
  <c r="Q226" i="22" l="1"/>
  <c r="U226" i="22"/>
  <c r="AE226" i="22" s="1"/>
  <c r="D227" i="22" s="1"/>
  <c r="AD226" i="22"/>
  <c r="C227" i="22" s="1"/>
  <c r="V226" i="22"/>
  <c r="AF226" i="22" s="1"/>
  <c r="E227" i="22" s="1"/>
  <c r="W226" i="22" a="1"/>
  <c r="W226" i="22" l="1"/>
  <c r="P226" i="22" a="1"/>
  <c r="P226" i="22" l="1"/>
  <c r="AC226" i="22"/>
  <c r="I227" i="22" l="1"/>
  <c r="R226" i="22"/>
  <c r="S226" i="22" s="1"/>
  <c r="K226" i="22" s="1"/>
  <c r="B227" i="22"/>
  <c r="H227" i="22" l="1"/>
  <c r="X226" i="22"/>
  <c r="Y226" i="22" s="1"/>
  <c r="AG226" i="22" l="1"/>
  <c r="F227" i="22" l="1"/>
  <c r="AK226" i="22"/>
  <c r="G227" i="22" s="1"/>
  <c r="T227" i="22" a="1"/>
  <c r="T227" i="22" l="1"/>
  <c r="Q227" i="22" l="1"/>
  <c r="U227" i="22"/>
  <c r="AE227" i="22" s="1"/>
  <c r="D228" i="22" s="1"/>
  <c r="AD227" i="22"/>
  <c r="C228" i="22" s="1"/>
  <c r="V227" i="22"/>
  <c r="AF227" i="22" s="1"/>
  <c r="E228" i="22" s="1"/>
  <c r="W227" i="22" a="1"/>
  <c r="W227" i="22" l="1"/>
  <c r="P227" i="22" a="1"/>
  <c r="P227" i="22" l="1"/>
  <c r="AC227" i="22"/>
  <c r="R227" i="22" l="1"/>
  <c r="S227" i="22" s="1"/>
  <c r="K227" i="22" s="1"/>
  <c r="I228" i="22"/>
  <c r="B228" i="22"/>
  <c r="H228" i="22" l="1"/>
  <c r="X227" i="22"/>
  <c r="Y227" i="22" s="1"/>
  <c r="AG227" i="22" l="1"/>
  <c r="F228" i="22" s="1"/>
  <c r="AK227" i="22" l="1"/>
  <c r="G228" i="22" s="1"/>
  <c r="T228" i="22" a="1"/>
  <c r="T228" i="22" l="1"/>
  <c r="Q228" i="22"/>
  <c r="U228" i="22"/>
  <c r="AE228" i="22" s="1"/>
  <c r="D229" i="22" s="1"/>
  <c r="AD228" i="22"/>
  <c r="C229" i="22" s="1"/>
  <c r="V228" i="22"/>
  <c r="AF228" i="22" s="1"/>
  <c r="E229" i="22" s="1"/>
  <c r="W228" i="22" a="1"/>
  <c r="W228" i="22" l="1"/>
  <c r="P228" i="22" a="1"/>
  <c r="P228" i="22" l="1"/>
  <c r="AC228" i="22"/>
  <c r="B229" i="22" l="1"/>
  <c r="R228" i="22"/>
  <c r="S228" i="22" s="1"/>
  <c r="K228" i="22" s="1"/>
  <c r="I229" i="22"/>
  <c r="X228" i="22" l="1"/>
  <c r="Y228" i="22" s="1"/>
  <c r="H229" i="22"/>
  <c r="AG228" i="22" l="1"/>
  <c r="F229" i="22" l="1"/>
  <c r="AK228" i="22"/>
  <c r="G229" i="22" s="1"/>
  <c r="T229" i="22" a="1"/>
  <c r="T229" i="22" l="1"/>
  <c r="V229" i="22" l="1"/>
  <c r="AF229" i="22" s="1"/>
  <c r="E230" i="22" s="1"/>
  <c r="Q229" i="22"/>
  <c r="U229" i="22"/>
  <c r="AE229" i="22" s="1"/>
  <c r="D230" i="22" s="1"/>
  <c r="AD229" i="22"/>
  <c r="C230" i="22" s="1"/>
  <c r="W229" i="22" a="1"/>
  <c r="W229" i="22" l="1"/>
  <c r="P229" i="22" a="1"/>
  <c r="P229" i="22" l="1"/>
  <c r="AC229" i="22"/>
  <c r="B230" i="22" l="1"/>
  <c r="R229" i="22"/>
  <c r="S229" i="22" s="1"/>
  <c r="K229" i="22" s="1"/>
  <c r="I230" i="22"/>
  <c r="X229" i="22" l="1"/>
  <c r="Y229" i="22" s="1"/>
  <c r="H230" i="22"/>
  <c r="AG229" i="22" l="1"/>
  <c r="F230" i="22" l="1"/>
  <c r="AK229" i="22"/>
  <c r="G230" i="22" s="1"/>
  <c r="T230" i="22" a="1"/>
  <c r="T230" i="22" l="1"/>
  <c r="Q230" i="22" l="1"/>
  <c r="U230" i="22"/>
  <c r="AE230" i="22" s="1"/>
  <c r="D231" i="22" s="1"/>
  <c r="V230" i="22"/>
  <c r="AF230" i="22" s="1"/>
  <c r="E231" i="22" s="1"/>
  <c r="AD230" i="22"/>
  <c r="C231" i="22" s="1"/>
  <c r="W230" i="22" a="1"/>
  <c r="W230" i="22" l="1"/>
  <c r="P230" i="22" a="1"/>
  <c r="P230" i="22" l="1"/>
  <c r="AC230" i="22"/>
  <c r="B231" i="22" l="1"/>
  <c r="I231" i="22"/>
  <c r="R230" i="22"/>
  <c r="S230" i="22" s="1"/>
  <c r="K230" i="22" s="1"/>
  <c r="X230" i="22" l="1"/>
  <c r="Y230" i="22" s="1"/>
  <c r="H231" i="22"/>
  <c r="AG230" i="22" l="1"/>
  <c r="F231" i="22" l="1"/>
  <c r="AK230" i="22"/>
  <c r="G231" i="22" s="1"/>
  <c r="T231" i="22" a="1"/>
  <c r="T231" i="22" l="1"/>
  <c r="Q231" i="22" l="1"/>
  <c r="AD231" i="22"/>
  <c r="C232" i="22" s="1"/>
  <c r="U231" i="22"/>
  <c r="AE231" i="22" s="1"/>
  <c r="D232" i="22" s="1"/>
  <c r="V231" i="22"/>
  <c r="AF231" i="22" s="1"/>
  <c r="E232" i="22" s="1"/>
  <c r="W231" i="22" a="1"/>
  <c r="W231" i="22" l="1"/>
  <c r="P231" i="22" a="1"/>
  <c r="P231" i="22" l="1"/>
  <c r="AC231" i="22"/>
  <c r="B232" i="22" l="1"/>
  <c r="R231" i="22"/>
  <c r="S231" i="22" s="1"/>
  <c r="K231" i="22" s="1"/>
  <c r="I232" i="22"/>
  <c r="H232" i="22" l="1"/>
  <c r="X231" i="22"/>
  <c r="Y231" i="22" s="1"/>
  <c r="AG231" i="22" l="1"/>
  <c r="F232" i="22" l="1"/>
  <c r="AK231" i="22"/>
  <c r="G232" i="22" s="1"/>
  <c r="T232" i="22" a="1"/>
  <c r="T232" i="22" l="1"/>
  <c r="Q232" i="22" l="1"/>
  <c r="V232" i="22"/>
  <c r="AF232" i="22" s="1"/>
  <c r="E233" i="22" s="1"/>
  <c r="AD232" i="22"/>
  <c r="C233" i="22" s="1"/>
  <c r="U232" i="22"/>
  <c r="AE232" i="22" s="1"/>
  <c r="D233" i="22" s="1"/>
  <c r="W232" i="22" a="1"/>
  <c r="W232" i="22" l="1"/>
  <c r="P232" i="22" a="1"/>
  <c r="P232" i="22" l="1"/>
  <c r="AC232" i="22"/>
  <c r="I233" i="22" l="1"/>
  <c r="R232" i="22"/>
  <c r="S232" i="22" s="1"/>
  <c r="K232" i="22" s="1"/>
  <c r="B233" i="22"/>
  <c r="X232" i="22" l="1"/>
  <c r="Y232" i="22" s="1"/>
  <c r="H233" i="22"/>
  <c r="AG232" i="22" l="1"/>
  <c r="F233" i="22" l="1"/>
  <c r="AK232" i="22"/>
  <c r="G233" i="22" s="1"/>
  <c r="T233" i="22" a="1"/>
  <c r="T233" i="22" l="1"/>
  <c r="Q233" i="22" l="1"/>
  <c r="U233" i="22"/>
  <c r="AE233" i="22" s="1"/>
  <c r="D234" i="22" s="1"/>
  <c r="V233" i="22"/>
  <c r="AF233" i="22" s="1"/>
  <c r="E234" i="22" s="1"/>
  <c r="AD233" i="22"/>
  <c r="C234" i="22" s="1"/>
  <c r="W233" i="22" a="1"/>
  <c r="W233" i="22" l="1"/>
  <c r="P233" i="22" a="1"/>
  <c r="P233" i="22" l="1"/>
  <c r="AC233" i="22"/>
  <c r="B234" i="22" l="1"/>
  <c r="I234" i="22"/>
  <c r="R233" i="22"/>
  <c r="S233" i="22" s="1"/>
  <c r="K233" i="22" s="1"/>
  <c r="X233" i="22" l="1"/>
  <c r="Y233" i="22" s="1"/>
  <c r="H234" i="22"/>
  <c r="AG233" i="22" l="1"/>
  <c r="F234" i="22" l="1"/>
  <c r="AK233" i="22"/>
  <c r="G234" i="22" s="1"/>
  <c r="T234" i="22" a="1"/>
  <c r="T234" i="22" l="1"/>
  <c r="Q234" i="22" l="1"/>
  <c r="U234" i="22"/>
  <c r="AE234" i="22" s="1"/>
  <c r="D235" i="22" s="1"/>
  <c r="V234" i="22"/>
  <c r="AF234" i="22" s="1"/>
  <c r="E235" i="22" s="1"/>
  <c r="AD234" i="22"/>
  <c r="C235" i="22" s="1"/>
  <c r="W234" i="22" a="1"/>
  <c r="W234" i="22" l="1"/>
  <c r="P234" i="22" a="1"/>
  <c r="P234" i="22" l="1"/>
  <c r="AC234" i="22"/>
  <c r="R234" i="22" l="1"/>
  <c r="S234" i="22" s="1"/>
  <c r="K234" i="22" s="1"/>
  <c r="I235" i="22"/>
  <c r="B235" i="22"/>
  <c r="H235" i="22" l="1"/>
  <c r="X234" i="22"/>
  <c r="Y234" i="22" s="1"/>
  <c r="AG234" i="22" l="1"/>
  <c r="F235" i="22" l="1"/>
  <c r="AK234" i="22"/>
  <c r="G235" i="22" s="1"/>
  <c r="T235" i="22" a="1"/>
  <c r="T235" i="22" l="1"/>
  <c r="Q235" i="22" l="1"/>
  <c r="V235" i="22"/>
  <c r="AF235" i="22" s="1"/>
  <c r="E236" i="22" s="1"/>
  <c r="AD235" i="22"/>
  <c r="C236" i="22" s="1"/>
  <c r="U235" i="22"/>
  <c r="AE235" i="22" s="1"/>
  <c r="D236" i="22" s="1"/>
  <c r="W235" i="22" a="1"/>
  <c r="W235" i="22" l="1"/>
  <c r="P235" i="22" a="1"/>
  <c r="P235" i="22" l="1"/>
  <c r="AC235" i="22"/>
  <c r="I236" i="22" l="1"/>
  <c r="R235" i="22"/>
  <c r="S235" i="22" s="1"/>
  <c r="K235" i="22" s="1"/>
  <c r="B236" i="22"/>
  <c r="X235" i="22" l="1"/>
  <c r="Y235" i="22" s="1"/>
  <c r="H236" i="22"/>
  <c r="AG235" i="22" l="1"/>
  <c r="F236" i="22" l="1"/>
  <c r="AK235" i="22"/>
  <c r="G236" i="22" s="1"/>
  <c r="T236" i="22" a="1"/>
  <c r="T236" i="22" l="1"/>
  <c r="Q236" i="22" l="1"/>
  <c r="AD236" i="22"/>
  <c r="C237" i="22" s="1"/>
  <c r="U236" i="22"/>
  <c r="AE236" i="22" s="1"/>
  <c r="D237" i="22" s="1"/>
  <c r="V236" i="22"/>
  <c r="AF236" i="22" s="1"/>
  <c r="E237" i="22" s="1"/>
  <c r="W236" i="22" a="1"/>
  <c r="W236" i="22" l="1"/>
  <c r="P236" i="22" a="1"/>
  <c r="P236" i="22" l="1"/>
  <c r="AC236" i="22"/>
  <c r="B237" i="22" l="1"/>
  <c r="I237" i="22"/>
  <c r="R236" i="22"/>
  <c r="S236" i="22" s="1"/>
  <c r="K236" i="22" s="1"/>
  <c r="H237" i="22" l="1"/>
  <c r="X236" i="22"/>
  <c r="Y236" i="22" s="1"/>
  <c r="AG236" i="22" l="1"/>
  <c r="F237" i="22" l="1"/>
  <c r="AK236" i="22"/>
  <c r="G237" i="22" s="1"/>
  <c r="T237" i="22" a="1"/>
  <c r="T237" i="22" l="1"/>
  <c r="Q237" i="22" l="1"/>
  <c r="V237" i="22"/>
  <c r="AF237" i="22" s="1"/>
  <c r="E238" i="22" s="1"/>
  <c r="AD237" i="22"/>
  <c r="C238" i="22" s="1"/>
  <c r="U237" i="22"/>
  <c r="AE237" i="22" s="1"/>
  <c r="D238" i="22" s="1"/>
  <c r="W237" i="22" a="1"/>
  <c r="W237" i="22" l="1"/>
  <c r="P237" i="22" a="1"/>
  <c r="P237" i="22" l="1"/>
  <c r="AC237" i="22"/>
  <c r="R237" i="22" l="1"/>
  <c r="S237" i="22" s="1"/>
  <c r="K237" i="22" s="1"/>
  <c r="I238" i="22"/>
  <c r="B238" i="22"/>
  <c r="X237" i="22" l="1"/>
  <c r="Y237" i="22" s="1"/>
  <c r="H238" i="22"/>
  <c r="AG237" i="22" l="1"/>
  <c r="F238" i="22" l="1"/>
  <c r="AK237" i="22"/>
  <c r="G238" i="22" s="1"/>
  <c r="T238" i="22" a="1"/>
  <c r="T238" i="22" l="1"/>
  <c r="Q238" i="22" l="1"/>
  <c r="AD238" i="22"/>
  <c r="C239" i="22" s="1"/>
  <c r="V238" i="22"/>
  <c r="AF238" i="22" s="1"/>
  <c r="E239" i="22" s="1"/>
  <c r="U238" i="22"/>
  <c r="AE238" i="22" s="1"/>
  <c r="D239" i="22" s="1"/>
  <c r="W238" i="22" a="1"/>
  <c r="W238" i="22" l="1"/>
  <c r="P238" i="22" a="1"/>
  <c r="P238" i="22" l="1"/>
  <c r="AC238" i="22"/>
  <c r="I239" i="22" l="1"/>
  <c r="R238" i="22"/>
  <c r="S238" i="22" s="1"/>
  <c r="K238" i="22" s="1"/>
  <c r="B239" i="22"/>
  <c r="H239" i="22" l="1"/>
  <c r="X238" i="22"/>
  <c r="Y238" i="22" s="1"/>
  <c r="AG238" i="22" l="1"/>
  <c r="F239" i="22" l="1"/>
  <c r="AK238" i="22"/>
  <c r="G239" i="22" s="1"/>
  <c r="T239" i="22" a="1"/>
  <c r="T239" i="22" l="1"/>
  <c r="Q239" i="22" l="1"/>
  <c r="V239" i="22"/>
  <c r="AF239" i="22" s="1"/>
  <c r="E240" i="22" s="1"/>
  <c r="U239" i="22"/>
  <c r="AE239" i="22" s="1"/>
  <c r="D240" i="22" s="1"/>
  <c r="AD239" i="22"/>
  <c r="C240" i="22" s="1"/>
  <c r="W239" i="22" a="1"/>
  <c r="W239" i="22" l="1"/>
  <c r="P239" i="22" a="1"/>
  <c r="P239" i="22" l="1"/>
  <c r="AC239" i="22"/>
  <c r="I240" i="22" l="1"/>
  <c r="R239" i="22"/>
  <c r="S239" i="22" s="1"/>
  <c r="K239" i="22" s="1"/>
  <c r="B240" i="22"/>
  <c r="X239" i="22" l="1"/>
  <c r="Y239" i="22" s="1"/>
  <c r="H240" i="22"/>
  <c r="AG239" i="22" l="1"/>
  <c r="F240" i="22" l="1"/>
  <c r="AK239" i="22"/>
  <c r="G240" i="22" s="1"/>
  <c r="T240" i="22" a="1"/>
  <c r="T240" i="22" l="1"/>
  <c r="Q240" i="22" l="1"/>
  <c r="V240" i="22"/>
  <c r="AF240" i="22" s="1"/>
  <c r="E241" i="22" s="1"/>
  <c r="U240" i="22"/>
  <c r="AE240" i="22" s="1"/>
  <c r="D241" i="22" s="1"/>
  <c r="AD240" i="22"/>
  <c r="C241" i="22" s="1"/>
  <c r="W240" i="22" a="1"/>
  <c r="W240" i="22" l="1"/>
  <c r="P240" i="22" a="1"/>
  <c r="P240" i="22" l="1"/>
  <c r="AC240" i="22"/>
  <c r="I241" i="22" l="1"/>
  <c r="R240" i="22"/>
  <c r="S240" i="22" s="1"/>
  <c r="K240" i="22" s="1"/>
  <c r="B241" i="22"/>
  <c r="X240" i="22" l="1"/>
  <c r="Y240" i="22" s="1"/>
  <c r="H241" i="22"/>
  <c r="AG240" i="22" l="1"/>
  <c r="F241" i="22" l="1"/>
  <c r="AK240" i="22"/>
  <c r="G241" i="22" s="1"/>
  <c r="T241" i="22" a="1"/>
  <c r="T241" i="22" l="1"/>
  <c r="Q241" i="22" l="1"/>
  <c r="V241" i="22"/>
  <c r="AF241" i="22" s="1"/>
  <c r="E242" i="22" s="1"/>
  <c r="AD241" i="22"/>
  <c r="C242" i="22" s="1"/>
  <c r="U241" i="22"/>
  <c r="AE241" i="22" s="1"/>
  <c r="D242" i="22" s="1"/>
  <c r="W241" i="22" a="1"/>
  <c r="W241" i="22" l="1"/>
  <c r="P241" i="22" a="1"/>
  <c r="P241" i="22" l="1"/>
  <c r="AC241" i="22"/>
  <c r="I242" i="22" l="1"/>
  <c r="R241" i="22"/>
  <c r="S241" i="22" s="1"/>
  <c r="K241" i="22" s="1"/>
  <c r="B242" i="22"/>
  <c r="H242" i="22" l="1"/>
  <c r="X241" i="22"/>
  <c r="Y241" i="22" s="1"/>
  <c r="AG241" i="22" l="1"/>
  <c r="F242" i="22" l="1"/>
  <c r="AK241" i="22"/>
  <c r="G242" i="22" s="1"/>
  <c r="T242" i="22" a="1"/>
  <c r="T242" i="22" l="1"/>
  <c r="U242" i="22" l="1"/>
  <c r="AE242" i="22" s="1"/>
  <c r="D243" i="22" s="1"/>
  <c r="Q242" i="22"/>
  <c r="AD242" i="22"/>
  <c r="C243" i="22" s="1"/>
  <c r="V242" i="22"/>
  <c r="AF242" i="22" s="1"/>
  <c r="E243" i="22" s="1"/>
  <c r="W242" i="22" a="1"/>
  <c r="W242" i="22" l="1"/>
  <c r="P242" i="22" a="1"/>
  <c r="P242" i="22" l="1"/>
  <c r="AC242" i="22"/>
  <c r="I243" i="22" l="1"/>
  <c r="R242" i="22"/>
  <c r="S242" i="22" s="1"/>
  <c r="K242" i="22" s="1"/>
  <c r="B243" i="22"/>
  <c r="H243" i="22" l="1"/>
  <c r="X242" i="22"/>
  <c r="Y242" i="22" s="1"/>
  <c r="AG242" i="22" l="1"/>
  <c r="F243" i="22" l="1"/>
  <c r="AK242" i="22"/>
  <c r="G243" i="22" s="1"/>
  <c r="T243" i="22" a="1"/>
  <c r="T243" i="22" l="1"/>
  <c r="AD243" i="22" l="1"/>
  <c r="C244" i="22" s="1"/>
  <c r="Q243" i="22"/>
  <c r="U243" i="22"/>
  <c r="AE243" i="22" s="1"/>
  <c r="D244" i="22" s="1"/>
  <c r="V243" i="22"/>
  <c r="AF243" i="22" s="1"/>
  <c r="E244" i="22" s="1"/>
  <c r="W243" i="22" a="1"/>
  <c r="W243" i="22" l="1"/>
  <c r="P243" i="22" a="1"/>
  <c r="P243" i="22" l="1"/>
  <c r="AC243" i="22"/>
  <c r="B244" i="22" l="1"/>
  <c r="I244" i="22"/>
  <c r="R243" i="22"/>
  <c r="S243" i="22" s="1"/>
  <c r="K243" i="22" s="1"/>
  <c r="X243" i="22" l="1"/>
  <c r="Y243" i="22" s="1"/>
  <c r="H244" i="22"/>
  <c r="AG243" i="22" l="1"/>
  <c r="F244" i="22" l="1"/>
  <c r="AK243" i="22"/>
  <c r="G244" i="22" s="1"/>
  <c r="T244" i="22" a="1"/>
  <c r="T244" i="22" l="1"/>
  <c r="Q244" i="22" l="1"/>
  <c r="AD244" i="22"/>
  <c r="C245" i="22" s="1"/>
  <c r="U244" i="22"/>
  <c r="AE244" i="22" s="1"/>
  <c r="D245" i="22" s="1"/>
  <c r="V244" i="22"/>
  <c r="AF244" i="22" s="1"/>
  <c r="E245" i="22" s="1"/>
  <c r="W244" i="22" a="1"/>
  <c r="W244" i="22" l="1"/>
  <c r="P244" i="22" a="1"/>
  <c r="P244" i="22" l="1"/>
  <c r="AC244" i="22"/>
  <c r="I245" i="22" l="1"/>
  <c r="R244" i="22"/>
  <c r="S244" i="22" s="1"/>
  <c r="K244" i="22" s="1"/>
  <c r="B245" i="22"/>
  <c r="H245" i="22" l="1"/>
  <c r="X244" i="22"/>
  <c r="Y244" i="22" s="1"/>
  <c r="AG244" i="22" l="1"/>
  <c r="F245" i="22" l="1"/>
  <c r="AK244" i="22"/>
  <c r="G245" i="22" s="1"/>
  <c r="T245" i="22" a="1"/>
  <c r="T245" i="22" l="1"/>
  <c r="Q245" i="22" l="1"/>
  <c r="V245" i="22"/>
  <c r="AF245" i="22" s="1"/>
  <c r="E246" i="22" s="1"/>
  <c r="AD245" i="22"/>
  <c r="C246" i="22" s="1"/>
  <c r="U245" i="22"/>
  <c r="AE245" i="22" s="1"/>
  <c r="D246" i="22" s="1"/>
  <c r="W245" i="22" a="1"/>
  <c r="W245" i="22" l="1"/>
  <c r="P245" i="22" a="1"/>
  <c r="P245" i="22" l="1"/>
  <c r="AC245" i="22"/>
  <c r="B246" i="22" l="1"/>
  <c r="R245" i="22"/>
  <c r="S245" i="22" s="1"/>
  <c r="K245" i="22" s="1"/>
  <c r="I246" i="22"/>
  <c r="H246" i="22" l="1"/>
  <c r="X245" i="22"/>
  <c r="Y245" i="22" s="1"/>
  <c r="AG245" i="22" l="1"/>
  <c r="F246" i="22" l="1"/>
  <c r="AK245" i="22"/>
  <c r="G246" i="22" s="1"/>
  <c r="T246" i="22" a="1"/>
  <c r="T246" i="22" l="1"/>
  <c r="Q246" i="22" l="1"/>
  <c r="U246" i="22"/>
  <c r="AE246" i="22" s="1"/>
  <c r="D247" i="22" s="1"/>
  <c r="V246" i="22"/>
  <c r="AF246" i="22" s="1"/>
  <c r="E247" i="22" s="1"/>
  <c r="AD246" i="22"/>
  <c r="C247" i="22" s="1"/>
  <c r="W246" i="22" a="1"/>
  <c r="W246" i="22" l="1"/>
  <c r="P246" i="22" a="1"/>
  <c r="P246" i="22" l="1"/>
  <c r="AC246" i="22"/>
  <c r="B247" i="22" l="1"/>
  <c r="R246" i="22"/>
  <c r="S246" i="22" s="1"/>
  <c r="K246" i="22" s="1"/>
  <c r="I247" i="22"/>
  <c r="X246" i="22" l="1"/>
  <c r="Y246" i="22" s="1"/>
  <c r="H247" i="22"/>
  <c r="AG246" i="22" l="1"/>
  <c r="F247" i="22" l="1"/>
  <c r="AK246" i="22"/>
  <c r="G247" i="22" s="1"/>
  <c r="T247" i="22" a="1"/>
  <c r="T247" i="22" l="1"/>
  <c r="Q247" i="22" l="1"/>
  <c r="U247" i="22"/>
  <c r="AE247" i="22" s="1"/>
  <c r="D248" i="22" s="1"/>
  <c r="AD247" i="22"/>
  <c r="C248" i="22" s="1"/>
  <c r="V247" i="22"/>
  <c r="AF247" i="22" s="1"/>
  <c r="E248" i="22" s="1"/>
  <c r="W247" i="22" a="1"/>
  <c r="W247" i="22" l="1"/>
  <c r="P247" i="22" a="1"/>
  <c r="P247" i="22" l="1"/>
  <c r="AC247" i="22"/>
  <c r="R247" i="22" l="1"/>
  <c r="S247" i="22" s="1"/>
  <c r="K247" i="22" s="1"/>
  <c r="I248" i="22"/>
  <c r="B248" i="22"/>
  <c r="H248" i="22" l="1"/>
  <c r="X247" i="22"/>
  <c r="Y247" i="22" s="1"/>
  <c r="AG247" i="22" l="1"/>
  <c r="F248" i="22" l="1"/>
  <c r="AK247" i="22"/>
  <c r="G248" i="22" s="1"/>
  <c r="T248" i="22" a="1"/>
  <c r="T248" i="22" l="1"/>
  <c r="Q248" i="22" l="1"/>
  <c r="U248" i="22"/>
  <c r="AE248" i="22" s="1"/>
  <c r="D249" i="22" s="1"/>
  <c r="V248" i="22"/>
  <c r="AF248" i="22" s="1"/>
  <c r="E249" i="22" s="1"/>
  <c r="AD248" i="22"/>
  <c r="C249" i="22" s="1"/>
  <c r="W248" i="22" a="1"/>
  <c r="W248" i="22" l="1"/>
  <c r="P248" i="22" a="1"/>
  <c r="P248" i="22" l="1"/>
  <c r="AC248" i="22"/>
  <c r="B249" i="22" l="1"/>
  <c r="R248" i="22"/>
  <c r="S248" i="22" s="1"/>
  <c r="K248" i="22" s="1"/>
  <c r="I249" i="22"/>
  <c r="H249" i="22" l="1"/>
  <c r="X248" i="22"/>
  <c r="Y248" i="22" s="1"/>
  <c r="AG248" i="22" l="1"/>
  <c r="F249" i="22" l="1"/>
  <c r="AK248" i="22"/>
  <c r="G249" i="22" s="1"/>
  <c r="T249" i="22" a="1"/>
  <c r="T249" i="22" l="1"/>
  <c r="V249" i="22" l="1"/>
  <c r="AF249" i="22" s="1"/>
  <c r="E250" i="22" s="1"/>
  <c r="Q249" i="22"/>
  <c r="AD249" i="22"/>
  <c r="C250" i="22" s="1"/>
  <c r="U249" i="22"/>
  <c r="AE249" i="22" s="1"/>
  <c r="D250" i="22" s="1"/>
  <c r="W249" i="22" a="1"/>
  <c r="W249" i="22" l="1"/>
  <c r="P249" i="22" a="1"/>
  <c r="P249" i="22" l="1"/>
  <c r="AC249" i="22"/>
  <c r="I250" i="22" l="1"/>
  <c r="R249" i="22"/>
  <c r="S249" i="22" s="1"/>
  <c r="K249" i="22" s="1"/>
  <c r="B250" i="22"/>
  <c r="X249" i="22" l="1"/>
  <c r="Y249" i="22" s="1"/>
  <c r="H250" i="22"/>
  <c r="AG249" i="22" l="1"/>
  <c r="F250" i="22" l="1"/>
  <c r="AK249" i="22"/>
  <c r="G250" i="22" s="1"/>
  <c r="T250" i="22" a="1"/>
  <c r="T250" i="22" l="1"/>
  <c r="Q250" i="22" l="1"/>
  <c r="U250" i="22"/>
  <c r="AE250" i="22" s="1"/>
  <c r="D251" i="22" s="1"/>
  <c r="V250" i="22"/>
  <c r="AF250" i="22" s="1"/>
  <c r="E251" i="22" s="1"/>
  <c r="AD250" i="22"/>
  <c r="C251" i="22" s="1"/>
  <c r="W250" i="22" a="1"/>
  <c r="W250" i="22" l="1"/>
  <c r="P250" i="22" a="1"/>
  <c r="P250" i="22" l="1"/>
  <c r="AC250" i="22"/>
  <c r="R250" i="22" l="1"/>
  <c r="S250" i="22" s="1"/>
  <c r="K250" i="22" s="1"/>
  <c r="I251" i="22"/>
  <c r="B251" i="22"/>
  <c r="H251" i="22" l="1"/>
  <c r="X250" i="22"/>
  <c r="Y250" i="22" s="1"/>
  <c r="AG250" i="22" l="1"/>
  <c r="F251" i="22" l="1"/>
  <c r="AK250" i="22"/>
  <c r="G251" i="22" s="1"/>
  <c r="T251" i="22" a="1"/>
  <c r="T251" i="22" l="1"/>
  <c r="Q251" i="22" l="1"/>
  <c r="U251" i="22"/>
  <c r="AE251" i="22" s="1"/>
  <c r="D252" i="22" s="1"/>
  <c r="V251" i="22"/>
  <c r="AF251" i="22" s="1"/>
  <c r="E252" i="22" s="1"/>
  <c r="AD251" i="22"/>
  <c r="C252" i="22" s="1"/>
  <c r="W251" i="22" a="1"/>
  <c r="W251" i="22" l="1"/>
  <c r="P251" i="22" a="1"/>
  <c r="P251" i="22" l="1"/>
  <c r="AC251" i="22"/>
  <c r="R251" i="22" l="1"/>
  <c r="S251" i="22" s="1"/>
  <c r="K251" i="22" s="1"/>
  <c r="I252" i="22"/>
  <c r="B252" i="22"/>
  <c r="H252" i="22" s="1"/>
  <c r="X251" i="22" l="1"/>
  <c r="Y251" i="22" s="1"/>
  <c r="AG251" i="22" l="1"/>
  <c r="F252" i="22" l="1"/>
  <c r="AK251" i="22"/>
  <c r="G252" i="22" s="1"/>
  <c r="T252" i="22" a="1"/>
  <c r="T252" i="22" l="1"/>
  <c r="Q252" i="22" l="1"/>
  <c r="AD252" i="22"/>
  <c r="C253" i="22" s="1"/>
  <c r="U252" i="22"/>
  <c r="AE252" i="22" s="1"/>
  <c r="D253" i="22" s="1"/>
  <c r="V252" i="22"/>
  <c r="AF252" i="22" s="1"/>
  <c r="E253" i="22" s="1"/>
  <c r="W252" i="22" a="1"/>
  <c r="W252" i="22" l="1"/>
  <c r="P252" i="22" a="1"/>
  <c r="P252" i="22" l="1"/>
  <c r="AC252" i="22"/>
  <c r="B253" i="22" s="1"/>
  <c r="R252" i="22" l="1"/>
  <c r="S252" i="22" s="1"/>
  <c r="K252" i="22" s="1"/>
  <c r="I253" i="22"/>
  <c r="X252" i="22" l="1"/>
  <c r="Y252" i="22" s="1"/>
  <c r="H253" i="22"/>
  <c r="AG252" i="22" l="1"/>
  <c r="AK252" i="22" l="1"/>
  <c r="G253" i="22" s="1"/>
  <c r="F253" i="22"/>
  <c r="T253" i="22" a="1"/>
  <c r="T253" i="22" l="1"/>
  <c r="Q253" i="22" l="1"/>
  <c r="U253" i="22"/>
  <c r="AE253" i="22" s="1"/>
  <c r="D254" i="22" s="1"/>
  <c r="AD253" i="22"/>
  <c r="C254" i="22" s="1"/>
  <c r="V253" i="22"/>
  <c r="AF253" i="22" s="1"/>
  <c r="E254" i="22" s="1"/>
  <c r="W253" i="22" a="1"/>
  <c r="W253" i="22" l="1"/>
  <c r="P253" i="22" a="1"/>
  <c r="P253" i="22" l="1"/>
  <c r="AC253" i="22"/>
  <c r="I254" i="22" l="1"/>
  <c r="R253" i="22"/>
  <c r="S253" i="22" s="1"/>
  <c r="K253" i="22" s="1"/>
  <c r="B254" i="22"/>
  <c r="H254" i="22" l="1"/>
  <c r="X253" i="22"/>
  <c r="Y253" i="22" s="1"/>
  <c r="AG253" i="22" l="1"/>
  <c r="F254" i="22" l="1"/>
  <c r="AK253" i="22"/>
  <c r="G254" i="22" s="1"/>
  <c r="T254" i="22" a="1"/>
  <c r="T254" i="22" l="1"/>
  <c r="Q254" i="22" l="1"/>
  <c r="V254" i="22"/>
  <c r="AF254" i="22" s="1"/>
  <c r="E255" i="22" s="1"/>
  <c r="AD254" i="22"/>
  <c r="C255" i="22" s="1"/>
  <c r="U254" i="22"/>
  <c r="AE254" i="22" s="1"/>
  <c r="D255" i="22" s="1"/>
  <c r="W254" i="22" a="1"/>
  <c r="W254" i="22" l="1"/>
  <c r="P254" i="22" a="1"/>
  <c r="P254" i="22" l="1"/>
  <c r="AC254" i="22"/>
  <c r="I255" i="22" l="1"/>
  <c r="R254" i="22"/>
  <c r="S254" i="22" s="1"/>
  <c r="K254" i="22" s="1"/>
  <c r="B255" i="22"/>
  <c r="X254" i="22" l="1"/>
  <c r="Y254" i="22" s="1"/>
  <c r="H255" i="22"/>
  <c r="AG254" i="22" l="1"/>
  <c r="F255" i="22" l="1"/>
  <c r="AK254" i="22"/>
  <c r="G255" i="22" s="1"/>
  <c r="T255" i="22" a="1"/>
  <c r="T255" i="22" l="1"/>
  <c r="U255" i="22" l="1"/>
  <c r="AE255" i="22" s="1"/>
  <c r="D256" i="22" s="1"/>
  <c r="Q255" i="22"/>
  <c r="V255" i="22"/>
  <c r="AF255" i="22" s="1"/>
  <c r="E256" i="22" s="1"/>
  <c r="AD255" i="22"/>
  <c r="C256" i="22" s="1"/>
  <c r="W255" i="22" a="1"/>
  <c r="W255" i="22" l="1"/>
  <c r="P255" i="22" a="1"/>
  <c r="P255" i="22" l="1"/>
  <c r="AC255" i="22"/>
  <c r="B256" i="22" l="1"/>
  <c r="I256" i="22"/>
  <c r="R255" i="22"/>
  <c r="S255" i="22" s="1"/>
  <c r="K255" i="22" s="1"/>
  <c r="X255" i="22" l="1"/>
  <c r="Y255" i="22" s="1"/>
  <c r="H256" i="22"/>
  <c r="AG255" i="22" l="1"/>
  <c r="F256" i="22" s="1"/>
  <c r="AK255" i="22" l="1"/>
  <c r="G256" i="22" s="1"/>
  <c r="T256" i="22" a="1"/>
  <c r="T256" i="22" l="1"/>
  <c r="U256" i="22" s="1"/>
  <c r="AE256" i="22" s="1"/>
  <c r="D257" i="22" s="1"/>
  <c r="Q256" i="22"/>
  <c r="V256" i="22"/>
  <c r="AF256" i="22" s="1"/>
  <c r="E257" i="22" s="1"/>
  <c r="W256" i="22" a="1"/>
  <c r="AD256" i="22" l="1"/>
  <c r="C257" i="22" s="1"/>
  <c r="W256" i="22"/>
  <c r="P256" i="22" a="1"/>
  <c r="P256" i="22" l="1"/>
  <c r="AC256" i="22"/>
  <c r="I257" i="22" l="1"/>
  <c r="R256" i="22"/>
  <c r="S256" i="22" s="1"/>
  <c r="K256" i="22" s="1"/>
  <c r="B257" i="22"/>
  <c r="H257" i="22" l="1"/>
  <c r="X256" i="22"/>
  <c r="Y256" i="22" s="1"/>
  <c r="AG256" i="22" l="1"/>
  <c r="F257" i="22" l="1"/>
  <c r="AK256" i="22"/>
  <c r="G257" i="22" s="1"/>
  <c r="T257" i="22" a="1"/>
  <c r="T257" i="22" l="1"/>
  <c r="Q257" i="22" l="1"/>
  <c r="U257" i="22"/>
  <c r="AE257" i="22" s="1"/>
  <c r="D258" i="22" s="1"/>
  <c r="AD257" i="22"/>
  <c r="C258" i="22" s="1"/>
  <c r="V257" i="22"/>
  <c r="AF257" i="22" s="1"/>
  <c r="E258" i="22" s="1"/>
  <c r="W257" i="22" a="1"/>
  <c r="W257" i="22" l="1"/>
  <c r="P257" i="22" a="1"/>
  <c r="P257" i="22" l="1"/>
  <c r="AC257" i="22"/>
  <c r="B258" i="22" l="1"/>
  <c r="R257" i="22"/>
  <c r="S257" i="22" s="1"/>
  <c r="K257" i="22" s="1"/>
  <c r="I258" i="22"/>
  <c r="X257" i="22" l="1"/>
  <c r="Y257" i="22" s="1"/>
  <c r="H258" i="22"/>
  <c r="AG257" i="22" l="1"/>
  <c r="F258" i="22" l="1"/>
  <c r="AK257" i="22"/>
  <c r="G258" i="22" s="1"/>
  <c r="T258" i="22" a="1"/>
  <c r="T258" i="22" l="1"/>
  <c r="Q258" i="22" l="1"/>
  <c r="U258" i="22"/>
  <c r="AE258" i="22" s="1"/>
  <c r="D259" i="22" s="1"/>
  <c r="V258" i="22"/>
  <c r="AF258" i="22" s="1"/>
  <c r="E259" i="22" s="1"/>
  <c r="AD258" i="22"/>
  <c r="C259" i="22" s="1"/>
  <c r="W258" i="22" a="1"/>
  <c r="W258" i="22" l="1"/>
  <c r="P258" i="22" a="1"/>
  <c r="P258" i="22" l="1"/>
  <c r="AC258" i="22"/>
  <c r="R258" i="22" l="1"/>
  <c r="S258" i="22" s="1"/>
  <c r="K258" i="22" s="1"/>
  <c r="I259" i="22"/>
  <c r="B259" i="22"/>
  <c r="X258" i="22" l="1"/>
  <c r="Y258" i="22" s="1"/>
  <c r="H259" i="22"/>
  <c r="AG258" i="22" l="1"/>
  <c r="F259" i="22" l="1"/>
  <c r="AK258" i="22"/>
  <c r="G259" i="22" s="1"/>
  <c r="T259" i="22" a="1"/>
  <c r="T259" i="22" l="1"/>
  <c r="Q259" i="22" l="1"/>
  <c r="U259" i="22"/>
  <c r="AE259" i="22" s="1"/>
  <c r="D260" i="22" s="1"/>
  <c r="V259" i="22"/>
  <c r="AF259" i="22" s="1"/>
  <c r="E260" i="22" s="1"/>
  <c r="AD259" i="22"/>
  <c r="C260" i="22" s="1"/>
  <c r="W259" i="22" a="1"/>
  <c r="W259" i="22" l="1"/>
  <c r="P259" i="22" a="1"/>
  <c r="P259" i="22" l="1"/>
  <c r="AC259" i="22"/>
  <c r="B260" i="22" l="1"/>
  <c r="R259" i="22"/>
  <c r="S259" i="22" s="1"/>
  <c r="K259" i="22" s="1"/>
  <c r="I260" i="22"/>
  <c r="H260" i="22" l="1"/>
  <c r="X259" i="22"/>
  <c r="Y259" i="22" s="1"/>
  <c r="AG259" i="22" l="1"/>
  <c r="F260" i="22" l="1"/>
  <c r="AK259" i="22"/>
  <c r="G260" i="22" s="1"/>
  <c r="T260" i="22" a="1"/>
  <c r="T260" i="22" l="1"/>
  <c r="Q260" i="22" l="1"/>
  <c r="V260" i="22"/>
  <c r="AF260" i="22" s="1"/>
  <c r="E261" i="22" s="1"/>
  <c r="AD260" i="22"/>
  <c r="C261" i="22" s="1"/>
  <c r="U260" i="22"/>
  <c r="AE260" i="22" s="1"/>
  <c r="D261" i="22" s="1"/>
  <c r="W260" i="22" a="1"/>
  <c r="W260" i="22" l="1"/>
  <c r="P260" i="22" a="1"/>
  <c r="P260" i="22" l="1"/>
  <c r="AC260" i="22"/>
  <c r="B261" i="22" l="1"/>
  <c r="R260" i="22"/>
  <c r="S260" i="22" s="1"/>
  <c r="K260" i="22" s="1"/>
  <c r="I261" i="22"/>
  <c r="X260" i="22" l="1"/>
  <c r="Y260" i="22" s="1"/>
  <c r="H261" i="22"/>
  <c r="AG260" i="22" l="1"/>
  <c r="F261" i="22" l="1"/>
  <c r="AK260" i="22"/>
  <c r="G261" i="22" s="1"/>
  <c r="T261" i="22" a="1"/>
  <c r="T261" i="22" l="1"/>
  <c r="Q261" i="22" l="1"/>
  <c r="V261" i="22"/>
  <c r="AF261" i="22" s="1"/>
  <c r="E262" i="22" s="1"/>
  <c r="AD261" i="22"/>
  <c r="C262" i="22" s="1"/>
  <c r="U261" i="22"/>
  <c r="AE261" i="22" s="1"/>
  <c r="D262" i="22" s="1"/>
  <c r="W261" i="22" a="1"/>
  <c r="W261" i="22" l="1"/>
  <c r="P261" i="22" a="1"/>
  <c r="P261" i="22" l="1"/>
  <c r="AC261" i="22"/>
  <c r="B262" i="22" l="1"/>
  <c r="I262" i="22"/>
  <c r="R261" i="22"/>
  <c r="S261" i="22" s="1"/>
  <c r="K261" i="22" s="1"/>
  <c r="H262" i="22" l="1"/>
  <c r="X261" i="22"/>
  <c r="Y261" i="22" s="1"/>
  <c r="AG261" i="22" l="1"/>
  <c r="F262" i="22" l="1"/>
  <c r="AK261" i="22"/>
  <c r="G262" i="22" s="1"/>
  <c r="T262" i="22" a="1"/>
  <c r="T262" i="22" l="1"/>
  <c r="Q262" i="22" l="1"/>
  <c r="V262" i="22"/>
  <c r="AF262" i="22" s="1"/>
  <c r="E263" i="22" s="1"/>
  <c r="U262" i="22"/>
  <c r="AE262" i="22" s="1"/>
  <c r="D263" i="22" s="1"/>
  <c r="AD262" i="22"/>
  <c r="C263" i="22" s="1"/>
  <c r="W262" i="22" a="1"/>
  <c r="W262" i="22" l="1"/>
  <c r="P262" i="22" a="1"/>
  <c r="P262" i="22" l="1"/>
  <c r="AC262" i="22"/>
  <c r="I263" i="22" l="1"/>
  <c r="R262" i="22"/>
  <c r="S262" i="22" s="1"/>
  <c r="K262" i="22" s="1"/>
  <c r="B263" i="22"/>
  <c r="H263" i="22" l="1"/>
  <c r="X262" i="22"/>
  <c r="Y262" i="22" s="1"/>
  <c r="AG262" i="22" l="1"/>
  <c r="F263" i="22" l="1"/>
  <c r="AK262" i="22"/>
  <c r="G263" i="22" s="1"/>
  <c r="T263" i="22" a="1"/>
  <c r="T263" i="22" l="1"/>
  <c r="Q263" i="22" l="1"/>
  <c r="U263" i="22"/>
  <c r="AE263" i="22" s="1"/>
  <c r="D264" i="22" s="1"/>
  <c r="V263" i="22"/>
  <c r="AF263" i="22" s="1"/>
  <c r="E264" i="22" s="1"/>
  <c r="AD263" i="22"/>
  <c r="C264" i="22" s="1"/>
  <c r="W263" i="22" a="1"/>
  <c r="W263" i="22" l="1"/>
  <c r="P263" i="22" a="1"/>
  <c r="P263" i="22" l="1"/>
  <c r="AC263" i="22"/>
  <c r="B264" i="22" l="1"/>
  <c r="R263" i="22"/>
  <c r="S263" i="22" s="1"/>
  <c r="K263" i="22" s="1"/>
  <c r="I264" i="22"/>
  <c r="X263" i="22" l="1"/>
  <c r="Y263" i="22" s="1"/>
  <c r="H264" i="22"/>
  <c r="AG263" i="22" l="1"/>
  <c r="F264" i="22" l="1"/>
  <c r="AK263" i="22"/>
  <c r="G264" i="22" s="1"/>
  <c r="T264" i="22" a="1"/>
  <c r="T264" i="22" l="1"/>
  <c r="Q264" i="22" l="1"/>
  <c r="AD264" i="22"/>
  <c r="C265" i="22" s="1"/>
  <c r="V264" i="22"/>
  <c r="AF264" i="22" s="1"/>
  <c r="E265" i="22" s="1"/>
  <c r="U264" i="22"/>
  <c r="AE264" i="22" s="1"/>
  <c r="D265" i="22" s="1"/>
  <c r="W264" i="22" a="1"/>
  <c r="W264" i="22" l="1"/>
  <c r="P264" i="22" a="1"/>
  <c r="P264" i="22" l="1"/>
  <c r="AC264" i="22"/>
  <c r="B265" i="22" l="1"/>
  <c r="R264" i="22"/>
  <c r="S264" i="22" s="1"/>
  <c r="K264" i="22" s="1"/>
  <c r="I265" i="22"/>
  <c r="X264" i="22" l="1"/>
  <c r="Y264" i="22" s="1"/>
  <c r="H265" i="22"/>
  <c r="AG264" i="22" l="1"/>
  <c r="F265" i="22" l="1"/>
  <c r="AK264" i="22"/>
  <c r="G265" i="22" s="1"/>
  <c r="T265" i="22" a="1"/>
  <c r="T265" i="22" l="1"/>
  <c r="U265" i="22" l="1"/>
  <c r="AE265" i="22" s="1"/>
  <c r="D266" i="22" s="1"/>
  <c r="Q265" i="22"/>
  <c r="AD265" i="22"/>
  <c r="C266" i="22" s="1"/>
  <c r="V265" i="22"/>
  <c r="AF265" i="22" s="1"/>
  <c r="E266" i="22" s="1"/>
  <c r="W265" i="22" a="1"/>
  <c r="W265" i="22" l="1"/>
  <c r="P265" i="22" a="1"/>
  <c r="P265" i="22" l="1"/>
  <c r="AC265" i="22"/>
  <c r="R265" i="22" l="1"/>
  <c r="S265" i="22" s="1"/>
  <c r="K265" i="22" s="1"/>
  <c r="I266" i="22"/>
  <c r="B266" i="22"/>
  <c r="X265" i="22" l="1"/>
  <c r="Y265" i="22" s="1"/>
  <c r="H266" i="22"/>
  <c r="AG265" i="22" l="1"/>
  <c r="F266" i="22" l="1"/>
  <c r="AK265" i="22"/>
  <c r="G266" i="22" s="1"/>
  <c r="T266" i="22" a="1"/>
  <c r="T266" i="22" l="1"/>
  <c r="Q266" i="22" l="1"/>
  <c r="V266" i="22"/>
  <c r="AF266" i="22" s="1"/>
  <c r="E267" i="22" s="1"/>
  <c r="U266" i="22"/>
  <c r="AE266" i="22" s="1"/>
  <c r="D267" i="22" s="1"/>
  <c r="AD266" i="22"/>
  <c r="C267" i="22" s="1"/>
  <c r="W266" i="22" a="1"/>
  <c r="W266" i="22" l="1"/>
  <c r="P266" i="22" a="1"/>
  <c r="P266" i="22" l="1"/>
  <c r="AC266" i="22"/>
  <c r="R266" i="22" l="1"/>
  <c r="S266" i="22" s="1"/>
  <c r="K266" i="22" s="1"/>
  <c r="I267" i="22"/>
  <c r="B267" i="22"/>
  <c r="H267" i="22" l="1"/>
  <c r="X266" i="22"/>
  <c r="Y266" i="22" s="1"/>
  <c r="AG266" i="22" l="1"/>
  <c r="F267" i="22" l="1"/>
  <c r="AK266" i="22"/>
  <c r="G267" i="22" s="1"/>
  <c r="T267" i="22" a="1"/>
  <c r="T267" i="22" l="1"/>
  <c r="Q267" i="22" l="1"/>
  <c r="AD267" i="22"/>
  <c r="C268" i="22" s="1"/>
  <c r="V267" i="22"/>
  <c r="AF267" i="22" s="1"/>
  <c r="E268" i="22" s="1"/>
  <c r="U267" i="22"/>
  <c r="AE267" i="22" s="1"/>
  <c r="D268" i="22" s="1"/>
  <c r="W267" i="22" a="1"/>
  <c r="W267" i="22" l="1"/>
  <c r="P267" i="22" a="1"/>
  <c r="P267" i="22" l="1"/>
  <c r="AC267" i="22"/>
  <c r="B268" i="22" l="1"/>
  <c r="I268" i="22"/>
  <c r="R267" i="22"/>
  <c r="S267" i="22" s="1"/>
  <c r="K267" i="22" s="1"/>
  <c r="X267" i="22" l="1"/>
  <c r="Y267" i="22" s="1"/>
  <c r="H268" i="22"/>
  <c r="AG267" i="22" l="1"/>
  <c r="F268" i="22" l="1"/>
  <c r="AK267" i="22"/>
  <c r="G268" i="22" s="1"/>
  <c r="T268" i="22" a="1"/>
  <c r="T268" i="22" l="1"/>
  <c r="Q268" i="22" l="1"/>
  <c r="V268" i="22"/>
  <c r="AF268" i="22" s="1"/>
  <c r="E269" i="22" s="1"/>
  <c r="AD268" i="22"/>
  <c r="C269" i="22" s="1"/>
  <c r="U268" i="22"/>
  <c r="AE268" i="22" s="1"/>
  <c r="D269" i="22" s="1"/>
  <c r="W268" i="22" a="1"/>
  <c r="W268" i="22" l="1"/>
  <c r="P268" i="22" a="1"/>
  <c r="P268" i="22" l="1"/>
  <c r="AC268" i="22"/>
  <c r="I269" i="22" l="1"/>
  <c r="R268" i="22"/>
  <c r="S268" i="22" s="1"/>
  <c r="K268" i="22" s="1"/>
  <c r="B269" i="22"/>
  <c r="X268" i="22" l="1"/>
  <c r="Y268" i="22" s="1"/>
  <c r="H269" i="22"/>
  <c r="AG268" i="22" l="1"/>
  <c r="F269" i="22" l="1"/>
  <c r="AK268" i="22"/>
  <c r="G269" i="22" s="1"/>
  <c r="T269" i="22" a="1"/>
  <c r="T269" i="22" l="1"/>
  <c r="Q269" i="22" l="1"/>
  <c r="V269" i="22"/>
  <c r="AF269" i="22" s="1"/>
  <c r="E270" i="22" s="1"/>
  <c r="U269" i="22"/>
  <c r="AE269" i="22" s="1"/>
  <c r="D270" i="22" s="1"/>
  <c r="AD269" i="22"/>
  <c r="C270" i="22" s="1"/>
  <c r="W269" i="22" a="1"/>
  <c r="W269" i="22" l="1"/>
  <c r="P269" i="22" a="1"/>
  <c r="P269" i="22" l="1"/>
  <c r="AC269" i="22"/>
  <c r="B270" i="22" l="1"/>
  <c r="R269" i="22"/>
  <c r="S269" i="22" s="1"/>
  <c r="K269" i="22" s="1"/>
  <c r="I270" i="22"/>
  <c r="H270" i="22" l="1"/>
  <c r="X269" i="22"/>
  <c r="Y269" i="22" s="1"/>
  <c r="AG269" i="22" l="1"/>
  <c r="F270" i="22" l="1"/>
  <c r="AK269" i="22"/>
  <c r="G270" i="22" s="1"/>
  <c r="T270" i="22" a="1"/>
  <c r="T270" i="22" l="1"/>
  <c r="Q270" i="22" l="1"/>
  <c r="AD270" i="22"/>
  <c r="C271" i="22" s="1"/>
  <c r="U270" i="22"/>
  <c r="AE270" i="22" s="1"/>
  <c r="D271" i="22" s="1"/>
  <c r="V270" i="22"/>
  <c r="AF270" i="22" s="1"/>
  <c r="E271" i="22" s="1"/>
  <c r="W270" i="22" a="1"/>
  <c r="W270" i="22" l="1"/>
  <c r="P270" i="22" a="1"/>
  <c r="P270" i="22" l="1"/>
  <c r="AC270" i="22"/>
  <c r="I271" i="22" l="1"/>
  <c r="R270" i="22"/>
  <c r="S270" i="22" s="1"/>
  <c r="K270" i="22" s="1"/>
  <c r="B271" i="22"/>
  <c r="H271" i="22" l="1"/>
  <c r="X270" i="22"/>
  <c r="Y270" i="22" s="1"/>
  <c r="AG270" i="22" l="1"/>
  <c r="F271" i="22" l="1"/>
  <c r="AK270" i="22"/>
  <c r="G271" i="22" s="1"/>
  <c r="T271" i="22" a="1"/>
  <c r="T271" i="22" l="1"/>
  <c r="Q271" i="22" l="1"/>
  <c r="V271" i="22"/>
  <c r="AF271" i="22" s="1"/>
  <c r="E272" i="22" s="1"/>
  <c r="AD271" i="22"/>
  <c r="C272" i="22" s="1"/>
  <c r="U271" i="22"/>
  <c r="AE271" i="22" s="1"/>
  <c r="D272" i="22" s="1"/>
  <c r="W271" i="22" a="1"/>
  <c r="W271" i="22" l="1"/>
  <c r="P271" i="22" a="1"/>
  <c r="P271" i="22" l="1"/>
  <c r="AC271" i="22"/>
  <c r="B272" i="22" l="1"/>
  <c r="R271" i="22"/>
  <c r="S271" i="22" s="1"/>
  <c r="K271" i="22" s="1"/>
  <c r="I272" i="22"/>
  <c r="X271" i="22" l="1"/>
  <c r="Y271" i="22" s="1"/>
  <c r="H272" i="22"/>
  <c r="AG271" i="22" l="1"/>
  <c r="F272" i="22" l="1"/>
  <c r="AK271" i="22"/>
  <c r="G272" i="22" s="1"/>
  <c r="T272" i="22" a="1"/>
  <c r="T272" i="22" l="1"/>
  <c r="Q272" i="22" l="1"/>
  <c r="U272" i="22"/>
  <c r="AE272" i="22" s="1"/>
  <c r="D273" i="22" s="1"/>
  <c r="AD272" i="22"/>
  <c r="C273" i="22" s="1"/>
  <c r="V272" i="22"/>
  <c r="AF272" i="22" s="1"/>
  <c r="E273" i="22" s="1"/>
  <c r="W272" i="22" a="1"/>
  <c r="W272" i="22" l="1"/>
  <c r="P272" i="22" a="1"/>
  <c r="P272" i="22" l="1"/>
  <c r="AC272" i="22"/>
  <c r="B273" i="22" l="1"/>
  <c r="R272" i="22"/>
  <c r="S272" i="22" s="1"/>
  <c r="K272" i="22" s="1"/>
  <c r="I273" i="22"/>
  <c r="X272" i="22" l="1"/>
  <c r="Y272" i="22" s="1"/>
  <c r="H273" i="22"/>
  <c r="AG272" i="22" l="1"/>
  <c r="F273" i="22"/>
  <c r="AK272" i="22"/>
  <c r="G273" i="22" s="1"/>
  <c r="T273" i="22" a="1"/>
  <c r="T273" i="22" l="1"/>
  <c r="Q273" i="22" l="1"/>
  <c r="AD273" i="22"/>
  <c r="C274" i="22" s="1"/>
  <c r="U273" i="22"/>
  <c r="AE273" i="22" s="1"/>
  <c r="D274" i="22" s="1"/>
  <c r="V273" i="22"/>
  <c r="AF273" i="22" s="1"/>
  <c r="E274" i="22" s="1"/>
  <c r="W273" i="22" a="1"/>
  <c r="W273" i="22" l="1"/>
  <c r="P273" i="22" a="1"/>
  <c r="P273" i="22" l="1"/>
  <c r="AC273" i="22"/>
  <c r="B274" i="22" l="1"/>
  <c r="R273" i="22"/>
  <c r="S273" i="22" s="1"/>
  <c r="K273" i="22" s="1"/>
  <c r="I274" i="22"/>
  <c r="X273" i="22" l="1"/>
  <c r="Y273" i="22" s="1"/>
  <c r="H274" i="22"/>
  <c r="AG273" i="22" l="1"/>
  <c r="F274" i="22" l="1"/>
  <c r="AK273" i="22"/>
  <c r="G274" i="22" s="1"/>
  <c r="T274" i="22" a="1"/>
  <c r="T274" i="22" l="1"/>
  <c r="Q274" i="22" l="1"/>
  <c r="U274" i="22"/>
  <c r="AE274" i="22" s="1"/>
  <c r="D275" i="22" s="1"/>
  <c r="V274" i="22"/>
  <c r="AF274" i="22" s="1"/>
  <c r="E275" i="22" s="1"/>
  <c r="AD274" i="22"/>
  <c r="C275" i="22" s="1"/>
  <c r="W274" i="22" a="1"/>
  <c r="W274" i="22" l="1"/>
  <c r="P274" i="22" a="1"/>
  <c r="P274" i="22" l="1"/>
  <c r="AC274" i="22"/>
  <c r="B275" i="22" l="1"/>
  <c r="R274" i="22"/>
  <c r="S274" i="22" s="1"/>
  <c r="K274" i="22" s="1"/>
  <c r="I275" i="22"/>
  <c r="X274" i="22" l="1"/>
  <c r="Y274" i="22" s="1"/>
  <c r="H275" i="22"/>
  <c r="AG274" i="22" l="1"/>
  <c r="F275" i="22" l="1"/>
  <c r="AK274" i="22"/>
  <c r="G275" i="22" s="1"/>
  <c r="T275" i="22" a="1"/>
  <c r="T275" i="22" l="1"/>
  <c r="Q275" i="22" l="1"/>
  <c r="U275" i="22"/>
  <c r="AE275" i="22" s="1"/>
  <c r="D276" i="22" s="1"/>
  <c r="V275" i="22"/>
  <c r="AF275" i="22" s="1"/>
  <c r="E276" i="22" s="1"/>
  <c r="AD275" i="22"/>
  <c r="C276" i="22" s="1"/>
  <c r="W275" i="22" a="1"/>
  <c r="W275" i="22" l="1"/>
  <c r="P275" i="22" a="1"/>
  <c r="P275" i="22" l="1"/>
  <c r="AC275" i="22"/>
  <c r="R275" i="22" l="1"/>
  <c r="S275" i="22" s="1"/>
  <c r="K275" i="22" s="1"/>
  <c r="I276" i="22"/>
  <c r="B276" i="22"/>
  <c r="X275" i="22" l="1"/>
  <c r="Y275" i="22" s="1"/>
  <c r="H276" i="22"/>
  <c r="AG275" i="22" l="1"/>
  <c r="F276" i="22" l="1"/>
  <c r="AK275" i="22"/>
  <c r="G276" i="22" s="1"/>
  <c r="T276" i="22" a="1"/>
  <c r="T276" i="22" l="1"/>
  <c r="Q276" i="22" l="1"/>
  <c r="U276" i="22"/>
  <c r="AE276" i="22" s="1"/>
  <c r="D277" i="22" s="1"/>
  <c r="AD276" i="22"/>
  <c r="C277" i="22" s="1"/>
  <c r="V276" i="22"/>
  <c r="AF276" i="22" s="1"/>
  <c r="E277" i="22" s="1"/>
  <c r="W276" i="22" a="1"/>
  <c r="W276" i="22" l="1"/>
  <c r="P276" i="22" a="1"/>
  <c r="P276" i="22" l="1"/>
  <c r="AC276" i="22"/>
  <c r="R276" i="22" l="1"/>
  <c r="S276" i="22" s="1"/>
  <c r="K276" i="22" s="1"/>
  <c r="I277" i="22"/>
  <c r="B277" i="22"/>
  <c r="H277" i="22" l="1"/>
  <c r="X276" i="22"/>
  <c r="Y276" i="22" s="1"/>
  <c r="AG276" i="22" l="1"/>
  <c r="F277" i="22" l="1"/>
  <c r="AK276" i="22"/>
  <c r="G277" i="22" s="1"/>
  <c r="T277" i="22" a="1"/>
  <c r="T277" i="22" l="1"/>
  <c r="Q277" i="22" l="1"/>
  <c r="U277" i="22"/>
  <c r="AE277" i="22" s="1"/>
  <c r="D278" i="22" s="1"/>
  <c r="V277" i="22"/>
  <c r="AF277" i="22" s="1"/>
  <c r="E278" i="22" s="1"/>
  <c r="AD277" i="22"/>
  <c r="C278" i="22" s="1"/>
  <c r="W277" i="22" a="1"/>
  <c r="W277" i="22" l="1"/>
  <c r="P277" i="22" a="1"/>
  <c r="P277" i="22" l="1"/>
  <c r="AC277" i="22"/>
  <c r="R277" i="22" l="1"/>
  <c r="S277" i="22" s="1"/>
  <c r="K277" i="22" s="1"/>
  <c r="I278" i="22"/>
  <c r="B278" i="22"/>
  <c r="H278" i="22" l="1"/>
  <c r="X277" i="22"/>
  <c r="Y277" i="22" s="1"/>
  <c r="AG277" i="22" l="1"/>
  <c r="F278" i="22" l="1"/>
  <c r="AK277" i="22"/>
  <c r="G278" i="22" s="1"/>
  <c r="T278" i="22" a="1"/>
  <c r="T278" i="22" l="1"/>
  <c r="Q278" i="22" l="1"/>
  <c r="AD278" i="22"/>
  <c r="C279" i="22" s="1"/>
  <c r="U278" i="22"/>
  <c r="AE278" i="22" s="1"/>
  <c r="D279" i="22" s="1"/>
  <c r="V278" i="22"/>
  <c r="AF278" i="22" s="1"/>
  <c r="E279" i="22" s="1"/>
  <c r="W278" i="22" a="1"/>
  <c r="W278" i="22" l="1"/>
  <c r="P278" i="22" a="1"/>
  <c r="P278" i="22" l="1"/>
  <c r="AC278" i="22"/>
  <c r="B279" i="22" l="1"/>
  <c r="R278" i="22"/>
  <c r="S278" i="22" s="1"/>
  <c r="K278" i="22" s="1"/>
  <c r="I279" i="22"/>
  <c r="X278" i="22" l="1"/>
  <c r="Y278" i="22" s="1"/>
  <c r="H279" i="22"/>
  <c r="AG278" i="22" l="1"/>
  <c r="F279" i="22" l="1"/>
  <c r="AK278" i="22"/>
  <c r="G279" i="22" s="1"/>
  <c r="T279" i="22" a="1"/>
  <c r="T279" i="22" l="1"/>
  <c r="Q279" i="22" l="1"/>
  <c r="U279" i="22"/>
  <c r="AE279" i="22" s="1"/>
  <c r="D280" i="22" s="1"/>
  <c r="AD279" i="22"/>
  <c r="C280" i="22" s="1"/>
  <c r="V279" i="22"/>
  <c r="AF279" i="22" s="1"/>
  <c r="E280" i="22" s="1"/>
  <c r="W279" i="22" a="1"/>
  <c r="W279" i="22" l="1"/>
  <c r="P279" i="22" a="1"/>
  <c r="P279" i="22" l="1"/>
  <c r="AC279" i="22"/>
  <c r="B280" i="22" l="1"/>
  <c r="I280" i="22"/>
  <c r="R279" i="22"/>
  <c r="S279" i="22" s="1"/>
  <c r="K279" i="22" s="1"/>
  <c r="X279" i="22" l="1"/>
  <c r="Y279" i="22" s="1"/>
  <c r="H280" i="22"/>
  <c r="AG279" i="22" l="1"/>
  <c r="F280" i="22" l="1"/>
  <c r="AK279" i="22"/>
  <c r="G280" i="22" s="1"/>
  <c r="T280" i="22" a="1"/>
  <c r="T280" i="22" l="1"/>
  <c r="Q280" i="22" l="1"/>
  <c r="U280" i="22"/>
  <c r="AE280" i="22" s="1"/>
  <c r="D281" i="22" s="1"/>
  <c r="V280" i="22"/>
  <c r="AF280" i="22" s="1"/>
  <c r="E281" i="22" s="1"/>
  <c r="AD280" i="22"/>
  <c r="C281" i="22" s="1"/>
  <c r="W280" i="22" a="1"/>
  <c r="W280" i="22" l="1"/>
  <c r="P280" i="22" a="1"/>
  <c r="P280" i="22" l="1"/>
  <c r="AC280" i="22"/>
  <c r="B281" i="22" l="1"/>
  <c r="I281" i="22"/>
  <c r="R280" i="22"/>
  <c r="S280" i="22" s="1"/>
  <c r="K280" i="22" s="1"/>
  <c r="X280" i="22" l="1"/>
  <c r="Y280" i="22" s="1"/>
  <c r="H281" i="22"/>
  <c r="AG280" i="22" l="1"/>
  <c r="F281" i="22" l="1"/>
  <c r="AK280" i="22"/>
  <c r="G281" i="22" s="1"/>
  <c r="T281" i="22" a="1"/>
  <c r="T281" i="22" l="1"/>
  <c r="Q281" i="22" l="1"/>
  <c r="V281" i="22"/>
  <c r="AF281" i="22" s="1"/>
  <c r="E282" i="22" s="1"/>
  <c r="U281" i="22"/>
  <c r="AE281" i="22" s="1"/>
  <c r="D282" i="22" s="1"/>
  <c r="AD281" i="22"/>
  <c r="C282" i="22" s="1"/>
  <c r="W281" i="22" a="1"/>
  <c r="W281" i="22" l="1"/>
  <c r="P281" i="22" a="1"/>
  <c r="P281" i="22" l="1"/>
  <c r="AC281" i="22"/>
  <c r="B282" i="22" l="1"/>
  <c r="R281" i="22"/>
  <c r="S281" i="22" s="1"/>
  <c r="K281" i="22" s="1"/>
  <c r="I282" i="22"/>
  <c r="X281" i="22" l="1"/>
  <c r="Y281" i="22" s="1"/>
  <c r="H282" i="22"/>
  <c r="AG281" i="22" l="1"/>
  <c r="F282" i="22" l="1"/>
  <c r="AK281" i="22"/>
  <c r="G282" i="22" s="1"/>
  <c r="T282" i="22" a="1"/>
  <c r="T282" i="22" l="1"/>
  <c r="Q282" i="22" l="1"/>
  <c r="V282" i="22"/>
  <c r="AF282" i="22" s="1"/>
  <c r="E283" i="22" s="1"/>
  <c r="U282" i="22"/>
  <c r="AE282" i="22" s="1"/>
  <c r="D283" i="22" s="1"/>
  <c r="AD282" i="22"/>
  <c r="C283" i="22" s="1"/>
  <c r="W282" i="22" a="1"/>
  <c r="W282" i="22" l="1"/>
  <c r="P282" i="22" a="1"/>
  <c r="P282" i="22" l="1"/>
  <c r="AC282" i="22"/>
  <c r="B283" i="22" l="1"/>
  <c r="I283" i="22"/>
  <c r="R282" i="22"/>
  <c r="S282" i="22" s="1"/>
  <c r="K282" i="22" s="1"/>
  <c r="X282" i="22" l="1"/>
  <c r="Y282" i="22" s="1"/>
  <c r="H283" i="22"/>
  <c r="AG282" i="22" l="1"/>
  <c r="F283" i="22" l="1"/>
  <c r="AK282" i="22"/>
  <c r="G283" i="22" s="1"/>
  <c r="T283" i="22" a="1"/>
  <c r="T283" i="22" l="1"/>
  <c r="Q283" i="22" l="1"/>
  <c r="V283" i="22"/>
  <c r="AF283" i="22" s="1"/>
  <c r="E284" i="22" s="1"/>
  <c r="AD283" i="22"/>
  <c r="C284" i="22" s="1"/>
  <c r="U283" i="22"/>
  <c r="AE283" i="22" s="1"/>
  <c r="D284" i="22" s="1"/>
  <c r="W283" i="22" a="1"/>
  <c r="W283" i="22" l="1"/>
  <c r="P283" i="22" a="1"/>
  <c r="P283" i="22" l="1"/>
  <c r="AC283" i="22"/>
  <c r="B284" i="22" l="1"/>
  <c r="R283" i="22"/>
  <c r="S283" i="22" s="1"/>
  <c r="K283" i="22" s="1"/>
  <c r="I284" i="22"/>
  <c r="X283" i="22" l="1"/>
  <c r="Y283" i="22" s="1"/>
  <c r="H284" i="22"/>
  <c r="AG283" i="22" l="1"/>
  <c r="F284" i="22" l="1"/>
  <c r="AK283" i="22"/>
  <c r="G284" i="22" s="1"/>
  <c r="T284" i="22" a="1"/>
  <c r="T284" i="22" l="1"/>
  <c r="Q284" i="22" l="1"/>
  <c r="V284" i="22"/>
  <c r="AF284" i="22" s="1"/>
  <c r="E285" i="22" s="1"/>
  <c r="U284" i="22"/>
  <c r="AE284" i="22" s="1"/>
  <c r="D285" i="22" s="1"/>
  <c r="AD284" i="22"/>
  <c r="C285" i="22" s="1"/>
  <c r="W284" i="22" a="1"/>
  <c r="W284" i="22" l="1"/>
  <c r="P284" i="22" a="1"/>
  <c r="P284" i="22" l="1"/>
  <c r="AC284" i="22"/>
  <c r="B285" i="22" l="1"/>
  <c r="I285" i="22"/>
  <c r="R284" i="22"/>
  <c r="S284" i="22" s="1"/>
  <c r="K284" i="22" s="1"/>
  <c r="H285" i="22" l="1"/>
  <c r="X284" i="22"/>
  <c r="Y284" i="22" s="1"/>
  <c r="AG284" i="22" l="1"/>
  <c r="F285" i="22" l="1"/>
  <c r="AK284" i="22"/>
  <c r="G285" i="22" s="1"/>
  <c r="T285" i="22" a="1"/>
  <c r="T285" i="22" l="1"/>
  <c r="Q285" i="22" l="1"/>
  <c r="U285" i="22"/>
  <c r="AE285" i="22" s="1"/>
  <c r="D286" i="22" s="1"/>
  <c r="AD285" i="22"/>
  <c r="C286" i="22" s="1"/>
  <c r="V285" i="22"/>
  <c r="AF285" i="22" s="1"/>
  <c r="E286" i="22" s="1"/>
  <c r="W285" i="22" a="1"/>
  <c r="W285" i="22" l="1"/>
  <c r="P285" i="22" a="1"/>
  <c r="P285" i="22" l="1"/>
  <c r="AC285" i="22"/>
  <c r="I286" i="22" l="1"/>
  <c r="R285" i="22"/>
  <c r="S285" i="22" s="1"/>
  <c r="K285" i="22" s="1"/>
  <c r="B286" i="22"/>
  <c r="H286" i="22" l="1"/>
  <c r="X285" i="22"/>
  <c r="Y285" i="22" s="1"/>
  <c r="AG285" i="22" l="1"/>
  <c r="F286" i="22" l="1"/>
  <c r="AK285" i="22"/>
  <c r="G286" i="22" s="1"/>
  <c r="T286" i="22" a="1"/>
  <c r="T286" i="22" l="1"/>
  <c r="Q286" i="22" l="1"/>
  <c r="V286" i="22"/>
  <c r="AF286" i="22" s="1"/>
  <c r="E287" i="22" s="1"/>
  <c r="U286" i="22"/>
  <c r="AE286" i="22" s="1"/>
  <c r="D287" i="22" s="1"/>
  <c r="AD286" i="22"/>
  <c r="C287" i="22" s="1"/>
  <c r="W286" i="22" a="1"/>
  <c r="W286" i="22" l="1"/>
  <c r="P286" i="22" a="1"/>
  <c r="P286" i="22" l="1"/>
  <c r="AC286" i="22"/>
  <c r="B287" i="22" l="1"/>
  <c r="R286" i="22"/>
  <c r="S286" i="22" s="1"/>
  <c r="K286" i="22" s="1"/>
  <c r="I287" i="22"/>
  <c r="X286" i="22" l="1"/>
  <c r="Y286" i="22" s="1"/>
  <c r="H287" i="22"/>
  <c r="AG286" i="22" l="1"/>
  <c r="F287" i="22" s="1"/>
  <c r="AK286" i="22"/>
  <c r="G287" i="22" s="1"/>
  <c r="T287" i="22" a="1"/>
  <c r="T287" i="22" l="1"/>
  <c r="U287" i="22" l="1"/>
  <c r="AE287" i="22" s="1"/>
  <c r="D288" i="22" s="1"/>
  <c r="Q287" i="22"/>
  <c r="AD287" i="22"/>
  <c r="C288" i="22" s="1"/>
  <c r="V287" i="22"/>
  <c r="AF287" i="22" s="1"/>
  <c r="E288" i="22" s="1"/>
  <c r="W287" i="22" a="1"/>
  <c r="W287" i="22" l="1"/>
  <c r="P287" i="22" a="1"/>
  <c r="P287" i="22" l="1"/>
  <c r="AC287" i="22"/>
  <c r="I288" i="22" l="1"/>
  <c r="R287" i="22"/>
  <c r="S287" i="22" s="1"/>
  <c r="K287" i="22" s="1"/>
  <c r="B288" i="22"/>
  <c r="H288" i="22" l="1"/>
  <c r="X287" i="22"/>
  <c r="Y287" i="22" s="1"/>
  <c r="AG287" i="22" l="1"/>
  <c r="F288" i="22" l="1"/>
  <c r="AK287" i="22"/>
  <c r="G288" i="22" s="1"/>
  <c r="T288" i="22" a="1"/>
  <c r="T288" i="22" l="1"/>
  <c r="U288" i="22" l="1"/>
  <c r="AE288" i="22" s="1"/>
  <c r="D289" i="22" s="1"/>
  <c r="Q288" i="22"/>
  <c r="V288" i="22"/>
  <c r="AF288" i="22" s="1"/>
  <c r="E289" i="22" s="1"/>
  <c r="AD288" i="22"/>
  <c r="C289" i="22" s="1"/>
  <c r="W288" i="22" a="1"/>
  <c r="W288" i="22" l="1"/>
  <c r="P288" i="22" a="1"/>
  <c r="P288" i="22" l="1"/>
  <c r="AC288" i="22"/>
  <c r="B289" i="22" l="1"/>
  <c r="I289" i="22"/>
  <c r="R288" i="22"/>
  <c r="S288" i="22" s="1"/>
  <c r="K288" i="22" s="1"/>
  <c r="H289" i="22" l="1"/>
  <c r="X288" i="22"/>
  <c r="Y288" i="22" s="1"/>
  <c r="AG288" i="22" l="1"/>
  <c r="F289" i="22" l="1"/>
  <c r="AK288" i="22"/>
  <c r="G289" i="22" s="1"/>
  <c r="T289" i="22" a="1"/>
  <c r="T289" i="22" l="1"/>
  <c r="Q289" i="22" l="1"/>
  <c r="U289" i="22"/>
  <c r="AE289" i="22" s="1"/>
  <c r="D290" i="22" s="1"/>
  <c r="V289" i="22"/>
  <c r="AF289" i="22" s="1"/>
  <c r="E290" i="22" s="1"/>
  <c r="AD289" i="22"/>
  <c r="C290" i="22" s="1"/>
  <c r="W289" i="22" a="1"/>
  <c r="W289" i="22" l="1"/>
  <c r="P289" i="22" a="1"/>
  <c r="P289" i="22" l="1"/>
  <c r="AC289" i="22"/>
  <c r="R289" i="22" l="1"/>
  <c r="S289" i="22" s="1"/>
  <c r="K289" i="22" s="1"/>
  <c r="I290" i="22"/>
  <c r="B290" i="22"/>
  <c r="X289" i="22" l="1"/>
  <c r="Y289" i="22" s="1"/>
  <c r="H290" i="22"/>
  <c r="AG289" i="22" l="1"/>
  <c r="F290" i="22" l="1"/>
  <c r="AK289" i="22"/>
  <c r="G290" i="22" s="1"/>
  <c r="T290" i="22" a="1"/>
  <c r="T290" i="22" l="1"/>
  <c r="V290" i="22" l="1"/>
  <c r="AF290" i="22" s="1"/>
  <c r="E291" i="22" s="1"/>
  <c r="Q290" i="22"/>
  <c r="U290" i="22"/>
  <c r="AE290" i="22" s="1"/>
  <c r="D291" i="22" s="1"/>
  <c r="AD290" i="22"/>
  <c r="C291" i="22" s="1"/>
  <c r="W290" i="22" a="1"/>
  <c r="W290" i="22" l="1"/>
  <c r="P290" i="22" a="1"/>
  <c r="P290" i="22" l="1"/>
  <c r="AC290" i="22"/>
  <c r="R290" i="22" l="1"/>
  <c r="S290" i="22" s="1"/>
  <c r="K290" i="22" s="1"/>
  <c r="I291" i="22"/>
  <c r="B291" i="22"/>
  <c r="H291" i="22" l="1"/>
  <c r="X290" i="22"/>
  <c r="Y290" i="22" s="1"/>
  <c r="AG290" i="22" l="1"/>
  <c r="F291" i="22" l="1"/>
  <c r="AK290" i="22"/>
  <c r="G291" i="22" s="1"/>
  <c r="T291" i="22" a="1"/>
  <c r="T291" i="22" l="1"/>
  <c r="Q291" i="22" l="1"/>
  <c r="V291" i="22"/>
  <c r="AF291" i="22" s="1"/>
  <c r="E292" i="22" s="1"/>
  <c r="AD291" i="22"/>
  <c r="C292" i="22" s="1"/>
  <c r="U291" i="22"/>
  <c r="AE291" i="22" s="1"/>
  <c r="D292" i="22" s="1"/>
  <c r="W291" i="22" a="1"/>
  <c r="W291" i="22" l="1"/>
  <c r="P291" i="22" a="1"/>
  <c r="P291" i="22" l="1"/>
  <c r="AC291" i="22"/>
  <c r="I292" i="22" l="1"/>
  <c r="R291" i="22"/>
  <c r="S291" i="22" s="1"/>
  <c r="K291" i="22" s="1"/>
  <c r="B292" i="22"/>
  <c r="H292" i="22" l="1"/>
  <c r="X291" i="22"/>
  <c r="Y291" i="22" s="1"/>
  <c r="AG291" i="22" l="1"/>
  <c r="F292" i="22" l="1"/>
  <c r="AK291" i="22"/>
  <c r="G292" i="22" s="1"/>
  <c r="T292" i="22" a="1"/>
  <c r="T292" i="22" l="1"/>
  <c r="Q292" i="22" l="1"/>
  <c r="U292" i="22"/>
  <c r="AE292" i="22" s="1"/>
  <c r="D293" i="22" s="1"/>
  <c r="V292" i="22"/>
  <c r="AF292" i="22" s="1"/>
  <c r="E293" i="22" s="1"/>
  <c r="AD292" i="22"/>
  <c r="C293" i="22" s="1"/>
  <c r="W292" i="22" a="1"/>
  <c r="W292" i="22" l="1"/>
  <c r="P292" i="22" a="1"/>
  <c r="P292" i="22" l="1"/>
  <c r="AC292" i="22"/>
  <c r="R292" i="22" l="1"/>
  <c r="S292" i="22" s="1"/>
  <c r="K292" i="22" s="1"/>
  <c r="I293" i="22"/>
  <c r="B293" i="22"/>
  <c r="H293" i="22" l="1"/>
  <c r="X292" i="22"/>
  <c r="Y292" i="22" s="1"/>
  <c r="AG292" i="22" l="1"/>
  <c r="F293" i="22" l="1"/>
  <c r="AK292" i="22"/>
  <c r="G293" i="22" s="1"/>
  <c r="T293" i="22" a="1"/>
  <c r="T293" i="22" l="1"/>
  <c r="Q293" i="22" l="1"/>
  <c r="U293" i="22"/>
  <c r="AE293" i="22" s="1"/>
  <c r="D294" i="22" s="1"/>
  <c r="V293" i="22"/>
  <c r="AF293" i="22" s="1"/>
  <c r="E294" i="22" s="1"/>
  <c r="AD293" i="22"/>
  <c r="C294" i="22" s="1"/>
  <c r="W293" i="22" a="1"/>
  <c r="W293" i="22" l="1"/>
  <c r="P293" i="22" a="1"/>
  <c r="P293" i="22" l="1"/>
  <c r="AC293" i="22"/>
  <c r="B294" i="22" l="1"/>
  <c r="I294" i="22"/>
  <c r="R293" i="22"/>
  <c r="S293" i="22" s="1"/>
  <c r="K293" i="22" s="1"/>
  <c r="H294" i="22" l="1"/>
  <c r="X293" i="22"/>
  <c r="Y293" i="22" s="1"/>
  <c r="AG293" i="22" l="1"/>
  <c r="F294" i="22" l="1"/>
  <c r="AK293" i="22"/>
  <c r="G294" i="22" s="1"/>
  <c r="T294" i="22" a="1"/>
  <c r="T294" i="22" l="1"/>
  <c r="Q294" i="22" l="1"/>
  <c r="AD294" i="22"/>
  <c r="C295" i="22" s="1"/>
  <c r="U294" i="22"/>
  <c r="AE294" i="22" s="1"/>
  <c r="D295" i="22" s="1"/>
  <c r="V294" i="22"/>
  <c r="AF294" i="22" s="1"/>
  <c r="E295" i="22" s="1"/>
  <c r="W294" i="22" a="1"/>
  <c r="W294" i="22" l="1"/>
  <c r="P294" i="22" a="1"/>
  <c r="P294" i="22" l="1"/>
  <c r="AC294" i="22"/>
  <c r="R294" i="22" l="1"/>
  <c r="S294" i="22" s="1"/>
  <c r="K294" i="22" s="1"/>
  <c r="I295" i="22"/>
  <c r="B295" i="22"/>
  <c r="H295" i="22" l="1"/>
  <c r="X294" i="22"/>
  <c r="Y294" i="22" s="1"/>
  <c r="AG294" i="22" l="1"/>
  <c r="F295" i="22" l="1"/>
  <c r="AK294" i="22"/>
  <c r="G295" i="22" s="1"/>
  <c r="T295" i="22" a="1"/>
  <c r="T295" i="22" l="1"/>
  <c r="Q295" i="22" l="1"/>
  <c r="U295" i="22"/>
  <c r="AE295" i="22" s="1"/>
  <c r="D296" i="22" s="1"/>
  <c r="V295" i="22"/>
  <c r="AF295" i="22" s="1"/>
  <c r="E296" i="22" s="1"/>
  <c r="AD295" i="22"/>
  <c r="C296" i="22" s="1"/>
  <c r="W295" i="22" a="1"/>
  <c r="W295" i="22" l="1"/>
  <c r="P295" i="22" a="1"/>
  <c r="P295" i="22" l="1"/>
  <c r="AC295" i="22"/>
  <c r="B296" i="22" s="1"/>
  <c r="R295" i="22" l="1"/>
  <c r="S295" i="22" s="1"/>
  <c r="K295" i="22" s="1"/>
  <c r="I296" i="22"/>
  <c r="X295" i="22" l="1"/>
  <c r="Y295" i="22" s="1"/>
  <c r="H296" i="22"/>
  <c r="AG295" i="22" l="1"/>
  <c r="AK295" i="22" l="1"/>
  <c r="G296" i="22" s="1"/>
  <c r="F296" i="22"/>
  <c r="T296" i="22" a="1"/>
  <c r="T296" i="22" l="1"/>
  <c r="Q296" i="22" l="1"/>
  <c r="U296" i="22"/>
  <c r="AE296" i="22" s="1"/>
  <c r="D297" i="22" s="1"/>
  <c r="AD296" i="22"/>
  <c r="C297" i="22" s="1"/>
  <c r="V296" i="22"/>
  <c r="AF296" i="22" s="1"/>
  <c r="E297" i="22" s="1"/>
  <c r="W296" i="22" a="1"/>
  <c r="W296" i="22" l="1"/>
  <c r="P296" i="22" a="1"/>
  <c r="P296" i="22" l="1"/>
  <c r="AC296" i="22"/>
  <c r="R296" i="22" l="1"/>
  <c r="S296" i="22" s="1"/>
  <c r="K296" i="22" s="1"/>
  <c r="I297" i="22"/>
  <c r="B297" i="22"/>
  <c r="H297" i="22" l="1"/>
  <c r="X296" i="22"/>
  <c r="Y296" i="22" s="1"/>
  <c r="AG296" i="22" l="1"/>
  <c r="F297" i="22" l="1"/>
  <c r="AK296" i="22"/>
  <c r="G297" i="22" s="1"/>
  <c r="T297" i="22" a="1"/>
  <c r="T297" i="22" l="1"/>
  <c r="Q297" i="22" l="1"/>
  <c r="U297" i="22"/>
  <c r="AE297" i="22" s="1"/>
  <c r="D298" i="22" s="1"/>
  <c r="V297" i="22"/>
  <c r="AF297" i="22" s="1"/>
  <c r="E298" i="22" s="1"/>
  <c r="AD297" i="22"/>
  <c r="C298" i="22" s="1"/>
  <c r="W297" i="22" a="1"/>
  <c r="W297" i="22" l="1"/>
  <c r="P297" i="22" a="1"/>
  <c r="P297" i="22" l="1"/>
  <c r="AC297" i="22"/>
  <c r="B298" i="22" l="1"/>
  <c r="R297" i="22"/>
  <c r="S297" i="22" s="1"/>
  <c r="K297" i="22" s="1"/>
  <c r="I298" i="22"/>
  <c r="H298" i="22" l="1"/>
  <c r="X297" i="22"/>
  <c r="Y297" i="22" s="1"/>
  <c r="AG297" i="22" l="1"/>
  <c r="F298" i="22" l="1"/>
  <c r="AK297" i="22"/>
  <c r="G298" i="22" s="1"/>
  <c r="T298" i="22" a="1"/>
  <c r="T298" i="22" l="1"/>
  <c r="U298" i="22" l="1"/>
  <c r="AE298" i="22" s="1"/>
  <c r="D299" i="22" s="1"/>
  <c r="Q298" i="22"/>
  <c r="AD298" i="22"/>
  <c r="C299" i="22" s="1"/>
  <c r="V298" i="22"/>
  <c r="AF298" i="22" s="1"/>
  <c r="E299" i="22" s="1"/>
  <c r="W298" i="22" a="1"/>
  <c r="W298" i="22" l="1"/>
  <c r="P298" i="22" a="1"/>
  <c r="P298" i="22" l="1"/>
  <c r="AC298" i="22"/>
  <c r="I299" i="22" l="1"/>
  <c r="R298" i="22"/>
  <c r="S298" i="22" s="1"/>
  <c r="K298" i="22" s="1"/>
  <c r="B299" i="22"/>
  <c r="X298" i="22" l="1"/>
  <c r="Y298" i="22" s="1"/>
  <c r="H299" i="22"/>
  <c r="AG298" i="22" l="1"/>
  <c r="F299" i="22" l="1"/>
  <c r="AK298" i="22"/>
  <c r="G299" i="22" s="1"/>
  <c r="T299" i="22" a="1"/>
  <c r="T299" i="22" l="1"/>
  <c r="Q299" i="22" l="1"/>
  <c r="U299" i="22"/>
  <c r="AE299" i="22" s="1"/>
  <c r="D300" i="22" s="1"/>
  <c r="AD299" i="22"/>
  <c r="C300" i="22" s="1"/>
  <c r="V299" i="22"/>
  <c r="AF299" i="22" s="1"/>
  <c r="E300" i="22" s="1"/>
  <c r="W299" i="22" a="1"/>
  <c r="W299" i="22" l="1"/>
  <c r="P299" i="22" a="1"/>
  <c r="P299" i="22" l="1"/>
  <c r="AC299" i="22"/>
  <c r="B300" i="22" l="1"/>
  <c r="I300" i="22"/>
  <c r="R299" i="22"/>
  <c r="S299" i="22" s="1"/>
  <c r="K299" i="22" s="1"/>
  <c r="X299" i="22" l="1"/>
  <c r="Y299" i="22" s="1"/>
  <c r="H300" i="22"/>
  <c r="AG299" i="22" l="1"/>
  <c r="F300" i="22" l="1"/>
  <c r="AK299" i="22"/>
  <c r="G300" i="22" s="1"/>
  <c r="T300" i="22" a="1"/>
  <c r="T300" i="22" l="1"/>
  <c r="Q300" i="22" l="1"/>
  <c r="U300" i="22"/>
  <c r="AE300" i="22" s="1"/>
  <c r="D301" i="22" s="1"/>
  <c r="V300" i="22"/>
  <c r="AF300" i="22" s="1"/>
  <c r="E301" i="22" s="1"/>
  <c r="AD300" i="22"/>
  <c r="C301" i="22" s="1"/>
  <c r="W300" i="22" a="1"/>
  <c r="W300" i="22" l="1"/>
  <c r="P300" i="22" a="1"/>
  <c r="P300" i="22" l="1"/>
  <c r="AC300" i="22"/>
  <c r="R300" i="22" l="1"/>
  <c r="S300" i="22" s="1"/>
  <c r="K300" i="22" s="1"/>
  <c r="I301" i="22"/>
  <c r="B301" i="22"/>
  <c r="H301" i="22" l="1"/>
  <c r="X300" i="22"/>
  <c r="Y300" i="22" s="1"/>
  <c r="AG300" i="22" l="1"/>
  <c r="F301" i="22" l="1"/>
  <c r="AK300" i="22"/>
  <c r="G301" i="22" s="1"/>
  <c r="T301" i="22" a="1"/>
  <c r="T301" i="22" l="1"/>
  <c r="Q301" i="22" l="1"/>
  <c r="V301" i="22"/>
  <c r="AF301" i="22" s="1"/>
  <c r="E302" i="22" s="1"/>
  <c r="AD301" i="22"/>
  <c r="C302" i="22" s="1"/>
  <c r="U301" i="22"/>
  <c r="AE301" i="22" s="1"/>
  <c r="D302" i="22" s="1"/>
  <c r="W301" i="22" a="1"/>
  <c r="W301" i="22" l="1"/>
  <c r="P301" i="22" a="1"/>
  <c r="P301" i="22" l="1"/>
  <c r="AC301" i="22"/>
  <c r="B302" i="22" l="1"/>
  <c r="I302" i="22"/>
  <c r="R301" i="22"/>
  <c r="S301" i="22" s="1"/>
  <c r="K301" i="22" s="1"/>
  <c r="H302" i="22" l="1"/>
  <c r="X301" i="22"/>
  <c r="Y301" i="22" s="1"/>
  <c r="AG301" i="22" l="1"/>
  <c r="F302" i="22" l="1"/>
  <c r="AK301" i="22"/>
  <c r="G302" i="22" s="1"/>
  <c r="T302" i="22" a="1"/>
  <c r="T302" i="22" l="1"/>
  <c r="Q302" i="22" l="1"/>
  <c r="AD302" i="22"/>
  <c r="C303" i="22" s="1"/>
  <c r="U302" i="22"/>
  <c r="AE302" i="22" s="1"/>
  <c r="D303" i="22" s="1"/>
  <c r="V302" i="22"/>
  <c r="AF302" i="22" s="1"/>
  <c r="E303" i="22" s="1"/>
  <c r="W302" i="22" a="1"/>
  <c r="W302" i="22" l="1"/>
  <c r="P302" i="22" a="1"/>
  <c r="P302" i="22" l="1"/>
  <c r="AC302" i="22"/>
  <c r="I303" i="22" l="1"/>
  <c r="R302" i="22"/>
  <c r="S302" i="22" s="1"/>
  <c r="K302" i="22" s="1"/>
  <c r="B303" i="22"/>
  <c r="H303" i="22" l="1"/>
  <c r="X302" i="22"/>
  <c r="Y302" i="22" s="1"/>
  <c r="AG302" i="22" l="1"/>
  <c r="F303" i="22" l="1"/>
  <c r="AK302" i="22"/>
  <c r="G303" i="22" s="1"/>
  <c r="T303" i="22" a="1"/>
  <c r="T303" i="22" l="1"/>
  <c r="AD303" i="22" l="1"/>
  <c r="C304" i="22" s="1"/>
  <c r="Q303" i="22"/>
  <c r="U303" i="22"/>
  <c r="AE303" i="22" s="1"/>
  <c r="D304" i="22" s="1"/>
  <c r="V303" i="22"/>
  <c r="AF303" i="22" s="1"/>
  <c r="E304" i="22" s="1"/>
  <c r="W303" i="22" a="1"/>
  <c r="W303" i="22" l="1"/>
  <c r="P303" i="22" a="1"/>
  <c r="P303" i="22" l="1"/>
  <c r="AC303" i="22"/>
  <c r="I304" i="22" l="1"/>
  <c r="R303" i="22"/>
  <c r="S303" i="22" s="1"/>
  <c r="K303" i="22" s="1"/>
  <c r="B304" i="22"/>
  <c r="H304" i="22" l="1"/>
  <c r="X303" i="22"/>
  <c r="Y303" i="22" s="1"/>
  <c r="AG303" i="22" l="1"/>
  <c r="F304" i="22" l="1"/>
  <c r="AK303" i="22"/>
  <c r="G304" i="22" s="1"/>
  <c r="T304" i="22" a="1"/>
  <c r="T304" i="22" l="1"/>
  <c r="AD304" i="22" l="1"/>
  <c r="C305" i="22" s="1"/>
  <c r="Q304" i="22"/>
  <c r="U304" i="22"/>
  <c r="AE304" i="22" s="1"/>
  <c r="D305" i="22" s="1"/>
  <c r="V304" i="22"/>
  <c r="AF304" i="22" s="1"/>
  <c r="E305" i="22" s="1"/>
  <c r="W304" i="22" a="1"/>
  <c r="W304" i="22" l="1"/>
  <c r="P304" i="22" a="1"/>
  <c r="P304" i="22" l="1"/>
  <c r="AC304" i="22"/>
  <c r="B305" i="22" l="1"/>
  <c r="I305" i="22"/>
  <c r="R304" i="22"/>
  <c r="S304" i="22" s="1"/>
  <c r="K304" i="22" s="1"/>
  <c r="X304" i="22" l="1"/>
  <c r="Y304" i="22" s="1"/>
  <c r="H305" i="22"/>
  <c r="AG304" i="22" l="1"/>
  <c r="F305" i="22" l="1"/>
  <c r="AK304" i="22"/>
  <c r="G305" i="22" s="1"/>
  <c r="T305" i="22" a="1"/>
  <c r="T305" i="22" l="1"/>
  <c r="Q305" i="22" l="1"/>
  <c r="AD305" i="22"/>
  <c r="C306" i="22" s="1"/>
  <c r="V305" i="22"/>
  <c r="AF305" i="22" s="1"/>
  <c r="E306" i="22" s="1"/>
  <c r="U305" i="22"/>
  <c r="AE305" i="22" s="1"/>
  <c r="D306" i="22" s="1"/>
  <c r="W305" i="22" a="1"/>
  <c r="W305" i="22" l="1"/>
  <c r="P305" i="22" a="1"/>
  <c r="P305" i="22" l="1"/>
  <c r="AC305" i="22"/>
  <c r="B306" i="22" l="1"/>
  <c r="R305" i="22"/>
  <c r="S305" i="22" s="1"/>
  <c r="K305" i="22" s="1"/>
  <c r="I306" i="22"/>
  <c r="H306" i="22" l="1"/>
  <c r="X305" i="22"/>
  <c r="Y305" i="22" s="1"/>
  <c r="AG305" i="22" l="1"/>
  <c r="F306" i="22" l="1"/>
  <c r="AK305" i="22"/>
  <c r="G306" i="22" s="1"/>
  <c r="T306" i="22" a="1"/>
  <c r="T306" i="22" l="1"/>
  <c r="AD306" i="22" l="1"/>
  <c r="C307" i="22" s="1"/>
  <c r="Q306" i="22"/>
  <c r="V306" i="22"/>
  <c r="AF306" i="22" s="1"/>
  <c r="E307" i="22" s="1"/>
  <c r="U306" i="22"/>
  <c r="AE306" i="22" s="1"/>
  <c r="D307" i="22" s="1"/>
  <c r="W306" i="22" a="1"/>
  <c r="W306" i="22" l="1"/>
  <c r="P306" i="22" a="1"/>
  <c r="P306" i="22" l="1"/>
  <c r="AC306" i="22"/>
  <c r="B307" i="22" l="1"/>
  <c r="I307" i="22"/>
  <c r="R306" i="22"/>
  <c r="S306" i="22" s="1"/>
  <c r="K306" i="22" s="1"/>
  <c r="X306" i="22" l="1"/>
  <c r="Y306" i="22" s="1"/>
  <c r="H307" i="22"/>
  <c r="AG306" i="22" l="1"/>
  <c r="F307" i="22" l="1"/>
  <c r="AK306" i="22"/>
  <c r="G307" i="22" s="1"/>
  <c r="T307" i="22" a="1"/>
  <c r="T307" i="22" l="1"/>
  <c r="Q307" i="22" l="1"/>
  <c r="V307" i="22"/>
  <c r="AF307" i="22" s="1"/>
  <c r="E308" i="22" s="1"/>
  <c r="AD307" i="22"/>
  <c r="C308" i="22" s="1"/>
  <c r="U307" i="22"/>
  <c r="AE307" i="22" s="1"/>
  <c r="D308" i="22" s="1"/>
  <c r="W307" i="22" a="1"/>
  <c r="W307" i="22" l="1"/>
  <c r="P307" i="22" a="1"/>
  <c r="P307" i="22" l="1"/>
  <c r="AC307" i="22"/>
  <c r="I308" i="22" l="1"/>
  <c r="R307" i="22"/>
  <c r="S307" i="22" s="1"/>
  <c r="K307" i="22" s="1"/>
  <c r="B308" i="22"/>
  <c r="H308" i="22" l="1"/>
  <c r="X307" i="22"/>
  <c r="Y307" i="22" s="1"/>
  <c r="AG307" i="22" l="1"/>
  <c r="F308" i="22" l="1"/>
  <c r="AK307" i="22"/>
  <c r="G308" i="22" s="1"/>
  <c r="T308" i="22" a="1"/>
  <c r="T308" i="22" l="1"/>
  <c r="Q308" i="22" l="1"/>
  <c r="U308" i="22"/>
  <c r="AE308" i="22" s="1"/>
  <c r="D309" i="22" s="1"/>
  <c r="V308" i="22"/>
  <c r="AF308" i="22" s="1"/>
  <c r="E309" i="22" s="1"/>
  <c r="AD308" i="22"/>
  <c r="C309" i="22" s="1"/>
  <c r="W308" i="22" a="1"/>
  <c r="W308" i="22" l="1"/>
  <c r="P308" i="22" a="1"/>
  <c r="P308" i="22" l="1"/>
  <c r="AC308" i="22"/>
  <c r="R308" i="22" l="1"/>
  <c r="S308" i="22" s="1"/>
  <c r="K308" i="22" s="1"/>
  <c r="I309" i="22"/>
  <c r="B309" i="22"/>
  <c r="X308" i="22" l="1"/>
  <c r="Y308" i="22" s="1"/>
  <c r="H309" i="22"/>
  <c r="AG308" i="22" l="1"/>
  <c r="F309" i="22" l="1"/>
  <c r="AK308" i="22"/>
  <c r="G309" i="22" s="1"/>
  <c r="T309" i="22" a="1"/>
  <c r="T309" i="22" l="1"/>
  <c r="Q309" i="22" l="1"/>
  <c r="V309" i="22"/>
  <c r="AF309" i="22" s="1"/>
  <c r="E310" i="22" s="1"/>
  <c r="AD309" i="22"/>
  <c r="C310" i="22" s="1"/>
  <c r="U309" i="22"/>
  <c r="AE309" i="22" s="1"/>
  <c r="D310" i="22" s="1"/>
  <c r="W309" i="22" a="1"/>
  <c r="W309" i="22" l="1"/>
  <c r="P309" i="22" a="1"/>
  <c r="P309" i="22" l="1"/>
  <c r="AC309" i="22"/>
  <c r="B310" i="22" l="1"/>
  <c r="I310" i="22"/>
  <c r="R309" i="22"/>
  <c r="S309" i="22" s="1"/>
  <c r="K309" i="22" s="1"/>
  <c r="X309" i="22" l="1"/>
  <c r="Y309" i="22" s="1"/>
  <c r="H310" i="22"/>
  <c r="AG309" i="22" l="1"/>
  <c r="F310" i="22" l="1"/>
  <c r="AK309" i="22"/>
  <c r="G310" i="22" s="1"/>
  <c r="T310" i="22" a="1"/>
  <c r="T310" i="22" l="1"/>
  <c r="Q310" i="22" l="1"/>
  <c r="V310" i="22"/>
  <c r="AF310" i="22" s="1"/>
  <c r="E311" i="22" s="1"/>
  <c r="AD310" i="22"/>
  <c r="C311" i="22" s="1"/>
  <c r="U310" i="22"/>
  <c r="AE310" i="22" s="1"/>
  <c r="D311" i="22" s="1"/>
  <c r="W310" i="22" a="1"/>
  <c r="W310" i="22" l="1"/>
  <c r="P310" i="22" a="1"/>
  <c r="P310" i="22" l="1"/>
  <c r="AC310" i="22"/>
  <c r="I311" i="22" l="1"/>
  <c r="R310" i="22"/>
  <c r="S310" i="22" s="1"/>
  <c r="K310" i="22" s="1"/>
  <c r="B311" i="22"/>
  <c r="X310" i="22" l="1"/>
  <c r="Y310" i="22" s="1"/>
  <c r="H311" i="22"/>
  <c r="AG310" i="22" l="1"/>
  <c r="F311" i="22" l="1"/>
  <c r="AK310" i="22"/>
  <c r="G311" i="22" s="1"/>
  <c r="T311" i="22" a="1"/>
  <c r="T311" i="22" l="1"/>
  <c r="Q311" i="22" l="1"/>
  <c r="U311" i="22"/>
  <c r="AE311" i="22" s="1"/>
  <c r="D312" i="22" s="1"/>
  <c r="AD311" i="22"/>
  <c r="C312" i="22" s="1"/>
  <c r="V311" i="22"/>
  <c r="AF311" i="22" s="1"/>
  <c r="E312" i="22" s="1"/>
  <c r="W311" i="22" a="1"/>
  <c r="W311" i="22" l="1"/>
  <c r="P311" i="22" a="1"/>
  <c r="P311" i="22" l="1"/>
  <c r="AC311" i="22"/>
  <c r="B312" i="22" l="1"/>
  <c r="R311" i="22"/>
  <c r="S311" i="22" s="1"/>
  <c r="K311" i="22" s="1"/>
  <c r="I312" i="22"/>
  <c r="X311" i="22" l="1"/>
  <c r="Y311" i="22" s="1"/>
  <c r="H312" i="22"/>
  <c r="AG311" i="22" l="1"/>
  <c r="F312" i="22" l="1"/>
  <c r="AK311" i="22"/>
  <c r="G312" i="22" s="1"/>
  <c r="T312" i="22" a="1"/>
  <c r="T312" i="22" l="1"/>
  <c r="Q312" i="22" l="1"/>
  <c r="AD312" i="22"/>
  <c r="C313" i="22" s="1"/>
  <c r="U312" i="22"/>
  <c r="AE312" i="22" s="1"/>
  <c r="D313" i="22" s="1"/>
  <c r="V312" i="22"/>
  <c r="AF312" i="22" s="1"/>
  <c r="E313" i="22" s="1"/>
  <c r="W312" i="22" a="1"/>
  <c r="W312" i="22" l="1"/>
  <c r="P312" i="22" a="1"/>
  <c r="P312" i="22" l="1"/>
  <c r="AC312" i="22"/>
  <c r="B313" i="22" l="1"/>
  <c r="R312" i="22"/>
  <c r="S312" i="22" s="1"/>
  <c r="K312" i="22" s="1"/>
  <c r="I313" i="22"/>
  <c r="X312" i="22" l="1"/>
  <c r="Y312" i="22" s="1"/>
  <c r="H313" i="22"/>
  <c r="AG312" i="22" l="1"/>
  <c r="F313" i="22" l="1"/>
  <c r="AK312" i="22"/>
  <c r="G313" i="22" s="1"/>
  <c r="T313" i="22" a="1"/>
  <c r="T313" i="22" l="1"/>
  <c r="Q313" i="22" l="1"/>
  <c r="V313" i="22"/>
  <c r="AF313" i="22" s="1"/>
  <c r="E314" i="22" s="1"/>
  <c r="U313" i="22"/>
  <c r="AE313" i="22" s="1"/>
  <c r="D314" i="22" s="1"/>
  <c r="AD313" i="22"/>
  <c r="C314" i="22" s="1"/>
  <c r="W313" i="22" a="1"/>
  <c r="W313" i="22" l="1"/>
  <c r="P313" i="22" a="1"/>
  <c r="P313" i="22" l="1"/>
  <c r="AC313" i="22"/>
  <c r="B314" i="22" l="1"/>
  <c r="I314" i="22"/>
  <c r="R313" i="22"/>
  <c r="S313" i="22" s="1"/>
  <c r="K313" i="22" s="1"/>
  <c r="X313" i="22" l="1"/>
  <c r="Y313" i="22" s="1"/>
  <c r="H314" i="22"/>
  <c r="AG313" i="22" l="1"/>
  <c r="F314" i="22" l="1"/>
  <c r="AK313" i="22"/>
  <c r="G314" i="22" s="1"/>
  <c r="T314" i="22" a="1"/>
  <c r="T314" i="22" l="1"/>
  <c r="Q314" i="22" l="1"/>
  <c r="V314" i="22"/>
  <c r="AF314" i="22" s="1"/>
  <c r="E315" i="22" s="1"/>
  <c r="U314" i="22"/>
  <c r="AE314" i="22" s="1"/>
  <c r="D315" i="22" s="1"/>
  <c r="AD314" i="22"/>
  <c r="C315" i="22" s="1"/>
  <c r="W314" i="22" a="1"/>
  <c r="W314" i="22" l="1"/>
  <c r="P314" i="22" a="1"/>
  <c r="P314" i="22" l="1"/>
  <c r="AC314" i="22"/>
  <c r="B315" i="22" l="1"/>
  <c r="R314" i="22"/>
  <c r="S314" i="22" s="1"/>
  <c r="K314" i="22" s="1"/>
  <c r="I315" i="22"/>
  <c r="X314" i="22" l="1"/>
  <c r="Y314" i="22" s="1"/>
  <c r="H315" i="22"/>
  <c r="AG314" i="22" l="1"/>
  <c r="F315" i="22" l="1"/>
  <c r="AK314" i="22"/>
  <c r="G315" i="22" s="1"/>
  <c r="T315" i="22" a="1"/>
  <c r="T315" i="22" l="1"/>
  <c r="Q315" i="22" l="1"/>
  <c r="U315" i="22"/>
  <c r="AE315" i="22" s="1"/>
  <c r="D316" i="22" s="1"/>
  <c r="AD315" i="22"/>
  <c r="C316" i="22" s="1"/>
  <c r="V315" i="22"/>
  <c r="AF315" i="22" s="1"/>
  <c r="E316" i="22" s="1"/>
  <c r="W315" i="22" a="1"/>
  <c r="W315" i="22" l="1"/>
  <c r="P315" i="22" a="1"/>
  <c r="P315" i="22" l="1"/>
  <c r="AC315" i="22"/>
  <c r="B316" i="22" l="1"/>
  <c r="R315" i="22"/>
  <c r="S315" i="22" s="1"/>
  <c r="K315" i="22" s="1"/>
  <c r="I316" i="22"/>
  <c r="X315" i="22" l="1"/>
  <c r="Y315" i="22" s="1"/>
  <c r="H316" i="22"/>
  <c r="AG315" i="22" l="1"/>
  <c r="F316" i="22" l="1"/>
  <c r="AK315" i="22"/>
  <c r="G316" i="22" s="1"/>
  <c r="T316" i="22" a="1"/>
  <c r="T316" i="22" l="1"/>
  <c r="Q316" i="22" l="1"/>
  <c r="U316" i="22"/>
  <c r="AE316" i="22" s="1"/>
  <c r="D317" i="22" s="1"/>
  <c r="AD316" i="22"/>
  <c r="C317" i="22" s="1"/>
  <c r="V316" i="22"/>
  <c r="AF316" i="22" s="1"/>
  <c r="E317" i="22" s="1"/>
  <c r="W316" i="22" a="1"/>
  <c r="W316" i="22" l="1"/>
  <c r="P316" i="22" a="1"/>
  <c r="P316" i="22" l="1"/>
  <c r="AC316" i="22"/>
  <c r="I317" i="22" l="1"/>
  <c r="R316" i="22"/>
  <c r="S316" i="22" s="1"/>
  <c r="K316" i="22" s="1"/>
  <c r="B317" i="22"/>
  <c r="X316" i="22" l="1"/>
  <c r="Y316" i="22" s="1"/>
  <c r="H317" i="22"/>
  <c r="AG316" i="22" l="1"/>
  <c r="F317" i="22" l="1"/>
  <c r="AK316" i="22"/>
  <c r="G317" i="22" s="1"/>
  <c r="T317" i="22" a="1"/>
  <c r="T317" i="22" l="1"/>
  <c r="Q317" i="22" l="1"/>
  <c r="U317" i="22"/>
  <c r="AE317" i="22" s="1"/>
  <c r="D318" i="22" s="1"/>
  <c r="V317" i="22"/>
  <c r="AF317" i="22" s="1"/>
  <c r="E318" i="22" s="1"/>
  <c r="AD317" i="22"/>
  <c r="C318" i="22" s="1"/>
  <c r="W317" i="22" a="1"/>
  <c r="W317" i="22" l="1"/>
  <c r="P317" i="22" a="1"/>
  <c r="P317" i="22" l="1"/>
  <c r="AC317" i="22"/>
  <c r="B318" i="22" l="1"/>
  <c r="I318" i="22"/>
  <c r="R317" i="22"/>
  <c r="S317" i="22" s="1"/>
  <c r="K317" i="22" s="1"/>
  <c r="X317" i="22" l="1"/>
  <c r="Y317" i="22" s="1"/>
  <c r="H318" i="22"/>
  <c r="AG317" i="22" l="1"/>
  <c r="F318" i="22" l="1"/>
  <c r="AK317" i="22"/>
  <c r="G318" i="22" s="1"/>
  <c r="T318" i="22" a="1"/>
  <c r="T318" i="22" l="1"/>
  <c r="Q318" i="22" l="1"/>
  <c r="U318" i="22"/>
  <c r="AE318" i="22" s="1"/>
  <c r="D319" i="22" s="1"/>
  <c r="V318" i="22"/>
  <c r="AF318" i="22" s="1"/>
  <c r="E319" i="22" s="1"/>
  <c r="AD318" i="22"/>
  <c r="C319" i="22" s="1"/>
  <c r="W318" i="22" a="1"/>
  <c r="W318" i="22" l="1"/>
  <c r="P318" i="22" a="1"/>
  <c r="P318" i="22" l="1"/>
  <c r="AC318" i="22"/>
  <c r="I319" i="22" l="1"/>
  <c r="R318" i="22"/>
  <c r="S318" i="22" s="1"/>
  <c r="K318" i="22" s="1"/>
  <c r="B319" i="22"/>
  <c r="H319" i="22" l="1"/>
  <c r="X318" i="22"/>
  <c r="Y318" i="22" s="1"/>
  <c r="AG318" i="22" l="1"/>
  <c r="F319" i="22" l="1"/>
  <c r="AK318" i="22"/>
  <c r="G319" i="22" s="1"/>
  <c r="T319" i="22" a="1"/>
  <c r="T319" i="22" l="1"/>
  <c r="Q319" i="22" l="1"/>
  <c r="U319" i="22"/>
  <c r="AE319" i="22" s="1"/>
  <c r="D320" i="22" s="1"/>
  <c r="V319" i="22"/>
  <c r="AF319" i="22" s="1"/>
  <c r="E320" i="22" s="1"/>
  <c r="AD319" i="22"/>
  <c r="C320" i="22" s="1"/>
  <c r="W319" i="22" a="1"/>
  <c r="W319" i="22" l="1"/>
  <c r="P319" i="22" a="1"/>
  <c r="P319" i="22" l="1"/>
  <c r="AC319" i="22"/>
  <c r="B320" i="22" l="1"/>
  <c r="I320" i="22"/>
  <c r="R319" i="22"/>
  <c r="S319" i="22" s="1"/>
  <c r="K319" i="22" s="1"/>
  <c r="H320" i="22" l="1"/>
  <c r="X319" i="22"/>
  <c r="Y319" i="22" s="1"/>
  <c r="AG319" i="22" l="1"/>
  <c r="F320" i="22" l="1"/>
  <c r="AK319" i="22"/>
  <c r="G320" i="22" s="1"/>
  <c r="T320" i="22" a="1"/>
  <c r="T320" i="22" l="1"/>
  <c r="Q320" i="22" l="1"/>
  <c r="U320" i="22"/>
  <c r="AE320" i="22" s="1"/>
  <c r="D321" i="22" s="1"/>
  <c r="AD320" i="22"/>
  <c r="C321" i="22" s="1"/>
  <c r="V320" i="22"/>
  <c r="AF320" i="22" s="1"/>
  <c r="E321" i="22" s="1"/>
  <c r="W320" i="22" a="1"/>
  <c r="W320" i="22" l="1"/>
  <c r="P320" i="22" a="1"/>
  <c r="P320" i="22" l="1"/>
  <c r="AC320" i="22"/>
  <c r="B321" i="22" l="1"/>
  <c r="I321" i="22"/>
  <c r="R320" i="22"/>
  <c r="S320" i="22" s="1"/>
  <c r="K320" i="22" s="1"/>
  <c r="X320" i="22" l="1"/>
  <c r="Y320" i="22" s="1"/>
  <c r="H321" i="22"/>
  <c r="AG320" i="22" l="1"/>
  <c r="F321" i="22" l="1"/>
  <c r="AK320" i="22"/>
  <c r="G321" i="22" s="1"/>
  <c r="T321" i="22" a="1"/>
  <c r="T321" i="22" l="1"/>
  <c r="Q321" i="22" l="1"/>
  <c r="V321" i="22"/>
  <c r="AF321" i="22" s="1"/>
  <c r="E322" i="22" s="1"/>
  <c r="U321" i="22"/>
  <c r="AE321" i="22" s="1"/>
  <c r="D322" i="22" s="1"/>
  <c r="AD321" i="22"/>
  <c r="C322" i="22" s="1"/>
  <c r="W321" i="22" a="1"/>
  <c r="W321" i="22" l="1"/>
  <c r="P321" i="22" a="1"/>
  <c r="P321" i="22" l="1"/>
  <c r="AC321" i="22"/>
  <c r="B322" i="22" l="1"/>
  <c r="R321" i="22"/>
  <c r="S321" i="22" s="1"/>
  <c r="K321" i="22" s="1"/>
  <c r="I322" i="22"/>
  <c r="X321" i="22" l="1"/>
  <c r="Y321" i="22" s="1"/>
  <c r="H322" i="22"/>
  <c r="AG321" i="22" l="1"/>
  <c r="F322" i="22" l="1"/>
  <c r="AK321" i="22"/>
  <c r="G322" i="22" s="1"/>
  <c r="T322" i="22" a="1"/>
  <c r="T322" i="22" l="1"/>
  <c r="Q322" i="22" l="1"/>
  <c r="U322" i="22"/>
  <c r="AE322" i="22" s="1"/>
  <c r="D323" i="22" s="1"/>
  <c r="AD322" i="22"/>
  <c r="C323" i="22" s="1"/>
  <c r="V322" i="22"/>
  <c r="AF322" i="22" s="1"/>
  <c r="E323" i="22" s="1"/>
  <c r="W322" i="22" a="1"/>
  <c r="W322" i="22" l="1"/>
  <c r="P322" i="22" a="1"/>
  <c r="P322" i="22" l="1"/>
  <c r="AC322" i="22"/>
  <c r="B323" i="22" l="1"/>
  <c r="R322" i="22"/>
  <c r="S322" i="22" s="1"/>
  <c r="K322" i="22" s="1"/>
  <c r="I323" i="22"/>
  <c r="X322" i="22" l="1"/>
  <c r="Y322" i="22" s="1"/>
  <c r="H323" i="22"/>
  <c r="AG322" i="22" l="1"/>
  <c r="F323" i="22" l="1"/>
  <c r="AK322" i="22"/>
  <c r="G323" i="22" s="1"/>
  <c r="T323" i="22" a="1"/>
  <c r="T323" i="22" l="1"/>
  <c r="Q323" i="22" l="1"/>
  <c r="V323" i="22"/>
  <c r="AF323" i="22" s="1"/>
  <c r="E324" i="22" s="1"/>
  <c r="U323" i="22"/>
  <c r="AE323" i="22" s="1"/>
  <c r="D324" i="22" s="1"/>
  <c r="AD323" i="22"/>
  <c r="C324" i="22" s="1"/>
  <c r="W323" i="22" a="1"/>
  <c r="W323" i="22" l="1"/>
  <c r="P323" i="22" a="1"/>
  <c r="P323" i="22" l="1"/>
  <c r="AC323" i="22"/>
  <c r="B324" i="22" s="1"/>
  <c r="R323" i="22" l="1"/>
  <c r="S323" i="22" s="1"/>
  <c r="K323" i="22" s="1"/>
  <c r="I324" i="22"/>
  <c r="H324" i="22" s="1"/>
  <c r="X323" i="22" l="1"/>
  <c r="Y323" i="22" s="1"/>
  <c r="AG323" i="22" l="1"/>
  <c r="AK323" i="22" l="1"/>
  <c r="G324" i="22" s="1"/>
  <c r="F324" i="22"/>
  <c r="T324" i="22" a="1"/>
  <c r="T324" i="22" l="1"/>
  <c r="Q324" i="22" l="1"/>
  <c r="AD324" i="22"/>
  <c r="C325" i="22" s="1"/>
  <c r="V324" i="22"/>
  <c r="AF324" i="22" s="1"/>
  <c r="E325" i="22" s="1"/>
  <c r="U324" i="22"/>
  <c r="AE324" i="22" s="1"/>
  <c r="D325" i="22" s="1"/>
  <c r="W324" i="22" a="1"/>
  <c r="W324" i="22" l="1"/>
  <c r="P324" i="22" a="1"/>
  <c r="P324" i="22" l="1"/>
  <c r="AC324" i="22"/>
  <c r="B325" i="22" l="1"/>
  <c r="I325" i="22"/>
  <c r="R324" i="22"/>
  <c r="S324" i="22" s="1"/>
  <c r="K324" i="22" s="1"/>
  <c r="X324" i="22" l="1"/>
  <c r="Y324" i="22" s="1"/>
  <c r="H325" i="22"/>
  <c r="AG324" i="22" l="1"/>
  <c r="F325" i="22"/>
  <c r="AK324" i="22"/>
  <c r="G325" i="22" s="1"/>
  <c r="T325" i="22" a="1"/>
  <c r="T325" i="22" l="1"/>
  <c r="Q325" i="22" l="1"/>
  <c r="AD325" i="22"/>
  <c r="C326" i="22" s="1"/>
  <c r="V325" i="22"/>
  <c r="AF325" i="22" s="1"/>
  <c r="E326" i="22" s="1"/>
  <c r="U325" i="22"/>
  <c r="AE325" i="22" s="1"/>
  <c r="D326" i="22" s="1"/>
  <c r="W325" i="22" a="1"/>
  <c r="W325" i="22" l="1"/>
  <c r="P325" i="22" a="1"/>
  <c r="P325" i="22" l="1"/>
  <c r="AC325" i="22"/>
  <c r="R325" i="22" l="1"/>
  <c r="S325" i="22" s="1"/>
  <c r="K325" i="22" s="1"/>
  <c r="I326" i="22"/>
  <c r="B326" i="22"/>
  <c r="H326" i="22" l="1"/>
  <c r="X325" i="22"/>
  <c r="Y325" i="22" s="1"/>
  <c r="AG325" i="22" l="1"/>
  <c r="F326" i="22" l="1"/>
  <c r="AK325" i="22"/>
  <c r="G326" i="22" s="1"/>
  <c r="T326" i="22" a="1"/>
  <c r="T326" i="22" l="1"/>
  <c r="Q326" i="22" l="1"/>
  <c r="U326" i="22"/>
  <c r="AE326" i="22" s="1"/>
  <c r="D327" i="22" s="1"/>
  <c r="AD326" i="22"/>
  <c r="C327" i="22" s="1"/>
  <c r="V326" i="22"/>
  <c r="AF326" i="22" s="1"/>
  <c r="E327" i="22" s="1"/>
  <c r="W326" i="22" a="1"/>
  <c r="W326" i="22" l="1"/>
  <c r="P326" i="22" a="1"/>
  <c r="P326" i="22" l="1"/>
  <c r="AC326" i="22"/>
  <c r="I327" i="22" l="1"/>
  <c r="R326" i="22"/>
  <c r="S326" i="22" s="1"/>
  <c r="K326" i="22" s="1"/>
  <c r="B327" i="22"/>
  <c r="H327" i="22" l="1"/>
  <c r="X326" i="22"/>
  <c r="Y326" i="22" s="1"/>
  <c r="AG326" i="22" l="1"/>
  <c r="F327" i="22" l="1"/>
  <c r="AK326" i="22"/>
  <c r="G327" i="22" s="1"/>
  <c r="T327" i="22" a="1"/>
  <c r="T327" i="22" l="1"/>
  <c r="Q327" i="22" l="1"/>
  <c r="V327" i="22"/>
  <c r="AF327" i="22" s="1"/>
  <c r="E328" i="22" s="1"/>
  <c r="AD327" i="22"/>
  <c r="C328" i="22" s="1"/>
  <c r="U327" i="22"/>
  <c r="AE327" i="22" s="1"/>
  <c r="D328" i="22" s="1"/>
  <c r="W327" i="22" a="1"/>
  <c r="W327" i="22" l="1"/>
  <c r="P327" i="22" a="1"/>
  <c r="P327" i="22" l="1"/>
  <c r="AC327" i="22"/>
  <c r="B328" i="22" l="1"/>
  <c r="R327" i="22"/>
  <c r="S327" i="22" s="1"/>
  <c r="K327" i="22" s="1"/>
  <c r="I328" i="22"/>
  <c r="H328" i="22" l="1"/>
  <c r="X327" i="22"/>
  <c r="Y327" i="22" s="1"/>
  <c r="AG327" i="22" l="1"/>
  <c r="F328" i="22" l="1"/>
  <c r="AK327" i="22"/>
  <c r="G328" i="22" s="1"/>
  <c r="T328" i="22" a="1"/>
  <c r="T328" i="22" l="1"/>
  <c r="Q328" i="22" l="1"/>
  <c r="U328" i="22"/>
  <c r="AE328" i="22" s="1"/>
  <c r="D329" i="22" s="1"/>
  <c r="V328" i="22"/>
  <c r="AF328" i="22" s="1"/>
  <c r="E329" i="22" s="1"/>
  <c r="AD328" i="22"/>
  <c r="C329" i="22" s="1"/>
  <c r="W328" i="22" a="1"/>
  <c r="W328" i="22" l="1"/>
  <c r="P328" i="22" a="1"/>
  <c r="P328" i="22" l="1"/>
  <c r="AC328" i="22"/>
  <c r="B329" i="22" l="1"/>
  <c r="I329" i="22"/>
  <c r="R328" i="22"/>
  <c r="S328" i="22" s="1"/>
  <c r="K328" i="22" s="1"/>
  <c r="X328" i="22" l="1"/>
  <c r="Y328" i="22" s="1"/>
  <c r="H329" i="22"/>
  <c r="AG328" i="22" l="1"/>
  <c r="F329" i="22" l="1"/>
  <c r="AK328" i="22"/>
  <c r="G329" i="22" s="1"/>
  <c r="T329" i="22" a="1"/>
  <c r="T329" i="22" l="1"/>
  <c r="Q329" i="22" l="1"/>
  <c r="U329" i="22"/>
  <c r="AE329" i="22" s="1"/>
  <c r="D330" i="22" s="1"/>
  <c r="V329" i="22"/>
  <c r="AF329" i="22" s="1"/>
  <c r="E330" i="22" s="1"/>
  <c r="AD329" i="22"/>
  <c r="C330" i="22" s="1"/>
  <c r="W329" i="22" a="1"/>
  <c r="W329" i="22" l="1"/>
  <c r="P329" i="22" a="1"/>
  <c r="P329" i="22" l="1"/>
  <c r="AC329" i="22"/>
  <c r="B330" i="22" l="1"/>
  <c r="R329" i="22"/>
  <c r="S329" i="22" s="1"/>
  <c r="K329" i="22" s="1"/>
  <c r="I330" i="22"/>
  <c r="H330" i="22" l="1"/>
  <c r="X329" i="22"/>
  <c r="Y329" i="22" s="1"/>
  <c r="AG329" i="22" l="1"/>
  <c r="F330" i="22" l="1"/>
  <c r="AK329" i="22"/>
  <c r="G330" i="22" s="1"/>
  <c r="T330" i="22" a="1"/>
  <c r="T330" i="22" l="1"/>
  <c r="U330" i="22" l="1"/>
  <c r="AE330" i="22" s="1"/>
  <c r="D331" i="22" s="1"/>
  <c r="Q330" i="22"/>
  <c r="V330" i="22"/>
  <c r="AF330" i="22" s="1"/>
  <c r="E331" i="22" s="1"/>
  <c r="AD330" i="22"/>
  <c r="C331" i="22" s="1"/>
  <c r="W330" i="22" a="1"/>
  <c r="W330" i="22" l="1"/>
  <c r="P330" i="22" a="1"/>
  <c r="P330" i="22" l="1"/>
  <c r="AC330" i="22"/>
  <c r="B331" i="22" l="1"/>
  <c r="R330" i="22"/>
  <c r="S330" i="22" s="1"/>
  <c r="K330" i="22" s="1"/>
  <c r="I331" i="22"/>
  <c r="H331" i="22" l="1"/>
  <c r="X330" i="22"/>
  <c r="Y330" i="22" s="1"/>
  <c r="AG330" i="22" l="1"/>
  <c r="F331" i="22" l="1"/>
  <c r="AK330" i="22"/>
  <c r="G331" i="22" s="1"/>
  <c r="T331" i="22" a="1"/>
  <c r="T331" i="22" l="1"/>
  <c r="Q331" i="22" l="1"/>
  <c r="AD331" i="22"/>
  <c r="C332" i="22" s="1"/>
  <c r="V331" i="22"/>
  <c r="AF331" i="22" s="1"/>
  <c r="E332" i="22" s="1"/>
  <c r="U331" i="22"/>
  <c r="AE331" i="22" s="1"/>
  <c r="D332" i="22" s="1"/>
  <c r="W331" i="22" a="1"/>
  <c r="W331" i="22" l="1"/>
  <c r="P331" i="22" a="1"/>
  <c r="P331" i="22" l="1"/>
  <c r="AC331" i="22"/>
  <c r="B332" i="22" l="1"/>
  <c r="R331" i="22"/>
  <c r="S331" i="22" s="1"/>
  <c r="K331" i="22" s="1"/>
  <c r="I332" i="22"/>
  <c r="X331" i="22" l="1"/>
  <c r="Y331" i="22" s="1"/>
  <c r="H332" i="22"/>
  <c r="AG331" i="22" l="1"/>
  <c r="F332" i="22" l="1"/>
  <c r="AK331" i="22"/>
  <c r="G332" i="22" s="1"/>
  <c r="T332" i="22" a="1"/>
  <c r="T332" i="22" l="1"/>
  <c r="Q332" i="22" l="1"/>
  <c r="U332" i="22"/>
  <c r="AE332" i="22" s="1"/>
  <c r="D333" i="22" s="1"/>
  <c r="V332" i="22"/>
  <c r="AF332" i="22" s="1"/>
  <c r="E333" i="22" s="1"/>
  <c r="AD332" i="22"/>
  <c r="C333" i="22" s="1"/>
  <c r="W332" i="22" a="1"/>
  <c r="W332" i="22" l="1"/>
  <c r="P332" i="22" a="1"/>
  <c r="P332" i="22" l="1"/>
  <c r="AC332" i="22"/>
  <c r="I333" i="22" l="1"/>
  <c r="R332" i="22"/>
  <c r="S332" i="22" s="1"/>
  <c r="K332" i="22" s="1"/>
  <c r="B333" i="22"/>
  <c r="H333" i="22" l="1"/>
  <c r="X332" i="22"/>
  <c r="Y332" i="22" s="1"/>
  <c r="AG332" i="22" l="1"/>
  <c r="F333" i="22" l="1"/>
  <c r="AK332" i="22"/>
  <c r="G333" i="22" s="1"/>
  <c r="T333" i="22" a="1"/>
  <c r="T333" i="22" l="1"/>
  <c r="Q333" i="22" l="1"/>
  <c r="V333" i="22"/>
  <c r="AF333" i="22" s="1"/>
  <c r="E334" i="22" s="1"/>
  <c r="AD333" i="22"/>
  <c r="C334" i="22" s="1"/>
  <c r="U333" i="22"/>
  <c r="AE333" i="22" s="1"/>
  <c r="D334" i="22" s="1"/>
  <c r="W333" i="22" a="1"/>
  <c r="W333" i="22" l="1"/>
  <c r="P333" i="22" a="1"/>
  <c r="P333" i="22" l="1"/>
  <c r="AC333" i="22"/>
  <c r="R333" i="22" l="1"/>
  <c r="S333" i="22" s="1"/>
  <c r="K333" i="22" s="1"/>
  <c r="I334" i="22"/>
  <c r="B334" i="22"/>
  <c r="X333" i="22" l="1"/>
  <c r="Y333" i="22" s="1"/>
  <c r="H334" i="22"/>
  <c r="AG333" i="22" l="1"/>
  <c r="F334" i="22" l="1"/>
  <c r="AK333" i="22"/>
  <c r="G334" i="22" s="1"/>
  <c r="T334" i="22" a="1"/>
  <c r="T334" i="22" l="1"/>
  <c r="U334" i="22" l="1"/>
  <c r="AE334" i="22" s="1"/>
  <c r="D335" i="22" s="1"/>
  <c r="Q334" i="22"/>
  <c r="AD334" i="22"/>
  <c r="C335" i="22" s="1"/>
  <c r="V334" i="22"/>
  <c r="AF334" i="22" s="1"/>
  <c r="E335" i="22" s="1"/>
  <c r="W334" i="22" a="1"/>
  <c r="W334" i="22" l="1"/>
  <c r="P334" i="22" a="1"/>
  <c r="P334" i="22" l="1"/>
  <c r="AC334" i="22"/>
  <c r="R334" i="22" l="1"/>
  <c r="S334" i="22" s="1"/>
  <c r="K334" i="22" s="1"/>
  <c r="I335" i="22"/>
  <c r="B335" i="22"/>
  <c r="X334" i="22" l="1"/>
  <c r="Y334" i="22" s="1"/>
  <c r="H335" i="22"/>
  <c r="AG334" i="22" l="1"/>
  <c r="F335" i="22" l="1"/>
  <c r="AK334" i="22"/>
  <c r="G335" i="22" s="1"/>
  <c r="T335" i="22" a="1"/>
  <c r="T335" i="22" l="1"/>
  <c r="Q335" i="22" l="1"/>
  <c r="U335" i="22"/>
  <c r="AE335" i="22" s="1"/>
  <c r="D336" i="22" s="1"/>
  <c r="V335" i="22"/>
  <c r="AF335" i="22" s="1"/>
  <c r="E336" i="22" s="1"/>
  <c r="AD335" i="22"/>
  <c r="C336" i="22" s="1"/>
  <c r="W335" i="22" a="1"/>
  <c r="W335" i="22" l="1"/>
  <c r="P335" i="22" a="1"/>
  <c r="P335" i="22" l="1"/>
  <c r="AC335" i="22"/>
  <c r="R335" i="22" l="1"/>
  <c r="S335" i="22" s="1"/>
  <c r="K335" i="22" s="1"/>
  <c r="I336" i="22"/>
  <c r="B336" i="22"/>
  <c r="H336" i="22" l="1"/>
  <c r="X335" i="22"/>
  <c r="Y335" i="22" s="1"/>
  <c r="AG335" i="22" l="1"/>
  <c r="F336" i="22" l="1"/>
  <c r="AK335" i="22"/>
  <c r="G336" i="22" s="1"/>
  <c r="T336" i="22" a="1"/>
  <c r="T336" i="22" l="1"/>
  <c r="Q336" i="22" l="1"/>
  <c r="V336" i="22"/>
  <c r="AF336" i="22" s="1"/>
  <c r="E337" i="22" s="1"/>
  <c r="U336" i="22"/>
  <c r="AE336" i="22" s="1"/>
  <c r="D337" i="22" s="1"/>
  <c r="AD336" i="22"/>
  <c r="C337" i="22" s="1"/>
  <c r="W336" i="22" a="1"/>
  <c r="W336" i="22" l="1"/>
  <c r="P336" i="22" a="1"/>
  <c r="P336" i="22" l="1"/>
  <c r="AC336" i="22"/>
  <c r="B337" i="22" l="1"/>
  <c r="R336" i="22"/>
  <c r="S336" i="22" s="1"/>
  <c r="K336" i="22" s="1"/>
  <c r="I337" i="22"/>
  <c r="X336" i="22" l="1"/>
  <c r="Y336" i="22" s="1"/>
  <c r="H337" i="22"/>
  <c r="AG336" i="22" l="1"/>
  <c r="F337" i="22" l="1"/>
  <c r="AK336" i="22"/>
  <c r="G337" i="22" s="1"/>
  <c r="T337" i="22" a="1"/>
  <c r="T337" i="22" l="1"/>
  <c r="Q337" i="22" l="1"/>
  <c r="U337" i="22"/>
  <c r="AE337" i="22" s="1"/>
  <c r="D338" i="22" s="1"/>
  <c r="AD337" i="22"/>
  <c r="C338" i="22" s="1"/>
  <c r="V337" i="22"/>
  <c r="AF337" i="22" s="1"/>
  <c r="E338" i="22" s="1"/>
  <c r="W337" i="22" a="1"/>
  <c r="W337" i="22" l="1"/>
  <c r="P337" i="22" a="1"/>
  <c r="P337" i="22" l="1"/>
  <c r="AC337" i="22"/>
  <c r="B338" i="22" l="1"/>
  <c r="I338" i="22"/>
  <c r="R337" i="22"/>
  <c r="S337" i="22" s="1"/>
  <c r="K337" i="22" s="1"/>
  <c r="X337" i="22" l="1"/>
  <c r="Y337" i="22" s="1"/>
  <c r="H338" i="22"/>
  <c r="AG337" i="22" l="1"/>
  <c r="F338" i="22" l="1"/>
  <c r="AK337" i="22"/>
  <c r="G338" i="22" s="1"/>
  <c r="T338" i="22" a="1"/>
  <c r="T338" i="22" l="1"/>
  <c r="U338" i="22" l="1"/>
  <c r="AE338" i="22" s="1"/>
  <c r="D339" i="22" s="1"/>
  <c r="Q338" i="22"/>
  <c r="AD338" i="22"/>
  <c r="C339" i="22" s="1"/>
  <c r="V338" i="22"/>
  <c r="AF338" i="22" s="1"/>
  <c r="E339" i="22" s="1"/>
  <c r="W338" i="22" a="1"/>
  <c r="W338" i="22" l="1"/>
  <c r="P338" i="22" a="1"/>
  <c r="P338" i="22" l="1"/>
  <c r="AC338" i="22"/>
  <c r="I339" i="22" l="1"/>
  <c r="R338" i="22"/>
  <c r="S338" i="22" s="1"/>
  <c r="K338" i="22" s="1"/>
  <c r="B339" i="22"/>
  <c r="H339" i="22" l="1"/>
  <c r="X338" i="22"/>
  <c r="Y338" i="22" s="1"/>
  <c r="AG338" i="22" l="1"/>
  <c r="F339" i="22" l="1"/>
  <c r="AK338" i="22"/>
  <c r="G339" i="22" s="1"/>
  <c r="T339" i="22" a="1"/>
  <c r="T339" i="22" l="1"/>
  <c r="Q339" i="22" l="1"/>
  <c r="AD339" i="22"/>
  <c r="C340" i="22" s="1"/>
  <c r="V339" i="22"/>
  <c r="AF339" i="22" s="1"/>
  <c r="E340" i="22" s="1"/>
  <c r="U339" i="22"/>
  <c r="AE339" i="22" s="1"/>
  <c r="D340" i="22" s="1"/>
  <c r="W339" i="22" a="1"/>
  <c r="W339" i="22" l="1"/>
  <c r="P339" i="22" a="1"/>
  <c r="P339" i="22" l="1"/>
  <c r="AC339" i="22"/>
  <c r="I340" i="22" l="1"/>
  <c r="R339" i="22"/>
  <c r="S339" i="22" s="1"/>
  <c r="K339" i="22" s="1"/>
  <c r="B340" i="22"/>
  <c r="X339" i="22" l="1"/>
  <c r="Y339" i="22" s="1"/>
  <c r="H340" i="22"/>
  <c r="AG339" i="22" l="1"/>
  <c r="F340" i="22" l="1"/>
  <c r="AK339" i="22"/>
  <c r="G340" i="22" s="1"/>
  <c r="T340" i="22" a="1"/>
  <c r="T340" i="22" l="1"/>
  <c r="Q340" i="22" l="1"/>
  <c r="U340" i="22"/>
  <c r="AE340" i="22" s="1"/>
  <c r="D341" i="22" s="1"/>
  <c r="V340" i="22"/>
  <c r="AF340" i="22" s="1"/>
  <c r="E341" i="22" s="1"/>
  <c r="AD340" i="22"/>
  <c r="C341" i="22" s="1"/>
  <c r="W340" i="22" a="1"/>
  <c r="W340" i="22" l="1"/>
  <c r="P340" i="22" a="1"/>
  <c r="P340" i="22" l="1"/>
  <c r="AC340" i="22"/>
  <c r="B341" i="22" l="1"/>
  <c r="R340" i="22"/>
  <c r="S340" i="22" s="1"/>
  <c r="K340" i="22" s="1"/>
  <c r="I341" i="22"/>
  <c r="H341" i="22" l="1"/>
  <c r="X340" i="22"/>
  <c r="Y340" i="22" s="1"/>
  <c r="AG340" i="22" l="1"/>
  <c r="F341" i="22" l="1"/>
  <c r="AK340" i="22"/>
  <c r="G341" i="22" s="1"/>
  <c r="T341" i="22" a="1"/>
  <c r="T341" i="22" l="1"/>
  <c r="Q341" i="22" l="1"/>
  <c r="AD341" i="22"/>
  <c r="C342" i="22" s="1"/>
  <c r="U341" i="22"/>
  <c r="AE341" i="22" s="1"/>
  <c r="D342" i="22" s="1"/>
  <c r="V341" i="22"/>
  <c r="AF341" i="22" s="1"/>
  <c r="E342" i="22" s="1"/>
  <c r="W341" i="22" a="1"/>
  <c r="W341" i="22" l="1"/>
  <c r="P341" i="22" a="1"/>
  <c r="P341" i="22" l="1"/>
  <c r="AC341" i="22"/>
  <c r="B342" i="22" l="1"/>
  <c r="I342" i="22"/>
  <c r="R341" i="22"/>
  <c r="S341" i="22" s="1"/>
  <c r="K341" i="22" s="1"/>
  <c r="X341" i="22" l="1"/>
  <c r="Y341" i="22" s="1"/>
  <c r="H342" i="22"/>
  <c r="AG341" i="22" l="1"/>
  <c r="F342" i="22" l="1"/>
  <c r="AK341" i="22"/>
  <c r="G342" i="22" s="1"/>
  <c r="T342" i="22" a="1"/>
  <c r="T342" i="22" l="1"/>
  <c r="Q342" i="22" l="1"/>
  <c r="U342" i="22"/>
  <c r="AE342" i="22" s="1"/>
  <c r="D343" i="22" s="1"/>
  <c r="V342" i="22"/>
  <c r="AF342" i="22" s="1"/>
  <c r="E343" i="22" s="1"/>
  <c r="AD342" i="22"/>
  <c r="C343" i="22" s="1"/>
  <c r="W342" i="22" a="1"/>
  <c r="W342" i="22" l="1"/>
  <c r="P342" i="22" a="1"/>
  <c r="P342" i="22" l="1"/>
  <c r="AC342" i="22"/>
  <c r="B343" i="22" l="1"/>
  <c r="I343" i="22"/>
  <c r="R342" i="22"/>
  <c r="S342" i="22" s="1"/>
  <c r="K342" i="22" s="1"/>
  <c r="H343" i="22" l="1"/>
  <c r="X342" i="22"/>
  <c r="Y342" i="22" s="1"/>
  <c r="AG342" i="22" l="1"/>
  <c r="F343" i="22" l="1"/>
  <c r="AK342" i="22"/>
  <c r="G343" i="22" s="1"/>
  <c r="T343" i="22" a="1"/>
  <c r="T343" i="22" l="1"/>
  <c r="Q343" i="22" l="1"/>
  <c r="V343" i="22"/>
  <c r="AF343" i="22" s="1"/>
  <c r="E344" i="22" s="1"/>
  <c r="AD343" i="22"/>
  <c r="C344" i="22" s="1"/>
  <c r="U343" i="22"/>
  <c r="AE343" i="22" s="1"/>
  <c r="D344" i="22" s="1"/>
  <c r="W343" i="22" a="1"/>
  <c r="W343" i="22" l="1"/>
  <c r="P343" i="22" a="1"/>
  <c r="P343" i="22" l="1"/>
  <c r="AC343" i="22"/>
  <c r="B344" i="22" l="1"/>
  <c r="I344" i="22"/>
  <c r="R343" i="22"/>
  <c r="S343" i="22" s="1"/>
  <c r="K343" i="22" s="1"/>
  <c r="X343" i="22" l="1"/>
  <c r="Y343" i="22" s="1"/>
  <c r="H344" i="22"/>
  <c r="AG343" i="22" l="1"/>
  <c r="F344" i="22" l="1"/>
  <c r="AK343" i="22"/>
  <c r="G344" i="22" s="1"/>
  <c r="T344" i="22" a="1"/>
  <c r="T344" i="22" l="1"/>
  <c r="Q344" i="22" l="1"/>
  <c r="U344" i="22"/>
  <c r="AE344" i="22" s="1"/>
  <c r="D345" i="22" s="1"/>
  <c r="AD344" i="22"/>
  <c r="C345" i="22" s="1"/>
  <c r="V344" i="22"/>
  <c r="AF344" i="22" s="1"/>
  <c r="E345" i="22" s="1"/>
  <c r="W344" i="22" a="1"/>
  <c r="W344" i="22" l="1"/>
  <c r="P344" i="22" a="1"/>
  <c r="P344" i="22" l="1"/>
  <c r="AC344" i="22"/>
  <c r="I345" i="22" l="1"/>
  <c r="R344" i="22"/>
  <c r="S344" i="22" s="1"/>
  <c r="K344" i="22" s="1"/>
  <c r="B345" i="22"/>
  <c r="H345" i="22" l="1"/>
  <c r="X344" i="22"/>
  <c r="Y344" i="22" s="1"/>
  <c r="AG344" i="22" l="1"/>
  <c r="F345" i="22" l="1"/>
  <c r="AK344" i="22"/>
  <c r="G345" i="22" s="1"/>
  <c r="T345" i="22" a="1"/>
  <c r="T345" i="22" l="1"/>
  <c r="Q345" i="22" l="1"/>
  <c r="V345" i="22"/>
  <c r="AF345" i="22" s="1"/>
  <c r="E346" i="22" s="1"/>
  <c r="AD345" i="22"/>
  <c r="C346" i="22" s="1"/>
  <c r="U345" i="22"/>
  <c r="AE345" i="22" s="1"/>
  <c r="D346" i="22" s="1"/>
  <c r="W345" i="22" a="1"/>
  <c r="W345" i="22" l="1"/>
  <c r="P345" i="22" a="1"/>
  <c r="P345" i="22" l="1"/>
  <c r="AC345" i="22"/>
  <c r="I346" i="22" l="1"/>
  <c r="R345" i="22"/>
  <c r="S345" i="22" s="1"/>
  <c r="K345" i="22" s="1"/>
  <c r="B346" i="22"/>
  <c r="H346" i="22" l="1"/>
  <c r="X345" i="22"/>
  <c r="Y345" i="22" s="1"/>
  <c r="AG345" i="22" l="1"/>
  <c r="F346" i="22" l="1"/>
  <c r="AK345" i="22"/>
  <c r="G346" i="22" s="1"/>
  <c r="T346" i="22" a="1"/>
  <c r="T346" i="22" l="1"/>
  <c r="Q346" i="22" l="1"/>
  <c r="V346" i="22"/>
  <c r="AF346" i="22" s="1"/>
  <c r="E347" i="22" s="1"/>
  <c r="AD346" i="22"/>
  <c r="C347" i="22" s="1"/>
  <c r="U346" i="22"/>
  <c r="AE346" i="22" s="1"/>
  <c r="D347" i="22" s="1"/>
  <c r="W346" i="22" a="1"/>
  <c r="W346" i="22" l="1"/>
  <c r="P346" i="22" a="1"/>
  <c r="P346" i="22" l="1"/>
  <c r="AC346" i="22"/>
  <c r="B347" i="22" l="1"/>
  <c r="I347" i="22"/>
  <c r="R346" i="22"/>
  <c r="S346" i="22" s="1"/>
  <c r="K346" i="22" s="1"/>
  <c r="H347" i="22" l="1"/>
  <c r="X346" i="22"/>
  <c r="Y346" i="22" s="1"/>
  <c r="AG346" i="22" l="1"/>
  <c r="F347" i="22" l="1"/>
  <c r="AK346" i="22"/>
  <c r="G347" i="22" s="1"/>
  <c r="T347" i="22" a="1"/>
  <c r="T347" i="22" l="1"/>
  <c r="Q347" i="22" l="1"/>
  <c r="U347" i="22"/>
  <c r="AE347" i="22" s="1"/>
  <c r="D348" i="22" s="1"/>
  <c r="AD347" i="22"/>
  <c r="C348" i="22" s="1"/>
  <c r="V347" i="22"/>
  <c r="AF347" i="22" s="1"/>
  <c r="E348" i="22" s="1"/>
  <c r="W347" i="22" a="1"/>
  <c r="W347" i="22" l="1"/>
  <c r="P347" i="22" a="1"/>
  <c r="P347" i="22" l="1"/>
  <c r="AC347" i="22"/>
  <c r="I348" i="22" l="1"/>
  <c r="R347" i="22"/>
  <c r="S347" i="22" s="1"/>
  <c r="K347" i="22" s="1"/>
  <c r="B348" i="22"/>
  <c r="X347" i="22" l="1"/>
  <c r="Y347" i="22" s="1"/>
  <c r="H348" i="22"/>
  <c r="AG347" i="22" l="1"/>
  <c r="F348" i="22" l="1"/>
  <c r="AK347" i="22"/>
  <c r="G348" i="22" s="1"/>
  <c r="T348" i="22" a="1"/>
  <c r="T348" i="22" l="1"/>
  <c r="Q348" i="22" l="1"/>
  <c r="V348" i="22"/>
  <c r="AF348" i="22" s="1"/>
  <c r="E349" i="22" s="1"/>
  <c r="U348" i="22"/>
  <c r="AE348" i="22" s="1"/>
  <c r="D349" i="22" s="1"/>
  <c r="AD348" i="22"/>
  <c r="C349" i="22" s="1"/>
  <c r="W348" i="22" a="1"/>
  <c r="W348" i="22" l="1"/>
  <c r="P348" i="22" a="1"/>
  <c r="P348" i="22" l="1"/>
  <c r="AC348" i="22"/>
  <c r="B349" i="22" l="1"/>
  <c r="I349" i="22"/>
  <c r="R348" i="22"/>
  <c r="S348" i="22" s="1"/>
  <c r="K348" i="22" s="1"/>
  <c r="H349" i="22" l="1"/>
  <c r="X348" i="22"/>
  <c r="Y348" i="22" s="1"/>
  <c r="AG348" i="22" l="1"/>
  <c r="F349" i="22" l="1"/>
  <c r="AK348" i="22"/>
  <c r="G349" i="22" s="1"/>
  <c r="T349" i="22" a="1"/>
  <c r="T349" i="22" l="1"/>
  <c r="V349" i="22" l="1"/>
  <c r="AF349" i="22" s="1"/>
  <c r="E350" i="22" s="1"/>
  <c r="Q349" i="22"/>
  <c r="AD349" i="22"/>
  <c r="C350" i="22" s="1"/>
  <c r="U349" i="22"/>
  <c r="AE349" i="22" s="1"/>
  <c r="D350" i="22" s="1"/>
  <c r="W349" i="22" a="1"/>
  <c r="W349" i="22" l="1"/>
  <c r="P349" i="22" a="1"/>
  <c r="P349" i="22" l="1"/>
  <c r="AC349" i="22"/>
  <c r="I350" i="22" l="1"/>
  <c r="R349" i="22"/>
  <c r="S349" i="22" s="1"/>
  <c r="K349" i="22" s="1"/>
  <c r="B350" i="22"/>
  <c r="H350" i="22" l="1"/>
  <c r="X349" i="22"/>
  <c r="Y349" i="22" s="1"/>
  <c r="AG349" i="22" l="1"/>
  <c r="F350" i="22" l="1"/>
  <c r="AK349" i="22"/>
  <c r="G350" i="22" s="1"/>
  <c r="T350" i="22" a="1"/>
  <c r="T350" i="22" l="1"/>
  <c r="Q350" i="22" l="1"/>
  <c r="V350" i="22"/>
  <c r="AF350" i="22" s="1"/>
  <c r="E351" i="22" s="1"/>
  <c r="AD350" i="22"/>
  <c r="C351" i="22" s="1"/>
  <c r="U350" i="22"/>
  <c r="AE350" i="22" s="1"/>
  <c r="D351" i="22" s="1"/>
  <c r="W350" i="22" a="1"/>
  <c r="W350" i="22" l="1"/>
  <c r="P350" i="22" a="1"/>
  <c r="P350" i="22" l="1"/>
  <c r="AC350" i="22"/>
  <c r="R350" i="22" l="1"/>
  <c r="S350" i="22" s="1"/>
  <c r="K350" i="22" s="1"/>
  <c r="I351" i="22"/>
  <c r="B351" i="22"/>
  <c r="X350" i="22" l="1"/>
  <c r="Y350" i="22" s="1"/>
  <c r="H351" i="22"/>
  <c r="AG350" i="22" l="1"/>
  <c r="F351" i="22" l="1"/>
  <c r="AK350" i="22"/>
  <c r="G351" i="22" s="1"/>
  <c r="T351" i="22" a="1"/>
  <c r="T351" i="22" l="1"/>
  <c r="Q351" i="22" l="1"/>
  <c r="U351" i="22"/>
  <c r="AE351" i="22" s="1"/>
  <c r="D352" i="22" s="1"/>
  <c r="AD351" i="22"/>
  <c r="C352" i="22" s="1"/>
  <c r="V351" i="22"/>
  <c r="AF351" i="22" s="1"/>
  <c r="E352" i="22" s="1"/>
  <c r="W351" i="22" a="1"/>
  <c r="W351" i="22" l="1"/>
  <c r="P351" i="22" a="1"/>
  <c r="P351" i="22" l="1"/>
  <c r="AC351" i="22"/>
  <c r="B352" i="22" l="1"/>
  <c r="R351" i="22"/>
  <c r="S351" i="22" s="1"/>
  <c r="K351" i="22" s="1"/>
  <c r="I352" i="22"/>
  <c r="X351" i="22" l="1"/>
  <c r="Y351" i="22" s="1"/>
  <c r="H352" i="22"/>
  <c r="AG351" i="22" l="1"/>
  <c r="F352" i="22" l="1"/>
  <c r="AK351" i="22"/>
  <c r="G352" i="22" s="1"/>
  <c r="T352" i="22" a="1"/>
  <c r="T352" i="22" l="1"/>
  <c r="Q352" i="22" l="1"/>
  <c r="U352" i="22"/>
  <c r="AE352" i="22" s="1"/>
  <c r="D353" i="22" s="1"/>
  <c r="V352" i="22"/>
  <c r="AF352" i="22" s="1"/>
  <c r="E353" i="22" s="1"/>
  <c r="AD352" i="22"/>
  <c r="C353" i="22" s="1"/>
  <c r="W352" i="22" a="1"/>
  <c r="W352" i="22" l="1"/>
  <c r="P352" i="22" a="1"/>
  <c r="P352" i="22" l="1"/>
  <c r="AC352" i="22"/>
  <c r="B353" i="22" l="1"/>
  <c r="R352" i="22"/>
  <c r="S352" i="22" s="1"/>
  <c r="K352" i="22" s="1"/>
  <c r="I353" i="22"/>
  <c r="H353" i="22" l="1"/>
  <c r="X352" i="22"/>
  <c r="Y352" i="22" s="1"/>
  <c r="AG352" i="22" l="1"/>
  <c r="F353" i="22" l="1"/>
  <c r="AK352" i="22"/>
  <c r="G353" i="22" s="1"/>
  <c r="T353" i="22" a="1"/>
  <c r="T353" i="22" l="1"/>
  <c r="Q353" i="22" l="1"/>
  <c r="U353" i="22"/>
  <c r="AE353" i="22" s="1"/>
  <c r="D354" i="22" s="1"/>
  <c r="V353" i="22"/>
  <c r="AF353" i="22" s="1"/>
  <c r="E354" i="22" s="1"/>
  <c r="AD353" i="22"/>
  <c r="C354" i="22" s="1"/>
  <c r="W353" i="22" a="1"/>
  <c r="W353" i="22" l="1"/>
  <c r="P353" i="22" a="1"/>
  <c r="P353" i="22" l="1"/>
  <c r="AC353" i="22"/>
  <c r="R353" i="22" l="1"/>
  <c r="S353" i="22" s="1"/>
  <c r="K353" i="22" s="1"/>
  <c r="I354" i="22"/>
  <c r="B354" i="22"/>
  <c r="H354" i="22" l="1"/>
  <c r="X353" i="22"/>
  <c r="Y353" i="22" s="1"/>
  <c r="AG353" i="22" l="1"/>
  <c r="F354" i="22" l="1"/>
  <c r="AK353" i="22"/>
  <c r="G354" i="22" s="1"/>
  <c r="T354" i="22" a="1"/>
  <c r="T354" i="22" l="1"/>
  <c r="Q354" i="22" l="1"/>
  <c r="V354" i="22"/>
  <c r="AF354" i="22" s="1"/>
  <c r="E355" i="22" s="1"/>
  <c r="AD354" i="22"/>
  <c r="C355" i="22" s="1"/>
  <c r="U354" i="22"/>
  <c r="AE354" i="22" s="1"/>
  <c r="D355" i="22" s="1"/>
  <c r="W354" i="22" a="1"/>
  <c r="W354" i="22" l="1"/>
  <c r="P354" i="22" a="1"/>
  <c r="P354" i="22" l="1"/>
  <c r="AC354" i="22"/>
  <c r="B355" i="22" l="1"/>
  <c r="H355" i="22" s="1"/>
  <c r="R354" i="22"/>
  <c r="S354" i="22" s="1"/>
  <c r="K354" i="22" s="1"/>
  <c r="I355" i="22"/>
  <c r="X354" i="22" l="1"/>
  <c r="Y354" i="22" s="1"/>
  <c r="AG354" i="22" l="1"/>
  <c r="F355" i="22" l="1"/>
  <c r="AK354" i="22"/>
  <c r="G355" i="22" s="1"/>
  <c r="T355" i="22" a="1"/>
  <c r="T355" i="22" l="1"/>
  <c r="V355" i="22" l="1"/>
  <c r="AF355" i="22" s="1"/>
  <c r="E356" i="22" s="1"/>
  <c r="Q355" i="22"/>
  <c r="AD355" i="22"/>
  <c r="C356" i="22" s="1"/>
  <c r="U355" i="22"/>
  <c r="AE355" i="22" s="1"/>
  <c r="D356" i="22" s="1"/>
  <c r="W355" i="22" a="1"/>
  <c r="W355" i="22" l="1"/>
  <c r="P355" i="22" a="1"/>
  <c r="P355" i="22" l="1"/>
  <c r="AC355" i="22"/>
  <c r="I356" i="22" l="1"/>
  <c r="R355" i="22"/>
  <c r="S355" i="22" s="1"/>
  <c r="K355" i="22" s="1"/>
  <c r="B356" i="22"/>
  <c r="H356" i="22" l="1"/>
  <c r="X355" i="22"/>
  <c r="Y355" i="22" s="1"/>
  <c r="AG355" i="22" l="1"/>
  <c r="F356" i="22" l="1"/>
  <c r="AK355" i="22"/>
  <c r="G356" i="22" s="1"/>
  <c r="T356" i="22" a="1"/>
  <c r="T356" i="22" l="1"/>
  <c r="Q356" i="22" l="1"/>
  <c r="U356" i="22"/>
  <c r="AE356" i="22" s="1"/>
  <c r="D357" i="22" s="1"/>
  <c r="V356" i="22"/>
  <c r="AF356" i="22" s="1"/>
  <c r="E357" i="22" s="1"/>
  <c r="AD356" i="22"/>
  <c r="C357" i="22" s="1"/>
  <c r="W356" i="22" a="1"/>
  <c r="W356" i="22" l="1"/>
  <c r="P356" i="22" a="1"/>
  <c r="P356" i="22" l="1"/>
  <c r="AC356" i="22"/>
  <c r="R356" i="22" l="1"/>
  <c r="S356" i="22" s="1"/>
  <c r="K356" i="22" s="1"/>
  <c r="I357" i="22"/>
  <c r="B357" i="22"/>
  <c r="H357" i="22" l="1"/>
  <c r="X356" i="22"/>
  <c r="Y356" i="22" s="1"/>
  <c r="AG356" i="22" l="1"/>
  <c r="F357" i="22" l="1"/>
  <c r="AK356" i="22"/>
  <c r="G357" i="22" s="1"/>
  <c r="T357" i="22" a="1"/>
  <c r="T357" i="22" l="1"/>
  <c r="Q357" i="22" l="1"/>
  <c r="V357" i="22"/>
  <c r="AF357" i="22" s="1"/>
  <c r="E358" i="22" s="1"/>
  <c r="U357" i="22"/>
  <c r="AE357" i="22" s="1"/>
  <c r="D358" i="22" s="1"/>
  <c r="AD357" i="22"/>
  <c r="C358" i="22" s="1"/>
  <c r="W357" i="22" a="1"/>
  <c r="W357" i="22" l="1"/>
  <c r="P357" i="22" a="1"/>
  <c r="P357" i="22" l="1"/>
  <c r="AC357" i="22"/>
  <c r="B358" i="22" l="1"/>
  <c r="R357" i="22"/>
  <c r="S357" i="22" s="1"/>
  <c r="K357" i="22" s="1"/>
  <c r="I358" i="22"/>
  <c r="H358" i="22" l="1"/>
  <c r="X357" i="22"/>
  <c r="Y357" i="22" s="1"/>
  <c r="AG357" i="22" l="1"/>
  <c r="F358" i="22" l="1"/>
  <c r="AK357" i="22"/>
  <c r="G358" i="22" s="1"/>
  <c r="T358" i="22" a="1"/>
  <c r="T358" i="22" l="1"/>
  <c r="Q358" i="22" l="1"/>
  <c r="V358" i="22"/>
  <c r="AF358" i="22" s="1"/>
  <c r="E359" i="22" s="1"/>
  <c r="AD358" i="22"/>
  <c r="C359" i="22" s="1"/>
  <c r="U358" i="22"/>
  <c r="AE358" i="22" s="1"/>
  <c r="D359" i="22" s="1"/>
  <c r="W358" i="22" a="1"/>
  <c r="W358" i="22" l="1"/>
  <c r="P358" i="22" a="1"/>
  <c r="P358" i="22" l="1"/>
  <c r="AC358" i="22"/>
  <c r="B359" i="22" l="1"/>
  <c r="I359" i="22"/>
  <c r="R358" i="22"/>
  <c r="S358" i="22" s="1"/>
  <c r="K358" i="22" s="1"/>
  <c r="X358" i="22" l="1"/>
  <c r="Y358" i="22" s="1"/>
  <c r="H359" i="22"/>
  <c r="AG358" i="22" l="1"/>
  <c r="F359" i="22" l="1"/>
  <c r="AK358" i="22"/>
  <c r="G359" i="22" s="1"/>
  <c r="T359" i="22" a="1"/>
  <c r="T359" i="22" l="1"/>
  <c r="Q359" i="22" l="1"/>
  <c r="U359" i="22"/>
  <c r="AE359" i="22" s="1"/>
  <c r="D360" i="22" s="1"/>
  <c r="V359" i="22"/>
  <c r="AF359" i="22" s="1"/>
  <c r="E360" i="22" s="1"/>
  <c r="AD359" i="22"/>
  <c r="C360" i="22" s="1"/>
  <c r="W359" i="22" a="1"/>
  <c r="W359" i="22" l="1"/>
  <c r="P359" i="22" a="1"/>
  <c r="P359" i="22" l="1"/>
  <c r="AC359" i="22"/>
  <c r="B360" i="22" l="1"/>
  <c r="I360" i="22"/>
  <c r="R359" i="22"/>
  <c r="S359" i="22" s="1"/>
  <c r="K359" i="22" s="1"/>
  <c r="H360" i="22" l="1"/>
  <c r="X359" i="22"/>
  <c r="Y359" i="22" s="1"/>
  <c r="AG359" i="22" l="1"/>
  <c r="F360" i="22" l="1"/>
  <c r="AK359" i="22"/>
  <c r="G360" i="22" s="1"/>
  <c r="T360" i="22" a="1"/>
  <c r="T360" i="22" l="1"/>
  <c r="Q360" i="22" l="1"/>
  <c r="V360" i="22"/>
  <c r="AF360" i="22" s="1"/>
  <c r="E361" i="22" s="1"/>
  <c r="AD360" i="22"/>
  <c r="C361" i="22" s="1"/>
  <c r="U360" i="22"/>
  <c r="AE360" i="22" s="1"/>
  <c r="D361" i="22" s="1"/>
  <c r="W360" i="22" a="1"/>
  <c r="W360" i="22" l="1"/>
  <c r="P360" i="22" a="1"/>
  <c r="P360" i="22" l="1"/>
  <c r="AC360" i="22"/>
  <c r="R360" i="22" l="1"/>
  <c r="S360" i="22" s="1"/>
  <c r="K360" i="22" s="1"/>
  <c r="I361" i="22"/>
  <c r="B361" i="22"/>
  <c r="H361" i="22" l="1"/>
  <c r="X360" i="22"/>
  <c r="Y360" i="22" s="1"/>
  <c r="AG360" i="22" l="1"/>
  <c r="F361" i="22" l="1"/>
  <c r="AK360" i="22"/>
  <c r="G361" i="22" s="1"/>
  <c r="T361" i="22" a="1"/>
  <c r="T361" i="22" l="1"/>
  <c r="Q361" i="22" l="1"/>
  <c r="V361" i="22"/>
  <c r="AF361" i="22" s="1"/>
  <c r="E362" i="22" s="1"/>
  <c r="U361" i="22"/>
  <c r="AE361" i="22" s="1"/>
  <c r="D362" i="22" s="1"/>
  <c r="AD361" i="22"/>
  <c r="C362" i="22" s="1"/>
  <c r="W361" i="22" a="1"/>
  <c r="W361" i="22" l="1"/>
  <c r="P361" i="22" a="1"/>
  <c r="P361" i="22" l="1"/>
  <c r="AC361" i="22"/>
  <c r="B362" i="22" l="1"/>
  <c r="R361" i="22"/>
  <c r="S361" i="22" s="1"/>
  <c r="K361" i="22" s="1"/>
  <c r="I362" i="22"/>
  <c r="H362" i="22" l="1"/>
  <c r="X361" i="22"/>
  <c r="Y361" i="22" s="1"/>
  <c r="AG361" i="22" l="1"/>
  <c r="F362" i="22" l="1"/>
  <c r="AK361" i="22"/>
  <c r="G362" i="22" s="1"/>
  <c r="T362" i="22" a="1"/>
  <c r="T362" i="22" l="1"/>
  <c r="U362" i="22" l="1"/>
  <c r="AE362" i="22" s="1"/>
  <c r="D363" i="22" s="1"/>
  <c r="Q362" i="22"/>
  <c r="AD362" i="22"/>
  <c r="C363" i="22" s="1"/>
  <c r="V362" i="22"/>
  <c r="AF362" i="22" s="1"/>
  <c r="E363" i="22" s="1"/>
  <c r="W362" i="22" a="1"/>
  <c r="W362" i="22" l="1"/>
  <c r="P362" i="22" a="1"/>
  <c r="P362" i="22" l="1"/>
  <c r="AC362" i="22"/>
  <c r="B363" i="22" l="1"/>
  <c r="I363" i="22"/>
  <c r="R362" i="22"/>
  <c r="S362" i="22" s="1"/>
  <c r="K362" i="22" s="1"/>
  <c r="X362" i="22" l="1"/>
  <c r="Y362" i="22" s="1"/>
  <c r="H363" i="22"/>
  <c r="AG362" i="22" l="1"/>
  <c r="F363" i="22" l="1"/>
  <c r="AK362" i="22"/>
  <c r="G363" i="22" s="1"/>
  <c r="T363" i="22" a="1"/>
  <c r="T363" i="22" l="1"/>
  <c r="Q363" i="22" l="1"/>
  <c r="V363" i="22"/>
  <c r="AF363" i="22" s="1"/>
  <c r="E364" i="22" s="1"/>
  <c r="U363" i="22"/>
  <c r="AE363" i="22" s="1"/>
  <c r="D364" i="22" s="1"/>
  <c r="AD363" i="22"/>
  <c r="C364" i="22" s="1"/>
  <c r="W363" i="22" a="1"/>
  <c r="W363" i="22" l="1"/>
  <c r="P363" i="22" a="1"/>
  <c r="P363" i="22" l="1"/>
  <c r="AC363" i="22"/>
  <c r="B364" i="22" l="1"/>
  <c r="R363" i="22"/>
  <c r="S363" i="22" s="1"/>
  <c r="K363" i="22" s="1"/>
  <c r="I364" i="22"/>
  <c r="H364" i="22" l="1"/>
  <c r="X363" i="22"/>
  <c r="Y363" i="22" s="1"/>
  <c r="AG363" i="22" l="1"/>
  <c r="F364" i="22" l="1"/>
  <c r="AK363" i="22"/>
  <c r="G364" i="22" s="1"/>
  <c r="T364" i="22" a="1"/>
  <c r="T364" i="22" l="1"/>
  <c r="Q364" i="22" l="1"/>
  <c r="V364" i="22"/>
  <c r="AF364" i="22" s="1"/>
  <c r="E365" i="22" s="1"/>
  <c r="AD364" i="22"/>
  <c r="C365" i="22" s="1"/>
  <c r="U364" i="22"/>
  <c r="AE364" i="22" s="1"/>
  <c r="D365" i="22" s="1"/>
  <c r="W364" i="22" a="1"/>
  <c r="W364" i="22" l="1"/>
  <c r="P364" i="22" a="1"/>
  <c r="P364" i="22" l="1"/>
  <c r="AC364" i="22"/>
  <c r="B365" i="22" l="1"/>
  <c r="R364" i="22"/>
  <c r="S364" i="22" s="1"/>
  <c r="K364" i="22" s="1"/>
  <c r="I365" i="22"/>
  <c r="H365" i="22" l="1"/>
  <c r="X364" i="22"/>
  <c r="Y364" i="22" s="1"/>
  <c r="AG364" i="22" l="1"/>
  <c r="F365" i="22" l="1"/>
  <c r="AK364" i="22"/>
  <c r="G365" i="22" s="1"/>
  <c r="T365" i="22" a="1"/>
  <c r="T365" i="22" l="1"/>
  <c r="Q365" i="22" l="1"/>
  <c r="V365" i="22"/>
  <c r="AF365" i="22" s="1"/>
  <c r="E366" i="22" s="1"/>
  <c r="AD365" i="22"/>
  <c r="C366" i="22" s="1"/>
  <c r="U365" i="22"/>
  <c r="AE365" i="22" s="1"/>
  <c r="D366" i="22" s="1"/>
  <c r="W365" i="22" a="1"/>
  <c r="W365" i="22" l="1"/>
  <c r="P365" i="22" a="1"/>
  <c r="P365" i="22" l="1"/>
  <c r="AC365" i="22"/>
  <c r="B366" i="22" l="1"/>
  <c r="R365" i="22"/>
  <c r="S365" i="22" s="1"/>
  <c r="K365" i="22" s="1"/>
  <c r="I366" i="22"/>
  <c r="H366" i="22" l="1"/>
  <c r="X365" i="22"/>
  <c r="Y365" i="22" s="1"/>
  <c r="AG365" i="22" l="1"/>
  <c r="F366" i="22" l="1"/>
  <c r="AK365" i="22"/>
  <c r="G366" i="22" s="1"/>
  <c r="T366" i="22" a="1"/>
  <c r="T366" i="22" l="1"/>
  <c r="Q366" i="22" l="1"/>
  <c r="U366" i="22"/>
  <c r="AE366" i="22" s="1"/>
  <c r="D367" i="22" s="1"/>
  <c r="V366" i="22"/>
  <c r="AF366" i="22" s="1"/>
  <c r="E367" i="22" s="1"/>
  <c r="AD366" i="22"/>
  <c r="C367" i="22" s="1"/>
  <c r="W366" i="22" a="1"/>
  <c r="W366" i="22" l="1"/>
  <c r="P366" i="22" a="1"/>
  <c r="P366" i="22" l="1"/>
  <c r="AC366" i="22"/>
  <c r="R366" i="22" l="1"/>
  <c r="S366" i="22" s="1"/>
  <c r="K366" i="22" s="1"/>
  <c r="I367" i="22"/>
  <c r="B367" i="22"/>
  <c r="X366" i="22" l="1"/>
  <c r="Y366" i="22" s="1"/>
  <c r="H367" i="22"/>
  <c r="AG366" i="22" l="1"/>
  <c r="F367" i="22" l="1"/>
  <c r="AK366" i="22"/>
  <c r="G367" i="22" s="1"/>
  <c r="T367" i="22" a="1"/>
  <c r="T367" i="22" l="1"/>
  <c r="Q367" i="22" l="1"/>
  <c r="V367" i="22"/>
  <c r="AF367" i="22" s="1"/>
  <c r="E368" i="22" s="1"/>
  <c r="AD367" i="22"/>
  <c r="C368" i="22" s="1"/>
  <c r="U367" i="22"/>
  <c r="AE367" i="22" s="1"/>
  <c r="D368" i="22" s="1"/>
  <c r="W367" i="22" a="1"/>
  <c r="W367" i="22" l="1"/>
  <c r="P367" i="22" a="1"/>
  <c r="P367" i="22" l="1"/>
  <c r="AC367" i="22"/>
  <c r="I368" i="22" l="1"/>
  <c r="R367" i="22"/>
  <c r="S367" i="22" s="1"/>
  <c r="K367" i="22" s="1"/>
  <c r="B368" i="22"/>
  <c r="H368" i="22" l="1"/>
  <c r="X367" i="22"/>
  <c r="Y367" i="22" s="1"/>
  <c r="AG367" i="22" l="1"/>
  <c r="F368" i="22" l="1"/>
  <c r="AK367" i="22"/>
  <c r="G368" i="22" s="1"/>
  <c r="T368" i="22" a="1"/>
  <c r="T368" i="22" l="1"/>
  <c r="U368" i="22" l="1"/>
  <c r="AE368" i="22" s="1"/>
  <c r="D369" i="22" s="1"/>
  <c r="Q368" i="22"/>
  <c r="V368" i="22"/>
  <c r="AF368" i="22" s="1"/>
  <c r="E369" i="22" s="1"/>
  <c r="AD368" i="22"/>
  <c r="C369" i="22" s="1"/>
  <c r="W368" i="22" a="1"/>
  <c r="W368" i="22" l="1"/>
  <c r="P368" i="22" a="1"/>
  <c r="P368" i="22" l="1"/>
  <c r="AC368" i="22"/>
  <c r="I369" i="22" l="1"/>
  <c r="R368" i="22"/>
  <c r="S368" i="22" s="1"/>
  <c r="K368" i="22" s="1"/>
  <c r="B369" i="22"/>
  <c r="X368" i="22" l="1"/>
  <c r="Y368" i="22" s="1"/>
  <c r="H369" i="22"/>
  <c r="AG368" i="22" l="1"/>
  <c r="F369" i="22" l="1"/>
  <c r="AK368" i="22"/>
  <c r="G369" i="22" s="1"/>
  <c r="T369" i="22" a="1"/>
  <c r="T369" i="22" l="1"/>
  <c r="Q369" i="22" l="1"/>
  <c r="AD369" i="22"/>
  <c r="C370" i="22" s="1"/>
  <c r="U369" i="22"/>
  <c r="AE369" i="22" s="1"/>
  <c r="D370" i="22" s="1"/>
  <c r="V369" i="22"/>
  <c r="AF369" i="22" s="1"/>
  <c r="E370" i="22" s="1"/>
  <c r="W369" i="22" a="1"/>
  <c r="W369" i="22" l="1"/>
  <c r="P369" i="22" a="1"/>
  <c r="P369" i="22" l="1"/>
  <c r="AC369" i="22"/>
  <c r="B370" i="22" l="1"/>
  <c r="R369" i="22"/>
  <c r="S369" i="22" s="1"/>
  <c r="K369" i="22" s="1"/>
  <c r="I370" i="22"/>
  <c r="X369" i="22" l="1"/>
  <c r="Y369" i="22" s="1"/>
  <c r="H370" i="22"/>
  <c r="AG369" i="22" l="1"/>
  <c r="F370" i="22" l="1"/>
  <c r="AK369" i="22"/>
  <c r="G370" i="22" s="1"/>
  <c r="T370" i="22" a="1"/>
  <c r="T370" i="22" l="1"/>
  <c r="Q370" i="22" l="1"/>
  <c r="U370" i="22"/>
  <c r="AE370" i="22" s="1"/>
  <c r="D371" i="22" s="1"/>
  <c r="AD370" i="22"/>
  <c r="C371" i="22" s="1"/>
  <c r="V370" i="22"/>
  <c r="AF370" i="22" s="1"/>
  <c r="E371" i="22" s="1"/>
  <c r="W370" i="22" a="1"/>
  <c r="W370" i="22" l="1"/>
  <c r="P370" i="22" a="1"/>
  <c r="P370" i="22" l="1"/>
  <c r="AC370" i="22"/>
  <c r="B371" i="22" l="1"/>
  <c r="R370" i="22"/>
  <c r="S370" i="22" s="1"/>
  <c r="K370" i="22" s="1"/>
  <c r="I371" i="22"/>
  <c r="X370" i="22" l="1"/>
  <c r="Y370" i="22" s="1"/>
  <c r="H371" i="22"/>
  <c r="AG370" i="22" l="1"/>
  <c r="F371" i="22" l="1"/>
  <c r="AK370" i="22"/>
  <c r="G371" i="22" s="1"/>
  <c r="T371" i="22" a="1"/>
  <c r="T371" i="22" l="1"/>
  <c r="Q371" i="22" l="1"/>
  <c r="U371" i="22"/>
  <c r="AE371" i="22" s="1"/>
  <c r="D372" i="22" s="1"/>
  <c r="AD371" i="22"/>
  <c r="C372" i="22" s="1"/>
  <c r="V371" i="22"/>
  <c r="AF371" i="22" s="1"/>
  <c r="E372" i="22" s="1"/>
  <c r="W371" i="22" a="1"/>
  <c r="W371" i="22" l="1"/>
  <c r="P371" i="22" a="1"/>
  <c r="P371" i="22" l="1"/>
  <c r="AC371" i="22"/>
  <c r="B372" i="22" l="1"/>
  <c r="R371" i="22"/>
  <c r="S371" i="22" s="1"/>
  <c r="K371" i="22" s="1"/>
  <c r="I372" i="22"/>
  <c r="H372" i="22" l="1"/>
  <c r="X371" i="22"/>
  <c r="Y371" i="22" s="1"/>
  <c r="AG371" i="22" l="1"/>
  <c r="F372" i="22" l="1"/>
  <c r="AK371" i="22"/>
  <c r="G372" i="22" s="1"/>
  <c r="T372" i="22" a="1"/>
  <c r="T372" i="22" l="1"/>
  <c r="V372" i="22" l="1"/>
  <c r="AF372" i="22" s="1"/>
  <c r="E373" i="22" s="1"/>
  <c r="Q372" i="22"/>
  <c r="AD372" i="22"/>
  <c r="C373" i="22" s="1"/>
  <c r="U372" i="22"/>
  <c r="AE372" i="22" s="1"/>
  <c r="D373" i="22" s="1"/>
  <c r="W372" i="22" a="1"/>
  <c r="W372" i="22" l="1"/>
  <c r="P372" i="22" a="1"/>
  <c r="P372" i="22" l="1"/>
  <c r="AC372" i="22"/>
  <c r="B373" i="22" l="1"/>
  <c r="R372" i="22"/>
  <c r="S372" i="22" s="1"/>
  <c r="K372" i="22" s="1"/>
  <c r="I373" i="22"/>
  <c r="H373" i="22" l="1"/>
  <c r="X372" i="22"/>
  <c r="Y372" i="22" s="1"/>
  <c r="AG372" i="22" l="1"/>
  <c r="F373" i="22" l="1"/>
  <c r="AK372" i="22"/>
  <c r="G373" i="22" s="1"/>
  <c r="T373" i="22" a="1"/>
  <c r="T373" i="22" l="1"/>
  <c r="V373" i="22" l="1"/>
  <c r="AF373" i="22" s="1"/>
  <c r="E374" i="22" s="1"/>
  <c r="Q373" i="22"/>
  <c r="AD373" i="22"/>
  <c r="C374" i="22" s="1"/>
  <c r="U373" i="22"/>
  <c r="AE373" i="22" s="1"/>
  <c r="D374" i="22" s="1"/>
  <c r="W373" i="22" a="1"/>
  <c r="W373" i="22" l="1"/>
  <c r="P373" i="22" a="1"/>
  <c r="P373" i="22" l="1"/>
  <c r="AC373" i="22"/>
  <c r="B374" i="22" l="1"/>
  <c r="I374" i="22"/>
  <c r="R373" i="22"/>
  <c r="S373" i="22" s="1"/>
  <c r="K373" i="22" s="1"/>
  <c r="X373" i="22" l="1"/>
  <c r="Y373" i="22" s="1"/>
  <c r="H374" i="22"/>
  <c r="AG373" i="22" l="1"/>
  <c r="F374" i="22" l="1"/>
  <c r="AK373" i="22"/>
  <c r="G374" i="22" s="1"/>
  <c r="T374" i="22" a="1"/>
  <c r="T374" i="22" l="1"/>
  <c r="Q374" i="22" l="1"/>
  <c r="U374" i="22"/>
  <c r="AE374" i="22" s="1"/>
  <c r="D375" i="22" s="1"/>
  <c r="V374" i="22"/>
  <c r="AF374" i="22" s="1"/>
  <c r="E375" i="22" s="1"/>
  <c r="AD374" i="22"/>
  <c r="C375" i="22" s="1"/>
  <c r="W374" i="22" a="1"/>
  <c r="W374" i="22" l="1"/>
  <c r="P374" i="22" a="1"/>
  <c r="P374" i="22" l="1"/>
  <c r="AC374" i="22"/>
  <c r="B375" i="22" l="1"/>
  <c r="R374" i="22"/>
  <c r="S374" i="22" s="1"/>
  <c r="K374" i="22" s="1"/>
  <c r="I375" i="22"/>
  <c r="X374" i="22" l="1"/>
  <c r="Y374" i="22" s="1"/>
  <c r="H375" i="22"/>
  <c r="AG374" i="22" l="1"/>
  <c r="F375" i="22" l="1"/>
  <c r="AK374" i="22"/>
  <c r="G375" i="22" s="1"/>
  <c r="T375" i="22" a="1"/>
  <c r="T375" i="22" l="1"/>
  <c r="U375" i="22" l="1"/>
  <c r="AE375" i="22" s="1"/>
  <c r="D376" i="22" s="1"/>
  <c r="Q375" i="22"/>
  <c r="AD375" i="22"/>
  <c r="C376" i="22" s="1"/>
  <c r="V375" i="22"/>
  <c r="AF375" i="22" s="1"/>
  <c r="E376" i="22" s="1"/>
  <c r="W375" i="22" a="1"/>
  <c r="W375" i="22" l="1"/>
  <c r="P375" i="22" a="1"/>
  <c r="P375" i="22" l="1"/>
  <c r="AC375" i="22"/>
  <c r="B376" i="22" l="1"/>
  <c r="R375" i="22"/>
  <c r="S375" i="22" s="1"/>
  <c r="K375" i="22" s="1"/>
  <c r="I376" i="22"/>
  <c r="H376" i="22" l="1"/>
  <c r="X375" i="22"/>
  <c r="Y375" i="22" s="1"/>
  <c r="AG375" i="22" l="1"/>
  <c r="F376" i="22" l="1"/>
  <c r="AK375" i="22"/>
  <c r="G376" i="22" s="1"/>
  <c r="T376" i="22" a="1"/>
  <c r="T376" i="22" l="1"/>
  <c r="U376" i="22" l="1"/>
  <c r="AE376" i="22" s="1"/>
  <c r="D377" i="22" s="1"/>
  <c r="Q376" i="22"/>
  <c r="V376" i="22"/>
  <c r="AF376" i="22" s="1"/>
  <c r="E377" i="22" s="1"/>
  <c r="AD376" i="22"/>
  <c r="C377" i="22" s="1"/>
  <c r="W376" i="22" a="1"/>
  <c r="W376" i="22" l="1"/>
  <c r="P376" i="22" a="1"/>
  <c r="P376" i="22" l="1"/>
  <c r="AC376" i="22"/>
  <c r="B377" i="22" s="1"/>
  <c r="R376" i="22" l="1"/>
  <c r="S376" i="22" s="1"/>
  <c r="K376" i="22" s="1"/>
  <c r="I377" i="22"/>
  <c r="H377" i="22"/>
  <c r="X376" i="22" l="1"/>
  <c r="Y376" i="22" s="1"/>
  <c r="AG376" i="22" l="1"/>
  <c r="AK376" i="22" l="1"/>
  <c r="G377" i="22" s="1"/>
  <c r="F377" i="22"/>
  <c r="T377" i="22" a="1"/>
  <c r="T377" i="22" l="1"/>
  <c r="Q377" i="22" l="1"/>
  <c r="AD377" i="22"/>
  <c r="C378" i="22" s="1"/>
  <c r="U377" i="22"/>
  <c r="AE377" i="22" s="1"/>
  <c r="D378" i="22" s="1"/>
  <c r="V377" i="22"/>
  <c r="AF377" i="22" s="1"/>
  <c r="E378" i="22" s="1"/>
  <c r="W377" i="22" a="1"/>
  <c r="W377" i="22" l="1"/>
  <c r="P377" i="22" a="1"/>
  <c r="P377" i="22" l="1"/>
  <c r="AC377" i="22"/>
  <c r="B378" i="22" l="1"/>
  <c r="R377" i="22"/>
  <c r="S377" i="22" s="1"/>
  <c r="K377" i="22" s="1"/>
  <c r="I378" i="22"/>
  <c r="X377" i="22" l="1"/>
  <c r="Y377" i="22" s="1"/>
  <c r="H378" i="22"/>
  <c r="AG377" i="22" l="1"/>
  <c r="F378" i="22" l="1"/>
  <c r="AK377" i="22"/>
  <c r="G378" i="22" s="1"/>
  <c r="T378" i="22" a="1"/>
  <c r="T378" i="22" l="1"/>
  <c r="Q378" i="22" l="1"/>
  <c r="U378" i="22"/>
  <c r="AE378" i="22" s="1"/>
  <c r="D379" i="22" s="1"/>
  <c r="V378" i="22"/>
  <c r="AF378" i="22" s="1"/>
  <c r="E379" i="22" s="1"/>
  <c r="AD378" i="22"/>
  <c r="C379" i="22" s="1"/>
  <c r="W378" i="22" a="1"/>
  <c r="W378" i="22" l="1"/>
  <c r="P378" i="22" a="1"/>
  <c r="P378" i="22" l="1"/>
  <c r="AC378" i="22"/>
  <c r="B379" i="22" l="1"/>
  <c r="R378" i="22"/>
  <c r="S378" i="22" s="1"/>
  <c r="K378" i="22" s="1"/>
  <c r="I379" i="22"/>
  <c r="X378" i="22" l="1"/>
  <c r="Y378" i="22" s="1"/>
  <c r="H379" i="22"/>
  <c r="AG378" i="22" l="1"/>
  <c r="F379" i="22" s="1"/>
  <c r="AK378" i="22" l="1"/>
  <c r="G379" i="22" s="1"/>
  <c r="T379" i="22" a="1"/>
  <c r="T379" i="22" l="1"/>
  <c r="Q379" i="22"/>
  <c r="AD379" i="22"/>
  <c r="C380" i="22" s="1"/>
  <c r="U379" i="22"/>
  <c r="AE379" i="22" s="1"/>
  <c r="D380" i="22" s="1"/>
  <c r="V379" i="22"/>
  <c r="AF379" i="22" s="1"/>
  <c r="E380" i="22" s="1"/>
  <c r="W379" i="22" a="1"/>
  <c r="W379" i="22" l="1"/>
  <c r="P379" i="22" a="1"/>
  <c r="P379" i="22" l="1"/>
  <c r="AC379" i="22"/>
  <c r="B380" i="22" l="1"/>
  <c r="I380" i="22"/>
  <c r="R379" i="22"/>
  <c r="S379" i="22" s="1"/>
  <c r="K379" i="22" s="1"/>
  <c r="X379" i="22" l="1"/>
  <c r="Y379" i="22" s="1"/>
  <c r="H380" i="22"/>
  <c r="AG379" i="22" l="1"/>
  <c r="F380" i="22" l="1"/>
  <c r="AK379" i="22"/>
  <c r="G380" i="22" s="1"/>
  <c r="T380" i="22" a="1"/>
  <c r="T380" i="22" l="1"/>
  <c r="Q380" i="22" l="1"/>
  <c r="AD380" i="22"/>
  <c r="C381" i="22" s="1"/>
  <c r="U380" i="22"/>
  <c r="AE380" i="22" s="1"/>
  <c r="D381" i="22" s="1"/>
  <c r="V380" i="22"/>
  <c r="AF380" i="22" s="1"/>
  <c r="E381" i="22" s="1"/>
  <c r="W380" i="22" a="1"/>
  <c r="W380" i="22" l="1"/>
  <c r="P380" i="22" a="1"/>
  <c r="P380" i="22" l="1"/>
  <c r="AC380" i="22"/>
  <c r="B381" i="22" l="1"/>
  <c r="R380" i="22"/>
  <c r="S380" i="22" s="1"/>
  <c r="K380" i="22" s="1"/>
  <c r="I381" i="22"/>
  <c r="H381" i="22" l="1"/>
  <c r="X380" i="22"/>
  <c r="Y380" i="22" s="1"/>
  <c r="AG380" i="22" l="1"/>
  <c r="F381" i="22" s="1"/>
  <c r="AK380" i="22" l="1"/>
  <c r="G381" i="22" s="1"/>
  <c r="T381" i="22" a="1"/>
  <c r="T381" i="22" l="1"/>
  <c r="Q381" i="22"/>
  <c r="AD381" i="22"/>
  <c r="C382" i="22" s="1"/>
  <c r="U381" i="22"/>
  <c r="AE381" i="22" s="1"/>
  <c r="D382" i="22" s="1"/>
  <c r="V381" i="22"/>
  <c r="AF381" i="22" s="1"/>
  <c r="E382" i="22" s="1"/>
  <c r="W381" i="22" a="1"/>
  <c r="W381" i="22" l="1"/>
  <c r="P381" i="22" a="1"/>
  <c r="P381" i="22" l="1"/>
  <c r="AC381" i="22"/>
  <c r="B382" i="22" l="1"/>
  <c r="R381" i="22"/>
  <c r="S381" i="22" s="1"/>
  <c r="K381" i="22" s="1"/>
  <c r="I382" i="22"/>
  <c r="X381" i="22" l="1"/>
  <c r="Y381" i="22" s="1"/>
  <c r="H382" i="22"/>
  <c r="AG381" i="22" l="1"/>
  <c r="F382" i="22" l="1"/>
  <c r="AK381" i="22"/>
  <c r="G382" i="22" s="1"/>
  <c r="T382" i="22" a="1"/>
  <c r="T382" i="22" l="1"/>
  <c r="Q382" i="22" l="1"/>
  <c r="U382" i="22"/>
  <c r="AE382" i="22" s="1"/>
  <c r="D383" i="22" s="1"/>
  <c r="AD382" i="22"/>
  <c r="C383" i="22" s="1"/>
  <c r="V382" i="22"/>
  <c r="AF382" i="22" s="1"/>
  <c r="E383" i="22" s="1"/>
  <c r="W382" i="22" a="1"/>
  <c r="W382" i="22" l="1"/>
  <c r="P382" i="22" a="1"/>
  <c r="P382" i="22" l="1"/>
  <c r="AC382" i="22"/>
  <c r="R382" i="22" l="1"/>
  <c r="S382" i="22" s="1"/>
  <c r="K382" i="22" s="1"/>
  <c r="I383" i="22"/>
  <c r="B383" i="22"/>
  <c r="X382" i="22" l="1"/>
  <c r="Y382" i="22" s="1"/>
  <c r="H383" i="22"/>
  <c r="AG382" i="22" l="1"/>
  <c r="F383" i="22" l="1"/>
  <c r="AK382" i="22"/>
  <c r="G383" i="22" s="1"/>
  <c r="T383" i="22" a="1"/>
  <c r="T383" i="22" l="1"/>
  <c r="Q383" i="22" l="1"/>
  <c r="V383" i="22"/>
  <c r="AF383" i="22" s="1"/>
  <c r="E384" i="22" s="1"/>
  <c r="AD383" i="22"/>
  <c r="C384" i="22" s="1"/>
  <c r="U383" i="22"/>
  <c r="AE383" i="22" s="1"/>
  <c r="D384" i="22" s="1"/>
  <c r="W383" i="22" a="1"/>
  <c r="W383" i="22" l="1"/>
  <c r="P383" i="22" a="1"/>
  <c r="P383" i="22" l="1"/>
  <c r="AC383" i="22"/>
  <c r="B384" i="22" l="1"/>
  <c r="R383" i="22"/>
  <c r="S383" i="22" s="1"/>
  <c r="K383" i="22" s="1"/>
  <c r="I384" i="22"/>
  <c r="X383" i="22" l="1"/>
  <c r="Y383" i="22" s="1"/>
  <c r="H384" i="22"/>
  <c r="AG383" i="22" l="1"/>
  <c r="F384" i="22" l="1"/>
  <c r="AK383" i="22"/>
  <c r="G384" i="22" s="1"/>
  <c r="T384" i="22" a="1"/>
  <c r="T384" i="22" l="1"/>
  <c r="Q384" i="22" l="1"/>
  <c r="U384" i="22"/>
  <c r="AE384" i="22" s="1"/>
  <c r="D385" i="22" s="1"/>
  <c r="V384" i="22"/>
  <c r="AF384" i="22" s="1"/>
  <c r="E385" i="22" s="1"/>
  <c r="AD384" i="22"/>
  <c r="C385" i="22" s="1"/>
  <c r="W384" i="22" a="1"/>
  <c r="W384" i="22" l="1"/>
  <c r="P384" i="22" a="1"/>
  <c r="P384" i="22" l="1"/>
  <c r="AC384" i="22"/>
  <c r="B385" i="22" l="1"/>
  <c r="I385" i="22"/>
  <c r="R384" i="22"/>
  <c r="S384" i="22" s="1"/>
  <c r="K384" i="22" s="1"/>
  <c r="X384" i="22" l="1"/>
  <c r="Y384" i="22" s="1"/>
  <c r="H385" i="22"/>
  <c r="AG384" i="22" l="1"/>
  <c r="F385" i="22" l="1"/>
  <c r="AK384" i="22"/>
  <c r="G385" i="22" s="1"/>
  <c r="T385" i="22" a="1"/>
  <c r="T385" i="22" l="1"/>
  <c r="Q385" i="22" l="1"/>
  <c r="V385" i="22"/>
  <c r="AF385" i="22" s="1"/>
  <c r="E386" i="22" s="1"/>
  <c r="U385" i="22"/>
  <c r="AE385" i="22" s="1"/>
  <c r="D386" i="22" s="1"/>
  <c r="AD385" i="22"/>
  <c r="C386" i="22" s="1"/>
  <c r="W385" i="22" a="1"/>
  <c r="W385" i="22" l="1"/>
  <c r="P385" i="22" a="1"/>
  <c r="P385" i="22" l="1"/>
  <c r="AC385" i="22"/>
  <c r="I386" i="22" l="1"/>
  <c r="R385" i="22"/>
  <c r="S385" i="22" s="1"/>
  <c r="K385" i="22" s="1"/>
  <c r="B386" i="22"/>
  <c r="H386" i="22" l="1"/>
  <c r="X385" i="22"/>
  <c r="Y385" i="22" s="1"/>
  <c r="AG385" i="22" l="1"/>
  <c r="F386" i="22" l="1"/>
  <c r="AK385" i="22"/>
  <c r="G386" i="22" s="1"/>
  <c r="T386" i="22" a="1"/>
  <c r="T386" i="22" l="1"/>
  <c r="Q386" i="22" l="1"/>
  <c r="AD386" i="22"/>
  <c r="C387" i="22" s="1"/>
  <c r="V386" i="22"/>
  <c r="AF386" i="22" s="1"/>
  <c r="E387" i="22" s="1"/>
  <c r="U386" i="22"/>
  <c r="AE386" i="22" s="1"/>
  <c r="D387" i="22" s="1"/>
  <c r="W386" i="22" a="1"/>
  <c r="W386" i="22" l="1"/>
  <c r="P386" i="22" a="1"/>
  <c r="P386" i="22" l="1"/>
  <c r="AC386" i="22"/>
  <c r="I387" i="22" l="1"/>
  <c r="R386" i="22"/>
  <c r="S386" i="22" s="1"/>
  <c r="K386" i="22" s="1"/>
  <c r="B387" i="22"/>
  <c r="H387" i="22" l="1"/>
  <c r="X386" i="22"/>
  <c r="Y386" i="22" s="1"/>
  <c r="AG386" i="22" l="1"/>
  <c r="F387" i="22" l="1"/>
  <c r="AK386" i="22"/>
  <c r="G387" i="22" s="1"/>
  <c r="T387" i="22" a="1"/>
  <c r="T387" i="22" l="1"/>
  <c r="Q387" i="22" l="1"/>
  <c r="U387" i="22"/>
  <c r="AE387" i="22" s="1"/>
  <c r="D388" i="22" s="1"/>
  <c r="AD387" i="22"/>
  <c r="C388" i="22" s="1"/>
  <c r="V387" i="22"/>
  <c r="AF387" i="22" s="1"/>
  <c r="E388" i="22" s="1"/>
  <c r="W387" i="22" a="1"/>
  <c r="W387" i="22" l="1"/>
  <c r="P387" i="22" a="1"/>
  <c r="P387" i="22" l="1"/>
  <c r="AC387" i="22"/>
  <c r="R387" i="22" l="1"/>
  <c r="S387" i="22" s="1"/>
  <c r="K387" i="22" s="1"/>
  <c r="I388" i="22"/>
  <c r="B388" i="22"/>
  <c r="H388" i="22" l="1"/>
  <c r="X387" i="22"/>
  <c r="Y387" i="22" s="1"/>
  <c r="AG387" i="22" l="1"/>
  <c r="F388" i="22" l="1"/>
  <c r="AK387" i="22"/>
  <c r="G388" i="22" s="1"/>
  <c r="T388" i="22" a="1"/>
  <c r="T388" i="22" l="1"/>
  <c r="Q388" i="22" l="1"/>
  <c r="V388" i="22"/>
  <c r="AF388" i="22" s="1"/>
  <c r="E389" i="22" s="1"/>
  <c r="U388" i="22"/>
  <c r="AE388" i="22" s="1"/>
  <c r="D389" i="22" s="1"/>
  <c r="AD388" i="22"/>
  <c r="C389" i="22" s="1"/>
  <c r="W388" i="22" a="1"/>
  <c r="W388" i="22" l="1"/>
  <c r="P388" i="22" a="1"/>
  <c r="P388" i="22" l="1"/>
  <c r="AC388" i="22"/>
  <c r="B389" i="22" l="1"/>
  <c r="R388" i="22"/>
  <c r="S388" i="22" s="1"/>
  <c r="K388" i="22" s="1"/>
  <c r="I389" i="22"/>
  <c r="H389" i="22" l="1"/>
  <c r="X388" i="22"/>
  <c r="Y388" i="22" s="1"/>
  <c r="AG388" i="22" l="1"/>
  <c r="F389" i="22" l="1"/>
  <c r="AK388" i="22"/>
  <c r="G389" i="22" s="1"/>
  <c r="T389" i="22" a="1"/>
  <c r="T389" i="22" l="1"/>
  <c r="Q389" i="22" l="1"/>
  <c r="U389" i="22"/>
  <c r="AE389" i="22" s="1"/>
  <c r="D390" i="22" s="1"/>
  <c r="AD389" i="22"/>
  <c r="C390" i="22" s="1"/>
  <c r="V389" i="22"/>
  <c r="AF389" i="22" s="1"/>
  <c r="E390" i="22" s="1"/>
  <c r="W389" i="22" a="1"/>
  <c r="W389" i="22" l="1"/>
  <c r="P389" i="22" a="1"/>
  <c r="P389" i="22" l="1"/>
  <c r="AC389" i="22"/>
  <c r="B390" i="22" l="1"/>
  <c r="R389" i="22"/>
  <c r="S389" i="22" s="1"/>
  <c r="K389" i="22" s="1"/>
  <c r="I390" i="22"/>
  <c r="X389" i="22" l="1"/>
  <c r="Y389" i="22" s="1"/>
  <c r="H390" i="22"/>
  <c r="AG389" i="22" l="1"/>
  <c r="F390" i="22" l="1"/>
  <c r="AK389" i="22"/>
  <c r="G390" i="22" s="1"/>
  <c r="T390" i="22" a="1"/>
  <c r="T390" i="22" l="1"/>
  <c r="Q390" i="22" l="1"/>
  <c r="U390" i="22"/>
  <c r="AE390" i="22" s="1"/>
  <c r="D391" i="22" s="1"/>
  <c r="V390" i="22"/>
  <c r="AF390" i="22" s="1"/>
  <c r="E391" i="22" s="1"/>
  <c r="AD390" i="22"/>
  <c r="C391" i="22" s="1"/>
  <c r="W390" i="22" a="1"/>
  <c r="W390" i="22" l="1"/>
  <c r="P390" i="22" a="1"/>
  <c r="P390" i="22" l="1"/>
  <c r="AC390" i="22"/>
  <c r="B391" i="22" l="1"/>
  <c r="R390" i="22"/>
  <c r="S390" i="22" s="1"/>
  <c r="K390" i="22" s="1"/>
  <c r="I391" i="22"/>
  <c r="H391" i="22" l="1"/>
  <c r="X390" i="22"/>
  <c r="Y390" i="22" s="1"/>
  <c r="AG390" i="22" l="1"/>
  <c r="F391" i="22" l="1"/>
  <c r="AK390" i="22"/>
  <c r="G391" i="22" s="1"/>
  <c r="T391" i="22" a="1"/>
  <c r="T391" i="22" l="1"/>
  <c r="Q391" i="22" l="1"/>
  <c r="AD391" i="22"/>
  <c r="C392" i="22" s="1"/>
  <c r="U391" i="22"/>
  <c r="AE391" i="22" s="1"/>
  <c r="D392" i="22" s="1"/>
  <c r="V391" i="22"/>
  <c r="AF391" i="22" s="1"/>
  <c r="E392" i="22" s="1"/>
  <c r="W391" i="22" a="1"/>
  <c r="W391" i="22" l="1"/>
  <c r="P391" i="22" a="1"/>
  <c r="P391" i="22" l="1"/>
  <c r="AC391" i="22"/>
  <c r="R391" i="22" l="1"/>
  <c r="S391" i="22" s="1"/>
  <c r="K391" i="22" s="1"/>
  <c r="I392" i="22"/>
  <c r="B392" i="22"/>
  <c r="X391" i="22" l="1"/>
  <c r="Y391" i="22" s="1"/>
  <c r="H392" i="22"/>
  <c r="AG391" i="22" l="1"/>
  <c r="F392" i="22" l="1"/>
  <c r="AK391" i="22"/>
  <c r="G392" i="22" s="1"/>
  <c r="T392" i="22" a="1"/>
  <c r="T392" i="22" l="1"/>
  <c r="Q392" i="22" l="1"/>
  <c r="U392" i="22"/>
  <c r="AE392" i="22" s="1"/>
  <c r="D393" i="22" s="1"/>
  <c r="V392" i="22"/>
  <c r="AF392" i="22" s="1"/>
  <c r="E393" i="22" s="1"/>
  <c r="AD392" i="22"/>
  <c r="C393" i="22" s="1"/>
  <c r="W392" i="22" a="1"/>
  <c r="W392" i="22" l="1"/>
  <c r="P392" i="22" a="1"/>
  <c r="P392" i="22" l="1"/>
  <c r="AC392" i="22"/>
  <c r="B393" i="22" l="1"/>
  <c r="I393" i="22"/>
  <c r="R392" i="22"/>
  <c r="S392" i="22" s="1"/>
  <c r="K392" i="22" s="1"/>
  <c r="X392" i="22" l="1"/>
  <c r="Y392" i="22" s="1"/>
  <c r="H393" i="22"/>
  <c r="AG392" i="22" l="1"/>
  <c r="F393" i="22" l="1"/>
  <c r="AK392" i="22"/>
  <c r="G393" i="22" s="1"/>
  <c r="T393" i="22" a="1"/>
  <c r="T393" i="22" l="1"/>
  <c r="U393" i="22" l="1"/>
  <c r="AE393" i="22" s="1"/>
  <c r="D394" i="22" s="1"/>
  <c r="Q393" i="22"/>
  <c r="AD393" i="22"/>
  <c r="C394" i="22" s="1"/>
  <c r="V393" i="22"/>
  <c r="AF393" i="22" s="1"/>
  <c r="E394" i="22" s="1"/>
  <c r="W393" i="22" a="1"/>
  <c r="W393" i="22" l="1"/>
  <c r="P393" i="22" a="1"/>
  <c r="P393" i="22" l="1"/>
  <c r="AC393" i="22"/>
  <c r="B394" i="22" l="1"/>
  <c r="I394" i="22"/>
  <c r="R393" i="22"/>
  <c r="S393" i="22" s="1"/>
  <c r="K393" i="22" s="1"/>
  <c r="H394" i="22" l="1"/>
  <c r="X393" i="22"/>
  <c r="Y393" i="22" s="1"/>
  <c r="AG393" i="22" l="1"/>
  <c r="F394" i="22" l="1"/>
  <c r="AK393" i="22"/>
  <c r="G394" i="22" s="1"/>
  <c r="T394" i="22" a="1"/>
  <c r="T394" i="22" l="1"/>
  <c r="Q394" i="22" l="1"/>
  <c r="V394" i="22"/>
  <c r="AF394" i="22" s="1"/>
  <c r="E395" i="22" s="1"/>
  <c r="U394" i="22"/>
  <c r="AE394" i="22" s="1"/>
  <c r="D395" i="22" s="1"/>
  <c r="AD394" i="22"/>
  <c r="C395" i="22" s="1"/>
  <c r="W394" i="22" a="1"/>
  <c r="W394" i="22" l="1"/>
  <c r="P394" i="22" a="1"/>
  <c r="P394" i="22" l="1"/>
  <c r="AC394" i="22"/>
  <c r="R394" i="22" l="1"/>
  <c r="S394" i="22" s="1"/>
  <c r="K394" i="22" s="1"/>
  <c r="I395" i="22"/>
  <c r="B395" i="22"/>
  <c r="X394" i="22" l="1"/>
  <c r="Y394" i="22" s="1"/>
  <c r="H395" i="22"/>
  <c r="AG394" i="22" l="1"/>
  <c r="F395" i="22" l="1"/>
  <c r="AK394" i="22"/>
  <c r="G395" i="22" s="1"/>
  <c r="T395" i="22" a="1"/>
  <c r="T395" i="22" l="1"/>
  <c r="Q395" i="22" l="1"/>
  <c r="U395" i="22"/>
  <c r="AE395" i="22" s="1"/>
  <c r="D396" i="22" s="1"/>
  <c r="V395" i="22"/>
  <c r="AF395" i="22" s="1"/>
  <c r="E396" i="22" s="1"/>
  <c r="AD395" i="22"/>
  <c r="C396" i="22" s="1"/>
  <c r="W395" i="22" a="1"/>
  <c r="W395" i="22" l="1"/>
  <c r="P395" i="22" a="1"/>
  <c r="P395" i="22" l="1"/>
  <c r="AC395" i="22"/>
  <c r="B396" i="22" l="1"/>
  <c r="I396" i="22"/>
  <c r="R395" i="22"/>
  <c r="S395" i="22" s="1"/>
  <c r="K395" i="22" s="1"/>
  <c r="X395" i="22" l="1"/>
  <c r="Y395" i="22" s="1"/>
  <c r="H396" i="22"/>
  <c r="AG395" i="22" l="1"/>
  <c r="F396" i="22" l="1"/>
  <c r="AK395" i="22"/>
  <c r="G396" i="22" s="1"/>
  <c r="T396" i="22" a="1"/>
  <c r="T396" i="22" l="1"/>
  <c r="Q396" i="22" l="1"/>
  <c r="U396" i="22"/>
  <c r="AE396" i="22" s="1"/>
  <c r="D397" i="22" s="1"/>
  <c r="AD396" i="22"/>
  <c r="C397" i="22" s="1"/>
  <c r="V396" i="22"/>
  <c r="AF396" i="22" s="1"/>
  <c r="E397" i="22" s="1"/>
  <c r="W396" i="22" a="1"/>
  <c r="W396" i="22" l="1"/>
  <c r="P396" i="22" a="1"/>
  <c r="P396" i="22" l="1"/>
  <c r="AC396" i="22"/>
  <c r="R396" i="22" l="1"/>
  <c r="S396" i="22" s="1"/>
  <c r="K396" i="22" s="1"/>
  <c r="I397" i="22"/>
  <c r="B397" i="22"/>
  <c r="H397" i="22" l="1"/>
  <c r="X396" i="22"/>
  <c r="Y396" i="22" s="1"/>
  <c r="AG396" i="22" l="1"/>
  <c r="F397" i="22" l="1"/>
  <c r="AK396" i="22"/>
  <c r="G397" i="22" s="1"/>
  <c r="T397" i="22" a="1"/>
  <c r="T397" i="22" l="1"/>
  <c r="Q397" i="22" l="1"/>
  <c r="AD397" i="22"/>
  <c r="C398" i="22" s="1"/>
  <c r="V397" i="22"/>
  <c r="AF397" i="22" s="1"/>
  <c r="E398" i="22" s="1"/>
  <c r="U397" i="22"/>
  <c r="AE397" i="22" s="1"/>
  <c r="D398" i="22" s="1"/>
  <c r="W397" i="22" a="1"/>
  <c r="W397" i="22" l="1"/>
  <c r="P397" i="22" a="1"/>
  <c r="P397" i="22" l="1"/>
  <c r="AC397" i="22"/>
  <c r="B398" i="22" l="1"/>
  <c r="I398" i="22"/>
  <c r="R397" i="22"/>
  <c r="S397" i="22" s="1"/>
  <c r="K397" i="22" s="1"/>
  <c r="X397" i="22" l="1"/>
  <c r="Y397" i="22" s="1"/>
  <c r="H398" i="22"/>
  <c r="AG397" i="22" l="1"/>
  <c r="F398" i="22" l="1"/>
  <c r="AK397" i="22"/>
  <c r="G398" i="22" s="1"/>
  <c r="T398" i="22" a="1"/>
  <c r="T398" i="22" l="1"/>
  <c r="Q398" i="22" l="1"/>
  <c r="V398" i="22"/>
  <c r="AF398" i="22" s="1"/>
  <c r="E399" i="22" s="1"/>
  <c r="U398" i="22"/>
  <c r="AE398" i="22" s="1"/>
  <c r="D399" i="22" s="1"/>
  <c r="AD398" i="22"/>
  <c r="C399" i="22" s="1"/>
  <c r="W398" i="22" a="1"/>
  <c r="W398" i="22" l="1"/>
  <c r="P398" i="22" a="1"/>
  <c r="P398" i="22" l="1"/>
  <c r="AC398" i="22"/>
  <c r="B399" i="22" l="1"/>
  <c r="I399" i="22"/>
  <c r="R398" i="22"/>
  <c r="S398" i="22" s="1"/>
  <c r="K398" i="22" s="1"/>
  <c r="X398" i="22" l="1"/>
  <c r="Y398" i="22" s="1"/>
  <c r="H399" i="22"/>
  <c r="AG398" i="22" l="1"/>
  <c r="F399" i="22" l="1"/>
  <c r="AK398" i="22"/>
  <c r="G399" i="22" s="1"/>
  <c r="T399" i="22" a="1"/>
  <c r="T399" i="22" l="1"/>
  <c r="Q399" i="22" l="1"/>
  <c r="V399" i="22"/>
  <c r="AF399" i="22" s="1"/>
  <c r="E400" i="22" s="1"/>
  <c r="AD399" i="22"/>
  <c r="C400" i="22" s="1"/>
  <c r="U399" i="22"/>
  <c r="AE399" i="22" s="1"/>
  <c r="D400" i="22" s="1"/>
  <c r="W399" i="22" a="1"/>
  <c r="W399" i="22" l="1"/>
  <c r="P399" i="22" a="1"/>
  <c r="P399" i="22" l="1"/>
  <c r="AC399" i="22"/>
  <c r="R399" i="22" l="1"/>
  <c r="S399" i="22" s="1"/>
  <c r="K399" i="22" s="1"/>
  <c r="I400" i="22"/>
  <c r="B400" i="22"/>
  <c r="X399" i="22" l="1"/>
  <c r="Y399" i="22" s="1"/>
  <c r="H400" i="22"/>
  <c r="AG399" i="22" l="1"/>
  <c r="F400" i="22" l="1"/>
  <c r="AK399" i="22"/>
  <c r="G400" i="22" s="1"/>
  <c r="T400" i="22" a="1"/>
  <c r="T400" i="22" l="1"/>
  <c r="Q400" i="22" l="1"/>
  <c r="V400" i="22"/>
  <c r="AF400" i="22" s="1"/>
  <c r="E401" i="22" s="1"/>
  <c r="U400" i="22"/>
  <c r="AE400" i="22" s="1"/>
  <c r="D401" i="22" s="1"/>
  <c r="AD400" i="22"/>
  <c r="C401" i="22" s="1"/>
  <c r="W400" i="22" a="1"/>
  <c r="W400" i="22" l="1"/>
  <c r="P400" i="22" a="1"/>
  <c r="P400" i="22" l="1"/>
  <c r="AC400" i="22"/>
  <c r="B401" i="22" l="1"/>
  <c r="R400" i="22"/>
  <c r="S400" i="22" s="1"/>
  <c r="K400" i="22" s="1"/>
  <c r="I401" i="22"/>
  <c r="X400" i="22" l="1"/>
  <c r="Y400" i="22" s="1"/>
  <c r="H401" i="22"/>
  <c r="AG400" i="22" l="1"/>
  <c r="F401" i="22" l="1"/>
  <c r="AK400" i="22"/>
  <c r="G401" i="22" s="1"/>
  <c r="T401" i="22" a="1"/>
  <c r="T401" i="22" l="1"/>
  <c r="Q401" i="22" l="1"/>
  <c r="V401" i="22"/>
  <c r="AF401" i="22" s="1"/>
  <c r="E402" i="22" s="1"/>
  <c r="U401" i="22"/>
  <c r="AE401" i="22" s="1"/>
  <c r="D402" i="22" s="1"/>
  <c r="AD401" i="22"/>
  <c r="C402" i="22" s="1"/>
  <c r="W401" i="22" a="1"/>
  <c r="W401" i="22" l="1"/>
  <c r="P401" i="22" a="1"/>
  <c r="P401" i="22" l="1"/>
  <c r="AC401" i="22"/>
  <c r="B402" i="22" l="1"/>
  <c r="I402" i="22"/>
  <c r="R401" i="22"/>
  <c r="S401" i="22" s="1"/>
  <c r="K401" i="22" s="1"/>
  <c r="X401" i="22" l="1"/>
  <c r="Y401" i="22" s="1"/>
  <c r="H402" i="22"/>
  <c r="AG401" i="22" l="1"/>
  <c r="F402" i="22" l="1"/>
  <c r="AK401" i="22"/>
  <c r="G402" i="22" s="1"/>
  <c r="T402" i="22" a="1"/>
  <c r="T402" i="22" l="1"/>
  <c r="Q402" i="22" l="1"/>
  <c r="U402" i="22"/>
  <c r="AE402" i="22" s="1"/>
  <c r="D403" i="22" s="1"/>
  <c r="V402" i="22"/>
  <c r="AF402" i="22" s="1"/>
  <c r="E403" i="22" s="1"/>
  <c r="AD402" i="22"/>
  <c r="C403" i="22" s="1"/>
  <c r="W402" i="22" a="1"/>
  <c r="W402" i="22" l="1"/>
  <c r="P402" i="22" a="1"/>
  <c r="P402" i="22" l="1"/>
  <c r="AC402" i="22"/>
  <c r="I403" i="22" l="1"/>
  <c r="R402" i="22"/>
  <c r="S402" i="22" s="1"/>
  <c r="K402" i="22" s="1"/>
  <c r="B403" i="22"/>
  <c r="H403" i="22" l="1"/>
  <c r="X402" i="22"/>
  <c r="Y402" i="22" s="1"/>
  <c r="AG402" i="22" l="1"/>
  <c r="F403" i="22" l="1"/>
  <c r="AK402" i="22"/>
  <c r="G403" i="22" s="1"/>
  <c r="T403" i="22" a="1"/>
  <c r="T403" i="22" l="1"/>
  <c r="Q403" i="22" l="1"/>
  <c r="V403" i="22"/>
  <c r="AF403" i="22" s="1"/>
  <c r="E404" i="22" s="1"/>
  <c r="AD403" i="22"/>
  <c r="C404" i="22" s="1"/>
  <c r="U403" i="22"/>
  <c r="AE403" i="22" s="1"/>
  <c r="D404" i="22" s="1"/>
  <c r="W403" i="22" a="1"/>
  <c r="W403" i="22" l="1"/>
  <c r="P403" i="22" a="1"/>
  <c r="P403" i="22" l="1"/>
  <c r="AC403" i="22"/>
  <c r="B404" i="22" l="1"/>
  <c r="R403" i="22"/>
  <c r="S403" i="22" s="1"/>
  <c r="K403" i="22" s="1"/>
  <c r="I404" i="22"/>
  <c r="H404" i="22" l="1"/>
  <c r="X403" i="22"/>
  <c r="Y403" i="22" s="1"/>
  <c r="AG403" i="22" l="1"/>
  <c r="F404" i="22" l="1"/>
  <c r="AK403" i="22"/>
  <c r="G404" i="22" s="1"/>
  <c r="T404" i="22" a="1"/>
  <c r="T404" i="22" l="1"/>
  <c r="U404" i="22" l="1"/>
  <c r="AE404" i="22" s="1"/>
  <c r="D405" i="22" s="1"/>
  <c r="Q404" i="22"/>
  <c r="AD404" i="22"/>
  <c r="C405" i="22" s="1"/>
  <c r="V404" i="22"/>
  <c r="AF404" i="22" s="1"/>
  <c r="E405" i="22" s="1"/>
  <c r="W404" i="22" a="1"/>
  <c r="W404" i="22" l="1"/>
  <c r="P404" i="22" a="1"/>
  <c r="P404" i="22" l="1"/>
  <c r="AC404" i="22"/>
  <c r="R404" i="22" l="1"/>
  <c r="S404" i="22" s="1"/>
  <c r="K404" i="22" s="1"/>
  <c r="I405" i="22"/>
  <c r="B405" i="22"/>
  <c r="X404" i="22" l="1"/>
  <c r="Y404" i="22" s="1"/>
  <c r="H405" i="22"/>
  <c r="AG404" i="22" l="1"/>
  <c r="F405" i="22" l="1"/>
  <c r="AK404" i="22"/>
  <c r="G405" i="22" s="1"/>
  <c r="T405" i="22" a="1"/>
  <c r="T405" i="22" l="1"/>
  <c r="Q405" i="22" l="1"/>
  <c r="U405" i="22"/>
  <c r="AE405" i="22" s="1"/>
  <c r="D406" i="22" s="1"/>
  <c r="V405" i="22"/>
  <c r="AF405" i="22" s="1"/>
  <c r="E406" i="22" s="1"/>
  <c r="AD405" i="22"/>
  <c r="C406" i="22" s="1"/>
  <c r="W405" i="22" a="1"/>
  <c r="W405" i="22" l="1"/>
  <c r="P405" i="22" a="1"/>
  <c r="P405" i="22" l="1"/>
  <c r="AC405" i="22"/>
  <c r="B406" i="22" l="1"/>
  <c r="R405" i="22"/>
  <c r="S405" i="22" s="1"/>
  <c r="K405" i="22" s="1"/>
  <c r="I406" i="22"/>
  <c r="X405" i="22" l="1"/>
  <c r="Y405" i="22" s="1"/>
  <c r="H406" i="22"/>
  <c r="AG405" i="22" l="1"/>
  <c r="F406" i="22" l="1"/>
  <c r="AK405" i="22"/>
  <c r="G406" i="22" s="1"/>
  <c r="T406" i="22" a="1"/>
  <c r="T406" i="22" l="1"/>
  <c r="Q406" i="22" l="1"/>
  <c r="U406" i="22"/>
  <c r="AE406" i="22" s="1"/>
  <c r="D407" i="22" s="1"/>
  <c r="V406" i="22"/>
  <c r="AF406" i="22" s="1"/>
  <c r="E407" i="22" s="1"/>
  <c r="AD406" i="22"/>
  <c r="C407" i="22" s="1"/>
  <c r="W406" i="22" a="1"/>
  <c r="W406" i="22" l="1"/>
  <c r="P406" i="22" a="1"/>
  <c r="P406" i="22" l="1"/>
  <c r="AC406" i="22"/>
  <c r="B407" i="22" l="1"/>
  <c r="R406" i="22"/>
  <c r="S406" i="22" s="1"/>
  <c r="K406" i="22" s="1"/>
  <c r="I407" i="22"/>
  <c r="H407" i="22" l="1"/>
  <c r="X406" i="22"/>
  <c r="Y406" i="22" s="1"/>
  <c r="AG406" i="22" l="1"/>
  <c r="F407" i="22" l="1"/>
  <c r="AK406" i="22"/>
  <c r="G407" i="22" s="1"/>
  <c r="T407" i="22" a="1"/>
  <c r="T407" i="22" l="1"/>
  <c r="Q407" i="22" l="1"/>
  <c r="V407" i="22"/>
  <c r="AF407" i="22" s="1"/>
  <c r="E408" i="22" s="1"/>
  <c r="AD407" i="22"/>
  <c r="C408" i="22" s="1"/>
  <c r="U407" i="22"/>
  <c r="AE407" i="22" s="1"/>
  <c r="D408" i="22" s="1"/>
  <c r="W407" i="22" a="1"/>
  <c r="W407" i="22" l="1"/>
  <c r="P407" i="22" a="1"/>
  <c r="P407" i="22" l="1"/>
  <c r="AC407" i="22"/>
  <c r="R407" i="22" l="1"/>
  <c r="S407" i="22" s="1"/>
  <c r="K407" i="22" s="1"/>
  <c r="I408" i="22"/>
  <c r="B408" i="22"/>
  <c r="H408" i="22" l="1"/>
  <c r="X407" i="22"/>
  <c r="Y407" i="22" s="1"/>
  <c r="AG407" i="22" l="1"/>
  <c r="F408" i="22" l="1"/>
  <c r="AK407" i="22"/>
  <c r="G408" i="22" s="1"/>
  <c r="T408" i="22" a="1"/>
  <c r="T408" i="22" l="1"/>
  <c r="Q408" i="22" l="1"/>
  <c r="V408" i="22"/>
  <c r="AF408" i="22" s="1"/>
  <c r="E409" i="22" s="1"/>
  <c r="U408" i="22"/>
  <c r="AE408" i="22" s="1"/>
  <c r="D409" i="22" s="1"/>
  <c r="AD408" i="22"/>
  <c r="C409" i="22" s="1"/>
  <c r="W408" i="22" a="1"/>
  <c r="W408" i="22" l="1"/>
  <c r="P408" i="22" a="1"/>
  <c r="P408" i="22" l="1"/>
  <c r="AC408" i="22"/>
  <c r="I409" i="22" l="1"/>
  <c r="R408" i="22"/>
  <c r="S408" i="22" s="1"/>
  <c r="K408" i="22" s="1"/>
  <c r="B409" i="22"/>
  <c r="H409" i="22" l="1"/>
  <c r="X408" i="22"/>
  <c r="Y408" i="22" s="1"/>
  <c r="AG408" i="22" l="1"/>
  <c r="F409" i="22" l="1"/>
  <c r="AK408" i="22"/>
  <c r="G409" i="22" s="1"/>
  <c r="T409" i="22" a="1"/>
  <c r="T409" i="22" l="1"/>
  <c r="Q409" i="22" l="1"/>
  <c r="V409" i="22"/>
  <c r="AF409" i="22" s="1"/>
  <c r="E410" i="22" s="1"/>
  <c r="U409" i="22"/>
  <c r="AE409" i="22" s="1"/>
  <c r="D410" i="22" s="1"/>
  <c r="AD409" i="22"/>
  <c r="C410" i="22" s="1"/>
  <c r="W409" i="22" a="1"/>
  <c r="W409" i="22" l="1"/>
  <c r="P409" i="22" a="1"/>
  <c r="P409" i="22" l="1"/>
  <c r="AC409" i="22"/>
  <c r="B410" i="22" l="1"/>
  <c r="R409" i="22"/>
  <c r="S409" i="22" s="1"/>
  <c r="K409" i="22" s="1"/>
  <c r="I410" i="22"/>
  <c r="X409" i="22" l="1"/>
  <c r="Y409" i="22" s="1"/>
  <c r="H410" i="22"/>
  <c r="AG409" i="22" l="1"/>
  <c r="F410" i="22" s="1"/>
  <c r="AK409" i="22" l="1"/>
  <c r="G410" i="22" s="1"/>
  <c r="T410" i="22" a="1"/>
  <c r="T410" i="22" l="1"/>
  <c r="U410" i="22" s="1"/>
  <c r="AE410" i="22" s="1"/>
  <c r="D411" i="22" s="1"/>
  <c r="Q410" i="22"/>
  <c r="AD410" i="22"/>
  <c r="C411" i="22" s="1"/>
  <c r="V410" i="22"/>
  <c r="AF410" i="22" s="1"/>
  <c r="E411" i="22" s="1"/>
  <c r="W410" i="22" a="1"/>
  <c r="W410" i="22" l="1"/>
  <c r="P410" i="22" a="1"/>
  <c r="P410" i="22" l="1"/>
  <c r="AC410" i="22"/>
  <c r="B411" i="22" l="1"/>
  <c r="I411" i="22"/>
  <c r="R410" i="22"/>
  <c r="S410" i="22" s="1"/>
  <c r="K410" i="22" s="1"/>
  <c r="X410" i="22" l="1"/>
  <c r="Y410" i="22" s="1"/>
  <c r="H411" i="22"/>
  <c r="AG410" i="22" l="1"/>
  <c r="F411" i="22" l="1"/>
  <c r="AK410" i="22"/>
  <c r="G411" i="22" s="1"/>
  <c r="T411" i="22" a="1"/>
  <c r="T411" i="22" l="1"/>
  <c r="Q411" i="22" l="1"/>
  <c r="U411" i="22"/>
  <c r="AE411" i="22" s="1"/>
  <c r="D412" i="22" s="1"/>
  <c r="AD411" i="22"/>
  <c r="C412" i="22" s="1"/>
  <c r="V411" i="22"/>
  <c r="AF411" i="22" s="1"/>
  <c r="E412" i="22" s="1"/>
  <c r="W411" i="22" a="1"/>
  <c r="W411" i="22" l="1"/>
  <c r="P411" i="22" a="1"/>
  <c r="P411" i="22" l="1"/>
  <c r="AC411" i="22"/>
  <c r="B412" i="22" l="1"/>
  <c r="I412" i="22"/>
  <c r="R411" i="22"/>
  <c r="S411" i="22" s="1"/>
  <c r="K411" i="22" s="1"/>
  <c r="X411" i="22" l="1"/>
  <c r="Y411" i="22" s="1"/>
  <c r="H412" i="22"/>
  <c r="AG411" i="22" l="1"/>
  <c r="F412" i="22" l="1"/>
  <c r="AK411" i="22"/>
  <c r="G412" i="22" s="1"/>
  <c r="T412" i="22" a="1"/>
  <c r="T412" i="22" l="1"/>
  <c r="Q412" i="22" l="1"/>
  <c r="V412" i="22"/>
  <c r="AF412" i="22" s="1"/>
  <c r="E413" i="22" s="1"/>
  <c r="U412" i="22"/>
  <c r="AE412" i="22" s="1"/>
  <c r="D413" i="22" s="1"/>
  <c r="AD412" i="22"/>
  <c r="C413" i="22" s="1"/>
  <c r="W412" i="22" a="1"/>
  <c r="W412" i="22" l="1"/>
  <c r="P412" i="22" a="1"/>
  <c r="P412" i="22" l="1"/>
  <c r="AC412" i="22"/>
  <c r="B413" i="22" l="1"/>
  <c r="I413" i="22"/>
  <c r="R412" i="22"/>
  <c r="S412" i="22" s="1"/>
  <c r="K412" i="22" s="1"/>
  <c r="X412" i="22" l="1"/>
  <c r="Y412" i="22" s="1"/>
  <c r="H413" i="22"/>
  <c r="AG412" i="22" l="1"/>
  <c r="F413" i="22" l="1"/>
  <c r="AK412" i="22"/>
  <c r="G413" i="22" s="1"/>
  <c r="T413" i="22" a="1"/>
  <c r="T413" i="22" l="1"/>
  <c r="Q413" i="22" l="1"/>
  <c r="AD413" i="22"/>
  <c r="C414" i="22" s="1"/>
  <c r="U413" i="22"/>
  <c r="AE413" i="22" s="1"/>
  <c r="D414" i="22" s="1"/>
  <c r="V413" i="22"/>
  <c r="AF413" i="22" s="1"/>
  <c r="E414" i="22" s="1"/>
  <c r="W413" i="22" a="1"/>
  <c r="W413" i="22" l="1"/>
  <c r="P413" i="22" a="1"/>
  <c r="P413" i="22" l="1"/>
  <c r="AC413" i="22"/>
  <c r="B414" i="22" l="1"/>
  <c r="I414" i="22"/>
  <c r="R413" i="22"/>
  <c r="S413" i="22" s="1"/>
  <c r="K413" i="22" s="1"/>
  <c r="X413" i="22" l="1"/>
  <c r="Y413" i="22" s="1"/>
  <c r="H414" i="22"/>
  <c r="AG413" i="22" l="1"/>
  <c r="F414" i="22" l="1"/>
  <c r="AK413" i="22"/>
  <c r="G414" i="22" s="1"/>
  <c r="T414" i="22" a="1"/>
  <c r="T414" i="22" l="1"/>
  <c r="Q414" i="22" l="1"/>
  <c r="V414" i="22"/>
  <c r="AF414" i="22" s="1"/>
  <c r="E415" i="22" s="1"/>
  <c r="U414" i="22"/>
  <c r="AE414" i="22" s="1"/>
  <c r="D415" i="22" s="1"/>
  <c r="AD414" i="22"/>
  <c r="C415" i="22" s="1"/>
  <c r="W414" i="22" a="1"/>
  <c r="W414" i="22" l="1"/>
  <c r="P414" i="22" a="1"/>
  <c r="P414" i="22" l="1"/>
  <c r="AC414" i="22"/>
  <c r="R414" i="22" l="1"/>
  <c r="S414" i="22" s="1"/>
  <c r="K414" i="22" s="1"/>
  <c r="I415" i="22"/>
  <c r="B415" i="22"/>
  <c r="H415" i="22" l="1"/>
  <c r="X414" i="22"/>
  <c r="Y414" i="22" s="1"/>
  <c r="AG414" i="22" l="1"/>
  <c r="F415" i="22" l="1"/>
  <c r="AK414" i="22"/>
  <c r="G415" i="22" s="1"/>
  <c r="T415" i="22" a="1"/>
  <c r="T415" i="22" l="1"/>
  <c r="Q415" i="22" l="1"/>
  <c r="V415" i="22"/>
  <c r="AF415" i="22" s="1"/>
  <c r="E416" i="22" s="1"/>
  <c r="AD415" i="22"/>
  <c r="C416" i="22" s="1"/>
  <c r="U415" i="22"/>
  <c r="AE415" i="22" s="1"/>
  <c r="D416" i="22" s="1"/>
  <c r="W415" i="22" a="1"/>
  <c r="W415" i="22" l="1"/>
  <c r="P415" i="22" a="1"/>
  <c r="P415" i="22" l="1"/>
  <c r="AC415" i="22"/>
  <c r="I416" i="22" l="1"/>
  <c r="R415" i="22"/>
  <c r="S415" i="22" s="1"/>
  <c r="K415" i="22" s="1"/>
  <c r="B416" i="22"/>
  <c r="X415" i="22" l="1"/>
  <c r="Y415" i="22" s="1"/>
  <c r="H416" i="22"/>
  <c r="AG415" i="22" l="1"/>
  <c r="F416" i="22" l="1"/>
  <c r="AK415" i="22"/>
  <c r="G416" i="22" s="1"/>
  <c r="T416" i="22" a="1"/>
  <c r="T416" i="22" l="1"/>
  <c r="Q416" i="22" l="1"/>
  <c r="U416" i="22"/>
  <c r="AE416" i="22" s="1"/>
  <c r="D417" i="22" s="1"/>
  <c r="V416" i="22"/>
  <c r="AF416" i="22" s="1"/>
  <c r="E417" i="22" s="1"/>
  <c r="AD416" i="22"/>
  <c r="C417" i="22" s="1"/>
  <c r="W416" i="22" a="1"/>
  <c r="W416" i="22" l="1"/>
  <c r="P416" i="22" a="1"/>
  <c r="P416" i="22" l="1"/>
  <c r="AC416" i="22"/>
  <c r="B417" i="22" l="1"/>
  <c r="R416" i="22"/>
  <c r="S416" i="22" s="1"/>
  <c r="K416" i="22" s="1"/>
  <c r="I417" i="22"/>
  <c r="H417" i="22" l="1"/>
  <c r="X416" i="22"/>
  <c r="Y416" i="22" s="1"/>
  <c r="AG416" i="22" l="1"/>
  <c r="F417" i="22" l="1"/>
  <c r="AK416" i="22"/>
  <c r="G417" i="22" s="1"/>
  <c r="T417" i="22" a="1"/>
  <c r="T417" i="22" l="1"/>
  <c r="Q417" i="22" l="1"/>
  <c r="V417" i="22"/>
  <c r="AF417" i="22" s="1"/>
  <c r="E418" i="22" s="1"/>
  <c r="AD417" i="22"/>
  <c r="C418" i="22" s="1"/>
  <c r="U417" i="22"/>
  <c r="AE417" i="22" s="1"/>
  <c r="D418" i="22" s="1"/>
  <c r="W417" i="22" a="1"/>
  <c r="W417" i="22" l="1"/>
  <c r="P417" i="22" a="1"/>
  <c r="P417" i="22" l="1"/>
  <c r="AC417" i="22"/>
  <c r="B418" i="22" l="1"/>
  <c r="I418" i="22"/>
  <c r="R417" i="22"/>
  <c r="S417" i="22" s="1"/>
  <c r="K417" i="22" s="1"/>
  <c r="X417" i="22" l="1"/>
  <c r="Y417" i="22" s="1"/>
  <c r="H418" i="22"/>
  <c r="AG417" i="22" l="1"/>
  <c r="F418" i="22" l="1"/>
  <c r="AK417" i="22"/>
  <c r="G418" i="22" s="1"/>
  <c r="T418" i="22" a="1"/>
  <c r="T418" i="22" l="1"/>
  <c r="Q418" i="22" l="1"/>
  <c r="AD418" i="22"/>
  <c r="C419" i="22" s="1"/>
  <c r="V418" i="22"/>
  <c r="AF418" i="22" s="1"/>
  <c r="E419" i="22" s="1"/>
  <c r="U418" i="22"/>
  <c r="AE418" i="22" s="1"/>
  <c r="D419" i="22" s="1"/>
  <c r="W418" i="22" a="1"/>
  <c r="W418" i="22" l="1"/>
  <c r="P418" i="22" a="1"/>
  <c r="P418" i="22" l="1"/>
  <c r="AC418" i="22"/>
  <c r="I419" i="22" l="1"/>
  <c r="R418" i="22"/>
  <c r="S418" i="22" s="1"/>
  <c r="K418" i="22" s="1"/>
  <c r="B419" i="22"/>
  <c r="X418" i="22" l="1"/>
  <c r="Y418" i="22" s="1"/>
  <c r="H419" i="22"/>
  <c r="AG418" i="22" l="1"/>
  <c r="F419" i="22" l="1"/>
  <c r="AK418" i="22"/>
  <c r="G419" i="22" s="1"/>
  <c r="T419" i="22" a="1"/>
  <c r="T419" i="22" l="1"/>
  <c r="Q419" i="22" l="1"/>
  <c r="U419" i="22"/>
  <c r="AE419" i="22" s="1"/>
  <c r="D420" i="22" s="1"/>
  <c r="AD419" i="22"/>
  <c r="C420" i="22" s="1"/>
  <c r="V419" i="22"/>
  <c r="AF419" i="22" s="1"/>
  <c r="E420" i="22" s="1"/>
  <c r="W419" i="22" a="1"/>
  <c r="W419" i="22" l="1"/>
  <c r="P419" i="22" a="1"/>
  <c r="P419" i="22" l="1"/>
  <c r="AC419" i="22"/>
  <c r="B420" i="22" l="1"/>
  <c r="R419" i="22"/>
  <c r="S419" i="22" s="1"/>
  <c r="K419" i="22" s="1"/>
  <c r="I420" i="22"/>
  <c r="H420" i="22" l="1"/>
  <c r="X419" i="22"/>
  <c r="Y419" i="22" s="1"/>
  <c r="AG419" i="22" l="1"/>
  <c r="F420" i="22" l="1"/>
  <c r="AK419" i="22"/>
  <c r="G420" i="22" s="1"/>
  <c r="T420" i="22" a="1"/>
  <c r="T420" i="22" l="1"/>
  <c r="Q420" i="22" l="1"/>
  <c r="U420" i="22"/>
  <c r="AE420" i="22" s="1"/>
  <c r="D421" i="22" s="1"/>
  <c r="V420" i="22"/>
  <c r="AF420" i="22" s="1"/>
  <c r="E421" i="22" s="1"/>
  <c r="AD420" i="22"/>
  <c r="C421" i="22" s="1"/>
  <c r="W420" i="22" a="1"/>
  <c r="W420" i="22" l="1"/>
  <c r="P420" i="22" a="1"/>
  <c r="P420" i="22" l="1"/>
  <c r="AC420" i="22"/>
  <c r="B421" i="22" l="1"/>
  <c r="I421" i="22"/>
  <c r="R420" i="22"/>
  <c r="S420" i="22" s="1"/>
  <c r="K420" i="22" s="1"/>
  <c r="H421" i="22" l="1"/>
  <c r="X420" i="22"/>
  <c r="Y420" i="22" s="1"/>
  <c r="AG420" i="22" l="1"/>
  <c r="F421" i="22" l="1"/>
  <c r="AK420" i="22"/>
  <c r="G421" i="22" s="1"/>
  <c r="T421" i="22" a="1"/>
  <c r="T421" i="22" l="1"/>
  <c r="Q421" i="22" l="1"/>
  <c r="U421" i="22"/>
  <c r="AE421" i="22" s="1"/>
  <c r="D422" i="22" s="1"/>
  <c r="AD421" i="22"/>
  <c r="C422" i="22" s="1"/>
  <c r="V421" i="22"/>
  <c r="AF421" i="22" s="1"/>
  <c r="E422" i="22" s="1"/>
  <c r="W421" i="22" a="1"/>
  <c r="W421" i="22" l="1"/>
  <c r="P421" i="22" a="1"/>
  <c r="P421" i="22" l="1"/>
  <c r="AC421" i="22"/>
  <c r="B422" i="22" l="1"/>
  <c r="R421" i="22"/>
  <c r="S421" i="22" s="1"/>
  <c r="K421" i="22" s="1"/>
  <c r="I422" i="22"/>
  <c r="H422" i="22" l="1"/>
  <c r="X421" i="22"/>
  <c r="Y421" i="22" s="1"/>
  <c r="AG421" i="22" l="1"/>
  <c r="F422" i="22" l="1"/>
  <c r="AK421" i="22"/>
  <c r="G422" i="22" s="1"/>
  <c r="T422" i="22" a="1"/>
  <c r="T422" i="22" l="1"/>
  <c r="Q422" i="22" l="1"/>
  <c r="AD422" i="22"/>
  <c r="C423" i="22" s="1"/>
  <c r="V422" i="22"/>
  <c r="AF422" i="22" s="1"/>
  <c r="E423" i="22" s="1"/>
  <c r="U422" i="22"/>
  <c r="AE422" i="22" s="1"/>
  <c r="D423" i="22" s="1"/>
  <c r="W422" i="22" a="1"/>
  <c r="W422" i="22" l="1"/>
  <c r="P422" i="22" a="1"/>
  <c r="P422" i="22" l="1"/>
  <c r="AC422" i="22"/>
  <c r="I423" i="22" l="1"/>
  <c r="R422" i="22"/>
  <c r="S422" i="22" s="1"/>
  <c r="K422" i="22" s="1"/>
  <c r="B423" i="22"/>
  <c r="H423" i="22" l="1"/>
  <c r="X422" i="22"/>
  <c r="Y422" i="22" s="1"/>
  <c r="AG422" i="22" l="1"/>
  <c r="F423" i="22" l="1"/>
  <c r="AK422" i="22"/>
  <c r="G423" i="22" s="1"/>
  <c r="T423" i="22" a="1"/>
  <c r="T423" i="22" l="1"/>
  <c r="Q423" i="22" l="1"/>
  <c r="U423" i="22"/>
  <c r="AE423" i="22" s="1"/>
  <c r="D424" i="22" s="1"/>
  <c r="V423" i="22"/>
  <c r="AF423" i="22" s="1"/>
  <c r="E424" i="22" s="1"/>
  <c r="AD423" i="22"/>
  <c r="C424" i="22" s="1"/>
  <c r="W423" i="22" a="1"/>
  <c r="W423" i="22" l="1"/>
  <c r="P423" i="22" a="1"/>
  <c r="P423" i="22" l="1"/>
  <c r="AC423" i="22"/>
  <c r="R423" i="22" l="1"/>
  <c r="S423" i="22" s="1"/>
  <c r="K423" i="22" s="1"/>
  <c r="I424" i="22"/>
  <c r="B424" i="22"/>
  <c r="X423" i="22" l="1"/>
  <c r="Y423" i="22" s="1"/>
  <c r="H424" i="22"/>
  <c r="AG423" i="22" l="1"/>
  <c r="F424" i="22" l="1"/>
  <c r="AK423" i="22"/>
  <c r="G424" i="22" s="1"/>
  <c r="T424" i="22" a="1"/>
  <c r="T424" i="22" l="1"/>
  <c r="Q424" i="22" l="1"/>
  <c r="AD424" i="22"/>
  <c r="C425" i="22" s="1"/>
  <c r="U424" i="22"/>
  <c r="AE424" i="22" s="1"/>
  <c r="D425" i="22" s="1"/>
  <c r="V424" i="22"/>
  <c r="AF424" i="22" s="1"/>
  <c r="E425" i="22" s="1"/>
  <c r="W424" i="22" a="1"/>
  <c r="W424" i="22" l="1"/>
  <c r="P424" i="22" a="1"/>
  <c r="P424" i="22" l="1"/>
  <c r="AC424" i="22"/>
  <c r="I425" i="22" l="1"/>
  <c r="R424" i="22"/>
  <c r="S424" i="22" s="1"/>
  <c r="K424" i="22" s="1"/>
  <c r="B425" i="22"/>
  <c r="X424" i="22" l="1"/>
  <c r="Y424" i="22" s="1"/>
  <c r="H425" i="22"/>
  <c r="AG424" i="22" l="1"/>
  <c r="F425" i="22" l="1"/>
  <c r="AK424" i="22"/>
  <c r="G425" i="22" s="1"/>
  <c r="T425" i="22" a="1"/>
  <c r="T425" i="22" l="1"/>
  <c r="Q425" i="22" l="1"/>
  <c r="U425" i="22"/>
  <c r="AE425" i="22" s="1"/>
  <c r="D426" i="22" s="1"/>
  <c r="AD425" i="22"/>
  <c r="C426" i="22" s="1"/>
  <c r="V425" i="22"/>
  <c r="AF425" i="22" s="1"/>
  <c r="E426" i="22" s="1"/>
  <c r="W425" i="22" a="1"/>
  <c r="W425" i="22" l="1"/>
  <c r="P425" i="22" a="1"/>
  <c r="P425" i="22" l="1"/>
  <c r="AC425" i="22"/>
  <c r="B426" i="22" l="1"/>
  <c r="I426" i="22"/>
  <c r="R425" i="22"/>
  <c r="S425" i="22" s="1"/>
  <c r="K425" i="22" s="1"/>
  <c r="H426" i="22" l="1"/>
  <c r="X425" i="22"/>
  <c r="Y425" i="22" s="1"/>
  <c r="AG425" i="22" l="1"/>
  <c r="F426" i="22" l="1"/>
  <c r="AK425" i="22"/>
  <c r="G426" i="22" s="1"/>
  <c r="T426" i="22" a="1"/>
  <c r="T426" i="22" l="1"/>
  <c r="V426" i="22" l="1"/>
  <c r="AF426" i="22" s="1"/>
  <c r="E427" i="22" s="1"/>
  <c r="Q426" i="22"/>
  <c r="U426" i="22"/>
  <c r="AE426" i="22" s="1"/>
  <c r="D427" i="22" s="1"/>
  <c r="AD426" i="22"/>
  <c r="C427" i="22" s="1"/>
  <c r="W426" i="22" a="1"/>
  <c r="W426" i="22" l="1"/>
  <c r="P426" i="22" a="1"/>
  <c r="P426" i="22" l="1"/>
  <c r="AC426" i="22"/>
  <c r="B427" i="22" l="1"/>
  <c r="I427" i="22"/>
  <c r="R426" i="22"/>
  <c r="S426" i="22" s="1"/>
  <c r="K426" i="22" s="1"/>
  <c r="H427" i="22" l="1"/>
  <c r="X426" i="22"/>
  <c r="Y426" i="22" s="1"/>
  <c r="AG426" i="22" l="1"/>
  <c r="F427" i="22" l="1"/>
  <c r="AK426" i="22"/>
  <c r="G427" i="22" s="1"/>
  <c r="T427" i="22" a="1"/>
  <c r="T427" i="22" l="1"/>
  <c r="Q427" i="22" l="1"/>
  <c r="U427" i="22"/>
  <c r="AE427" i="22" s="1"/>
  <c r="D428" i="22" s="1"/>
  <c r="V427" i="22"/>
  <c r="AF427" i="22" s="1"/>
  <c r="E428" i="22" s="1"/>
  <c r="AD427" i="22"/>
  <c r="C428" i="22" s="1"/>
  <c r="W427" i="22" a="1"/>
  <c r="W427" i="22" l="1"/>
  <c r="P427" i="22" a="1"/>
  <c r="P427" i="22" l="1"/>
  <c r="AC427" i="22"/>
  <c r="I428" i="22" l="1"/>
  <c r="R427" i="22"/>
  <c r="S427" i="22" s="1"/>
  <c r="K427" i="22" s="1"/>
  <c r="B428" i="22"/>
  <c r="H428" i="22" l="1"/>
  <c r="X427" i="22"/>
  <c r="Y427" i="22" s="1"/>
  <c r="AG427" i="22" l="1"/>
  <c r="F428" i="22" l="1"/>
  <c r="AK427" i="22"/>
  <c r="G428" i="22" s="1"/>
  <c r="T428" i="22" a="1"/>
  <c r="T428" i="22" l="1"/>
  <c r="Q428" i="22" l="1"/>
  <c r="U428" i="22"/>
  <c r="AE428" i="22" s="1"/>
  <c r="D429" i="22" s="1"/>
  <c r="AD428" i="22"/>
  <c r="C429" i="22" s="1"/>
  <c r="V428" i="22"/>
  <c r="AF428" i="22" s="1"/>
  <c r="E429" i="22" s="1"/>
  <c r="W428" i="22" a="1"/>
  <c r="W428" i="22" l="1"/>
  <c r="P428" i="22" a="1"/>
  <c r="P428" i="22" l="1"/>
  <c r="AC428" i="22"/>
  <c r="I429" i="22" l="1"/>
  <c r="R428" i="22"/>
  <c r="S428" i="22" s="1"/>
  <c r="K428" i="22" s="1"/>
  <c r="B429" i="22"/>
  <c r="X428" i="22" l="1"/>
  <c r="Y428" i="22" s="1"/>
  <c r="H429" i="22"/>
  <c r="AG428" i="22" l="1"/>
  <c r="F429" i="22" l="1"/>
  <c r="AK428" i="22"/>
  <c r="G429" i="22" s="1"/>
  <c r="T429" i="22" a="1"/>
  <c r="T429" i="22" l="1"/>
  <c r="Q429" i="22" l="1"/>
  <c r="U429" i="22"/>
  <c r="AE429" i="22" s="1"/>
  <c r="D430" i="22" s="1"/>
  <c r="V429" i="22"/>
  <c r="AF429" i="22" s="1"/>
  <c r="E430" i="22" s="1"/>
  <c r="AD429" i="22"/>
  <c r="C430" i="22" s="1"/>
  <c r="W429" i="22" a="1"/>
  <c r="W429" i="22" l="1"/>
  <c r="P429" i="22" a="1"/>
  <c r="P429" i="22" l="1"/>
  <c r="AC429" i="22"/>
  <c r="B430" i="22" l="1"/>
  <c r="R429" i="22"/>
  <c r="S429" i="22" s="1"/>
  <c r="K429" i="22" s="1"/>
  <c r="I430" i="22"/>
  <c r="X429" i="22" l="1"/>
  <c r="Y429" i="22" s="1"/>
  <c r="H430" i="22"/>
  <c r="AG429" i="22" l="1"/>
  <c r="F430" i="22" l="1"/>
  <c r="AK429" i="22"/>
  <c r="G430" i="22" s="1"/>
  <c r="T430" i="22" a="1"/>
  <c r="T430" i="22" l="1"/>
  <c r="Q430" i="22" l="1"/>
  <c r="V430" i="22"/>
  <c r="AF430" i="22" s="1"/>
  <c r="E431" i="22" s="1"/>
  <c r="AD430" i="22"/>
  <c r="C431" i="22" s="1"/>
  <c r="U430" i="22"/>
  <c r="AE430" i="22" s="1"/>
  <c r="D431" i="22" s="1"/>
  <c r="W430" i="22" a="1"/>
  <c r="W430" i="22" l="1"/>
  <c r="P430" i="22" a="1"/>
  <c r="P430" i="22" l="1"/>
  <c r="AC430" i="22"/>
  <c r="R430" i="22" l="1"/>
  <c r="S430" i="22" s="1"/>
  <c r="K430" i="22" s="1"/>
  <c r="I431" i="22"/>
  <c r="B431" i="22"/>
  <c r="X430" i="22" l="1"/>
  <c r="Y430" i="22" s="1"/>
  <c r="H431" i="22"/>
  <c r="AG430" i="22" l="1"/>
  <c r="F431" i="22" l="1"/>
  <c r="AK430" i="22"/>
  <c r="G431" i="22" s="1"/>
  <c r="T431" i="22" a="1"/>
  <c r="T431" i="22" l="1"/>
  <c r="Q431" i="22" l="1"/>
  <c r="AD431" i="22"/>
  <c r="C432" i="22" s="1"/>
  <c r="U431" i="22"/>
  <c r="AE431" i="22" s="1"/>
  <c r="D432" i="22" s="1"/>
  <c r="V431" i="22"/>
  <c r="AF431" i="22" s="1"/>
  <c r="E432" i="22" s="1"/>
  <c r="W431" i="22" a="1"/>
  <c r="W431" i="22" l="1"/>
  <c r="P431" i="22" a="1"/>
  <c r="P431" i="22" l="1"/>
  <c r="AC431" i="22"/>
  <c r="B432" i="22" l="1"/>
  <c r="R431" i="22"/>
  <c r="S431" i="22" s="1"/>
  <c r="K431" i="22" s="1"/>
  <c r="I432" i="22"/>
  <c r="H432" i="22" l="1"/>
  <c r="X431" i="22"/>
  <c r="Y431" i="22" s="1"/>
  <c r="AG431" i="22" l="1"/>
  <c r="F432" i="22" l="1"/>
  <c r="AK431" i="22"/>
  <c r="G432" i="22" s="1"/>
  <c r="T432" i="22" a="1"/>
  <c r="T432" i="22" l="1"/>
  <c r="Q432" i="22" l="1"/>
  <c r="V432" i="22"/>
  <c r="AF432" i="22" s="1"/>
  <c r="E433" i="22" s="1"/>
  <c r="AD432" i="22"/>
  <c r="C433" i="22" s="1"/>
  <c r="U432" i="22"/>
  <c r="AE432" i="22" s="1"/>
  <c r="D433" i="22" s="1"/>
  <c r="W432" i="22" a="1"/>
  <c r="W432" i="22" l="1"/>
  <c r="P432" i="22" a="1"/>
  <c r="P432" i="22" l="1"/>
  <c r="AC432" i="22"/>
  <c r="B433" i="22" l="1"/>
  <c r="R432" i="22"/>
  <c r="S432" i="22" s="1"/>
  <c r="K432" i="22" s="1"/>
  <c r="I433" i="22"/>
  <c r="X432" i="22" l="1"/>
  <c r="Y432" i="22" s="1"/>
  <c r="H433" i="22"/>
  <c r="AG432" i="22" l="1"/>
  <c r="F433" i="22" l="1"/>
  <c r="AK432" i="22"/>
  <c r="G433" i="22" s="1"/>
  <c r="T433" i="22" a="1"/>
  <c r="T433" i="22" l="1"/>
  <c r="Q433" i="22" l="1"/>
  <c r="U433" i="22"/>
  <c r="AE433" i="22" s="1"/>
  <c r="D434" i="22" s="1"/>
  <c r="V433" i="22"/>
  <c r="AF433" i="22" s="1"/>
  <c r="E434" i="22" s="1"/>
  <c r="AD433" i="22"/>
  <c r="C434" i="22" s="1"/>
  <c r="W433" i="22" a="1"/>
  <c r="W433" i="22" l="1"/>
  <c r="P433" i="22" a="1"/>
  <c r="P433" i="22" l="1"/>
  <c r="AC433" i="22"/>
  <c r="R433" i="22" l="1"/>
  <c r="S433" i="22" s="1"/>
  <c r="K433" i="22" s="1"/>
  <c r="I434" i="22"/>
  <c r="B434" i="22"/>
  <c r="X433" i="22" l="1"/>
  <c r="Y433" i="22" s="1"/>
  <c r="H434" i="22"/>
  <c r="AG433" i="22" l="1"/>
  <c r="F434" i="22" l="1"/>
  <c r="AK433" i="22"/>
  <c r="G434" i="22" s="1"/>
  <c r="T434" i="22" a="1"/>
  <c r="T434" i="22" l="1"/>
  <c r="Q434" i="22" l="1"/>
  <c r="U434" i="22"/>
  <c r="AE434" i="22" s="1"/>
  <c r="D435" i="22" s="1"/>
  <c r="AD434" i="22"/>
  <c r="C435" i="22" s="1"/>
  <c r="V434" i="22"/>
  <c r="AF434" i="22" s="1"/>
  <c r="E435" i="22" s="1"/>
  <c r="W434" i="22" a="1"/>
  <c r="W434" i="22" l="1"/>
  <c r="P434" i="22" a="1"/>
  <c r="P434" i="22" l="1"/>
  <c r="AC434" i="22"/>
  <c r="B435" i="22" l="1"/>
  <c r="R434" i="22"/>
  <c r="S434" i="22" s="1"/>
  <c r="K434" i="22" s="1"/>
  <c r="I435" i="22"/>
  <c r="H435" i="22" l="1"/>
  <c r="X434" i="22"/>
  <c r="Y434" i="22" s="1"/>
  <c r="AG434" i="22" l="1"/>
  <c r="F435" i="22" l="1"/>
  <c r="AK434" i="22"/>
  <c r="G435" i="22" s="1"/>
  <c r="T435" i="22" a="1"/>
  <c r="T435" i="22" l="1"/>
  <c r="Q435" i="22" l="1"/>
  <c r="U435" i="22"/>
  <c r="AE435" i="22" s="1"/>
  <c r="D436" i="22" s="1"/>
  <c r="AD435" i="22"/>
  <c r="C436" i="22" s="1"/>
  <c r="V435" i="22"/>
  <c r="AF435" i="22" s="1"/>
  <c r="E436" i="22" s="1"/>
  <c r="W435" i="22" a="1"/>
  <c r="W435" i="22" l="1"/>
  <c r="P435" i="22" a="1"/>
  <c r="P435" i="22" l="1"/>
  <c r="AC435" i="22"/>
  <c r="R435" i="22" l="1"/>
  <c r="S435" i="22" s="1"/>
  <c r="K435" i="22" s="1"/>
  <c r="I436" i="22"/>
  <c r="B436" i="22"/>
  <c r="X435" i="22" l="1"/>
  <c r="Y435" i="22" s="1"/>
  <c r="H436" i="22"/>
  <c r="AG435" i="22" l="1"/>
  <c r="F436" i="22" l="1"/>
  <c r="AK435" i="22"/>
  <c r="G436" i="22" s="1"/>
  <c r="T436" i="22" a="1"/>
  <c r="T436" i="22" l="1"/>
  <c r="Q436" i="22" l="1"/>
  <c r="U436" i="22"/>
  <c r="AE436" i="22" s="1"/>
  <c r="D437" i="22" s="1"/>
  <c r="V436" i="22"/>
  <c r="AF436" i="22" s="1"/>
  <c r="E437" i="22" s="1"/>
  <c r="AD436" i="22"/>
  <c r="C437" i="22" s="1"/>
  <c r="W436" i="22" a="1"/>
  <c r="W436" i="22" l="1"/>
  <c r="P436" i="22" a="1"/>
  <c r="P436" i="22" l="1"/>
  <c r="AC436" i="22"/>
  <c r="B437" i="22" l="1"/>
  <c r="R436" i="22"/>
  <c r="S436" i="22" s="1"/>
  <c r="K436" i="22" s="1"/>
  <c r="I437" i="22"/>
  <c r="X436" i="22" l="1"/>
  <c r="Y436" i="22" s="1"/>
  <c r="H437" i="22"/>
  <c r="AG436" i="22" l="1"/>
  <c r="F437" i="22" l="1"/>
  <c r="AK436" i="22"/>
  <c r="G437" i="22" s="1"/>
  <c r="T437" i="22" a="1"/>
  <c r="T437" i="22" l="1"/>
  <c r="Q437" i="22" l="1"/>
  <c r="V437" i="22"/>
  <c r="AF437" i="22" s="1"/>
  <c r="E438" i="22" s="1"/>
  <c r="AD437" i="22"/>
  <c r="C438" i="22" s="1"/>
  <c r="U437" i="22"/>
  <c r="AE437" i="22" s="1"/>
  <c r="D438" i="22" s="1"/>
  <c r="W437" i="22" a="1"/>
  <c r="W437" i="22" l="1"/>
  <c r="P437" i="22" a="1"/>
  <c r="P437" i="22" l="1"/>
  <c r="AC437" i="22"/>
  <c r="B438" i="22" l="1"/>
  <c r="R437" i="22"/>
  <c r="S437" i="22" s="1"/>
  <c r="K437" i="22" s="1"/>
  <c r="I438" i="22"/>
  <c r="X437" i="22" l="1"/>
  <c r="Y437" i="22" s="1"/>
  <c r="H438" i="22"/>
  <c r="AG437" i="22" l="1"/>
  <c r="F438" i="22" l="1"/>
  <c r="AK437" i="22"/>
  <c r="G438" i="22" s="1"/>
  <c r="T438" i="22" a="1"/>
  <c r="T438" i="22" l="1"/>
  <c r="Q438" i="22" l="1"/>
  <c r="U438" i="22"/>
  <c r="AE438" i="22" s="1"/>
  <c r="D439" i="22" s="1"/>
  <c r="V438" i="22"/>
  <c r="AF438" i="22" s="1"/>
  <c r="E439" i="22" s="1"/>
  <c r="AD438" i="22"/>
  <c r="C439" i="22" s="1"/>
  <c r="W438" i="22" a="1"/>
  <c r="W438" i="22" l="1"/>
  <c r="P438" i="22" a="1"/>
  <c r="P438" i="22" l="1"/>
  <c r="AC438" i="22"/>
  <c r="R438" i="22" l="1"/>
  <c r="S438" i="22" s="1"/>
  <c r="K438" i="22" s="1"/>
  <c r="I439" i="22"/>
  <c r="B439" i="22"/>
  <c r="X438" i="22" l="1"/>
  <c r="Y438" i="22" s="1"/>
  <c r="H439" i="22"/>
  <c r="AG438" i="22" l="1"/>
  <c r="F439" i="22" l="1"/>
  <c r="AK438" i="22"/>
  <c r="G439" i="22" s="1"/>
  <c r="T439" i="22" a="1"/>
  <c r="T439" i="22" l="1"/>
  <c r="Q439" i="22" l="1"/>
  <c r="AD439" i="22"/>
  <c r="C440" i="22" s="1"/>
  <c r="U439" i="22"/>
  <c r="AE439" i="22" s="1"/>
  <c r="D440" i="22" s="1"/>
  <c r="V439" i="22"/>
  <c r="AF439" i="22" s="1"/>
  <c r="E440" i="22" s="1"/>
  <c r="W439" i="22" a="1"/>
  <c r="W439" i="22" l="1"/>
  <c r="P439" i="22" a="1"/>
  <c r="P439" i="22" l="1"/>
  <c r="AC439" i="22"/>
  <c r="R439" i="22" l="1"/>
  <c r="S439" i="22" s="1"/>
  <c r="K439" i="22" s="1"/>
  <c r="I440" i="22"/>
  <c r="B440" i="22"/>
  <c r="X439" i="22" l="1"/>
  <c r="Y439" i="22" s="1"/>
  <c r="H440" i="22"/>
  <c r="AG439" i="22" l="1"/>
  <c r="F440" i="22" l="1"/>
  <c r="AK439" i="22"/>
  <c r="G440" i="22" s="1"/>
  <c r="T440" i="22" a="1"/>
  <c r="T440" i="22" l="1"/>
  <c r="Q440" i="22" l="1"/>
  <c r="AD440" i="22"/>
  <c r="C441" i="22" s="1"/>
  <c r="U440" i="22"/>
  <c r="AE440" i="22" s="1"/>
  <c r="D441" i="22" s="1"/>
  <c r="V440" i="22"/>
  <c r="AF440" i="22" s="1"/>
  <c r="E441" i="22" s="1"/>
  <c r="W440" i="22" a="1"/>
  <c r="W440" i="22" l="1"/>
  <c r="P440" i="22" a="1"/>
  <c r="P440" i="22" l="1"/>
  <c r="AC440" i="22"/>
  <c r="I441" i="22" l="1"/>
  <c r="R440" i="22"/>
  <c r="S440" i="22" s="1"/>
  <c r="K440" i="22" s="1"/>
  <c r="B441" i="22"/>
  <c r="H441" i="22" l="1"/>
  <c r="X440" i="22"/>
  <c r="Y440" i="22" s="1"/>
  <c r="AG440" i="22" l="1"/>
  <c r="F441" i="22" l="1"/>
  <c r="AK440" i="22"/>
  <c r="G441" i="22" s="1"/>
  <c r="T441" i="22" a="1"/>
  <c r="T441" i="22" l="1"/>
  <c r="Q441" i="22" l="1"/>
  <c r="AD441" i="22"/>
  <c r="C442" i="22" s="1"/>
  <c r="U441" i="22"/>
  <c r="AE441" i="22" s="1"/>
  <c r="D442" i="22" s="1"/>
  <c r="V441" i="22"/>
  <c r="AF441" i="22" s="1"/>
  <c r="E442" i="22" s="1"/>
  <c r="W441" i="22" a="1"/>
  <c r="W441" i="22" l="1"/>
  <c r="P441" i="22" a="1"/>
  <c r="P441" i="22" l="1"/>
  <c r="AC441" i="22"/>
  <c r="B442" i="22" l="1"/>
  <c r="R441" i="22"/>
  <c r="S441" i="22" s="1"/>
  <c r="K441" i="22" s="1"/>
  <c r="I442" i="22"/>
  <c r="H442" i="22" l="1"/>
  <c r="X441" i="22"/>
  <c r="Y441" i="22" s="1"/>
  <c r="AG441" i="22" l="1"/>
  <c r="F442" i="22" l="1"/>
  <c r="AK441" i="22"/>
  <c r="G442" i="22" s="1"/>
  <c r="T442" i="22" a="1"/>
  <c r="T442" i="22" l="1"/>
  <c r="Q442" i="22" l="1"/>
  <c r="V442" i="22"/>
  <c r="AF442" i="22" s="1"/>
  <c r="E443" i="22" s="1"/>
  <c r="U442" i="22"/>
  <c r="AE442" i="22" s="1"/>
  <c r="D443" i="22" s="1"/>
  <c r="AD442" i="22"/>
  <c r="C443" i="22" s="1"/>
  <c r="W442" i="22" a="1"/>
  <c r="W442" i="22" l="1"/>
  <c r="P442" i="22" a="1"/>
  <c r="P442" i="22" l="1"/>
  <c r="AC442" i="22"/>
  <c r="R442" i="22" l="1"/>
  <c r="S442" i="22" s="1"/>
  <c r="K442" i="22" s="1"/>
  <c r="I443" i="22"/>
  <c r="B443" i="22"/>
  <c r="X442" i="22" l="1"/>
  <c r="Y442" i="22" s="1"/>
  <c r="H443" i="22"/>
  <c r="AG442" i="22" l="1"/>
  <c r="F443" i="22" l="1"/>
  <c r="AK442" i="22"/>
  <c r="G443" i="22" s="1"/>
  <c r="T443" i="22" a="1"/>
  <c r="T443" i="22" l="1"/>
  <c r="V443" i="22" l="1"/>
  <c r="AF443" i="22" s="1"/>
  <c r="E444" i="22" s="1"/>
  <c r="Q443" i="22"/>
  <c r="AD443" i="22"/>
  <c r="C444" i="22" s="1"/>
  <c r="U443" i="22"/>
  <c r="AE443" i="22" s="1"/>
  <c r="D444" i="22" s="1"/>
  <c r="W443" i="22" a="1"/>
  <c r="W443" i="22" l="1"/>
  <c r="P443" i="22" a="1"/>
  <c r="P443" i="22" l="1"/>
  <c r="AC443" i="22"/>
  <c r="B444" i="22" l="1"/>
  <c r="I444" i="22"/>
  <c r="R443" i="22"/>
  <c r="S443" i="22" s="1"/>
  <c r="K443" i="22" s="1"/>
  <c r="H444" i="22" l="1"/>
  <c r="X443" i="22"/>
  <c r="Y443" i="22" s="1"/>
  <c r="AG443" i="22" l="1"/>
  <c r="F444" i="22" l="1"/>
  <c r="AK443" i="22"/>
  <c r="G444" i="22" s="1"/>
  <c r="T444" i="22" a="1"/>
  <c r="T444" i="22" l="1"/>
  <c r="V444" i="22" l="1"/>
  <c r="AF444" i="22" s="1"/>
  <c r="E445" i="22" s="1"/>
  <c r="Q444" i="22"/>
  <c r="AD444" i="22"/>
  <c r="C445" i="22" s="1"/>
  <c r="U444" i="22"/>
  <c r="AE444" i="22" s="1"/>
  <c r="D445" i="22" s="1"/>
  <c r="W444" i="22" a="1"/>
  <c r="W444" i="22" l="1"/>
  <c r="P444" i="22" a="1"/>
  <c r="P444" i="22" l="1"/>
  <c r="AC444" i="22"/>
  <c r="B445" i="22" l="1"/>
  <c r="R444" i="22"/>
  <c r="S444" i="22" s="1"/>
  <c r="K444" i="22" s="1"/>
  <c r="I445" i="22"/>
  <c r="H445" i="22" l="1"/>
  <c r="X444" i="22"/>
  <c r="Y444" i="22" s="1"/>
  <c r="AG444" i="22" l="1"/>
  <c r="AK444" i="22" s="1"/>
  <c r="G445" i="22" s="1"/>
  <c r="T445" i="22" a="1"/>
  <c r="F445" i="22" l="1"/>
  <c r="T445" i="22"/>
  <c r="Q445" i="22" l="1"/>
  <c r="U445" i="22"/>
  <c r="AE445" i="22" s="1"/>
  <c r="D446" i="22" s="1"/>
  <c r="AD445" i="22"/>
  <c r="C446" i="22" s="1"/>
  <c r="V445" i="22"/>
  <c r="AF445" i="22" s="1"/>
  <c r="E446" i="22" s="1"/>
  <c r="W445" i="22" a="1"/>
  <c r="W445" i="22" l="1"/>
  <c r="P445" i="22" a="1"/>
  <c r="P445" i="22" l="1"/>
  <c r="AC445" i="22"/>
  <c r="B446" i="22" l="1"/>
  <c r="I446" i="22"/>
  <c r="R445" i="22"/>
  <c r="S445" i="22" s="1"/>
  <c r="K445" i="22" s="1"/>
  <c r="X445" i="22" l="1"/>
  <c r="Y445" i="22" s="1"/>
  <c r="H446" i="22"/>
  <c r="AG445" i="22" l="1"/>
  <c r="F446" i="22" l="1"/>
  <c r="AK445" i="22"/>
  <c r="G446" i="22" s="1"/>
  <c r="T446" i="22" a="1"/>
  <c r="T446" i="22" l="1"/>
  <c r="Q446" i="22" l="1"/>
  <c r="U446" i="22"/>
  <c r="AE446" i="22" s="1"/>
  <c r="D447" i="22" s="1"/>
  <c r="V446" i="22"/>
  <c r="AF446" i="22" s="1"/>
  <c r="E447" i="22" s="1"/>
  <c r="AD446" i="22"/>
  <c r="C447" i="22" s="1"/>
  <c r="W446" i="22" a="1"/>
  <c r="W446" i="22" l="1"/>
  <c r="P446" i="22" a="1"/>
  <c r="P446" i="22" l="1"/>
  <c r="AC446" i="22"/>
  <c r="I447" i="22" l="1"/>
  <c r="R446" i="22"/>
  <c r="S446" i="22" s="1"/>
  <c r="K446" i="22" s="1"/>
  <c r="B447" i="22"/>
  <c r="H447" i="22" l="1"/>
  <c r="X446" i="22"/>
  <c r="Y446" i="22" s="1"/>
  <c r="AG446" i="22" l="1"/>
  <c r="F447" i="22" l="1"/>
  <c r="AK446" i="22"/>
  <c r="G447" i="22" s="1"/>
  <c r="T447" i="22" a="1"/>
  <c r="T447" i="22" l="1"/>
  <c r="Q447" i="22" l="1"/>
  <c r="U447" i="22"/>
  <c r="AE447" i="22" s="1"/>
  <c r="D448" i="22" s="1"/>
  <c r="AD447" i="22"/>
  <c r="C448" i="22" s="1"/>
  <c r="V447" i="22"/>
  <c r="AF447" i="22" s="1"/>
  <c r="E448" i="22" s="1"/>
  <c r="W447" i="22" a="1"/>
  <c r="W447" i="22" l="1"/>
  <c r="P447" i="22" a="1"/>
  <c r="P447" i="22" l="1"/>
  <c r="AC447" i="22"/>
  <c r="B448" i="22" s="1"/>
  <c r="R447" i="22" l="1"/>
  <c r="S447" i="22" s="1"/>
  <c r="K447" i="22" s="1"/>
  <c r="I448" i="22"/>
  <c r="H448" i="22" s="1"/>
  <c r="X447" i="22" l="1"/>
  <c r="Y447" i="22" s="1"/>
  <c r="AG447" i="22" l="1"/>
  <c r="AK447" i="22" l="1"/>
  <c r="G448" i="22" s="1"/>
  <c r="F448" i="22"/>
  <c r="T448" i="22" a="1"/>
  <c r="T448" i="22" l="1"/>
  <c r="Q448" i="22" l="1"/>
  <c r="AD448" i="22"/>
  <c r="C449" i="22" s="1"/>
  <c r="U448" i="22"/>
  <c r="AE448" i="22" s="1"/>
  <c r="D449" i="22" s="1"/>
  <c r="V448" i="22"/>
  <c r="AF448" i="22" s="1"/>
  <c r="E449" i="22" s="1"/>
  <c r="W448" i="22" a="1"/>
  <c r="W448" i="22" l="1"/>
  <c r="P448" i="22" a="1"/>
  <c r="P448" i="22" l="1"/>
  <c r="AC448" i="22"/>
  <c r="I449" i="22" l="1"/>
  <c r="R448" i="22"/>
  <c r="S448" i="22" s="1"/>
  <c r="K448" i="22" s="1"/>
  <c r="B449" i="22"/>
  <c r="H449" i="22" l="1"/>
  <c r="X448" i="22"/>
  <c r="Y448" i="22" s="1"/>
  <c r="AG448" i="22" l="1"/>
  <c r="F449" i="22" l="1"/>
  <c r="AK448" i="22"/>
  <c r="G449" i="22" s="1"/>
  <c r="T449" i="22" a="1"/>
  <c r="T449" i="22" l="1"/>
  <c r="Q449" i="22" l="1"/>
  <c r="V449" i="22"/>
  <c r="AF449" i="22" s="1"/>
  <c r="E450" i="22" s="1"/>
  <c r="AD449" i="22"/>
  <c r="C450" i="22" s="1"/>
  <c r="U449" i="22"/>
  <c r="AE449" i="22" s="1"/>
  <c r="D450" i="22" s="1"/>
  <c r="W449" i="22" a="1"/>
  <c r="W449" i="22" l="1"/>
  <c r="P449" i="22" a="1"/>
  <c r="P449" i="22" l="1"/>
  <c r="AC449" i="22"/>
  <c r="B450" i="22" l="1"/>
  <c r="R449" i="22"/>
  <c r="S449" i="22" s="1"/>
  <c r="K449" i="22" s="1"/>
  <c r="I450" i="22"/>
  <c r="H450" i="22" l="1"/>
  <c r="X449" i="22"/>
  <c r="Y449" i="22" s="1"/>
  <c r="AG449" i="22" l="1"/>
  <c r="F450" i="22" l="1"/>
  <c r="AK449" i="22"/>
  <c r="G450" i="22" s="1"/>
  <c r="T450" i="22" a="1"/>
  <c r="T450" i="22" l="1"/>
  <c r="Q450" i="22" l="1"/>
  <c r="V450" i="22"/>
  <c r="AF450" i="22" s="1"/>
  <c r="E451" i="22" s="1"/>
  <c r="AD450" i="22"/>
  <c r="C451" i="22" s="1"/>
  <c r="U450" i="22"/>
  <c r="AE450" i="22" s="1"/>
  <c r="D451" i="22" s="1"/>
  <c r="W450" i="22" a="1"/>
  <c r="W450" i="22" l="1"/>
  <c r="P450" i="22" a="1"/>
  <c r="P450" i="22" l="1"/>
  <c r="AC450" i="22"/>
  <c r="I451" i="22" l="1"/>
  <c r="R450" i="22"/>
  <c r="S450" i="22" s="1"/>
  <c r="K450" i="22" s="1"/>
  <c r="B451" i="22"/>
  <c r="H451" i="22" l="1"/>
  <c r="X450" i="22"/>
  <c r="Y450" i="22" s="1"/>
  <c r="AG450" i="22" l="1"/>
  <c r="F451" i="22" l="1"/>
  <c r="AK450" i="22"/>
  <c r="G451" i="22" s="1"/>
  <c r="T451" i="22" a="1"/>
  <c r="T451" i="22" l="1"/>
  <c r="Q451" i="22" l="1"/>
  <c r="V451" i="22"/>
  <c r="AF451" i="22" s="1"/>
  <c r="E452" i="22" s="1"/>
  <c r="AD451" i="22"/>
  <c r="C452" i="22" s="1"/>
  <c r="U451" i="22"/>
  <c r="AE451" i="22" s="1"/>
  <c r="D452" i="22" s="1"/>
  <c r="W451" i="22" a="1"/>
  <c r="W451" i="22" l="1"/>
  <c r="P451" i="22" a="1"/>
  <c r="P451" i="22" l="1"/>
  <c r="AC451" i="22"/>
  <c r="I452" i="22" l="1"/>
  <c r="R451" i="22"/>
  <c r="S451" i="22" s="1"/>
  <c r="K451" i="22" s="1"/>
  <c r="B452" i="22"/>
  <c r="H452" i="22" l="1"/>
  <c r="X451" i="22"/>
  <c r="Y451" i="22" s="1"/>
  <c r="AG451" i="22" l="1"/>
  <c r="F452" i="22" l="1"/>
  <c r="AK451" i="22"/>
  <c r="G452" i="22" s="1"/>
  <c r="T452" i="22" a="1"/>
  <c r="T452" i="22" l="1"/>
  <c r="Q452" i="22" l="1"/>
  <c r="U452" i="22"/>
  <c r="AE452" i="22" s="1"/>
  <c r="D453" i="22" s="1"/>
  <c r="V452" i="22"/>
  <c r="AF452" i="22" s="1"/>
  <c r="E453" i="22" s="1"/>
  <c r="AD452" i="22"/>
  <c r="C453" i="22" s="1"/>
  <c r="W452" i="22" a="1"/>
  <c r="W452" i="22" l="1"/>
  <c r="P452" i="22" a="1"/>
  <c r="P452" i="22" l="1"/>
  <c r="AC452" i="22"/>
  <c r="B453" i="22" l="1"/>
  <c r="R452" i="22"/>
  <c r="S452" i="22" s="1"/>
  <c r="K452" i="22" s="1"/>
  <c r="I453" i="22"/>
  <c r="H453" i="22" l="1"/>
  <c r="X452" i="22"/>
  <c r="Y452" i="22" s="1"/>
  <c r="AG452" i="22" l="1"/>
  <c r="F453" i="22" l="1"/>
  <c r="AK452" i="22"/>
  <c r="G453" i="22" s="1"/>
  <c r="T453" i="22" a="1"/>
  <c r="T453" i="22" l="1"/>
  <c r="Q453" i="22" l="1"/>
  <c r="AD453" i="22"/>
  <c r="C454" i="22" s="1"/>
  <c r="U453" i="22"/>
  <c r="AE453" i="22" s="1"/>
  <c r="D454" i="22" s="1"/>
  <c r="V453" i="22"/>
  <c r="AF453" i="22" s="1"/>
  <c r="E454" i="22" s="1"/>
  <c r="W453" i="22" a="1"/>
  <c r="W453" i="22" l="1"/>
  <c r="P453" i="22" a="1"/>
  <c r="P453" i="22" l="1"/>
  <c r="AC453" i="22"/>
  <c r="B454" i="22" l="1"/>
  <c r="I454" i="22"/>
  <c r="R453" i="22"/>
  <c r="S453" i="22" s="1"/>
  <c r="K453" i="22" s="1"/>
  <c r="X453" i="22" l="1"/>
  <c r="Y453" i="22" s="1"/>
  <c r="H454" i="22"/>
  <c r="AG453" i="22" l="1"/>
  <c r="F454" i="22" s="1"/>
  <c r="AK453" i="22" l="1"/>
  <c r="G454" i="22" s="1"/>
  <c r="T454" i="22" a="1"/>
  <c r="T454" i="22" l="1"/>
  <c r="V454" i="22" s="1"/>
  <c r="AF454" i="22" s="1"/>
  <c r="E455" i="22" s="1"/>
  <c r="Q454" i="22"/>
  <c r="AD454" i="22"/>
  <c r="C455" i="22" s="1"/>
  <c r="U454" i="22"/>
  <c r="AE454" i="22" s="1"/>
  <c r="D455" i="22" s="1"/>
  <c r="W454" i="22" a="1"/>
  <c r="W454" i="22" l="1"/>
  <c r="P454" i="22" a="1"/>
  <c r="P454" i="22" l="1"/>
  <c r="AC454" i="22"/>
  <c r="I455" i="22" l="1"/>
  <c r="R454" i="22"/>
  <c r="S454" i="22" s="1"/>
  <c r="K454" i="22" s="1"/>
  <c r="B455" i="22"/>
  <c r="H455" i="22" l="1"/>
  <c r="X454" i="22"/>
  <c r="Y454" i="22" s="1"/>
  <c r="AG454" i="22" l="1"/>
  <c r="F455" i="22" l="1"/>
  <c r="AK454" i="22"/>
  <c r="G455" i="22" s="1"/>
  <c r="T455" i="22" a="1"/>
  <c r="T455" i="22" l="1"/>
  <c r="Q455" i="22" l="1"/>
  <c r="V455" i="22"/>
  <c r="AF455" i="22" s="1"/>
  <c r="E456" i="22" s="1"/>
  <c r="AD455" i="22"/>
  <c r="C456" i="22" s="1"/>
  <c r="U455" i="22"/>
  <c r="AE455" i="22" s="1"/>
  <c r="D456" i="22" s="1"/>
  <c r="W455" i="22" a="1"/>
  <c r="W455" i="22" l="1"/>
  <c r="P455" i="22" a="1"/>
  <c r="P455" i="22" l="1"/>
  <c r="AC455" i="22"/>
  <c r="B456" i="22" l="1"/>
  <c r="I456" i="22"/>
  <c r="R455" i="22"/>
  <c r="S455" i="22" s="1"/>
  <c r="K455" i="22" s="1"/>
  <c r="H456" i="22" l="1"/>
  <c r="X455" i="22"/>
  <c r="Y455" i="22" s="1"/>
  <c r="AG455" i="22" l="1"/>
  <c r="F456" i="22" l="1"/>
  <c r="AK455" i="22"/>
  <c r="G456" i="22" s="1"/>
  <c r="T456" i="22" a="1"/>
  <c r="T456" i="22" l="1"/>
  <c r="Q456" i="22" l="1"/>
  <c r="V456" i="22"/>
  <c r="AF456" i="22" s="1"/>
  <c r="E457" i="22" s="1"/>
  <c r="AD456" i="22"/>
  <c r="C457" i="22" s="1"/>
  <c r="U456" i="22"/>
  <c r="AE456" i="22" s="1"/>
  <c r="D457" i="22" s="1"/>
  <c r="W456" i="22" a="1"/>
  <c r="W456" i="22" l="1"/>
  <c r="P456" i="22" a="1"/>
  <c r="P456" i="22" l="1"/>
  <c r="AC456" i="22"/>
  <c r="B457" i="22" l="1"/>
  <c r="I457" i="22"/>
  <c r="R456" i="22"/>
  <c r="S456" i="22" s="1"/>
  <c r="K456" i="22" s="1"/>
  <c r="X456" i="22" l="1"/>
  <c r="Y456" i="22" s="1"/>
  <c r="H457" i="22"/>
  <c r="AG456" i="22" l="1"/>
  <c r="F457" i="22" l="1"/>
  <c r="AK456" i="22"/>
  <c r="G457" i="22" s="1"/>
  <c r="T457" i="22" a="1"/>
  <c r="T457" i="22" l="1"/>
  <c r="Q457" i="22" l="1"/>
  <c r="V457" i="22"/>
  <c r="AF457" i="22" s="1"/>
  <c r="E458" i="22" s="1"/>
  <c r="U457" i="22"/>
  <c r="AE457" i="22" s="1"/>
  <c r="D458" i="22" s="1"/>
  <c r="AD457" i="22"/>
  <c r="C458" i="22" s="1"/>
  <c r="W457" i="22" a="1"/>
  <c r="W457" i="22" l="1"/>
  <c r="P457" i="22" a="1"/>
  <c r="P457" i="22" l="1"/>
  <c r="AC457" i="22"/>
  <c r="B458" i="22" l="1"/>
  <c r="R457" i="22"/>
  <c r="S457" i="22" s="1"/>
  <c r="K457" i="22" s="1"/>
  <c r="I458" i="22"/>
  <c r="H458" i="22" l="1"/>
  <c r="X457" i="22"/>
  <c r="Y457" i="22" s="1"/>
  <c r="AG457" i="22" l="1"/>
  <c r="F458" i="22" l="1"/>
  <c r="AK457" i="22"/>
  <c r="G458" i="22" s="1"/>
  <c r="T458" i="22" a="1"/>
  <c r="T458" i="22" l="1"/>
  <c r="U458" i="22" l="1"/>
  <c r="AE458" i="22" s="1"/>
  <c r="D459" i="22" s="1"/>
  <c r="Q458" i="22"/>
  <c r="AD458" i="22"/>
  <c r="C459" i="22" s="1"/>
  <c r="V458" i="22"/>
  <c r="AF458" i="22" s="1"/>
  <c r="E459" i="22" s="1"/>
  <c r="W458" i="22" a="1"/>
  <c r="W458" i="22" l="1"/>
  <c r="P458" i="22" a="1"/>
  <c r="P458" i="22" l="1"/>
  <c r="AC458" i="22"/>
  <c r="R458" i="22" l="1"/>
  <c r="S458" i="22" s="1"/>
  <c r="K458" i="22" s="1"/>
  <c r="I459" i="22"/>
  <c r="B459" i="22"/>
  <c r="X458" i="22" l="1"/>
  <c r="Y458" i="22" s="1"/>
  <c r="H459" i="22"/>
  <c r="AG458" i="22" l="1"/>
  <c r="F459" i="22" l="1"/>
  <c r="AK458" i="22"/>
  <c r="G459" i="22" s="1"/>
  <c r="T459" i="22" a="1"/>
  <c r="T459" i="22" l="1"/>
  <c r="Q459" i="22" l="1"/>
  <c r="V459" i="22"/>
  <c r="AF459" i="22" s="1"/>
  <c r="E460" i="22" s="1"/>
  <c r="U459" i="22"/>
  <c r="AE459" i="22" s="1"/>
  <c r="D460" i="22" s="1"/>
  <c r="AD459" i="22"/>
  <c r="C460" i="22" s="1"/>
  <c r="W459" i="22" a="1"/>
  <c r="W459" i="22" l="1"/>
  <c r="P459" i="22" a="1"/>
  <c r="P459" i="22" l="1"/>
  <c r="AC459" i="22"/>
  <c r="R459" i="22" l="1"/>
  <c r="S459" i="22" s="1"/>
  <c r="K459" i="22" s="1"/>
  <c r="I460" i="22"/>
  <c r="B460" i="22"/>
  <c r="H460" i="22" l="1"/>
  <c r="X459" i="22"/>
  <c r="Y459" i="22" s="1"/>
  <c r="AG459" i="22" l="1"/>
  <c r="F460" i="22" l="1"/>
  <c r="AK459" i="22"/>
  <c r="G460" i="22" s="1"/>
  <c r="T460" i="22" a="1"/>
  <c r="T460" i="22" l="1"/>
  <c r="Q460" i="22" l="1"/>
  <c r="U460" i="22"/>
  <c r="AE460" i="22" s="1"/>
  <c r="D461" i="22" s="1"/>
  <c r="AD460" i="22"/>
  <c r="C461" i="22" s="1"/>
  <c r="V460" i="22"/>
  <c r="AF460" i="22" s="1"/>
  <c r="E461" i="22" s="1"/>
  <c r="W460" i="22" a="1"/>
  <c r="W460" i="22" l="1"/>
  <c r="P460" i="22" a="1"/>
  <c r="P460" i="22" l="1"/>
  <c r="AC460" i="22"/>
  <c r="B461" i="22" l="1"/>
  <c r="I461" i="22"/>
  <c r="R460" i="22"/>
  <c r="S460" i="22" s="1"/>
  <c r="K460" i="22" s="1"/>
  <c r="X460" i="22" l="1"/>
  <c r="Y460" i="22" s="1"/>
  <c r="H461" i="22"/>
  <c r="AG460" i="22" l="1"/>
  <c r="F461" i="22" l="1"/>
  <c r="AK460" i="22"/>
  <c r="G461" i="22" s="1"/>
  <c r="T461" i="22" a="1"/>
  <c r="T461" i="22" l="1"/>
  <c r="Q461" i="22" l="1"/>
  <c r="V461" i="22"/>
  <c r="AF461" i="22" s="1"/>
  <c r="E462" i="22" s="1"/>
  <c r="U461" i="22"/>
  <c r="AE461" i="22" s="1"/>
  <c r="D462" i="22" s="1"/>
  <c r="AD461" i="22"/>
  <c r="C462" i="22" s="1"/>
  <c r="W461" i="22" a="1"/>
  <c r="W461" i="22" l="1"/>
  <c r="P461" i="22" a="1"/>
  <c r="P461" i="22" l="1"/>
  <c r="AC461" i="22"/>
  <c r="B462" i="22" l="1"/>
  <c r="R461" i="22"/>
  <c r="S461" i="22" s="1"/>
  <c r="K461" i="22" s="1"/>
  <c r="I462" i="22"/>
  <c r="H462" i="22" l="1"/>
  <c r="X461" i="22"/>
  <c r="Y461" i="22" s="1"/>
  <c r="AG461" i="22" l="1"/>
  <c r="F462" i="22" l="1"/>
  <c r="AK461" i="22"/>
  <c r="G462" i="22" s="1"/>
  <c r="T462" i="22" a="1"/>
  <c r="T462" i="22" l="1"/>
  <c r="Q462" i="22" l="1"/>
  <c r="AD462" i="22"/>
  <c r="C463" i="22" s="1"/>
  <c r="U462" i="22"/>
  <c r="AE462" i="22" s="1"/>
  <c r="D463" i="22" s="1"/>
  <c r="V462" i="22"/>
  <c r="AF462" i="22" s="1"/>
  <c r="E463" i="22" s="1"/>
  <c r="W462" i="22" a="1"/>
  <c r="W462" i="22" l="1"/>
  <c r="P462" i="22" a="1"/>
  <c r="P462" i="22" l="1"/>
  <c r="AC462" i="22"/>
  <c r="B463" i="22" l="1"/>
  <c r="R462" i="22"/>
  <c r="S462" i="22" s="1"/>
  <c r="K462" i="22" s="1"/>
  <c r="I463" i="22"/>
  <c r="X462" i="22" l="1"/>
  <c r="Y462" i="22" s="1"/>
  <c r="H463" i="22"/>
  <c r="AG462" i="22" l="1"/>
  <c r="F463" i="22" l="1"/>
  <c r="AK462" i="22"/>
  <c r="G463" i="22" s="1"/>
  <c r="T463" i="22" a="1"/>
  <c r="T463" i="22" l="1"/>
  <c r="Q463" i="22" l="1"/>
  <c r="V463" i="22"/>
  <c r="AF463" i="22" s="1"/>
  <c r="E464" i="22" s="1"/>
  <c r="U463" i="22"/>
  <c r="AE463" i="22" s="1"/>
  <c r="D464" i="22" s="1"/>
  <c r="AD463" i="22"/>
  <c r="C464" i="22" s="1"/>
  <c r="W463" i="22" a="1"/>
  <c r="W463" i="22" l="1"/>
  <c r="P463" i="22" a="1"/>
  <c r="P463" i="22" l="1"/>
  <c r="AC463" i="22"/>
  <c r="I464" i="22" l="1"/>
  <c r="R463" i="22"/>
  <c r="S463" i="22" s="1"/>
  <c r="K463" i="22" s="1"/>
  <c r="B464" i="22"/>
  <c r="H464" i="22" l="1"/>
  <c r="X463" i="22"/>
  <c r="Y463" i="22" s="1"/>
  <c r="AG463" i="22" l="1"/>
  <c r="F464" i="22" l="1"/>
  <c r="AK463" i="22"/>
  <c r="G464" i="22" s="1"/>
  <c r="T464" i="22" a="1"/>
  <c r="T464" i="22" l="1"/>
  <c r="Q464" i="22" l="1"/>
  <c r="V464" i="22"/>
  <c r="AF464" i="22" s="1"/>
  <c r="E465" i="22" s="1"/>
  <c r="AD464" i="22"/>
  <c r="C465" i="22" s="1"/>
  <c r="U464" i="22"/>
  <c r="AE464" i="22" s="1"/>
  <c r="D465" i="22" s="1"/>
  <c r="W464" i="22" a="1"/>
  <c r="W464" i="22" l="1"/>
  <c r="P464" i="22" a="1"/>
  <c r="P464" i="22" l="1"/>
  <c r="AC464" i="22"/>
  <c r="I465" i="22" l="1"/>
  <c r="R464" i="22"/>
  <c r="S464" i="22" s="1"/>
  <c r="K464" i="22" s="1"/>
  <c r="B465" i="22"/>
  <c r="H465" i="22" l="1"/>
  <c r="X464" i="22"/>
  <c r="Y464" i="22" s="1"/>
  <c r="AG464" i="22" l="1"/>
  <c r="F465" i="22" l="1"/>
  <c r="AK464" i="22"/>
  <c r="G465" i="22" s="1"/>
  <c r="T465" i="22" a="1"/>
  <c r="T465" i="22" l="1"/>
  <c r="Q465" i="22" l="1"/>
  <c r="V465" i="22"/>
  <c r="AF465" i="22" s="1"/>
  <c r="E466" i="22" s="1"/>
  <c r="AD465" i="22"/>
  <c r="C466" i="22" s="1"/>
  <c r="U465" i="22"/>
  <c r="AE465" i="22" s="1"/>
  <c r="D466" i="22" s="1"/>
  <c r="W465" i="22" a="1"/>
  <c r="W465" i="22" l="1"/>
  <c r="P465" i="22" a="1"/>
  <c r="P465" i="22" l="1"/>
  <c r="AC465" i="22"/>
  <c r="B466" i="22" l="1"/>
  <c r="I466" i="22"/>
  <c r="R465" i="22"/>
  <c r="S465" i="22" s="1"/>
  <c r="K465" i="22" s="1"/>
  <c r="H466" i="22" l="1"/>
  <c r="X465" i="22"/>
  <c r="Y465" i="22" s="1"/>
  <c r="AG465" i="22" l="1"/>
  <c r="F466" i="22" l="1"/>
  <c r="AK465" i="22"/>
  <c r="G466" i="22" s="1"/>
  <c r="T466" i="22" a="1"/>
  <c r="T466" i="22" l="1"/>
  <c r="Q466" i="22" l="1"/>
  <c r="V466" i="22"/>
  <c r="AF466" i="22" s="1"/>
  <c r="E467" i="22" s="1"/>
  <c r="AD466" i="22"/>
  <c r="C467" i="22" s="1"/>
  <c r="U466" i="22"/>
  <c r="AE466" i="22" s="1"/>
  <c r="D467" i="22" s="1"/>
  <c r="W466" i="22" a="1"/>
  <c r="W466" i="22" l="1"/>
  <c r="P466" i="22" a="1"/>
  <c r="P466" i="22" l="1"/>
  <c r="AC466" i="22"/>
  <c r="R466" i="22" l="1"/>
  <c r="S466" i="22" s="1"/>
  <c r="K466" i="22" s="1"/>
  <c r="I467" i="22"/>
  <c r="B467" i="22"/>
  <c r="X466" i="22" l="1"/>
  <c r="Y466" i="22" s="1"/>
  <c r="H467" i="22"/>
  <c r="AG466" i="22" l="1"/>
  <c r="F467" i="22" l="1"/>
  <c r="AK466" i="22"/>
  <c r="G467" i="22" s="1"/>
  <c r="T467" i="22" a="1"/>
  <c r="T467" i="22" l="1"/>
  <c r="Q467" i="22" l="1"/>
  <c r="AD467" i="22"/>
  <c r="C468" i="22" s="1"/>
  <c r="V467" i="22"/>
  <c r="AF467" i="22" s="1"/>
  <c r="E468" i="22" s="1"/>
  <c r="U467" i="22"/>
  <c r="AE467" i="22" s="1"/>
  <c r="D468" i="22" s="1"/>
  <c r="W467" i="22" a="1"/>
  <c r="W467" i="22" l="1"/>
  <c r="P467" i="22" a="1"/>
  <c r="P467" i="22" l="1"/>
  <c r="AC467" i="22"/>
  <c r="I468" i="22" l="1"/>
  <c r="R467" i="22"/>
  <c r="S467" i="22" s="1"/>
  <c r="K467" i="22" s="1"/>
  <c r="B468" i="22"/>
  <c r="X467" i="22" l="1"/>
  <c r="Y467" i="22" s="1"/>
  <c r="H468" i="22"/>
  <c r="AG467" i="22" l="1"/>
  <c r="F468" i="22" l="1"/>
  <c r="AK467" i="22"/>
  <c r="G468" i="22" s="1"/>
  <c r="T468" i="22" a="1"/>
  <c r="T468" i="22" l="1"/>
  <c r="Q468" i="22" l="1"/>
  <c r="V468" i="22"/>
  <c r="AF468" i="22" s="1"/>
  <c r="E469" i="22" s="1"/>
  <c r="AD468" i="22"/>
  <c r="C469" i="22" s="1"/>
  <c r="U468" i="22"/>
  <c r="AE468" i="22" s="1"/>
  <c r="D469" i="22" s="1"/>
  <c r="W468" i="22" a="1"/>
  <c r="W468" i="22" l="1"/>
  <c r="P468" i="22" a="1"/>
  <c r="P468" i="22" l="1"/>
  <c r="AC468" i="22"/>
  <c r="I469" i="22" l="1"/>
  <c r="R468" i="22"/>
  <c r="S468" i="22" s="1"/>
  <c r="K468" i="22" s="1"/>
  <c r="B469" i="22"/>
  <c r="H469" i="22" l="1"/>
  <c r="X468" i="22"/>
  <c r="Y468" i="22" s="1"/>
  <c r="AG468" i="22" l="1"/>
  <c r="F469" i="22" l="1"/>
  <c r="AK468" i="22"/>
  <c r="G469" i="22" s="1"/>
  <c r="T469" i="22" a="1"/>
  <c r="T469" i="22" l="1"/>
  <c r="Q469" i="22" l="1"/>
  <c r="V469" i="22"/>
  <c r="AF469" i="22" s="1"/>
  <c r="E470" i="22" s="1"/>
  <c r="AD469" i="22"/>
  <c r="C470" i="22" s="1"/>
  <c r="U469" i="22"/>
  <c r="AE469" i="22" s="1"/>
  <c r="D470" i="22" s="1"/>
  <c r="W469" i="22" a="1"/>
  <c r="W469" i="22" l="1"/>
  <c r="P469" i="22" a="1"/>
  <c r="P469" i="22" l="1"/>
  <c r="AC469" i="22"/>
  <c r="B470" i="22" l="1"/>
  <c r="R469" i="22"/>
  <c r="S469" i="22" s="1"/>
  <c r="K469" i="22" s="1"/>
  <c r="I470" i="22"/>
  <c r="X469" i="22" l="1"/>
  <c r="Y469" i="22" s="1"/>
  <c r="H470" i="22"/>
  <c r="AG469" i="22" l="1"/>
  <c r="F470" i="22" l="1"/>
  <c r="AK469" i="22"/>
  <c r="G470" i="22" s="1"/>
  <c r="T470" i="22" a="1"/>
  <c r="T470" i="22" l="1"/>
  <c r="Q470" i="22" l="1"/>
  <c r="U470" i="22"/>
  <c r="AE470" i="22" s="1"/>
  <c r="D471" i="22" s="1"/>
  <c r="AD470" i="22"/>
  <c r="C471" i="22" s="1"/>
  <c r="V470" i="22"/>
  <c r="AF470" i="22" s="1"/>
  <c r="E471" i="22" s="1"/>
  <c r="W470" i="22" a="1"/>
  <c r="W470" i="22" l="1"/>
  <c r="P470" i="22" a="1"/>
  <c r="P470" i="22" l="1"/>
  <c r="AC470" i="22"/>
  <c r="R470" i="22" l="1"/>
  <c r="S470" i="22" s="1"/>
  <c r="K470" i="22" s="1"/>
  <c r="I471" i="22"/>
  <c r="B471" i="22"/>
  <c r="H471" i="22" l="1"/>
  <c r="X470" i="22"/>
  <c r="Y470" i="22" s="1"/>
  <c r="AG470" i="22" l="1"/>
  <c r="F471" i="22" l="1"/>
  <c r="AK470" i="22"/>
  <c r="G471" i="22" s="1"/>
  <c r="T471" i="22" a="1"/>
  <c r="T471" i="22" l="1"/>
  <c r="Q471" i="22" l="1"/>
  <c r="AD471" i="22"/>
  <c r="C472" i="22" s="1"/>
  <c r="U471" i="22"/>
  <c r="AE471" i="22" s="1"/>
  <c r="D472" i="22" s="1"/>
  <c r="V471" i="22"/>
  <c r="AF471" i="22" s="1"/>
  <c r="E472" i="22" s="1"/>
  <c r="W471" i="22" a="1"/>
  <c r="W471" i="22" l="1"/>
  <c r="P471" i="22" a="1"/>
  <c r="P471" i="22" l="1"/>
  <c r="AC471" i="22"/>
  <c r="I472" i="22" l="1"/>
  <c r="R471" i="22"/>
  <c r="S471" i="22" s="1"/>
  <c r="K471" i="22" s="1"/>
  <c r="B472" i="22"/>
  <c r="X471" i="22" l="1"/>
  <c r="Y471" i="22" s="1"/>
  <c r="H472" i="22"/>
  <c r="AG471" i="22" l="1"/>
  <c r="F472" i="22" l="1"/>
  <c r="AK471" i="22"/>
  <c r="G472" i="22" s="1"/>
  <c r="T472" i="22" a="1"/>
  <c r="T472" i="22" l="1"/>
  <c r="AD472" i="22" l="1"/>
  <c r="C473" i="22" s="1"/>
  <c r="Q472" i="22"/>
  <c r="U472" i="22"/>
  <c r="AE472" i="22" s="1"/>
  <c r="D473" i="22" s="1"/>
  <c r="V472" i="22"/>
  <c r="AF472" i="22" s="1"/>
  <c r="E473" i="22" s="1"/>
  <c r="W472" i="22" a="1"/>
  <c r="W472" i="22" l="1"/>
  <c r="P472" i="22" a="1"/>
  <c r="P472" i="22" l="1"/>
  <c r="AC472" i="22"/>
  <c r="B473" i="22" l="1"/>
  <c r="I473" i="22"/>
  <c r="R472" i="22"/>
  <c r="S472" i="22" s="1"/>
  <c r="K472" i="22" s="1"/>
  <c r="H473" i="22" l="1"/>
  <c r="X472" i="22"/>
  <c r="Y472" i="22" s="1"/>
  <c r="AG472" i="22" l="1"/>
  <c r="F473" i="22" l="1"/>
  <c r="AK472" i="22"/>
  <c r="G473" i="22" s="1"/>
  <c r="T473" i="22" a="1"/>
  <c r="T473" i="22" l="1"/>
  <c r="Q473" i="22" l="1"/>
  <c r="V473" i="22"/>
  <c r="AF473" i="22" s="1"/>
  <c r="E474" i="22" s="1"/>
  <c r="AD473" i="22"/>
  <c r="C474" i="22" s="1"/>
  <c r="U473" i="22"/>
  <c r="AE473" i="22" s="1"/>
  <c r="D474" i="22" s="1"/>
  <c r="W473" i="22" a="1"/>
  <c r="W473" i="22" l="1"/>
  <c r="P473" i="22" a="1"/>
  <c r="P473" i="22" l="1"/>
  <c r="AC473" i="22"/>
  <c r="B474" i="22" l="1"/>
  <c r="R473" i="22"/>
  <c r="S473" i="22" s="1"/>
  <c r="K473" i="22" s="1"/>
  <c r="I474" i="22"/>
  <c r="H474" i="22" l="1"/>
  <c r="X473" i="22"/>
  <c r="Y473" i="22" s="1"/>
  <c r="AG473" i="22" l="1"/>
  <c r="F474" i="22" l="1"/>
  <c r="AK473" i="22"/>
  <c r="G474" i="22" s="1"/>
  <c r="T474" i="22" a="1"/>
  <c r="T474" i="22" l="1"/>
  <c r="Q474" i="22" l="1"/>
  <c r="AD474" i="22"/>
  <c r="C475" i="22" s="1"/>
  <c r="U474" i="22"/>
  <c r="AE474" i="22" s="1"/>
  <c r="D475" i="22" s="1"/>
  <c r="V474" i="22"/>
  <c r="AF474" i="22" s="1"/>
  <c r="E475" i="22" s="1"/>
  <c r="W474" i="22" a="1"/>
  <c r="W474" i="22" l="1"/>
  <c r="P474" i="22" a="1"/>
  <c r="P474" i="22" l="1"/>
  <c r="AC474" i="22"/>
  <c r="R474" i="22" l="1"/>
  <c r="S474" i="22" s="1"/>
  <c r="K474" i="22" s="1"/>
  <c r="I475" i="22"/>
  <c r="B475" i="22"/>
  <c r="H475" i="22" l="1"/>
  <c r="X474" i="22"/>
  <c r="Y474" i="22" s="1"/>
  <c r="AG474" i="22" l="1"/>
  <c r="F475" i="22" l="1"/>
  <c r="AK474" i="22"/>
  <c r="G475" i="22" s="1"/>
  <c r="T475" i="22" a="1"/>
  <c r="T475" i="22" l="1"/>
  <c r="Q475" i="22" l="1"/>
  <c r="U475" i="22"/>
  <c r="AE475" i="22" s="1"/>
  <c r="D476" i="22" s="1"/>
  <c r="V475" i="22"/>
  <c r="AF475" i="22" s="1"/>
  <c r="E476" i="22" s="1"/>
  <c r="AD475" i="22"/>
  <c r="C476" i="22" s="1"/>
  <c r="W475" i="22" a="1"/>
  <c r="W475" i="22" l="1"/>
  <c r="P475" i="22" a="1"/>
  <c r="P475" i="22" l="1"/>
  <c r="AC475" i="22"/>
  <c r="B476" i="22" l="1"/>
  <c r="R475" i="22"/>
  <c r="S475" i="22" s="1"/>
  <c r="K475" i="22" s="1"/>
  <c r="I476" i="22"/>
  <c r="X475" i="22" l="1"/>
  <c r="Y475" i="22" s="1"/>
  <c r="H476" i="22"/>
  <c r="AG475" i="22" l="1"/>
  <c r="F476" i="22" l="1"/>
  <c r="AK475" i="22"/>
  <c r="G476" i="22" s="1"/>
  <c r="T476" i="22" a="1"/>
  <c r="T476" i="22" l="1"/>
  <c r="Q476" i="22" l="1"/>
  <c r="V476" i="22"/>
  <c r="AF476" i="22" s="1"/>
  <c r="E477" i="22" s="1"/>
  <c r="AD476" i="22"/>
  <c r="C477" i="22" s="1"/>
  <c r="U476" i="22"/>
  <c r="AE476" i="22" s="1"/>
  <c r="D477" i="22" s="1"/>
  <c r="W476" i="22" a="1"/>
  <c r="W476" i="22" l="1"/>
  <c r="P476" i="22" a="1"/>
  <c r="P476" i="22" l="1"/>
  <c r="AC476" i="22"/>
  <c r="I477" i="22" l="1"/>
  <c r="R476" i="22"/>
  <c r="S476" i="22" s="1"/>
  <c r="K476" i="22" s="1"/>
  <c r="B477" i="22"/>
  <c r="H477" i="22" l="1"/>
  <c r="X476" i="22"/>
  <c r="Y476" i="22" s="1"/>
  <c r="AG476" i="22" l="1"/>
  <c r="F477" i="22" l="1"/>
  <c r="AK476" i="22"/>
  <c r="G477" i="22" s="1"/>
  <c r="T477" i="22" a="1"/>
  <c r="T477" i="22" l="1"/>
  <c r="Q477" i="22" l="1"/>
  <c r="U477" i="22"/>
  <c r="AE477" i="22" s="1"/>
  <c r="D478" i="22" s="1"/>
  <c r="V477" i="22"/>
  <c r="AF477" i="22" s="1"/>
  <c r="E478" i="22" s="1"/>
  <c r="AD477" i="22"/>
  <c r="C478" i="22" s="1"/>
  <c r="W477" i="22" a="1"/>
  <c r="W477" i="22" l="1"/>
  <c r="P477" i="22" a="1"/>
  <c r="P477" i="22" l="1"/>
  <c r="AC477" i="22"/>
  <c r="B478" i="22" l="1"/>
  <c r="R477" i="22"/>
  <c r="S477" i="22" s="1"/>
  <c r="K477" i="22" s="1"/>
  <c r="I478" i="22"/>
  <c r="H478" i="22" l="1"/>
  <c r="X477" i="22"/>
  <c r="Y477" i="22" s="1"/>
  <c r="AG477" i="22" l="1"/>
  <c r="F478" i="22" l="1"/>
  <c r="AK477" i="22"/>
  <c r="G478" i="22" s="1"/>
  <c r="T478" i="22" a="1"/>
  <c r="T478" i="22" l="1"/>
  <c r="Q478" i="22" l="1"/>
  <c r="AD478" i="22"/>
  <c r="C479" i="22" s="1"/>
  <c r="U478" i="22"/>
  <c r="AE478" i="22" s="1"/>
  <c r="D479" i="22" s="1"/>
  <c r="V478" i="22"/>
  <c r="AF478" i="22" s="1"/>
  <c r="E479" i="22" s="1"/>
  <c r="W478" i="22" a="1"/>
  <c r="W478" i="22" l="1"/>
  <c r="P478" i="22" a="1"/>
  <c r="P478" i="22" l="1"/>
  <c r="AC478" i="22"/>
  <c r="I479" i="22" l="1"/>
  <c r="R478" i="22"/>
  <c r="S478" i="22" s="1"/>
  <c r="K478" i="22" s="1"/>
  <c r="B479" i="22"/>
  <c r="X478" i="22" l="1"/>
  <c r="Y478" i="22" s="1"/>
  <c r="H479" i="22"/>
  <c r="AG478" i="22" l="1"/>
  <c r="F479" i="22" l="1"/>
  <c r="AK478" i="22"/>
  <c r="G479" i="22" s="1"/>
  <c r="T479" i="22" a="1"/>
  <c r="T479" i="22" l="1"/>
  <c r="Q479" i="22" l="1"/>
  <c r="V479" i="22"/>
  <c r="AF479" i="22" s="1"/>
  <c r="E480" i="22" s="1"/>
  <c r="AD479" i="22"/>
  <c r="C480" i="22" s="1"/>
  <c r="U479" i="22"/>
  <c r="AE479" i="22" s="1"/>
  <c r="D480" i="22" s="1"/>
  <c r="W479" i="22" a="1"/>
  <c r="W479" i="22" l="1"/>
  <c r="P479" i="22" a="1"/>
  <c r="P479" i="22" l="1"/>
  <c r="AC479" i="22"/>
  <c r="B480" i="22" l="1"/>
  <c r="R479" i="22"/>
  <c r="S479" i="22" s="1"/>
  <c r="K479" i="22" s="1"/>
  <c r="I480" i="22"/>
  <c r="H480" i="22" l="1"/>
  <c r="X479" i="22"/>
  <c r="Y479" i="22" s="1"/>
  <c r="AG479" i="22" l="1"/>
  <c r="F480" i="22" l="1"/>
  <c r="AK479" i="22"/>
  <c r="G480" i="22" s="1"/>
  <c r="T480" i="22" a="1"/>
  <c r="T480" i="22" l="1"/>
  <c r="Q480" i="22" l="1"/>
  <c r="AD480" i="22"/>
  <c r="C481" i="22" s="1"/>
  <c r="U480" i="22"/>
  <c r="AE480" i="22" s="1"/>
  <c r="D481" i="22" s="1"/>
  <c r="V480" i="22"/>
  <c r="AF480" i="22" s="1"/>
  <c r="E481" i="22" s="1"/>
  <c r="W480" i="22" a="1"/>
  <c r="W480" i="22" l="1"/>
  <c r="P480" i="22" a="1"/>
  <c r="P480" i="22" l="1"/>
  <c r="AC480" i="22"/>
  <c r="R480" i="22" l="1"/>
  <c r="S480" i="22" s="1"/>
  <c r="K480" i="22" s="1"/>
  <c r="I481" i="22"/>
  <c r="B481" i="22"/>
  <c r="X480" i="22" l="1"/>
  <c r="Y480" i="22" s="1"/>
  <c r="H481" i="22"/>
  <c r="AG480" i="22" l="1"/>
  <c r="F481" i="22" l="1"/>
  <c r="AK480" i="22"/>
  <c r="G481" i="22" s="1"/>
  <c r="T481" i="22" a="1"/>
  <c r="T481" i="22" l="1"/>
  <c r="Q481" i="22" l="1"/>
  <c r="V481" i="22"/>
  <c r="AF481" i="22" s="1"/>
  <c r="E482" i="22" s="1"/>
  <c r="AD481" i="22"/>
  <c r="C482" i="22" s="1"/>
  <c r="U481" i="22"/>
  <c r="AE481" i="22" s="1"/>
  <c r="D482" i="22" s="1"/>
  <c r="W481" i="22" a="1"/>
  <c r="W481" i="22" l="1"/>
  <c r="P481" i="22" a="1"/>
  <c r="P481" i="22" l="1"/>
  <c r="AC481" i="22"/>
  <c r="R481" i="22" l="1"/>
  <c r="S481" i="22" s="1"/>
  <c r="K481" i="22" s="1"/>
  <c r="I482" i="22"/>
  <c r="B482" i="22"/>
  <c r="H482" i="22" l="1"/>
  <c r="X481" i="22"/>
  <c r="Y481" i="22" s="1"/>
  <c r="AG481" i="22" l="1"/>
  <c r="F482" i="22" l="1"/>
  <c r="AK481" i="22"/>
  <c r="G482" i="22" s="1"/>
  <c r="T482" i="22" a="1"/>
  <c r="T482" i="22" l="1"/>
  <c r="Q482" i="22" l="1"/>
  <c r="AD482" i="22"/>
  <c r="C483" i="22" s="1"/>
  <c r="U482" i="22"/>
  <c r="AE482" i="22" s="1"/>
  <c r="D483" i="22" s="1"/>
  <c r="V482" i="22"/>
  <c r="AF482" i="22" s="1"/>
  <c r="E483" i="22" s="1"/>
  <c r="W482" i="22" a="1"/>
  <c r="W482" i="22" l="1"/>
  <c r="P482" i="22" a="1"/>
  <c r="P482" i="22" l="1"/>
  <c r="AC482" i="22"/>
  <c r="I483" i="22" l="1"/>
  <c r="R482" i="22"/>
  <c r="S482" i="22" s="1"/>
  <c r="K482" i="22" s="1"/>
  <c r="B483" i="22"/>
  <c r="X482" i="22" l="1"/>
  <c r="Y482" i="22" s="1"/>
  <c r="H483" i="22"/>
  <c r="AG482" i="22" l="1"/>
  <c r="F483" i="22" l="1"/>
  <c r="AK482" i="22"/>
  <c r="G483" i="22" s="1"/>
  <c r="T483" i="22" a="1"/>
  <c r="T483" i="22" l="1"/>
  <c r="Q483" i="22" l="1"/>
  <c r="U483" i="22"/>
  <c r="AE483" i="22" s="1"/>
  <c r="D484" i="22" s="1"/>
  <c r="AD483" i="22"/>
  <c r="C484" i="22" s="1"/>
  <c r="V483" i="22"/>
  <c r="AF483" i="22" s="1"/>
  <c r="E484" i="22" s="1"/>
  <c r="W483" i="22" a="1"/>
  <c r="W483" i="22" l="1"/>
  <c r="P483" i="22" a="1"/>
  <c r="P483" i="22" l="1"/>
  <c r="AC483" i="22"/>
  <c r="R483" i="22" l="1"/>
  <c r="S483" i="22" s="1"/>
  <c r="K483" i="22" s="1"/>
  <c r="I484" i="22"/>
  <c r="B484" i="22"/>
  <c r="X483" i="22" l="1"/>
  <c r="Y483" i="22" s="1"/>
  <c r="H484" i="22"/>
  <c r="AG483" i="22" l="1"/>
  <c r="F484" i="22" l="1"/>
  <c r="AK483" i="22"/>
  <c r="G484" i="22" s="1"/>
  <c r="T484" i="22" a="1"/>
  <c r="T484" i="22" l="1"/>
  <c r="Q484" i="22" l="1"/>
  <c r="U484" i="22"/>
  <c r="AE484" i="22" s="1"/>
  <c r="D485" i="22" s="1"/>
  <c r="V484" i="22"/>
  <c r="AF484" i="22" s="1"/>
  <c r="E485" i="22" s="1"/>
  <c r="AD484" i="22"/>
  <c r="C485" i="22" s="1"/>
  <c r="W484" i="22" a="1"/>
  <c r="W484" i="22" l="1"/>
  <c r="P484" i="22" a="1"/>
  <c r="P484" i="22" l="1"/>
  <c r="AC484" i="22"/>
  <c r="B485" i="22" l="1"/>
  <c r="R484" i="22"/>
  <c r="S484" i="22" s="1"/>
  <c r="K484" i="22" s="1"/>
  <c r="I485" i="22"/>
  <c r="X484" i="22" l="1"/>
  <c r="Y484" i="22" s="1"/>
  <c r="H485" i="22"/>
  <c r="AG484" i="22" l="1"/>
  <c r="F485" i="22" l="1"/>
  <c r="AK484" i="22"/>
  <c r="G485" i="22" s="1"/>
  <c r="T485" i="22" a="1"/>
  <c r="T485" i="22" l="1"/>
  <c r="Q485" i="22" l="1"/>
  <c r="V485" i="22"/>
  <c r="AF485" i="22" s="1"/>
  <c r="E486" i="22" s="1"/>
  <c r="AD485" i="22"/>
  <c r="C486" i="22" s="1"/>
  <c r="U485" i="22"/>
  <c r="AE485" i="22" s="1"/>
  <c r="D486" i="22" s="1"/>
  <c r="W485" i="22" a="1"/>
  <c r="W485" i="22" l="1"/>
  <c r="P485" i="22" a="1"/>
  <c r="P485" i="22" l="1"/>
  <c r="AC485" i="22"/>
  <c r="B486" i="22" l="1"/>
  <c r="R485" i="22"/>
  <c r="S485" i="22" s="1"/>
  <c r="K485" i="22" s="1"/>
  <c r="I486" i="22"/>
  <c r="H486" i="22" l="1"/>
  <c r="X485" i="22"/>
  <c r="Y485" i="22" s="1"/>
  <c r="AG485" i="22" l="1"/>
  <c r="F486" i="22" l="1"/>
  <c r="AK485" i="22"/>
  <c r="G486" i="22" s="1"/>
  <c r="T486" i="22" a="1"/>
  <c r="T486" i="22" l="1"/>
  <c r="Q486" i="22" l="1"/>
  <c r="V486" i="22"/>
  <c r="AF486" i="22" s="1"/>
  <c r="E487" i="22" s="1"/>
  <c r="AD486" i="22"/>
  <c r="C487" i="22" s="1"/>
  <c r="U486" i="22"/>
  <c r="AE486" i="22" s="1"/>
  <c r="D487" i="22" s="1"/>
  <c r="W486" i="22" a="1"/>
  <c r="W486" i="22" l="1"/>
  <c r="P486" i="22" a="1"/>
  <c r="P486" i="22" l="1"/>
  <c r="AC486" i="22"/>
  <c r="B487" i="22" l="1"/>
  <c r="R486" i="22"/>
  <c r="S486" i="22" s="1"/>
  <c r="K486" i="22" s="1"/>
  <c r="I487" i="22"/>
  <c r="X486" i="22" l="1"/>
  <c r="Y486" i="22" s="1"/>
  <c r="H487" i="22"/>
  <c r="AG486" i="22" l="1"/>
  <c r="F487" i="22" l="1"/>
  <c r="AK486" i="22"/>
  <c r="G487" i="22" s="1"/>
  <c r="T487" i="22" a="1"/>
  <c r="T487" i="22" l="1"/>
  <c r="Q487" i="22" l="1"/>
  <c r="V487" i="22"/>
  <c r="AF487" i="22" s="1"/>
  <c r="E488" i="22" s="1"/>
  <c r="U487" i="22"/>
  <c r="AE487" i="22" s="1"/>
  <c r="D488" i="22" s="1"/>
  <c r="AD487" i="22"/>
  <c r="C488" i="22" s="1"/>
  <c r="W487" i="22" a="1"/>
  <c r="W487" i="22" l="1"/>
  <c r="P487" i="22" a="1"/>
  <c r="P487" i="22" l="1"/>
  <c r="AC487" i="22"/>
  <c r="B488" i="22" s="1"/>
  <c r="H488" i="22" l="1"/>
  <c r="R487" i="22"/>
  <c r="S487" i="22" s="1"/>
  <c r="K487" i="22" s="1"/>
  <c r="I488" i="22"/>
  <c r="X487" i="22" l="1"/>
  <c r="Y487" i="22" s="1"/>
  <c r="AG487" i="22" l="1"/>
  <c r="AK487" i="22" l="1"/>
  <c r="G488" i="22" s="1"/>
  <c r="F488" i="22"/>
  <c r="T488" i="22" a="1"/>
  <c r="T488" i="22" l="1"/>
  <c r="Q488" i="22" l="1"/>
  <c r="AD488" i="22"/>
  <c r="C489" i="22" s="1"/>
  <c r="U488" i="22"/>
  <c r="AE488" i="22" s="1"/>
  <c r="D489" i="22" s="1"/>
  <c r="V488" i="22"/>
  <c r="AF488" i="22" s="1"/>
  <c r="E489" i="22" s="1"/>
  <c r="W488" i="22" a="1"/>
  <c r="W488" i="22" l="1"/>
  <c r="P488" i="22" a="1"/>
  <c r="P488" i="22" l="1"/>
  <c r="AC488" i="22"/>
  <c r="I489" i="22" l="1"/>
  <c r="R488" i="22"/>
  <c r="S488" i="22" s="1"/>
  <c r="K488" i="22" s="1"/>
  <c r="B489" i="22"/>
  <c r="H489" i="22" l="1"/>
  <c r="X488" i="22"/>
  <c r="Y488" i="22" s="1"/>
  <c r="AG488" i="22" l="1"/>
  <c r="F489" i="22" l="1"/>
  <c r="AK488" i="22"/>
  <c r="G489" i="22" s="1"/>
  <c r="T489" i="22" a="1"/>
  <c r="T489" i="22" l="1"/>
  <c r="U489" i="22" l="1"/>
  <c r="AE489" i="22" s="1"/>
  <c r="D490" i="22" s="1"/>
  <c r="Q489" i="22"/>
  <c r="V489" i="22"/>
  <c r="AF489" i="22" s="1"/>
  <c r="E490" i="22" s="1"/>
  <c r="AD489" i="22"/>
  <c r="C490" i="22" s="1"/>
  <c r="W489" i="22" a="1"/>
  <c r="W489" i="22" l="1"/>
  <c r="P489" i="22" a="1"/>
  <c r="P489" i="22" l="1"/>
  <c r="AC489" i="22"/>
  <c r="B490" i="22" l="1"/>
  <c r="I490" i="22"/>
  <c r="R489" i="22"/>
  <c r="S489" i="22" s="1"/>
  <c r="K489" i="22" s="1"/>
  <c r="X489" i="22" l="1"/>
  <c r="Y489" i="22" s="1"/>
  <c r="H490" i="22"/>
  <c r="AG489" i="22" l="1"/>
  <c r="F490" i="22" l="1"/>
  <c r="AK489" i="22"/>
  <c r="G490" i="22" s="1"/>
  <c r="T490" i="22" a="1"/>
  <c r="T490" i="22" l="1"/>
  <c r="AD490" i="22" l="1"/>
  <c r="C491" i="22" s="1"/>
  <c r="Q490" i="22"/>
  <c r="U490" i="22"/>
  <c r="AE490" i="22" s="1"/>
  <c r="D491" i="22" s="1"/>
  <c r="V490" i="22"/>
  <c r="AF490" i="22" s="1"/>
  <c r="E491" i="22" s="1"/>
  <c r="W490" i="22" a="1"/>
  <c r="W490" i="22" l="1"/>
  <c r="P490" i="22" a="1"/>
  <c r="P490" i="22" l="1"/>
  <c r="AC490" i="22"/>
  <c r="B491" i="22" l="1"/>
  <c r="R490" i="22"/>
  <c r="S490" i="22" s="1"/>
  <c r="K490" i="22" s="1"/>
  <c r="I491" i="22"/>
  <c r="X490" i="22" l="1"/>
  <c r="Y490" i="22" s="1"/>
  <c r="H491" i="22"/>
  <c r="AG490" i="22" l="1"/>
  <c r="F491" i="22" l="1"/>
  <c r="AK490" i="22"/>
  <c r="G491" i="22" s="1"/>
  <c r="T491" i="22" a="1"/>
  <c r="T491" i="22" l="1"/>
  <c r="Q491" i="22" l="1"/>
  <c r="U491" i="22"/>
  <c r="AE491" i="22" s="1"/>
  <c r="D492" i="22" s="1"/>
  <c r="V491" i="22"/>
  <c r="AF491" i="22" s="1"/>
  <c r="E492" i="22" s="1"/>
  <c r="AD491" i="22"/>
  <c r="C492" i="22" s="1"/>
  <c r="W491" i="22" a="1"/>
  <c r="W491" i="22" l="1"/>
  <c r="P491" i="22" a="1"/>
  <c r="P491" i="22" l="1"/>
  <c r="AC491" i="22"/>
  <c r="R491" i="22" l="1"/>
  <c r="S491" i="22" s="1"/>
  <c r="K491" i="22" s="1"/>
  <c r="I492" i="22"/>
  <c r="B492" i="22"/>
  <c r="X491" i="22" l="1"/>
  <c r="Y491" i="22" s="1"/>
  <c r="H492" i="22"/>
  <c r="AG491" i="22" l="1"/>
  <c r="F492" i="22" l="1"/>
  <c r="AK491" i="22"/>
  <c r="G492" i="22" s="1"/>
  <c r="T492" i="22" a="1"/>
  <c r="T492" i="22" l="1"/>
  <c r="Q492" i="22" l="1"/>
  <c r="U492" i="22"/>
  <c r="AE492" i="22" s="1"/>
  <c r="D493" i="22" s="1"/>
  <c r="V492" i="22"/>
  <c r="AF492" i="22" s="1"/>
  <c r="E493" i="22" s="1"/>
  <c r="AD492" i="22"/>
  <c r="C493" i="22" s="1"/>
  <c r="W492" i="22" a="1"/>
  <c r="W492" i="22" l="1"/>
  <c r="P492" i="22" a="1"/>
  <c r="P492" i="22" l="1"/>
  <c r="AC492" i="22"/>
  <c r="R492" i="22" l="1"/>
  <c r="S492" i="22" s="1"/>
  <c r="K492" i="22" s="1"/>
  <c r="I493" i="22"/>
  <c r="B493" i="22"/>
  <c r="X492" i="22" l="1"/>
  <c r="Y492" i="22" s="1"/>
  <c r="H493" i="22"/>
  <c r="AG492" i="22" l="1"/>
  <c r="F493" i="22" l="1"/>
  <c r="AK492" i="22"/>
  <c r="G493" i="22" s="1"/>
  <c r="T493" i="22" a="1"/>
  <c r="T493" i="22" l="1"/>
  <c r="Q493" i="22" l="1"/>
  <c r="V493" i="22"/>
  <c r="AF493" i="22" s="1"/>
  <c r="E494" i="22" s="1"/>
  <c r="AD493" i="22"/>
  <c r="C494" i="22" s="1"/>
  <c r="U493" i="22"/>
  <c r="AE493" i="22" s="1"/>
  <c r="D494" i="22" s="1"/>
  <c r="W493" i="22" a="1"/>
  <c r="W493" i="22" l="1"/>
  <c r="P493" i="22" a="1"/>
  <c r="P493" i="22" l="1"/>
  <c r="AC493" i="22"/>
  <c r="B494" i="22" l="1"/>
  <c r="R493" i="22"/>
  <c r="S493" i="22" s="1"/>
  <c r="K493" i="22" s="1"/>
  <c r="I494" i="22"/>
  <c r="H494" i="22" l="1"/>
  <c r="X493" i="22"/>
  <c r="Y493" i="22" s="1"/>
  <c r="AG493" i="22" l="1"/>
  <c r="F494" i="22" l="1"/>
  <c r="AK493" i="22"/>
  <c r="G494" i="22" s="1"/>
  <c r="T494" i="22" a="1"/>
  <c r="T494" i="22" l="1"/>
  <c r="U494" i="22" l="1"/>
  <c r="AE494" i="22" s="1"/>
  <c r="D495" i="22" s="1"/>
  <c r="Q494" i="22"/>
  <c r="AD494" i="22"/>
  <c r="C495" i="22" s="1"/>
  <c r="V494" i="22"/>
  <c r="AF494" i="22" s="1"/>
  <c r="E495" i="22" s="1"/>
  <c r="W494" i="22" a="1"/>
  <c r="W494" i="22" l="1"/>
  <c r="P494" i="22" a="1"/>
  <c r="P494" i="22" l="1"/>
  <c r="AC494" i="22"/>
  <c r="B495" i="22" l="1"/>
  <c r="I495" i="22"/>
  <c r="R494" i="22"/>
  <c r="S494" i="22" s="1"/>
  <c r="K494" i="22" s="1"/>
  <c r="H495" i="22" l="1"/>
  <c r="X494" i="22"/>
  <c r="Y494" i="22" s="1"/>
  <c r="AG494" i="22" l="1"/>
  <c r="F495" i="22" l="1"/>
  <c r="AK494" i="22"/>
  <c r="G495" i="22" s="1"/>
  <c r="T495" i="22" a="1"/>
  <c r="T495" i="22" l="1"/>
  <c r="V495" i="22" l="1"/>
  <c r="AF495" i="22" s="1"/>
  <c r="E496" i="22" s="1"/>
  <c r="Q495" i="22"/>
  <c r="U495" i="22"/>
  <c r="AE495" i="22" s="1"/>
  <c r="D496" i="22" s="1"/>
  <c r="AD495" i="22"/>
  <c r="C496" i="22" s="1"/>
  <c r="W495" i="22" a="1"/>
  <c r="W495" i="22" l="1"/>
  <c r="P495" i="22" a="1"/>
  <c r="P495" i="22" l="1"/>
  <c r="AC495" i="22"/>
  <c r="I496" i="22" l="1"/>
  <c r="R495" i="22"/>
  <c r="S495" i="22" s="1"/>
  <c r="K495" i="22" s="1"/>
  <c r="B496" i="22"/>
  <c r="H496" i="22" l="1"/>
  <c r="X495" i="22"/>
  <c r="Y495" i="22" s="1"/>
  <c r="AG495" i="22" l="1"/>
  <c r="F496" i="22" l="1"/>
  <c r="AK495" i="22"/>
  <c r="G496" i="22" s="1"/>
  <c r="T496" i="22" a="1"/>
  <c r="T496" i="22" l="1"/>
  <c r="Q496" i="22" l="1"/>
  <c r="V496" i="22"/>
  <c r="AF496" i="22" s="1"/>
  <c r="E497" i="22" s="1"/>
  <c r="U496" i="22"/>
  <c r="AE496" i="22" s="1"/>
  <c r="D497" i="22" s="1"/>
  <c r="AD496" i="22"/>
  <c r="C497" i="22" s="1"/>
  <c r="W496" i="22" a="1"/>
  <c r="W496" i="22" l="1"/>
  <c r="P496" i="22" a="1"/>
  <c r="P496" i="22" l="1"/>
  <c r="AC496" i="22"/>
  <c r="B497" i="22" l="1"/>
  <c r="I497" i="22"/>
  <c r="R496" i="22"/>
  <c r="S496" i="22" s="1"/>
  <c r="K496" i="22" s="1"/>
  <c r="X496" i="22" l="1"/>
  <c r="Y496" i="22" s="1"/>
  <c r="H497" i="22"/>
  <c r="AG496" i="22" l="1"/>
  <c r="F497" i="22" l="1"/>
  <c r="AK496" i="22"/>
  <c r="G497" i="22" s="1"/>
  <c r="T497" i="22" a="1"/>
  <c r="T497" i="22" l="1"/>
  <c r="Q497" i="22" l="1"/>
  <c r="U497" i="22"/>
  <c r="AE497" i="22" s="1"/>
  <c r="D498" i="22" s="1"/>
  <c r="AD497" i="22"/>
  <c r="C498" i="22" s="1"/>
  <c r="V497" i="22"/>
  <c r="AF497" i="22" s="1"/>
  <c r="E498" i="22" s="1"/>
  <c r="W497" i="22" a="1"/>
  <c r="W497" i="22" l="1"/>
  <c r="P497" i="22" a="1"/>
  <c r="P497" i="22" l="1"/>
  <c r="AC497" i="22"/>
  <c r="I498" i="22" l="1"/>
  <c r="R497" i="22"/>
  <c r="S497" i="22" s="1"/>
  <c r="K497" i="22" s="1"/>
  <c r="B498" i="22"/>
  <c r="H498" i="22" l="1"/>
  <c r="X497" i="22"/>
  <c r="Y497" i="22" s="1"/>
  <c r="AG497" i="22" l="1"/>
  <c r="F498" i="22" l="1"/>
  <c r="AK497" i="22"/>
  <c r="G498" i="22" s="1"/>
  <c r="T498" i="22" a="1"/>
  <c r="T498" i="22" l="1"/>
  <c r="Q498" i="22" l="1"/>
  <c r="AD498" i="22"/>
  <c r="C499" i="22" s="1"/>
  <c r="U498" i="22"/>
  <c r="AE498" i="22" s="1"/>
  <c r="D499" i="22" s="1"/>
  <c r="V498" i="22"/>
  <c r="AF498" i="22" s="1"/>
  <c r="E499" i="22" s="1"/>
  <c r="W498" i="22" a="1"/>
  <c r="W498" i="22" l="1"/>
  <c r="P498" i="22" a="1"/>
  <c r="P498" i="22" l="1"/>
  <c r="AC498" i="22"/>
  <c r="B499" i="22" l="1"/>
  <c r="R498" i="22"/>
  <c r="S498" i="22" s="1"/>
  <c r="K498" i="22" s="1"/>
  <c r="I499" i="22"/>
  <c r="H499" i="22" l="1"/>
  <c r="X498" i="22"/>
  <c r="Y498" i="22" s="1"/>
  <c r="AG498" i="22" l="1"/>
  <c r="F499" i="22" l="1"/>
  <c r="AK498" i="22"/>
  <c r="G499" i="22" s="1"/>
  <c r="T499" i="22" a="1"/>
  <c r="T499" i="22" l="1"/>
  <c r="Q499" i="22" l="1"/>
  <c r="V499" i="22"/>
  <c r="AF499" i="22" s="1"/>
  <c r="E500" i="22" s="1"/>
  <c r="U499" i="22"/>
  <c r="AE499" i="22" s="1"/>
  <c r="D500" i="22" s="1"/>
  <c r="AD499" i="22"/>
  <c r="C500" i="22" s="1"/>
  <c r="W499" i="22" a="1"/>
  <c r="W499" i="22" l="1"/>
  <c r="P499" i="22" a="1"/>
  <c r="P499" i="22" l="1"/>
  <c r="AC499" i="22"/>
  <c r="B500" i="22" l="1"/>
  <c r="I500" i="22"/>
  <c r="R499" i="22"/>
  <c r="S499" i="22" s="1"/>
  <c r="K499" i="22" s="1"/>
  <c r="H500" i="22" l="1"/>
  <c r="X499" i="22"/>
  <c r="Y499" i="22" s="1"/>
  <c r="AG499" i="22" l="1"/>
  <c r="F500" i="22" l="1"/>
  <c r="AK499" i="22"/>
  <c r="G500" i="22" s="1"/>
  <c r="T500" i="22" a="1"/>
  <c r="T500" i="22" l="1"/>
  <c r="Q500" i="22" l="1"/>
  <c r="U500" i="22"/>
  <c r="AE500" i="22" s="1"/>
  <c r="D501" i="22" s="1"/>
  <c r="AD500" i="22"/>
  <c r="C501" i="22" s="1"/>
  <c r="V500" i="22"/>
  <c r="AF500" i="22" s="1"/>
  <c r="E501" i="22" s="1"/>
  <c r="W500" i="22" a="1"/>
  <c r="W500" i="22" l="1"/>
  <c r="P500" i="22" a="1"/>
  <c r="P500" i="22" l="1"/>
  <c r="AC500" i="22"/>
  <c r="B501" i="22" l="1"/>
  <c r="R500" i="22"/>
  <c r="S500" i="22" s="1"/>
  <c r="K500" i="22" s="1"/>
  <c r="I501" i="22"/>
  <c r="X500" i="22" l="1"/>
  <c r="Y500" i="22" s="1"/>
  <c r="H501" i="22"/>
  <c r="AG500" i="22" l="1"/>
  <c r="F501" i="22" l="1"/>
  <c r="AK500" i="22"/>
  <c r="G501" i="22" s="1"/>
  <c r="T501" i="22" a="1"/>
  <c r="T501" i="22" l="1"/>
  <c r="Q501" i="22" l="1"/>
  <c r="U501" i="22"/>
  <c r="AE501" i="22" s="1"/>
  <c r="D502" i="22" s="1"/>
  <c r="AD501" i="22"/>
  <c r="C502" i="22" s="1"/>
  <c r="V501" i="22"/>
  <c r="AF501" i="22" s="1"/>
  <c r="E502" i="22" s="1"/>
  <c r="W501" i="22" a="1"/>
  <c r="W501" i="22" l="1"/>
  <c r="P501" i="22" a="1"/>
  <c r="P501" i="22" l="1"/>
  <c r="AC501" i="22"/>
  <c r="I502" i="22" l="1"/>
  <c r="R501" i="22"/>
  <c r="S501" i="22" s="1"/>
  <c r="K501" i="22" s="1"/>
  <c r="B502" i="22"/>
  <c r="H502" i="22" l="1"/>
  <c r="X501" i="22"/>
  <c r="Y501" i="22" s="1"/>
  <c r="AG501" i="22" l="1"/>
  <c r="F502" i="22" l="1"/>
  <c r="AK501" i="22"/>
  <c r="G502" i="22" s="1"/>
  <c r="T502" i="22" a="1"/>
  <c r="T502" i="22" l="1"/>
  <c r="Q502" i="22" l="1"/>
  <c r="V502" i="22"/>
  <c r="AF502" i="22" s="1"/>
  <c r="E503" i="22" s="1"/>
  <c r="AD502" i="22"/>
  <c r="C503" i="22" s="1"/>
  <c r="U502" i="22"/>
  <c r="AE502" i="22" s="1"/>
  <c r="D503" i="22" s="1"/>
  <c r="W502" i="22" a="1"/>
  <c r="W502" i="22" l="1"/>
  <c r="P502" i="22" a="1"/>
  <c r="P502" i="22" l="1"/>
  <c r="AC502" i="22"/>
  <c r="B503" i="22" l="1"/>
  <c r="I503" i="22"/>
  <c r="R502" i="22"/>
  <c r="S502" i="22" s="1"/>
  <c r="K502" i="22" s="1"/>
  <c r="X502" i="22" l="1"/>
  <c r="Y502" i="22" s="1"/>
  <c r="H503" i="22"/>
  <c r="AG502" i="22" l="1"/>
  <c r="F503" i="22" l="1"/>
  <c r="AK502" i="22"/>
  <c r="G503" i="22" s="1"/>
  <c r="T503" i="22" a="1"/>
  <c r="T503" i="22" l="1"/>
  <c r="Q503" i="22" l="1"/>
  <c r="U503" i="22"/>
  <c r="AE503" i="22" s="1"/>
  <c r="D504" i="22" s="1"/>
  <c r="V503" i="22"/>
  <c r="AF503" i="22" s="1"/>
  <c r="E504" i="22" s="1"/>
  <c r="AD503" i="22"/>
  <c r="C504" i="22" s="1"/>
  <c r="W503" i="22" a="1"/>
  <c r="W503" i="22" l="1"/>
  <c r="P503" i="22" a="1"/>
  <c r="P503" i="22" l="1"/>
  <c r="AC503" i="22"/>
  <c r="B504" i="22" l="1"/>
  <c r="R503" i="22"/>
  <c r="S503" i="22" s="1"/>
  <c r="K503" i="22" s="1"/>
  <c r="I504" i="22"/>
  <c r="X503" i="22" l="1"/>
  <c r="Y503" i="22" s="1"/>
  <c r="H504" i="22"/>
  <c r="AG503" i="22" l="1"/>
  <c r="F504" i="22" l="1"/>
  <c r="AK503" i="22"/>
  <c r="G504" i="22" s="1"/>
  <c r="T504" i="22" a="1"/>
  <c r="T504" i="22" l="1"/>
  <c r="Q504" i="22" l="1"/>
  <c r="U504" i="22"/>
  <c r="AE504" i="22" s="1"/>
  <c r="D505" i="22" s="1"/>
  <c r="V504" i="22"/>
  <c r="AF504" i="22" s="1"/>
  <c r="E505" i="22" s="1"/>
  <c r="AD504" i="22"/>
  <c r="C505" i="22" s="1"/>
  <c r="W504" i="22" a="1"/>
  <c r="W504" i="22" l="1"/>
  <c r="P504" i="22" a="1"/>
  <c r="P504" i="22" l="1"/>
  <c r="AC504" i="22"/>
  <c r="R504" i="22" l="1"/>
  <c r="S504" i="22" s="1"/>
  <c r="K504" i="22" s="1"/>
  <c r="I505" i="22"/>
  <c r="B505" i="22"/>
  <c r="H505" i="22" l="1"/>
  <c r="X504" i="22"/>
  <c r="Y504" i="22" s="1"/>
  <c r="AG504" i="22" l="1"/>
  <c r="F505" i="22" l="1"/>
  <c r="AK504" i="22"/>
  <c r="G505" i="22" s="1"/>
  <c r="T505" i="22" a="1"/>
  <c r="T505" i="22" l="1"/>
  <c r="U505" i="22" l="1"/>
  <c r="AE505" i="22" s="1"/>
  <c r="D506" i="22" s="1"/>
  <c r="Q505" i="22"/>
  <c r="AD505" i="22"/>
  <c r="C506" i="22" s="1"/>
  <c r="V505" i="22"/>
  <c r="AF505" i="22" s="1"/>
  <c r="E506" i="22" s="1"/>
  <c r="W505" i="22" a="1"/>
  <c r="W505" i="22" l="1"/>
  <c r="P505" i="22" a="1"/>
  <c r="P505" i="22" l="1"/>
  <c r="AC505" i="22"/>
  <c r="B506" i="22" l="1"/>
  <c r="I506" i="22"/>
  <c r="R505" i="22"/>
  <c r="S505" i="22" s="1"/>
  <c r="K505" i="22" s="1"/>
  <c r="X505" i="22" l="1"/>
  <c r="Y505" i="22" s="1"/>
  <c r="H506" i="22"/>
  <c r="AG505" i="22" l="1"/>
  <c r="F506" i="22" l="1"/>
  <c r="AK505" i="22"/>
  <c r="G506" i="22" s="1"/>
  <c r="T506" i="22" a="1"/>
  <c r="T506" i="22" l="1"/>
  <c r="Q506" i="22" l="1"/>
  <c r="AD506" i="22"/>
  <c r="C507" i="22" s="1"/>
  <c r="U506" i="22"/>
  <c r="AE506" i="22" s="1"/>
  <c r="D507" i="22" s="1"/>
  <c r="V506" i="22"/>
  <c r="AF506" i="22" s="1"/>
  <c r="E507" i="22" s="1"/>
  <c r="W506" i="22" a="1"/>
  <c r="W506" i="22" l="1"/>
  <c r="P506" i="22" a="1"/>
  <c r="P506" i="22" l="1"/>
  <c r="AC506" i="22"/>
  <c r="B507" i="22" l="1"/>
  <c r="I507" i="22"/>
  <c r="R506" i="22"/>
  <c r="S506" i="22" s="1"/>
  <c r="K506" i="22" s="1"/>
  <c r="H507" i="22" l="1"/>
  <c r="X506" i="22"/>
  <c r="Y506" i="22" s="1"/>
  <c r="AG506" i="22" l="1"/>
  <c r="F507" i="22" l="1"/>
  <c r="AK506" i="22"/>
  <c r="G507" i="22" s="1"/>
  <c r="T507" i="22" a="1"/>
  <c r="T507" i="22" l="1"/>
  <c r="Q507" i="22" l="1"/>
  <c r="V507" i="22"/>
  <c r="AF507" i="22" s="1"/>
  <c r="E508" i="22" s="1"/>
  <c r="U507" i="22"/>
  <c r="AE507" i="22" s="1"/>
  <c r="D508" i="22" s="1"/>
  <c r="AD507" i="22"/>
  <c r="C508" i="22" s="1"/>
  <c r="W507" i="22" a="1"/>
  <c r="W507" i="22" l="1"/>
  <c r="P507" i="22" a="1"/>
  <c r="P507" i="22" l="1"/>
  <c r="AC507" i="22"/>
  <c r="B508" i="22" l="1"/>
  <c r="I508" i="22"/>
  <c r="R507" i="22"/>
  <c r="S507" i="22" s="1"/>
  <c r="K507" i="22" s="1"/>
  <c r="X507" i="22" l="1"/>
  <c r="Y507" i="22" s="1"/>
  <c r="H508" i="22"/>
  <c r="AG507" i="22" l="1"/>
  <c r="F508" i="22" l="1"/>
  <c r="AK507" i="22"/>
  <c r="G508" i="22" s="1"/>
  <c r="T508" i="22" a="1"/>
  <c r="T508" i="22" l="1"/>
  <c r="Q508" i="22" l="1"/>
  <c r="AD508" i="22"/>
  <c r="C509" i="22" s="1"/>
  <c r="U508" i="22"/>
  <c r="AE508" i="22" s="1"/>
  <c r="D509" i="22" s="1"/>
  <c r="V508" i="22"/>
  <c r="AF508" i="22" s="1"/>
  <c r="E509" i="22" s="1"/>
  <c r="W508" i="22" a="1"/>
  <c r="W508" i="22" l="1"/>
  <c r="P508" i="22" a="1"/>
  <c r="P508" i="22" l="1"/>
  <c r="AC508" i="22"/>
  <c r="R508" i="22" l="1"/>
  <c r="S508" i="22" s="1"/>
  <c r="K508" i="22" s="1"/>
  <c r="I509" i="22"/>
  <c r="B509" i="22"/>
  <c r="H509" i="22" s="1"/>
  <c r="X508" i="22" l="1"/>
  <c r="Y508" i="22" s="1"/>
  <c r="AG508" i="22" l="1"/>
  <c r="F509" i="22" l="1"/>
  <c r="AK508" i="22"/>
  <c r="G509" i="22" s="1"/>
  <c r="T509" i="22" a="1"/>
  <c r="T509" i="22" l="1"/>
  <c r="V509" i="22" l="1"/>
  <c r="AF509" i="22" s="1"/>
  <c r="E510" i="22" s="1"/>
  <c r="Q509" i="22"/>
  <c r="AD509" i="22"/>
  <c r="C510" i="22" s="1"/>
  <c r="U509" i="22"/>
  <c r="AE509" i="22" s="1"/>
  <c r="D510" i="22" s="1"/>
  <c r="W509" i="22" a="1"/>
  <c r="W509" i="22" l="1"/>
  <c r="P509" i="22" a="1"/>
  <c r="P509" i="22" l="1"/>
  <c r="AC509" i="22"/>
  <c r="B510" i="22" s="1"/>
  <c r="I510" i="22" l="1"/>
  <c r="H510" i="22" s="1"/>
  <c r="R509" i="22"/>
  <c r="S509" i="22" s="1"/>
  <c r="K509" i="22" s="1"/>
  <c r="X509" i="22" l="1"/>
  <c r="Y509" i="22" s="1"/>
  <c r="AG509" i="22" l="1"/>
  <c r="AK509" i="22" l="1"/>
  <c r="G510" i="22" s="1"/>
  <c r="F510" i="22"/>
  <c r="T510" i="22" a="1"/>
  <c r="T510" i="22" l="1"/>
  <c r="Q510" i="22" l="1"/>
  <c r="AD510" i="22"/>
  <c r="C511" i="22" s="1"/>
  <c r="U510" i="22"/>
  <c r="AE510" i="22" s="1"/>
  <c r="D511" i="22" s="1"/>
  <c r="V510" i="22"/>
  <c r="AF510" i="22" s="1"/>
  <c r="E511" i="22" s="1"/>
  <c r="W510" i="22" a="1"/>
  <c r="W510" i="22" l="1"/>
  <c r="P510" i="22" a="1"/>
  <c r="P510" i="22" l="1"/>
  <c r="AC510" i="22"/>
  <c r="I511" i="22" l="1"/>
  <c r="R510" i="22"/>
  <c r="S510" i="22" s="1"/>
  <c r="K510" i="22" s="1"/>
  <c r="B511" i="22"/>
  <c r="H511" i="22" l="1"/>
  <c r="X510" i="22"/>
  <c r="Y510" i="22" s="1"/>
  <c r="AG510" i="22" l="1"/>
  <c r="F511" i="22" l="1"/>
  <c r="AK510" i="22"/>
  <c r="G511" i="22" s="1"/>
  <c r="T511" i="22" a="1"/>
  <c r="T511" i="22" l="1"/>
  <c r="U511" i="22" l="1"/>
  <c r="AE511" i="22" s="1"/>
  <c r="D512" i="22" s="1"/>
  <c r="Q511" i="22"/>
  <c r="AD511" i="22"/>
  <c r="C512" i="22" s="1"/>
  <c r="V511" i="22"/>
  <c r="AF511" i="22" s="1"/>
  <c r="E512" i="22" s="1"/>
  <c r="W511" i="22" a="1"/>
  <c r="W511" i="22" l="1"/>
  <c r="P511" i="22" a="1"/>
  <c r="P511" i="22" l="1"/>
  <c r="AC511" i="22"/>
  <c r="B512" i="22" l="1"/>
  <c r="R511" i="22"/>
  <c r="S511" i="22" s="1"/>
  <c r="K511" i="22" s="1"/>
  <c r="I512" i="22"/>
  <c r="H512" i="22" l="1"/>
  <c r="X511" i="22"/>
  <c r="Y511" i="22" s="1"/>
  <c r="AG511" i="22" l="1"/>
  <c r="F512" i="22" l="1"/>
  <c r="AK511" i="22"/>
  <c r="G512" i="22" s="1"/>
  <c r="T512" i="22" a="1"/>
  <c r="T512" i="22" l="1"/>
  <c r="Q512" i="22" l="1"/>
  <c r="AD512" i="22"/>
  <c r="C513" i="22" s="1"/>
  <c r="V512" i="22"/>
  <c r="AF512" i="22" s="1"/>
  <c r="E513" i="22" s="1"/>
  <c r="U512" i="22"/>
  <c r="AE512" i="22" s="1"/>
  <c r="D513" i="22" s="1"/>
  <c r="W512" i="22" a="1"/>
  <c r="W512" i="22" l="1"/>
  <c r="P512" i="22" a="1"/>
  <c r="P512" i="22" l="1"/>
  <c r="AC512" i="22"/>
  <c r="B513" i="22" l="1"/>
  <c r="I513" i="22"/>
  <c r="R512" i="22"/>
  <c r="S512" i="22" s="1"/>
  <c r="K512" i="22" s="1"/>
  <c r="X512" i="22" l="1"/>
  <c r="Y512" i="22" s="1"/>
  <c r="H513" i="22"/>
  <c r="AG512" i="22" l="1"/>
  <c r="F513" i="22" l="1"/>
  <c r="AK512" i="22"/>
  <c r="G513" i="22" s="1"/>
  <c r="T513" i="22" a="1"/>
  <c r="T513" i="22" l="1"/>
  <c r="Q513" i="22" l="1"/>
  <c r="U513" i="22"/>
  <c r="AE513" i="22" s="1"/>
  <c r="D514" i="22" s="1"/>
  <c r="V513" i="22"/>
  <c r="AF513" i="22" s="1"/>
  <c r="E514" i="22" s="1"/>
  <c r="AD513" i="22"/>
  <c r="C514" i="22" s="1"/>
  <c r="W513" i="22" a="1"/>
  <c r="W513" i="22" l="1"/>
  <c r="P513" i="22" a="1"/>
  <c r="P513" i="22" l="1"/>
  <c r="AC513" i="22"/>
  <c r="B514" i="22" l="1"/>
  <c r="R513" i="22"/>
  <c r="S513" i="22" s="1"/>
  <c r="K513" i="22" s="1"/>
  <c r="I514" i="22"/>
  <c r="X513" i="22" l="1"/>
  <c r="Y513" i="22" s="1"/>
  <c r="H514" i="22"/>
  <c r="AG513" i="22" l="1"/>
  <c r="F514" i="22" l="1"/>
  <c r="AK513" i="22"/>
  <c r="G514" i="22" s="1"/>
  <c r="T514" i="22" a="1"/>
  <c r="T514" i="22" l="1"/>
  <c r="Q514" i="22" l="1"/>
  <c r="V514" i="22"/>
  <c r="AF514" i="22" s="1"/>
  <c r="E515" i="22" s="1"/>
  <c r="U514" i="22"/>
  <c r="AE514" i="22" s="1"/>
  <c r="D515" i="22" s="1"/>
  <c r="AD514" i="22"/>
  <c r="C515" i="22" s="1"/>
  <c r="W514" i="22" a="1"/>
  <c r="W514" i="22" l="1"/>
  <c r="P514" i="22" a="1"/>
  <c r="P514" i="22" l="1"/>
  <c r="AC514" i="22"/>
  <c r="R514" i="22" l="1"/>
  <c r="S514" i="22" s="1"/>
  <c r="K514" i="22" s="1"/>
  <c r="I515" i="22"/>
  <c r="B515" i="22"/>
  <c r="X514" i="22" l="1"/>
  <c r="Y514" i="22" s="1"/>
  <c r="H515" i="22"/>
  <c r="AG514" i="22" l="1"/>
  <c r="F515" i="22" l="1"/>
  <c r="AK514" i="22"/>
  <c r="G515" i="22" s="1"/>
  <c r="T515" i="22" a="1"/>
  <c r="T515" i="22" l="1"/>
  <c r="Q515" i="22" l="1"/>
  <c r="U515" i="22"/>
  <c r="AE515" i="22" s="1"/>
  <c r="D516" i="22" s="1"/>
  <c r="V515" i="22"/>
  <c r="AF515" i="22" s="1"/>
  <c r="E516" i="22" s="1"/>
  <c r="AD515" i="22"/>
  <c r="C516" i="22" s="1"/>
  <c r="W515" i="22" a="1"/>
  <c r="W515" i="22" l="1"/>
  <c r="P515" i="22" a="1"/>
  <c r="P515" i="22" l="1"/>
  <c r="AC515" i="22"/>
  <c r="B516" i="22" l="1"/>
  <c r="I516" i="22"/>
  <c r="R515" i="22"/>
  <c r="S515" i="22" s="1"/>
  <c r="K515" i="22" s="1"/>
  <c r="X515" i="22" l="1"/>
  <c r="Y515" i="22" s="1"/>
  <c r="H516" i="22"/>
  <c r="AG515" i="22" l="1"/>
  <c r="F516" i="22" l="1"/>
  <c r="AK515" i="22"/>
  <c r="G516" i="22" s="1"/>
  <c r="T516" i="22" a="1"/>
  <c r="T516" i="22" l="1"/>
  <c r="Q516" i="22" l="1"/>
  <c r="AD516" i="22"/>
  <c r="C517" i="22" s="1"/>
  <c r="U516" i="22"/>
  <c r="AE516" i="22" s="1"/>
  <c r="D517" i="22" s="1"/>
  <c r="V516" i="22"/>
  <c r="AF516" i="22" s="1"/>
  <c r="E517" i="22" s="1"/>
  <c r="W516" i="22" a="1"/>
  <c r="W516" i="22" l="1"/>
  <c r="P516" i="22" a="1"/>
  <c r="P516" i="22" l="1"/>
  <c r="AC516" i="22"/>
  <c r="B517" i="22" l="1"/>
  <c r="I517" i="22"/>
  <c r="R516" i="22"/>
  <c r="S516" i="22" s="1"/>
  <c r="K516" i="22" s="1"/>
  <c r="X516" i="22" l="1"/>
  <c r="Y516" i="22" s="1"/>
  <c r="H517" i="22"/>
  <c r="AG516" i="22" l="1"/>
  <c r="F517" i="22" l="1"/>
  <c r="AK516" i="22"/>
  <c r="G517" i="22" s="1"/>
  <c r="T517" i="22" a="1"/>
  <c r="T517" i="22" l="1"/>
  <c r="Q517" i="22" l="1"/>
  <c r="U517" i="22"/>
  <c r="AE517" i="22" s="1"/>
  <c r="D518" i="22" s="1"/>
  <c r="AD517" i="22"/>
  <c r="C518" i="22" s="1"/>
  <c r="V517" i="22"/>
  <c r="AF517" i="22" s="1"/>
  <c r="E518" i="22" s="1"/>
  <c r="W517" i="22" a="1"/>
  <c r="W517" i="22" l="1"/>
  <c r="P517" i="22" a="1"/>
  <c r="P517" i="22" l="1"/>
  <c r="AC517" i="22"/>
  <c r="R517" i="22" l="1"/>
  <c r="S517" i="22" s="1"/>
  <c r="K517" i="22" s="1"/>
  <c r="I518" i="22"/>
  <c r="B518" i="22"/>
  <c r="X517" i="22" l="1"/>
  <c r="Y517" i="22" s="1"/>
  <c r="H518" i="22"/>
  <c r="AG517" i="22" l="1"/>
  <c r="F518" i="22" l="1"/>
  <c r="AK517" i="22"/>
  <c r="G518" i="22" s="1"/>
  <c r="T518" i="22" a="1"/>
  <c r="T518" i="22" l="1"/>
  <c r="Q518" i="22" l="1"/>
  <c r="U518" i="22"/>
  <c r="AE518" i="22" s="1"/>
  <c r="D519" i="22" s="1"/>
  <c r="V518" i="22"/>
  <c r="AF518" i="22" s="1"/>
  <c r="E519" i="22" s="1"/>
  <c r="AD518" i="22"/>
  <c r="C519" i="22" s="1"/>
  <c r="W518" i="22" a="1"/>
  <c r="W518" i="22" l="1"/>
  <c r="P518" i="22" a="1"/>
  <c r="P518" i="22" l="1"/>
  <c r="AC518" i="22"/>
  <c r="B519" i="22" l="1"/>
  <c r="I519" i="22"/>
  <c r="R518" i="22"/>
  <c r="S518" i="22" s="1"/>
  <c r="K518" i="22" s="1"/>
  <c r="X518" i="22" l="1"/>
  <c r="Y518" i="22" s="1"/>
  <c r="H519" i="22"/>
  <c r="AG518" i="22" l="1"/>
  <c r="F519" i="22" l="1"/>
  <c r="AK518" i="22"/>
  <c r="G519" i="22" s="1"/>
  <c r="T519" i="22" a="1"/>
  <c r="T519" i="22" l="1"/>
  <c r="Q519" i="22" l="1"/>
  <c r="V519" i="22"/>
  <c r="AF519" i="22" s="1"/>
  <c r="E520" i="22" s="1"/>
  <c r="AD519" i="22"/>
  <c r="C520" i="22" s="1"/>
  <c r="U519" i="22"/>
  <c r="AE519" i="22" s="1"/>
  <c r="D520" i="22" s="1"/>
  <c r="W519" i="22" a="1"/>
  <c r="W519" i="22" l="1"/>
  <c r="P519" i="22" a="1"/>
  <c r="P519" i="22" l="1"/>
  <c r="AC519" i="22"/>
  <c r="R519" i="22" l="1"/>
  <c r="S519" i="22" s="1"/>
  <c r="K519" i="22" s="1"/>
  <c r="I520" i="22"/>
  <c r="B520" i="22"/>
  <c r="H520" i="22" l="1"/>
  <c r="X519" i="22"/>
  <c r="Y519" i="22" s="1"/>
  <c r="AG519" i="22" l="1"/>
  <c r="F520" i="22" l="1"/>
  <c r="AK519" i="22"/>
  <c r="G520" i="22" s="1"/>
  <c r="T520" i="22" a="1"/>
  <c r="T520" i="22" l="1"/>
  <c r="Q520" i="22" l="1"/>
  <c r="AD520" i="22"/>
  <c r="C521" i="22" s="1"/>
  <c r="V520" i="22"/>
  <c r="AF520" i="22" s="1"/>
  <c r="E521" i="22" s="1"/>
  <c r="U520" i="22"/>
  <c r="AE520" i="22" s="1"/>
  <c r="D521" i="22" s="1"/>
  <c r="W520" i="22" a="1"/>
  <c r="W520" i="22" l="1"/>
  <c r="P520" i="22" a="1"/>
  <c r="P520" i="22" l="1"/>
  <c r="AC520" i="22"/>
  <c r="I521" i="22" l="1"/>
  <c r="R520" i="22"/>
  <c r="S520" i="22" s="1"/>
  <c r="K520" i="22" s="1"/>
  <c r="B521" i="22"/>
  <c r="X520" i="22" l="1"/>
  <c r="Y520" i="22" s="1"/>
  <c r="H521" i="22"/>
  <c r="AG520" i="22" l="1"/>
  <c r="F521" i="22" l="1"/>
  <c r="AK520" i="22"/>
  <c r="G521" i="22" s="1"/>
  <c r="T521" i="22" a="1"/>
  <c r="T521" i="22" l="1"/>
  <c r="Q521" i="22" l="1"/>
  <c r="AD521" i="22"/>
  <c r="C522" i="22" s="1"/>
  <c r="U521" i="22"/>
  <c r="AE521" i="22" s="1"/>
  <c r="D522" i="22" s="1"/>
  <c r="V521" i="22"/>
  <c r="AF521" i="22" s="1"/>
  <c r="E522" i="22" s="1"/>
  <c r="W521" i="22" a="1"/>
  <c r="W521" i="22" l="1"/>
  <c r="P521" i="22" a="1"/>
  <c r="P521" i="22" l="1"/>
  <c r="AC521" i="22"/>
  <c r="B522" i="22" l="1"/>
  <c r="I522" i="22"/>
  <c r="R521" i="22"/>
  <c r="S521" i="22" s="1"/>
  <c r="K521" i="22" s="1"/>
  <c r="X521" i="22" l="1"/>
  <c r="Y521" i="22" s="1"/>
  <c r="H522" i="22"/>
  <c r="AG521" i="22" l="1"/>
  <c r="F522" i="22" l="1"/>
  <c r="AK521" i="22"/>
  <c r="G522" i="22" s="1"/>
  <c r="T522" i="22" a="1"/>
  <c r="T522" i="22" l="1"/>
  <c r="Q522" i="22" l="1"/>
  <c r="V522" i="22"/>
  <c r="AF522" i="22" s="1"/>
  <c r="E523" i="22" s="1"/>
  <c r="AD522" i="22"/>
  <c r="C523" i="22" s="1"/>
  <c r="U522" i="22"/>
  <c r="AE522" i="22" s="1"/>
  <c r="D523" i="22" s="1"/>
  <c r="W522" i="22" a="1"/>
  <c r="W522" i="22" l="1"/>
  <c r="P522" i="22" a="1"/>
  <c r="P522" i="22" l="1"/>
  <c r="AC522" i="22"/>
  <c r="B523" i="22" l="1"/>
  <c r="R522" i="22"/>
  <c r="S522" i="22" s="1"/>
  <c r="K522" i="22" s="1"/>
  <c r="I523" i="22"/>
  <c r="H523" i="22" l="1"/>
  <c r="X522" i="22"/>
  <c r="Y522" i="22" s="1"/>
  <c r="AG522" i="22" l="1"/>
  <c r="F523" i="22" l="1"/>
  <c r="AK522" i="22"/>
  <c r="G523" i="22" s="1"/>
  <c r="T523" i="22" a="1"/>
  <c r="T523" i="22" l="1"/>
  <c r="Q523" i="22" l="1"/>
  <c r="V523" i="22"/>
  <c r="AF523" i="22" s="1"/>
  <c r="E524" i="22" s="1"/>
  <c r="U523" i="22"/>
  <c r="AE523" i="22" s="1"/>
  <c r="D524" i="22" s="1"/>
  <c r="AD523" i="22"/>
  <c r="C524" i="22" s="1"/>
  <c r="W523" i="22" a="1"/>
  <c r="W523" i="22" l="1"/>
  <c r="P523" i="22" a="1"/>
  <c r="P523" i="22" l="1"/>
  <c r="AC523" i="22"/>
  <c r="I524" i="22" l="1"/>
  <c r="R523" i="22"/>
  <c r="S523" i="22" s="1"/>
  <c r="K523" i="22" s="1"/>
  <c r="B524" i="22"/>
  <c r="H524" i="22" s="1"/>
  <c r="X523" i="22" l="1"/>
  <c r="Y523" i="22" s="1"/>
  <c r="AG523" i="22" l="1"/>
  <c r="F524" i="22" l="1"/>
  <c r="AK523" i="22"/>
  <c r="G524" i="22" s="1"/>
  <c r="T524" i="22" a="1"/>
  <c r="T524" i="22" l="1"/>
  <c r="V524" i="22" l="1"/>
  <c r="AF524" i="22" s="1"/>
  <c r="E525" i="22" s="1"/>
  <c r="Q524" i="22"/>
  <c r="AD524" i="22"/>
  <c r="C525" i="22" s="1"/>
  <c r="U524" i="22"/>
  <c r="AE524" i="22" s="1"/>
  <c r="D525" i="22" s="1"/>
  <c r="W524" i="22" a="1"/>
  <c r="W524" i="22" l="1"/>
  <c r="P524" i="22" a="1"/>
  <c r="P524" i="22" l="1"/>
  <c r="AC524" i="22"/>
  <c r="I525" i="22" l="1"/>
  <c r="R524" i="22"/>
  <c r="S524" i="22" s="1"/>
  <c r="K524" i="22" s="1"/>
  <c r="B525" i="22"/>
  <c r="H525" i="22" l="1"/>
  <c r="X524" i="22"/>
  <c r="Y524" i="22" s="1"/>
  <c r="AG524" i="22" l="1"/>
  <c r="F525" i="22" l="1"/>
  <c r="AK524" i="22"/>
  <c r="G525" i="22" s="1"/>
  <c r="T525" i="22" a="1"/>
  <c r="T525" i="22" l="1"/>
  <c r="Q525" i="22" l="1"/>
  <c r="AD525" i="22"/>
  <c r="C526" i="22" s="1"/>
  <c r="U525" i="22"/>
  <c r="AE525" i="22" s="1"/>
  <c r="D526" i="22" s="1"/>
  <c r="V525" i="22"/>
  <c r="AF525" i="22" s="1"/>
  <c r="E526" i="22" s="1"/>
  <c r="W525" i="22" a="1"/>
  <c r="W525" i="22" l="1"/>
  <c r="P525" i="22" a="1"/>
  <c r="P525" i="22" l="1"/>
  <c r="AC525" i="22"/>
  <c r="I526" i="22" l="1"/>
  <c r="R525" i="22"/>
  <c r="S525" i="22" s="1"/>
  <c r="K525" i="22" s="1"/>
  <c r="B526" i="22"/>
  <c r="H526" i="22" l="1"/>
  <c r="X525" i="22"/>
  <c r="Y525" i="22" s="1"/>
  <c r="AG525" i="22" l="1"/>
  <c r="F526" i="22" l="1"/>
  <c r="AK525" i="22"/>
  <c r="G526" i="22" s="1"/>
  <c r="T526" i="22" a="1"/>
  <c r="T526" i="22" l="1"/>
  <c r="Q526" i="22" l="1"/>
  <c r="V526" i="22"/>
  <c r="AF526" i="22" s="1"/>
  <c r="E527" i="22" s="1"/>
  <c r="AD526" i="22"/>
  <c r="C527" i="22" s="1"/>
  <c r="U526" i="22"/>
  <c r="AE526" i="22" s="1"/>
  <c r="D527" i="22" s="1"/>
  <c r="W526" i="22" a="1"/>
  <c r="W526" i="22" l="1"/>
  <c r="P526" i="22" a="1"/>
  <c r="P526" i="22" l="1"/>
  <c r="AC526" i="22"/>
  <c r="B527" i="22" l="1"/>
  <c r="R526" i="22"/>
  <c r="S526" i="22" s="1"/>
  <c r="K526" i="22" s="1"/>
  <c r="I527" i="22"/>
  <c r="X526" i="22" l="1"/>
  <c r="Y526" i="22" s="1"/>
  <c r="H527" i="22"/>
  <c r="AG526" i="22" l="1"/>
  <c r="F527" i="22" l="1"/>
  <c r="AK526" i="22"/>
  <c r="G527" i="22" s="1"/>
  <c r="T527" i="22" a="1"/>
  <c r="T527" i="22" l="1"/>
  <c r="Q527" i="22" l="1"/>
  <c r="U527" i="22"/>
  <c r="AE527" i="22" s="1"/>
  <c r="D528" i="22" s="1"/>
  <c r="V527" i="22"/>
  <c r="AF527" i="22" s="1"/>
  <c r="E528" i="22" s="1"/>
  <c r="AD527" i="22"/>
  <c r="C528" i="22" s="1"/>
  <c r="W527" i="22" a="1"/>
  <c r="W527" i="22" l="1"/>
  <c r="P527" i="22" a="1"/>
  <c r="P527" i="22" l="1"/>
  <c r="AC527" i="22"/>
  <c r="B528" i="22" l="1"/>
  <c r="R527" i="22"/>
  <c r="S527" i="22" s="1"/>
  <c r="K527" i="22" s="1"/>
  <c r="I528" i="22"/>
  <c r="H528" i="22" l="1"/>
  <c r="X527" i="22"/>
  <c r="Y527" i="22" s="1"/>
  <c r="AG527" i="22" l="1"/>
  <c r="F528" i="22" l="1"/>
  <c r="AK527" i="22"/>
  <c r="G528" i="22" s="1"/>
  <c r="T528" i="22" a="1"/>
  <c r="T528" i="22" l="1"/>
  <c r="Q528" i="22" l="1"/>
  <c r="U528" i="22"/>
  <c r="AE528" i="22" s="1"/>
  <c r="D529" i="22" s="1"/>
  <c r="AD528" i="22"/>
  <c r="C529" i="22" s="1"/>
  <c r="V528" i="22"/>
  <c r="AF528" i="22" s="1"/>
  <c r="E529" i="22" s="1"/>
  <c r="W528" i="22" a="1"/>
  <c r="W528" i="22" l="1"/>
  <c r="P528" i="22" a="1"/>
  <c r="P528" i="22" l="1"/>
  <c r="AC528" i="22"/>
  <c r="R528" i="22" l="1"/>
  <c r="S528" i="22" s="1"/>
  <c r="K528" i="22" s="1"/>
  <c r="I529" i="22"/>
  <c r="B529" i="22"/>
  <c r="H529" i="22" l="1"/>
  <c r="X528" i="22"/>
  <c r="Y528" i="22" s="1"/>
  <c r="AG528" i="22" l="1"/>
  <c r="F529" i="22" l="1"/>
  <c r="AK528" i="22"/>
  <c r="G529" i="22" s="1"/>
  <c r="T529" i="22" a="1"/>
  <c r="T529" i="22" l="1"/>
  <c r="Q529" i="22" l="1"/>
  <c r="V529" i="22"/>
  <c r="AF529" i="22" s="1"/>
  <c r="E530" i="22" s="1"/>
  <c r="AD529" i="22"/>
  <c r="C530" i="22" s="1"/>
  <c r="U529" i="22"/>
  <c r="AE529" i="22" s="1"/>
  <c r="D530" i="22" s="1"/>
  <c r="W529" i="22" a="1"/>
  <c r="W529" i="22" l="1"/>
  <c r="P529" i="22" a="1"/>
  <c r="P529" i="22" l="1"/>
  <c r="AC529" i="22"/>
  <c r="B530" i="22" l="1"/>
  <c r="I530" i="22"/>
  <c r="R529" i="22"/>
  <c r="S529" i="22" s="1"/>
  <c r="K529" i="22" s="1"/>
  <c r="H530" i="22" l="1"/>
  <c r="X529" i="22"/>
  <c r="Y529" i="22" s="1"/>
  <c r="AG529" i="22" l="1"/>
  <c r="F530" i="22" l="1"/>
  <c r="AK529" i="22"/>
  <c r="G530" i="22" s="1"/>
  <c r="T530" i="22" a="1"/>
  <c r="T530" i="22" l="1"/>
  <c r="Q530" i="22" l="1"/>
  <c r="AD530" i="22"/>
  <c r="C531" i="22" s="1"/>
  <c r="V530" i="22"/>
  <c r="AF530" i="22" s="1"/>
  <c r="E531" i="22" s="1"/>
  <c r="U530" i="22"/>
  <c r="AE530" i="22" s="1"/>
  <c r="D531" i="22" s="1"/>
  <c r="W530" i="22" a="1"/>
  <c r="W530" i="22" l="1"/>
  <c r="P530" i="22" a="1"/>
  <c r="P530" i="22" l="1"/>
  <c r="AC530" i="22"/>
  <c r="I531" i="22" l="1"/>
  <c r="R530" i="22"/>
  <c r="S530" i="22" s="1"/>
  <c r="K530" i="22" s="1"/>
  <c r="B531" i="22"/>
  <c r="X530" i="22" l="1"/>
  <c r="Y530" i="22" s="1"/>
  <c r="H531" i="22"/>
  <c r="AG530" i="22" l="1"/>
  <c r="F531" i="22" l="1"/>
  <c r="AK530" i="22"/>
  <c r="G531" i="22" s="1"/>
  <c r="T531" i="22" a="1"/>
  <c r="T531" i="22" l="1"/>
  <c r="Q531" i="22" l="1"/>
  <c r="U531" i="22"/>
  <c r="AE531" i="22" s="1"/>
  <c r="D532" i="22" s="1"/>
  <c r="V531" i="22"/>
  <c r="AF531" i="22" s="1"/>
  <c r="E532" i="22" s="1"/>
  <c r="AD531" i="22"/>
  <c r="C532" i="22" s="1"/>
  <c r="W531" i="22" a="1"/>
  <c r="W531" i="22" l="1"/>
  <c r="P531" i="22" a="1"/>
  <c r="P531" i="22" l="1"/>
  <c r="AC531" i="22"/>
  <c r="R531" i="22" l="1"/>
  <c r="S531" i="22" s="1"/>
  <c r="K531" i="22" s="1"/>
  <c r="I532" i="22"/>
  <c r="B532" i="22"/>
  <c r="H532" i="22" l="1"/>
  <c r="X531" i="22"/>
  <c r="Y531" i="22" s="1"/>
  <c r="AG531" i="22" l="1"/>
  <c r="F532" i="22" l="1"/>
  <c r="AK531" i="22"/>
  <c r="G532" i="22" s="1"/>
  <c r="T532" i="22" a="1"/>
  <c r="T532" i="22" l="1"/>
  <c r="Q532" i="22" l="1"/>
  <c r="AD532" i="22"/>
  <c r="C533" i="22" s="1"/>
  <c r="U532" i="22"/>
  <c r="AE532" i="22" s="1"/>
  <c r="D533" i="22" s="1"/>
  <c r="V532" i="22"/>
  <c r="AF532" i="22" s="1"/>
  <c r="E533" i="22" s="1"/>
  <c r="W532" i="22" a="1"/>
  <c r="W532" i="22" l="1"/>
  <c r="P532" i="22" a="1"/>
  <c r="P532" i="22" l="1"/>
  <c r="AC532" i="22"/>
  <c r="B533" i="22" l="1"/>
  <c r="I533" i="22"/>
  <c r="R532" i="22"/>
  <c r="S532" i="22" s="1"/>
  <c r="K532" i="22" s="1"/>
  <c r="X532" i="22" l="1"/>
  <c r="Y532" i="22" s="1"/>
  <c r="H533" i="22"/>
  <c r="AG532" i="22" l="1"/>
  <c r="F533" i="22" l="1"/>
  <c r="AK532" i="22"/>
  <c r="G533" i="22" s="1"/>
  <c r="T533" i="22" a="1"/>
  <c r="T533" i="22" l="1"/>
  <c r="Q533" i="22" l="1"/>
  <c r="U533" i="22"/>
  <c r="AE533" i="22" s="1"/>
  <c r="D534" i="22" s="1"/>
  <c r="AD533" i="22"/>
  <c r="C534" i="22" s="1"/>
  <c r="V533" i="22"/>
  <c r="AF533" i="22" s="1"/>
  <c r="E534" i="22" s="1"/>
  <c r="W533" i="22" a="1"/>
  <c r="W533" i="22" l="1"/>
  <c r="P533" i="22" a="1"/>
  <c r="P533" i="22" l="1"/>
  <c r="AC533" i="22"/>
  <c r="R533" i="22" l="1"/>
  <c r="S533" i="22" s="1"/>
  <c r="K533" i="22" s="1"/>
  <c r="I534" i="22"/>
  <c r="B534" i="22"/>
  <c r="H534" i="22" s="1"/>
  <c r="X533" i="22" l="1"/>
  <c r="Y533" i="22" s="1"/>
  <c r="AG533" i="22" l="1"/>
  <c r="F534" i="22" l="1"/>
  <c r="AK533" i="22"/>
  <c r="G534" i="22" s="1"/>
  <c r="T534" i="22" a="1"/>
  <c r="T534" i="22" l="1"/>
  <c r="U534" i="22" l="1"/>
  <c r="AE534" i="22" s="1"/>
  <c r="D535" i="22" s="1"/>
  <c r="Q534" i="22"/>
  <c r="AD534" i="22"/>
  <c r="C535" i="22" s="1"/>
  <c r="V534" i="22"/>
  <c r="AF534" i="22" s="1"/>
  <c r="E535" i="22" s="1"/>
  <c r="W534" i="22" a="1"/>
  <c r="W534" i="22" l="1"/>
  <c r="P534" i="22" a="1"/>
  <c r="P534" i="22" l="1"/>
  <c r="AC534" i="22"/>
  <c r="B535" i="22" l="1"/>
  <c r="I535" i="22"/>
  <c r="R534" i="22"/>
  <c r="S534" i="22" s="1"/>
  <c r="K534" i="22" s="1"/>
  <c r="H535" i="22" l="1"/>
  <c r="X534" i="22"/>
  <c r="Y534" i="22" s="1"/>
  <c r="AG534" i="22" l="1"/>
  <c r="F535" i="22" l="1"/>
  <c r="AK534" i="22"/>
  <c r="G535" i="22" s="1"/>
  <c r="T535" i="22" a="1"/>
  <c r="T535" i="22" l="1"/>
  <c r="U535" i="22" l="1"/>
  <c r="AE535" i="22" s="1"/>
  <c r="D536" i="22" s="1"/>
  <c r="Q535" i="22"/>
  <c r="AD535" i="22"/>
  <c r="C536" i="22" s="1"/>
  <c r="V535" i="22"/>
  <c r="AF535" i="22" s="1"/>
  <c r="E536" i="22" s="1"/>
  <c r="W535" i="22" a="1"/>
  <c r="W535" i="22" l="1"/>
  <c r="P535" i="22" a="1"/>
  <c r="P535" i="22" l="1"/>
  <c r="AC535" i="22"/>
  <c r="R535" i="22" l="1"/>
  <c r="S535" i="22" s="1"/>
  <c r="K535" i="22" s="1"/>
  <c r="I536" i="22"/>
  <c r="B536" i="22"/>
  <c r="H536" i="22" l="1"/>
  <c r="X535" i="22"/>
  <c r="Y535" i="22" s="1"/>
  <c r="AG535" i="22" l="1"/>
  <c r="F536" i="22" l="1"/>
  <c r="AK535" i="22"/>
  <c r="G536" i="22" s="1"/>
  <c r="T536" i="22" a="1"/>
  <c r="T536" i="22" l="1"/>
  <c r="Q536" i="22" l="1"/>
  <c r="U536" i="22"/>
  <c r="AE536" i="22" s="1"/>
  <c r="D537" i="22" s="1"/>
  <c r="AD536" i="22"/>
  <c r="C537" i="22" s="1"/>
  <c r="V536" i="22"/>
  <c r="AF536" i="22" s="1"/>
  <c r="E537" i="22" s="1"/>
  <c r="W536" i="22" a="1"/>
  <c r="W536" i="22" l="1"/>
  <c r="P536" i="22" a="1"/>
  <c r="P536" i="22" l="1"/>
  <c r="AC536" i="22"/>
  <c r="B537" i="22" l="1"/>
  <c r="R536" i="22"/>
  <c r="S536" i="22" s="1"/>
  <c r="K536" i="22" s="1"/>
  <c r="I537" i="22"/>
  <c r="H537" i="22" l="1"/>
  <c r="X536" i="22"/>
  <c r="Y536" i="22" s="1"/>
  <c r="AG536" i="22" l="1"/>
  <c r="F537" i="22" l="1"/>
  <c r="AK536" i="22"/>
  <c r="G537" i="22" s="1"/>
  <c r="T537" i="22" a="1"/>
  <c r="T537" i="22" l="1"/>
  <c r="Q537" i="22" l="1"/>
  <c r="AD537" i="22"/>
  <c r="C538" i="22" s="1"/>
  <c r="U537" i="22"/>
  <c r="AE537" i="22" s="1"/>
  <c r="D538" i="22" s="1"/>
  <c r="V537" i="22"/>
  <c r="AF537" i="22" s="1"/>
  <c r="E538" i="22" s="1"/>
  <c r="W537" i="22" a="1"/>
  <c r="W537" i="22" l="1"/>
  <c r="P537" i="22" a="1"/>
  <c r="P537" i="22" l="1"/>
  <c r="AC537" i="22"/>
  <c r="B538" i="22" l="1"/>
  <c r="I538" i="22"/>
  <c r="R537" i="22"/>
  <c r="S537" i="22" s="1"/>
  <c r="K537" i="22" s="1"/>
  <c r="X537" i="22" l="1"/>
  <c r="Y537" i="22" s="1"/>
  <c r="H538" i="22"/>
  <c r="AG537" i="22" l="1"/>
  <c r="F538" i="22" l="1"/>
  <c r="AK537" i="22"/>
  <c r="G538" i="22" s="1"/>
  <c r="T538" i="22" a="1"/>
  <c r="T538" i="22" l="1"/>
  <c r="Q538" i="22" l="1"/>
  <c r="AD538" i="22"/>
  <c r="C539" i="22" s="1"/>
  <c r="U538" i="22"/>
  <c r="AE538" i="22" s="1"/>
  <c r="D539" i="22" s="1"/>
  <c r="V538" i="22"/>
  <c r="AF538" i="22" s="1"/>
  <c r="E539" i="22" s="1"/>
  <c r="W538" i="22" a="1"/>
  <c r="W538" i="22" l="1"/>
  <c r="P538" i="22" a="1"/>
  <c r="P538" i="22" l="1"/>
  <c r="AC538" i="22"/>
  <c r="R538" i="22" l="1"/>
  <c r="S538" i="22" s="1"/>
  <c r="K538" i="22" s="1"/>
  <c r="I539" i="22"/>
  <c r="B539" i="22"/>
  <c r="X538" i="22" l="1"/>
  <c r="Y538" i="22" s="1"/>
  <c r="H539" i="22"/>
  <c r="AG538" i="22" l="1"/>
  <c r="F539" i="22" l="1"/>
  <c r="AK538" i="22"/>
  <c r="G539" i="22" s="1"/>
  <c r="T539" i="22" a="1"/>
  <c r="T539" i="22" l="1"/>
  <c r="Q539" i="22" l="1"/>
  <c r="V539" i="22"/>
  <c r="AF539" i="22" s="1"/>
  <c r="E540" i="22" s="1"/>
  <c r="U539" i="22"/>
  <c r="AE539" i="22" s="1"/>
  <c r="D540" i="22" s="1"/>
  <c r="AD539" i="22"/>
  <c r="C540" i="22" s="1"/>
  <c r="W539" i="22" a="1"/>
  <c r="W539" i="22" l="1"/>
  <c r="P539" i="22" a="1"/>
  <c r="P539" i="22" l="1"/>
  <c r="AC539" i="22"/>
  <c r="B540" i="22" l="1"/>
  <c r="I540" i="22"/>
  <c r="R539" i="22"/>
  <c r="S539" i="22" s="1"/>
  <c r="K539" i="22" s="1"/>
  <c r="X539" i="22" l="1"/>
  <c r="Y539" i="22" s="1"/>
  <c r="H540" i="22"/>
  <c r="AG539" i="22" l="1"/>
  <c r="F540" i="22" l="1"/>
  <c r="AK539" i="22"/>
  <c r="G540" i="22" s="1"/>
  <c r="T540" i="22" a="1"/>
  <c r="T540" i="22" l="1"/>
  <c r="Q540" i="22" l="1"/>
  <c r="U540" i="22"/>
  <c r="AE540" i="22" s="1"/>
  <c r="D541" i="22" s="1"/>
  <c r="V540" i="22"/>
  <c r="AF540" i="22" s="1"/>
  <c r="E541" i="22" s="1"/>
  <c r="AD540" i="22"/>
  <c r="C541" i="22" s="1"/>
  <c r="W540" i="22" a="1"/>
  <c r="W540" i="22" l="1"/>
  <c r="P540" i="22" a="1"/>
  <c r="P540" i="22" l="1"/>
  <c r="AC540" i="22"/>
  <c r="B541" i="22" l="1"/>
  <c r="R540" i="22"/>
  <c r="S540" i="22" s="1"/>
  <c r="K540" i="22" s="1"/>
  <c r="I541" i="22"/>
  <c r="X540" i="22" l="1"/>
  <c r="Y540" i="22" s="1"/>
  <c r="H541" i="22"/>
  <c r="AG540" i="22" l="1"/>
  <c r="F541" i="22" l="1"/>
  <c r="AK540" i="22"/>
  <c r="G541" i="22" s="1"/>
  <c r="T541" i="22" a="1"/>
  <c r="T541" i="22" l="1"/>
  <c r="AD541" i="22" l="1"/>
  <c r="C542" i="22" s="1"/>
  <c r="Q541" i="22"/>
  <c r="V541" i="22"/>
  <c r="AF541" i="22" s="1"/>
  <c r="E542" i="22" s="1"/>
  <c r="U541" i="22"/>
  <c r="AE541" i="22" s="1"/>
  <c r="D542" i="22" s="1"/>
  <c r="W541" i="22" a="1"/>
  <c r="W541" i="22" l="1"/>
  <c r="P541" i="22" a="1"/>
  <c r="P541" i="22" l="1"/>
  <c r="AC541" i="22"/>
  <c r="B542" i="22" l="1"/>
  <c r="R541" i="22"/>
  <c r="S541" i="22" s="1"/>
  <c r="K541" i="22" s="1"/>
  <c r="I542" i="22"/>
  <c r="H542" i="22" l="1"/>
  <c r="X541" i="22"/>
  <c r="Y541" i="22" s="1"/>
  <c r="AG541" i="22" l="1"/>
  <c r="F542" i="22" l="1"/>
  <c r="AK541" i="22"/>
  <c r="G542" i="22" s="1"/>
  <c r="T542" i="22" a="1"/>
  <c r="T542" i="22" l="1"/>
  <c r="Q542" i="22" l="1"/>
  <c r="V542" i="22"/>
  <c r="AF542" i="22" s="1"/>
  <c r="E543" i="22" s="1"/>
  <c r="U542" i="22"/>
  <c r="AE542" i="22" s="1"/>
  <c r="D543" i="22" s="1"/>
  <c r="AD542" i="22"/>
  <c r="C543" i="22" s="1"/>
  <c r="W542" i="22" a="1"/>
  <c r="W542" i="22" l="1"/>
  <c r="P542" i="22" a="1"/>
  <c r="P542" i="22" l="1"/>
  <c r="AC542" i="22"/>
  <c r="B543" i="22" l="1"/>
  <c r="R542" i="22"/>
  <c r="S542" i="22" s="1"/>
  <c r="K542" i="22" s="1"/>
  <c r="I543" i="22"/>
  <c r="X542" i="22" l="1"/>
  <c r="Y542" i="22" s="1"/>
  <c r="H543" i="22"/>
  <c r="AG542" i="22" l="1"/>
  <c r="F543" i="22" l="1"/>
  <c r="AK542" i="22"/>
  <c r="G543" i="22" s="1"/>
  <c r="T543" i="22" a="1"/>
  <c r="T543" i="22" l="1"/>
  <c r="Q543" i="22" l="1"/>
  <c r="V543" i="22"/>
  <c r="AF543" i="22" s="1"/>
  <c r="E544" i="22" s="1"/>
  <c r="AD543" i="22"/>
  <c r="C544" i="22" s="1"/>
  <c r="U543" i="22"/>
  <c r="AE543" i="22" s="1"/>
  <c r="D544" i="22" s="1"/>
  <c r="W543" i="22" a="1"/>
  <c r="W543" i="22" l="1"/>
  <c r="P543" i="22" a="1"/>
  <c r="P543" i="22" l="1"/>
  <c r="AC543" i="22"/>
  <c r="I544" i="22" l="1"/>
  <c r="R543" i="22"/>
  <c r="S543" i="22" s="1"/>
  <c r="K543" i="22" s="1"/>
  <c r="B544" i="22"/>
  <c r="X543" i="22" l="1"/>
  <c r="Y543" i="22" s="1"/>
  <c r="H544" i="22"/>
  <c r="AG543" i="22" l="1"/>
  <c r="F544" i="22" l="1"/>
  <c r="AK543" i="22"/>
  <c r="G544" i="22" s="1"/>
  <c r="T544" i="22" a="1"/>
  <c r="T544" i="22" l="1"/>
  <c r="Q544" i="22" l="1"/>
  <c r="U544" i="22"/>
  <c r="AE544" i="22" s="1"/>
  <c r="D545" i="22" s="1"/>
  <c r="AD544" i="22"/>
  <c r="C545" i="22" s="1"/>
  <c r="V544" i="22"/>
  <c r="AF544" i="22" s="1"/>
  <c r="E545" i="22" s="1"/>
  <c r="W544" i="22" a="1"/>
  <c r="W544" i="22" l="1"/>
  <c r="P544" i="22" a="1"/>
  <c r="P544" i="22" l="1"/>
  <c r="AC544" i="22"/>
  <c r="B545" i="22" l="1"/>
  <c r="H545" i="22" s="1"/>
  <c r="I545" i="22"/>
  <c r="R544" i="22"/>
  <c r="S544" i="22" s="1"/>
  <c r="K544" i="22" s="1"/>
  <c r="X544" i="22" l="1"/>
  <c r="Y544" i="22" s="1"/>
  <c r="AG544" i="22" l="1"/>
  <c r="F545" i="22" l="1"/>
  <c r="AK544" i="22"/>
  <c r="G545" i="22" s="1"/>
  <c r="T545" i="22" a="1"/>
  <c r="T545" i="22" l="1"/>
  <c r="AD545" i="22" l="1"/>
  <c r="C546" i="22" s="1"/>
  <c r="Q545" i="22"/>
  <c r="U545" i="22"/>
  <c r="AE545" i="22" s="1"/>
  <c r="D546" i="22" s="1"/>
  <c r="V545" i="22"/>
  <c r="AF545" i="22" s="1"/>
  <c r="E546" i="22" s="1"/>
  <c r="W545" i="22" a="1"/>
  <c r="W545" i="22" l="1"/>
  <c r="P545" i="22" a="1"/>
  <c r="P545" i="22" l="1"/>
  <c r="AC545" i="22"/>
  <c r="B546" i="22" l="1"/>
  <c r="I546" i="22"/>
  <c r="R545" i="22"/>
  <c r="S545" i="22" s="1"/>
  <c r="K545" i="22" s="1"/>
  <c r="H546" i="22" l="1"/>
  <c r="X545" i="22"/>
  <c r="Y545" i="22" s="1"/>
  <c r="AG545" i="22"/>
  <c r="F546" i="22" l="1"/>
  <c r="AK545" i="22"/>
  <c r="G546" i="22" s="1"/>
  <c r="T546" i="22" a="1"/>
  <c r="T546" i="22" l="1"/>
  <c r="Q546" i="22" l="1"/>
  <c r="V546" i="22"/>
  <c r="AF546" i="22" s="1"/>
  <c r="E547" i="22" s="1"/>
  <c r="U546" i="22"/>
  <c r="AE546" i="22" s="1"/>
  <c r="D547" i="22" s="1"/>
  <c r="AD546" i="22"/>
  <c r="C547" i="22" s="1"/>
  <c r="W546" i="22" a="1"/>
  <c r="W546" i="22" l="1"/>
  <c r="P546" i="22" a="1"/>
  <c r="P546" i="22" l="1"/>
  <c r="AC546" i="22"/>
  <c r="B547" i="22" l="1"/>
  <c r="R546" i="22"/>
  <c r="S546" i="22" s="1"/>
  <c r="K546" i="22" s="1"/>
  <c r="I547" i="22"/>
  <c r="H547" i="22" l="1"/>
  <c r="X546" i="22"/>
  <c r="Y546" i="22" s="1"/>
  <c r="AG546" i="22" l="1"/>
  <c r="F547" i="22" l="1"/>
  <c r="AK546" i="22"/>
  <c r="G547" i="22" s="1"/>
  <c r="T547" i="22" a="1"/>
  <c r="T547" i="22" l="1"/>
  <c r="Q547" i="22" l="1"/>
  <c r="V547" i="22"/>
  <c r="AF547" i="22" s="1"/>
  <c r="E548" i="22" s="1"/>
  <c r="U547" i="22"/>
  <c r="AE547" i="22" s="1"/>
  <c r="D548" i="22" s="1"/>
  <c r="AD547" i="22"/>
  <c r="C548" i="22" s="1"/>
  <c r="W547" i="22" a="1"/>
  <c r="W547" i="22" l="1"/>
  <c r="P547" i="22" a="1"/>
  <c r="P547" i="22" l="1"/>
  <c r="AC547" i="22"/>
  <c r="B548" i="22" l="1"/>
  <c r="R547" i="22"/>
  <c r="S547" i="22" s="1"/>
  <c r="K547" i="22" s="1"/>
  <c r="I548" i="22"/>
  <c r="X547" i="22" l="1"/>
  <c r="Y547" i="22" s="1"/>
  <c r="H548" i="22"/>
  <c r="AG547" i="22" l="1"/>
  <c r="F548" i="22" l="1"/>
  <c r="AK547" i="22"/>
  <c r="G548" i="22" s="1"/>
  <c r="T548" i="22" a="1"/>
  <c r="T548" i="22" l="1"/>
  <c r="Q548" i="22" l="1"/>
  <c r="V548" i="22"/>
  <c r="AF548" i="22" s="1"/>
  <c r="E549" i="22" s="1"/>
  <c r="AD548" i="22"/>
  <c r="C549" i="22" s="1"/>
  <c r="U548" i="22"/>
  <c r="AE548" i="22" s="1"/>
  <c r="D549" i="22" s="1"/>
  <c r="W548" i="22" a="1"/>
  <c r="W548" i="22" l="1"/>
  <c r="P548" i="22" a="1"/>
  <c r="P548" i="22" l="1"/>
  <c r="AC548" i="22"/>
  <c r="R548" i="22" l="1"/>
  <c r="S548" i="22" s="1"/>
  <c r="K548" i="22" s="1"/>
  <c r="I549" i="22"/>
  <c r="B549" i="22"/>
  <c r="X548" i="22" l="1"/>
  <c r="Y548" i="22" s="1"/>
  <c r="H549" i="22"/>
  <c r="AG548" i="22" l="1"/>
  <c r="F549" i="22" l="1"/>
  <c r="AK548" i="22"/>
  <c r="G549" i="22" s="1"/>
  <c r="T549" i="22" a="1"/>
  <c r="T549" i="22" l="1"/>
  <c r="Q549" i="22" l="1"/>
  <c r="V549" i="22"/>
  <c r="AF549" i="22" s="1"/>
  <c r="E550" i="22" s="1"/>
  <c r="U549" i="22"/>
  <c r="AE549" i="22" s="1"/>
  <c r="D550" i="22" s="1"/>
  <c r="AD549" i="22"/>
  <c r="C550" i="22" s="1"/>
  <c r="W549" i="22" a="1"/>
  <c r="W549" i="22" l="1"/>
  <c r="P549" i="22" a="1"/>
  <c r="P549" i="22" l="1"/>
  <c r="AC549" i="22"/>
  <c r="B550" i="22" l="1"/>
  <c r="I550" i="22"/>
  <c r="R549" i="22"/>
  <c r="S549" i="22" s="1"/>
  <c r="K549" i="22" s="1"/>
  <c r="H550" i="22" l="1"/>
  <c r="X549" i="22"/>
  <c r="Y549" i="22" s="1"/>
  <c r="AG549" i="22" l="1"/>
  <c r="F550" i="22" l="1"/>
  <c r="AK549" i="22"/>
  <c r="G550" i="22" s="1"/>
  <c r="T550" i="22" a="1"/>
  <c r="T550" i="22" l="1"/>
  <c r="Q550" i="22" l="1"/>
  <c r="AD550" i="22"/>
  <c r="C551" i="22" s="1"/>
  <c r="U550" i="22"/>
  <c r="AE550" i="22" s="1"/>
  <c r="D551" i="22" s="1"/>
  <c r="V550" i="22"/>
  <c r="AF550" i="22" s="1"/>
  <c r="E551" i="22" s="1"/>
  <c r="W550" i="22" a="1"/>
  <c r="W550" i="22" l="1"/>
  <c r="P550" i="22" a="1"/>
  <c r="P550" i="22" l="1"/>
  <c r="AC550" i="22"/>
  <c r="B551" i="22" l="1"/>
  <c r="I551" i="22"/>
  <c r="R550" i="22"/>
  <c r="S550" i="22" s="1"/>
  <c r="K550" i="22" s="1"/>
  <c r="H551" i="22" l="1"/>
  <c r="X550" i="22"/>
  <c r="Y550" i="22" s="1"/>
  <c r="AG550" i="22"/>
  <c r="F551" i="22" l="1"/>
  <c r="AK550" i="22"/>
  <c r="G551" i="22" s="1"/>
  <c r="T551" i="22" a="1"/>
  <c r="T551" i="22" l="1"/>
  <c r="Q551" i="22" l="1"/>
  <c r="U551" i="22"/>
  <c r="AE551" i="22" s="1"/>
  <c r="D552" i="22" s="1"/>
  <c r="AD551" i="22"/>
  <c r="C552" i="22" s="1"/>
  <c r="V551" i="22"/>
  <c r="AF551" i="22" s="1"/>
  <c r="E552" i="22" s="1"/>
  <c r="W551" i="22" a="1"/>
  <c r="W551" i="22" l="1"/>
  <c r="P551" i="22" a="1"/>
  <c r="P551" i="22" l="1"/>
  <c r="AC551" i="22"/>
  <c r="B552" i="22" l="1"/>
  <c r="R551" i="22"/>
  <c r="S551" i="22" s="1"/>
  <c r="K551" i="22" s="1"/>
  <c r="I552" i="22"/>
  <c r="H552" i="22" l="1"/>
  <c r="X551" i="22"/>
  <c r="Y551" i="22" s="1"/>
  <c r="AG551" i="22" l="1"/>
  <c r="F552" i="22" l="1"/>
  <c r="AK551" i="22"/>
  <c r="G552" i="22" s="1"/>
  <c r="T552" i="22" a="1"/>
  <c r="T552" i="22" l="1"/>
  <c r="Q552" i="22" l="1"/>
  <c r="AD552" i="22"/>
  <c r="C553" i="22" s="1"/>
  <c r="V552" i="22"/>
  <c r="AF552" i="22" s="1"/>
  <c r="E553" i="22" s="1"/>
  <c r="U552" i="22"/>
  <c r="AE552" i="22" s="1"/>
  <c r="D553" i="22" s="1"/>
  <c r="W552" i="22" a="1"/>
  <c r="W552" i="22" l="1"/>
  <c r="P552" i="22" a="1"/>
  <c r="P552" i="22" l="1"/>
  <c r="AC552" i="22"/>
  <c r="B553" i="22" l="1"/>
  <c r="R552" i="22"/>
  <c r="S552" i="22" s="1"/>
  <c r="K552" i="22" s="1"/>
  <c r="I553" i="22"/>
  <c r="X552" i="22" l="1"/>
  <c r="Y552" i="22" s="1"/>
  <c r="H553" i="22"/>
  <c r="AG552" i="22" l="1"/>
  <c r="F553" i="22" l="1"/>
  <c r="AK552" i="22"/>
  <c r="G553" i="22" s="1"/>
  <c r="T553" i="22" a="1"/>
  <c r="T553" i="22" l="1"/>
  <c r="Q553" i="22" l="1"/>
  <c r="U553" i="22"/>
  <c r="AE553" i="22" s="1"/>
  <c r="D554" i="22" s="1"/>
  <c r="V553" i="22"/>
  <c r="AF553" i="22" s="1"/>
  <c r="E554" i="22" s="1"/>
  <c r="AD553" i="22"/>
  <c r="C554" i="22" s="1"/>
  <c r="W553" i="22" a="1"/>
  <c r="W553" i="22" l="1"/>
  <c r="P553" i="22" a="1"/>
  <c r="P553" i="22" l="1"/>
  <c r="AC553" i="22"/>
  <c r="R553" i="22" l="1"/>
  <c r="S553" i="22" s="1"/>
  <c r="K553" i="22" s="1"/>
  <c r="I554" i="22"/>
  <c r="B554" i="22"/>
  <c r="H554" i="22" l="1"/>
  <c r="X553" i="22"/>
  <c r="Y553" i="22" s="1"/>
  <c r="AG553" i="22" l="1"/>
  <c r="F554" i="22" l="1"/>
  <c r="AK553" i="22"/>
  <c r="G554" i="22" s="1"/>
  <c r="T554" i="22" a="1"/>
  <c r="T554" i="22" l="1"/>
  <c r="U554" i="22" l="1"/>
  <c r="AE554" i="22" s="1"/>
  <c r="D555" i="22" s="1"/>
  <c r="Q554" i="22"/>
  <c r="AD554" i="22"/>
  <c r="C555" i="22" s="1"/>
  <c r="V554" i="22"/>
  <c r="AF554" i="22" s="1"/>
  <c r="E555" i="22" s="1"/>
  <c r="W554" i="22" a="1"/>
  <c r="W554" i="22" l="1"/>
  <c r="P554" i="22" a="1"/>
  <c r="P554" i="22" l="1"/>
  <c r="AC554" i="22"/>
  <c r="B555" i="22" s="1"/>
  <c r="R554" i="22" l="1"/>
  <c r="S554" i="22" s="1"/>
  <c r="K554" i="22" s="1"/>
  <c r="I555" i="22"/>
  <c r="X554" i="22" l="1"/>
  <c r="Y554" i="22" s="1"/>
  <c r="H555" i="22"/>
  <c r="AG554" i="22" l="1"/>
  <c r="AK554" i="22" l="1"/>
  <c r="G555" i="22" s="1"/>
  <c r="F555" i="22"/>
  <c r="T555" i="22" a="1"/>
  <c r="T555" i="22" l="1"/>
  <c r="Q555" i="22" l="1"/>
  <c r="AD555" i="22"/>
  <c r="C556" i="22" s="1"/>
  <c r="V555" i="22"/>
  <c r="AF555" i="22" s="1"/>
  <c r="E556" i="22" s="1"/>
  <c r="U555" i="22"/>
  <c r="AE555" i="22" s="1"/>
  <c r="D556" i="22" s="1"/>
  <c r="W555" i="22" a="1"/>
  <c r="W555" i="22" l="1"/>
  <c r="P555" i="22" a="1"/>
  <c r="P555" i="22" l="1"/>
  <c r="AC555" i="22"/>
  <c r="R555" i="22" l="1"/>
  <c r="S555" i="22" s="1"/>
  <c r="K555" i="22" s="1"/>
  <c r="I556" i="22"/>
  <c r="B556" i="22"/>
  <c r="X555" i="22" l="1"/>
  <c r="Y555" i="22" s="1"/>
  <c r="H556" i="22"/>
  <c r="AG555" i="22" l="1"/>
  <c r="F556" i="22" l="1"/>
  <c r="AK555" i="22"/>
  <c r="G556" i="22" s="1"/>
  <c r="T556" i="22" a="1"/>
  <c r="T556" i="22" l="1"/>
  <c r="Q556" i="22" l="1"/>
  <c r="U556" i="22"/>
  <c r="AE556" i="22" s="1"/>
  <c r="D557" i="22" s="1"/>
  <c r="V556" i="22"/>
  <c r="AF556" i="22" s="1"/>
  <c r="E557" i="22" s="1"/>
  <c r="AD556" i="22"/>
  <c r="C557" i="22" s="1"/>
  <c r="W556" i="22" a="1"/>
  <c r="W556" i="22" l="1"/>
  <c r="P556" i="22" a="1"/>
  <c r="P556" i="22" l="1"/>
  <c r="AC556" i="22"/>
  <c r="B557" i="22" l="1"/>
  <c r="R556" i="22"/>
  <c r="S556" i="22" s="1"/>
  <c r="K556" i="22" s="1"/>
  <c r="I557" i="22"/>
  <c r="X556" i="22" l="1"/>
  <c r="Y556" i="22" s="1"/>
  <c r="H557" i="22"/>
  <c r="AG556" i="22" l="1"/>
  <c r="F557" i="22" l="1"/>
  <c r="AK556" i="22"/>
  <c r="G557" i="22" s="1"/>
  <c r="T557" i="22" a="1"/>
  <c r="T557" i="22" l="1"/>
  <c r="Q557" i="22" l="1"/>
  <c r="U557" i="22"/>
  <c r="AE557" i="22" s="1"/>
  <c r="D558" i="22" s="1"/>
  <c r="V557" i="22"/>
  <c r="AF557" i="22" s="1"/>
  <c r="E558" i="22" s="1"/>
  <c r="AD557" i="22"/>
  <c r="C558" i="22" s="1"/>
  <c r="W557" i="22" a="1"/>
  <c r="W557" i="22" l="1"/>
  <c r="P557" i="22" a="1"/>
  <c r="P557" i="22" l="1"/>
  <c r="AC557" i="22"/>
  <c r="I558" i="22" l="1"/>
  <c r="R557" i="22"/>
  <c r="S557" i="22" s="1"/>
  <c r="K557" i="22" s="1"/>
  <c r="B558" i="22"/>
  <c r="X557" i="22" l="1"/>
  <c r="Y557" i="22" s="1"/>
  <c r="H558" i="22"/>
  <c r="AG557" i="22" l="1"/>
  <c r="F558" i="22" l="1"/>
  <c r="AK557" i="22"/>
  <c r="G558" i="22" s="1"/>
  <c r="T558" i="22" a="1"/>
  <c r="T558" i="22" l="1"/>
  <c r="Q558" i="22" l="1"/>
  <c r="V558" i="22"/>
  <c r="AF558" i="22" s="1"/>
  <c r="E559" i="22" s="1"/>
  <c r="AD558" i="22"/>
  <c r="C559" i="22" s="1"/>
  <c r="U558" i="22"/>
  <c r="AE558" i="22" s="1"/>
  <c r="D559" i="22" s="1"/>
  <c r="W558" i="22" a="1"/>
  <c r="W558" i="22" l="1"/>
  <c r="P558" i="22" a="1"/>
  <c r="P558" i="22" l="1"/>
  <c r="AC558" i="22"/>
  <c r="R558" i="22" l="1"/>
  <c r="S558" i="22" s="1"/>
  <c r="K558" i="22" s="1"/>
  <c r="I559" i="22"/>
  <c r="B559" i="22"/>
  <c r="H559" i="22" l="1"/>
  <c r="X558" i="22"/>
  <c r="Y558" i="22" s="1"/>
  <c r="AG558" i="22" l="1"/>
  <c r="F559" i="22" l="1"/>
  <c r="AK558" i="22"/>
  <c r="G559" i="22" s="1"/>
  <c r="T559" i="22" a="1"/>
  <c r="T559" i="22" l="1"/>
  <c r="Q559" i="22" l="1"/>
  <c r="AD559" i="22"/>
  <c r="C560" i="22" s="1"/>
  <c r="V559" i="22"/>
  <c r="AF559" i="22" s="1"/>
  <c r="E560" i="22" s="1"/>
  <c r="U559" i="22"/>
  <c r="AE559" i="22" s="1"/>
  <c r="D560" i="22" s="1"/>
  <c r="W559" i="22" a="1"/>
  <c r="W559" i="22" l="1"/>
  <c r="P559" i="22" a="1"/>
  <c r="P559" i="22" l="1"/>
  <c r="AC559" i="22"/>
  <c r="B560" i="22" l="1"/>
  <c r="I560" i="22"/>
  <c r="R559" i="22"/>
  <c r="S559" i="22" s="1"/>
  <c r="K559" i="22" s="1"/>
  <c r="X559" i="22" l="1"/>
  <c r="Y559" i="22" s="1"/>
  <c r="H560" i="22"/>
  <c r="AG559" i="22" l="1"/>
  <c r="F560" i="22" l="1"/>
  <c r="AK559" i="22"/>
  <c r="G560" i="22" s="1"/>
  <c r="T560" i="22" a="1"/>
  <c r="T560" i="22" l="1"/>
  <c r="Q560" i="22" l="1"/>
  <c r="U560" i="22"/>
  <c r="AE560" i="22" s="1"/>
  <c r="D561" i="22" s="1"/>
  <c r="V560" i="22"/>
  <c r="AF560" i="22" s="1"/>
  <c r="E561" i="22" s="1"/>
  <c r="AD560" i="22"/>
  <c r="C561" i="22" s="1"/>
  <c r="W560" i="22" a="1"/>
  <c r="W560" i="22" l="1"/>
  <c r="P560" i="22" a="1"/>
  <c r="P560" i="22" l="1"/>
  <c r="AC560" i="22"/>
  <c r="B561" i="22" l="1"/>
  <c r="I561" i="22"/>
  <c r="R560" i="22"/>
  <c r="S560" i="22" s="1"/>
  <c r="K560" i="22" s="1"/>
  <c r="X560" i="22" l="1"/>
  <c r="Y560" i="22" s="1"/>
  <c r="H561" i="22"/>
  <c r="AG560" i="22" l="1"/>
  <c r="F561" i="22" l="1"/>
  <c r="AK560" i="22"/>
  <c r="G561" i="22" s="1"/>
  <c r="T561" i="22" a="1"/>
  <c r="T561" i="22" l="1"/>
  <c r="Q561" i="22" l="1"/>
  <c r="AD561" i="22"/>
  <c r="C562" i="22" s="1"/>
  <c r="V561" i="22"/>
  <c r="AF561" i="22" s="1"/>
  <c r="E562" i="22" s="1"/>
  <c r="U561" i="22"/>
  <c r="AE561" i="22" s="1"/>
  <c r="D562" i="22" s="1"/>
  <c r="W561" i="22" a="1"/>
  <c r="W561" i="22" l="1"/>
  <c r="P561" i="22" a="1"/>
  <c r="P561" i="22" l="1"/>
  <c r="AC561" i="22"/>
  <c r="R561" i="22" l="1"/>
  <c r="S561" i="22" s="1"/>
  <c r="K561" i="22" s="1"/>
  <c r="I562" i="22"/>
  <c r="B562" i="22"/>
  <c r="X561" i="22" l="1"/>
  <c r="Y561" i="22" s="1"/>
  <c r="H562" i="22"/>
  <c r="AG561" i="22" l="1"/>
  <c r="F562" i="22" l="1"/>
  <c r="AK561" i="22"/>
  <c r="G562" i="22" s="1"/>
  <c r="T562" i="22" a="1"/>
  <c r="T562" i="22" l="1"/>
  <c r="Q562" i="22" l="1"/>
  <c r="AD562" i="22"/>
  <c r="C563" i="22" s="1"/>
  <c r="V562" i="22"/>
  <c r="AF562" i="22" s="1"/>
  <c r="E563" i="22" s="1"/>
  <c r="U562" i="22"/>
  <c r="AE562" i="22" s="1"/>
  <c r="D563" i="22" s="1"/>
  <c r="W562" i="22" a="1"/>
  <c r="W562" i="22" l="1"/>
  <c r="P562" i="22" a="1"/>
  <c r="P562" i="22" l="1"/>
  <c r="AC562" i="22"/>
  <c r="B563" i="22" l="1"/>
  <c r="R562" i="22"/>
  <c r="S562" i="22" s="1"/>
  <c r="K562" i="22" s="1"/>
  <c r="I563" i="22"/>
  <c r="X562" i="22" l="1"/>
  <c r="Y562" i="22" s="1"/>
  <c r="H563" i="22"/>
  <c r="AG562" i="22" l="1"/>
  <c r="F563" i="22" l="1"/>
  <c r="AK562" i="22"/>
  <c r="G563" i="22" s="1"/>
  <c r="T563" i="22" a="1"/>
  <c r="T563" i="22" l="1"/>
  <c r="Q563" i="22" l="1"/>
  <c r="V563" i="22"/>
  <c r="AF563" i="22" s="1"/>
  <c r="E564" i="22" s="1"/>
  <c r="AD563" i="22"/>
  <c r="C564" i="22" s="1"/>
  <c r="U563" i="22"/>
  <c r="AE563" i="22" s="1"/>
  <c r="D564" i="22" s="1"/>
  <c r="W563" i="22" a="1"/>
  <c r="W563" i="22" l="1"/>
  <c r="P563" i="22" a="1"/>
  <c r="P563" i="22" l="1"/>
  <c r="AC563" i="22"/>
  <c r="B564" i="22" l="1"/>
  <c r="R563" i="22"/>
  <c r="S563" i="22" s="1"/>
  <c r="K563" i="22" s="1"/>
  <c r="I564" i="22"/>
  <c r="H564" i="22" l="1"/>
  <c r="X563" i="22"/>
  <c r="Y563" i="22" s="1"/>
  <c r="AG563" i="22" l="1"/>
  <c r="F564" i="22" l="1"/>
  <c r="AK563" i="22"/>
  <c r="G564" i="22" s="1"/>
  <c r="T564" i="22" a="1"/>
  <c r="T564" i="22" l="1"/>
  <c r="Q564" i="22" l="1"/>
  <c r="U564" i="22"/>
  <c r="AE564" i="22" s="1"/>
  <c r="D565" i="22" s="1"/>
  <c r="V564" i="22"/>
  <c r="AF564" i="22" s="1"/>
  <c r="E565" i="22" s="1"/>
  <c r="AD564" i="22"/>
  <c r="C565" i="22" s="1"/>
  <c r="W564" i="22" a="1"/>
  <c r="W564" i="22" l="1"/>
  <c r="P564" i="22" a="1"/>
  <c r="P564" i="22" l="1"/>
  <c r="AC564" i="22"/>
  <c r="B565" i="22" l="1"/>
  <c r="I565" i="22"/>
  <c r="R564" i="22"/>
  <c r="S564" i="22" s="1"/>
  <c r="K564" i="22" s="1"/>
  <c r="X564" i="22" l="1"/>
  <c r="Y564" i="22" s="1"/>
  <c r="H565" i="22"/>
  <c r="AG564" i="22" l="1"/>
  <c r="F565" i="22" l="1"/>
  <c r="AK564" i="22"/>
  <c r="G565" i="22" s="1"/>
  <c r="T565" i="22" a="1"/>
  <c r="T565" i="22" l="1"/>
  <c r="Q565" i="22" l="1"/>
  <c r="V565" i="22"/>
  <c r="AF565" i="22" s="1"/>
  <c r="E566" i="22" s="1"/>
  <c r="AD565" i="22"/>
  <c r="C566" i="22" s="1"/>
  <c r="U565" i="22"/>
  <c r="AE565" i="22" s="1"/>
  <c r="D566" i="22" s="1"/>
  <c r="W565" i="22" a="1"/>
  <c r="W565" i="22" l="1"/>
  <c r="P565" i="22" a="1"/>
  <c r="P565" i="22" l="1"/>
  <c r="AC565" i="22"/>
  <c r="B566" i="22" l="1"/>
  <c r="I566" i="22"/>
  <c r="R565" i="22"/>
  <c r="S565" i="22" s="1"/>
  <c r="K565" i="22" s="1"/>
  <c r="X565" i="22" l="1"/>
  <c r="Y565" i="22" s="1"/>
  <c r="H566" i="22"/>
  <c r="AG565" i="22" l="1"/>
  <c r="F566" i="22" l="1"/>
  <c r="AK565" i="22"/>
  <c r="G566" i="22" s="1"/>
  <c r="T566" i="22" a="1"/>
  <c r="T566" i="22" l="1"/>
  <c r="Q566" i="22" l="1"/>
  <c r="U566" i="22"/>
  <c r="AE566" i="22" s="1"/>
  <c r="D567" i="22" s="1"/>
  <c r="V566" i="22"/>
  <c r="AF566" i="22" s="1"/>
  <c r="E567" i="22" s="1"/>
  <c r="AD566" i="22"/>
  <c r="C567" i="22" s="1"/>
  <c r="W566" i="22" a="1"/>
  <c r="W566" i="22" l="1"/>
  <c r="P566" i="22" a="1"/>
  <c r="P566" i="22" l="1"/>
  <c r="AC566" i="22"/>
  <c r="B567" i="22" l="1"/>
  <c r="I567" i="22"/>
  <c r="R566" i="22"/>
  <c r="S566" i="22" s="1"/>
  <c r="K566" i="22" s="1"/>
  <c r="X566" i="22" l="1"/>
  <c r="Y566" i="22" s="1"/>
  <c r="H567" i="22"/>
  <c r="AG566" i="22" l="1"/>
  <c r="F567" i="22" l="1"/>
  <c r="AK566" i="22"/>
  <c r="G567" i="22" s="1"/>
  <c r="T567" i="22" a="1"/>
  <c r="T567" i="22" l="1"/>
  <c r="Q567" i="22" l="1"/>
  <c r="U567" i="22"/>
  <c r="AE567" i="22" s="1"/>
  <c r="D568" i="22" s="1"/>
  <c r="V567" i="22"/>
  <c r="AF567" i="22" s="1"/>
  <c r="E568" i="22" s="1"/>
  <c r="AD567" i="22"/>
  <c r="C568" i="22" s="1"/>
  <c r="W567" i="22" a="1"/>
  <c r="W567" i="22" l="1"/>
  <c r="P567" i="22" a="1"/>
  <c r="P567" i="22" l="1"/>
  <c r="AC567" i="22"/>
  <c r="B568" i="22" l="1"/>
  <c r="I568" i="22"/>
  <c r="R567" i="22"/>
  <c r="S567" i="22" s="1"/>
  <c r="K567" i="22" s="1"/>
  <c r="X567" i="22" l="1"/>
  <c r="Y567" i="22" s="1"/>
  <c r="H568" i="22"/>
  <c r="AG567" i="22" l="1"/>
  <c r="F568" i="22" l="1"/>
  <c r="AK567" i="22"/>
  <c r="G568" i="22" s="1"/>
  <c r="T568" i="22" a="1"/>
  <c r="T568" i="22" l="1"/>
  <c r="Q568" i="22" l="1"/>
  <c r="V568" i="22"/>
  <c r="AF568" i="22" s="1"/>
  <c r="E569" i="22" s="1"/>
  <c r="AD568" i="22"/>
  <c r="C569" i="22" s="1"/>
  <c r="U568" i="22"/>
  <c r="AE568" i="22" s="1"/>
  <c r="D569" i="22" s="1"/>
  <c r="W568" i="22" a="1"/>
  <c r="W568" i="22" l="1"/>
  <c r="P568" i="22" a="1"/>
  <c r="P568" i="22" l="1"/>
  <c r="AC568" i="22"/>
  <c r="B569" i="22" l="1"/>
  <c r="R568" i="22"/>
  <c r="S568" i="22" s="1"/>
  <c r="K568" i="22" s="1"/>
  <c r="I569" i="22"/>
  <c r="X568" i="22" l="1"/>
  <c r="Y568" i="22" s="1"/>
  <c r="H569" i="22"/>
  <c r="AG568" i="22" l="1"/>
  <c r="F569" i="22" l="1"/>
  <c r="AK568" i="22"/>
  <c r="G569" i="22" s="1"/>
  <c r="T569" i="22" a="1"/>
  <c r="T569" i="22" l="1"/>
  <c r="Q569" i="22" l="1"/>
  <c r="V569" i="22"/>
  <c r="AF569" i="22" s="1"/>
  <c r="E570" i="22" s="1"/>
  <c r="AD569" i="22"/>
  <c r="C570" i="22" s="1"/>
  <c r="U569" i="22"/>
  <c r="AE569" i="22" s="1"/>
  <c r="D570" i="22" s="1"/>
  <c r="W569" i="22" a="1"/>
  <c r="W569" i="22" l="1"/>
  <c r="P569" i="22" a="1"/>
  <c r="P569" i="22" l="1"/>
  <c r="AC569" i="22"/>
  <c r="B570" i="22" l="1"/>
  <c r="I570" i="22"/>
  <c r="R569" i="22"/>
  <c r="S569" i="22" s="1"/>
  <c r="K569" i="22" s="1"/>
  <c r="X569" i="22" l="1"/>
  <c r="Y569" i="22" s="1"/>
  <c r="H570" i="22"/>
  <c r="AG569" i="22" l="1"/>
  <c r="F570" i="22" s="1"/>
  <c r="AK569" i="22"/>
  <c r="G570" i="22" s="1"/>
  <c r="T570" i="22" a="1"/>
  <c r="T570" i="22" l="1"/>
  <c r="V570" i="22" l="1"/>
  <c r="AF570" i="22" s="1"/>
  <c r="E571" i="22" s="1"/>
  <c r="Q570" i="22"/>
  <c r="AD570" i="22"/>
  <c r="C571" i="22" s="1"/>
  <c r="U570" i="22"/>
  <c r="AE570" i="22" s="1"/>
  <c r="D571" i="22" s="1"/>
  <c r="W570" i="22" a="1"/>
  <c r="W570" i="22" l="1"/>
  <c r="P570" i="22" a="1"/>
  <c r="P570" i="22" l="1"/>
  <c r="AC570" i="22"/>
  <c r="B571" i="22" l="1"/>
  <c r="R570" i="22"/>
  <c r="S570" i="22" s="1"/>
  <c r="K570" i="22" s="1"/>
  <c r="I571" i="22"/>
  <c r="H571" i="22" l="1"/>
  <c r="X570" i="22"/>
  <c r="Y570" i="22" s="1"/>
  <c r="AG570" i="22" l="1"/>
  <c r="F571" i="22" l="1"/>
  <c r="AK570" i="22"/>
  <c r="G571" i="22" s="1"/>
  <c r="T571" i="22" a="1"/>
  <c r="T571" i="22" l="1"/>
  <c r="Q571" i="22" l="1"/>
  <c r="U571" i="22"/>
  <c r="AE571" i="22" s="1"/>
  <c r="D572" i="22" s="1"/>
  <c r="AD571" i="22"/>
  <c r="C572" i="22" s="1"/>
  <c r="V571" i="22"/>
  <c r="AF571" i="22" s="1"/>
  <c r="E572" i="22" s="1"/>
  <c r="W571" i="22" a="1"/>
  <c r="W571" i="22" l="1"/>
  <c r="P571" i="22" a="1"/>
  <c r="P571" i="22" l="1"/>
  <c r="AC571" i="22"/>
  <c r="B572" i="22" l="1"/>
  <c r="I572" i="22"/>
  <c r="R571" i="22"/>
  <c r="S571" i="22" s="1"/>
  <c r="K571" i="22" s="1"/>
  <c r="H572" i="22" l="1"/>
  <c r="X571" i="22"/>
  <c r="Y571" i="22" s="1"/>
  <c r="AG571" i="22" l="1"/>
  <c r="F572" i="22" l="1"/>
  <c r="AK571" i="22"/>
  <c r="G572" i="22" s="1"/>
  <c r="T572" i="22" a="1"/>
  <c r="T572" i="22" l="1"/>
  <c r="AD572" i="22" l="1"/>
  <c r="C573" i="22" s="1"/>
  <c r="Q572" i="22"/>
  <c r="U572" i="22"/>
  <c r="AE572" i="22" s="1"/>
  <c r="D573" i="22" s="1"/>
  <c r="V572" i="22"/>
  <c r="AF572" i="22" s="1"/>
  <c r="E573" i="22" s="1"/>
  <c r="W572" i="22" a="1"/>
  <c r="W572" i="22" l="1"/>
  <c r="P572" i="22" a="1"/>
  <c r="P572" i="22" l="1"/>
  <c r="AC572" i="22"/>
  <c r="B573" i="22" l="1"/>
  <c r="I573" i="22"/>
  <c r="R572" i="22"/>
  <c r="S572" i="22" s="1"/>
  <c r="K572" i="22" s="1"/>
  <c r="H573" i="22" l="1"/>
  <c r="X572" i="22"/>
  <c r="Y572" i="22" s="1"/>
  <c r="AG572" i="22" l="1"/>
  <c r="F573" i="22" l="1"/>
  <c r="AK572" i="22"/>
  <c r="G573" i="22" s="1"/>
  <c r="T573" i="22" a="1"/>
  <c r="T573" i="22" l="1"/>
  <c r="Q573" i="22" l="1"/>
  <c r="U573" i="22"/>
  <c r="AE573" i="22" s="1"/>
  <c r="D574" i="22" s="1"/>
  <c r="AD573" i="22"/>
  <c r="C574" i="22" s="1"/>
  <c r="V573" i="22"/>
  <c r="AF573" i="22" s="1"/>
  <c r="E574" i="22" s="1"/>
  <c r="W573" i="22" a="1"/>
  <c r="W573" i="22" l="1"/>
  <c r="P573" i="22" a="1"/>
  <c r="P573" i="22" l="1"/>
  <c r="AC573" i="22"/>
  <c r="R573" i="22" l="1"/>
  <c r="S573" i="22" s="1"/>
  <c r="K573" i="22" s="1"/>
  <c r="I574" i="22"/>
  <c r="B574" i="22"/>
  <c r="H574" i="22" l="1"/>
  <c r="X573" i="22"/>
  <c r="Y573" i="22" s="1"/>
  <c r="AG573" i="22" l="1"/>
  <c r="F574" i="22" l="1"/>
  <c r="AK573" i="22"/>
  <c r="G574" i="22" s="1"/>
  <c r="T574" i="22" a="1"/>
  <c r="T574" i="22" l="1"/>
  <c r="V574" i="22" l="1"/>
  <c r="AF574" i="22" s="1"/>
  <c r="E575" i="22" s="1"/>
  <c r="Q574" i="22"/>
  <c r="U574" i="22"/>
  <c r="AE574" i="22" s="1"/>
  <c r="D575" i="22" s="1"/>
  <c r="AD574" i="22"/>
  <c r="C575" i="22" s="1"/>
  <c r="W574" i="22" a="1"/>
  <c r="W574" i="22" l="1"/>
  <c r="P574" i="22" a="1"/>
  <c r="P574" i="22" l="1"/>
  <c r="AC574" i="22"/>
  <c r="B575" i="22" l="1"/>
  <c r="I575" i="22"/>
  <c r="R574" i="22"/>
  <c r="S574" i="22" s="1"/>
  <c r="K574" i="22" s="1"/>
  <c r="H575" i="22" l="1"/>
  <c r="X574" i="22"/>
  <c r="Y574" i="22" s="1"/>
  <c r="AG574" i="22" l="1"/>
  <c r="F575" i="22" l="1"/>
  <c r="AK574" i="22"/>
  <c r="G575" i="22" s="1"/>
  <c r="T575" i="22" a="1"/>
  <c r="T575" i="22" l="1"/>
  <c r="Q575" i="22" l="1"/>
  <c r="U575" i="22"/>
  <c r="AE575" i="22" s="1"/>
  <c r="D576" i="22" s="1"/>
  <c r="V575" i="22"/>
  <c r="AF575" i="22" s="1"/>
  <c r="E576" i="22" s="1"/>
  <c r="AD575" i="22"/>
  <c r="C576" i="22" s="1"/>
  <c r="W575" i="22" a="1"/>
  <c r="W575" i="22" l="1"/>
  <c r="P575" i="22" a="1"/>
  <c r="P575" i="22" l="1"/>
  <c r="AC575" i="22"/>
  <c r="B576" i="22" l="1"/>
  <c r="I576" i="22"/>
  <c r="R575" i="22"/>
  <c r="S575" i="22" s="1"/>
  <c r="K575" i="22" s="1"/>
  <c r="X575" i="22" l="1"/>
  <c r="Y575" i="22" s="1"/>
  <c r="H576" i="22"/>
  <c r="AG575" i="22" l="1"/>
  <c r="F576" i="22" l="1"/>
  <c r="AK575" i="22"/>
  <c r="G576" i="22" s="1"/>
  <c r="T576" i="22" a="1"/>
  <c r="T576" i="22" l="1"/>
  <c r="Q576" i="22" l="1"/>
  <c r="V576" i="22"/>
  <c r="AF576" i="22" s="1"/>
  <c r="E577" i="22" s="1"/>
  <c r="AD576" i="22"/>
  <c r="C577" i="22" s="1"/>
  <c r="U576" i="22"/>
  <c r="AE576" i="22" s="1"/>
  <c r="D577" i="22" s="1"/>
  <c r="W576" i="22" a="1"/>
  <c r="W576" i="22" l="1"/>
  <c r="P576" i="22" a="1"/>
  <c r="P576" i="22" l="1"/>
  <c r="AC576" i="22"/>
  <c r="B577" i="22" s="1"/>
  <c r="R576" i="22" l="1"/>
  <c r="S576" i="22" s="1"/>
  <c r="K576" i="22" s="1"/>
  <c r="I577" i="22"/>
  <c r="H577" i="22" s="1"/>
  <c r="X576" i="22" l="1"/>
  <c r="Y576" i="22" s="1"/>
  <c r="AG576" i="22" l="1"/>
  <c r="AK576" i="22" l="1"/>
  <c r="G577" i="22" s="1"/>
  <c r="F577" i="22"/>
  <c r="T577" i="22" a="1"/>
  <c r="T577" i="22" l="1"/>
  <c r="Q577" i="22" l="1"/>
  <c r="AD577" i="22"/>
  <c r="C578" i="22" s="1"/>
  <c r="V577" i="22"/>
  <c r="AF577" i="22" s="1"/>
  <c r="E578" i="22" s="1"/>
  <c r="U577" i="22"/>
  <c r="AE577" i="22" s="1"/>
  <c r="D578" i="22" s="1"/>
  <c r="W577" i="22" a="1"/>
  <c r="W577" i="22" l="1"/>
  <c r="P577" i="22" a="1"/>
  <c r="P577" i="22" l="1"/>
  <c r="AC577" i="22"/>
  <c r="B578" i="22" l="1"/>
  <c r="I578" i="22"/>
  <c r="R577" i="22"/>
  <c r="S577" i="22" s="1"/>
  <c r="K577" i="22" s="1"/>
  <c r="H578" i="22" l="1"/>
  <c r="X577" i="22"/>
  <c r="Y577" i="22" s="1"/>
  <c r="AG577" i="22" l="1"/>
  <c r="F578" i="22" l="1"/>
  <c r="AK577" i="22"/>
  <c r="G578" i="22" s="1"/>
  <c r="T578" i="22" a="1"/>
  <c r="T578" i="22" l="1"/>
  <c r="AD578" i="22" l="1"/>
  <c r="C579" i="22" s="1"/>
  <c r="Q578" i="22"/>
  <c r="U578" i="22"/>
  <c r="AE578" i="22" s="1"/>
  <c r="D579" i="22" s="1"/>
  <c r="V578" i="22"/>
  <c r="AF578" i="22" s="1"/>
  <c r="E579" i="22" s="1"/>
  <c r="W578" i="22" a="1"/>
  <c r="W578" i="22" l="1"/>
  <c r="P578" i="22" a="1"/>
  <c r="P578" i="22" l="1"/>
  <c r="AC578" i="22"/>
  <c r="B579" i="22" l="1"/>
  <c r="H579" i="22" s="1"/>
  <c r="I579" i="22"/>
  <c r="R578" i="22"/>
  <c r="S578" i="22" s="1"/>
  <c r="K578" i="22" s="1"/>
  <c r="X578" i="22" l="1"/>
  <c r="Y578" i="22" s="1"/>
  <c r="AG578" i="22" l="1"/>
  <c r="F579" i="22" l="1"/>
  <c r="AK578" i="22"/>
  <c r="G579" i="22" s="1"/>
  <c r="T579" i="22" a="1"/>
  <c r="T579" i="22" l="1"/>
  <c r="U579" i="22" l="1"/>
  <c r="AE579" i="22" s="1"/>
  <c r="D580" i="22" s="1"/>
  <c r="Q579" i="22"/>
  <c r="AD579" i="22"/>
  <c r="C580" i="22" s="1"/>
  <c r="V579" i="22"/>
  <c r="AF579" i="22" s="1"/>
  <c r="E580" i="22" s="1"/>
  <c r="W579" i="22" a="1"/>
  <c r="W579" i="22" l="1"/>
  <c r="P579" i="22" a="1"/>
  <c r="P579" i="22" l="1"/>
  <c r="AC579" i="22"/>
  <c r="B580" i="22" l="1"/>
  <c r="R579" i="22"/>
  <c r="S579" i="22" s="1"/>
  <c r="K579" i="22" s="1"/>
  <c r="I580" i="22"/>
  <c r="H580" i="22" l="1"/>
  <c r="X579" i="22"/>
  <c r="Y579" i="22" s="1"/>
  <c r="AG579" i="22" l="1"/>
  <c r="F580" i="22" l="1"/>
  <c r="AK579" i="22"/>
  <c r="G580" i="22" s="1"/>
  <c r="T580" i="22" a="1"/>
  <c r="T580" i="22" l="1"/>
  <c r="Q580" i="22" l="1"/>
  <c r="V580" i="22"/>
  <c r="AF580" i="22" s="1"/>
  <c r="E581" i="22" s="1"/>
  <c r="AD580" i="22"/>
  <c r="C581" i="22" s="1"/>
  <c r="U580" i="22"/>
  <c r="AE580" i="22" s="1"/>
  <c r="D581" i="22" s="1"/>
  <c r="W580" i="22" a="1"/>
  <c r="W580" i="22" l="1"/>
  <c r="P580" i="22" a="1"/>
  <c r="P580" i="22" l="1"/>
  <c r="AC580" i="22"/>
  <c r="B581" i="22" l="1"/>
  <c r="I581" i="22"/>
  <c r="R580" i="22"/>
  <c r="S580" i="22" s="1"/>
  <c r="K580" i="22" s="1"/>
  <c r="H581" i="22" l="1"/>
  <c r="X580" i="22"/>
  <c r="Y580" i="22" s="1"/>
  <c r="AG580" i="22" l="1"/>
  <c r="F581" i="22" l="1"/>
  <c r="AK580" i="22"/>
  <c r="G581" i="22" s="1"/>
  <c r="T581" i="22" a="1"/>
  <c r="T581" i="22" l="1"/>
  <c r="U581" i="22" l="1"/>
  <c r="AE581" i="22" s="1"/>
  <c r="D582" i="22" s="1"/>
  <c r="Q581" i="22"/>
  <c r="V581" i="22"/>
  <c r="AF581" i="22" s="1"/>
  <c r="E582" i="22" s="1"/>
  <c r="AD581" i="22"/>
  <c r="C582" i="22" s="1"/>
  <c r="W581" i="22" a="1"/>
  <c r="W581" i="22" l="1"/>
  <c r="P581" i="22" a="1"/>
  <c r="P581" i="22" l="1"/>
  <c r="AC581" i="22"/>
  <c r="I582" i="22" l="1"/>
  <c r="R581" i="22"/>
  <c r="S581" i="22" s="1"/>
  <c r="K581" i="22" s="1"/>
  <c r="B582" i="22"/>
  <c r="X581" i="22" l="1"/>
  <c r="Y581" i="22" s="1"/>
  <c r="H582" i="22"/>
  <c r="AG581" i="22" l="1"/>
  <c r="F582" i="22" l="1"/>
  <c r="AK581" i="22"/>
  <c r="G582" i="22" s="1"/>
  <c r="T582" i="22" a="1"/>
  <c r="T582" i="22" l="1"/>
  <c r="Q582" i="22" l="1"/>
  <c r="V582" i="22"/>
  <c r="AF582" i="22" s="1"/>
  <c r="E583" i="22" s="1"/>
  <c r="AD582" i="22"/>
  <c r="C583" i="22" s="1"/>
  <c r="U582" i="22"/>
  <c r="AE582" i="22" s="1"/>
  <c r="D583" i="22" s="1"/>
  <c r="W582" i="22" a="1"/>
  <c r="W582" i="22" l="1"/>
  <c r="P582" i="22" a="1"/>
  <c r="P582" i="22" l="1"/>
  <c r="AC582" i="22"/>
  <c r="R582" i="22" l="1"/>
  <c r="S582" i="22" s="1"/>
  <c r="K582" i="22" s="1"/>
  <c r="I583" i="22"/>
  <c r="B583" i="22"/>
  <c r="H583" i="22" l="1"/>
  <c r="X582" i="22"/>
  <c r="Y582" i="22" s="1"/>
  <c r="AG582" i="22" l="1"/>
  <c r="F583" i="22" l="1"/>
  <c r="AK582" i="22"/>
  <c r="G583" i="22" s="1"/>
  <c r="T583" i="22" a="1"/>
  <c r="T583" i="22" l="1"/>
  <c r="Q583" i="22" l="1"/>
  <c r="AD583" i="22"/>
  <c r="C584" i="22" s="1"/>
  <c r="U583" i="22"/>
  <c r="AE583" i="22" s="1"/>
  <c r="D584" i="22" s="1"/>
  <c r="V583" i="22"/>
  <c r="AF583" i="22" s="1"/>
  <c r="E584" i="22" s="1"/>
  <c r="W583" i="22" a="1"/>
  <c r="W583" i="22" l="1"/>
  <c r="P583" i="22" a="1"/>
  <c r="P583" i="22" l="1"/>
  <c r="AC583" i="22"/>
  <c r="B584" i="22" l="1"/>
  <c r="I584" i="22"/>
  <c r="R583" i="22"/>
  <c r="S583" i="22" s="1"/>
  <c r="K583" i="22" s="1"/>
  <c r="X583" i="22" l="1"/>
  <c r="Y583" i="22" s="1"/>
  <c r="H584" i="22"/>
  <c r="AG583" i="22" l="1"/>
  <c r="F584" i="22" l="1"/>
  <c r="AK583" i="22"/>
  <c r="G584" i="22" s="1"/>
  <c r="T584" i="22" a="1"/>
  <c r="T584" i="22" l="1"/>
  <c r="Q584" i="22" l="1"/>
  <c r="U584" i="22"/>
  <c r="AE584" i="22" s="1"/>
  <c r="D585" i="22" s="1"/>
  <c r="AD584" i="22"/>
  <c r="C585" i="22" s="1"/>
  <c r="V584" i="22"/>
  <c r="AF584" i="22" s="1"/>
  <c r="E585" i="22" s="1"/>
  <c r="W584" i="22" a="1"/>
  <c r="W584" i="22" l="1"/>
  <c r="P584" i="22" a="1"/>
  <c r="P584" i="22" l="1"/>
  <c r="AC584" i="22"/>
  <c r="B585" i="22" l="1"/>
  <c r="R584" i="22"/>
  <c r="S584" i="22" s="1"/>
  <c r="K584" i="22" s="1"/>
  <c r="I585" i="22"/>
  <c r="X584" i="22" l="1"/>
  <c r="Y584" i="22" s="1"/>
  <c r="H585" i="22"/>
  <c r="AG584" i="22" l="1"/>
  <c r="F585" i="22" l="1"/>
  <c r="AK584" i="22"/>
  <c r="G585" i="22" s="1"/>
  <c r="T585" i="22" a="1"/>
  <c r="T585" i="22" l="1"/>
  <c r="Q585" i="22" l="1"/>
  <c r="U585" i="22"/>
  <c r="AE585" i="22" s="1"/>
  <c r="D586" i="22" s="1"/>
  <c r="AD585" i="22"/>
  <c r="C586" i="22" s="1"/>
  <c r="V585" i="22"/>
  <c r="AF585" i="22" s="1"/>
  <c r="E586" i="22" s="1"/>
  <c r="W585" i="22" a="1"/>
  <c r="W585" i="22" l="1"/>
  <c r="P585" i="22" a="1"/>
  <c r="P585" i="22" l="1"/>
  <c r="AC585" i="22"/>
  <c r="B586" i="22" l="1"/>
  <c r="R585" i="22"/>
  <c r="S585" i="22" s="1"/>
  <c r="K585" i="22" s="1"/>
  <c r="I586" i="22"/>
  <c r="X585" i="22" l="1"/>
  <c r="Y585" i="22" s="1"/>
  <c r="H586" i="22"/>
  <c r="AG585" i="22" l="1"/>
  <c r="F586" i="22" l="1"/>
  <c r="AK585" i="22"/>
  <c r="G586" i="22" s="1"/>
  <c r="T586" i="22" a="1"/>
  <c r="T586" i="22" l="1"/>
  <c r="Q586" i="22" l="1"/>
  <c r="U586" i="22"/>
  <c r="AE586" i="22" s="1"/>
  <c r="D587" i="22" s="1"/>
  <c r="V586" i="22"/>
  <c r="AF586" i="22" s="1"/>
  <c r="E587" i="22" s="1"/>
  <c r="AD586" i="22"/>
  <c r="C587" i="22" s="1"/>
  <c r="W586" i="22" a="1"/>
  <c r="W586" i="22" l="1"/>
  <c r="P586" i="22" a="1"/>
  <c r="P586" i="22" l="1"/>
  <c r="AC586" i="22"/>
  <c r="B587" i="22" l="1"/>
  <c r="I587" i="22"/>
  <c r="R586" i="22"/>
  <c r="S586" i="22" s="1"/>
  <c r="K586" i="22" s="1"/>
  <c r="X586" i="22" l="1"/>
  <c r="Y586" i="22" s="1"/>
  <c r="H587" i="22"/>
  <c r="AG586" i="22" l="1"/>
  <c r="F587" i="22" l="1"/>
  <c r="AK586" i="22"/>
  <c r="G587" i="22" s="1"/>
  <c r="T587" i="22" a="1"/>
  <c r="T587" i="22" l="1"/>
  <c r="Q587" i="22" l="1"/>
  <c r="U587" i="22"/>
  <c r="AE587" i="22" s="1"/>
  <c r="D588" i="22" s="1"/>
  <c r="AD587" i="22"/>
  <c r="C588" i="22" s="1"/>
  <c r="V587" i="22"/>
  <c r="AF587" i="22" s="1"/>
  <c r="E588" i="22" s="1"/>
  <c r="W587" i="22" a="1"/>
  <c r="W587" i="22" l="1"/>
  <c r="P587" i="22" a="1"/>
  <c r="P587" i="22" l="1"/>
  <c r="AC587" i="22"/>
  <c r="I588" i="22" l="1"/>
  <c r="R587" i="22"/>
  <c r="S587" i="22" s="1"/>
  <c r="K587" i="22" s="1"/>
  <c r="B588" i="22"/>
  <c r="X587" i="22" l="1"/>
  <c r="Y587" i="22" s="1"/>
  <c r="H588" i="22"/>
  <c r="AG587" i="22" l="1"/>
  <c r="F588" i="22" l="1"/>
  <c r="AK587" i="22"/>
  <c r="G588" i="22" s="1"/>
  <c r="T588" i="22" a="1"/>
  <c r="T588" i="22" l="1"/>
  <c r="Q588" i="22" l="1"/>
  <c r="U588" i="22"/>
  <c r="AE588" i="22" s="1"/>
  <c r="D589" i="22" s="1"/>
  <c r="V588" i="22"/>
  <c r="AF588" i="22" s="1"/>
  <c r="E589" i="22" s="1"/>
  <c r="AD588" i="22"/>
  <c r="C589" i="22" s="1"/>
  <c r="W588" i="22" a="1"/>
  <c r="W588" i="22" l="1"/>
  <c r="P588" i="22" a="1"/>
  <c r="P588" i="22" l="1"/>
  <c r="AC588" i="22"/>
  <c r="I589" i="22" l="1"/>
  <c r="R588" i="22"/>
  <c r="S588" i="22" s="1"/>
  <c r="K588" i="22" s="1"/>
  <c r="B589" i="22"/>
  <c r="H589" i="22" l="1"/>
  <c r="X588" i="22"/>
  <c r="Y588" i="22" s="1"/>
  <c r="AG588" i="22" l="1"/>
  <c r="F589" i="22" l="1"/>
  <c r="AK588" i="22"/>
  <c r="G589" i="22" s="1"/>
  <c r="T589" i="22" a="1"/>
  <c r="T589" i="22" l="1"/>
  <c r="Q589" i="22" l="1"/>
  <c r="AD589" i="22"/>
  <c r="C590" i="22" s="1"/>
  <c r="V589" i="22"/>
  <c r="AF589" i="22" s="1"/>
  <c r="E590" i="22" s="1"/>
  <c r="U589" i="22"/>
  <c r="AE589" i="22" s="1"/>
  <c r="D590" i="22" s="1"/>
  <c r="W589" i="22" a="1"/>
  <c r="W589" i="22" l="1"/>
  <c r="P589" i="22" a="1"/>
  <c r="P589" i="22" l="1"/>
  <c r="AC589" i="22"/>
  <c r="I590" i="22" l="1"/>
  <c r="R589" i="22"/>
  <c r="S589" i="22" s="1"/>
  <c r="K589" i="22" s="1"/>
  <c r="B590" i="22"/>
  <c r="H590" i="22" l="1"/>
  <c r="X589" i="22"/>
  <c r="Y589" i="22" s="1"/>
  <c r="AG589" i="22" l="1"/>
  <c r="F590" i="22" s="1"/>
  <c r="AK589" i="22" l="1"/>
  <c r="G590" i="22" s="1"/>
  <c r="T590" i="22" a="1"/>
  <c r="T590" i="22" l="1"/>
  <c r="Q590" i="22"/>
  <c r="AD590" i="22"/>
  <c r="C591" i="22" s="1"/>
  <c r="V590" i="22"/>
  <c r="AF590" i="22" s="1"/>
  <c r="E591" i="22" s="1"/>
  <c r="U590" i="22"/>
  <c r="AE590" i="22" s="1"/>
  <c r="D591" i="22" s="1"/>
  <c r="W590" i="22" a="1"/>
  <c r="W590" i="22" l="1"/>
  <c r="P590" i="22" a="1"/>
  <c r="P590" i="22" l="1"/>
  <c r="AC590" i="22"/>
  <c r="B591" i="22" l="1"/>
  <c r="R590" i="22"/>
  <c r="S590" i="22" s="1"/>
  <c r="K590" i="22" s="1"/>
  <c r="I591" i="22"/>
  <c r="X590" i="22" l="1"/>
  <c r="Y590" i="22" s="1"/>
  <c r="H591" i="22"/>
  <c r="AG590" i="22" l="1"/>
  <c r="F591" i="22" l="1"/>
  <c r="AK590" i="22"/>
  <c r="G591" i="22" s="1"/>
  <c r="T591" i="22" a="1"/>
  <c r="T591" i="22" l="1"/>
  <c r="Q591" i="22" l="1"/>
  <c r="V591" i="22"/>
  <c r="AF591" i="22" s="1"/>
  <c r="E592" i="22" s="1"/>
  <c r="U591" i="22"/>
  <c r="AE591" i="22" s="1"/>
  <c r="D592" i="22" s="1"/>
  <c r="AD591" i="22"/>
  <c r="C592" i="22" s="1"/>
  <c r="W591" i="22" a="1"/>
  <c r="W591" i="22" l="1"/>
  <c r="P591" i="22" a="1"/>
  <c r="P591" i="22" l="1"/>
  <c r="AC591" i="22"/>
  <c r="B592" i="22" s="1"/>
  <c r="H592" i="22" l="1"/>
  <c r="I592" i="22"/>
  <c r="R591" i="22"/>
  <c r="S591" i="22" s="1"/>
  <c r="K591" i="22" s="1"/>
  <c r="X591" i="22" l="1"/>
  <c r="Y591" i="22" s="1"/>
  <c r="AG591" i="22" l="1"/>
  <c r="AK591" i="22" l="1"/>
  <c r="G592" i="22" s="1"/>
  <c r="F592" i="22"/>
  <c r="T592" i="22" a="1"/>
  <c r="T592" i="22" l="1"/>
  <c r="Q592" i="22" l="1"/>
  <c r="AD592" i="22"/>
  <c r="C593" i="22" s="1"/>
  <c r="U592" i="22"/>
  <c r="AE592" i="22" s="1"/>
  <c r="D593" i="22" s="1"/>
  <c r="V592" i="22"/>
  <c r="AF592" i="22" s="1"/>
  <c r="E593" i="22" s="1"/>
  <c r="W592" i="22" a="1"/>
  <c r="W592" i="22" l="1"/>
  <c r="P592" i="22" a="1"/>
  <c r="P592" i="22" l="1"/>
  <c r="AC592" i="22"/>
  <c r="I593" i="22" l="1"/>
  <c r="R592" i="22"/>
  <c r="S592" i="22" s="1"/>
  <c r="K592" i="22" s="1"/>
  <c r="B593" i="22"/>
  <c r="H593" i="22" l="1"/>
  <c r="X592" i="22"/>
  <c r="Y592" i="22" s="1"/>
  <c r="AG592" i="22" l="1"/>
  <c r="F593" i="22" l="1"/>
  <c r="AK592" i="22"/>
  <c r="G593" i="22" s="1"/>
  <c r="T593" i="22" a="1"/>
  <c r="T593" i="22" l="1"/>
  <c r="Q593" i="22" l="1"/>
  <c r="AD593" i="22"/>
  <c r="C594" i="22" s="1"/>
  <c r="U593" i="22"/>
  <c r="AE593" i="22" s="1"/>
  <c r="D594" i="22" s="1"/>
  <c r="V593" i="22"/>
  <c r="AF593" i="22" s="1"/>
  <c r="E594" i="22" s="1"/>
  <c r="W593" i="22" a="1"/>
  <c r="W593" i="22" l="1"/>
  <c r="P593" i="22" a="1"/>
  <c r="P593" i="22" l="1"/>
  <c r="AC593" i="22"/>
  <c r="I594" i="22" l="1"/>
  <c r="R593" i="22"/>
  <c r="S593" i="22" s="1"/>
  <c r="K593" i="22" s="1"/>
  <c r="B594" i="22"/>
  <c r="H594" i="22" l="1"/>
  <c r="X593" i="22"/>
  <c r="Y593" i="22" s="1"/>
  <c r="AG593" i="22" l="1"/>
  <c r="F594" i="22" l="1"/>
  <c r="AK593" i="22"/>
  <c r="G594" i="22" s="1"/>
  <c r="T594" i="22" a="1"/>
  <c r="T594" i="22" l="1"/>
  <c r="Q594" i="22" l="1"/>
  <c r="AD594" i="22"/>
  <c r="C595" i="22" s="1"/>
  <c r="V594" i="22"/>
  <c r="AF594" i="22" s="1"/>
  <c r="E595" i="22" s="1"/>
  <c r="U594" i="22"/>
  <c r="AE594" i="22" s="1"/>
  <c r="D595" i="22" s="1"/>
  <c r="W594" i="22" a="1"/>
  <c r="W594" i="22" l="1"/>
  <c r="P594" i="22" a="1"/>
  <c r="P594" i="22" l="1"/>
  <c r="AC594" i="22"/>
  <c r="I595" i="22" l="1"/>
  <c r="R594" i="22"/>
  <c r="S594" i="22" s="1"/>
  <c r="K594" i="22" s="1"/>
  <c r="B595" i="22"/>
  <c r="H595" i="22" l="1"/>
  <c r="X594" i="22"/>
  <c r="Y594" i="22" s="1"/>
  <c r="AG594" i="22" l="1"/>
  <c r="F595" i="22" l="1"/>
  <c r="AK594" i="22"/>
  <c r="G595" i="22" s="1"/>
  <c r="T595" i="22" a="1"/>
  <c r="T595" i="22" l="1"/>
  <c r="Q595" i="22" l="1"/>
  <c r="AD595" i="22"/>
  <c r="C596" i="22" s="1"/>
  <c r="U595" i="22"/>
  <c r="AE595" i="22" s="1"/>
  <c r="D596" i="22" s="1"/>
  <c r="V595" i="22"/>
  <c r="AF595" i="22" s="1"/>
  <c r="E596" i="22" s="1"/>
  <c r="W595" i="22" a="1"/>
  <c r="W595" i="22" l="1"/>
  <c r="P595" i="22" a="1"/>
  <c r="P595" i="22" l="1"/>
  <c r="AC595" i="22"/>
  <c r="R595" i="22" l="1"/>
  <c r="S595" i="22" s="1"/>
  <c r="K595" i="22" s="1"/>
  <c r="I596" i="22"/>
  <c r="B596" i="22"/>
  <c r="H596" i="22" l="1"/>
  <c r="X595" i="22"/>
  <c r="Y595" i="22" s="1"/>
  <c r="AG595" i="22" l="1"/>
  <c r="F596" i="22" l="1"/>
  <c r="AK595" i="22"/>
  <c r="G596" i="22" s="1"/>
  <c r="T596" i="22" a="1"/>
  <c r="T596" i="22" l="1"/>
  <c r="Q596" i="22" l="1"/>
  <c r="V596" i="22"/>
  <c r="AF596" i="22" s="1"/>
  <c r="E597" i="22" s="1"/>
  <c r="U596" i="22"/>
  <c r="AE596" i="22" s="1"/>
  <c r="D597" i="22" s="1"/>
  <c r="AD596" i="22"/>
  <c r="C597" i="22" s="1"/>
  <c r="W596" i="22" a="1"/>
  <c r="W596" i="22" l="1"/>
  <c r="P596" i="22" a="1"/>
  <c r="P596" i="22" l="1"/>
  <c r="AC596" i="22"/>
  <c r="B597" i="22" l="1"/>
  <c r="R596" i="22"/>
  <c r="S596" i="22" s="1"/>
  <c r="K596" i="22" s="1"/>
  <c r="I597" i="22"/>
  <c r="X596" i="22" l="1"/>
  <c r="Y596" i="22" s="1"/>
  <c r="H597" i="22"/>
  <c r="AG596" i="22" l="1"/>
  <c r="F597" i="22" s="1"/>
  <c r="AK596" i="22"/>
  <c r="G597" i="22" s="1"/>
  <c r="T597" i="22" a="1"/>
  <c r="T597" i="22" l="1"/>
  <c r="Q597" i="22" l="1"/>
  <c r="U597" i="22"/>
  <c r="AE597" i="22" s="1"/>
  <c r="D598" i="22" s="1"/>
  <c r="AD597" i="22"/>
  <c r="C598" i="22" s="1"/>
  <c r="V597" i="22"/>
  <c r="AF597" i="22" s="1"/>
  <c r="E598" i="22" s="1"/>
  <c r="W597" i="22" a="1"/>
  <c r="W597" i="22" l="1"/>
  <c r="P597" i="22" a="1"/>
  <c r="P597" i="22" l="1"/>
  <c r="AC597" i="22"/>
  <c r="B598" i="22" l="1"/>
  <c r="R597" i="22"/>
  <c r="S597" i="22" s="1"/>
  <c r="K597" i="22" s="1"/>
  <c r="I598" i="22"/>
  <c r="X597" i="22" l="1"/>
  <c r="Y597" i="22" s="1"/>
  <c r="H598" i="22"/>
  <c r="AG597" i="22" l="1"/>
  <c r="F598" i="22" l="1"/>
  <c r="AK597" i="22"/>
  <c r="G598" i="22" s="1"/>
  <c r="T598" i="22" a="1"/>
  <c r="T598" i="22" l="1"/>
  <c r="Q598" i="22" l="1"/>
  <c r="V598" i="22"/>
  <c r="AF598" i="22" s="1"/>
  <c r="E599" i="22" s="1"/>
  <c r="U598" i="22"/>
  <c r="AE598" i="22" s="1"/>
  <c r="D599" i="22" s="1"/>
  <c r="AD598" i="22"/>
  <c r="C599" i="22" s="1"/>
  <c r="W598" i="22" a="1"/>
  <c r="W598" i="22" l="1"/>
  <c r="P598" i="22" a="1"/>
  <c r="P598" i="22" l="1"/>
  <c r="AC598" i="22"/>
  <c r="B599" i="22" l="1"/>
  <c r="R598" i="22"/>
  <c r="S598" i="22" s="1"/>
  <c r="K598" i="22" s="1"/>
  <c r="I599" i="22"/>
  <c r="H599" i="22" l="1"/>
  <c r="X598" i="22"/>
  <c r="Y598" i="22" s="1"/>
  <c r="AG598" i="22" l="1"/>
  <c r="F599" i="22" l="1"/>
  <c r="AK598" i="22"/>
  <c r="G599" i="22" s="1"/>
  <c r="T599" i="22" a="1"/>
  <c r="T599" i="22" l="1"/>
  <c r="U599" i="22" l="1"/>
  <c r="AE599" i="22" s="1"/>
  <c r="D600" i="22" s="1"/>
  <c r="Q599" i="22"/>
  <c r="AD599" i="22"/>
  <c r="C600" i="22" s="1"/>
  <c r="V599" i="22"/>
  <c r="AF599" i="22" s="1"/>
  <c r="E600" i="22" s="1"/>
  <c r="W599" i="22" a="1"/>
  <c r="W599" i="22" l="1"/>
  <c r="P599" i="22" a="1"/>
  <c r="P599" i="22" l="1"/>
  <c r="AC599" i="22"/>
  <c r="R599" i="22" l="1"/>
  <c r="S599" i="22" s="1"/>
  <c r="K599" i="22" s="1"/>
  <c r="I600" i="22"/>
  <c r="B600" i="22"/>
  <c r="H600" i="22" l="1"/>
  <c r="X599" i="22"/>
  <c r="Y599" i="22" s="1"/>
  <c r="AG599" i="22" l="1"/>
  <c r="F600" i="22" l="1"/>
  <c r="AK599" i="22"/>
  <c r="G600" i="22" s="1"/>
  <c r="T600" i="22" a="1"/>
  <c r="T600" i="22" l="1"/>
  <c r="Q600" i="22" l="1"/>
  <c r="AD600" i="22"/>
  <c r="C601" i="22" s="1"/>
  <c r="V600" i="22"/>
  <c r="AF600" i="22" s="1"/>
  <c r="E601" i="22" s="1"/>
  <c r="U600" i="22"/>
  <c r="AE600" i="22" s="1"/>
  <c r="D601" i="22" s="1"/>
  <c r="W600" i="22" a="1"/>
  <c r="W600" i="22" l="1"/>
  <c r="P600" i="22" a="1"/>
  <c r="P600" i="22" l="1"/>
  <c r="AC600" i="22"/>
  <c r="B601" i="22" l="1"/>
  <c r="I601" i="22"/>
  <c r="R600" i="22"/>
  <c r="S600" i="22" s="1"/>
  <c r="K600" i="22" s="1"/>
  <c r="H601" i="22" l="1"/>
  <c r="X600" i="22"/>
  <c r="Y600" i="22" s="1"/>
  <c r="AG600" i="22" l="1"/>
  <c r="F601" i="22" l="1"/>
  <c r="AK600" i="22"/>
  <c r="G601" i="22" s="1"/>
  <c r="T601" i="22" a="1"/>
  <c r="T601" i="22" l="1"/>
  <c r="Q601" i="22" l="1"/>
  <c r="U601" i="22"/>
  <c r="AE601" i="22" s="1"/>
  <c r="D602" i="22" s="1"/>
  <c r="V601" i="22"/>
  <c r="AF601" i="22" s="1"/>
  <c r="E602" i="22" s="1"/>
  <c r="AD601" i="22"/>
  <c r="C602" i="22" s="1"/>
  <c r="W601" i="22" a="1"/>
  <c r="W601" i="22" l="1"/>
  <c r="P601" i="22" a="1"/>
  <c r="P601" i="22" l="1"/>
  <c r="AC601" i="22"/>
  <c r="B602" i="22" l="1"/>
  <c r="R601" i="22"/>
  <c r="S601" i="22" s="1"/>
  <c r="K601" i="22" s="1"/>
  <c r="I602" i="22"/>
  <c r="X601" i="22" l="1"/>
  <c r="Y601" i="22" s="1"/>
  <c r="H602" i="22"/>
  <c r="AG601" i="22" l="1"/>
  <c r="F602" i="22" l="1"/>
  <c r="AK601" i="22"/>
  <c r="G602" i="22" s="1"/>
  <c r="T602" i="22" a="1"/>
  <c r="T602" i="22" l="1"/>
  <c r="Q602" i="22" l="1"/>
  <c r="V602" i="22"/>
  <c r="AF602" i="22" s="1"/>
  <c r="E603" i="22" s="1"/>
  <c r="U602" i="22"/>
  <c r="AE602" i="22" s="1"/>
  <c r="D603" i="22" s="1"/>
  <c r="AD602" i="22"/>
  <c r="C603" i="22" s="1"/>
  <c r="W602" i="22" a="1"/>
  <c r="W602" i="22" l="1"/>
  <c r="P602" i="22" a="1"/>
  <c r="P602" i="22" l="1"/>
  <c r="AC602" i="22"/>
  <c r="R602" i="22" l="1"/>
  <c r="S602" i="22" s="1"/>
  <c r="K602" i="22" s="1"/>
  <c r="I603" i="22"/>
  <c r="B603" i="22"/>
  <c r="X602" i="22" l="1"/>
  <c r="Y602" i="22" s="1"/>
  <c r="H603" i="22"/>
  <c r="AG602" i="22" l="1"/>
  <c r="F603" i="22" l="1"/>
  <c r="AK602" i="22"/>
  <c r="G603" i="22" s="1"/>
  <c r="T603" i="22" a="1"/>
  <c r="T603" i="22" l="1"/>
  <c r="U603" i="22" l="1"/>
  <c r="AE603" i="22" s="1"/>
  <c r="D604" i="22" s="1"/>
  <c r="Q603" i="22"/>
  <c r="AD603" i="22"/>
  <c r="C604" i="22" s="1"/>
  <c r="V603" i="22"/>
  <c r="AF603" i="22" s="1"/>
  <c r="E604" i="22" s="1"/>
  <c r="W603" i="22" a="1"/>
  <c r="W603" i="22" l="1"/>
  <c r="P603" i="22" a="1"/>
  <c r="P603" i="22" l="1"/>
  <c r="AC603" i="22"/>
  <c r="B604" i="22" l="1"/>
  <c r="H604" i="22" s="1"/>
  <c r="I604" i="22"/>
  <c r="R603" i="22"/>
  <c r="S603" i="22" s="1"/>
  <c r="K603" i="22" s="1"/>
  <c r="X603" i="22" l="1"/>
  <c r="Y603" i="22" s="1"/>
  <c r="AG603" i="22" l="1"/>
  <c r="F604" i="22" l="1"/>
  <c r="AK603" i="22"/>
  <c r="G604" i="22" s="1"/>
  <c r="T604" i="22" a="1"/>
  <c r="T604" i="22" l="1"/>
  <c r="V604" i="22" l="1"/>
  <c r="AF604" i="22" s="1"/>
  <c r="E605" i="22" s="1"/>
  <c r="Q604" i="22"/>
  <c r="AD604" i="22"/>
  <c r="C605" i="22" s="1"/>
  <c r="U604" i="22"/>
  <c r="AE604" i="22" s="1"/>
  <c r="D605" i="22" s="1"/>
  <c r="W604" i="22" a="1"/>
  <c r="W604" i="22" l="1"/>
  <c r="P604" i="22" a="1"/>
  <c r="P604" i="22" l="1"/>
  <c r="AC604" i="22"/>
  <c r="B605" i="22" l="1"/>
  <c r="R604" i="22"/>
  <c r="S604" i="22" s="1"/>
  <c r="K604" i="22" s="1"/>
  <c r="I605" i="22"/>
  <c r="H605" i="22" l="1"/>
  <c r="X604" i="22"/>
  <c r="Y604" i="22" s="1"/>
  <c r="AG604" i="22" l="1"/>
  <c r="F605" i="22" l="1"/>
  <c r="AK604" i="22"/>
  <c r="G605" i="22" s="1"/>
  <c r="T605" i="22" a="1"/>
  <c r="T605" i="22" l="1"/>
  <c r="Q605" i="22" l="1"/>
  <c r="U605" i="22"/>
  <c r="AE605" i="22" s="1"/>
  <c r="D606" i="22" s="1"/>
  <c r="V605" i="22"/>
  <c r="AF605" i="22" s="1"/>
  <c r="E606" i="22" s="1"/>
  <c r="AD605" i="22"/>
  <c r="C606" i="22" s="1"/>
  <c r="W605" i="22" a="1"/>
  <c r="W605" i="22" l="1"/>
  <c r="P605" i="22" a="1"/>
  <c r="P605" i="22" l="1"/>
  <c r="AC605" i="22"/>
  <c r="B606" i="22" l="1"/>
  <c r="I606" i="22"/>
  <c r="R605" i="22"/>
  <c r="S605" i="22" s="1"/>
  <c r="K605" i="22" s="1"/>
  <c r="X605" i="22" l="1"/>
  <c r="Y605" i="22" s="1"/>
  <c r="H606" i="22"/>
  <c r="AG605" i="22" l="1"/>
  <c r="F606" i="22" l="1"/>
  <c r="AK605" i="22"/>
  <c r="G606" i="22" s="1"/>
  <c r="T606" i="22" a="1"/>
  <c r="T606" i="22" l="1"/>
  <c r="Q606" i="22" l="1"/>
  <c r="U606" i="22"/>
  <c r="AE606" i="22" s="1"/>
  <c r="D607" i="22" s="1"/>
  <c r="AD606" i="22"/>
  <c r="C607" i="22" s="1"/>
  <c r="V606" i="22"/>
  <c r="AF606" i="22" s="1"/>
  <c r="E607" i="22" s="1"/>
  <c r="W606" i="22" a="1"/>
  <c r="W606" i="22" l="1"/>
  <c r="P606" i="22" a="1"/>
  <c r="P606" i="22" l="1"/>
  <c r="AC606" i="22"/>
  <c r="B607" i="22" l="1"/>
  <c r="R606" i="22"/>
  <c r="S606" i="22" s="1"/>
  <c r="K606" i="22" s="1"/>
  <c r="I607" i="22"/>
  <c r="H607" i="22" l="1"/>
  <c r="X606" i="22"/>
  <c r="Y606" i="22" s="1"/>
  <c r="AG606" i="22" l="1"/>
  <c r="F607" i="22" l="1"/>
  <c r="AK606" i="22"/>
  <c r="G607" i="22" s="1"/>
  <c r="T607" i="22" a="1"/>
  <c r="T607" i="22" l="1"/>
  <c r="Q607" i="22" l="1"/>
  <c r="U607" i="22"/>
  <c r="AE607" i="22" s="1"/>
  <c r="D608" i="22" s="1"/>
  <c r="V607" i="22"/>
  <c r="AF607" i="22" s="1"/>
  <c r="E608" i="22" s="1"/>
  <c r="AD607" i="22"/>
  <c r="C608" i="22" s="1"/>
  <c r="W607" i="22" a="1"/>
  <c r="W607" i="22" l="1"/>
  <c r="P607" i="22" a="1"/>
  <c r="P607" i="22" l="1"/>
  <c r="AC607" i="22"/>
  <c r="B608" i="22" l="1"/>
  <c r="I608" i="22"/>
  <c r="R607" i="22"/>
  <c r="S607" i="22" s="1"/>
  <c r="K607" i="22" s="1"/>
  <c r="X607" i="22" l="1"/>
  <c r="Y607" i="22" s="1"/>
  <c r="H608" i="22"/>
  <c r="AG607" i="22" l="1"/>
  <c r="F608" i="22" l="1"/>
  <c r="AK607" i="22"/>
  <c r="G608" i="22" s="1"/>
  <c r="T608" i="22" a="1"/>
  <c r="T608" i="22" l="1"/>
  <c r="Q608" i="22" l="1"/>
  <c r="U608" i="22"/>
  <c r="AE608" i="22" s="1"/>
  <c r="D609" i="22" s="1"/>
  <c r="AD608" i="22"/>
  <c r="C609" i="22" s="1"/>
  <c r="V608" i="22"/>
  <c r="AF608" i="22" s="1"/>
  <c r="E609" i="22" s="1"/>
  <c r="W608" i="22" a="1"/>
  <c r="W608" i="22" l="1"/>
  <c r="P608" i="22" a="1"/>
  <c r="P608" i="22" l="1"/>
  <c r="AC608" i="22"/>
  <c r="I609" i="22" l="1"/>
  <c r="R608" i="22"/>
  <c r="S608" i="22" s="1"/>
  <c r="K608" i="22" s="1"/>
  <c r="B609" i="22"/>
  <c r="H609" i="22" l="1"/>
  <c r="X608" i="22"/>
  <c r="Y608" i="22" s="1"/>
  <c r="AG608" i="22" l="1"/>
  <c r="F609" i="22" l="1"/>
  <c r="AK608" i="22"/>
  <c r="G609" i="22" s="1"/>
  <c r="T609" i="22" a="1"/>
  <c r="T609" i="22" l="1"/>
  <c r="Q609" i="22" l="1"/>
  <c r="V609" i="22"/>
  <c r="AF609" i="22" s="1"/>
  <c r="E610" i="22" s="1"/>
  <c r="AD609" i="22"/>
  <c r="C610" i="22" s="1"/>
  <c r="U609" i="22"/>
  <c r="AE609" i="22" s="1"/>
  <c r="D610" i="22" s="1"/>
  <c r="W609" i="22" a="1"/>
  <c r="W609" i="22" l="1"/>
  <c r="P609" i="22" a="1"/>
  <c r="P609" i="22" l="1"/>
  <c r="AC609" i="22"/>
  <c r="I610" i="22" l="1"/>
  <c r="R609" i="22"/>
  <c r="S609" i="22" s="1"/>
  <c r="K609" i="22" s="1"/>
  <c r="B610" i="22"/>
  <c r="H610" i="22" l="1"/>
  <c r="X609" i="22"/>
  <c r="Y609" i="22" s="1"/>
  <c r="AG609" i="22" l="1"/>
  <c r="F610" i="22" l="1"/>
  <c r="AK609" i="22"/>
  <c r="G610" i="22" s="1"/>
  <c r="T610" i="22" a="1"/>
  <c r="T610" i="22" l="1"/>
  <c r="U610" i="22" l="1"/>
  <c r="AE610" i="22" s="1"/>
  <c r="D611" i="22" s="1"/>
  <c r="Q610" i="22"/>
  <c r="AD610" i="22"/>
  <c r="C611" i="22" s="1"/>
  <c r="V610" i="22"/>
  <c r="AF610" i="22" s="1"/>
  <c r="E611" i="22" s="1"/>
  <c r="W610" i="22" a="1"/>
  <c r="W610" i="22" l="1"/>
  <c r="P610" i="22" a="1"/>
  <c r="P610" i="22" l="1"/>
  <c r="AC610" i="22"/>
  <c r="B611" i="22" l="1"/>
  <c r="R610" i="22"/>
  <c r="S610" i="22" s="1"/>
  <c r="K610" i="22" s="1"/>
  <c r="I611" i="22"/>
  <c r="H611" i="22" l="1"/>
  <c r="X610" i="22"/>
  <c r="Y610" i="22" s="1"/>
  <c r="AG610" i="22" l="1"/>
  <c r="F611" i="22" l="1"/>
  <c r="AK610" i="22"/>
  <c r="G611" i="22" s="1"/>
  <c r="T611" i="22" a="1"/>
  <c r="T611" i="22" l="1"/>
  <c r="Q611" i="22" l="1"/>
  <c r="U611" i="22"/>
  <c r="AE611" i="22" s="1"/>
  <c r="D612" i="22" s="1"/>
  <c r="AD611" i="22"/>
  <c r="C612" i="22" s="1"/>
  <c r="V611" i="22"/>
  <c r="AF611" i="22" s="1"/>
  <c r="E612" i="22" s="1"/>
  <c r="W611" i="22" a="1"/>
  <c r="W611" i="22" l="1"/>
  <c r="P611" i="22" a="1"/>
  <c r="P611" i="22" l="1"/>
  <c r="AC611" i="22"/>
  <c r="B612" i="22" l="1"/>
  <c r="H612" i="22" s="1"/>
  <c r="R611" i="22"/>
  <c r="S611" i="22" s="1"/>
  <c r="K611" i="22" s="1"/>
  <c r="I612" i="22"/>
  <c r="X611" i="22" l="1"/>
  <c r="Y611" i="22" s="1"/>
  <c r="AG611" i="22" l="1"/>
  <c r="F612" i="22" l="1"/>
  <c r="AK611" i="22"/>
  <c r="G612" i="22" s="1"/>
  <c r="T612" i="22" a="1"/>
  <c r="T612" i="22" l="1"/>
  <c r="AD612" i="22" l="1"/>
  <c r="C613" i="22" s="1"/>
  <c r="Q612" i="22"/>
  <c r="V612" i="22"/>
  <c r="AF612" i="22" s="1"/>
  <c r="E613" i="22" s="1"/>
  <c r="U612" i="22"/>
  <c r="AE612" i="22" s="1"/>
  <c r="D613" i="22" s="1"/>
  <c r="W612" i="22" a="1"/>
  <c r="W612" i="22" l="1"/>
  <c r="P612" i="22" a="1"/>
  <c r="P612" i="22" l="1"/>
  <c r="AC612" i="22"/>
  <c r="B613" i="22" s="1"/>
  <c r="R612" i="22" l="1"/>
  <c r="S612" i="22" s="1"/>
  <c r="K612" i="22" s="1"/>
  <c r="I613" i="22"/>
  <c r="X612" i="22" l="1"/>
  <c r="Y612" i="22" s="1"/>
  <c r="H613" i="22"/>
  <c r="AG612" i="22" l="1"/>
  <c r="AK612" i="22" l="1"/>
  <c r="G613" i="22" s="1"/>
  <c r="F613" i="22"/>
  <c r="T613" i="22" a="1"/>
  <c r="T613" i="22" l="1"/>
  <c r="Q613" i="22" l="1"/>
  <c r="AD613" i="22"/>
  <c r="C614" i="22" s="1"/>
  <c r="V613" i="22"/>
  <c r="AF613" i="22" s="1"/>
  <c r="E614" i="22" s="1"/>
  <c r="U613" i="22"/>
  <c r="AE613" i="22" s="1"/>
  <c r="D614" i="22" s="1"/>
  <c r="W613" i="22" a="1"/>
  <c r="W613" i="22" l="1"/>
  <c r="P613" i="22" a="1"/>
  <c r="P613" i="22" l="1"/>
  <c r="AC613" i="22"/>
  <c r="I614" i="22" l="1"/>
  <c r="R613" i="22"/>
  <c r="S613" i="22" s="1"/>
  <c r="K613" i="22" s="1"/>
  <c r="B614" i="22"/>
  <c r="H614" i="22" l="1"/>
  <c r="X613" i="22"/>
  <c r="Y613" i="22" s="1"/>
  <c r="AG613" i="22" l="1"/>
  <c r="F614" i="22" l="1"/>
  <c r="AK613" i="22"/>
  <c r="G614" i="22" s="1"/>
  <c r="T614" i="22" a="1"/>
  <c r="T614" i="22" l="1"/>
  <c r="Q614" i="22" l="1"/>
  <c r="U614" i="22"/>
  <c r="AE614" i="22" s="1"/>
  <c r="D615" i="22" s="1"/>
  <c r="V614" i="22"/>
  <c r="AF614" i="22" s="1"/>
  <c r="E615" i="22" s="1"/>
  <c r="AD614" i="22"/>
  <c r="C615" i="22" s="1"/>
  <c r="W614" i="22" a="1"/>
  <c r="W614" i="22" l="1"/>
  <c r="P614" i="22" a="1"/>
  <c r="P614" i="22" l="1"/>
  <c r="AC614" i="22"/>
  <c r="B615" i="22" l="1"/>
  <c r="I615" i="22"/>
  <c r="R614" i="22"/>
  <c r="S614" i="22" s="1"/>
  <c r="K614" i="22" s="1"/>
  <c r="X614" i="22" l="1"/>
  <c r="Y614" i="22" s="1"/>
  <c r="H615" i="22"/>
  <c r="AG614" i="22" l="1"/>
  <c r="F615" i="22" l="1"/>
  <c r="AK614" i="22"/>
  <c r="G615" i="22" s="1"/>
  <c r="T615" i="22" a="1"/>
  <c r="T615" i="22" l="1"/>
  <c r="Q615" i="22" l="1"/>
  <c r="U615" i="22"/>
  <c r="AE615" i="22" s="1"/>
  <c r="D616" i="22" s="1"/>
  <c r="AD615" i="22"/>
  <c r="C616" i="22" s="1"/>
  <c r="V615" i="22"/>
  <c r="AF615" i="22" s="1"/>
  <c r="E616" i="22" s="1"/>
  <c r="W615" i="22" a="1"/>
  <c r="W615" i="22" l="1"/>
  <c r="P615" i="22" a="1"/>
  <c r="P615" i="22" l="1"/>
  <c r="AC615" i="22"/>
  <c r="B616" i="22" l="1"/>
  <c r="R615" i="22"/>
  <c r="S615" i="22" s="1"/>
  <c r="K615" i="22" s="1"/>
  <c r="I616" i="22"/>
  <c r="X615" i="22" l="1"/>
  <c r="Y615" i="22" s="1"/>
  <c r="H616" i="22"/>
  <c r="AG615" i="22" l="1"/>
  <c r="F616" i="22" l="1"/>
  <c r="AK615" i="22"/>
  <c r="G616" i="22" s="1"/>
  <c r="T616" i="22" a="1"/>
  <c r="T616" i="22" l="1"/>
  <c r="Q616" i="22" l="1"/>
  <c r="V616" i="22"/>
  <c r="AF616" i="22" s="1"/>
  <c r="E617" i="22" s="1"/>
  <c r="U616" i="22"/>
  <c r="AE616" i="22" s="1"/>
  <c r="D617" i="22" s="1"/>
  <c r="AD616" i="22"/>
  <c r="C617" i="22" s="1"/>
  <c r="W616" i="22" a="1"/>
  <c r="W616" i="22" l="1"/>
  <c r="P616" i="22" a="1"/>
  <c r="P616" i="22" l="1"/>
  <c r="AC616" i="22"/>
  <c r="B617" i="22" l="1"/>
  <c r="I617" i="22"/>
  <c r="R616" i="22"/>
  <c r="S616" i="22" s="1"/>
  <c r="K616" i="22" s="1"/>
  <c r="X616" i="22" l="1"/>
  <c r="Y616" i="22" s="1"/>
  <c r="H617" i="22"/>
  <c r="AG616" i="22" l="1"/>
  <c r="F617" i="22" l="1"/>
  <c r="AK616" i="22"/>
  <c r="G617" i="22" s="1"/>
  <c r="T617" i="22" a="1"/>
  <c r="T617" i="22" l="1"/>
  <c r="Q617" i="22" l="1"/>
  <c r="V617" i="22"/>
  <c r="AF617" i="22" s="1"/>
  <c r="E618" i="22" s="1"/>
  <c r="U617" i="22"/>
  <c r="AE617" i="22" s="1"/>
  <c r="D618" i="22" s="1"/>
  <c r="AD617" i="22"/>
  <c r="C618" i="22" s="1"/>
  <c r="W617" i="22" a="1"/>
  <c r="W617" i="22" l="1"/>
  <c r="P617" i="22" a="1"/>
  <c r="P617" i="22" l="1"/>
  <c r="AC617" i="22"/>
  <c r="B618" i="22" l="1"/>
  <c r="R617" i="22"/>
  <c r="S617" i="22" s="1"/>
  <c r="K617" i="22" s="1"/>
  <c r="I618" i="22"/>
  <c r="X617" i="22" l="1"/>
  <c r="Y617" i="22" s="1"/>
  <c r="H618" i="22"/>
  <c r="AG617" i="22" l="1"/>
  <c r="F618" i="22" l="1"/>
  <c r="AK617" i="22"/>
  <c r="G618" i="22" s="1"/>
  <c r="T618" i="22" a="1"/>
  <c r="T618" i="22" l="1"/>
  <c r="Q618" i="22" l="1"/>
  <c r="AD618" i="22"/>
  <c r="C619" i="22" s="1"/>
  <c r="U618" i="22"/>
  <c r="AE618" i="22" s="1"/>
  <c r="D619" i="22" s="1"/>
  <c r="V618" i="22"/>
  <c r="AF618" i="22" s="1"/>
  <c r="E619" i="22" s="1"/>
  <c r="W618" i="22" a="1"/>
  <c r="W618" i="22" l="1"/>
  <c r="P618" i="22" a="1"/>
  <c r="P618" i="22" l="1"/>
  <c r="AC618" i="22"/>
  <c r="B619" i="22" l="1"/>
  <c r="I619" i="22"/>
  <c r="R618" i="22"/>
  <c r="S618" i="22" s="1"/>
  <c r="K618" i="22" s="1"/>
  <c r="H619" i="22" l="1"/>
  <c r="X618" i="22"/>
  <c r="Y618" i="22" s="1"/>
  <c r="AG618" i="22" l="1"/>
  <c r="F619" i="22" l="1"/>
  <c r="AK618" i="22"/>
  <c r="G619" i="22" s="1"/>
  <c r="T619" i="22" a="1"/>
  <c r="T619" i="22" l="1"/>
  <c r="Q619" i="22" l="1"/>
  <c r="V619" i="22"/>
  <c r="AF619" i="22" s="1"/>
  <c r="E620" i="22" s="1"/>
  <c r="U619" i="22"/>
  <c r="AE619" i="22" s="1"/>
  <c r="D620" i="22" s="1"/>
  <c r="AD619" i="22"/>
  <c r="C620" i="22" s="1"/>
  <c r="W619" i="22" a="1"/>
  <c r="W619" i="22" l="1"/>
  <c r="P619" i="22" a="1"/>
  <c r="P619" i="22" l="1"/>
  <c r="AC619" i="22"/>
  <c r="B620" i="22" l="1"/>
  <c r="R619" i="22"/>
  <c r="S619" i="22" s="1"/>
  <c r="K619" i="22" s="1"/>
  <c r="I620" i="22"/>
  <c r="X619" i="22" l="1"/>
  <c r="Y619" i="22" s="1"/>
  <c r="H620" i="22"/>
  <c r="AG619" i="22" l="1"/>
  <c r="F620" i="22" l="1"/>
  <c r="AK619" i="22"/>
  <c r="G620" i="22" s="1"/>
  <c r="T620" i="22" a="1"/>
  <c r="T620" i="22" l="1"/>
  <c r="Q620" i="22" l="1"/>
  <c r="V620" i="22"/>
  <c r="AF620" i="22" s="1"/>
  <c r="E621" i="22" s="1"/>
  <c r="AD620" i="22"/>
  <c r="C621" i="22" s="1"/>
  <c r="U620" i="22"/>
  <c r="AE620" i="22" s="1"/>
  <c r="D621" i="22" s="1"/>
  <c r="W620" i="22" a="1"/>
  <c r="W620" i="22" l="1"/>
  <c r="P620" i="22" a="1"/>
  <c r="P620" i="22" l="1"/>
  <c r="AC620" i="22"/>
  <c r="R620" i="22" l="1"/>
  <c r="S620" i="22" s="1"/>
  <c r="K620" i="22" s="1"/>
  <c r="I621" i="22"/>
  <c r="B621" i="22"/>
  <c r="H621" i="22" l="1"/>
  <c r="X620" i="22"/>
  <c r="Y620" i="22" s="1"/>
  <c r="AG620" i="22" l="1"/>
  <c r="F621" i="22" l="1"/>
  <c r="AK620" i="22"/>
  <c r="G621" i="22" s="1"/>
  <c r="T621" i="22" a="1"/>
  <c r="T621" i="22" l="1"/>
  <c r="Q621" i="22" l="1"/>
  <c r="AD621" i="22"/>
  <c r="C622" i="22" s="1"/>
  <c r="U621" i="22"/>
  <c r="AE621" i="22" s="1"/>
  <c r="D622" i="22" s="1"/>
  <c r="V621" i="22"/>
  <c r="AF621" i="22" s="1"/>
  <c r="E622" i="22" s="1"/>
  <c r="W621" i="22" a="1"/>
  <c r="W621" i="22" l="1"/>
  <c r="P621" i="22" a="1"/>
  <c r="P621" i="22" l="1"/>
  <c r="AC621" i="22"/>
  <c r="B622" i="22" l="1"/>
  <c r="R621" i="22"/>
  <c r="S621" i="22" s="1"/>
  <c r="K621" i="22" s="1"/>
  <c r="I622" i="22"/>
  <c r="H622" i="22" l="1"/>
  <c r="X621" i="22"/>
  <c r="Y621" i="22" s="1"/>
  <c r="AG621" i="22" l="1"/>
  <c r="F622" i="22" l="1"/>
  <c r="AK621" i="22"/>
  <c r="G622" i="22" s="1"/>
  <c r="T622" i="22" a="1"/>
  <c r="T622" i="22" l="1"/>
  <c r="U622" i="22" l="1"/>
  <c r="AE622" i="22" s="1"/>
  <c r="D623" i="22" s="1"/>
  <c r="Q622" i="22"/>
  <c r="AD622" i="22"/>
  <c r="C623" i="22" s="1"/>
  <c r="V622" i="22"/>
  <c r="AF622" i="22" s="1"/>
  <c r="E623" i="22" s="1"/>
  <c r="W622" i="22" a="1"/>
  <c r="W622" i="22" l="1"/>
  <c r="P622" i="22" a="1"/>
  <c r="P622" i="22" l="1"/>
  <c r="AC622" i="22"/>
  <c r="B623" i="22" l="1"/>
  <c r="I623" i="22"/>
  <c r="R622" i="22"/>
  <c r="S622" i="22" s="1"/>
  <c r="K622" i="22" s="1"/>
  <c r="H623" i="22" l="1"/>
  <c r="X622" i="22"/>
  <c r="Y622" i="22" s="1"/>
  <c r="AG622" i="22" l="1"/>
  <c r="F623" i="22" l="1"/>
  <c r="AK622" i="22"/>
  <c r="G623" i="22" s="1"/>
  <c r="T623" i="22" a="1"/>
  <c r="T623" i="22" l="1"/>
  <c r="Q623" i="22" l="1"/>
  <c r="V623" i="22"/>
  <c r="AF623" i="22" s="1"/>
  <c r="E624" i="22" s="1"/>
  <c r="AD623" i="22"/>
  <c r="C624" i="22" s="1"/>
  <c r="U623" i="22"/>
  <c r="AE623" i="22" s="1"/>
  <c r="D624" i="22" s="1"/>
  <c r="W623" i="22" a="1"/>
  <c r="W623" i="22" l="1"/>
  <c r="P623" i="22" a="1"/>
  <c r="P623" i="22" l="1"/>
  <c r="AC623" i="22"/>
  <c r="I624" i="22" l="1"/>
  <c r="R623" i="22"/>
  <c r="S623" i="22" s="1"/>
  <c r="K623" i="22" s="1"/>
  <c r="B624" i="22"/>
  <c r="H624" i="22" l="1"/>
  <c r="X623" i="22"/>
  <c r="Y623" i="22" s="1"/>
  <c r="AG623" i="22" l="1"/>
  <c r="F624" i="22" l="1"/>
  <c r="AK623" i="22"/>
  <c r="G624" i="22" s="1"/>
  <c r="T624" i="22" a="1"/>
  <c r="T624" i="22" l="1"/>
  <c r="Q624" i="22" l="1"/>
  <c r="U624" i="22"/>
  <c r="AE624" i="22" s="1"/>
  <c r="D625" i="22" s="1"/>
  <c r="V624" i="22"/>
  <c r="AF624" i="22" s="1"/>
  <c r="E625" i="22" s="1"/>
  <c r="AD624" i="22"/>
  <c r="C625" i="22" s="1"/>
  <c r="W624" i="22" a="1"/>
  <c r="W624" i="22" l="1"/>
  <c r="P624" i="22" a="1"/>
  <c r="P624" i="22" l="1"/>
  <c r="AC624" i="22"/>
  <c r="B625" i="22" l="1"/>
  <c r="I625" i="22"/>
  <c r="R624" i="22"/>
  <c r="S624" i="22" s="1"/>
  <c r="K624" i="22" s="1"/>
  <c r="X624" i="22" l="1"/>
  <c r="Y624" i="22" s="1"/>
  <c r="H625" i="22"/>
  <c r="AG624" i="22" l="1"/>
  <c r="F625" i="22" l="1"/>
  <c r="AK624" i="22"/>
  <c r="G625" i="22" s="1"/>
  <c r="T625" i="22" a="1"/>
  <c r="T625" i="22" l="1"/>
  <c r="U625" i="22" l="1"/>
  <c r="AE625" i="22" s="1"/>
  <c r="D626" i="22" s="1"/>
  <c r="Q625" i="22"/>
  <c r="AD625" i="22"/>
  <c r="C626" i="22" s="1"/>
  <c r="V625" i="22"/>
  <c r="AF625" i="22" s="1"/>
  <c r="E626" i="22" s="1"/>
  <c r="W625" i="22" a="1"/>
  <c r="W625" i="22" l="1"/>
  <c r="P625" i="22" a="1"/>
  <c r="P625" i="22" l="1"/>
  <c r="AC625" i="22"/>
  <c r="B626" i="22" l="1"/>
  <c r="I626" i="22"/>
  <c r="R625" i="22"/>
  <c r="S625" i="22" s="1"/>
  <c r="K625" i="22" s="1"/>
  <c r="H626" i="22" l="1"/>
  <c r="X625" i="22"/>
  <c r="Y625" i="22" s="1"/>
  <c r="AG625" i="22" l="1"/>
  <c r="F626" i="22" l="1"/>
  <c r="AK625" i="22"/>
  <c r="G626" i="22" s="1"/>
  <c r="T626" i="22" a="1"/>
  <c r="T626" i="22" l="1"/>
  <c r="AD626" i="22" l="1"/>
  <c r="C627" i="22" s="1"/>
  <c r="Q626" i="22"/>
  <c r="U626" i="22"/>
  <c r="AE626" i="22" s="1"/>
  <c r="D627" i="22" s="1"/>
  <c r="V626" i="22"/>
  <c r="AF626" i="22" s="1"/>
  <c r="E627" i="22" s="1"/>
  <c r="W626" i="22" a="1"/>
  <c r="W626" i="22" l="1"/>
  <c r="P626" i="22" a="1"/>
  <c r="P626" i="22" l="1"/>
  <c r="AC626" i="22"/>
  <c r="R626" i="22" l="1"/>
  <c r="S626" i="22" s="1"/>
  <c r="K626" i="22" s="1"/>
  <c r="I627" i="22"/>
  <c r="B627" i="22"/>
  <c r="H627" i="22" l="1"/>
  <c r="X626" i="22"/>
  <c r="Y626" i="22" s="1"/>
  <c r="AG626" i="22" l="1"/>
  <c r="F627" i="22" l="1"/>
  <c r="AK626" i="22"/>
  <c r="G627" i="22" s="1"/>
  <c r="T627" i="22" a="1"/>
  <c r="T627" i="22" l="1"/>
  <c r="Q627" i="22" l="1"/>
  <c r="AD627" i="22"/>
  <c r="C628" i="22" s="1"/>
  <c r="V627" i="22"/>
  <c r="AF627" i="22" s="1"/>
  <c r="E628" i="22" s="1"/>
  <c r="U627" i="22"/>
  <c r="AE627" i="22" s="1"/>
  <c r="D628" i="22" s="1"/>
  <c r="W627" i="22" a="1"/>
  <c r="W627" i="22" l="1"/>
  <c r="P627" i="22" a="1"/>
  <c r="P627" i="22" l="1"/>
  <c r="AC627" i="22"/>
  <c r="B628" i="22" l="1"/>
  <c r="R627" i="22"/>
  <c r="S627" i="22" s="1"/>
  <c r="K627" i="22" s="1"/>
  <c r="I628" i="22"/>
  <c r="X627" i="22" l="1"/>
  <c r="Y627" i="22" s="1"/>
  <c r="H628" i="22"/>
  <c r="AG627" i="22" l="1"/>
  <c r="F628" i="22" l="1"/>
  <c r="AK627" i="22"/>
  <c r="G628" i="22" s="1"/>
  <c r="T628" i="22" a="1"/>
  <c r="T628" i="22" l="1"/>
  <c r="Q628" i="22" l="1"/>
  <c r="U628" i="22"/>
  <c r="AE628" i="22" s="1"/>
  <c r="D629" i="22" s="1"/>
  <c r="AD628" i="22"/>
  <c r="C629" i="22" s="1"/>
  <c r="V628" i="22"/>
  <c r="AF628" i="22" s="1"/>
  <c r="E629" i="22" s="1"/>
  <c r="W628" i="22" a="1"/>
  <c r="W628" i="22" l="1"/>
  <c r="P628" i="22" a="1"/>
  <c r="P628" i="22" l="1"/>
  <c r="AC628" i="22"/>
  <c r="B629" i="22" l="1"/>
  <c r="I629" i="22"/>
  <c r="R628" i="22"/>
  <c r="S628" i="22" s="1"/>
  <c r="K628" i="22" s="1"/>
  <c r="X628" i="22" l="1"/>
  <c r="Y628" i="22" s="1"/>
  <c r="H629" i="22"/>
  <c r="AG628" i="22" l="1"/>
  <c r="F629" i="22" l="1"/>
  <c r="AK628" i="22"/>
  <c r="G629" i="22" s="1"/>
  <c r="T629" i="22" a="1"/>
  <c r="T629" i="22" l="1"/>
  <c r="Q629" i="22" l="1"/>
  <c r="U629" i="22"/>
  <c r="AE629" i="22" s="1"/>
  <c r="D630" i="22" s="1"/>
  <c r="V629" i="22"/>
  <c r="AF629" i="22" s="1"/>
  <c r="E630" i="22" s="1"/>
  <c r="AD629" i="22"/>
  <c r="C630" i="22" s="1"/>
  <c r="W629" i="22" a="1"/>
  <c r="W629" i="22" l="1"/>
  <c r="P629" i="22" a="1"/>
  <c r="P629" i="22" l="1"/>
  <c r="AC629" i="22"/>
  <c r="B630" i="22" l="1"/>
  <c r="I630" i="22"/>
  <c r="R629" i="22"/>
  <c r="S629" i="22" s="1"/>
  <c r="K629" i="22" s="1"/>
  <c r="H630" i="22" l="1"/>
  <c r="X629" i="22"/>
  <c r="Y629" i="22" s="1"/>
  <c r="AG629" i="22" l="1"/>
  <c r="F630" i="22" l="1"/>
  <c r="AK629" i="22"/>
  <c r="G630" i="22" s="1"/>
  <c r="T630" i="22" a="1"/>
  <c r="T630" i="22" l="1"/>
  <c r="Q630" i="22" l="1"/>
  <c r="V630" i="22"/>
  <c r="AF630" i="22" s="1"/>
  <c r="E631" i="22" s="1"/>
  <c r="AD630" i="22"/>
  <c r="C631" i="22" s="1"/>
  <c r="U630" i="22"/>
  <c r="AE630" i="22" s="1"/>
  <c r="D631" i="22" s="1"/>
  <c r="W630" i="22" a="1"/>
  <c r="W630" i="22" l="1"/>
  <c r="P630" i="22" a="1"/>
  <c r="P630" i="22" l="1"/>
  <c r="AC630" i="22"/>
  <c r="B631" i="22" l="1"/>
  <c r="I631" i="22"/>
  <c r="R630" i="22"/>
  <c r="S630" i="22" s="1"/>
  <c r="K630" i="22" s="1"/>
  <c r="X630" i="22" l="1"/>
  <c r="Y630" i="22" s="1"/>
  <c r="H631" i="22"/>
  <c r="AG630" i="22" l="1"/>
  <c r="F631" i="22" l="1"/>
  <c r="AK630" i="22"/>
  <c r="G631" i="22" s="1"/>
  <c r="T631" i="22" a="1"/>
  <c r="T631" i="22" l="1"/>
  <c r="Q631" i="22" l="1"/>
  <c r="U631" i="22"/>
  <c r="AE631" i="22" s="1"/>
  <c r="D632" i="22" s="1"/>
  <c r="V631" i="22"/>
  <c r="AF631" i="22" s="1"/>
  <c r="E632" i="22" s="1"/>
  <c r="AD631" i="22"/>
  <c r="C632" i="22" s="1"/>
  <c r="W631" i="22" a="1"/>
  <c r="W631" i="22" l="1"/>
  <c r="P631" i="22" a="1"/>
  <c r="P631" i="22" l="1"/>
  <c r="AC631" i="22"/>
  <c r="B632" i="22" l="1"/>
  <c r="I632" i="22"/>
  <c r="R631" i="22"/>
  <c r="S631" i="22" s="1"/>
  <c r="K631" i="22" s="1"/>
  <c r="H632" i="22" l="1"/>
  <c r="X631" i="22"/>
  <c r="Y631" i="22" s="1"/>
  <c r="AG631" i="22" l="1"/>
  <c r="F632" i="22" l="1"/>
  <c r="AK631" i="22"/>
  <c r="G632" i="22" s="1"/>
  <c r="T632" i="22" a="1"/>
  <c r="T632" i="22" l="1"/>
  <c r="U632" i="22" l="1"/>
  <c r="AE632" i="22" s="1"/>
  <c r="D633" i="22" s="1"/>
  <c r="Q632" i="22"/>
  <c r="AD632" i="22"/>
  <c r="C633" i="22" s="1"/>
  <c r="V632" i="22"/>
  <c r="AF632" i="22" s="1"/>
  <c r="E633" i="22" s="1"/>
  <c r="W632" i="22" a="1"/>
  <c r="W632" i="22" l="1"/>
  <c r="P632" i="22" a="1"/>
  <c r="P632" i="22" l="1"/>
  <c r="AC632" i="22"/>
  <c r="B633" i="22" l="1"/>
  <c r="I633" i="22"/>
  <c r="R632" i="22"/>
  <c r="S632" i="22" s="1"/>
  <c r="K632" i="22" s="1"/>
  <c r="H633" i="22" l="1"/>
  <c r="X632" i="22"/>
  <c r="Y632" i="22" s="1"/>
  <c r="AG632" i="22" l="1"/>
  <c r="F633" i="22" s="1"/>
  <c r="AK632" i="22" l="1"/>
  <c r="G633" i="22" s="1"/>
  <c r="T633" i="22" a="1"/>
  <c r="T633" i="22" l="1"/>
  <c r="Q633" i="22"/>
  <c r="U633" i="22"/>
  <c r="AE633" i="22" s="1"/>
  <c r="D634" i="22" s="1"/>
  <c r="V633" i="22"/>
  <c r="AF633" i="22" s="1"/>
  <c r="E634" i="22" s="1"/>
  <c r="AD633" i="22"/>
  <c r="C634" i="22" s="1"/>
  <c r="W633" i="22" a="1"/>
  <c r="W633" i="22" l="1"/>
  <c r="P633" i="22" a="1"/>
  <c r="P633" i="22" l="1"/>
  <c r="AC633" i="22"/>
  <c r="B634" i="22" l="1"/>
  <c r="R633" i="22"/>
  <c r="S633" i="22" s="1"/>
  <c r="K633" i="22" s="1"/>
  <c r="I634" i="22"/>
  <c r="X633" i="22" l="1"/>
  <c r="Y633" i="22" s="1"/>
  <c r="H634" i="22"/>
  <c r="AG633" i="22" l="1"/>
  <c r="F634" i="22" l="1"/>
  <c r="AK633" i="22"/>
  <c r="G634" i="22" s="1"/>
  <c r="T634" i="22" a="1"/>
  <c r="T634" i="22" l="1"/>
  <c r="Q634" i="22" l="1"/>
  <c r="V634" i="22"/>
  <c r="AF634" i="22" s="1"/>
  <c r="E635" i="22" s="1"/>
  <c r="AD634" i="22"/>
  <c r="C635" i="22" s="1"/>
  <c r="U634" i="22"/>
  <c r="AE634" i="22" s="1"/>
  <c r="D635" i="22" s="1"/>
  <c r="W634" i="22" a="1"/>
  <c r="W634" i="22" l="1"/>
  <c r="P634" i="22" a="1"/>
  <c r="P634" i="22" l="1"/>
  <c r="AC634" i="22"/>
  <c r="B635" i="22" l="1"/>
  <c r="I635" i="22"/>
  <c r="R634" i="22"/>
  <c r="S634" i="22" s="1"/>
  <c r="K634" i="22" s="1"/>
  <c r="H635" i="22" l="1"/>
  <c r="X634" i="22"/>
  <c r="Y634" i="22" s="1"/>
  <c r="AG634" i="22" l="1"/>
  <c r="F635" i="22" l="1"/>
  <c r="AK634" i="22"/>
  <c r="G635" i="22" s="1"/>
  <c r="T635" i="22" a="1"/>
  <c r="T635" i="22" l="1"/>
  <c r="U635" i="22" l="1"/>
  <c r="AE635" i="22" s="1"/>
  <c r="D636" i="22" s="1"/>
  <c r="Q635" i="22"/>
  <c r="AD635" i="22"/>
  <c r="C636" i="22" s="1"/>
  <c r="V635" i="22"/>
  <c r="AF635" i="22" s="1"/>
  <c r="E636" i="22" s="1"/>
  <c r="W635" i="22" a="1"/>
  <c r="W635" i="22" l="1"/>
  <c r="P635" i="22" a="1"/>
  <c r="P635" i="22" l="1"/>
  <c r="AC635" i="22"/>
  <c r="B636" i="22" l="1"/>
  <c r="R635" i="22"/>
  <c r="S635" i="22" s="1"/>
  <c r="K635" i="22" s="1"/>
  <c r="I636" i="22"/>
  <c r="X635" i="22" l="1"/>
  <c r="Y635" i="22" s="1"/>
  <c r="H636" i="22"/>
  <c r="AG635" i="22" l="1"/>
  <c r="F636" i="22" l="1"/>
  <c r="AK635" i="22"/>
  <c r="G636" i="22" s="1"/>
  <c r="T636" i="22" a="1"/>
  <c r="T636" i="22" l="1"/>
  <c r="Q636" i="22" l="1"/>
  <c r="V636" i="22"/>
  <c r="AF636" i="22" s="1"/>
  <c r="E637" i="22" s="1"/>
  <c r="AD636" i="22"/>
  <c r="C637" i="22" s="1"/>
  <c r="U636" i="22"/>
  <c r="AE636" i="22" s="1"/>
  <c r="D637" i="22" s="1"/>
  <c r="W636" i="22" a="1"/>
  <c r="W636" i="22" l="1"/>
  <c r="P636" i="22" a="1"/>
  <c r="P636" i="22" l="1"/>
  <c r="AC636" i="22"/>
  <c r="B637" i="22" l="1"/>
  <c r="I637" i="22"/>
  <c r="R636" i="22"/>
  <c r="S636" i="22" s="1"/>
  <c r="K636" i="22" s="1"/>
  <c r="H637" i="22" l="1"/>
  <c r="X636" i="22"/>
  <c r="Y636" i="22" s="1"/>
  <c r="AG636" i="22" l="1"/>
  <c r="F637" i="22" l="1"/>
  <c r="AK636" i="22"/>
  <c r="G637" i="22" s="1"/>
  <c r="T637" i="22" a="1"/>
  <c r="T637" i="22" l="1"/>
  <c r="Q637" i="22" l="1"/>
  <c r="U637" i="22"/>
  <c r="AE637" i="22" s="1"/>
  <c r="D638" i="22" s="1"/>
  <c r="V637" i="22"/>
  <c r="AF637" i="22" s="1"/>
  <c r="E638" i="22" s="1"/>
  <c r="AD637" i="22"/>
  <c r="C638" i="22" s="1"/>
  <c r="W637" i="22" a="1"/>
  <c r="W637" i="22" l="1"/>
  <c r="P637" i="22" a="1"/>
  <c r="P637" i="22" l="1"/>
  <c r="AC637" i="22"/>
  <c r="B638" i="22" l="1"/>
  <c r="I638" i="22"/>
  <c r="R637" i="22"/>
  <c r="S637" i="22" s="1"/>
  <c r="K637" i="22" s="1"/>
  <c r="X637" i="22" l="1"/>
  <c r="Y637" i="22" s="1"/>
  <c r="H638" i="22"/>
  <c r="AG637" i="22" l="1"/>
  <c r="F638" i="22" l="1"/>
  <c r="AK637" i="22"/>
  <c r="G638" i="22" s="1"/>
  <c r="T638" i="22" a="1"/>
  <c r="T638" i="22" l="1"/>
  <c r="Q638" i="22" l="1"/>
  <c r="AD638" i="22"/>
  <c r="C639" i="22" s="1"/>
  <c r="U638" i="22"/>
  <c r="AE638" i="22" s="1"/>
  <c r="D639" i="22" s="1"/>
  <c r="V638" i="22"/>
  <c r="AF638" i="22" s="1"/>
  <c r="E639" i="22" s="1"/>
  <c r="W638" i="22" a="1"/>
  <c r="W638" i="22" l="1"/>
  <c r="P638" i="22" a="1"/>
  <c r="P638" i="22" l="1"/>
  <c r="AC638" i="22"/>
  <c r="I639" i="22" l="1"/>
  <c r="R638" i="22"/>
  <c r="S638" i="22" s="1"/>
  <c r="K638" i="22" s="1"/>
  <c r="B639" i="22"/>
  <c r="H639" i="22" l="1"/>
  <c r="X638" i="22"/>
  <c r="Y638" i="22" s="1"/>
  <c r="AG638" i="22" l="1"/>
  <c r="F639" i="22" l="1"/>
  <c r="AK638" i="22"/>
  <c r="G639" i="22" s="1"/>
  <c r="T639" i="22" a="1"/>
  <c r="T639" i="22" l="1"/>
  <c r="Q639" i="22" l="1"/>
  <c r="AD639" i="22"/>
  <c r="C640" i="22" s="1"/>
  <c r="U639" i="22"/>
  <c r="AE639" i="22" s="1"/>
  <c r="D640" i="22" s="1"/>
  <c r="V639" i="22"/>
  <c r="AF639" i="22" s="1"/>
  <c r="E640" i="22" s="1"/>
  <c r="W639" i="22" a="1"/>
  <c r="W639" i="22" l="1"/>
  <c r="P639" i="22" a="1"/>
  <c r="P639" i="22" l="1"/>
  <c r="AC639" i="22"/>
  <c r="B640" i="22" l="1"/>
  <c r="I640" i="22"/>
  <c r="R639" i="22"/>
  <c r="S639" i="22" s="1"/>
  <c r="K639" i="22" s="1"/>
  <c r="H640" i="22" l="1"/>
  <c r="X639" i="22"/>
  <c r="Y639" i="22" s="1"/>
  <c r="AG639" i="22" l="1"/>
  <c r="F640" i="22" l="1"/>
  <c r="AK639" i="22"/>
  <c r="G640" i="22" s="1"/>
  <c r="T640" i="22" a="1"/>
  <c r="T640" i="22" l="1"/>
  <c r="Q640" i="22" l="1"/>
  <c r="U640" i="22"/>
  <c r="AE640" i="22" s="1"/>
  <c r="D641" i="22" s="1"/>
  <c r="AD640" i="22"/>
  <c r="C641" i="22" s="1"/>
  <c r="V640" i="22"/>
  <c r="AF640" i="22" s="1"/>
  <c r="E641" i="22" s="1"/>
  <c r="W640" i="22" a="1"/>
  <c r="W640" i="22" l="1"/>
  <c r="P640" i="22" a="1"/>
  <c r="P640" i="22" l="1"/>
  <c r="AC640" i="22"/>
  <c r="R640" i="22" l="1"/>
  <c r="S640" i="22" s="1"/>
  <c r="K640" i="22" s="1"/>
  <c r="I641" i="22"/>
  <c r="B641" i="22"/>
  <c r="H641" i="22" l="1"/>
  <c r="X640" i="22"/>
  <c r="Y640" i="22" s="1"/>
  <c r="AG640" i="22" l="1"/>
  <c r="F641" i="22" l="1"/>
  <c r="AK640" i="22"/>
  <c r="G641" i="22" s="1"/>
  <c r="T641" i="22" a="1"/>
  <c r="T641" i="22" l="1"/>
  <c r="V641" i="22" l="1"/>
  <c r="AF641" i="22" s="1"/>
  <c r="E642" i="22" s="1"/>
  <c r="Q641" i="22"/>
  <c r="U641" i="22"/>
  <c r="AE641" i="22" s="1"/>
  <c r="D642" i="22" s="1"/>
  <c r="AD641" i="22"/>
  <c r="C642" i="22" s="1"/>
  <c r="W641" i="22" a="1"/>
  <c r="W641" i="22" l="1"/>
  <c r="P641" i="22" a="1"/>
  <c r="P641" i="22" l="1"/>
  <c r="AC641" i="22"/>
  <c r="B642" i="22" l="1"/>
  <c r="R641" i="22"/>
  <c r="S641" i="22" s="1"/>
  <c r="K641" i="22" s="1"/>
  <c r="I642" i="22"/>
  <c r="X641" i="22" l="1"/>
  <c r="Y641" i="22" s="1"/>
  <c r="H642" i="22"/>
  <c r="AG641" i="22" l="1"/>
  <c r="F642" i="22" l="1"/>
  <c r="AK641" i="22"/>
  <c r="G642" i="22" s="1"/>
  <c r="T642" i="22" a="1"/>
  <c r="T642" i="22" l="1"/>
  <c r="Q642" i="22" l="1"/>
  <c r="U642" i="22"/>
  <c r="AE642" i="22" s="1"/>
  <c r="D643" i="22" s="1"/>
  <c r="V642" i="22"/>
  <c r="AF642" i="22" s="1"/>
  <c r="E643" i="22" s="1"/>
  <c r="AD642" i="22"/>
  <c r="C643" i="22" s="1"/>
  <c r="W642" i="22" a="1"/>
  <c r="W642" i="22" l="1"/>
  <c r="P642" i="22" a="1"/>
  <c r="P642" i="22" l="1"/>
  <c r="AC642" i="22"/>
  <c r="B643" i="22" l="1"/>
  <c r="R642" i="22"/>
  <c r="S642" i="22" s="1"/>
  <c r="K642" i="22" s="1"/>
  <c r="I643" i="22"/>
  <c r="X642" i="22" l="1"/>
  <c r="Y642" i="22" s="1"/>
  <c r="H643" i="22"/>
  <c r="AG642" i="22" l="1"/>
  <c r="F643" i="22" l="1"/>
  <c r="AK642" i="22"/>
  <c r="G643" i="22" s="1"/>
  <c r="T643" i="22" a="1"/>
  <c r="T643" i="22" l="1"/>
  <c r="Q643" i="22" l="1"/>
  <c r="V643" i="22"/>
  <c r="AF643" i="22" s="1"/>
  <c r="E644" i="22" s="1"/>
  <c r="AD643" i="22"/>
  <c r="C644" i="22" s="1"/>
  <c r="U643" i="22"/>
  <c r="AE643" i="22" s="1"/>
  <c r="D644" i="22" s="1"/>
  <c r="W643" i="22" a="1"/>
  <c r="W643" i="22" l="1"/>
  <c r="P643" i="22" a="1"/>
  <c r="P643" i="22" l="1"/>
  <c r="AC643" i="22"/>
  <c r="I644" i="22" l="1"/>
  <c r="R643" i="22"/>
  <c r="S643" i="22" s="1"/>
  <c r="K643" i="22" s="1"/>
  <c r="B644" i="22"/>
  <c r="H644" i="22" l="1"/>
  <c r="X643" i="22"/>
  <c r="Y643" i="22" s="1"/>
  <c r="AG643" i="22" l="1"/>
  <c r="F644" i="22" l="1"/>
  <c r="AK643" i="22"/>
  <c r="G644" i="22" s="1"/>
  <c r="T644" i="22" a="1"/>
  <c r="T644" i="22" l="1"/>
  <c r="Q644" i="22" l="1"/>
  <c r="AD644" i="22"/>
  <c r="C645" i="22" s="1"/>
  <c r="V644" i="22"/>
  <c r="AF644" i="22" s="1"/>
  <c r="E645" i="22" s="1"/>
  <c r="U644" i="22"/>
  <c r="AE644" i="22" s="1"/>
  <c r="D645" i="22" s="1"/>
  <c r="W644" i="22" a="1"/>
  <c r="W644" i="22" l="1"/>
  <c r="P644" i="22" a="1"/>
  <c r="P644" i="22" l="1"/>
  <c r="AC644" i="22"/>
  <c r="B645" i="22" l="1"/>
  <c r="R644" i="22"/>
  <c r="S644" i="22" s="1"/>
  <c r="K644" i="22" s="1"/>
  <c r="I645" i="22"/>
  <c r="H645" i="22" l="1"/>
  <c r="X644" i="22"/>
  <c r="Y644" i="22" s="1"/>
  <c r="AG644" i="22" l="1"/>
  <c r="F645" i="22" l="1"/>
  <c r="AK644" i="22"/>
  <c r="G645" i="22" s="1"/>
  <c r="T645" i="22" a="1"/>
  <c r="T645" i="22" l="1"/>
  <c r="AD645" i="22" l="1"/>
  <c r="C646" i="22" s="1"/>
  <c r="Q645" i="22"/>
  <c r="V645" i="22"/>
  <c r="AF645" i="22" s="1"/>
  <c r="E646" i="22" s="1"/>
  <c r="U645" i="22"/>
  <c r="AE645" i="22" s="1"/>
  <c r="D646" i="22" s="1"/>
  <c r="W645" i="22" a="1"/>
  <c r="W645" i="22" l="1"/>
  <c r="P645" i="22" a="1"/>
  <c r="P645" i="22" l="1"/>
  <c r="AC645" i="22"/>
  <c r="R645" i="22" l="1"/>
  <c r="S645" i="22" s="1"/>
  <c r="K645" i="22" s="1"/>
  <c r="I646" i="22"/>
  <c r="B646" i="22"/>
  <c r="X645" i="22" l="1"/>
  <c r="Y645" i="22" s="1"/>
  <c r="H646" i="22"/>
  <c r="AG645" i="22" l="1"/>
  <c r="F646" i="22" l="1"/>
  <c r="AK645" i="22"/>
  <c r="G646" i="22" s="1"/>
  <c r="T646" i="22" a="1"/>
  <c r="T646" i="22" l="1"/>
  <c r="Q646" i="22" l="1"/>
  <c r="U646" i="22"/>
  <c r="AE646" i="22" s="1"/>
  <c r="D647" i="22" s="1"/>
  <c r="V646" i="22"/>
  <c r="AF646" i="22" s="1"/>
  <c r="E647" i="22" s="1"/>
  <c r="AD646" i="22"/>
  <c r="C647" i="22" s="1"/>
  <c r="W646" i="22" a="1"/>
  <c r="W646" i="22" l="1"/>
  <c r="P646" i="22" a="1"/>
  <c r="P646" i="22" l="1"/>
  <c r="AC646" i="22"/>
  <c r="B647" i="22" l="1"/>
  <c r="I647" i="22"/>
  <c r="R646" i="22"/>
  <c r="S646" i="22" s="1"/>
  <c r="K646" i="22" s="1"/>
  <c r="X646" i="22" l="1"/>
  <c r="Y646" i="22" s="1"/>
  <c r="H647" i="22"/>
  <c r="AG646" i="22" l="1"/>
  <c r="F647" i="22" l="1"/>
  <c r="AK646" i="22"/>
  <c r="G647" i="22" s="1"/>
  <c r="T647" i="22" a="1"/>
  <c r="T647" i="22" l="1"/>
  <c r="Q647" i="22" l="1"/>
  <c r="U647" i="22"/>
  <c r="AE647" i="22" s="1"/>
  <c r="D648" i="22" s="1"/>
  <c r="V647" i="22"/>
  <c r="AF647" i="22" s="1"/>
  <c r="E648" i="22" s="1"/>
  <c r="AD647" i="22"/>
  <c r="C648" i="22" s="1"/>
  <c r="W647" i="22" a="1"/>
  <c r="W647" i="22" l="1"/>
  <c r="P647" i="22" a="1"/>
  <c r="P647" i="22" l="1"/>
  <c r="AC647" i="22"/>
  <c r="B648" i="22" l="1"/>
  <c r="I648" i="22"/>
  <c r="R647" i="22"/>
  <c r="S647" i="22" s="1"/>
  <c r="K647" i="22" s="1"/>
  <c r="X647" i="22" l="1"/>
  <c r="Y647" i="22" s="1"/>
  <c r="H648" i="22"/>
  <c r="AG647" i="22" l="1"/>
  <c r="F648" i="22" l="1"/>
  <c r="AK647" i="22"/>
  <c r="G648" i="22" s="1"/>
  <c r="T648" i="22" a="1"/>
  <c r="T648" i="22" l="1"/>
  <c r="Q648" i="22" l="1"/>
  <c r="V648" i="22"/>
  <c r="AF648" i="22" s="1"/>
  <c r="E649" i="22" s="1"/>
  <c r="U648" i="22"/>
  <c r="AE648" i="22" s="1"/>
  <c r="D649" i="22" s="1"/>
  <c r="AD648" i="22"/>
  <c r="C649" i="22" s="1"/>
  <c r="W648" i="22" a="1"/>
  <c r="W648" i="22" l="1"/>
  <c r="P648" i="22" a="1"/>
  <c r="P648" i="22" l="1"/>
  <c r="AC648" i="22"/>
  <c r="B649" i="22" l="1"/>
  <c r="I649" i="22"/>
  <c r="R648" i="22"/>
  <c r="S648" i="22" s="1"/>
  <c r="K648" i="22" s="1"/>
  <c r="X648" i="22" l="1"/>
  <c r="Y648" i="22" s="1"/>
  <c r="H649" i="22"/>
  <c r="AG648" i="22" l="1"/>
  <c r="F649" i="22" l="1"/>
  <c r="AK648" i="22"/>
  <c r="G649" i="22" s="1"/>
  <c r="T649" i="22" a="1"/>
  <c r="T649" i="22" l="1"/>
  <c r="Q649" i="22" l="1"/>
  <c r="U649" i="22"/>
  <c r="AE649" i="22" s="1"/>
  <c r="D650" i="22" s="1"/>
  <c r="V649" i="22"/>
  <c r="AF649" i="22" s="1"/>
  <c r="E650" i="22" s="1"/>
  <c r="AD649" i="22"/>
  <c r="C650" i="22" s="1"/>
  <c r="W649" i="22" a="1"/>
  <c r="W649" i="22" l="1"/>
  <c r="P649" i="22" a="1"/>
  <c r="P649" i="22" l="1"/>
  <c r="AC649" i="22"/>
  <c r="R649" i="22" l="1"/>
  <c r="S649" i="22" s="1"/>
  <c r="K649" i="22" s="1"/>
  <c r="I650" i="22"/>
  <c r="B650" i="22"/>
  <c r="H650" i="22" l="1"/>
  <c r="X649" i="22"/>
  <c r="Y649" i="22" s="1"/>
  <c r="AG649" i="22" l="1"/>
  <c r="F650" i="22" l="1"/>
  <c r="AK649" i="22"/>
  <c r="G650" i="22" s="1"/>
  <c r="T650" i="22" a="1"/>
  <c r="T650" i="22" l="1"/>
  <c r="Q650" i="22" l="1"/>
  <c r="AD650" i="22"/>
  <c r="C651" i="22" s="1"/>
  <c r="U650" i="22"/>
  <c r="AE650" i="22" s="1"/>
  <c r="D651" i="22" s="1"/>
  <c r="V650" i="22"/>
  <c r="AF650" i="22" s="1"/>
  <c r="E651" i="22" s="1"/>
  <c r="W650" i="22" a="1"/>
  <c r="W650" i="22" l="1"/>
  <c r="P650" i="22" a="1"/>
  <c r="P650" i="22" l="1"/>
  <c r="AC650" i="22"/>
  <c r="B651" i="22" l="1"/>
  <c r="R650" i="22"/>
  <c r="S650" i="22" s="1"/>
  <c r="K650" i="22" s="1"/>
  <c r="I651" i="22"/>
  <c r="H651" i="22" l="1"/>
  <c r="X650" i="22"/>
  <c r="Y650" i="22" s="1"/>
  <c r="AG650" i="22" l="1"/>
  <c r="F651" i="22" l="1"/>
  <c r="AK650" i="22"/>
  <c r="G651" i="22" s="1"/>
  <c r="T651" i="22" a="1"/>
  <c r="T651" i="22" l="1"/>
  <c r="Q651" i="22" l="1"/>
  <c r="V651" i="22"/>
  <c r="AF651" i="22" s="1"/>
  <c r="E652" i="22" s="1"/>
  <c r="AD651" i="22"/>
  <c r="C652" i="22" s="1"/>
  <c r="U651" i="22"/>
  <c r="AE651" i="22" s="1"/>
  <c r="D652" i="22" s="1"/>
  <c r="W651" i="22" a="1"/>
  <c r="W651" i="22" l="1"/>
  <c r="P651" i="22" a="1"/>
  <c r="P651" i="22" l="1"/>
  <c r="AC651" i="22"/>
  <c r="B652" i="22" s="1"/>
  <c r="R651" i="22" l="1"/>
  <c r="S651" i="22" s="1"/>
  <c r="K651" i="22" s="1"/>
  <c r="I652" i="22"/>
  <c r="X651" i="22" l="1"/>
  <c r="Y651" i="22" s="1"/>
  <c r="H652" i="22"/>
  <c r="AG651" i="22" l="1"/>
  <c r="F652" i="22" s="1"/>
  <c r="AK651" i="22" l="1"/>
  <c r="G652" i="22" s="1"/>
  <c r="T652" i="22" a="1"/>
  <c r="T652" i="22" l="1"/>
  <c r="Q652" i="22"/>
  <c r="U652" i="22"/>
  <c r="AE652" i="22" s="1"/>
  <c r="D653" i="22" s="1"/>
  <c r="AD652" i="22"/>
  <c r="C653" i="22" s="1"/>
  <c r="V652" i="22"/>
  <c r="AF652" i="22" s="1"/>
  <c r="E653" i="22" s="1"/>
  <c r="W652" i="22" a="1"/>
  <c r="W652" i="22" l="1"/>
  <c r="P652" i="22" a="1"/>
  <c r="P652" i="22" l="1"/>
  <c r="AC652" i="22"/>
  <c r="B653" i="22" s="1"/>
  <c r="I653" i="22" l="1"/>
  <c r="H653" i="22" s="1"/>
  <c r="R652" i="22"/>
  <c r="S652" i="22" s="1"/>
  <c r="K652" i="22" s="1"/>
  <c r="X652" i="22" l="1"/>
  <c r="Y652" i="22" s="1"/>
  <c r="AG652" i="22" l="1"/>
  <c r="AK652" i="22" l="1"/>
  <c r="G653" i="22" s="1"/>
  <c r="F653" i="22"/>
  <c r="T653" i="22" a="1"/>
  <c r="T653" i="22" l="1"/>
  <c r="Q653" i="22" l="1"/>
  <c r="AD653" i="22"/>
  <c r="C654" i="22" s="1"/>
  <c r="V653" i="22"/>
  <c r="AF653" i="22" s="1"/>
  <c r="E654" i="22" s="1"/>
  <c r="U653" i="22"/>
  <c r="AE653" i="22" s="1"/>
  <c r="D654" i="22" s="1"/>
  <c r="W653" i="22" a="1"/>
  <c r="W653" i="22" l="1"/>
  <c r="P653" i="22" a="1"/>
  <c r="P653" i="22" l="1"/>
  <c r="AC653" i="22"/>
  <c r="I654" i="22" l="1"/>
  <c r="R653" i="22"/>
  <c r="S653" i="22" s="1"/>
  <c r="K653" i="22" s="1"/>
  <c r="B654" i="22"/>
  <c r="X653" i="22" l="1"/>
  <c r="Y653" i="22" s="1"/>
  <c r="H654" i="22"/>
  <c r="AG653" i="22" l="1"/>
  <c r="F654" i="22" l="1"/>
  <c r="AK653" i="22"/>
  <c r="G654" i="22" s="1"/>
  <c r="T654" i="22" a="1"/>
  <c r="T654" i="22" l="1"/>
  <c r="Q654" i="22" l="1"/>
  <c r="AD654" i="22"/>
  <c r="C655" i="22" s="1"/>
  <c r="U654" i="22"/>
  <c r="AE654" i="22" s="1"/>
  <c r="D655" i="22" s="1"/>
  <c r="V654" i="22"/>
  <c r="AF654" i="22" s="1"/>
  <c r="E655" i="22" s="1"/>
  <c r="W654" i="22" a="1"/>
  <c r="W654" i="22" l="1"/>
  <c r="P654" i="22" a="1"/>
  <c r="P654" i="22" l="1"/>
  <c r="AC654" i="22"/>
  <c r="B655" i="22" l="1"/>
  <c r="I655" i="22"/>
  <c r="R654" i="22"/>
  <c r="S654" i="22" s="1"/>
  <c r="K654" i="22" s="1"/>
  <c r="H655" i="22" l="1"/>
  <c r="X654" i="22"/>
  <c r="Y654" i="22" s="1"/>
  <c r="AG654" i="22" l="1"/>
  <c r="F655" i="22" l="1"/>
  <c r="AK654" i="22"/>
  <c r="G655" i="22" s="1"/>
  <c r="T655" i="22" a="1"/>
  <c r="T655" i="22" l="1"/>
  <c r="V655" i="22" l="1"/>
  <c r="AF655" i="22" s="1"/>
  <c r="E656" i="22" s="1"/>
  <c r="Q655" i="22"/>
  <c r="U655" i="22"/>
  <c r="AE655" i="22" s="1"/>
  <c r="D656" i="22" s="1"/>
  <c r="AD655" i="22"/>
  <c r="C656" i="22" s="1"/>
  <c r="W655" i="22" a="1"/>
  <c r="W655" i="22" l="1"/>
  <c r="P655" i="22" a="1"/>
  <c r="P655" i="22" l="1"/>
  <c r="AC655" i="22"/>
  <c r="B656" i="22" l="1"/>
  <c r="I656" i="22"/>
  <c r="R655" i="22"/>
  <c r="S655" i="22" s="1"/>
  <c r="K655" i="22" s="1"/>
  <c r="X655" i="22" l="1"/>
  <c r="Y655" i="22" s="1"/>
  <c r="H656" i="22"/>
  <c r="AG655" i="22" l="1"/>
  <c r="F656" i="22" l="1"/>
  <c r="AK655" i="22"/>
  <c r="G656" i="22" s="1"/>
  <c r="T656" i="22" a="1"/>
  <c r="T656" i="22" l="1"/>
  <c r="Q656" i="22" l="1"/>
  <c r="U656" i="22"/>
  <c r="AE656" i="22" s="1"/>
  <c r="D657" i="22" s="1"/>
  <c r="V656" i="22"/>
  <c r="AF656" i="22" s="1"/>
  <c r="E657" i="22" s="1"/>
  <c r="AD656" i="22"/>
  <c r="C657" i="22" s="1"/>
  <c r="W656" i="22" a="1"/>
  <c r="W656" i="22" l="1"/>
  <c r="P656" i="22" a="1"/>
  <c r="P656" i="22" l="1"/>
  <c r="AC656" i="22"/>
  <c r="B657" i="22" l="1"/>
  <c r="R656" i="22"/>
  <c r="S656" i="22" s="1"/>
  <c r="K656" i="22" s="1"/>
  <c r="I657" i="22"/>
  <c r="X656" i="22" l="1"/>
  <c r="Y656" i="22" s="1"/>
  <c r="H657" i="22"/>
  <c r="AG656" i="22" l="1"/>
  <c r="F657" i="22" l="1"/>
  <c r="AK656" i="22"/>
  <c r="G657" i="22" s="1"/>
  <c r="T657" i="22" a="1"/>
  <c r="T657" i="22" l="1"/>
  <c r="Q657" i="22" l="1"/>
  <c r="U657" i="22"/>
  <c r="AE657" i="22" s="1"/>
  <c r="D658" i="22" s="1"/>
  <c r="AD657" i="22"/>
  <c r="C658" i="22" s="1"/>
  <c r="V657" i="22"/>
  <c r="AF657" i="22" s="1"/>
  <c r="E658" i="22" s="1"/>
  <c r="W657" i="22" a="1"/>
  <c r="W657" i="22" l="1"/>
  <c r="P657" i="22" a="1"/>
  <c r="P657" i="22" l="1"/>
  <c r="AC657" i="22"/>
  <c r="B658" i="22" l="1"/>
  <c r="I658" i="22"/>
  <c r="R657" i="22"/>
  <c r="S657" i="22" s="1"/>
  <c r="K657" i="22" s="1"/>
  <c r="H658" i="22" l="1"/>
  <c r="X657" i="22"/>
  <c r="Y657" i="22" s="1"/>
  <c r="AG657" i="22" l="1"/>
  <c r="F658" i="22" l="1"/>
  <c r="AK657" i="22"/>
  <c r="G658" i="22" s="1"/>
  <c r="T658" i="22" a="1"/>
  <c r="T658" i="22" l="1"/>
  <c r="U658" i="22" l="1"/>
  <c r="AE658" i="22" s="1"/>
  <c r="D659" i="22" s="1"/>
  <c r="Q658" i="22"/>
  <c r="V658" i="22"/>
  <c r="AF658" i="22" s="1"/>
  <c r="E659" i="22" s="1"/>
  <c r="AD658" i="22"/>
  <c r="C659" i="22" s="1"/>
  <c r="W658" i="22" a="1"/>
  <c r="W658" i="22" l="1"/>
  <c r="P658" i="22" a="1"/>
  <c r="P658" i="22" l="1"/>
  <c r="AC658" i="22"/>
  <c r="B659" i="22" l="1"/>
  <c r="R658" i="22"/>
  <c r="S658" i="22" s="1"/>
  <c r="K658" i="22" s="1"/>
  <c r="I659" i="22"/>
  <c r="H659" i="22" l="1"/>
  <c r="X658" i="22"/>
  <c r="Y658" i="22" s="1"/>
  <c r="AG658" i="22" l="1"/>
  <c r="F659" i="22" l="1"/>
  <c r="AK658" i="22"/>
  <c r="G659" i="22" s="1"/>
  <c r="T659" i="22" a="1"/>
  <c r="T659" i="22" l="1"/>
  <c r="AD659" i="22" l="1"/>
  <c r="C660" i="22" s="1"/>
  <c r="Q659" i="22"/>
  <c r="V659" i="22"/>
  <c r="AF659" i="22" s="1"/>
  <c r="E660" i="22" s="1"/>
  <c r="U659" i="22"/>
  <c r="AE659" i="22" s="1"/>
  <c r="D660" i="22" s="1"/>
  <c r="W659" i="22" a="1"/>
  <c r="W659" i="22" l="1"/>
  <c r="P659" i="22" a="1"/>
  <c r="P659" i="22" l="1"/>
  <c r="AC659" i="22"/>
  <c r="B660" i="22" l="1"/>
  <c r="I660" i="22"/>
  <c r="R659" i="22"/>
  <c r="S659" i="22" s="1"/>
  <c r="K659" i="22" s="1"/>
  <c r="X659" i="22" l="1"/>
  <c r="Y659" i="22" s="1"/>
  <c r="H660" i="22"/>
  <c r="AG659" i="22" l="1"/>
  <c r="AK659" i="22" s="1"/>
  <c r="G660" i="22" s="1"/>
  <c r="T660" i="22" a="1"/>
  <c r="F660" i="22" l="1"/>
  <c r="T660" i="22"/>
  <c r="Q660" i="22" l="1"/>
  <c r="U660" i="22"/>
  <c r="AE660" i="22" s="1"/>
  <c r="D661" i="22" s="1"/>
  <c r="AD660" i="22"/>
  <c r="C661" i="22" s="1"/>
  <c r="V660" i="22"/>
  <c r="AF660" i="22" s="1"/>
  <c r="E661" i="22" s="1"/>
  <c r="W660" i="22" a="1"/>
  <c r="W660" i="22" l="1"/>
  <c r="P660" i="22" a="1"/>
  <c r="P660" i="22" l="1"/>
  <c r="AC660" i="22"/>
  <c r="B661" i="22" l="1"/>
  <c r="R660" i="22"/>
  <c r="S660" i="22" s="1"/>
  <c r="K660" i="22" s="1"/>
  <c r="I661" i="22"/>
  <c r="X660" i="22" l="1"/>
  <c r="Y660" i="22" s="1"/>
  <c r="H661" i="22"/>
  <c r="AG660" i="22" l="1"/>
  <c r="AK660" i="22" s="1"/>
  <c r="G661" i="22" s="1"/>
  <c r="T661" i="22" a="1"/>
  <c r="F661" i="22" l="1"/>
  <c r="T661" i="22"/>
  <c r="Q661" i="22" l="1"/>
  <c r="U661" i="22"/>
  <c r="AE661" i="22" s="1"/>
  <c r="D662" i="22" s="1"/>
  <c r="V661" i="22"/>
  <c r="AF661" i="22" s="1"/>
  <c r="E662" i="22" s="1"/>
  <c r="AD661" i="22"/>
  <c r="C662" i="22" s="1"/>
  <c r="W661" i="22" a="1"/>
  <c r="W661" i="22" l="1"/>
  <c r="P661" i="22" a="1"/>
  <c r="P661" i="22" l="1"/>
  <c r="AC661" i="22"/>
  <c r="B662" i="22" l="1"/>
  <c r="R661" i="22"/>
  <c r="S661" i="22" s="1"/>
  <c r="K661" i="22" s="1"/>
  <c r="I662" i="22"/>
  <c r="X661" i="22" l="1"/>
  <c r="Y661" i="22" s="1"/>
  <c r="H662" i="22"/>
  <c r="AG661" i="22" l="1"/>
  <c r="F662" i="22" l="1"/>
  <c r="AK661" i="22"/>
  <c r="G662" i="22" s="1"/>
  <c r="T662" i="22" a="1"/>
  <c r="T662" i="22" l="1"/>
  <c r="Q662" i="22" l="1"/>
  <c r="V662" i="22"/>
  <c r="AF662" i="22" s="1"/>
  <c r="E663" i="22" s="1"/>
  <c r="U662" i="22"/>
  <c r="AE662" i="22" s="1"/>
  <c r="D663" i="22" s="1"/>
  <c r="AD662" i="22"/>
  <c r="C663" i="22" s="1"/>
  <c r="W662" i="22" a="1"/>
  <c r="W662" i="22" l="1"/>
  <c r="P662" i="22" a="1"/>
  <c r="P662" i="22" l="1"/>
  <c r="AC662" i="22"/>
  <c r="B663" i="22" l="1"/>
  <c r="I663" i="22"/>
  <c r="R662" i="22"/>
  <c r="S662" i="22" s="1"/>
  <c r="K662" i="22" s="1"/>
  <c r="H663" i="22" l="1"/>
  <c r="X662" i="22"/>
  <c r="Y662" i="22" s="1"/>
  <c r="AG662" i="22" l="1"/>
  <c r="F663" i="22" s="1"/>
  <c r="AK662" i="22" l="1"/>
  <c r="G663" i="22" s="1"/>
  <c r="T663" i="22" a="1"/>
  <c r="T663" i="22" l="1"/>
  <c r="Q663" i="22"/>
  <c r="V663" i="22"/>
  <c r="AF663" i="22" s="1"/>
  <c r="E664" i="22" s="1"/>
  <c r="U663" i="22"/>
  <c r="AE663" i="22" s="1"/>
  <c r="D664" i="22" s="1"/>
  <c r="AD663" i="22"/>
  <c r="C664" i="22" s="1"/>
  <c r="W663" i="22" a="1"/>
  <c r="W663" i="22" l="1"/>
  <c r="P663" i="22" a="1"/>
  <c r="P663" i="22" l="1"/>
  <c r="AC663" i="22"/>
  <c r="B664" i="22" l="1"/>
  <c r="I664" i="22"/>
  <c r="R663" i="22"/>
  <c r="S663" i="22" s="1"/>
  <c r="K663" i="22" s="1"/>
  <c r="X663" i="22" l="1"/>
  <c r="Y663" i="22" s="1"/>
  <c r="H664" i="22"/>
  <c r="AG663" i="22" l="1"/>
  <c r="F664" i="22" s="1"/>
  <c r="AK663" i="22" l="1"/>
  <c r="G664" i="22" s="1"/>
  <c r="T664" i="22" a="1"/>
  <c r="T664" i="22" l="1"/>
  <c r="Q664" i="22"/>
  <c r="V664" i="22"/>
  <c r="AF664" i="22" s="1"/>
  <c r="E665" i="22" s="1"/>
  <c r="U664" i="22"/>
  <c r="AE664" i="22" s="1"/>
  <c r="D665" i="22" s="1"/>
  <c r="AD664" i="22"/>
  <c r="C665" i="22" s="1"/>
  <c r="W664" i="22" a="1"/>
  <c r="W664" i="22" l="1"/>
  <c r="P664" i="22" a="1"/>
  <c r="P664" i="22" l="1"/>
  <c r="AC664" i="22"/>
  <c r="B665" i="22" l="1"/>
  <c r="R664" i="22"/>
  <c r="S664" i="22" s="1"/>
  <c r="K664" i="22" s="1"/>
  <c r="I665" i="22"/>
  <c r="X664" i="22" l="1"/>
  <c r="Y664" i="22" s="1"/>
  <c r="H665" i="22"/>
  <c r="AG664" i="22" l="1"/>
  <c r="F665" i="22" l="1"/>
  <c r="AK664" i="22"/>
  <c r="G665" i="22" s="1"/>
  <c r="T665" i="22" a="1"/>
  <c r="T665" i="22" l="1"/>
  <c r="Q665" i="22" l="1"/>
  <c r="U665" i="22"/>
  <c r="AE665" i="22" s="1"/>
  <c r="D666" i="22" s="1"/>
  <c r="AD665" i="22"/>
  <c r="C666" i="22" s="1"/>
  <c r="V665" i="22"/>
  <c r="AF665" i="22" s="1"/>
  <c r="E666" i="22" s="1"/>
  <c r="W665" i="22" a="1"/>
  <c r="W665" i="22" l="1"/>
  <c r="P665" i="22" a="1"/>
  <c r="P665" i="22" l="1"/>
  <c r="AC665" i="22"/>
  <c r="B666" i="22" l="1"/>
  <c r="I666" i="22"/>
  <c r="R665" i="22"/>
  <c r="S665" i="22" s="1"/>
  <c r="K665" i="22" s="1"/>
  <c r="H666" i="22" l="1"/>
  <c r="X665" i="22"/>
  <c r="Y665" i="22" s="1"/>
  <c r="AG665" i="22" l="1"/>
  <c r="F666" i="22" l="1"/>
  <c r="AK665" i="22"/>
  <c r="G666" i="22" s="1"/>
  <c r="T666" i="22" a="1"/>
  <c r="T666" i="22" l="1"/>
  <c r="U666" i="22" l="1"/>
  <c r="AE666" i="22" s="1"/>
  <c r="D667" i="22" s="1"/>
  <c r="Q666" i="22"/>
  <c r="AD666" i="22"/>
  <c r="C667" i="22" s="1"/>
  <c r="V666" i="22"/>
  <c r="AF666" i="22" s="1"/>
  <c r="E667" i="22" s="1"/>
  <c r="W666" i="22" a="1"/>
  <c r="W666" i="22" l="1"/>
  <c r="P666" i="22" a="1"/>
  <c r="P666" i="22" l="1"/>
  <c r="AC666" i="22"/>
  <c r="B667" i="22" l="1"/>
  <c r="I667" i="22"/>
  <c r="R666" i="22"/>
  <c r="S666" i="22" s="1"/>
  <c r="K666" i="22" s="1"/>
  <c r="X666" i="22" l="1"/>
  <c r="Y666" i="22" s="1"/>
  <c r="H667" i="22"/>
  <c r="AG666" i="22" l="1"/>
  <c r="F667" i="22" l="1"/>
  <c r="AK666" i="22"/>
  <c r="G667" i="22" s="1"/>
  <c r="T667" i="22" a="1"/>
  <c r="T667" i="22" l="1"/>
  <c r="Q667" i="22" l="1"/>
  <c r="V667" i="22"/>
  <c r="AF667" i="22" s="1"/>
  <c r="E668" i="22" s="1"/>
  <c r="AD667" i="22"/>
  <c r="C668" i="22" s="1"/>
  <c r="U667" i="22"/>
  <c r="AE667" i="22" s="1"/>
  <c r="D668" i="22" s="1"/>
  <c r="W667" i="22" a="1"/>
  <c r="W667" i="22" l="1"/>
  <c r="P667" i="22" a="1"/>
  <c r="P667" i="22" l="1"/>
  <c r="AC667" i="22"/>
  <c r="B668" i="22" l="1"/>
  <c r="I668" i="22"/>
  <c r="R667" i="22"/>
  <c r="S667" i="22" s="1"/>
  <c r="K667" i="22" s="1"/>
  <c r="X667" i="22" l="1"/>
  <c r="Y667" i="22" s="1"/>
  <c r="H668" i="22"/>
  <c r="AG667" i="22" l="1"/>
  <c r="F668" i="22" l="1"/>
  <c r="AK667" i="22"/>
  <c r="G668" i="22" s="1"/>
  <c r="T668" i="22" a="1"/>
  <c r="T668" i="22" l="1"/>
  <c r="Q668" i="22" l="1"/>
  <c r="U668" i="22"/>
  <c r="AE668" i="22" s="1"/>
  <c r="D669" i="22" s="1"/>
  <c r="AD668" i="22"/>
  <c r="C669" i="22" s="1"/>
  <c r="V668" i="22"/>
  <c r="AF668" i="22" s="1"/>
  <c r="E669" i="22" s="1"/>
  <c r="W668" i="22" a="1"/>
  <c r="W668" i="22" l="1"/>
  <c r="P668" i="22" a="1"/>
  <c r="P668" i="22" l="1"/>
  <c r="AC668" i="22"/>
  <c r="B669" i="22" l="1"/>
  <c r="I669" i="22"/>
  <c r="R668" i="22"/>
  <c r="S668" i="22" s="1"/>
  <c r="K668" i="22" s="1"/>
  <c r="H669" i="22" l="1"/>
  <c r="X668" i="22"/>
  <c r="Y668" i="22" s="1"/>
  <c r="AG668" i="22" l="1"/>
  <c r="F669" i="22" s="1"/>
  <c r="AK668" i="22" l="1"/>
  <c r="G669" i="22" s="1"/>
  <c r="T669" i="22" a="1"/>
  <c r="T669" i="22" l="1"/>
  <c r="Q669" i="22"/>
  <c r="U669" i="22"/>
  <c r="AE669" i="22" s="1"/>
  <c r="D670" i="22" s="1"/>
  <c r="AD669" i="22"/>
  <c r="C670" i="22" s="1"/>
  <c r="V669" i="22"/>
  <c r="AF669" i="22" s="1"/>
  <c r="E670" i="22" s="1"/>
  <c r="W669" i="22" a="1"/>
  <c r="W669" i="22" l="1"/>
  <c r="P669" i="22" a="1"/>
  <c r="P669" i="22" l="1"/>
  <c r="AC669" i="22"/>
  <c r="B670" i="22" l="1"/>
  <c r="I670" i="22"/>
  <c r="R669" i="22"/>
  <c r="S669" i="22" s="1"/>
  <c r="K669" i="22" s="1"/>
  <c r="H670" i="22" l="1"/>
  <c r="X669" i="22"/>
  <c r="Y669" i="22" s="1"/>
  <c r="AG669" i="22" l="1"/>
  <c r="F670" i="22" l="1"/>
  <c r="AK669" i="22"/>
  <c r="G670" i="22" s="1"/>
  <c r="T670" i="22" a="1"/>
  <c r="T670" i="22" l="1"/>
  <c r="Q670" i="22" l="1"/>
  <c r="V670" i="22"/>
  <c r="AF670" i="22" s="1"/>
  <c r="E671" i="22" s="1"/>
  <c r="AD670" i="22"/>
  <c r="C671" i="22" s="1"/>
  <c r="U670" i="22"/>
  <c r="AE670" i="22" s="1"/>
  <c r="D671" i="22" s="1"/>
  <c r="W670" i="22" a="1"/>
  <c r="W670" i="22" l="1"/>
  <c r="P670" i="22" a="1"/>
  <c r="P670" i="22" l="1"/>
  <c r="AC670" i="22"/>
  <c r="B671" i="22" l="1"/>
  <c r="I671" i="22"/>
  <c r="R670" i="22"/>
  <c r="S670" i="22" s="1"/>
  <c r="K670" i="22" s="1"/>
  <c r="H671" i="22" l="1"/>
  <c r="X670" i="22"/>
  <c r="Y670" i="22" s="1"/>
  <c r="AG670" i="22" l="1"/>
  <c r="F671" i="22" l="1"/>
  <c r="AK670" i="22"/>
  <c r="G671" i="22" s="1"/>
  <c r="T671" i="22" a="1"/>
  <c r="T671" i="22" l="1"/>
  <c r="Q671" i="22" l="1"/>
  <c r="U671" i="22"/>
  <c r="AE671" i="22" s="1"/>
  <c r="D672" i="22" s="1"/>
  <c r="V671" i="22"/>
  <c r="AF671" i="22" s="1"/>
  <c r="E672" i="22" s="1"/>
  <c r="AD671" i="22"/>
  <c r="C672" i="22" s="1"/>
  <c r="W671" i="22" a="1"/>
  <c r="W671" i="22" l="1"/>
  <c r="P671" i="22" a="1"/>
  <c r="P671" i="22" l="1"/>
  <c r="AC671" i="22"/>
  <c r="B672" i="22" l="1"/>
  <c r="R671" i="22"/>
  <c r="S671" i="22" s="1"/>
  <c r="K671" i="22" s="1"/>
  <c r="I672" i="22"/>
  <c r="X671" i="22" l="1"/>
  <c r="Y671" i="22" s="1"/>
  <c r="H672" i="22"/>
  <c r="AG671" i="22" l="1"/>
  <c r="F672" i="22" l="1"/>
  <c r="AK671" i="22"/>
  <c r="G672" i="22" s="1"/>
  <c r="T672" i="22" a="1"/>
  <c r="T672" i="22" l="1"/>
  <c r="Q672" i="22" l="1"/>
  <c r="U672" i="22"/>
  <c r="AE672" i="22" s="1"/>
  <c r="D673" i="22" s="1"/>
  <c r="V672" i="22"/>
  <c r="AF672" i="22" s="1"/>
  <c r="E673" i="22" s="1"/>
  <c r="AD672" i="22"/>
  <c r="C673" i="22" s="1"/>
  <c r="W672" i="22" a="1"/>
  <c r="W672" i="22" l="1"/>
  <c r="P672" i="22" a="1"/>
  <c r="P672" i="22" l="1"/>
  <c r="AC672" i="22"/>
  <c r="B673" i="22" l="1"/>
  <c r="R672" i="22"/>
  <c r="S672" i="22" s="1"/>
  <c r="K672" i="22" s="1"/>
  <c r="I673" i="22"/>
  <c r="X672" i="22" l="1"/>
  <c r="Y672" i="22" s="1"/>
  <c r="H673" i="22"/>
  <c r="AG672" i="22" l="1"/>
  <c r="F673" i="22" l="1"/>
  <c r="AK672" i="22"/>
  <c r="G673" i="22" s="1"/>
  <c r="T673" i="22" a="1"/>
  <c r="T673" i="22" l="1"/>
  <c r="Q673" i="22" l="1"/>
  <c r="V673" i="22"/>
  <c r="AF673" i="22" s="1"/>
  <c r="E674" i="22" s="1"/>
  <c r="AD673" i="22"/>
  <c r="C674" i="22" s="1"/>
  <c r="U673" i="22"/>
  <c r="AE673" i="22" s="1"/>
  <c r="D674" i="22" s="1"/>
  <c r="W673" i="22" a="1"/>
  <c r="W673" i="22" l="1"/>
  <c r="P673" i="22" a="1"/>
  <c r="P673" i="22" l="1"/>
  <c r="AC673" i="22"/>
  <c r="B674" i="22" l="1"/>
  <c r="I674" i="22"/>
  <c r="R673" i="22"/>
  <c r="S673" i="22" s="1"/>
  <c r="K673" i="22" s="1"/>
  <c r="X673" i="22" l="1"/>
  <c r="Y673" i="22" s="1"/>
  <c r="H674" i="22"/>
  <c r="AG673" i="22" l="1"/>
  <c r="F674" i="22" l="1"/>
  <c r="AK673" i="22"/>
  <c r="G674" i="22" s="1"/>
  <c r="T674" i="22" a="1"/>
  <c r="T674" i="22" l="1"/>
  <c r="Q674" i="22" l="1"/>
  <c r="AD674" i="22"/>
  <c r="C675" i="22" s="1"/>
  <c r="V674" i="22"/>
  <c r="AF674" i="22" s="1"/>
  <c r="E675" i="22" s="1"/>
  <c r="U674" i="22"/>
  <c r="AE674" i="22" s="1"/>
  <c r="D675" i="22" s="1"/>
  <c r="W674" i="22" a="1"/>
  <c r="W674" i="22" l="1"/>
  <c r="P674" i="22" a="1"/>
  <c r="P674" i="22" l="1"/>
  <c r="AC674" i="22"/>
  <c r="R674" i="22" l="1"/>
  <c r="S674" i="22" s="1"/>
  <c r="K674" i="22" s="1"/>
  <c r="I675" i="22"/>
  <c r="B675" i="22"/>
  <c r="H675" i="22" l="1"/>
  <c r="X674" i="22"/>
  <c r="Y674" i="22" s="1"/>
  <c r="AG674" i="22" l="1"/>
  <c r="F675" i="22" l="1"/>
  <c r="AK674" i="22"/>
  <c r="G675" i="22" s="1"/>
  <c r="T675" i="22" a="1"/>
  <c r="T675" i="22" l="1"/>
  <c r="Q675" i="22" l="1"/>
  <c r="AD675" i="22"/>
  <c r="C676" i="22" s="1"/>
  <c r="U675" i="22"/>
  <c r="AE675" i="22" s="1"/>
  <c r="D676" i="22" s="1"/>
  <c r="V675" i="22"/>
  <c r="AF675" i="22" s="1"/>
  <c r="E676" i="22" s="1"/>
  <c r="W675" i="22" a="1"/>
  <c r="W675" i="22" l="1"/>
  <c r="P675" i="22" a="1"/>
  <c r="P675" i="22" l="1"/>
  <c r="AC675" i="22"/>
  <c r="B676" i="22" s="1"/>
  <c r="R675" i="22" l="1"/>
  <c r="S675" i="22" s="1"/>
  <c r="K675" i="22" s="1"/>
  <c r="I676" i="22"/>
  <c r="H676" i="22" s="1"/>
  <c r="X675" i="22" l="1"/>
  <c r="Y675" i="22" s="1"/>
  <c r="AG675" i="22" l="1"/>
  <c r="AK675" i="22" s="1"/>
  <c r="G676" i="22" s="1"/>
  <c r="T676" i="22" a="1"/>
  <c r="F676" i="22" l="1"/>
  <c r="T676" i="22"/>
  <c r="Q676" i="22" l="1"/>
  <c r="AD676" i="22"/>
  <c r="C677" i="22" s="1"/>
  <c r="U676" i="22"/>
  <c r="AE676" i="22" s="1"/>
  <c r="D677" i="22" s="1"/>
  <c r="V676" i="22"/>
  <c r="AF676" i="22" s="1"/>
  <c r="E677" i="22" s="1"/>
  <c r="W676" i="22" a="1"/>
  <c r="W676" i="22" l="1"/>
  <c r="P676" i="22" a="1"/>
  <c r="P676" i="22" l="1"/>
  <c r="AC676" i="22"/>
  <c r="R676" i="22" l="1"/>
  <c r="S676" i="22" s="1"/>
  <c r="K676" i="22" s="1"/>
  <c r="I677" i="22"/>
  <c r="B677" i="22"/>
  <c r="H677" i="22" l="1"/>
  <c r="X676" i="22"/>
  <c r="Y676" i="22" s="1"/>
  <c r="AG676" i="22" l="1"/>
  <c r="F677" i="22" l="1"/>
  <c r="AK676" i="22"/>
  <c r="G677" i="22" s="1"/>
  <c r="T677" i="22" a="1"/>
  <c r="T677" i="22" l="1"/>
  <c r="Q677" i="22" l="1"/>
  <c r="AD677" i="22"/>
  <c r="C678" i="22" s="1"/>
  <c r="V677" i="22"/>
  <c r="AF677" i="22" s="1"/>
  <c r="E678" i="22" s="1"/>
  <c r="U677" i="22"/>
  <c r="AE677" i="22" s="1"/>
  <c r="D678" i="22" s="1"/>
  <c r="W677" i="22" a="1"/>
  <c r="W677" i="22" l="1"/>
  <c r="P677" i="22" a="1"/>
  <c r="P677" i="22" l="1"/>
  <c r="AC677" i="22"/>
  <c r="B678" i="22" l="1"/>
  <c r="R677" i="22"/>
  <c r="S677" i="22" s="1"/>
  <c r="K677" i="22" s="1"/>
  <c r="I678" i="22"/>
  <c r="X677" i="22" l="1"/>
  <c r="Y677" i="22" s="1"/>
  <c r="H678" i="22"/>
  <c r="AG677" i="22" l="1"/>
  <c r="F678" i="22" l="1"/>
  <c r="AK677" i="22"/>
  <c r="G678" i="22" s="1"/>
  <c r="T678" i="22" a="1"/>
  <c r="T678" i="22" l="1"/>
  <c r="Q678" i="22" l="1"/>
  <c r="V678" i="22"/>
  <c r="AF678" i="22" s="1"/>
  <c r="E679" i="22" s="1"/>
  <c r="AD678" i="22"/>
  <c r="C679" i="22" s="1"/>
  <c r="U678" i="22"/>
  <c r="AE678" i="22" s="1"/>
  <c r="D679" i="22" s="1"/>
  <c r="W678" i="22" a="1"/>
  <c r="W678" i="22" l="1"/>
  <c r="P678" i="22" a="1"/>
  <c r="P678" i="22" l="1"/>
  <c r="AC678" i="22"/>
  <c r="B679" i="22" l="1"/>
  <c r="R678" i="22"/>
  <c r="S678" i="22" s="1"/>
  <c r="K678" i="22" s="1"/>
  <c r="I679" i="22"/>
  <c r="H679" i="22" l="1"/>
  <c r="X678" i="22"/>
  <c r="Y678" i="22" s="1"/>
  <c r="AG678" i="22" l="1"/>
  <c r="F679" i="22" l="1"/>
  <c r="AK678" i="22"/>
  <c r="G679" i="22" s="1"/>
  <c r="T679" i="22" a="1"/>
  <c r="T679" i="22" l="1"/>
  <c r="V679" i="22" l="1"/>
  <c r="AF679" i="22" s="1"/>
  <c r="E680" i="22" s="1"/>
  <c r="Q679" i="22"/>
  <c r="AD679" i="22"/>
  <c r="C680" i="22" s="1"/>
  <c r="U679" i="22"/>
  <c r="AE679" i="22" s="1"/>
  <c r="D680" i="22" s="1"/>
  <c r="W679" i="22" a="1"/>
  <c r="W679" i="22" l="1"/>
  <c r="P679" i="22" a="1"/>
  <c r="P679" i="22" l="1"/>
  <c r="AC679" i="22"/>
  <c r="B680" i="22" l="1"/>
  <c r="I680" i="22"/>
  <c r="R679" i="22"/>
  <c r="S679" i="22" s="1"/>
  <c r="K679" i="22" s="1"/>
  <c r="X679" i="22" l="1"/>
  <c r="Y679" i="22" s="1"/>
  <c r="H680" i="22"/>
  <c r="AG679" i="22" l="1"/>
  <c r="F680" i="22" l="1"/>
  <c r="AK679" i="22"/>
  <c r="G680" i="22" s="1"/>
  <c r="T680" i="22" a="1"/>
  <c r="T680" i="22" l="1"/>
  <c r="Q680" i="22" l="1"/>
  <c r="V680" i="22"/>
  <c r="AF680" i="22" s="1"/>
  <c r="E681" i="22" s="1"/>
  <c r="AD680" i="22"/>
  <c r="C681" i="22" s="1"/>
  <c r="U680" i="22"/>
  <c r="AE680" i="22" s="1"/>
  <c r="D681" i="22" s="1"/>
  <c r="W680" i="22" a="1"/>
  <c r="W680" i="22" l="1"/>
  <c r="P680" i="22" a="1"/>
  <c r="P680" i="22" l="1"/>
  <c r="AC680" i="22"/>
  <c r="B681" i="22" l="1"/>
  <c r="I681" i="22"/>
  <c r="R680" i="22"/>
  <c r="S680" i="22" s="1"/>
  <c r="K680" i="22" s="1"/>
  <c r="X680" i="22" l="1"/>
  <c r="Y680" i="22" s="1"/>
  <c r="H681" i="22"/>
  <c r="AG680" i="22" l="1"/>
  <c r="F681" i="22" l="1"/>
  <c r="AK680" i="22"/>
  <c r="G681" i="22" s="1"/>
  <c r="T681" i="22" a="1"/>
  <c r="T681" i="22" l="1"/>
  <c r="Q681" i="22" l="1"/>
  <c r="U681" i="22"/>
  <c r="AE681" i="22" s="1"/>
  <c r="D682" i="22" s="1"/>
  <c r="V681" i="22"/>
  <c r="AF681" i="22" s="1"/>
  <c r="E682" i="22" s="1"/>
  <c r="AD681" i="22"/>
  <c r="C682" i="22" s="1"/>
  <c r="W681" i="22" a="1"/>
  <c r="W681" i="22" l="1"/>
  <c r="P681" i="22" a="1"/>
  <c r="P681" i="22" l="1"/>
  <c r="AC681" i="22"/>
  <c r="B682" i="22" l="1"/>
  <c r="R681" i="22"/>
  <c r="S681" i="22" s="1"/>
  <c r="K681" i="22" s="1"/>
  <c r="I682" i="22"/>
  <c r="H682" i="22" l="1"/>
  <c r="X681" i="22"/>
  <c r="Y681" i="22" s="1"/>
  <c r="AG681" i="22" l="1"/>
  <c r="F682" i="22" l="1"/>
  <c r="AK681" i="22"/>
  <c r="G682" i="22" s="1"/>
  <c r="T682" i="22" a="1"/>
  <c r="T682" i="22" l="1"/>
  <c r="Q682" i="22" l="1"/>
  <c r="U682" i="22"/>
  <c r="AE682" i="22" s="1"/>
  <c r="D683" i="22" s="1"/>
  <c r="AD682" i="22"/>
  <c r="C683" i="22" s="1"/>
  <c r="V682" i="22"/>
  <c r="AF682" i="22" s="1"/>
  <c r="E683" i="22" s="1"/>
  <c r="W682" i="22" a="1"/>
  <c r="W682" i="22" l="1"/>
  <c r="P682" i="22" a="1"/>
  <c r="P682" i="22" l="1"/>
  <c r="AC682" i="22"/>
  <c r="I683" i="22" l="1"/>
  <c r="R682" i="22"/>
  <c r="S682" i="22" s="1"/>
  <c r="K682" i="22" s="1"/>
  <c r="B683" i="22"/>
  <c r="H683" i="22" l="1"/>
  <c r="X682" i="22"/>
  <c r="Y682" i="22" s="1"/>
  <c r="AG682" i="22" l="1"/>
  <c r="F683" i="22" l="1"/>
  <c r="AK682" i="22"/>
  <c r="G683" i="22" s="1"/>
  <c r="T683" i="22" a="1"/>
  <c r="T683" i="22" l="1"/>
  <c r="U683" i="22" l="1"/>
  <c r="AE683" i="22" s="1"/>
  <c r="D684" i="22" s="1"/>
  <c r="Q683" i="22"/>
  <c r="AD683" i="22"/>
  <c r="C684" i="22" s="1"/>
  <c r="V683" i="22"/>
  <c r="AF683" i="22" s="1"/>
  <c r="E684" i="22" s="1"/>
  <c r="W683" i="22" a="1"/>
  <c r="W683" i="22" l="1"/>
  <c r="P683" i="22" a="1"/>
  <c r="P683" i="22" l="1"/>
  <c r="AC683" i="22"/>
  <c r="B684" i="22" l="1"/>
  <c r="R683" i="22"/>
  <c r="S683" i="22" s="1"/>
  <c r="K683" i="22" s="1"/>
  <c r="I684" i="22"/>
  <c r="H684" i="22" l="1"/>
  <c r="X683" i="22"/>
  <c r="Y683" i="22" s="1"/>
  <c r="AG683" i="22" l="1"/>
  <c r="F684" i="22" l="1"/>
  <c r="AK683" i="22"/>
  <c r="G684" i="22" s="1"/>
  <c r="T684" i="22" a="1"/>
  <c r="T684" i="22" l="1"/>
  <c r="Q684" i="22" l="1"/>
  <c r="V684" i="22"/>
  <c r="AF684" i="22" s="1"/>
  <c r="E685" i="22" s="1"/>
  <c r="U684" i="22"/>
  <c r="AE684" i="22" s="1"/>
  <c r="D685" i="22" s="1"/>
  <c r="AD684" i="22"/>
  <c r="C685" i="22" s="1"/>
  <c r="W684" i="22" a="1"/>
  <c r="W684" i="22" l="1"/>
  <c r="P684" i="22" a="1"/>
  <c r="P684" i="22" l="1"/>
  <c r="AC684" i="22"/>
  <c r="R684" i="22" l="1"/>
  <c r="S684" i="22" s="1"/>
  <c r="K684" i="22" s="1"/>
  <c r="I685" i="22"/>
  <c r="B685" i="22"/>
  <c r="H685" i="22" l="1"/>
  <c r="X684" i="22"/>
  <c r="Y684" i="22" s="1"/>
  <c r="AG684" i="22" l="1"/>
  <c r="F685" i="22" s="1"/>
  <c r="AK684" i="22"/>
  <c r="G685" i="22" s="1"/>
  <c r="T685" i="22" a="1"/>
  <c r="T685" i="22" l="1"/>
  <c r="Q685" i="22" l="1"/>
  <c r="AD685" i="22"/>
  <c r="C686" i="22" s="1"/>
  <c r="U685" i="22"/>
  <c r="AE685" i="22" s="1"/>
  <c r="D686" i="22" s="1"/>
  <c r="V685" i="22"/>
  <c r="AF685" i="22" s="1"/>
  <c r="E686" i="22" s="1"/>
  <c r="W685" i="22" a="1"/>
  <c r="W685" i="22" l="1"/>
  <c r="P685" i="22" a="1"/>
  <c r="P685" i="22" l="1"/>
  <c r="AC685" i="22"/>
  <c r="B686" i="22" l="1"/>
  <c r="R685" i="22"/>
  <c r="S685" i="22" s="1"/>
  <c r="K685" i="22" s="1"/>
  <c r="I686" i="22"/>
  <c r="H686" i="22" l="1"/>
  <c r="X685" i="22"/>
  <c r="Y685" i="22" s="1"/>
  <c r="AG685" i="22" l="1"/>
  <c r="F686" i="22" l="1"/>
  <c r="AK685" i="22"/>
  <c r="G686" i="22" s="1"/>
  <c r="T686" i="22" a="1"/>
  <c r="T686" i="22" l="1"/>
  <c r="Q686" i="22" l="1"/>
  <c r="AD686" i="22"/>
  <c r="C687" i="22" s="1"/>
  <c r="V686" i="22"/>
  <c r="AF686" i="22" s="1"/>
  <c r="E687" i="22" s="1"/>
  <c r="U686" i="22"/>
  <c r="AE686" i="22" s="1"/>
  <c r="D687" i="22" s="1"/>
  <c r="W686" i="22" a="1"/>
  <c r="W686" i="22" l="1"/>
  <c r="P686" i="22" a="1"/>
  <c r="P686" i="22" l="1"/>
  <c r="AC686" i="22"/>
  <c r="B687" i="22" l="1"/>
  <c r="I687" i="22"/>
  <c r="R686" i="22"/>
  <c r="S686" i="22" s="1"/>
  <c r="K686" i="22" s="1"/>
  <c r="H687" i="22" l="1"/>
  <c r="X686" i="22"/>
  <c r="Y686" i="22" s="1"/>
  <c r="AG686" i="22" l="1"/>
  <c r="F687" i="22" l="1"/>
  <c r="AK686" i="22"/>
  <c r="G687" i="22" s="1"/>
  <c r="T687" i="22" a="1"/>
  <c r="T687" i="22" l="1"/>
  <c r="Q687" i="22" l="1"/>
  <c r="AD687" i="22"/>
  <c r="C688" i="22" s="1"/>
  <c r="U687" i="22"/>
  <c r="AE687" i="22" s="1"/>
  <c r="D688" i="22" s="1"/>
  <c r="V687" i="22"/>
  <c r="AF687" i="22" s="1"/>
  <c r="E688" i="22" s="1"/>
  <c r="W687" i="22" a="1"/>
  <c r="W687" i="22" l="1"/>
  <c r="P687" i="22" a="1"/>
  <c r="P687" i="22" l="1"/>
  <c r="AC687" i="22"/>
  <c r="I688" i="22" l="1"/>
  <c r="R687" i="22"/>
  <c r="S687" i="22" s="1"/>
  <c r="K687" i="22" s="1"/>
  <c r="B688" i="22"/>
  <c r="H688" i="22" l="1"/>
  <c r="X687" i="22"/>
  <c r="Y687" i="22" s="1"/>
  <c r="AG687" i="22" l="1"/>
  <c r="F688" i="22" l="1"/>
  <c r="AK687" i="22"/>
  <c r="G688" i="22" s="1"/>
  <c r="T688" i="22" a="1"/>
  <c r="T688" i="22" l="1"/>
  <c r="Q688" i="22" l="1"/>
  <c r="AD688" i="22"/>
  <c r="C689" i="22" s="1"/>
  <c r="V688" i="22"/>
  <c r="AF688" i="22" s="1"/>
  <c r="E689" i="22" s="1"/>
  <c r="U688" i="22"/>
  <c r="AE688" i="22" s="1"/>
  <c r="D689" i="22" s="1"/>
  <c r="W688" i="22" a="1"/>
  <c r="W688" i="22" l="1"/>
  <c r="P688" i="22" a="1"/>
  <c r="P688" i="22" l="1"/>
  <c r="AC688" i="22"/>
  <c r="B689" i="22" l="1"/>
  <c r="R688" i="22"/>
  <c r="S688" i="22" s="1"/>
  <c r="K688" i="22" s="1"/>
  <c r="I689" i="22"/>
  <c r="X688" i="22" l="1"/>
  <c r="Y688" i="22" s="1"/>
  <c r="H689" i="22"/>
  <c r="AG688" i="22" l="1"/>
  <c r="F689" i="22" l="1"/>
  <c r="AK688" i="22"/>
  <c r="G689" i="22" s="1"/>
  <c r="T689" i="22" a="1"/>
  <c r="T689" i="22" l="1"/>
  <c r="Q689" i="22" l="1"/>
  <c r="U689" i="22"/>
  <c r="AE689" i="22" s="1"/>
  <c r="D690" i="22" s="1"/>
  <c r="V689" i="22"/>
  <c r="AF689" i="22" s="1"/>
  <c r="E690" i="22" s="1"/>
  <c r="AD689" i="22"/>
  <c r="C690" i="22" s="1"/>
  <c r="W689" i="22" a="1"/>
  <c r="W689" i="22" l="1"/>
  <c r="P689" i="22" a="1"/>
  <c r="P689" i="22" l="1"/>
  <c r="AC689" i="22"/>
  <c r="R689" i="22" l="1"/>
  <c r="S689" i="22" s="1"/>
  <c r="K689" i="22" s="1"/>
  <c r="I690" i="22"/>
  <c r="B690" i="22"/>
  <c r="H690" i="22" l="1"/>
  <c r="X689" i="22"/>
  <c r="Y689" i="22" s="1"/>
  <c r="AG689" i="22" l="1"/>
  <c r="F690" i="22" l="1"/>
  <c r="AK689" i="22"/>
  <c r="G690" i="22" s="1"/>
  <c r="T690" i="22" a="1"/>
  <c r="T690" i="22" l="1"/>
  <c r="Q690" i="22" l="1"/>
  <c r="V690" i="22"/>
  <c r="AF690" i="22" s="1"/>
  <c r="E691" i="22" s="1"/>
  <c r="AD690" i="22"/>
  <c r="C691" i="22" s="1"/>
  <c r="U690" i="22"/>
  <c r="AE690" i="22" s="1"/>
  <c r="D691" i="22" s="1"/>
  <c r="W690" i="22" a="1"/>
  <c r="W690" i="22" l="1"/>
  <c r="P690" i="22" a="1"/>
  <c r="P690" i="22" l="1"/>
  <c r="AC690" i="22"/>
  <c r="B691" i="22" l="1"/>
  <c r="I691" i="22"/>
  <c r="R690" i="22"/>
  <c r="S690" i="22" s="1"/>
  <c r="K690" i="22" s="1"/>
  <c r="X690" i="22" l="1"/>
  <c r="Y690" i="22" s="1"/>
  <c r="H691" i="22"/>
  <c r="AG690" i="22" l="1"/>
  <c r="F691" i="22" l="1"/>
  <c r="AK690" i="22"/>
  <c r="G691" i="22" s="1"/>
  <c r="T691" i="22" a="1"/>
  <c r="T691" i="22" l="1"/>
  <c r="Q691" i="22" l="1"/>
  <c r="AD691" i="22"/>
  <c r="C692" i="22" s="1"/>
  <c r="V691" i="22"/>
  <c r="AF691" i="22" s="1"/>
  <c r="E692" i="22" s="1"/>
  <c r="U691" i="22"/>
  <c r="AE691" i="22" s="1"/>
  <c r="D692" i="22" s="1"/>
  <c r="W691" i="22" a="1"/>
  <c r="W691" i="22" l="1"/>
  <c r="P691" i="22" a="1"/>
  <c r="P691" i="22" l="1"/>
  <c r="AC691" i="22"/>
  <c r="B692" i="22" l="1"/>
  <c r="I692" i="22"/>
  <c r="R691" i="22"/>
  <c r="S691" i="22" s="1"/>
  <c r="K691" i="22" s="1"/>
  <c r="X691" i="22" l="1"/>
  <c r="Y691" i="22" s="1"/>
  <c r="H692" i="22"/>
  <c r="AG691" i="22" l="1"/>
  <c r="F692" i="22" l="1"/>
  <c r="AK691" i="22"/>
  <c r="G692" i="22" s="1"/>
  <c r="T692" i="22" a="1"/>
  <c r="T692" i="22" l="1"/>
  <c r="Q692" i="22" l="1"/>
  <c r="U692" i="22"/>
  <c r="AE692" i="22" s="1"/>
  <c r="D693" i="22" s="1"/>
  <c r="AD692" i="22"/>
  <c r="C693" i="22" s="1"/>
  <c r="V692" i="22"/>
  <c r="AF692" i="22" s="1"/>
  <c r="E693" i="22" s="1"/>
  <c r="W692" i="22" a="1"/>
  <c r="W692" i="22" l="1"/>
  <c r="P692" i="22" a="1"/>
  <c r="P692" i="22" l="1"/>
  <c r="AC692" i="22"/>
  <c r="B693" i="22" l="1"/>
  <c r="R692" i="22"/>
  <c r="S692" i="22" s="1"/>
  <c r="K692" i="22" s="1"/>
  <c r="I693" i="22"/>
  <c r="X692" i="22" l="1"/>
  <c r="Y692" i="22" s="1"/>
  <c r="H693" i="22"/>
  <c r="AG692" i="22" l="1"/>
  <c r="F693" i="22" l="1"/>
  <c r="AK692" i="22"/>
  <c r="G693" i="22" s="1"/>
  <c r="T693" i="22" a="1"/>
  <c r="T693" i="22" l="1"/>
  <c r="Q693" i="22" l="1"/>
  <c r="AD693" i="22"/>
  <c r="C694" i="22" s="1"/>
  <c r="V693" i="22"/>
  <c r="AF693" i="22" s="1"/>
  <c r="E694" i="22" s="1"/>
  <c r="U693" i="22"/>
  <c r="AE693" i="22" s="1"/>
  <c r="D694" i="22" s="1"/>
  <c r="W693" i="22" a="1"/>
  <c r="W693" i="22" l="1"/>
  <c r="P693" i="22" a="1"/>
  <c r="P693" i="22" l="1"/>
  <c r="AC693" i="22"/>
  <c r="B694" i="22" s="1"/>
  <c r="I694" i="22" l="1"/>
  <c r="H694" i="22" s="1"/>
  <c r="R693" i="22"/>
  <c r="S693" i="22" s="1"/>
  <c r="K693" i="22" s="1"/>
  <c r="X693" i="22" l="1"/>
  <c r="Y693" i="22" s="1"/>
  <c r="AG693" i="22" l="1"/>
  <c r="AK693" i="22" l="1"/>
  <c r="G694" i="22" s="1"/>
  <c r="F694" i="22"/>
  <c r="T694" i="22" a="1"/>
  <c r="T694" i="22" l="1"/>
  <c r="Q694" i="22" l="1"/>
  <c r="AD694" i="22"/>
  <c r="C695" i="22" s="1"/>
  <c r="U694" i="22"/>
  <c r="AE694" i="22" s="1"/>
  <c r="D695" i="22" s="1"/>
  <c r="V694" i="22"/>
  <c r="AF694" i="22" s="1"/>
  <c r="E695" i="22" s="1"/>
  <c r="W694" i="22" a="1"/>
  <c r="W694" i="22" l="1"/>
  <c r="P694" i="22" a="1"/>
  <c r="P694" i="22" l="1"/>
  <c r="AC694" i="22"/>
  <c r="B695" i="22" l="1"/>
  <c r="R694" i="22"/>
  <c r="S694" i="22" s="1"/>
  <c r="K694" i="22" s="1"/>
  <c r="I695" i="22"/>
  <c r="X694" i="22" l="1"/>
  <c r="Y694" i="22" s="1"/>
  <c r="H695" i="22"/>
  <c r="AG694" i="22" l="1"/>
  <c r="F695" i="22" l="1"/>
  <c r="AK694" i="22"/>
  <c r="G695" i="22" s="1"/>
  <c r="T695" i="22" a="1"/>
  <c r="T695" i="22" l="1"/>
  <c r="Q695" i="22" l="1"/>
  <c r="V695" i="22"/>
  <c r="AF695" i="22" s="1"/>
  <c r="E696" i="22" s="1"/>
  <c r="U695" i="22"/>
  <c r="AE695" i="22" s="1"/>
  <c r="D696" i="22" s="1"/>
  <c r="AD695" i="22"/>
  <c r="C696" i="22" s="1"/>
  <c r="W695" i="22" a="1"/>
  <c r="W695" i="22" l="1"/>
  <c r="P695" i="22" a="1"/>
  <c r="P695" i="22" l="1"/>
  <c r="AC695" i="22"/>
  <c r="B696" i="22" l="1"/>
  <c r="I696" i="22"/>
  <c r="R695" i="22"/>
  <c r="S695" i="22" s="1"/>
  <c r="K695" i="22" s="1"/>
  <c r="H696" i="22" l="1"/>
  <c r="X695" i="22"/>
  <c r="Y695" i="22" s="1"/>
  <c r="AG695" i="22" l="1"/>
  <c r="F696" i="22" l="1"/>
  <c r="AK695" i="22"/>
  <c r="G696" i="22" s="1"/>
  <c r="T696" i="22" a="1"/>
  <c r="T696" i="22" l="1"/>
  <c r="Q696" i="22" l="1"/>
  <c r="AD696" i="22"/>
  <c r="C697" i="22" s="1"/>
  <c r="U696" i="22"/>
  <c r="AE696" i="22" s="1"/>
  <c r="D697" i="22" s="1"/>
  <c r="V696" i="22"/>
  <c r="AF696" i="22" s="1"/>
  <c r="E697" i="22" s="1"/>
  <c r="W696" i="22" a="1"/>
  <c r="W696" i="22" l="1"/>
  <c r="P696" i="22" a="1"/>
  <c r="P696" i="22" l="1"/>
  <c r="AC696" i="22"/>
  <c r="B697" i="22" l="1"/>
  <c r="R696" i="22"/>
  <c r="S696" i="22" s="1"/>
  <c r="K696" i="22" s="1"/>
  <c r="I697" i="22"/>
  <c r="X696" i="22" l="1"/>
  <c r="Y696" i="22" s="1"/>
  <c r="H697" i="22"/>
  <c r="AG696" i="22" l="1"/>
  <c r="F697" i="22" l="1"/>
  <c r="AK696" i="22"/>
  <c r="G697" i="22" s="1"/>
  <c r="T697" i="22" a="1"/>
  <c r="T697" i="22" l="1"/>
  <c r="Q697" i="22" l="1"/>
  <c r="U697" i="22"/>
  <c r="AE697" i="22" s="1"/>
  <c r="D698" i="22" s="1"/>
  <c r="V697" i="22"/>
  <c r="AF697" i="22" s="1"/>
  <c r="E698" i="22" s="1"/>
  <c r="AD697" i="22"/>
  <c r="C698" i="22" s="1"/>
  <c r="W697" i="22" a="1"/>
  <c r="W697" i="22" l="1"/>
  <c r="P697" i="22" a="1"/>
  <c r="P697" i="22" l="1"/>
  <c r="AC697" i="22"/>
  <c r="B698" i="22" s="1"/>
  <c r="I698" i="22" l="1"/>
  <c r="H698" i="22" s="1"/>
  <c r="R697" i="22"/>
  <c r="S697" i="22" s="1"/>
  <c r="K697" i="22" s="1"/>
  <c r="X697" i="22" l="1"/>
  <c r="Y697" i="22" s="1"/>
  <c r="AG697" i="22" l="1"/>
  <c r="AK697" i="22" l="1"/>
  <c r="G698" i="22" s="1"/>
  <c r="F698" i="22"/>
  <c r="T698" i="22" a="1"/>
  <c r="T698" i="22" l="1"/>
  <c r="Q698" i="22" l="1"/>
  <c r="AD698" i="22"/>
  <c r="C699" i="22" s="1"/>
  <c r="V698" i="22"/>
  <c r="AF698" i="22" s="1"/>
  <c r="E699" i="22" s="1"/>
  <c r="U698" i="22"/>
  <c r="AE698" i="22" s="1"/>
  <c r="D699" i="22" s="1"/>
  <c r="W698" i="22" a="1"/>
  <c r="W698" i="22" l="1"/>
  <c r="P698" i="22" a="1"/>
  <c r="P698" i="22" l="1"/>
  <c r="AC698" i="22"/>
  <c r="B699" i="22" l="1"/>
  <c r="I699" i="22"/>
  <c r="R698" i="22"/>
  <c r="S698" i="22" s="1"/>
  <c r="K698" i="22" s="1"/>
  <c r="X698" i="22" l="1"/>
  <c r="Y698" i="22" s="1"/>
  <c r="H699" i="22"/>
  <c r="AG698" i="22" l="1"/>
  <c r="F699" i="22" l="1"/>
  <c r="AK698" i="22"/>
  <c r="G699" i="22" s="1"/>
  <c r="T699" i="22" a="1"/>
  <c r="T699" i="22" l="1"/>
  <c r="Q699" i="22" l="1"/>
  <c r="AD699" i="22"/>
  <c r="C700" i="22" s="1"/>
  <c r="V699" i="22"/>
  <c r="AF699" i="22" s="1"/>
  <c r="E700" i="22" s="1"/>
  <c r="U699" i="22"/>
  <c r="AE699" i="22" s="1"/>
  <c r="D700" i="22" s="1"/>
  <c r="W699" i="22" a="1"/>
  <c r="W699" i="22" l="1"/>
  <c r="P699" i="22" a="1"/>
  <c r="P699" i="22" l="1"/>
  <c r="AC699" i="22"/>
  <c r="B700" i="22" l="1"/>
  <c r="R699" i="22"/>
  <c r="S699" i="22" s="1"/>
  <c r="K699" i="22" s="1"/>
  <c r="I700" i="22"/>
  <c r="H700" i="22" l="1"/>
  <c r="X699" i="22"/>
  <c r="Y699" i="22" s="1"/>
  <c r="AG699" i="22" l="1"/>
  <c r="F700" i="22" l="1"/>
  <c r="AK699" i="22"/>
  <c r="G700" i="22" s="1"/>
  <c r="T700" i="22" a="1"/>
  <c r="T700" i="22" l="1"/>
  <c r="Q700" i="22" l="1"/>
  <c r="U700" i="22"/>
  <c r="AE700" i="22" s="1"/>
  <c r="D701" i="22" s="1"/>
  <c r="AD700" i="22"/>
  <c r="C701" i="22" s="1"/>
  <c r="V700" i="22"/>
  <c r="AF700" i="22" s="1"/>
  <c r="E701" i="22" s="1"/>
  <c r="W700" i="22" a="1"/>
  <c r="W700" i="22" l="1"/>
  <c r="P700" i="22" a="1"/>
  <c r="P700" i="22" l="1"/>
  <c r="AC700" i="22"/>
  <c r="B701" i="22" l="1"/>
  <c r="R700" i="22"/>
  <c r="S700" i="22" s="1"/>
  <c r="K700" i="22" s="1"/>
  <c r="I701" i="22"/>
  <c r="X700" i="22" l="1"/>
  <c r="Y700" i="22" s="1"/>
  <c r="H701" i="22"/>
  <c r="AG700" i="22" l="1"/>
  <c r="F701" i="22" l="1"/>
  <c r="AK700" i="22"/>
  <c r="G701" i="22" s="1"/>
  <c r="T701" i="22" a="1"/>
  <c r="T701" i="22" l="1"/>
  <c r="Q701" i="22" l="1"/>
  <c r="V701" i="22"/>
  <c r="AF701" i="22" s="1"/>
  <c r="E702" i="22" s="1"/>
  <c r="AD701" i="22"/>
  <c r="C702" i="22" s="1"/>
  <c r="U701" i="22"/>
  <c r="AE701" i="22" s="1"/>
  <c r="D702" i="22" s="1"/>
  <c r="W701" i="22" a="1"/>
  <c r="W701" i="22" l="1"/>
  <c r="P701" i="22" a="1"/>
  <c r="P701" i="22" l="1"/>
  <c r="AC701" i="22"/>
  <c r="B702" i="22" l="1"/>
  <c r="R701" i="22"/>
  <c r="S701" i="22" s="1"/>
  <c r="K701" i="22" s="1"/>
  <c r="I702" i="22"/>
  <c r="X701" i="22" l="1"/>
  <c r="Y701" i="22" s="1"/>
  <c r="H702" i="22"/>
  <c r="AG701" i="22" l="1"/>
  <c r="F702" i="22" l="1"/>
  <c r="AK701" i="22"/>
  <c r="G702" i="22" s="1"/>
  <c r="T702" i="22" a="1"/>
  <c r="T702" i="22" l="1"/>
  <c r="Q702" i="22" l="1"/>
  <c r="V702" i="22"/>
  <c r="AF702" i="22" s="1"/>
  <c r="E703" i="22" s="1"/>
  <c r="U702" i="22"/>
  <c r="AE702" i="22" s="1"/>
  <c r="D703" i="22" s="1"/>
  <c r="AD702" i="22"/>
  <c r="C703" i="22" s="1"/>
  <c r="W702" i="22" a="1"/>
  <c r="W702" i="22" l="1"/>
  <c r="P702" i="22" a="1"/>
  <c r="P702" i="22" l="1"/>
  <c r="AC702" i="22"/>
  <c r="B703" i="22" l="1"/>
  <c r="R702" i="22"/>
  <c r="S702" i="22" s="1"/>
  <c r="K702" i="22" s="1"/>
  <c r="I703" i="22"/>
  <c r="X702" i="22" l="1"/>
  <c r="Y702" i="22" s="1"/>
  <c r="H703" i="22"/>
  <c r="AG702" i="22" l="1"/>
  <c r="F703" i="22" l="1"/>
  <c r="AK702" i="22"/>
  <c r="G703" i="22" s="1"/>
  <c r="T703" i="22" a="1"/>
  <c r="T703" i="22" l="1"/>
  <c r="Q703" i="22" l="1"/>
  <c r="U703" i="22"/>
  <c r="AE703" i="22" s="1"/>
  <c r="D704" i="22" s="1"/>
  <c r="AD703" i="22"/>
  <c r="C704" i="22" s="1"/>
  <c r="V703" i="22"/>
  <c r="AF703" i="22" s="1"/>
  <c r="E704" i="22" s="1"/>
  <c r="W703" i="22" a="1"/>
  <c r="W703" i="22" l="1"/>
  <c r="P703" i="22" a="1"/>
  <c r="P703" i="22" l="1"/>
  <c r="AC703" i="22"/>
  <c r="B704" i="22" l="1"/>
  <c r="I704" i="22"/>
  <c r="R703" i="22"/>
  <c r="S703" i="22" s="1"/>
  <c r="K703" i="22" s="1"/>
  <c r="X703" i="22" l="1"/>
  <c r="Y703" i="22" s="1"/>
  <c r="H704" i="22"/>
  <c r="AG703" i="22" l="1"/>
  <c r="F704" i="22" l="1"/>
  <c r="AK703" i="22"/>
  <c r="G704" i="22" s="1"/>
  <c r="T704" i="22" a="1"/>
  <c r="T704" i="22" l="1"/>
  <c r="Q704" i="22" l="1"/>
  <c r="V704" i="22"/>
  <c r="AF704" i="22" s="1"/>
  <c r="E705" i="22" s="1"/>
  <c r="U704" i="22"/>
  <c r="AE704" i="22" s="1"/>
  <c r="D705" i="22" s="1"/>
  <c r="AD704" i="22"/>
  <c r="C705" i="22" s="1"/>
  <c r="W704" i="22" a="1"/>
  <c r="W704" i="22" l="1"/>
  <c r="P704" i="22" a="1"/>
  <c r="P704" i="22" l="1"/>
  <c r="AC704" i="22"/>
  <c r="R704" i="22" l="1"/>
  <c r="S704" i="22" s="1"/>
  <c r="K704" i="22" s="1"/>
  <c r="I705" i="22"/>
  <c r="B705" i="22"/>
  <c r="H705" i="22" l="1"/>
  <c r="X704" i="22"/>
  <c r="Y704" i="22" s="1"/>
  <c r="AG704" i="22" l="1"/>
  <c r="F705" i="22" l="1"/>
  <c r="AK704" i="22"/>
  <c r="G705" i="22" s="1"/>
  <c r="T705" i="22" a="1"/>
  <c r="T705" i="22" l="1"/>
  <c r="Q705" i="22" l="1"/>
  <c r="U705" i="22"/>
  <c r="AE705" i="22" s="1"/>
  <c r="D706" i="22" s="1"/>
  <c r="AD705" i="22"/>
  <c r="C706" i="22" s="1"/>
  <c r="V705" i="22"/>
  <c r="AF705" i="22" s="1"/>
  <c r="E706" i="22" s="1"/>
  <c r="W705" i="22" a="1"/>
  <c r="W705" i="22" l="1"/>
  <c r="P705" i="22" a="1"/>
  <c r="P705" i="22" l="1"/>
  <c r="AC705" i="22"/>
  <c r="B706" i="22" l="1"/>
  <c r="I706" i="22"/>
  <c r="R705" i="22"/>
  <c r="S705" i="22" s="1"/>
  <c r="K705" i="22" s="1"/>
  <c r="H706" i="22" l="1"/>
  <c r="X705" i="22"/>
  <c r="Y705" i="22" s="1"/>
  <c r="AG705" i="22" l="1"/>
  <c r="F706" i="22" l="1"/>
  <c r="AK705" i="22"/>
  <c r="G706" i="22" s="1"/>
  <c r="T706" i="22" a="1"/>
  <c r="T706" i="22" l="1"/>
  <c r="Q706" i="22" l="1"/>
  <c r="U706" i="22"/>
  <c r="AE706" i="22" s="1"/>
  <c r="D707" i="22" s="1"/>
  <c r="AD706" i="22"/>
  <c r="C707" i="22" s="1"/>
  <c r="V706" i="22"/>
  <c r="AF706" i="22" s="1"/>
  <c r="E707" i="22" s="1"/>
  <c r="W706" i="22" a="1"/>
  <c r="W706" i="22" l="1"/>
  <c r="P706" i="22" a="1"/>
  <c r="P706" i="22" l="1"/>
  <c r="AC706" i="22"/>
  <c r="B707" i="22" l="1"/>
  <c r="R706" i="22"/>
  <c r="S706" i="22" s="1"/>
  <c r="K706" i="22" s="1"/>
  <c r="I707" i="22"/>
  <c r="X706" i="22" l="1"/>
  <c r="Y706" i="22" s="1"/>
  <c r="H707" i="22"/>
  <c r="AG706" i="22" l="1"/>
  <c r="F707" i="22" l="1"/>
  <c r="AK706" i="22"/>
  <c r="G707" i="22" s="1"/>
  <c r="T707" i="22" a="1"/>
  <c r="T707" i="22" l="1"/>
  <c r="U707" i="22" l="1"/>
  <c r="AE707" i="22" s="1"/>
  <c r="D708" i="22" s="1"/>
  <c r="Q707" i="22"/>
  <c r="V707" i="22"/>
  <c r="AF707" i="22" s="1"/>
  <c r="E708" i="22" s="1"/>
  <c r="AD707" i="22"/>
  <c r="C708" i="22" s="1"/>
  <c r="W707" i="22" a="1"/>
  <c r="W707" i="22" l="1"/>
  <c r="P707" i="22" a="1"/>
  <c r="P707" i="22" l="1"/>
  <c r="AC707" i="22"/>
  <c r="B708" i="22" l="1"/>
  <c r="I708" i="22"/>
  <c r="R707" i="22"/>
  <c r="S707" i="22" s="1"/>
  <c r="K707" i="22" s="1"/>
  <c r="X707" i="22" l="1"/>
  <c r="Y707" i="22" s="1"/>
  <c r="H708" i="22"/>
  <c r="AG707" i="22" l="1"/>
  <c r="F708" i="22" l="1"/>
  <c r="AK707" i="22"/>
  <c r="G708" i="22" s="1"/>
  <c r="T708" i="22" a="1"/>
  <c r="T708" i="22" l="1"/>
  <c r="Q708" i="22" l="1"/>
  <c r="AD708" i="22"/>
  <c r="C709" i="22" s="1"/>
  <c r="U708" i="22"/>
  <c r="AE708" i="22" s="1"/>
  <c r="D709" i="22" s="1"/>
  <c r="V708" i="22"/>
  <c r="AF708" i="22" s="1"/>
  <c r="E709" i="22" s="1"/>
  <c r="W708" i="22" a="1"/>
  <c r="W708" i="22" l="1"/>
  <c r="P708" i="22" a="1"/>
  <c r="P708" i="22" l="1"/>
  <c r="AC708" i="22"/>
  <c r="B709" i="22" l="1"/>
  <c r="I709" i="22"/>
  <c r="R708" i="22"/>
  <c r="S708" i="22" s="1"/>
  <c r="K708" i="22" s="1"/>
  <c r="H709" i="22" l="1"/>
  <c r="X708" i="22"/>
  <c r="Y708" i="22" s="1"/>
  <c r="AG708" i="22" l="1"/>
  <c r="F709" i="22" l="1"/>
  <c r="AK708" i="22"/>
  <c r="G709" i="22" s="1"/>
  <c r="T709" i="22" a="1"/>
  <c r="T709" i="22" l="1"/>
  <c r="Q709" i="22" l="1"/>
  <c r="AD709" i="22"/>
  <c r="C710" i="22" s="1"/>
  <c r="V709" i="22"/>
  <c r="AF709" i="22" s="1"/>
  <c r="E710" i="22" s="1"/>
  <c r="U709" i="22"/>
  <c r="AE709" i="22" s="1"/>
  <c r="D710" i="22" s="1"/>
  <c r="W709" i="22" a="1"/>
  <c r="W709" i="22" l="1"/>
  <c r="P709" i="22" a="1"/>
  <c r="P709" i="22" l="1"/>
  <c r="AC709" i="22"/>
  <c r="B710" i="22" l="1"/>
  <c r="I710" i="22"/>
  <c r="R709" i="22"/>
  <c r="S709" i="22" s="1"/>
  <c r="K709" i="22" s="1"/>
  <c r="H710" i="22" l="1"/>
  <c r="X709" i="22"/>
  <c r="Y709" i="22" s="1"/>
  <c r="AG709" i="22" l="1"/>
  <c r="F710" i="22" l="1"/>
  <c r="AK709" i="22"/>
  <c r="G710" i="22" s="1"/>
  <c r="T710" i="22" a="1"/>
  <c r="T710" i="22" l="1"/>
  <c r="U710" i="22" l="1"/>
  <c r="AE710" i="22" s="1"/>
  <c r="D711" i="22" s="1"/>
  <c r="Q710" i="22"/>
  <c r="AD710" i="22"/>
  <c r="C711" i="22" s="1"/>
  <c r="V710" i="22"/>
  <c r="AF710" i="22" s="1"/>
  <c r="E711" i="22" s="1"/>
  <c r="W710" i="22" a="1"/>
  <c r="W710" i="22" l="1"/>
  <c r="P710" i="22" a="1"/>
  <c r="P710" i="22" l="1"/>
  <c r="AC710" i="22"/>
  <c r="B711" i="22" l="1"/>
  <c r="I711" i="22"/>
  <c r="R710" i="22"/>
  <c r="S710" i="22" s="1"/>
  <c r="K710" i="22" s="1"/>
  <c r="H711" i="22" l="1"/>
  <c r="X710" i="22"/>
  <c r="Y710" i="22" s="1"/>
  <c r="AG710" i="22" l="1"/>
  <c r="F711" i="22" l="1"/>
  <c r="AK710" i="22"/>
  <c r="G711" i="22" s="1"/>
  <c r="T711" i="22" a="1"/>
  <c r="T711" i="22" l="1"/>
  <c r="U711" i="22" l="1"/>
  <c r="AE711" i="22" s="1"/>
  <c r="D712" i="22" s="1"/>
  <c r="Q711" i="22"/>
  <c r="V711" i="22"/>
  <c r="AF711" i="22" s="1"/>
  <c r="E712" i="22" s="1"/>
  <c r="AD711" i="22"/>
  <c r="C712" i="22" s="1"/>
  <c r="W711" i="22" a="1"/>
  <c r="W711" i="22" l="1"/>
  <c r="P711" i="22" a="1"/>
  <c r="P711" i="22" l="1"/>
  <c r="AC711" i="22"/>
  <c r="B712" i="22" l="1"/>
  <c r="I712" i="22"/>
  <c r="R711" i="22"/>
  <c r="S711" i="22" s="1"/>
  <c r="K711" i="22" s="1"/>
  <c r="H712" i="22" l="1"/>
  <c r="X711" i="22"/>
  <c r="Y711" i="22" s="1"/>
  <c r="AG711" i="22" l="1"/>
  <c r="F712" i="22" l="1"/>
  <c r="AK711" i="22"/>
  <c r="G712" i="22" s="1"/>
  <c r="T712" i="22" a="1"/>
  <c r="T712" i="22" l="1"/>
  <c r="Q712" i="22" l="1"/>
  <c r="V712" i="22"/>
  <c r="AF712" i="22" s="1"/>
  <c r="E713" i="22" s="1"/>
  <c r="AD712" i="22"/>
  <c r="C713" i="22" s="1"/>
  <c r="U712" i="22"/>
  <c r="AE712" i="22" s="1"/>
  <c r="D713" i="22" s="1"/>
  <c r="W712" i="22" a="1"/>
  <c r="W712" i="22" l="1"/>
  <c r="P712" i="22" a="1"/>
  <c r="P712" i="22" l="1"/>
  <c r="AC712" i="22"/>
  <c r="R712" i="22" l="1"/>
  <c r="S712" i="22" s="1"/>
  <c r="K712" i="22" s="1"/>
  <c r="I713" i="22"/>
  <c r="B713" i="22"/>
  <c r="H713" i="22" l="1"/>
  <c r="X712" i="22"/>
  <c r="Y712" i="22" s="1"/>
  <c r="AG712" i="22" l="1"/>
  <c r="F713" i="22" l="1"/>
  <c r="AK712" i="22"/>
  <c r="G713" i="22" s="1"/>
  <c r="T713" i="22" a="1"/>
  <c r="T713" i="22" l="1"/>
  <c r="Q713" i="22" l="1"/>
  <c r="U713" i="22"/>
  <c r="AE713" i="22" s="1"/>
  <c r="D714" i="22" s="1"/>
  <c r="V713" i="22"/>
  <c r="AF713" i="22" s="1"/>
  <c r="E714" i="22" s="1"/>
  <c r="AD713" i="22"/>
  <c r="C714" i="22" s="1"/>
  <c r="W713" i="22" a="1"/>
  <c r="W713" i="22" l="1"/>
  <c r="P713" i="22" a="1"/>
  <c r="P713" i="22" l="1"/>
  <c r="AC713" i="22"/>
  <c r="I714" i="22" l="1"/>
  <c r="R713" i="22"/>
  <c r="S713" i="22" s="1"/>
  <c r="K713" i="22" s="1"/>
  <c r="B714" i="22"/>
  <c r="X713" i="22" l="1"/>
  <c r="Y713" i="22" s="1"/>
  <c r="H714" i="22"/>
  <c r="AG713" i="22" l="1"/>
  <c r="F714" i="22" l="1"/>
  <c r="AK713" i="22"/>
  <c r="G714" i="22" s="1"/>
  <c r="T714" i="22" a="1"/>
  <c r="T714" i="22" l="1"/>
  <c r="Q714" i="22" l="1"/>
  <c r="U714" i="22"/>
  <c r="AE714" i="22" s="1"/>
  <c r="D715" i="22" s="1"/>
  <c r="AD714" i="22"/>
  <c r="C715" i="22" s="1"/>
  <c r="V714" i="22"/>
  <c r="AF714" i="22" s="1"/>
  <c r="E715" i="22" s="1"/>
  <c r="W714" i="22" a="1"/>
  <c r="W714" i="22" l="1"/>
  <c r="P714" i="22" a="1"/>
  <c r="P714" i="22" l="1"/>
  <c r="AC714" i="22"/>
  <c r="B715" i="22" l="1"/>
  <c r="I715" i="22"/>
  <c r="R714" i="22"/>
  <c r="S714" i="22" s="1"/>
  <c r="K714" i="22" s="1"/>
  <c r="X714" i="22" l="1"/>
  <c r="Y714" i="22" s="1"/>
  <c r="H715" i="22"/>
  <c r="AG714" i="22" l="1"/>
  <c r="F715" i="22" l="1"/>
  <c r="AK714" i="22"/>
  <c r="G715" i="22" s="1"/>
  <c r="T715" i="22" a="1"/>
  <c r="T715" i="22" l="1"/>
  <c r="Q715" i="22" l="1"/>
  <c r="AD715" i="22"/>
  <c r="C716" i="22" s="1"/>
  <c r="U715" i="22"/>
  <c r="AE715" i="22" s="1"/>
  <c r="D716" i="22" s="1"/>
  <c r="V715" i="22"/>
  <c r="AF715" i="22" s="1"/>
  <c r="E716" i="22" s="1"/>
  <c r="W715" i="22" a="1"/>
  <c r="W715" i="22" l="1"/>
  <c r="P715" i="22" a="1"/>
  <c r="P715" i="22" l="1"/>
  <c r="AC715" i="22"/>
  <c r="R715" i="22" l="1"/>
  <c r="S715" i="22" s="1"/>
  <c r="K715" i="22" s="1"/>
  <c r="I716" i="22"/>
  <c r="B716" i="22"/>
  <c r="H716" i="22" l="1"/>
  <c r="X715" i="22"/>
  <c r="Y715" i="22" s="1"/>
  <c r="AG715" i="22" l="1"/>
  <c r="F716" i="22" s="1"/>
  <c r="AK715" i="22"/>
  <c r="G716" i="22" s="1"/>
  <c r="T716" i="22" a="1"/>
  <c r="T716" i="22" l="1"/>
  <c r="Q716" i="22" l="1"/>
  <c r="AD716" i="22"/>
  <c r="C717" i="22" s="1"/>
  <c r="V716" i="22"/>
  <c r="AF716" i="22" s="1"/>
  <c r="E717" i="22" s="1"/>
  <c r="U716" i="22"/>
  <c r="AE716" i="22" s="1"/>
  <c r="D717" i="22" s="1"/>
  <c r="W716" i="22" a="1"/>
  <c r="W716" i="22" l="1"/>
  <c r="P716" i="22" a="1"/>
  <c r="P716" i="22" l="1"/>
  <c r="AC716" i="22"/>
  <c r="B717" i="22" l="1"/>
  <c r="R716" i="22"/>
  <c r="S716" i="22" s="1"/>
  <c r="K716" i="22" s="1"/>
  <c r="I717" i="22"/>
  <c r="X716" i="22" l="1"/>
  <c r="Y716" i="22" s="1"/>
  <c r="H717" i="22"/>
  <c r="AG716" i="22" l="1"/>
  <c r="F717" i="22" l="1"/>
  <c r="AK716" i="22"/>
  <c r="G717" i="22" s="1"/>
  <c r="T717" i="22" a="1"/>
  <c r="T717" i="22" l="1"/>
  <c r="Q717" i="22" l="1"/>
  <c r="V717" i="22"/>
  <c r="AF717" i="22" s="1"/>
  <c r="E718" i="22" s="1"/>
  <c r="U717" i="22"/>
  <c r="AE717" i="22" s="1"/>
  <c r="D718" i="22" s="1"/>
  <c r="AD717" i="22"/>
  <c r="C718" i="22" s="1"/>
  <c r="W717" i="22" a="1"/>
  <c r="W717" i="22" l="1"/>
  <c r="P717" i="22" a="1"/>
  <c r="P717" i="22" l="1"/>
  <c r="AC717" i="22"/>
  <c r="B718" i="22" l="1"/>
  <c r="I718" i="22"/>
  <c r="R717" i="22"/>
  <c r="S717" i="22" s="1"/>
  <c r="K717" i="22" s="1"/>
  <c r="H718" i="22" l="1"/>
  <c r="X717" i="22"/>
  <c r="Y717" i="22" s="1"/>
  <c r="AG717" i="22" l="1"/>
  <c r="F718" i="22" l="1"/>
  <c r="AK717" i="22"/>
  <c r="G718" i="22" s="1"/>
  <c r="T718" i="22" a="1"/>
  <c r="T718" i="22" l="1"/>
  <c r="Q718" i="22" l="1"/>
  <c r="V718" i="22"/>
  <c r="AF718" i="22" s="1"/>
  <c r="E719" i="22" s="1"/>
  <c r="U718" i="22"/>
  <c r="AE718" i="22" s="1"/>
  <c r="D719" i="22" s="1"/>
  <c r="AD718" i="22"/>
  <c r="C719" i="22" s="1"/>
  <c r="W718" i="22" a="1"/>
  <c r="W718" i="22" l="1"/>
  <c r="P718" i="22" a="1"/>
  <c r="P718" i="22" l="1"/>
  <c r="AC718" i="22"/>
  <c r="I719" i="22" l="1"/>
  <c r="R718" i="22"/>
  <c r="S718" i="22" s="1"/>
  <c r="K718" i="22" s="1"/>
  <c r="B719" i="22"/>
  <c r="H719" i="22" l="1"/>
  <c r="X718" i="22"/>
  <c r="Y718" i="22" s="1"/>
  <c r="AG718" i="22" l="1"/>
  <c r="F719" i="22" l="1"/>
  <c r="AK718" i="22"/>
  <c r="G719" i="22" s="1"/>
  <c r="T719" i="22" a="1"/>
  <c r="T719" i="22" l="1"/>
  <c r="Q719" i="22" l="1"/>
  <c r="V719" i="22"/>
  <c r="AF719" i="22" s="1"/>
  <c r="E720" i="22" s="1"/>
  <c r="U719" i="22"/>
  <c r="AE719" i="22" s="1"/>
  <c r="D720" i="22" s="1"/>
  <c r="AD719" i="22"/>
  <c r="C720" i="22" s="1"/>
  <c r="W719" i="22" a="1"/>
  <c r="W719" i="22" l="1"/>
  <c r="P719" i="22" a="1"/>
  <c r="P719" i="22" l="1"/>
  <c r="AC719" i="22"/>
  <c r="B720" i="22" l="1"/>
  <c r="I720" i="22"/>
  <c r="R719" i="22"/>
  <c r="S719" i="22" s="1"/>
  <c r="K719" i="22" s="1"/>
  <c r="X719" i="22" l="1"/>
  <c r="Y719" i="22" s="1"/>
  <c r="H720" i="22"/>
  <c r="AG719" i="22" l="1"/>
  <c r="F720" i="22" l="1"/>
  <c r="AK719" i="22"/>
  <c r="G720" i="22" s="1"/>
  <c r="T720" i="22" a="1"/>
  <c r="T720" i="22" l="1"/>
  <c r="Q720" i="22" l="1"/>
  <c r="AD720" i="22"/>
  <c r="C721" i="22" s="1"/>
  <c r="U720" i="22"/>
  <c r="AE720" i="22" s="1"/>
  <c r="D721" i="22" s="1"/>
  <c r="V720" i="22"/>
  <c r="AF720" i="22" s="1"/>
  <c r="E721" i="22" s="1"/>
  <c r="W720" i="22" a="1"/>
  <c r="W720" i="22" l="1"/>
  <c r="P720" i="22" a="1"/>
  <c r="P720" i="22" l="1"/>
  <c r="AC720" i="22"/>
  <c r="B721" i="22" l="1"/>
  <c r="I721" i="22"/>
  <c r="R720" i="22"/>
  <c r="S720" i="22" s="1"/>
  <c r="K720" i="22" s="1"/>
  <c r="H721" i="22" l="1"/>
  <c r="X720" i="22"/>
  <c r="Y720" i="22" s="1"/>
  <c r="AG720" i="22" l="1"/>
  <c r="F721" i="22" s="1"/>
  <c r="AK720" i="22"/>
  <c r="G721" i="22" s="1"/>
  <c r="T721" i="22" a="1"/>
  <c r="T721" i="22" l="1"/>
  <c r="Q721" i="22" l="1"/>
  <c r="AD721" i="22"/>
  <c r="C722" i="22" s="1"/>
  <c r="U721" i="22"/>
  <c r="AE721" i="22" s="1"/>
  <c r="D722" i="22" s="1"/>
  <c r="V721" i="22"/>
  <c r="AF721" i="22" s="1"/>
  <c r="E722" i="22" s="1"/>
  <c r="W721" i="22" a="1"/>
  <c r="W721" i="22" l="1"/>
  <c r="P721" i="22" a="1"/>
  <c r="P721" i="22" l="1"/>
  <c r="AC721" i="22"/>
  <c r="B722" i="22" l="1"/>
  <c r="R721" i="22"/>
  <c r="S721" i="22" s="1"/>
  <c r="K721" i="22" s="1"/>
  <c r="I722" i="22"/>
  <c r="X721" i="22" l="1"/>
  <c r="Y721" i="22" s="1"/>
  <c r="H722" i="22"/>
  <c r="AG721" i="22" l="1"/>
  <c r="F722" i="22" l="1"/>
  <c r="AK721" i="22"/>
  <c r="G722" i="22" s="1"/>
  <c r="T722" i="22" a="1"/>
  <c r="T722" i="22" l="1"/>
  <c r="Q722" i="22" l="1"/>
  <c r="V722" i="22"/>
  <c r="AF722" i="22" s="1"/>
  <c r="E723" i="22" s="1"/>
  <c r="AD722" i="22"/>
  <c r="C723" i="22" s="1"/>
  <c r="U722" i="22"/>
  <c r="AE722" i="22" s="1"/>
  <c r="D723" i="22" s="1"/>
  <c r="W722" i="22" a="1"/>
  <c r="W722" i="22" l="1"/>
  <c r="P722" i="22" a="1"/>
  <c r="P722" i="22" l="1"/>
  <c r="AC722" i="22"/>
  <c r="B723" i="22" l="1"/>
  <c r="I723" i="22"/>
  <c r="H723" i="22" s="1"/>
  <c r="R722" i="22"/>
  <c r="S722" i="22" s="1"/>
  <c r="K722" i="22" s="1"/>
  <c r="X722" i="22" l="1"/>
  <c r="Y722" i="22" s="1"/>
  <c r="AG722" i="22" l="1"/>
  <c r="F723" i="22" l="1"/>
  <c r="AK722" i="22"/>
  <c r="G723" i="22" s="1"/>
  <c r="T723" i="22" a="1"/>
  <c r="T723" i="22" l="1"/>
  <c r="Q723" i="22" l="1"/>
  <c r="AD723" i="22"/>
  <c r="C724" i="22" s="1"/>
  <c r="V723" i="22"/>
  <c r="AF723" i="22" s="1"/>
  <c r="E724" i="22" s="1"/>
  <c r="U723" i="22"/>
  <c r="AE723" i="22" s="1"/>
  <c r="D724" i="22" s="1"/>
  <c r="W723" i="22" a="1"/>
  <c r="W723" i="22" l="1"/>
  <c r="P723" i="22" a="1"/>
  <c r="P723" i="22" l="1"/>
  <c r="AC723" i="22"/>
  <c r="B724" i="22" l="1"/>
  <c r="R723" i="22"/>
  <c r="S723" i="22" s="1"/>
  <c r="K723" i="22" s="1"/>
  <c r="I724" i="22"/>
  <c r="X723" i="22" l="1"/>
  <c r="Y723" i="22" s="1"/>
  <c r="H724" i="22"/>
  <c r="AG723" i="22" l="1"/>
  <c r="F724" i="22" l="1"/>
  <c r="AK723" i="22"/>
  <c r="G724" i="22" s="1"/>
  <c r="T724" i="22" a="1"/>
  <c r="T724" i="22" l="1"/>
  <c r="Q724" i="22" l="1"/>
  <c r="V724" i="22"/>
  <c r="AF724" i="22" s="1"/>
  <c r="E725" i="22" s="1"/>
  <c r="AD724" i="22"/>
  <c r="C725" i="22" s="1"/>
  <c r="U724" i="22"/>
  <c r="AE724" i="22" s="1"/>
  <c r="D725" i="22" s="1"/>
  <c r="W724" i="22" a="1"/>
  <c r="W724" i="22" l="1"/>
  <c r="P724" i="22" a="1"/>
  <c r="P724" i="22" l="1"/>
  <c r="AC724" i="22"/>
  <c r="B725" i="22" l="1"/>
  <c r="I725" i="22"/>
  <c r="R724" i="22"/>
  <c r="S724" i="22" s="1"/>
  <c r="K724" i="22" s="1"/>
  <c r="X724" i="22" l="1"/>
  <c r="Y724" i="22" s="1"/>
  <c r="H725" i="22"/>
  <c r="AG724" i="22" l="1"/>
  <c r="F725" i="22" l="1"/>
  <c r="AK724" i="22"/>
  <c r="G725" i="22" s="1"/>
  <c r="T725" i="22" a="1"/>
  <c r="T725" i="22" l="1"/>
  <c r="Q725" i="22" l="1"/>
  <c r="AD725" i="22"/>
  <c r="C726" i="22" s="1"/>
  <c r="V725" i="22"/>
  <c r="AF725" i="22" s="1"/>
  <c r="E726" i="22" s="1"/>
  <c r="U725" i="22"/>
  <c r="AE725" i="22" s="1"/>
  <c r="D726" i="22" s="1"/>
  <c r="W725" i="22" a="1"/>
  <c r="W725" i="22" l="1"/>
  <c r="P725" i="22" a="1"/>
  <c r="P725" i="22" l="1"/>
  <c r="AC725" i="22"/>
  <c r="B726" i="22" l="1"/>
  <c r="R725" i="22"/>
  <c r="S725" i="22" s="1"/>
  <c r="K725" i="22" s="1"/>
  <c r="I726" i="22"/>
  <c r="X725" i="22" l="1"/>
  <c r="Y725" i="22" s="1"/>
  <c r="H726" i="22"/>
  <c r="AG725" i="22" l="1"/>
  <c r="F726" i="22" l="1"/>
  <c r="AK725" i="22"/>
  <c r="G726" i="22" s="1"/>
  <c r="T726" i="22" a="1"/>
  <c r="T726" i="22" l="1"/>
  <c r="Q726" i="22" l="1"/>
  <c r="AD726" i="22"/>
  <c r="C727" i="22" s="1"/>
  <c r="V726" i="22"/>
  <c r="AF726" i="22" s="1"/>
  <c r="E727" i="22" s="1"/>
  <c r="U726" i="22"/>
  <c r="AE726" i="22" s="1"/>
  <c r="D727" i="22" s="1"/>
  <c r="W726" i="22" a="1"/>
  <c r="W726" i="22" l="1"/>
  <c r="P726" i="22" a="1"/>
  <c r="P726" i="22" l="1"/>
  <c r="AC726" i="22"/>
  <c r="B727" i="22" l="1"/>
  <c r="I727" i="22"/>
  <c r="R726" i="22"/>
  <c r="S726" i="22" s="1"/>
  <c r="K726" i="22" s="1"/>
  <c r="H727" i="22" l="1"/>
  <c r="X726" i="22"/>
  <c r="Y726" i="22" s="1"/>
  <c r="AG726" i="22" l="1"/>
  <c r="F727" i="22" l="1"/>
  <c r="AK726" i="22"/>
  <c r="G727" i="22" s="1"/>
  <c r="T727" i="22" a="1"/>
  <c r="T727" i="22" l="1"/>
  <c r="Q727" i="22" l="1"/>
  <c r="V727" i="22"/>
  <c r="AF727" i="22" s="1"/>
  <c r="E728" i="22" s="1"/>
  <c r="AD727" i="22"/>
  <c r="C728" i="22" s="1"/>
  <c r="U727" i="22"/>
  <c r="AE727" i="22" s="1"/>
  <c r="D728" i="22" s="1"/>
  <c r="W727" i="22" a="1"/>
  <c r="W727" i="22" l="1"/>
  <c r="P727" i="22" a="1"/>
  <c r="P727" i="22" l="1"/>
  <c r="AC727" i="22"/>
  <c r="B728" i="22" l="1"/>
  <c r="R727" i="22"/>
  <c r="S727" i="22" s="1"/>
  <c r="K727" i="22" s="1"/>
  <c r="I728" i="22"/>
  <c r="X727" i="22" l="1"/>
  <c r="Y727" i="22" s="1"/>
  <c r="H728" i="22"/>
  <c r="AG727" i="22" l="1"/>
  <c r="F728" i="22" l="1"/>
  <c r="AK727" i="22"/>
  <c r="G728" i="22" s="1"/>
  <c r="T728" i="22" a="1"/>
  <c r="T728" i="22" l="1"/>
  <c r="Q728" i="22" l="1"/>
  <c r="V728" i="22"/>
  <c r="AF728" i="22" s="1"/>
  <c r="E729" i="22" s="1"/>
  <c r="AD728" i="22"/>
  <c r="C729" i="22" s="1"/>
  <c r="U728" i="22"/>
  <c r="AE728" i="22" s="1"/>
  <c r="D729" i="22" s="1"/>
  <c r="W728" i="22" a="1"/>
  <c r="W728" i="22" l="1"/>
  <c r="P728" i="22" a="1"/>
  <c r="P728" i="22" l="1"/>
  <c r="AC728" i="22"/>
  <c r="I729" i="22" l="1"/>
  <c r="R728" i="22"/>
  <c r="S728" i="22" s="1"/>
  <c r="K728" i="22" s="1"/>
  <c r="B729" i="22"/>
  <c r="X728" i="22" l="1"/>
  <c r="Y728" i="22" s="1"/>
  <c r="H729" i="22"/>
  <c r="AG728" i="22" l="1"/>
  <c r="F729" i="22" l="1"/>
  <c r="AK728" i="22"/>
  <c r="G729" i="22" s="1"/>
  <c r="T729" i="22" a="1"/>
  <c r="T729" i="22" l="1"/>
  <c r="Q729" i="22" l="1"/>
  <c r="V729" i="22"/>
  <c r="AF729" i="22" s="1"/>
  <c r="E730" i="22" s="1"/>
  <c r="U729" i="22"/>
  <c r="AE729" i="22" s="1"/>
  <c r="D730" i="22" s="1"/>
  <c r="AD729" i="22"/>
  <c r="C730" i="22" s="1"/>
  <c r="W729" i="22" a="1"/>
  <c r="W729" i="22" l="1"/>
  <c r="P729" i="22" a="1"/>
  <c r="P729" i="22" l="1"/>
  <c r="AC729" i="22"/>
  <c r="I730" i="22" l="1"/>
  <c r="R729" i="22"/>
  <c r="S729" i="22" s="1"/>
  <c r="K729" i="22" s="1"/>
  <c r="B730" i="22"/>
  <c r="H730" i="22" l="1"/>
  <c r="X729" i="22"/>
  <c r="Y729" i="22" s="1"/>
  <c r="AG729" i="22" l="1"/>
  <c r="F730" i="22" l="1"/>
  <c r="AK729" i="22"/>
  <c r="G730" i="22" s="1"/>
  <c r="T730" i="22" a="1"/>
  <c r="T730" i="22" l="1"/>
  <c r="Q730" i="22" l="1"/>
  <c r="AD730" i="22"/>
  <c r="C731" i="22" s="1"/>
  <c r="U730" i="22"/>
  <c r="AE730" i="22" s="1"/>
  <c r="D731" i="22" s="1"/>
  <c r="V730" i="22"/>
  <c r="AF730" i="22" s="1"/>
  <c r="E731" i="22" s="1"/>
  <c r="W730" i="22" a="1"/>
  <c r="W730" i="22" l="1"/>
  <c r="P730" i="22" a="1"/>
  <c r="P730" i="22" l="1"/>
  <c r="AC730" i="22"/>
  <c r="I731" i="22" l="1"/>
  <c r="R730" i="22"/>
  <c r="S730" i="22" s="1"/>
  <c r="K730" i="22" s="1"/>
  <c r="B731" i="22"/>
  <c r="X730" i="22" l="1"/>
  <c r="Y730" i="22" s="1"/>
  <c r="H731" i="22"/>
  <c r="AG730" i="22" l="1"/>
  <c r="F731" i="22" l="1"/>
  <c r="AK730" i="22"/>
  <c r="G731" i="22" s="1"/>
  <c r="T731" i="22" a="1"/>
  <c r="T731" i="22" l="1"/>
  <c r="Q731" i="22" l="1"/>
  <c r="V731" i="22"/>
  <c r="AF731" i="22" s="1"/>
  <c r="E732" i="22" s="1"/>
  <c r="AD731" i="22"/>
  <c r="C732" i="22" s="1"/>
  <c r="U731" i="22"/>
  <c r="AE731" i="22" s="1"/>
  <c r="D732" i="22" s="1"/>
  <c r="W731" i="22" a="1"/>
  <c r="W731" i="22" l="1"/>
  <c r="P731" i="22" a="1"/>
  <c r="P731" i="22" l="1"/>
  <c r="AC731" i="22"/>
  <c r="B732" i="22" l="1"/>
  <c r="R731" i="22"/>
  <c r="S731" i="22" s="1"/>
  <c r="K731" i="22" s="1"/>
  <c r="I732" i="22"/>
  <c r="H732" i="22" l="1"/>
  <c r="X731" i="22"/>
  <c r="Y731" i="22" s="1"/>
  <c r="AG731" i="22" l="1"/>
  <c r="F732" i="22" l="1"/>
  <c r="AK731" i="22"/>
  <c r="G732" i="22" s="1"/>
  <c r="T732" i="22" a="1"/>
  <c r="T732" i="22" l="1"/>
  <c r="Q732" i="22" l="1"/>
  <c r="U732" i="22"/>
  <c r="AE732" i="22" s="1"/>
  <c r="D733" i="22" s="1"/>
  <c r="AD732" i="22"/>
  <c r="C733" i="22" s="1"/>
  <c r="V732" i="22"/>
  <c r="AF732" i="22" s="1"/>
  <c r="E733" i="22" s="1"/>
  <c r="W732" i="22" a="1"/>
  <c r="W732" i="22" l="1"/>
  <c r="P732" i="22" a="1"/>
  <c r="P732" i="22" l="1"/>
  <c r="AC732" i="22"/>
  <c r="B733" i="22" l="1"/>
  <c r="I733" i="22"/>
  <c r="R732" i="22"/>
  <c r="S732" i="22" s="1"/>
  <c r="K732" i="22" s="1"/>
  <c r="H733" i="22" l="1"/>
  <c r="X732" i="22"/>
  <c r="Y732" i="22" s="1"/>
  <c r="AG732" i="22" l="1"/>
  <c r="F733" i="22" l="1"/>
  <c r="AK732" i="22"/>
  <c r="G733" i="22" s="1"/>
  <c r="T733" i="22" a="1"/>
  <c r="T733" i="22" l="1"/>
  <c r="Q733" i="22" l="1"/>
  <c r="U733" i="22"/>
  <c r="AE733" i="22" s="1"/>
  <c r="D734" i="22" s="1"/>
  <c r="AD733" i="22"/>
  <c r="C734" i="22" s="1"/>
  <c r="V733" i="22"/>
  <c r="AF733" i="22" s="1"/>
  <c r="E734" i="22" s="1"/>
  <c r="W733" i="22" a="1"/>
  <c r="W733" i="22" l="1"/>
  <c r="P733" i="22" a="1"/>
  <c r="P733" i="22" l="1"/>
  <c r="AC733" i="22"/>
  <c r="B734" i="22" l="1"/>
  <c r="R733" i="22"/>
  <c r="S733" i="22" s="1"/>
  <c r="K733" i="22" s="1"/>
  <c r="I734" i="22"/>
  <c r="X733" i="22" l="1"/>
  <c r="Y733" i="22" s="1"/>
  <c r="H734" i="22"/>
  <c r="AG733" i="22" l="1"/>
  <c r="F734" i="22" l="1"/>
  <c r="AK733" i="22"/>
  <c r="G734" i="22" s="1"/>
  <c r="T734" i="22" a="1"/>
  <c r="T734" i="22" l="1"/>
  <c r="Q734" i="22" l="1"/>
  <c r="V734" i="22"/>
  <c r="AF734" i="22" s="1"/>
  <c r="E735" i="22" s="1"/>
  <c r="AD734" i="22"/>
  <c r="C735" i="22" s="1"/>
  <c r="U734" i="22"/>
  <c r="AE734" i="22" s="1"/>
  <c r="D735" i="22" s="1"/>
  <c r="W734" i="22" a="1"/>
  <c r="W734" i="22" l="1"/>
  <c r="P734" i="22" a="1"/>
  <c r="P734" i="22" l="1"/>
  <c r="AC734" i="22"/>
  <c r="B735" i="22" l="1"/>
  <c r="R734" i="22"/>
  <c r="S734" i="22" s="1"/>
  <c r="K734" i="22" s="1"/>
  <c r="I735" i="22"/>
  <c r="X734" i="22" l="1"/>
  <c r="Y734" i="22" s="1"/>
  <c r="H735" i="22"/>
  <c r="AG734" i="22" l="1"/>
  <c r="F735" i="22" l="1"/>
  <c r="AK734" i="22"/>
  <c r="G735" i="22" s="1"/>
  <c r="T735" i="22" a="1"/>
  <c r="T735" i="22" l="1"/>
  <c r="Q735" i="22" l="1"/>
  <c r="V735" i="22"/>
  <c r="AF735" i="22" s="1"/>
  <c r="E736" i="22" s="1"/>
  <c r="AD735" i="22"/>
  <c r="C736" i="22" s="1"/>
  <c r="U735" i="22"/>
  <c r="AE735" i="22" s="1"/>
  <c r="D736" i="22" s="1"/>
  <c r="W735" i="22" a="1"/>
  <c r="W735" i="22" l="1"/>
  <c r="P735" i="22" a="1"/>
  <c r="P735" i="22" l="1"/>
  <c r="AC735" i="22"/>
  <c r="B736" i="22" l="1"/>
  <c r="I736" i="22"/>
  <c r="R735" i="22"/>
  <c r="S735" i="22" s="1"/>
  <c r="K735" i="22" s="1"/>
  <c r="X735" i="22" l="1"/>
  <c r="Y735" i="22" s="1"/>
  <c r="H736" i="22"/>
  <c r="AG735" i="22" l="1"/>
  <c r="F736" i="22" l="1"/>
  <c r="AK735" i="22"/>
  <c r="G736" i="22" s="1"/>
  <c r="T736" i="22" a="1"/>
  <c r="T736" i="22" l="1"/>
  <c r="Q736" i="22" l="1"/>
  <c r="V736" i="22"/>
  <c r="AF736" i="22" s="1"/>
  <c r="E737" i="22" s="1"/>
  <c r="AD736" i="22"/>
  <c r="C737" i="22" s="1"/>
  <c r="U736" i="22"/>
  <c r="AE736" i="22" s="1"/>
  <c r="D737" i="22" s="1"/>
  <c r="W736" i="22" a="1"/>
  <c r="W736" i="22" l="1"/>
  <c r="P736" i="22" a="1"/>
  <c r="P736" i="22" l="1"/>
  <c r="AC736" i="22"/>
  <c r="B737" i="22" l="1"/>
  <c r="I737" i="22"/>
  <c r="R736" i="22"/>
  <c r="S736" i="22" s="1"/>
  <c r="K736" i="22" s="1"/>
  <c r="X736" i="22" l="1"/>
  <c r="Y736" i="22" s="1"/>
  <c r="H737" i="22"/>
  <c r="AG736" i="22" l="1"/>
  <c r="F737" i="22" l="1"/>
  <c r="AK736" i="22"/>
  <c r="G737" i="22" s="1"/>
  <c r="T737" i="22" a="1"/>
  <c r="T737" i="22" l="1"/>
  <c r="Q737" i="22" l="1"/>
  <c r="U737" i="22"/>
  <c r="AE737" i="22" s="1"/>
  <c r="D738" i="22" s="1"/>
  <c r="AD737" i="22"/>
  <c r="C738" i="22" s="1"/>
  <c r="V737" i="22"/>
  <c r="AF737" i="22" s="1"/>
  <c r="E738" i="22" s="1"/>
  <c r="W737" i="22" a="1"/>
  <c r="W737" i="22" l="1"/>
  <c r="P737" i="22" a="1"/>
  <c r="P737" i="22" l="1"/>
  <c r="AC737" i="22"/>
  <c r="R737" i="22" l="1"/>
  <c r="S737" i="22" s="1"/>
  <c r="K737" i="22" s="1"/>
  <c r="I738" i="22"/>
  <c r="H738" i="22" s="1"/>
  <c r="B738" i="22"/>
  <c r="X737" i="22" l="1"/>
  <c r="Y737" i="22" s="1"/>
  <c r="AG737" i="22" l="1"/>
  <c r="F738" i="22" l="1"/>
  <c r="AK737" i="22"/>
  <c r="G738" i="22" s="1"/>
  <c r="T738" i="22" a="1"/>
  <c r="T738" i="22" l="1"/>
  <c r="Q738" i="22" l="1"/>
  <c r="AD738" i="22"/>
  <c r="C739" i="22" s="1"/>
  <c r="U738" i="22"/>
  <c r="AE738" i="22" s="1"/>
  <c r="D739" i="22" s="1"/>
  <c r="V738" i="22"/>
  <c r="AF738" i="22" s="1"/>
  <c r="E739" i="22" s="1"/>
  <c r="W738" i="22" a="1"/>
  <c r="W738" i="22" l="1"/>
  <c r="P738" i="22" a="1"/>
  <c r="P738" i="22" l="1"/>
  <c r="AC738" i="22"/>
  <c r="B739" i="22" l="1"/>
  <c r="I739" i="22"/>
  <c r="R738" i="22"/>
  <c r="S738" i="22" s="1"/>
  <c r="K738" i="22" s="1"/>
  <c r="X738" i="22" l="1"/>
  <c r="Y738" i="22" s="1"/>
  <c r="H739" i="22"/>
  <c r="AG738" i="22" l="1"/>
  <c r="F739" i="22" l="1"/>
  <c r="AK738" i="22"/>
  <c r="G739" i="22" s="1"/>
  <c r="T739" i="22" a="1"/>
  <c r="T739" i="22" l="1"/>
  <c r="Q739" i="22" l="1"/>
  <c r="U739" i="22"/>
  <c r="AE739" i="22" s="1"/>
  <c r="D740" i="22" s="1"/>
  <c r="AD739" i="22"/>
  <c r="C740" i="22" s="1"/>
  <c r="V739" i="22"/>
  <c r="AF739" i="22" s="1"/>
  <c r="E740" i="22" s="1"/>
  <c r="W739" i="22" a="1"/>
  <c r="W739" i="22" l="1"/>
  <c r="P739" i="22" a="1"/>
  <c r="P739" i="22" l="1"/>
  <c r="AC739" i="22"/>
  <c r="B740" i="22" l="1"/>
  <c r="R739" i="22"/>
  <c r="S739" i="22" s="1"/>
  <c r="K739" i="22" s="1"/>
  <c r="I740" i="22"/>
  <c r="H740" i="22" l="1"/>
  <c r="X739" i="22"/>
  <c r="Y739" i="22" s="1"/>
  <c r="AG739" i="22" l="1"/>
  <c r="F740" i="22" l="1"/>
  <c r="AK739" i="22"/>
  <c r="G740" i="22" s="1"/>
  <c r="T740" i="22" a="1"/>
  <c r="T740" i="22" l="1"/>
  <c r="Q740" i="22" l="1"/>
  <c r="U740" i="22"/>
  <c r="AE740" i="22" s="1"/>
  <c r="D741" i="22" s="1"/>
  <c r="V740" i="22"/>
  <c r="AF740" i="22" s="1"/>
  <c r="E741" i="22" s="1"/>
  <c r="AD740" i="22"/>
  <c r="C741" i="22" s="1"/>
  <c r="W740" i="22" a="1"/>
  <c r="W740" i="22" l="1"/>
  <c r="P740" i="22" a="1"/>
  <c r="P740" i="22" l="1"/>
  <c r="AC740" i="22"/>
  <c r="B741" i="22" l="1"/>
  <c r="R740" i="22"/>
  <c r="S740" i="22" s="1"/>
  <c r="K740" i="22" s="1"/>
  <c r="I741" i="22"/>
  <c r="H741" i="22" l="1"/>
  <c r="X740" i="22"/>
  <c r="Y740" i="22" s="1"/>
  <c r="AG740" i="22" l="1"/>
  <c r="F741" i="22" l="1"/>
  <c r="AK740" i="22"/>
  <c r="G741" i="22" s="1"/>
  <c r="T741" i="22" a="1"/>
  <c r="T741" i="22" l="1"/>
  <c r="Q741" i="22" l="1"/>
  <c r="U741" i="22"/>
  <c r="AE741" i="22" s="1"/>
  <c r="D742" i="22" s="1"/>
  <c r="AD741" i="22"/>
  <c r="C742" i="22" s="1"/>
  <c r="V741" i="22"/>
  <c r="AF741" i="22" s="1"/>
  <c r="E742" i="22" s="1"/>
  <c r="W741" i="22" a="1"/>
  <c r="W741" i="22" l="1"/>
  <c r="P741" i="22" a="1"/>
  <c r="P741" i="22" l="1"/>
  <c r="AC741" i="22"/>
  <c r="B742" i="22" l="1"/>
  <c r="R741" i="22"/>
  <c r="S741" i="22" s="1"/>
  <c r="K741" i="22" s="1"/>
  <c r="I742" i="22"/>
  <c r="X741" i="22" l="1"/>
  <c r="Y741" i="22" s="1"/>
  <c r="H742" i="22"/>
  <c r="AG741" i="22" l="1"/>
  <c r="F742" i="22" l="1"/>
  <c r="AK741" i="22"/>
  <c r="G742" i="22" s="1"/>
  <c r="T742" i="22" a="1"/>
  <c r="T742" i="22" l="1"/>
  <c r="Q742" i="22" l="1"/>
  <c r="U742" i="22"/>
  <c r="AE742" i="22" s="1"/>
  <c r="D743" i="22" s="1"/>
  <c r="V742" i="22"/>
  <c r="AF742" i="22" s="1"/>
  <c r="E743" i="22" s="1"/>
  <c r="AD742" i="22"/>
  <c r="C743" i="22" s="1"/>
  <c r="W742" i="22" a="1"/>
  <c r="W742" i="22" l="1"/>
  <c r="P742" i="22" a="1"/>
  <c r="P742" i="22" l="1"/>
  <c r="AC742" i="22"/>
  <c r="B743" i="22" l="1"/>
  <c r="R742" i="22"/>
  <c r="S742" i="22" s="1"/>
  <c r="K742" i="22" s="1"/>
  <c r="I743" i="22"/>
  <c r="X742" i="22" l="1"/>
  <c r="Y742" i="22" s="1"/>
  <c r="H743" i="22"/>
  <c r="AG742" i="22" l="1"/>
  <c r="F743" i="22" l="1"/>
  <c r="AK742" i="22"/>
  <c r="G743" i="22" s="1"/>
  <c r="T743" i="22" a="1"/>
  <c r="T743" i="22" l="1"/>
  <c r="Q743" i="22" l="1"/>
  <c r="V743" i="22"/>
  <c r="AF743" i="22" s="1"/>
  <c r="E744" i="22" s="1"/>
  <c r="AD743" i="22"/>
  <c r="C744" i="22" s="1"/>
  <c r="U743" i="22"/>
  <c r="AE743" i="22" s="1"/>
  <c r="D744" i="22" s="1"/>
  <c r="W743" i="22" a="1"/>
  <c r="W743" i="22" l="1"/>
  <c r="P743" i="22" a="1"/>
  <c r="P743" i="22" l="1"/>
  <c r="AC743" i="22"/>
  <c r="I744" i="22" l="1"/>
  <c r="R743" i="22"/>
  <c r="S743" i="22" s="1"/>
  <c r="K743" i="22" s="1"/>
  <c r="B744" i="22"/>
  <c r="X743" i="22" l="1"/>
  <c r="Y743" i="22" s="1"/>
  <c r="H744" i="22"/>
  <c r="AG743" i="22" l="1"/>
  <c r="F744" i="22" l="1"/>
  <c r="AK743" i="22"/>
  <c r="G744" i="22" s="1"/>
  <c r="T744" i="22" a="1"/>
  <c r="T744" i="22" l="1"/>
  <c r="Q744" i="22" l="1"/>
  <c r="V744" i="22"/>
  <c r="AF744" i="22" s="1"/>
  <c r="E745" i="22" s="1"/>
  <c r="AD744" i="22"/>
  <c r="C745" i="22" s="1"/>
  <c r="U744" i="22"/>
  <c r="AE744" i="22" s="1"/>
  <c r="D745" i="22" s="1"/>
  <c r="W744" i="22" a="1"/>
  <c r="W744" i="22" l="1"/>
  <c r="P744" i="22" a="1"/>
  <c r="P744" i="22" l="1"/>
  <c r="AC744" i="22"/>
  <c r="B745" i="22" l="1"/>
  <c r="I745" i="22"/>
  <c r="R744" i="22"/>
  <c r="S744" i="22" s="1"/>
  <c r="K744" i="22" s="1"/>
  <c r="H745" i="22" l="1"/>
  <c r="X744" i="22"/>
  <c r="Y744" i="22" s="1"/>
  <c r="AG744" i="22" l="1"/>
  <c r="F745" i="22" l="1"/>
  <c r="AK744" i="22"/>
  <c r="G745" i="22" s="1"/>
  <c r="T745" i="22" a="1"/>
  <c r="T745" i="22" l="1"/>
  <c r="Q745" i="22" l="1"/>
  <c r="AD745" i="22"/>
  <c r="C746" i="22" s="1"/>
  <c r="V745" i="22"/>
  <c r="AF745" i="22" s="1"/>
  <c r="E746" i="22" s="1"/>
  <c r="U745" i="22"/>
  <c r="AE745" i="22" s="1"/>
  <c r="D746" i="22" s="1"/>
  <c r="W745" i="22" a="1"/>
  <c r="W745" i="22" l="1"/>
  <c r="P745" i="22" a="1"/>
  <c r="P745" i="22" l="1"/>
  <c r="AC745" i="22"/>
  <c r="B746" i="22" l="1"/>
  <c r="I746" i="22"/>
  <c r="H746" i="22" s="1"/>
  <c r="R745" i="22"/>
  <c r="S745" i="22" s="1"/>
  <c r="K745" i="22" s="1"/>
  <c r="X745" i="22" l="1"/>
  <c r="Y745" i="22" s="1"/>
  <c r="AG745" i="22" l="1"/>
  <c r="F746" i="22" l="1"/>
  <c r="AK745" i="22"/>
  <c r="G746" i="22" s="1"/>
  <c r="T746" i="22" a="1"/>
  <c r="T746" i="22" l="1"/>
  <c r="Q746" i="22" l="1"/>
  <c r="AD746" i="22"/>
  <c r="C747" i="22" s="1"/>
  <c r="U746" i="22"/>
  <c r="AE746" i="22" s="1"/>
  <c r="D747" i="22" s="1"/>
  <c r="V746" i="22"/>
  <c r="AF746" i="22" s="1"/>
  <c r="E747" i="22" s="1"/>
  <c r="W746" i="22" a="1"/>
  <c r="W746" i="22" l="1"/>
  <c r="P746" i="22" a="1"/>
  <c r="P746" i="22" l="1"/>
  <c r="AC746" i="22"/>
  <c r="B747" i="22" l="1"/>
  <c r="I747" i="22"/>
  <c r="R746" i="22"/>
  <c r="S746" i="22" s="1"/>
  <c r="K746" i="22" s="1"/>
  <c r="X746" i="22" l="1"/>
  <c r="Y746" i="22" s="1"/>
  <c r="H747" i="22"/>
  <c r="AG746" i="22" l="1"/>
  <c r="F747" i="22" l="1"/>
  <c r="AK746" i="22"/>
  <c r="G747" i="22" s="1"/>
  <c r="T747" i="22" a="1"/>
  <c r="T747" i="22" l="1"/>
  <c r="Q747" i="22" l="1"/>
  <c r="U747" i="22"/>
  <c r="AE747" i="22" s="1"/>
  <c r="D748" i="22" s="1"/>
  <c r="AD747" i="22"/>
  <c r="C748" i="22" s="1"/>
  <c r="V747" i="22"/>
  <c r="AF747" i="22" s="1"/>
  <c r="E748" i="22" s="1"/>
  <c r="W747" i="22" a="1"/>
  <c r="W747" i="22" l="1"/>
  <c r="P747" i="22" a="1"/>
  <c r="P747" i="22" l="1"/>
  <c r="AC747" i="22"/>
  <c r="B748" i="22" l="1"/>
  <c r="I748" i="22"/>
  <c r="R747" i="22"/>
  <c r="S747" i="22" s="1"/>
  <c r="K747" i="22" s="1"/>
  <c r="X747" i="22" l="1"/>
  <c r="Y747" i="22" s="1"/>
  <c r="H748" i="22"/>
  <c r="AG747" i="22" l="1"/>
  <c r="F748" i="22" l="1"/>
  <c r="AK747" i="22"/>
  <c r="G748" i="22" s="1"/>
  <c r="T748" i="22" a="1"/>
  <c r="T748" i="22" l="1"/>
  <c r="Q748" i="22" l="1"/>
  <c r="AD748" i="22"/>
  <c r="C749" i="22" s="1"/>
  <c r="V748" i="22"/>
  <c r="AF748" i="22" s="1"/>
  <c r="E749" i="22" s="1"/>
  <c r="U748" i="22"/>
  <c r="AE748" i="22" s="1"/>
  <c r="D749" i="22" s="1"/>
  <c r="W748" i="22" a="1"/>
  <c r="W748" i="22" l="1"/>
  <c r="P748" i="22" a="1"/>
  <c r="P748" i="22" l="1"/>
  <c r="AC748" i="22"/>
  <c r="B749" i="22" l="1"/>
  <c r="R748" i="22"/>
  <c r="S748" i="22" s="1"/>
  <c r="K748" i="22" s="1"/>
  <c r="I749" i="22"/>
  <c r="H749" i="22" l="1"/>
  <c r="X748" i="22"/>
  <c r="Y748" i="22" s="1"/>
  <c r="AG748" i="22" l="1"/>
  <c r="F749" i="22" l="1"/>
  <c r="AK748" i="22"/>
  <c r="G749" i="22" s="1"/>
  <c r="T749" i="22" a="1"/>
  <c r="T749" i="22" l="1"/>
  <c r="Q749" i="22" l="1"/>
  <c r="AD749" i="22"/>
  <c r="C750" i="22" s="1"/>
  <c r="U749" i="22"/>
  <c r="AE749" i="22" s="1"/>
  <c r="D750" i="22" s="1"/>
  <c r="V749" i="22"/>
  <c r="AF749" i="22" s="1"/>
  <c r="E750" i="22" s="1"/>
  <c r="W749" i="22" a="1"/>
  <c r="W749" i="22" l="1"/>
  <c r="P749" i="22" a="1"/>
  <c r="P749" i="22" l="1"/>
  <c r="AC749" i="22"/>
  <c r="B750" i="22" l="1"/>
  <c r="I750" i="22"/>
  <c r="R749" i="22"/>
  <c r="S749" i="22" s="1"/>
  <c r="K749" i="22" s="1"/>
  <c r="H750" i="22" l="1"/>
  <c r="X749" i="22"/>
  <c r="Y749" i="22" s="1"/>
  <c r="AG749" i="22" l="1"/>
  <c r="F750" i="22" l="1"/>
  <c r="AK749" i="22"/>
  <c r="G750" i="22" s="1"/>
  <c r="T750" i="22" a="1"/>
  <c r="T750" i="22" l="1"/>
  <c r="Q750" i="22" l="1"/>
  <c r="V750" i="22"/>
  <c r="AF750" i="22" s="1"/>
  <c r="E751" i="22" s="1"/>
  <c r="AD750" i="22"/>
  <c r="C751" i="22" s="1"/>
  <c r="U750" i="22"/>
  <c r="AE750" i="22" s="1"/>
  <c r="D751" i="22" s="1"/>
  <c r="W750" i="22" a="1"/>
  <c r="W750" i="22" l="1"/>
  <c r="P750" i="22" a="1"/>
  <c r="P750" i="22" l="1"/>
  <c r="AC750" i="22"/>
  <c r="B751" i="22" l="1"/>
  <c r="R750" i="22"/>
  <c r="S750" i="22" s="1"/>
  <c r="K750" i="22" s="1"/>
  <c r="I751" i="22"/>
  <c r="X750" i="22" l="1"/>
  <c r="Y750" i="22" s="1"/>
  <c r="H751" i="22"/>
  <c r="AG750" i="22" l="1"/>
  <c r="F751" i="22" l="1"/>
  <c r="AK750" i="22"/>
  <c r="G751" i="22" s="1"/>
  <c r="T751" i="22" a="1"/>
  <c r="T751" i="22" l="1"/>
  <c r="Q751" i="22" l="1"/>
  <c r="V751" i="22"/>
  <c r="AF751" i="22" s="1"/>
  <c r="E752" i="22" s="1"/>
  <c r="AD751" i="22"/>
  <c r="C752" i="22" s="1"/>
  <c r="U751" i="22"/>
  <c r="AE751" i="22" s="1"/>
  <c r="D752" i="22" s="1"/>
  <c r="W751" i="22" a="1"/>
  <c r="W751" i="22" l="1"/>
  <c r="P751" i="22" a="1"/>
  <c r="P751" i="22" l="1"/>
  <c r="AC751" i="22"/>
  <c r="B752" i="22" l="1"/>
  <c r="R751" i="22"/>
  <c r="S751" i="22" s="1"/>
  <c r="K751" i="22" s="1"/>
  <c r="I752" i="22"/>
  <c r="H752" i="22" l="1"/>
  <c r="X751" i="22"/>
  <c r="Y751" i="22" s="1"/>
  <c r="AG751" i="22" l="1"/>
  <c r="F752" i="22" l="1"/>
  <c r="AK751" i="22"/>
  <c r="G752" i="22" s="1"/>
  <c r="T752" i="22" a="1"/>
  <c r="T752" i="22" l="1"/>
  <c r="Q752" i="22" l="1"/>
  <c r="U752" i="22"/>
  <c r="AE752" i="22" s="1"/>
  <c r="D753" i="22" s="1"/>
  <c r="V752" i="22"/>
  <c r="AF752" i="22" s="1"/>
  <c r="E753" i="22" s="1"/>
  <c r="AD752" i="22"/>
  <c r="C753" i="22" s="1"/>
  <c r="W752" i="22" a="1"/>
  <c r="W752" i="22" l="1"/>
  <c r="P752" i="22" a="1"/>
  <c r="P752" i="22" l="1"/>
  <c r="AC752" i="22"/>
  <c r="B753" i="22" l="1"/>
  <c r="R752" i="22"/>
  <c r="S752" i="22" s="1"/>
  <c r="K752" i="22" s="1"/>
  <c r="I753" i="22"/>
  <c r="X752" i="22" l="1"/>
  <c r="Y752" i="22" s="1"/>
  <c r="H753" i="22"/>
  <c r="AG752" i="22" l="1"/>
  <c r="F753" i="22" l="1"/>
  <c r="AK752" i="22"/>
  <c r="G753" i="22" s="1"/>
  <c r="T753" i="22" a="1"/>
  <c r="T753" i="22" l="1"/>
  <c r="Q753" i="22" l="1"/>
  <c r="V753" i="22"/>
  <c r="AF753" i="22" s="1"/>
  <c r="E754" i="22" s="1"/>
  <c r="AD753" i="22"/>
  <c r="C754" i="22" s="1"/>
  <c r="U753" i="22"/>
  <c r="AE753" i="22" s="1"/>
  <c r="D754" i="22" s="1"/>
  <c r="W753" i="22" a="1"/>
  <c r="W753" i="22" l="1"/>
  <c r="P753" i="22" a="1"/>
  <c r="P753" i="22" l="1"/>
  <c r="AC753" i="22"/>
  <c r="B754" i="22" l="1"/>
  <c r="R753" i="22"/>
  <c r="S753" i="22" s="1"/>
  <c r="K753" i="22" s="1"/>
  <c r="I754" i="22"/>
  <c r="X753" i="22" l="1"/>
  <c r="Y753" i="22" s="1"/>
  <c r="H754" i="22"/>
  <c r="AG753" i="22" l="1"/>
  <c r="F754" i="22" l="1"/>
  <c r="AK753" i="22"/>
  <c r="G754" i="22" s="1"/>
  <c r="T754" i="22" a="1"/>
  <c r="T754" i="22" l="1"/>
  <c r="Q754" i="22" l="1"/>
  <c r="U754" i="22"/>
  <c r="AE754" i="22" s="1"/>
  <c r="D755" i="22" s="1"/>
  <c r="AD754" i="22"/>
  <c r="C755" i="22" s="1"/>
  <c r="V754" i="22"/>
  <c r="AF754" i="22" s="1"/>
  <c r="E755" i="22" s="1"/>
  <c r="W754" i="22" a="1"/>
  <c r="W754" i="22" l="1"/>
  <c r="P754" i="22" a="1"/>
  <c r="P754" i="22" l="1"/>
  <c r="AC754" i="22"/>
  <c r="R754" i="22" l="1"/>
  <c r="S754" i="22" s="1"/>
  <c r="K754" i="22" s="1"/>
  <c r="I755" i="22"/>
  <c r="B755" i="22"/>
  <c r="X754" i="22" l="1"/>
  <c r="Y754" i="22" s="1"/>
  <c r="H755" i="22"/>
  <c r="AG754" i="22" l="1"/>
  <c r="F755" i="22" l="1"/>
  <c r="AK754" i="22"/>
  <c r="G755" i="22" s="1"/>
  <c r="T755" i="22" a="1"/>
  <c r="T755" i="22" l="1"/>
  <c r="Q755" i="22" l="1"/>
  <c r="U755" i="22"/>
  <c r="AE755" i="22" s="1"/>
  <c r="D756" i="22" s="1"/>
  <c r="AD755" i="22"/>
  <c r="C756" i="22" s="1"/>
  <c r="V755" i="22"/>
  <c r="AF755" i="22" s="1"/>
  <c r="E756" i="22" s="1"/>
  <c r="W755" i="22" a="1"/>
  <c r="W755" i="22" l="1"/>
  <c r="P755" i="22" a="1"/>
  <c r="P755" i="22" l="1"/>
  <c r="AC755" i="22"/>
  <c r="B756" i="22" l="1"/>
  <c r="I756" i="22"/>
  <c r="R755" i="22"/>
  <c r="S755" i="22" s="1"/>
  <c r="K755" i="22" s="1"/>
  <c r="H756" i="22" l="1"/>
  <c r="X755" i="22"/>
  <c r="Y755" i="22" s="1"/>
  <c r="AG755" i="22" l="1"/>
  <c r="F756" i="22" s="1"/>
  <c r="AK755" i="22"/>
  <c r="G756" i="22" s="1"/>
  <c r="T756" i="22" a="1"/>
  <c r="T756" i="22" l="1"/>
  <c r="Q756" i="22" l="1"/>
  <c r="AD756" i="22"/>
  <c r="C757" i="22" s="1"/>
  <c r="U756" i="22"/>
  <c r="AE756" i="22" s="1"/>
  <c r="D757" i="22" s="1"/>
  <c r="V756" i="22"/>
  <c r="AF756" i="22" s="1"/>
  <c r="E757" i="22" s="1"/>
  <c r="W756" i="22" a="1"/>
  <c r="W756" i="22" l="1"/>
  <c r="P756" i="22" a="1"/>
  <c r="P756" i="22" l="1"/>
  <c r="AC756" i="22"/>
  <c r="R756" i="22" l="1"/>
  <c r="S756" i="22" s="1"/>
  <c r="K756" i="22" s="1"/>
  <c r="I757" i="22"/>
  <c r="B757" i="22"/>
  <c r="X756" i="22" l="1"/>
  <c r="Y756" i="22" s="1"/>
  <c r="H757" i="22"/>
  <c r="AG756" i="22" l="1"/>
  <c r="F757" i="22" l="1"/>
  <c r="AK756" i="22"/>
  <c r="G757" i="22" s="1"/>
  <c r="T757" i="22" a="1"/>
  <c r="T757" i="22" l="1"/>
  <c r="Q757" i="22" l="1"/>
  <c r="U757" i="22"/>
  <c r="AE757" i="22" s="1"/>
  <c r="D758" i="22" s="1"/>
  <c r="AD757" i="22"/>
  <c r="C758" i="22" s="1"/>
  <c r="V757" i="22"/>
  <c r="AF757" i="22" s="1"/>
  <c r="E758" i="22" s="1"/>
  <c r="W757" i="22" a="1"/>
  <c r="W757" i="22" l="1"/>
  <c r="P757" i="22" a="1"/>
  <c r="P757" i="22" l="1"/>
  <c r="AC757" i="22"/>
  <c r="B758" i="22" l="1"/>
  <c r="I758" i="22"/>
  <c r="R757" i="22"/>
  <c r="S757" i="22" s="1"/>
  <c r="K757" i="22" s="1"/>
  <c r="H758" i="22" l="1"/>
  <c r="X757" i="22"/>
  <c r="Y757" i="22" s="1"/>
  <c r="AG757" i="22" l="1"/>
  <c r="F758" i="22" l="1"/>
  <c r="AK757" i="22"/>
  <c r="G758" i="22" s="1"/>
  <c r="T758" i="22" a="1"/>
  <c r="T758" i="22" l="1"/>
  <c r="Q758" i="22" l="1"/>
  <c r="AD758" i="22"/>
  <c r="C759" i="22" s="1"/>
  <c r="V758" i="22"/>
  <c r="AF758" i="22" s="1"/>
  <c r="E759" i="22" s="1"/>
  <c r="U758" i="22"/>
  <c r="AE758" i="22" s="1"/>
  <c r="D759" i="22" s="1"/>
  <c r="W758" i="22" a="1"/>
  <c r="W758" i="22" l="1"/>
  <c r="P758" i="22" a="1"/>
  <c r="P758" i="22" l="1"/>
  <c r="AC758" i="22"/>
  <c r="R758" i="22" l="1"/>
  <c r="S758" i="22" s="1"/>
  <c r="K758" i="22" s="1"/>
  <c r="I759" i="22"/>
  <c r="B759" i="22"/>
  <c r="H759" i="22" l="1"/>
  <c r="X758" i="22"/>
  <c r="Y758" i="22" s="1"/>
  <c r="AG758" i="22" l="1"/>
  <c r="F759" i="22" l="1"/>
  <c r="AK758" i="22"/>
  <c r="G759" i="22" s="1"/>
  <c r="T759" i="22" a="1"/>
  <c r="T759" i="22" l="1"/>
  <c r="Q759" i="22" l="1"/>
  <c r="U759" i="22"/>
  <c r="AE759" i="22" s="1"/>
  <c r="D760" i="22" s="1"/>
  <c r="V759" i="22"/>
  <c r="AF759" i="22" s="1"/>
  <c r="E760" i="22" s="1"/>
  <c r="AD759" i="22"/>
  <c r="C760" i="22" s="1"/>
  <c r="W759" i="22" a="1"/>
  <c r="W759" i="22" l="1"/>
  <c r="P759" i="22" a="1"/>
  <c r="P759" i="22" l="1"/>
  <c r="AC759" i="22"/>
  <c r="I760" i="22" l="1"/>
  <c r="R759" i="22"/>
  <c r="S759" i="22" s="1"/>
  <c r="K759" i="22" s="1"/>
  <c r="B760" i="22"/>
  <c r="H760" i="22" l="1"/>
  <c r="X759" i="22"/>
  <c r="Y759" i="22" s="1"/>
  <c r="AG759" i="22" l="1"/>
  <c r="F760" i="22" l="1"/>
  <c r="AK759" i="22"/>
  <c r="G760" i="22" s="1"/>
  <c r="T760" i="22" a="1"/>
  <c r="T760" i="22" l="1"/>
  <c r="Q760" i="22" l="1"/>
  <c r="AD760" i="22"/>
  <c r="C761" i="22" s="1"/>
  <c r="V760" i="22"/>
  <c r="AF760" i="22" s="1"/>
  <c r="E761" i="22" s="1"/>
  <c r="U760" i="22"/>
  <c r="AE760" i="22" s="1"/>
  <c r="D761" i="22" s="1"/>
  <c r="W760" i="22" a="1"/>
  <c r="W760" i="22" l="1"/>
  <c r="P760" i="22" a="1"/>
  <c r="P760" i="22" l="1"/>
  <c r="AC760" i="22"/>
  <c r="I761" i="22" l="1"/>
  <c r="H761" i="22" s="1"/>
  <c r="R760" i="22"/>
  <c r="S760" i="22" s="1"/>
  <c r="K760" i="22" s="1"/>
  <c r="B761" i="22"/>
  <c r="X760" i="22" l="1"/>
  <c r="Y760" i="22" s="1"/>
  <c r="AG760" i="22" l="1"/>
  <c r="F761" i="22" l="1"/>
  <c r="AK760" i="22"/>
  <c r="G761" i="22" s="1"/>
  <c r="T761" i="22" a="1"/>
  <c r="T761" i="22" l="1"/>
  <c r="Q761" i="22" l="1"/>
  <c r="AD761" i="22"/>
  <c r="C762" i="22" s="1"/>
  <c r="V761" i="22"/>
  <c r="AF761" i="22" s="1"/>
  <c r="E762" i="22" s="1"/>
  <c r="U761" i="22"/>
  <c r="AE761" i="22" s="1"/>
  <c r="D762" i="22" s="1"/>
  <c r="W761" i="22" a="1"/>
  <c r="W761" i="22" l="1"/>
  <c r="P761" i="22" a="1"/>
  <c r="P761" i="22" l="1"/>
  <c r="AC761" i="22"/>
  <c r="B762" i="22" l="1"/>
  <c r="R761" i="22"/>
  <c r="S761" i="22" s="1"/>
  <c r="K761" i="22" s="1"/>
  <c r="I762" i="22"/>
  <c r="X761" i="22" l="1"/>
  <c r="Y761" i="22" s="1"/>
  <c r="H762" i="22"/>
  <c r="AG761" i="22" l="1"/>
  <c r="F762" i="22" l="1"/>
  <c r="AK761" i="22"/>
  <c r="G762" i="22" s="1"/>
  <c r="T762" i="22" a="1"/>
  <c r="T762" i="22" l="1"/>
  <c r="Q762" i="22" l="1"/>
  <c r="AD762" i="22"/>
  <c r="C763" i="22" s="1"/>
  <c r="U762" i="22"/>
  <c r="AE762" i="22" s="1"/>
  <c r="D763" i="22" s="1"/>
  <c r="V762" i="22"/>
  <c r="AF762" i="22" s="1"/>
  <c r="E763" i="22" s="1"/>
  <c r="W762" i="22" a="1"/>
  <c r="W762" i="22" l="1"/>
  <c r="P762" i="22" a="1"/>
  <c r="P762" i="22" l="1"/>
  <c r="AC762" i="22"/>
  <c r="R762" i="22" l="1"/>
  <c r="S762" i="22" s="1"/>
  <c r="K762" i="22" s="1"/>
  <c r="I763" i="22"/>
  <c r="B763" i="22"/>
  <c r="H763" i="22" l="1"/>
  <c r="X762" i="22"/>
  <c r="Y762" i="22" s="1"/>
  <c r="AG762" i="22" l="1"/>
  <c r="F763" i="22" l="1"/>
  <c r="AK762" i="22"/>
  <c r="G763" i="22" s="1"/>
  <c r="T763" i="22" a="1"/>
  <c r="T763" i="22" l="1"/>
  <c r="Q763" i="22" l="1"/>
  <c r="AD763" i="22"/>
  <c r="C764" i="22" s="1"/>
  <c r="V763" i="22"/>
  <c r="AF763" i="22" s="1"/>
  <c r="E764" i="22" s="1"/>
  <c r="U763" i="22"/>
  <c r="AE763" i="22" s="1"/>
  <c r="D764" i="22" s="1"/>
  <c r="W763" i="22" a="1"/>
  <c r="W763" i="22" l="1"/>
  <c r="P763" i="22" a="1"/>
  <c r="P763" i="22" l="1"/>
  <c r="AC763" i="22"/>
  <c r="I764" i="22" l="1"/>
  <c r="R763" i="22"/>
  <c r="S763" i="22" s="1"/>
  <c r="K763" i="22" s="1"/>
  <c r="B764" i="22"/>
  <c r="H764" i="22" l="1"/>
  <c r="X763" i="22"/>
  <c r="Y763" i="22" s="1"/>
  <c r="AG763" i="22" l="1"/>
  <c r="F764" i="22" l="1"/>
  <c r="AK763" i="22"/>
  <c r="G764" i="22" s="1"/>
  <c r="T764" i="22" a="1"/>
  <c r="T764" i="22" l="1"/>
  <c r="Q764" i="22" l="1"/>
  <c r="U764" i="22"/>
  <c r="AE764" i="22" s="1"/>
  <c r="D765" i="22" s="1"/>
  <c r="AD764" i="22"/>
  <c r="C765" i="22" s="1"/>
  <c r="V764" i="22"/>
  <c r="AF764" i="22" s="1"/>
  <c r="E765" i="22" s="1"/>
  <c r="W764" i="22" a="1"/>
  <c r="W764" i="22" l="1"/>
  <c r="P764" i="22" a="1"/>
  <c r="P764" i="22" l="1"/>
  <c r="AC764" i="22"/>
  <c r="B765" i="22" l="1"/>
  <c r="R764" i="22"/>
  <c r="S764" i="22" s="1"/>
  <c r="K764" i="22" s="1"/>
  <c r="I765" i="22"/>
  <c r="X764" i="22" l="1"/>
  <c r="Y764" i="22" s="1"/>
  <c r="H765" i="22"/>
  <c r="AG764" i="22" l="1"/>
  <c r="F765" i="22" l="1"/>
  <c r="AK764" i="22"/>
  <c r="G765" i="22" s="1"/>
  <c r="T765" i="22" a="1"/>
  <c r="T765" i="22" l="1"/>
  <c r="Q765" i="22" l="1"/>
  <c r="U765" i="22"/>
  <c r="AE765" i="22" s="1"/>
  <c r="D766" i="22" s="1"/>
  <c r="V765" i="22"/>
  <c r="AF765" i="22" s="1"/>
  <c r="E766" i="22" s="1"/>
  <c r="AD765" i="22"/>
  <c r="C766" i="22" s="1"/>
  <c r="W765" i="22" a="1"/>
  <c r="W765" i="22" l="1"/>
  <c r="P765" i="22" a="1"/>
  <c r="P765" i="22" l="1"/>
  <c r="AC765" i="22"/>
  <c r="R765" i="22" l="1"/>
  <c r="S765" i="22" s="1"/>
  <c r="K765" i="22" s="1"/>
  <c r="I766" i="22"/>
  <c r="B766" i="22"/>
  <c r="H766" i="22" l="1"/>
  <c r="X765" i="22"/>
  <c r="Y765" i="22" s="1"/>
  <c r="AG765" i="22" l="1"/>
  <c r="F766" i="22" l="1"/>
  <c r="AK765" i="22"/>
  <c r="G766" i="22" s="1"/>
  <c r="T766" i="22" a="1"/>
  <c r="T766" i="22" l="1"/>
  <c r="Q766" i="22" l="1"/>
  <c r="U766" i="22"/>
  <c r="AE766" i="22" s="1"/>
  <c r="D767" i="22" s="1"/>
  <c r="AD766" i="22"/>
  <c r="C767" i="22" s="1"/>
  <c r="V766" i="22"/>
  <c r="AF766" i="22" s="1"/>
  <c r="E767" i="22" s="1"/>
  <c r="W766" i="22" a="1"/>
  <c r="W766" i="22" l="1"/>
  <c r="P766" i="22" a="1"/>
  <c r="P766" i="22" l="1"/>
  <c r="AC766" i="22"/>
  <c r="B767" i="22" l="1"/>
  <c r="I767" i="22"/>
  <c r="R766" i="22"/>
  <c r="S766" i="22" s="1"/>
  <c r="K766" i="22" s="1"/>
  <c r="X766" i="22" l="1"/>
  <c r="Y766" i="22" s="1"/>
  <c r="H767" i="22"/>
  <c r="AG766" i="22" l="1"/>
  <c r="F767" i="22" l="1"/>
  <c r="AK766" i="22"/>
  <c r="G767" i="22" s="1"/>
  <c r="T767" i="22" a="1"/>
  <c r="T767" i="22" l="1"/>
  <c r="Q767" i="22" l="1"/>
  <c r="U767" i="22"/>
  <c r="AE767" i="22" s="1"/>
  <c r="D768" i="22" s="1"/>
  <c r="V767" i="22"/>
  <c r="AF767" i="22" s="1"/>
  <c r="E768" i="22" s="1"/>
  <c r="AD767" i="22"/>
  <c r="C768" i="22" s="1"/>
  <c r="W767" i="22" a="1"/>
  <c r="W767" i="22" l="1"/>
  <c r="P767" i="22" a="1"/>
  <c r="P767" i="22" l="1"/>
  <c r="AC767" i="22"/>
  <c r="R767" i="22" l="1"/>
  <c r="S767" i="22" s="1"/>
  <c r="K767" i="22" s="1"/>
  <c r="I768" i="22"/>
  <c r="B768" i="22"/>
  <c r="X767" i="22" l="1"/>
  <c r="Y767" i="22" s="1"/>
  <c r="H768" i="22"/>
  <c r="AG767" i="22" l="1"/>
  <c r="F768" i="22" l="1"/>
  <c r="AK767" i="22"/>
  <c r="G768" i="22" s="1"/>
  <c r="T768" i="22" a="1"/>
  <c r="T768" i="22" l="1"/>
  <c r="Q768" i="22" l="1"/>
  <c r="V768" i="22"/>
  <c r="AF768" i="22" s="1"/>
  <c r="E769" i="22" s="1"/>
  <c r="AD768" i="22"/>
  <c r="C769" i="22" s="1"/>
  <c r="U768" i="22"/>
  <c r="AE768" i="22" s="1"/>
  <c r="D769" i="22" s="1"/>
  <c r="W768" i="22" a="1"/>
  <c r="W768" i="22" l="1"/>
  <c r="P768" i="22" a="1"/>
  <c r="P768" i="22" l="1"/>
  <c r="AC768" i="22"/>
  <c r="R768" i="22" l="1"/>
  <c r="S768" i="22" s="1"/>
  <c r="K768" i="22" s="1"/>
  <c r="I769" i="22"/>
  <c r="B769" i="22"/>
  <c r="X768" i="22" l="1"/>
  <c r="Y768" i="22" s="1"/>
  <c r="H769" i="22"/>
  <c r="AG768" i="22" l="1"/>
  <c r="AK768" i="22" s="1"/>
  <c r="G769" i="22" s="1"/>
  <c r="T769" i="22" a="1"/>
  <c r="F769" i="22" l="1"/>
  <c r="T769" i="22"/>
  <c r="Q769" i="22" l="1"/>
  <c r="AD769" i="22"/>
  <c r="C770" i="22" s="1"/>
  <c r="V769" i="22"/>
  <c r="AF769" i="22" s="1"/>
  <c r="E770" i="22" s="1"/>
  <c r="U769" i="22"/>
  <c r="AE769" i="22" s="1"/>
  <c r="D770" i="22" s="1"/>
  <c r="W769" i="22" a="1"/>
  <c r="W769" i="22" l="1"/>
  <c r="P769" i="22" a="1"/>
  <c r="P769" i="22" l="1"/>
  <c r="AC769" i="22"/>
  <c r="R769" i="22" l="1"/>
  <c r="S769" i="22" s="1"/>
  <c r="K769" i="22" s="1"/>
  <c r="I770" i="22"/>
  <c r="B770" i="22"/>
  <c r="H770" i="22" l="1"/>
  <c r="X769" i="22"/>
  <c r="Y769" i="22" s="1"/>
  <c r="AG769" i="22" l="1"/>
  <c r="F770" i="22" l="1"/>
  <c r="AK769" i="22"/>
  <c r="G770" i="22" s="1"/>
  <c r="T770" i="22" a="1"/>
  <c r="T770" i="22" l="1"/>
  <c r="Q770" i="22" l="1"/>
  <c r="V770" i="22"/>
  <c r="AF770" i="22" s="1"/>
  <c r="E771" i="22" s="1"/>
  <c r="AD770" i="22"/>
  <c r="C771" i="22" s="1"/>
  <c r="U770" i="22"/>
  <c r="AE770" i="22" s="1"/>
  <c r="D771" i="22" s="1"/>
  <c r="W770" i="22" a="1"/>
  <c r="W770" i="22" l="1"/>
  <c r="P770" i="22" a="1"/>
  <c r="P770" i="22" l="1"/>
  <c r="AC770" i="22"/>
  <c r="R770" i="22" l="1"/>
  <c r="S770" i="22" s="1"/>
  <c r="K770" i="22" s="1"/>
  <c r="I771" i="22"/>
  <c r="B771" i="22"/>
  <c r="H771" i="22" l="1"/>
  <c r="X770" i="22"/>
  <c r="Y770" i="22" s="1"/>
  <c r="AG770" i="22" l="1"/>
  <c r="F771" i="22" l="1"/>
  <c r="AK770" i="22"/>
  <c r="G771" i="22" s="1"/>
  <c r="T771" i="22" a="1"/>
  <c r="T771" i="22" l="1"/>
  <c r="Q771" i="22" l="1"/>
  <c r="U771" i="22"/>
  <c r="AE771" i="22" s="1"/>
  <c r="D772" i="22" s="1"/>
  <c r="AD771" i="22"/>
  <c r="C772" i="22" s="1"/>
  <c r="V771" i="22"/>
  <c r="AF771" i="22" s="1"/>
  <c r="E772" i="22" s="1"/>
  <c r="W771" i="22" a="1"/>
  <c r="W771" i="22" l="1"/>
  <c r="P771" i="22" a="1"/>
  <c r="P771" i="22" l="1"/>
  <c r="AC771" i="22"/>
  <c r="I772" i="22" l="1"/>
  <c r="R771" i="22"/>
  <c r="S771" i="22" s="1"/>
  <c r="K771" i="22" s="1"/>
  <c r="B772" i="22"/>
  <c r="H772" i="22" l="1"/>
  <c r="X771" i="22"/>
  <c r="Y771" i="22" s="1"/>
  <c r="AG771" i="22" l="1"/>
  <c r="F772" i="22" l="1"/>
  <c r="AK771" i="22"/>
  <c r="G772" i="22" s="1"/>
  <c r="T772" i="22" a="1"/>
  <c r="T772" i="22" l="1"/>
  <c r="Q772" i="22" l="1"/>
  <c r="U772" i="22"/>
  <c r="AE772" i="22" s="1"/>
  <c r="D773" i="22" s="1"/>
  <c r="AD772" i="22"/>
  <c r="C773" i="22" s="1"/>
  <c r="V772" i="22"/>
  <c r="AF772" i="22" s="1"/>
  <c r="E773" i="22" s="1"/>
  <c r="W772" i="22" a="1"/>
  <c r="W772" i="22" l="1"/>
  <c r="P772" i="22" a="1"/>
  <c r="P772" i="22" l="1"/>
  <c r="AC772" i="22"/>
  <c r="B773" i="22" l="1"/>
  <c r="I773" i="22"/>
  <c r="R772" i="22"/>
  <c r="S772" i="22" s="1"/>
  <c r="K772" i="22" s="1"/>
  <c r="H773" i="22" l="1"/>
  <c r="X772" i="22"/>
  <c r="Y772" i="22" s="1"/>
  <c r="AG772" i="22" l="1"/>
  <c r="F773" i="22" l="1"/>
  <c r="AK772" i="22"/>
  <c r="G773" i="22" s="1"/>
  <c r="T773" i="22" a="1"/>
  <c r="T773" i="22" l="1"/>
  <c r="Q773" i="22" l="1"/>
  <c r="V773" i="22"/>
  <c r="AF773" i="22" s="1"/>
  <c r="E774" i="22" s="1"/>
  <c r="U773" i="22"/>
  <c r="AE773" i="22" s="1"/>
  <c r="D774" i="22" s="1"/>
  <c r="AD773" i="22"/>
  <c r="C774" i="22" s="1"/>
  <c r="W773" i="22" a="1"/>
  <c r="W773" i="22" l="1"/>
  <c r="P773" i="22" a="1"/>
  <c r="P773" i="22" l="1"/>
  <c r="AC773" i="22"/>
  <c r="B774" i="22" l="1"/>
  <c r="R773" i="22"/>
  <c r="S773" i="22" s="1"/>
  <c r="K773" i="22" s="1"/>
  <c r="I774" i="22"/>
  <c r="H774" i="22" l="1"/>
  <c r="X773" i="22"/>
  <c r="Y773" i="22" s="1"/>
  <c r="AG773" i="22" l="1"/>
  <c r="F774" i="22" l="1"/>
  <c r="AK773" i="22"/>
  <c r="G774" i="22" s="1"/>
  <c r="T774" i="22" a="1"/>
  <c r="T774" i="22" l="1"/>
  <c r="Q774" i="22" l="1"/>
  <c r="V774" i="22"/>
  <c r="AF774" i="22" s="1"/>
  <c r="E775" i="22" s="1"/>
  <c r="AD774" i="22"/>
  <c r="C775" i="22" s="1"/>
  <c r="U774" i="22"/>
  <c r="AE774" i="22" s="1"/>
  <c r="D775" i="22" s="1"/>
  <c r="W774" i="22" a="1"/>
  <c r="W774" i="22" l="1"/>
  <c r="P774" i="22" a="1"/>
  <c r="P774" i="22" l="1"/>
  <c r="AC774" i="22"/>
  <c r="B775" i="22" l="1"/>
  <c r="R774" i="22"/>
  <c r="S774" i="22" s="1"/>
  <c r="K774" i="22" s="1"/>
  <c r="I775" i="22"/>
  <c r="H775" i="22" l="1"/>
  <c r="X774" i="22"/>
  <c r="Y774" i="22" s="1"/>
  <c r="AG774" i="22" l="1"/>
  <c r="F775" i="22" l="1"/>
  <c r="AK774" i="22"/>
  <c r="G775" i="22" s="1"/>
  <c r="T775" i="22" a="1"/>
  <c r="T775" i="22" l="1"/>
  <c r="Q775" i="22" l="1"/>
  <c r="U775" i="22"/>
  <c r="AE775" i="22" s="1"/>
  <c r="D776" i="22" s="1"/>
  <c r="AD775" i="22"/>
  <c r="C776" i="22" s="1"/>
  <c r="V775" i="22"/>
  <c r="AF775" i="22" s="1"/>
  <c r="E776" i="22" s="1"/>
  <c r="W775" i="22" a="1"/>
  <c r="W775" i="22" l="1"/>
  <c r="P775" i="22" a="1"/>
  <c r="P775" i="22" l="1"/>
  <c r="AC775" i="22"/>
  <c r="B776" i="22" l="1"/>
  <c r="R775" i="22"/>
  <c r="S775" i="22" s="1"/>
  <c r="K775" i="22" s="1"/>
  <c r="I776" i="22"/>
  <c r="H776" i="22" l="1"/>
  <c r="X775" i="22"/>
  <c r="Y775" i="22" s="1"/>
  <c r="AG775" i="22" l="1"/>
  <c r="F776" i="22" l="1"/>
  <c r="AK775" i="22"/>
  <c r="G776" i="22" s="1"/>
  <c r="T776" i="22" a="1"/>
  <c r="T776" i="22" l="1"/>
  <c r="Q776" i="22" l="1"/>
  <c r="V776" i="22"/>
  <c r="AF776" i="22" s="1"/>
  <c r="E777" i="22" s="1"/>
  <c r="AD776" i="22"/>
  <c r="C777" i="22" s="1"/>
  <c r="U776" i="22"/>
  <c r="AE776" i="22" s="1"/>
  <c r="D777" i="22" s="1"/>
  <c r="W776" i="22" a="1"/>
  <c r="W776" i="22" l="1"/>
  <c r="P776" i="22" a="1"/>
  <c r="P776" i="22" l="1"/>
  <c r="AC776" i="22"/>
  <c r="B777" i="22" l="1"/>
  <c r="I777" i="22"/>
  <c r="R776" i="22"/>
  <c r="S776" i="22" s="1"/>
  <c r="K776" i="22" s="1"/>
  <c r="H777" i="22" l="1"/>
  <c r="X776" i="22"/>
  <c r="Y776" i="22" s="1"/>
  <c r="AG776" i="22" l="1"/>
  <c r="F777" i="22" l="1"/>
  <c r="AK776" i="22"/>
  <c r="G777" i="22" s="1"/>
  <c r="T777" i="22" a="1"/>
  <c r="T777" i="22" l="1"/>
  <c r="Q777" i="22" l="1"/>
  <c r="V777" i="22"/>
  <c r="AF777" i="22" s="1"/>
  <c r="E778" i="22" s="1"/>
  <c r="U777" i="22"/>
  <c r="AE777" i="22" s="1"/>
  <c r="D778" i="22" s="1"/>
  <c r="AD777" i="22"/>
  <c r="C778" i="22" s="1"/>
  <c r="W777" i="22" a="1"/>
  <c r="W777" i="22" l="1"/>
  <c r="P777" i="22" a="1"/>
  <c r="P777" i="22" l="1"/>
  <c r="AC777" i="22"/>
  <c r="B778" i="22" l="1"/>
  <c r="I778" i="22"/>
  <c r="R777" i="22"/>
  <c r="S777" i="22" s="1"/>
  <c r="K777" i="22" s="1"/>
  <c r="H778" i="22" l="1"/>
  <c r="X777" i="22"/>
  <c r="Y777" i="22" s="1"/>
  <c r="AG777" i="22" l="1"/>
  <c r="F778" i="22" l="1"/>
  <c r="AK777" i="22"/>
  <c r="G778" i="22" s="1"/>
  <c r="T778" i="22" a="1"/>
  <c r="T778" i="22" l="1"/>
  <c r="Q778" i="22" l="1"/>
  <c r="V778" i="22"/>
  <c r="AF778" i="22" s="1"/>
  <c r="E779" i="22" s="1"/>
  <c r="AD778" i="22"/>
  <c r="C779" i="22" s="1"/>
  <c r="U778" i="22"/>
  <c r="AE778" i="22" s="1"/>
  <c r="D779" i="22" s="1"/>
  <c r="W778" i="22" a="1"/>
  <c r="W778" i="22" l="1"/>
  <c r="P778" i="22" a="1"/>
  <c r="P778" i="22" l="1"/>
  <c r="AC778" i="22"/>
  <c r="R778" i="22" l="1"/>
  <c r="S778" i="22" s="1"/>
  <c r="K778" i="22" s="1"/>
  <c r="I779" i="22"/>
  <c r="B779" i="22"/>
  <c r="H779" i="22" l="1"/>
  <c r="X778" i="22"/>
  <c r="Y778" i="22" s="1"/>
  <c r="AG778" i="22" l="1"/>
  <c r="F779" i="22" l="1"/>
  <c r="AK778" i="22"/>
  <c r="G779" i="22" s="1"/>
  <c r="T779" i="22" a="1"/>
  <c r="T779" i="22" l="1"/>
  <c r="Q779" i="22" l="1"/>
  <c r="U779" i="22"/>
  <c r="AE779" i="22" s="1"/>
  <c r="D780" i="22" s="1"/>
  <c r="AD779" i="22"/>
  <c r="C780" i="22" s="1"/>
  <c r="V779" i="22"/>
  <c r="AF779" i="22" s="1"/>
  <c r="E780" i="22" s="1"/>
  <c r="W779" i="22" a="1"/>
  <c r="W779" i="22" l="1"/>
  <c r="P779" i="22" a="1"/>
  <c r="P779" i="22" l="1"/>
  <c r="AC779" i="22"/>
  <c r="B780" i="22" l="1"/>
  <c r="R779" i="22"/>
  <c r="S779" i="22" s="1"/>
  <c r="K779" i="22" s="1"/>
  <c r="I780" i="22"/>
  <c r="H780" i="22" l="1"/>
  <c r="X779" i="22"/>
  <c r="Y779" i="22" s="1"/>
  <c r="AG779" i="22" l="1"/>
  <c r="F780" i="22" l="1"/>
  <c r="AK779" i="22"/>
  <c r="G780" i="22" s="1"/>
  <c r="T780" i="22" a="1"/>
  <c r="T780" i="22" l="1"/>
  <c r="Q780" i="22" l="1"/>
  <c r="V780" i="22"/>
  <c r="AF780" i="22" s="1"/>
  <c r="E781" i="22" s="1"/>
  <c r="U780" i="22"/>
  <c r="AE780" i="22" s="1"/>
  <c r="D781" i="22" s="1"/>
  <c r="AD780" i="22"/>
  <c r="C781" i="22" s="1"/>
  <c r="W780" i="22" a="1"/>
  <c r="W780" i="22" l="1"/>
  <c r="P780" i="22" a="1"/>
  <c r="P780" i="22" l="1"/>
  <c r="AC780" i="22"/>
  <c r="R780" i="22" l="1"/>
  <c r="S780" i="22" s="1"/>
  <c r="K780" i="22" s="1"/>
  <c r="I781" i="22"/>
  <c r="B781" i="22"/>
  <c r="H781" i="22" l="1"/>
  <c r="X780" i="22"/>
  <c r="Y780" i="22" s="1"/>
  <c r="AG780" i="22" l="1"/>
  <c r="F781" i="22" l="1"/>
  <c r="AK780" i="22"/>
  <c r="G781" i="22" s="1"/>
  <c r="T781" i="22" a="1"/>
  <c r="T781" i="22" l="1"/>
  <c r="Q781" i="22" l="1"/>
  <c r="V781" i="22"/>
  <c r="AF781" i="22" s="1"/>
  <c r="E782" i="22" s="1"/>
  <c r="U781" i="22"/>
  <c r="AE781" i="22" s="1"/>
  <c r="D782" i="22" s="1"/>
  <c r="AD781" i="22"/>
  <c r="C782" i="22" s="1"/>
  <c r="W781" i="22" a="1"/>
  <c r="W781" i="22" l="1"/>
  <c r="P781" i="22" a="1"/>
  <c r="P781" i="22" l="1"/>
  <c r="AC781" i="22"/>
  <c r="B782" i="22" l="1"/>
  <c r="I782" i="22"/>
  <c r="R781" i="22"/>
  <c r="S781" i="22" s="1"/>
  <c r="K781" i="22" s="1"/>
  <c r="H782" i="22" l="1"/>
  <c r="X781" i="22"/>
  <c r="Y781" i="22" s="1"/>
  <c r="AG781" i="22" l="1"/>
  <c r="F782" i="22" l="1"/>
  <c r="AK781" i="22"/>
  <c r="G782" i="22" s="1"/>
  <c r="T782" i="22" a="1"/>
  <c r="T782" i="22" l="1"/>
  <c r="Q782" i="22" l="1"/>
  <c r="U782" i="22"/>
  <c r="AE782" i="22" s="1"/>
  <c r="D783" i="22" s="1"/>
  <c r="AD782" i="22"/>
  <c r="C783" i="22" s="1"/>
  <c r="V782" i="22"/>
  <c r="AF782" i="22" s="1"/>
  <c r="E783" i="22" s="1"/>
  <c r="W782" i="22" a="1"/>
  <c r="W782" i="22" l="1"/>
  <c r="P782" i="22" a="1"/>
  <c r="P782" i="22" l="1"/>
  <c r="AC782" i="22"/>
  <c r="B783" i="22" l="1"/>
  <c r="I783" i="22"/>
  <c r="R782" i="22"/>
  <c r="S782" i="22" s="1"/>
  <c r="K782" i="22" s="1"/>
  <c r="X782" i="22" l="1"/>
  <c r="Y782" i="22" s="1"/>
  <c r="H783" i="22"/>
  <c r="AG782" i="22" l="1"/>
  <c r="F783" i="22" l="1"/>
  <c r="AK782" i="22"/>
  <c r="G783" i="22" s="1"/>
  <c r="T783" i="22" a="1"/>
  <c r="T783" i="22" l="1"/>
  <c r="Q783" i="22" l="1"/>
  <c r="AD783" i="22"/>
  <c r="C784" i="22" s="1"/>
  <c r="V783" i="22"/>
  <c r="AF783" i="22" s="1"/>
  <c r="E784" i="22" s="1"/>
  <c r="U783" i="22"/>
  <c r="AE783" i="22" s="1"/>
  <c r="D784" i="22" s="1"/>
  <c r="W783" i="22" a="1"/>
  <c r="W783" i="22" l="1"/>
  <c r="P783" i="22" a="1"/>
  <c r="P783" i="22" l="1"/>
  <c r="AC783" i="22"/>
  <c r="I784" i="22" l="1"/>
  <c r="R783" i="22"/>
  <c r="S783" i="22" s="1"/>
  <c r="K783" i="22" s="1"/>
  <c r="B784" i="22"/>
  <c r="X783" i="22" l="1"/>
  <c r="Y783" i="22" s="1"/>
  <c r="H784" i="22"/>
  <c r="AG783" i="22" l="1"/>
  <c r="F784" i="22" l="1"/>
  <c r="AK783" i="22"/>
  <c r="G784" i="22" s="1"/>
  <c r="T784" i="22" a="1"/>
  <c r="T784" i="22" l="1"/>
  <c r="Q784" i="22" l="1"/>
  <c r="V784" i="22"/>
  <c r="AF784" i="22" s="1"/>
  <c r="E785" i="22" s="1"/>
  <c r="AD784" i="22"/>
  <c r="C785" i="22" s="1"/>
  <c r="U784" i="22"/>
  <c r="AE784" i="22" s="1"/>
  <c r="D785" i="22" s="1"/>
  <c r="W784" i="22" a="1"/>
  <c r="W784" i="22" l="1"/>
  <c r="P784" i="22" a="1"/>
  <c r="P784" i="22" l="1"/>
  <c r="AC784" i="22"/>
  <c r="I785" i="22" l="1"/>
  <c r="R784" i="22"/>
  <c r="S784" i="22" s="1"/>
  <c r="K784" i="22" s="1"/>
  <c r="B785" i="22"/>
  <c r="X784" i="22" l="1"/>
  <c r="Y784" i="22" s="1"/>
  <c r="H785" i="22"/>
  <c r="AG784" i="22" l="1"/>
  <c r="F785" i="22" l="1"/>
  <c r="AK784" i="22"/>
  <c r="G785" i="22" s="1"/>
  <c r="T785" i="22" a="1"/>
  <c r="T785" i="22" l="1"/>
  <c r="Q785" i="22" l="1"/>
  <c r="V785" i="22"/>
  <c r="AF785" i="22" s="1"/>
  <c r="E786" i="22" s="1"/>
  <c r="AD785" i="22"/>
  <c r="C786" i="22" s="1"/>
  <c r="U785" i="22"/>
  <c r="AE785" i="22" s="1"/>
  <c r="D786" i="22" s="1"/>
  <c r="W785" i="22" a="1"/>
  <c r="W785" i="22" l="1"/>
  <c r="P785" i="22" a="1"/>
  <c r="P785" i="22" l="1"/>
  <c r="AC785" i="22"/>
  <c r="B786" i="22" l="1"/>
  <c r="I786" i="22"/>
  <c r="R785" i="22"/>
  <c r="S785" i="22" s="1"/>
  <c r="K785" i="22" s="1"/>
  <c r="X785" i="22" l="1"/>
  <c r="Y785" i="22" s="1"/>
  <c r="H786" i="22"/>
  <c r="AG785" i="22" l="1"/>
  <c r="F786" i="22" l="1"/>
  <c r="AK785" i="22"/>
  <c r="G786" i="22" s="1"/>
  <c r="T786" i="22" a="1"/>
  <c r="T786" i="22" l="1"/>
  <c r="Q786" i="22" l="1"/>
  <c r="AD786" i="22"/>
  <c r="C787" i="22" s="1"/>
  <c r="U786" i="22"/>
  <c r="AE786" i="22" s="1"/>
  <c r="D787" i="22" s="1"/>
  <c r="V786" i="22"/>
  <c r="AF786" i="22" s="1"/>
  <c r="E787" i="22" s="1"/>
  <c r="W786" i="22" a="1"/>
  <c r="W786" i="22" l="1"/>
  <c r="P786" i="22" a="1"/>
  <c r="P786" i="22" l="1"/>
  <c r="AC786" i="22"/>
  <c r="B787" i="22" l="1"/>
  <c r="R786" i="22"/>
  <c r="S786" i="22" s="1"/>
  <c r="K786" i="22" s="1"/>
  <c r="I787" i="22"/>
  <c r="X786" i="22" l="1"/>
  <c r="Y786" i="22" s="1"/>
  <c r="H787" i="22"/>
  <c r="AG786" i="22" l="1"/>
  <c r="F787" i="22" l="1"/>
  <c r="AK786" i="22"/>
  <c r="G787" i="22" s="1"/>
  <c r="T787" i="22" a="1"/>
  <c r="T787" i="22" l="1"/>
  <c r="Q787" i="22" l="1"/>
  <c r="AD787" i="22"/>
  <c r="C788" i="22" s="1"/>
  <c r="U787" i="22"/>
  <c r="AE787" i="22" s="1"/>
  <c r="D788" i="22" s="1"/>
  <c r="V787" i="22"/>
  <c r="AF787" i="22" s="1"/>
  <c r="E788" i="22" s="1"/>
  <c r="W787" i="22" a="1"/>
  <c r="W787" i="22" l="1"/>
  <c r="P787" i="22" a="1"/>
  <c r="P787" i="22" l="1"/>
  <c r="AC787" i="22"/>
  <c r="B788" i="22" l="1"/>
  <c r="I788" i="22"/>
  <c r="R787" i="22"/>
  <c r="S787" i="22" s="1"/>
  <c r="K787" i="22" s="1"/>
  <c r="H788" i="22" l="1"/>
  <c r="X787" i="22"/>
  <c r="Y787" i="22" s="1"/>
  <c r="AG787" i="22" l="1"/>
  <c r="F788" i="22" l="1"/>
  <c r="AK787" i="22"/>
  <c r="G788" i="22" s="1"/>
  <c r="T788" i="22" a="1"/>
  <c r="T788" i="22" l="1"/>
  <c r="Q788" i="22" l="1"/>
  <c r="AD788" i="22"/>
  <c r="C789" i="22" s="1"/>
  <c r="U788" i="22"/>
  <c r="AE788" i="22" s="1"/>
  <c r="D789" i="22" s="1"/>
  <c r="V788" i="22"/>
  <c r="AF788" i="22" s="1"/>
  <c r="E789" i="22" s="1"/>
  <c r="W788" i="22" a="1"/>
  <c r="W788" i="22" l="1"/>
  <c r="P788" i="22" a="1"/>
  <c r="P788" i="22" l="1"/>
  <c r="AC788" i="22"/>
  <c r="I789" i="22" l="1"/>
  <c r="R788" i="22"/>
  <c r="S788" i="22" s="1"/>
  <c r="K788" i="22" s="1"/>
  <c r="B789" i="22"/>
  <c r="X788" i="22" l="1"/>
  <c r="Y788" i="22" s="1"/>
  <c r="H789" i="22"/>
  <c r="AG788" i="22" l="1"/>
  <c r="F789" i="22" l="1"/>
  <c r="AK788" i="22"/>
  <c r="G789" i="22" s="1"/>
  <c r="T789" i="22" a="1"/>
  <c r="T789" i="22" l="1"/>
  <c r="Q789" i="22" l="1"/>
  <c r="U789" i="22"/>
  <c r="AE789" i="22" s="1"/>
  <c r="D790" i="22" s="1"/>
  <c r="V789" i="22"/>
  <c r="AF789" i="22" s="1"/>
  <c r="E790" i="22" s="1"/>
  <c r="AD789" i="22"/>
  <c r="C790" i="22" s="1"/>
  <c r="W789" i="22" a="1"/>
  <c r="W789" i="22" l="1"/>
  <c r="P789" i="22" a="1"/>
  <c r="P789" i="22" l="1"/>
  <c r="AC789" i="22"/>
  <c r="B790" i="22" l="1"/>
  <c r="I790" i="22"/>
  <c r="R789" i="22"/>
  <c r="S789" i="22" s="1"/>
  <c r="K789" i="22" s="1"/>
  <c r="X789" i="22" l="1"/>
  <c r="Y789" i="22" s="1"/>
  <c r="H790" i="22"/>
  <c r="AG789" i="22" l="1"/>
  <c r="F790" i="22" l="1"/>
  <c r="AK789" i="22"/>
  <c r="G790" i="22" s="1"/>
  <c r="T790" i="22" a="1"/>
  <c r="T790" i="22" l="1"/>
  <c r="Q790" i="22" l="1"/>
  <c r="AD790" i="22"/>
  <c r="C791" i="22" s="1"/>
  <c r="U790" i="22"/>
  <c r="AE790" i="22" s="1"/>
  <c r="D791" i="22" s="1"/>
  <c r="V790" i="22"/>
  <c r="AF790" i="22" s="1"/>
  <c r="E791" i="22" s="1"/>
  <c r="W790" i="22" a="1"/>
  <c r="W790" i="22" l="1"/>
  <c r="P790" i="22" a="1"/>
  <c r="P790" i="22" l="1"/>
  <c r="AC790" i="22"/>
  <c r="B791" i="22" l="1"/>
  <c r="I791" i="22"/>
  <c r="R790" i="22"/>
  <c r="S790" i="22" s="1"/>
  <c r="K790" i="22" s="1"/>
  <c r="H791" i="22" l="1"/>
  <c r="X790" i="22"/>
  <c r="Y790" i="22" s="1"/>
  <c r="AG790" i="22" l="1"/>
  <c r="F791" i="22" l="1"/>
  <c r="AK790" i="22"/>
  <c r="G791" i="22" s="1"/>
  <c r="T791" i="22" a="1"/>
  <c r="T791" i="22" l="1"/>
  <c r="Q791" i="22" l="1"/>
  <c r="U791" i="22"/>
  <c r="AE791" i="22" s="1"/>
  <c r="D792" i="22" s="1"/>
  <c r="V791" i="22"/>
  <c r="AF791" i="22" s="1"/>
  <c r="E792" i="22" s="1"/>
  <c r="AD791" i="22"/>
  <c r="C792" i="22" s="1"/>
  <c r="W791" i="22" a="1"/>
  <c r="W791" i="22" l="1"/>
  <c r="P791" i="22" a="1"/>
  <c r="P791" i="22" l="1"/>
  <c r="AC791" i="22"/>
  <c r="B792" i="22" l="1"/>
  <c r="R791" i="22"/>
  <c r="S791" i="22" s="1"/>
  <c r="K791" i="22" s="1"/>
  <c r="I792" i="22"/>
  <c r="X791" i="22" l="1"/>
  <c r="Y791" i="22" s="1"/>
  <c r="H792" i="22"/>
  <c r="AG791" i="22" l="1"/>
  <c r="F792" i="22" l="1"/>
  <c r="AK791" i="22"/>
  <c r="G792" i="22" s="1"/>
  <c r="T792" i="22" a="1"/>
  <c r="T792" i="22" l="1"/>
  <c r="Q792" i="22" l="1"/>
  <c r="U792" i="22"/>
  <c r="AE792" i="22" s="1"/>
  <c r="D793" i="22" s="1"/>
  <c r="V792" i="22"/>
  <c r="AF792" i="22" s="1"/>
  <c r="E793" i="22" s="1"/>
  <c r="AD792" i="22"/>
  <c r="C793" i="22" s="1"/>
  <c r="W792" i="22" a="1"/>
  <c r="W792" i="22" l="1"/>
  <c r="P792" i="22" a="1"/>
  <c r="P792" i="22" l="1"/>
  <c r="AC792" i="22"/>
  <c r="B793" i="22" l="1"/>
  <c r="R792" i="22"/>
  <c r="S792" i="22" s="1"/>
  <c r="K792" i="22" s="1"/>
  <c r="I793" i="22"/>
  <c r="H793" i="22" l="1"/>
  <c r="X792" i="22"/>
  <c r="Y792" i="22" s="1"/>
  <c r="AG792" i="22" l="1"/>
  <c r="F793" i="22" l="1"/>
  <c r="AK792" i="22"/>
  <c r="G793" i="22" s="1"/>
  <c r="T793" i="22" a="1"/>
  <c r="T793" i="22" l="1"/>
  <c r="Q793" i="22" l="1"/>
  <c r="V793" i="22"/>
  <c r="AF793" i="22" s="1"/>
  <c r="E794" i="22" s="1"/>
  <c r="AD793" i="22"/>
  <c r="C794" i="22" s="1"/>
  <c r="U793" i="22"/>
  <c r="AE793" i="22" s="1"/>
  <c r="D794" i="22" s="1"/>
  <c r="W793" i="22" a="1"/>
  <c r="W793" i="22" l="1"/>
  <c r="P793" i="22" a="1"/>
  <c r="P793" i="22" l="1"/>
  <c r="AC793" i="22"/>
  <c r="I794" i="22" l="1"/>
  <c r="R793" i="22"/>
  <c r="S793" i="22" s="1"/>
  <c r="K793" i="22" s="1"/>
  <c r="B794" i="22"/>
  <c r="H794" i="22" l="1"/>
  <c r="X793" i="22"/>
  <c r="Y793" i="22" s="1"/>
  <c r="AG793" i="22" l="1"/>
  <c r="F794" i="22" l="1"/>
  <c r="AK793" i="22"/>
  <c r="G794" i="22" s="1"/>
  <c r="T794" i="22" a="1"/>
  <c r="T794" i="22" l="1"/>
  <c r="Q794" i="22" l="1"/>
  <c r="U794" i="22"/>
  <c r="AE794" i="22" s="1"/>
  <c r="D795" i="22" s="1"/>
  <c r="AD794" i="22"/>
  <c r="C795" i="22" s="1"/>
  <c r="V794" i="22"/>
  <c r="AF794" i="22" s="1"/>
  <c r="E795" i="22" s="1"/>
  <c r="W794" i="22" a="1"/>
  <c r="W794" i="22" l="1"/>
  <c r="P794" i="22" a="1"/>
  <c r="P794" i="22" l="1"/>
  <c r="AC794" i="22"/>
  <c r="B795" i="22" l="1"/>
  <c r="I795" i="22"/>
  <c r="R794" i="22"/>
  <c r="S794" i="22" s="1"/>
  <c r="K794" i="22" s="1"/>
  <c r="X794" i="22" l="1"/>
  <c r="Y794" i="22" s="1"/>
  <c r="H795" i="22"/>
  <c r="AG794" i="22" l="1"/>
  <c r="F795" i="22" l="1"/>
  <c r="AK794" i="22"/>
  <c r="G795" i="22" s="1"/>
  <c r="T795" i="22" a="1"/>
  <c r="T795" i="22" l="1"/>
  <c r="Q795" i="22" l="1"/>
  <c r="AD795" i="22"/>
  <c r="C796" i="22" s="1"/>
  <c r="V795" i="22"/>
  <c r="AF795" i="22" s="1"/>
  <c r="E796" i="22" s="1"/>
  <c r="U795" i="22"/>
  <c r="AE795" i="22" s="1"/>
  <c r="D796" i="22" s="1"/>
  <c r="W795" i="22" a="1"/>
  <c r="W795" i="22" l="1"/>
  <c r="P795" i="22" a="1"/>
  <c r="P795" i="22" l="1"/>
  <c r="AC795" i="22"/>
  <c r="B796" i="22" l="1"/>
  <c r="I796" i="22"/>
  <c r="R795" i="22"/>
  <c r="S795" i="22" s="1"/>
  <c r="K795" i="22" s="1"/>
  <c r="X795" i="22" l="1"/>
  <c r="Y795" i="22" s="1"/>
  <c r="H796" i="22"/>
  <c r="AG795" i="22" l="1"/>
  <c r="F796" i="22" l="1"/>
  <c r="AK795" i="22"/>
  <c r="G796" i="22" s="1"/>
  <c r="T796" i="22" a="1"/>
  <c r="T796" i="22" l="1"/>
  <c r="Q796" i="22" l="1"/>
  <c r="U796" i="22"/>
  <c r="AE796" i="22" s="1"/>
  <c r="D797" i="22" s="1"/>
  <c r="V796" i="22"/>
  <c r="AF796" i="22" s="1"/>
  <c r="E797" i="22" s="1"/>
  <c r="AD796" i="22"/>
  <c r="C797" i="22" s="1"/>
  <c r="W796" i="22" a="1"/>
  <c r="W796" i="22" l="1"/>
  <c r="P796" i="22" a="1"/>
  <c r="P796" i="22" l="1"/>
  <c r="AC796" i="22"/>
  <c r="B797" i="22" l="1"/>
  <c r="R796" i="22"/>
  <c r="S796" i="22" s="1"/>
  <c r="K796" i="22" s="1"/>
  <c r="I797" i="22"/>
  <c r="H797" i="22" l="1"/>
  <c r="X796" i="22"/>
  <c r="Y796" i="22" s="1"/>
  <c r="AG796" i="22" l="1"/>
  <c r="F797" i="22" l="1"/>
  <c r="AK796" i="22"/>
  <c r="G797" i="22" s="1"/>
  <c r="T797" i="22" a="1"/>
  <c r="T797" i="22" l="1"/>
  <c r="Q797" i="22" l="1"/>
  <c r="U797" i="22"/>
  <c r="AE797" i="22" s="1"/>
  <c r="D798" i="22" s="1"/>
  <c r="AD797" i="22"/>
  <c r="C798" i="22" s="1"/>
  <c r="V797" i="22"/>
  <c r="AF797" i="22" s="1"/>
  <c r="E798" i="22" s="1"/>
  <c r="W797" i="22" a="1"/>
  <c r="W797" i="22" l="1"/>
  <c r="P797" i="22" a="1"/>
  <c r="P797" i="22" l="1"/>
  <c r="AC797" i="22"/>
  <c r="B798" i="22" l="1"/>
  <c r="I798" i="22"/>
  <c r="R797" i="22"/>
  <c r="S797" i="22" s="1"/>
  <c r="K797" i="22" s="1"/>
  <c r="H798" i="22" l="1"/>
  <c r="X797" i="22"/>
  <c r="Y797" i="22" s="1"/>
  <c r="AG797" i="22" l="1"/>
  <c r="F798" i="22" l="1"/>
  <c r="AK797" i="22"/>
  <c r="G798" i="22" s="1"/>
  <c r="T798" i="22" a="1"/>
  <c r="T798" i="22" l="1"/>
  <c r="Q798" i="22" l="1"/>
  <c r="V798" i="22"/>
  <c r="AF798" i="22" s="1"/>
  <c r="E799" i="22" s="1"/>
  <c r="U798" i="22"/>
  <c r="AE798" i="22" s="1"/>
  <c r="D799" i="22" s="1"/>
  <c r="AD798" i="22"/>
  <c r="C799" i="22" s="1"/>
  <c r="W798" i="22" a="1"/>
  <c r="W798" i="22" l="1"/>
  <c r="P798" i="22" a="1"/>
  <c r="P798" i="22" l="1"/>
  <c r="AC798" i="22"/>
  <c r="B799" i="22" l="1"/>
  <c r="R798" i="22"/>
  <c r="S798" i="22" s="1"/>
  <c r="K798" i="22" s="1"/>
  <c r="I799" i="22"/>
  <c r="H799" i="22" s="1"/>
  <c r="X798" i="22" l="1"/>
  <c r="Y798" i="22" s="1"/>
  <c r="AG798" i="22" l="1"/>
  <c r="F799" i="22" l="1"/>
  <c r="AK798" i="22"/>
  <c r="G799" i="22" s="1"/>
  <c r="T799" i="22" a="1"/>
  <c r="T799" i="22" l="1"/>
  <c r="Q799" i="22" l="1"/>
  <c r="AD799" i="22"/>
  <c r="C800" i="22" s="1"/>
  <c r="U799" i="22"/>
  <c r="AE799" i="22" s="1"/>
  <c r="D800" i="22" s="1"/>
  <c r="V799" i="22"/>
  <c r="AF799" i="22" s="1"/>
  <c r="E800" i="22" s="1"/>
  <c r="W799" i="22" a="1"/>
  <c r="W799" i="22" l="1"/>
  <c r="P799" i="22" a="1"/>
  <c r="P799" i="22" l="1"/>
  <c r="AC799" i="22"/>
  <c r="B800" i="22" l="1"/>
  <c r="R799" i="22"/>
  <c r="S799" i="22" s="1"/>
  <c r="K799" i="22" s="1"/>
  <c r="I800" i="22"/>
  <c r="H800" i="22" l="1"/>
  <c r="X799" i="22"/>
  <c r="Y799" i="22" s="1"/>
  <c r="AG799" i="22" l="1"/>
  <c r="F800" i="22" l="1"/>
  <c r="AK799" i="22"/>
  <c r="G800" i="22" s="1"/>
  <c r="T800" i="22" a="1"/>
  <c r="T800" i="22" l="1"/>
  <c r="Q800" i="22" l="1"/>
  <c r="V800" i="22"/>
  <c r="AF800" i="22" s="1"/>
  <c r="E801" i="22" s="1"/>
  <c r="U800" i="22"/>
  <c r="AE800" i="22" s="1"/>
  <c r="D801" i="22" s="1"/>
  <c r="AD800" i="22"/>
  <c r="C801" i="22" s="1"/>
  <c r="W800" i="22" a="1"/>
  <c r="W800" i="22" l="1"/>
  <c r="P800" i="22" a="1"/>
  <c r="P800" i="22" l="1"/>
  <c r="AC800" i="22"/>
  <c r="B801" i="22" l="1"/>
  <c r="R800" i="22"/>
  <c r="S800" i="22" s="1"/>
  <c r="K800" i="22" s="1"/>
  <c r="I801" i="22"/>
  <c r="X800" i="22" l="1"/>
  <c r="Y800" i="22" s="1"/>
  <c r="H801" i="22"/>
  <c r="AG800" i="22" l="1"/>
  <c r="F801" i="22" l="1"/>
  <c r="AK800" i="22"/>
  <c r="G801" i="22" s="1"/>
  <c r="T801" i="22" a="1"/>
  <c r="T801" i="22" l="1"/>
  <c r="Q801" i="22" l="1"/>
  <c r="U801" i="22"/>
  <c r="AE801" i="22" s="1"/>
  <c r="D802" i="22" s="1"/>
  <c r="AD801" i="22"/>
  <c r="C802" i="22" s="1"/>
  <c r="V801" i="22"/>
  <c r="AF801" i="22" s="1"/>
  <c r="E802" i="22" s="1"/>
  <c r="W801" i="22" a="1"/>
  <c r="W801" i="22" l="1"/>
  <c r="P801" i="22" a="1"/>
  <c r="P801" i="22" l="1"/>
  <c r="AC801" i="22"/>
  <c r="B802" i="22" l="1"/>
  <c r="I802" i="22"/>
  <c r="R801" i="22"/>
  <c r="S801" i="22" s="1"/>
  <c r="K801" i="22" s="1"/>
  <c r="X801" i="22" l="1"/>
  <c r="Y801" i="22" s="1"/>
  <c r="H802" i="22"/>
  <c r="AG801" i="22" l="1"/>
  <c r="F802" i="22" l="1"/>
  <c r="AK801" i="22"/>
  <c r="G802" i="22" s="1"/>
  <c r="T802" i="22" a="1"/>
  <c r="T802" i="22" l="1"/>
  <c r="Q802" i="22" l="1"/>
  <c r="AD802" i="22"/>
  <c r="C803" i="22" s="1"/>
  <c r="U802" i="22"/>
  <c r="AE802" i="22" s="1"/>
  <c r="D803" i="22" s="1"/>
  <c r="V802" i="22"/>
  <c r="AF802" i="22" s="1"/>
  <c r="E803" i="22" s="1"/>
  <c r="W802" i="22" a="1"/>
  <c r="W802" i="22" l="1"/>
  <c r="P802" i="22" a="1"/>
  <c r="P802" i="22" l="1"/>
  <c r="AC802" i="22"/>
  <c r="B803" i="22" l="1"/>
  <c r="I803" i="22"/>
  <c r="R802" i="22"/>
  <c r="S802" i="22" s="1"/>
  <c r="K802" i="22" s="1"/>
  <c r="X802" i="22" l="1"/>
  <c r="Y802" i="22" s="1"/>
  <c r="H803" i="22"/>
  <c r="AG802" i="22" l="1"/>
  <c r="F803" i="22" l="1"/>
  <c r="AK802" i="22"/>
  <c r="G803" i="22" s="1"/>
  <c r="T803" i="22" a="1"/>
  <c r="T803" i="22" l="1"/>
  <c r="Q803" i="22" l="1"/>
  <c r="V803" i="22"/>
  <c r="AF803" i="22" s="1"/>
  <c r="E804" i="22" s="1"/>
  <c r="AD803" i="22"/>
  <c r="C804" i="22" s="1"/>
  <c r="U803" i="22"/>
  <c r="AE803" i="22" s="1"/>
  <c r="D804" i="22" s="1"/>
  <c r="W803" i="22" a="1"/>
  <c r="W803" i="22" l="1"/>
  <c r="P803" i="22" a="1"/>
  <c r="P803" i="22" l="1"/>
  <c r="AC803" i="22"/>
  <c r="B804" i="22" l="1"/>
  <c r="R803" i="22"/>
  <c r="S803" i="22" s="1"/>
  <c r="K803" i="22" s="1"/>
  <c r="I804" i="22"/>
  <c r="X803" i="22" l="1"/>
  <c r="Y803" i="22" s="1"/>
  <c r="H804" i="22"/>
  <c r="AG803" i="22" l="1"/>
  <c r="F804" i="22" l="1"/>
  <c r="AK803" i="22"/>
  <c r="G804" i="22" s="1"/>
  <c r="T804" i="22" a="1"/>
  <c r="T804" i="22" l="1"/>
  <c r="Q804" i="22" l="1"/>
  <c r="U804" i="22"/>
  <c r="AE804" i="22" s="1"/>
  <c r="D805" i="22" s="1"/>
  <c r="V804" i="22"/>
  <c r="AF804" i="22" s="1"/>
  <c r="E805" i="22" s="1"/>
  <c r="AD804" i="22"/>
  <c r="C805" i="22" s="1"/>
  <c r="W804" i="22" a="1"/>
  <c r="W804" i="22" l="1"/>
  <c r="P804" i="22" a="1"/>
  <c r="P804" i="22" l="1"/>
  <c r="AC804" i="22"/>
  <c r="B805" i="22" l="1"/>
  <c r="I805" i="22"/>
  <c r="H805" i="22" s="1"/>
  <c r="R804" i="22"/>
  <c r="S804" i="22" s="1"/>
  <c r="K804" i="22" s="1"/>
  <c r="X804" i="22" l="1"/>
  <c r="Y804" i="22" s="1"/>
  <c r="AG804" i="22" l="1"/>
  <c r="F805" i="22" l="1"/>
  <c r="AK804" i="22"/>
  <c r="G805" i="22" s="1"/>
  <c r="T805" i="22" a="1"/>
  <c r="T805" i="22" l="1"/>
  <c r="Q805" i="22" l="1"/>
  <c r="AD805" i="22"/>
  <c r="C806" i="22" s="1"/>
  <c r="U805" i="22"/>
  <c r="AE805" i="22" s="1"/>
  <c r="D806" i="22" s="1"/>
  <c r="V805" i="22"/>
  <c r="AF805" i="22" s="1"/>
  <c r="E806" i="22" s="1"/>
  <c r="W805" i="22" a="1"/>
  <c r="W805" i="22" l="1"/>
  <c r="P805" i="22" a="1"/>
  <c r="P805" i="22" l="1"/>
  <c r="AC805" i="22"/>
  <c r="B806" i="22" l="1"/>
  <c r="R805" i="22"/>
  <c r="S805" i="22" s="1"/>
  <c r="K805" i="22" s="1"/>
  <c r="I806" i="22"/>
  <c r="X805" i="22" l="1"/>
  <c r="Y805" i="22" s="1"/>
  <c r="H806" i="22"/>
  <c r="AG805" i="22" l="1"/>
  <c r="F806" i="22" l="1"/>
  <c r="AK805" i="22"/>
  <c r="G806" i="22" s="1"/>
  <c r="T806" i="22" a="1"/>
  <c r="T806" i="22" l="1"/>
  <c r="Q806" i="22" l="1"/>
  <c r="V806" i="22"/>
  <c r="AF806" i="22" s="1"/>
  <c r="E807" i="22" s="1"/>
  <c r="AD806" i="22"/>
  <c r="C807" i="22" s="1"/>
  <c r="U806" i="22"/>
  <c r="AE806" i="22" s="1"/>
  <c r="D807" i="22" s="1"/>
  <c r="W806" i="22" a="1"/>
  <c r="W806" i="22" l="1"/>
  <c r="P806" i="22" a="1"/>
  <c r="P806" i="22" l="1"/>
  <c r="AC806" i="22"/>
  <c r="B807" i="22" l="1"/>
  <c r="R806" i="22"/>
  <c r="S806" i="22" s="1"/>
  <c r="K806" i="22" s="1"/>
  <c r="I807" i="22"/>
  <c r="X806" i="22" l="1"/>
  <c r="Y806" i="22" s="1"/>
  <c r="H807" i="22"/>
  <c r="AG806" i="22" l="1"/>
  <c r="F807" i="22" l="1"/>
  <c r="AK806" i="22"/>
  <c r="G807" i="22" s="1"/>
  <c r="T807" i="22" a="1"/>
  <c r="T807" i="22" l="1"/>
  <c r="Q807" i="22" l="1"/>
  <c r="V807" i="22"/>
  <c r="AF807" i="22" s="1"/>
  <c r="E808" i="22" s="1"/>
  <c r="AD807" i="22"/>
  <c r="C808" i="22" s="1"/>
  <c r="U807" i="22"/>
  <c r="AE807" i="22" s="1"/>
  <c r="D808" i="22" s="1"/>
  <c r="W807" i="22" a="1"/>
  <c r="W807" i="22" l="1"/>
  <c r="P807" i="22" a="1"/>
  <c r="P807" i="22" l="1"/>
  <c r="AC807" i="22"/>
  <c r="B808" i="22" l="1"/>
  <c r="R807" i="22"/>
  <c r="S807" i="22" s="1"/>
  <c r="K807" i="22" s="1"/>
  <c r="I808" i="22"/>
  <c r="H808" i="22" l="1"/>
  <c r="X807" i="22"/>
  <c r="Y807" i="22" s="1"/>
  <c r="AG807" i="22" l="1"/>
  <c r="F808" i="22" l="1"/>
  <c r="AK807" i="22"/>
  <c r="G808" i="22" s="1"/>
  <c r="T808" i="22" a="1"/>
  <c r="T808" i="22" l="1"/>
  <c r="Q808" i="22" l="1"/>
  <c r="V808" i="22"/>
  <c r="AF808" i="22" s="1"/>
  <c r="E809" i="22" s="1"/>
  <c r="U808" i="22"/>
  <c r="AE808" i="22" s="1"/>
  <c r="D809" i="22" s="1"/>
  <c r="AD808" i="22"/>
  <c r="C809" i="22" s="1"/>
  <c r="W808" i="22" a="1"/>
  <c r="W808" i="22" l="1"/>
  <c r="P808" i="22" a="1"/>
  <c r="P808" i="22" l="1"/>
  <c r="AC808" i="22"/>
  <c r="B809" i="22" l="1"/>
  <c r="I809" i="22"/>
  <c r="R808" i="22"/>
  <c r="S808" i="22" s="1"/>
  <c r="K808" i="22" s="1"/>
  <c r="X808" i="22" l="1"/>
  <c r="Y808" i="22" s="1"/>
  <c r="H809" i="22"/>
  <c r="AG808" i="22" l="1"/>
  <c r="F809" i="22" l="1"/>
  <c r="AK808" i="22"/>
  <c r="G809" i="22" s="1"/>
  <c r="T809" i="22" a="1"/>
  <c r="T809" i="22" l="1"/>
  <c r="Q809" i="22" l="1"/>
  <c r="AD809" i="22"/>
  <c r="C810" i="22" s="1"/>
  <c r="U809" i="22"/>
  <c r="AE809" i="22" s="1"/>
  <c r="D810" i="22" s="1"/>
  <c r="V809" i="22"/>
  <c r="AF809" i="22" s="1"/>
  <c r="E810" i="22" s="1"/>
  <c r="W809" i="22" a="1"/>
  <c r="W809" i="22" l="1"/>
  <c r="P809" i="22" a="1"/>
  <c r="P809" i="22" l="1"/>
  <c r="AC809" i="22"/>
  <c r="B810" i="22" l="1"/>
  <c r="R809" i="22"/>
  <c r="S809" i="22" s="1"/>
  <c r="K809" i="22" s="1"/>
  <c r="I810" i="22"/>
  <c r="X809" i="22" l="1"/>
  <c r="Y809" i="22" s="1"/>
  <c r="H810" i="22"/>
  <c r="AG809" i="22" l="1"/>
  <c r="AK809" i="22" s="1"/>
  <c r="G810" i="22" s="1"/>
  <c r="T810" i="22" a="1"/>
  <c r="F810" i="22" l="1"/>
  <c r="T810" i="22"/>
  <c r="Q810" i="22" l="1"/>
  <c r="AD810" i="22"/>
  <c r="C811" i="22" s="1"/>
  <c r="V810" i="22"/>
  <c r="AF810" i="22" s="1"/>
  <c r="E811" i="22" s="1"/>
  <c r="U810" i="22"/>
  <c r="AE810" i="22" s="1"/>
  <c r="D811" i="22" s="1"/>
  <c r="W810" i="22" a="1"/>
  <c r="W810" i="22" l="1"/>
  <c r="P810" i="22" a="1"/>
  <c r="P810" i="22" l="1"/>
  <c r="AC810" i="22"/>
  <c r="B811" i="22" l="1"/>
  <c r="I811" i="22"/>
  <c r="R810" i="22"/>
  <c r="S810" i="22" s="1"/>
  <c r="K810" i="22" s="1"/>
  <c r="H811" i="22" l="1"/>
  <c r="X810" i="22"/>
  <c r="Y810" i="22" s="1"/>
  <c r="AG810" i="22" l="1"/>
  <c r="AK810" i="22" s="1"/>
  <c r="G811" i="22" s="1"/>
  <c r="T811" i="22" a="1"/>
  <c r="F811" i="22" l="1"/>
  <c r="T811" i="22"/>
  <c r="Q811" i="22" l="1"/>
  <c r="AD811" i="22"/>
  <c r="C812" i="22" s="1"/>
  <c r="U811" i="22"/>
  <c r="AE811" i="22" s="1"/>
  <c r="D812" i="22" s="1"/>
  <c r="V811" i="22"/>
  <c r="AF811" i="22" s="1"/>
  <c r="E812" i="22" s="1"/>
  <c r="W811" i="22" a="1"/>
  <c r="W811" i="22" l="1"/>
  <c r="P811" i="22" a="1"/>
  <c r="P811" i="22" l="1"/>
  <c r="AC811" i="22"/>
  <c r="R811" i="22" l="1"/>
  <c r="S811" i="22" s="1"/>
  <c r="K811" i="22" s="1"/>
  <c r="I812" i="22"/>
  <c r="B812" i="22"/>
  <c r="H812" i="22" l="1"/>
  <c r="X811" i="22"/>
  <c r="Y811" i="22" s="1"/>
  <c r="AG811" i="22" l="1"/>
  <c r="F812" i="22" l="1"/>
  <c r="AK811" i="22"/>
  <c r="G812" i="22" s="1"/>
  <c r="T812" i="22" a="1"/>
  <c r="T812" i="22" l="1"/>
  <c r="Q812" i="22" l="1"/>
  <c r="V812" i="22"/>
  <c r="AF812" i="22" s="1"/>
  <c r="E813" i="22" s="1"/>
  <c r="AD812" i="22"/>
  <c r="C813" i="22" s="1"/>
  <c r="U812" i="22"/>
  <c r="AE812" i="22" s="1"/>
  <c r="D813" i="22" s="1"/>
  <c r="W812" i="22" a="1"/>
  <c r="W812" i="22" l="1"/>
  <c r="P812" i="22" a="1"/>
  <c r="P812" i="22" l="1"/>
  <c r="AC812" i="22"/>
  <c r="B813" i="22" l="1"/>
  <c r="R812" i="22"/>
  <c r="S812" i="22" s="1"/>
  <c r="K812" i="22" s="1"/>
  <c r="I813" i="22"/>
  <c r="X812" i="22" l="1"/>
  <c r="Y812" i="22" s="1"/>
  <c r="H813" i="22"/>
  <c r="AG812" i="22" l="1"/>
  <c r="F813" i="22" l="1"/>
  <c r="AK812" i="22"/>
  <c r="G813" i="22" s="1"/>
  <c r="T813" i="22" a="1"/>
  <c r="T813" i="22" l="1"/>
  <c r="Q813" i="22" l="1"/>
  <c r="V813" i="22"/>
  <c r="AF813" i="22" s="1"/>
  <c r="E814" i="22" s="1"/>
  <c r="AD813" i="22"/>
  <c r="C814" i="22" s="1"/>
  <c r="U813" i="22"/>
  <c r="AE813" i="22" s="1"/>
  <c r="D814" i="22" s="1"/>
  <c r="W813" i="22" a="1"/>
  <c r="W813" i="22" l="1"/>
  <c r="P813" i="22" a="1"/>
  <c r="P813" i="22" l="1"/>
  <c r="AC813" i="22"/>
  <c r="R813" i="22" l="1"/>
  <c r="S813" i="22" s="1"/>
  <c r="K813" i="22" s="1"/>
  <c r="I814" i="22"/>
  <c r="B814" i="22"/>
  <c r="H814" i="22" l="1"/>
  <c r="X813" i="22"/>
  <c r="Y813" i="22" s="1"/>
  <c r="AG813" i="22" l="1"/>
  <c r="F814" i="22" l="1"/>
  <c r="AK813" i="22"/>
  <c r="G814" i="22" s="1"/>
  <c r="T814" i="22" a="1"/>
  <c r="T814" i="22" l="1"/>
  <c r="Q814" i="22" l="1"/>
  <c r="AD814" i="22"/>
  <c r="C815" i="22" s="1"/>
  <c r="U814" i="22"/>
  <c r="AE814" i="22" s="1"/>
  <c r="D815" i="22" s="1"/>
  <c r="V814" i="22"/>
  <c r="AF814" i="22" s="1"/>
  <c r="E815" i="22" s="1"/>
  <c r="W814" i="22" a="1"/>
  <c r="W814" i="22" l="1"/>
  <c r="P814" i="22" a="1"/>
  <c r="P814" i="22" l="1"/>
  <c r="AC814" i="22"/>
  <c r="B815" i="22" l="1"/>
  <c r="R814" i="22"/>
  <c r="S814" i="22" s="1"/>
  <c r="K814" i="22" s="1"/>
  <c r="I815" i="22"/>
  <c r="X814" i="22" l="1"/>
  <c r="Y814" i="22" s="1"/>
  <c r="H815" i="22"/>
  <c r="AG814" i="22" l="1"/>
  <c r="F815" i="22" l="1"/>
  <c r="AK814" i="22"/>
  <c r="G815" i="22" s="1"/>
  <c r="T815" i="22" a="1"/>
  <c r="T815" i="22" l="1"/>
  <c r="Q815" i="22" l="1"/>
  <c r="V815" i="22"/>
  <c r="AF815" i="22" s="1"/>
  <c r="E816" i="22" s="1"/>
  <c r="AD815" i="22"/>
  <c r="C816" i="22" s="1"/>
  <c r="U815" i="22"/>
  <c r="AE815" i="22" s="1"/>
  <c r="D816" i="22" s="1"/>
  <c r="W815" i="22" a="1"/>
  <c r="W815" i="22" l="1"/>
  <c r="P815" i="22" a="1"/>
  <c r="P815" i="22" l="1"/>
  <c r="AC815" i="22"/>
  <c r="B816" i="22" l="1"/>
  <c r="I816" i="22"/>
  <c r="R815" i="22"/>
  <c r="S815" i="22" s="1"/>
  <c r="K815" i="22" s="1"/>
  <c r="H816" i="22" l="1"/>
  <c r="X815" i="22"/>
  <c r="Y815" i="22" s="1"/>
  <c r="AG815" i="22" l="1"/>
  <c r="F816" i="22" l="1"/>
  <c r="AK815" i="22"/>
  <c r="G816" i="22" s="1"/>
  <c r="T816" i="22" a="1"/>
  <c r="T816" i="22" l="1"/>
  <c r="Q816" i="22" l="1"/>
  <c r="V816" i="22"/>
  <c r="AF816" i="22" s="1"/>
  <c r="E817" i="22" s="1"/>
  <c r="U816" i="22"/>
  <c r="AE816" i="22" s="1"/>
  <c r="D817" i="22" s="1"/>
  <c r="AD816" i="22"/>
  <c r="C817" i="22" s="1"/>
  <c r="W816" i="22" a="1"/>
  <c r="W816" i="22" l="1"/>
  <c r="P816" i="22" a="1"/>
  <c r="P816" i="22" l="1"/>
  <c r="AC816" i="22"/>
  <c r="B817" i="22" l="1"/>
  <c r="I817" i="22"/>
  <c r="R816" i="22"/>
  <c r="S816" i="22" s="1"/>
  <c r="K816" i="22" s="1"/>
  <c r="X816" i="22" l="1"/>
  <c r="Y816" i="22" s="1"/>
  <c r="H817" i="22"/>
  <c r="AG816" i="22" l="1"/>
  <c r="F817" i="22" l="1"/>
  <c r="AK816" i="22"/>
  <c r="G817" i="22" s="1"/>
  <c r="T817" i="22" a="1"/>
  <c r="T817" i="22" l="1"/>
  <c r="Q817" i="22" l="1"/>
  <c r="V817" i="22"/>
  <c r="AF817" i="22" s="1"/>
  <c r="E818" i="22" s="1"/>
  <c r="U817" i="22"/>
  <c r="AE817" i="22" s="1"/>
  <c r="D818" i="22" s="1"/>
  <c r="AD817" i="22"/>
  <c r="C818" i="22" s="1"/>
  <c r="W817" i="22" a="1"/>
  <c r="W817" i="22" l="1"/>
  <c r="P817" i="22" a="1"/>
  <c r="P817" i="22" l="1"/>
  <c r="AC817" i="22"/>
  <c r="B818" i="22" l="1"/>
  <c r="I818" i="22"/>
  <c r="R817" i="22"/>
  <c r="S817" i="22" s="1"/>
  <c r="K817" i="22" s="1"/>
  <c r="X817" i="22" l="1"/>
  <c r="Y817" i="22" s="1"/>
  <c r="H818" i="22"/>
  <c r="AG817" i="22" l="1"/>
  <c r="F818" i="22" l="1"/>
  <c r="AK817" i="22"/>
  <c r="G818" i="22" s="1"/>
  <c r="T818" i="22" a="1"/>
  <c r="T818" i="22" l="1"/>
  <c r="Q818" i="22" l="1"/>
  <c r="U818" i="22"/>
  <c r="AE818" i="22" s="1"/>
  <c r="D819" i="22" s="1"/>
  <c r="AD818" i="22"/>
  <c r="C819" i="22" s="1"/>
  <c r="V818" i="22"/>
  <c r="AF818" i="22" s="1"/>
  <c r="E819" i="22" s="1"/>
  <c r="W818" i="22" a="1"/>
  <c r="W818" i="22" l="1"/>
  <c r="P818" i="22" a="1"/>
  <c r="P818" i="22" l="1"/>
  <c r="AC818" i="22"/>
  <c r="B819" i="22" l="1"/>
  <c r="I819" i="22"/>
  <c r="R818" i="22"/>
  <c r="S818" i="22" s="1"/>
  <c r="K818" i="22" s="1"/>
  <c r="X818" i="22" l="1"/>
  <c r="Y818" i="22" s="1"/>
  <c r="H819" i="22"/>
  <c r="AG818" i="22" l="1"/>
  <c r="F819" i="22" l="1"/>
  <c r="AK818" i="22"/>
  <c r="G819" i="22" s="1"/>
  <c r="T819" i="22" a="1"/>
  <c r="T819" i="22" l="1"/>
  <c r="Q819" i="22" l="1"/>
  <c r="V819" i="22"/>
  <c r="AF819" i="22" s="1"/>
  <c r="E820" i="22" s="1"/>
  <c r="AD819" i="22"/>
  <c r="C820" i="22" s="1"/>
  <c r="U819" i="22"/>
  <c r="AE819" i="22" s="1"/>
  <c r="D820" i="22" s="1"/>
  <c r="W819" i="22" a="1"/>
  <c r="W819" i="22" l="1"/>
  <c r="P819" i="22" a="1"/>
  <c r="P819" i="22" l="1"/>
  <c r="AC819" i="22"/>
  <c r="B820" i="22" l="1"/>
  <c r="I820" i="22"/>
  <c r="R819" i="22"/>
  <c r="S819" i="22" s="1"/>
  <c r="K819" i="22" s="1"/>
  <c r="H820" i="22" l="1"/>
  <c r="X819" i="22"/>
  <c r="Y819" i="22" s="1"/>
  <c r="AG819" i="22" l="1"/>
  <c r="F820" i="22" l="1"/>
  <c r="AK819" i="22"/>
  <c r="G820" i="22" s="1"/>
  <c r="T820" i="22" a="1"/>
  <c r="T820" i="22" l="1"/>
  <c r="Q820" i="22" l="1"/>
  <c r="U820" i="22"/>
  <c r="AE820" i="22" s="1"/>
  <c r="D821" i="22" s="1"/>
  <c r="AD820" i="22"/>
  <c r="C821" i="22" s="1"/>
  <c r="V820" i="22"/>
  <c r="AF820" i="22" s="1"/>
  <c r="E821" i="22" s="1"/>
  <c r="W820" i="22" a="1"/>
  <c r="W820" i="22" l="1"/>
  <c r="P820" i="22" a="1"/>
  <c r="P820" i="22" l="1"/>
  <c r="AC820" i="22"/>
  <c r="B821" i="22" l="1"/>
  <c r="R820" i="22"/>
  <c r="S820" i="22" s="1"/>
  <c r="K820" i="22" s="1"/>
  <c r="I821" i="22"/>
  <c r="H821" i="22" l="1"/>
  <c r="X820" i="22"/>
  <c r="Y820" i="22" s="1"/>
  <c r="AG820" i="22" l="1"/>
  <c r="F821" i="22" l="1"/>
  <c r="AK820" i="22"/>
  <c r="G821" i="22" s="1"/>
  <c r="T821" i="22" a="1"/>
  <c r="T821" i="22" l="1"/>
  <c r="Q821" i="22" l="1"/>
  <c r="U821" i="22"/>
  <c r="AE821" i="22" s="1"/>
  <c r="D822" i="22" s="1"/>
  <c r="AD821" i="22"/>
  <c r="C822" i="22" s="1"/>
  <c r="V821" i="22"/>
  <c r="AF821" i="22" s="1"/>
  <c r="E822" i="22" s="1"/>
  <c r="W821" i="22" a="1"/>
  <c r="W821" i="22" l="1"/>
  <c r="P821" i="22" a="1"/>
  <c r="P821" i="22" l="1"/>
  <c r="AC821" i="22"/>
  <c r="B822" i="22" l="1"/>
  <c r="I822" i="22"/>
  <c r="R821" i="22"/>
  <c r="S821" i="22" s="1"/>
  <c r="K821" i="22" s="1"/>
  <c r="H822" i="22" l="1"/>
  <c r="X821" i="22"/>
  <c r="Y821" i="22" s="1"/>
  <c r="AG821" i="22" l="1"/>
  <c r="F822" i="22" l="1"/>
  <c r="AK821" i="22"/>
  <c r="G822" i="22" s="1"/>
  <c r="T822" i="22" a="1"/>
  <c r="T822" i="22" l="1"/>
  <c r="Q822" i="22" l="1"/>
  <c r="U822" i="22"/>
  <c r="AE822" i="22" s="1"/>
  <c r="D823" i="22" s="1"/>
  <c r="AD822" i="22"/>
  <c r="C823" i="22" s="1"/>
  <c r="V822" i="22"/>
  <c r="AF822" i="22" s="1"/>
  <c r="E823" i="22" s="1"/>
  <c r="W822" i="22" a="1"/>
  <c r="W822" i="22" l="1"/>
  <c r="P822" i="22" a="1"/>
  <c r="P822" i="22" l="1"/>
  <c r="AC822" i="22"/>
  <c r="B823" i="22" l="1"/>
  <c r="R822" i="22"/>
  <c r="S822" i="22" s="1"/>
  <c r="K822" i="22" s="1"/>
  <c r="I823" i="22"/>
  <c r="H823" i="22" l="1"/>
  <c r="X822" i="22"/>
  <c r="Y822" i="22" s="1"/>
  <c r="AG822" i="22" l="1"/>
  <c r="F823" i="22" l="1"/>
  <c r="AK822" i="22"/>
  <c r="G823" i="22" s="1"/>
  <c r="T823" i="22" a="1"/>
  <c r="T823" i="22" l="1"/>
  <c r="Q823" i="22" l="1"/>
  <c r="V823" i="22"/>
  <c r="AF823" i="22" s="1"/>
  <c r="E824" i="22" s="1"/>
  <c r="AD823" i="22"/>
  <c r="C824" i="22" s="1"/>
  <c r="U823" i="22"/>
  <c r="AE823" i="22" s="1"/>
  <c r="D824" i="22" s="1"/>
  <c r="W823" i="22" a="1"/>
  <c r="W823" i="22" l="1"/>
  <c r="P823" i="22" a="1"/>
  <c r="P823" i="22" l="1"/>
  <c r="AC823" i="22"/>
  <c r="B824" i="22" l="1"/>
  <c r="I824" i="22"/>
  <c r="R823" i="22"/>
  <c r="S823" i="22" s="1"/>
  <c r="K823" i="22" s="1"/>
  <c r="H824" i="22" l="1"/>
  <c r="X823" i="22"/>
  <c r="Y823" i="22" s="1"/>
  <c r="AG823" i="22" l="1"/>
  <c r="F824" i="22" s="1"/>
  <c r="AK823" i="22" l="1"/>
  <c r="G824" i="22" s="1"/>
  <c r="T824" i="22" a="1"/>
  <c r="T824" i="22" l="1"/>
  <c r="Q824" i="22"/>
  <c r="V824" i="22"/>
  <c r="AF824" i="22" s="1"/>
  <c r="E825" i="22" s="1"/>
  <c r="U824" i="22"/>
  <c r="AE824" i="22" s="1"/>
  <c r="D825" i="22" s="1"/>
  <c r="AD824" i="22"/>
  <c r="C825" i="22" s="1"/>
  <c r="W824" i="22" a="1"/>
  <c r="W824" i="22" l="1"/>
  <c r="P824" i="22" a="1"/>
  <c r="P824" i="22" l="1"/>
  <c r="AC824" i="22"/>
  <c r="R824" i="22" l="1"/>
  <c r="S824" i="22" s="1"/>
  <c r="K824" i="22" s="1"/>
  <c r="I825" i="22"/>
  <c r="B825" i="22"/>
  <c r="H825" i="22" l="1"/>
  <c r="X824" i="22"/>
  <c r="Y824" i="22" s="1"/>
  <c r="AG824" i="22" l="1"/>
  <c r="F825" i="22" l="1"/>
  <c r="AK824" i="22"/>
  <c r="G825" i="22" s="1"/>
  <c r="T825" i="22" a="1"/>
  <c r="T825" i="22" l="1"/>
  <c r="Q825" i="22" l="1"/>
  <c r="U825" i="22"/>
  <c r="AE825" i="22" s="1"/>
  <c r="D826" i="22" s="1"/>
  <c r="V825" i="22"/>
  <c r="AF825" i="22" s="1"/>
  <c r="E826" i="22" s="1"/>
  <c r="AD825" i="22"/>
  <c r="C826" i="22" s="1"/>
  <c r="W825" i="22" a="1"/>
  <c r="W825" i="22" l="1"/>
  <c r="P825" i="22" a="1"/>
  <c r="P825" i="22" l="1"/>
  <c r="AC825" i="22"/>
  <c r="B826" i="22" l="1"/>
  <c r="I826" i="22"/>
  <c r="R825" i="22"/>
  <c r="S825" i="22" s="1"/>
  <c r="K825" i="22" s="1"/>
  <c r="X825" i="22" l="1"/>
  <c r="Y825" i="22" s="1"/>
  <c r="H826" i="22"/>
  <c r="AG825" i="22" l="1"/>
  <c r="F826" i="22" l="1"/>
  <c r="AK825" i="22"/>
  <c r="G826" i="22" s="1"/>
  <c r="T826" i="22" a="1"/>
  <c r="T826" i="22" l="1"/>
  <c r="Q826" i="22" l="1"/>
  <c r="V826" i="22"/>
  <c r="AF826" i="22" s="1"/>
  <c r="E827" i="22" s="1"/>
  <c r="AD826" i="22"/>
  <c r="C827" i="22" s="1"/>
  <c r="U826" i="22"/>
  <c r="AE826" i="22" s="1"/>
  <c r="D827" i="22" s="1"/>
  <c r="W826" i="22" a="1"/>
  <c r="W826" i="22" l="1"/>
  <c r="P826" i="22" a="1"/>
  <c r="P826" i="22" l="1"/>
  <c r="AC826" i="22"/>
  <c r="I827" i="22" l="1"/>
  <c r="R826" i="22"/>
  <c r="S826" i="22" s="1"/>
  <c r="K826" i="22" s="1"/>
  <c r="B827" i="22"/>
  <c r="H827" i="22" l="1"/>
  <c r="X826" i="22"/>
  <c r="Y826" i="22" s="1"/>
  <c r="AG826" i="22" l="1"/>
  <c r="F827" i="22" l="1"/>
  <c r="AK826" i="22"/>
  <c r="G827" i="22" s="1"/>
  <c r="T827" i="22" a="1"/>
  <c r="T827" i="22" l="1"/>
  <c r="Q827" i="22" l="1"/>
  <c r="U827" i="22"/>
  <c r="AE827" i="22" s="1"/>
  <c r="D828" i="22" s="1"/>
  <c r="AD827" i="22"/>
  <c r="C828" i="22" s="1"/>
  <c r="V827" i="22"/>
  <c r="AF827" i="22" s="1"/>
  <c r="E828" i="22" s="1"/>
  <c r="W827" i="22" a="1"/>
  <c r="W827" i="22" l="1"/>
  <c r="P827" i="22" a="1"/>
  <c r="P827" i="22" l="1"/>
  <c r="AC827" i="22"/>
  <c r="B828" i="22" l="1"/>
  <c r="R827" i="22"/>
  <c r="S827" i="22" s="1"/>
  <c r="K827" i="22" s="1"/>
  <c r="I828" i="22"/>
  <c r="X827" i="22" l="1"/>
  <c r="Y827" i="22" s="1"/>
  <c r="H828" i="22"/>
  <c r="AG827" i="22" l="1"/>
  <c r="F828" i="22" l="1"/>
  <c r="AK827" i="22"/>
  <c r="G828" i="22" s="1"/>
  <c r="T828" i="22" a="1"/>
  <c r="T828" i="22" l="1"/>
  <c r="Q828" i="22" l="1"/>
  <c r="U828" i="22"/>
  <c r="AE828" i="22" s="1"/>
  <c r="D829" i="22" s="1"/>
  <c r="V828" i="22"/>
  <c r="AF828" i="22" s="1"/>
  <c r="E829" i="22" s="1"/>
  <c r="AD828" i="22"/>
  <c r="C829" i="22" s="1"/>
  <c r="W828" i="22" a="1"/>
  <c r="W828" i="22" l="1"/>
  <c r="P828" i="22" a="1"/>
  <c r="P828" i="22" l="1"/>
  <c r="AC828" i="22"/>
  <c r="B829" i="22" l="1"/>
  <c r="R828" i="22"/>
  <c r="S828" i="22" s="1"/>
  <c r="K828" i="22" s="1"/>
  <c r="I829" i="22"/>
  <c r="X828" i="22" l="1"/>
  <c r="Y828" i="22" s="1"/>
  <c r="H829" i="22"/>
  <c r="AG828" i="22" l="1"/>
  <c r="F829" i="22" l="1"/>
  <c r="AK828" i="22"/>
  <c r="G829" i="22" s="1"/>
  <c r="T829" i="22" a="1"/>
  <c r="T829" i="22" l="1"/>
  <c r="Q829" i="22" l="1"/>
  <c r="AD829" i="22"/>
  <c r="C830" i="22" s="1"/>
  <c r="U829" i="22"/>
  <c r="AE829" i="22" s="1"/>
  <c r="D830" i="22" s="1"/>
  <c r="V829" i="22"/>
  <c r="AF829" i="22" s="1"/>
  <c r="E830" i="22" s="1"/>
  <c r="W829" i="22" a="1"/>
  <c r="W829" i="22" l="1"/>
  <c r="P829" i="22" a="1"/>
  <c r="P829" i="22" l="1"/>
  <c r="AC829" i="22"/>
  <c r="B830" i="22" l="1"/>
  <c r="I830" i="22"/>
  <c r="R829" i="22"/>
  <c r="S829" i="22" s="1"/>
  <c r="K829" i="22" s="1"/>
  <c r="X829" i="22" l="1"/>
  <c r="Y829" i="22" s="1"/>
  <c r="H830" i="22"/>
  <c r="AG829" i="22" l="1"/>
  <c r="F830" i="22" l="1"/>
  <c r="AK829" i="22"/>
  <c r="G830" i="22" s="1"/>
  <c r="T830" i="22" a="1"/>
  <c r="T830" i="22" l="1"/>
  <c r="Q830" i="22" l="1"/>
  <c r="AD830" i="22"/>
  <c r="C831" i="22" s="1"/>
  <c r="U830" i="22"/>
  <c r="AE830" i="22" s="1"/>
  <c r="D831" i="22" s="1"/>
  <c r="V830" i="22"/>
  <c r="AF830" i="22" s="1"/>
  <c r="E831" i="22" s="1"/>
  <c r="W830" i="22" a="1"/>
  <c r="W830" i="22" l="1"/>
  <c r="P830" i="22" a="1"/>
  <c r="P830" i="22" l="1"/>
  <c r="AC830" i="22"/>
  <c r="B831" i="22" l="1"/>
  <c r="R830" i="22"/>
  <c r="S830" i="22" s="1"/>
  <c r="K830" i="22" s="1"/>
  <c r="I831" i="22"/>
  <c r="X830" i="22" l="1"/>
  <c r="Y830" i="22" s="1"/>
  <c r="H831" i="22"/>
  <c r="AG830" i="22" l="1"/>
  <c r="F831" i="22" l="1"/>
  <c r="AK830" i="22"/>
  <c r="G831" i="22" s="1"/>
  <c r="T831" i="22" a="1"/>
  <c r="T831" i="22" l="1"/>
  <c r="Q831" i="22" l="1"/>
  <c r="U831" i="22"/>
  <c r="AE831" i="22" s="1"/>
  <c r="D832" i="22" s="1"/>
  <c r="AD831" i="22"/>
  <c r="C832" i="22" s="1"/>
  <c r="V831" i="22"/>
  <c r="AF831" i="22" s="1"/>
  <c r="E832" i="22" s="1"/>
  <c r="W831" i="22" a="1"/>
  <c r="W831" i="22" l="1"/>
  <c r="P831" i="22" a="1"/>
  <c r="P831" i="22" l="1"/>
  <c r="AC831" i="22"/>
  <c r="B832" i="22" l="1"/>
  <c r="R831" i="22"/>
  <c r="S831" i="22" s="1"/>
  <c r="K831" i="22" s="1"/>
  <c r="I832" i="22"/>
  <c r="H832" i="22" l="1"/>
  <c r="X831" i="22"/>
  <c r="Y831" i="22" s="1"/>
  <c r="AG831" i="22" l="1"/>
  <c r="F832" i="22" l="1"/>
  <c r="AK831" i="22"/>
  <c r="G832" i="22" s="1"/>
  <c r="T832" i="22" a="1"/>
  <c r="T832" i="22" l="1"/>
  <c r="Q832" i="22" l="1"/>
  <c r="V832" i="22"/>
  <c r="AF832" i="22" s="1"/>
  <c r="E833" i="22" s="1"/>
  <c r="U832" i="22"/>
  <c r="AE832" i="22" s="1"/>
  <c r="D833" i="22" s="1"/>
  <c r="AD832" i="22"/>
  <c r="C833" i="22" s="1"/>
  <c r="W832" i="22" a="1"/>
  <c r="W832" i="22" l="1"/>
  <c r="P832" i="22" a="1"/>
  <c r="P832" i="22" l="1"/>
  <c r="AC832" i="22"/>
  <c r="B833" i="22" l="1"/>
  <c r="I833" i="22"/>
  <c r="R832" i="22"/>
  <c r="S832" i="22" s="1"/>
  <c r="K832" i="22" s="1"/>
  <c r="X832" i="22" l="1"/>
  <c r="Y832" i="22" s="1"/>
  <c r="H833" i="22"/>
  <c r="AG832" i="22" l="1"/>
  <c r="F833" i="22" l="1"/>
  <c r="AK832" i="22"/>
  <c r="G833" i="22" s="1"/>
  <c r="T833" i="22" a="1"/>
  <c r="T833" i="22" l="1"/>
  <c r="Q833" i="22" l="1"/>
  <c r="AD833" i="22"/>
  <c r="C834" i="22" s="1"/>
  <c r="V833" i="22"/>
  <c r="AF833" i="22" s="1"/>
  <c r="E834" i="22" s="1"/>
  <c r="U833" i="22"/>
  <c r="AE833" i="22" s="1"/>
  <c r="D834" i="22" s="1"/>
  <c r="W833" i="22" a="1"/>
  <c r="W833" i="22" l="1"/>
  <c r="P833" i="22" a="1"/>
  <c r="P833" i="22" l="1"/>
  <c r="AC833" i="22"/>
  <c r="I834" i="22" l="1"/>
  <c r="R833" i="22"/>
  <c r="S833" i="22" s="1"/>
  <c r="K833" i="22" s="1"/>
  <c r="B834" i="22"/>
  <c r="H834" i="22" l="1"/>
  <c r="X833" i="22"/>
  <c r="Y833" i="22" s="1"/>
  <c r="AG833" i="22" l="1"/>
  <c r="F834" i="22" l="1"/>
  <c r="AK833" i="22"/>
  <c r="G834" i="22" s="1"/>
  <c r="T834" i="22" a="1"/>
  <c r="T834" i="22" l="1"/>
  <c r="Q834" i="22" l="1"/>
  <c r="V834" i="22"/>
  <c r="AF834" i="22" s="1"/>
  <c r="E835" i="22" s="1"/>
  <c r="U834" i="22"/>
  <c r="AE834" i="22" s="1"/>
  <c r="D835" i="22" s="1"/>
  <c r="AD834" i="22"/>
  <c r="C835" i="22" s="1"/>
  <c r="W834" i="22" a="1"/>
  <c r="W834" i="22" l="1"/>
  <c r="P834" i="22" a="1"/>
  <c r="P834" i="22" l="1"/>
  <c r="AC834" i="22"/>
  <c r="B835" i="22" l="1"/>
  <c r="I835" i="22"/>
  <c r="R834" i="22"/>
  <c r="S834" i="22" s="1"/>
  <c r="K834" i="22" s="1"/>
  <c r="X834" i="22" l="1"/>
  <c r="Y834" i="22" s="1"/>
  <c r="H835" i="22"/>
  <c r="AG834" i="22" l="1"/>
  <c r="F835" i="22" l="1"/>
  <c r="AK834" i="22"/>
  <c r="G835" i="22" s="1"/>
  <c r="T835" i="22" a="1"/>
  <c r="T835" i="22" l="1"/>
  <c r="Q835" i="22" l="1"/>
  <c r="U835" i="22"/>
  <c r="AE835" i="22" s="1"/>
  <c r="D836" i="22" s="1"/>
  <c r="AD835" i="22"/>
  <c r="C836" i="22" s="1"/>
  <c r="V835" i="22"/>
  <c r="AF835" i="22" s="1"/>
  <c r="E836" i="22" s="1"/>
  <c r="W835" i="22" a="1"/>
  <c r="W835" i="22" l="1"/>
  <c r="P835" i="22" a="1"/>
  <c r="P835" i="22" l="1"/>
  <c r="AC835" i="22"/>
  <c r="I836" i="22" l="1"/>
  <c r="R835" i="22"/>
  <c r="S835" i="22" s="1"/>
  <c r="K835" i="22" s="1"/>
  <c r="B836" i="22"/>
  <c r="X835" i="22" l="1"/>
  <c r="Y835" i="22" s="1"/>
  <c r="H836" i="22"/>
  <c r="AG835" i="22" l="1"/>
  <c r="F836" i="22" l="1"/>
  <c r="AK835" i="22"/>
  <c r="G836" i="22" s="1"/>
  <c r="T836" i="22" a="1"/>
  <c r="T836" i="22" l="1"/>
  <c r="Q836" i="22" l="1"/>
  <c r="AD836" i="22"/>
  <c r="C837" i="22" s="1"/>
  <c r="U836" i="22"/>
  <c r="AE836" i="22" s="1"/>
  <c r="D837" i="22" s="1"/>
  <c r="V836" i="22"/>
  <c r="AF836" i="22" s="1"/>
  <c r="E837" i="22" s="1"/>
  <c r="W836" i="22" a="1"/>
  <c r="W836" i="22" l="1"/>
  <c r="P836" i="22" a="1"/>
  <c r="P836" i="22" l="1"/>
  <c r="AC836" i="22"/>
  <c r="B837" i="22" l="1"/>
  <c r="I837" i="22"/>
  <c r="R836" i="22"/>
  <c r="S836" i="22" s="1"/>
  <c r="K836" i="22" s="1"/>
  <c r="H837" i="22" l="1"/>
  <c r="X836" i="22"/>
  <c r="Y836" i="22" s="1"/>
  <c r="AG836" i="22" l="1"/>
  <c r="F837" i="22" l="1"/>
  <c r="AK836" i="22"/>
  <c r="G837" i="22" s="1"/>
  <c r="T837" i="22" a="1"/>
  <c r="T837" i="22" l="1"/>
  <c r="Q837" i="22" l="1"/>
  <c r="U837" i="22"/>
  <c r="AE837" i="22" s="1"/>
  <c r="D838" i="22" s="1"/>
  <c r="AD837" i="22"/>
  <c r="C838" i="22" s="1"/>
  <c r="V837" i="22"/>
  <c r="AF837" i="22" s="1"/>
  <c r="E838" i="22" s="1"/>
  <c r="W837" i="22" a="1"/>
  <c r="W837" i="22" l="1"/>
  <c r="P837" i="22" a="1"/>
  <c r="P837" i="22" l="1"/>
  <c r="AC837" i="22"/>
  <c r="B838" i="22" l="1"/>
  <c r="R837" i="22"/>
  <c r="S837" i="22" s="1"/>
  <c r="K837" i="22" s="1"/>
  <c r="I838" i="22"/>
  <c r="X837" i="22" l="1"/>
  <c r="Y837" i="22" s="1"/>
  <c r="H838" i="22"/>
  <c r="AG837" i="22" l="1"/>
  <c r="F838" i="22" l="1"/>
  <c r="AK837" i="22"/>
  <c r="G838" i="22" s="1"/>
  <c r="T838" i="22" a="1"/>
  <c r="T838" i="22" l="1"/>
  <c r="Q838" i="22" l="1"/>
  <c r="U838" i="22"/>
  <c r="AE838" i="22" s="1"/>
  <c r="D839" i="22" s="1"/>
  <c r="V838" i="22"/>
  <c r="AF838" i="22" s="1"/>
  <c r="E839" i="22" s="1"/>
  <c r="AD838" i="22"/>
  <c r="C839" i="22" s="1"/>
  <c r="W838" i="22" a="1"/>
  <c r="W838" i="22" l="1"/>
  <c r="P838" i="22" a="1"/>
  <c r="P838" i="22" l="1"/>
  <c r="AC838" i="22"/>
  <c r="B839" i="22" l="1"/>
  <c r="I839" i="22"/>
  <c r="R838" i="22"/>
  <c r="S838" i="22" s="1"/>
  <c r="K838" i="22" s="1"/>
  <c r="H839" i="22" l="1"/>
  <c r="X838" i="22"/>
  <c r="Y838" i="22" s="1"/>
  <c r="AG838" i="22" l="1"/>
  <c r="F839" i="22" l="1"/>
  <c r="AK838" i="22"/>
  <c r="G839" i="22" s="1"/>
  <c r="T839" i="22" a="1"/>
  <c r="T839" i="22" l="1"/>
  <c r="Q839" i="22" l="1"/>
  <c r="U839" i="22"/>
  <c r="AE839" i="22" s="1"/>
  <c r="D840" i="22" s="1"/>
  <c r="V839" i="22"/>
  <c r="AF839" i="22" s="1"/>
  <c r="E840" i="22" s="1"/>
  <c r="AD839" i="22"/>
  <c r="C840" i="22" s="1"/>
  <c r="W839" i="22" a="1"/>
  <c r="W839" i="22" l="1"/>
  <c r="P839" i="22" a="1"/>
  <c r="P839" i="22" l="1"/>
  <c r="AC839" i="22"/>
  <c r="B840" i="22" l="1"/>
  <c r="R839" i="22"/>
  <c r="S839" i="22" s="1"/>
  <c r="K839" i="22" s="1"/>
  <c r="I840" i="22"/>
  <c r="X839" i="22" l="1"/>
  <c r="Y839" i="22" s="1"/>
  <c r="H840" i="22"/>
  <c r="AG839" i="22" l="1"/>
  <c r="F840" i="22" l="1"/>
  <c r="AK839" i="22"/>
  <c r="G840" i="22" s="1"/>
  <c r="T840" i="22" a="1"/>
  <c r="T840" i="22" l="1"/>
  <c r="Q840" i="22" l="1"/>
  <c r="U840" i="22"/>
  <c r="AE840" i="22" s="1"/>
  <c r="D841" i="22" s="1"/>
  <c r="AD840" i="22"/>
  <c r="C841" i="22" s="1"/>
  <c r="V840" i="22"/>
  <c r="AF840" i="22" s="1"/>
  <c r="E841" i="22" s="1"/>
  <c r="W840" i="22" a="1"/>
  <c r="W840" i="22" l="1"/>
  <c r="P840" i="22" a="1"/>
  <c r="P840" i="22" l="1"/>
  <c r="AC840" i="22"/>
  <c r="B841" i="22" l="1"/>
  <c r="I841" i="22"/>
  <c r="R840" i="22"/>
  <c r="S840" i="22" s="1"/>
  <c r="K840" i="22" s="1"/>
  <c r="X840" i="22" l="1"/>
  <c r="Y840" i="22" s="1"/>
  <c r="H841" i="22"/>
  <c r="AG840" i="22" l="1"/>
  <c r="F841" i="22" l="1"/>
  <c r="AK840" i="22"/>
  <c r="G841" i="22" s="1"/>
  <c r="T841" i="22" a="1"/>
  <c r="T841" i="22" l="1"/>
  <c r="Q841" i="22" l="1"/>
  <c r="AD841" i="22"/>
  <c r="C842" i="22" s="1"/>
  <c r="U841" i="22"/>
  <c r="AE841" i="22" s="1"/>
  <c r="D842" i="22" s="1"/>
  <c r="V841" i="22"/>
  <c r="AF841" i="22" s="1"/>
  <c r="E842" i="22" s="1"/>
  <c r="W841" i="22" a="1"/>
  <c r="W841" i="22" l="1"/>
  <c r="P841" i="22" a="1"/>
  <c r="P841" i="22" l="1"/>
  <c r="AC841" i="22"/>
  <c r="B842" i="22" l="1"/>
  <c r="R841" i="22"/>
  <c r="S841" i="22" s="1"/>
  <c r="K841" i="22" s="1"/>
  <c r="I842" i="22"/>
  <c r="X841" i="22" l="1"/>
  <c r="Y841" i="22" s="1"/>
  <c r="H842" i="22"/>
  <c r="AG841" i="22" l="1"/>
  <c r="F842" i="22" l="1"/>
  <c r="AK841" i="22"/>
  <c r="G842" i="22" s="1"/>
  <c r="T842" i="22" a="1"/>
  <c r="T842" i="22" l="1"/>
  <c r="Q842" i="22" l="1"/>
  <c r="V842" i="22"/>
  <c r="AF842" i="22" s="1"/>
  <c r="E843" i="22" s="1"/>
  <c r="AD842" i="22"/>
  <c r="C843" i="22" s="1"/>
  <c r="U842" i="22"/>
  <c r="AE842" i="22" s="1"/>
  <c r="D843" i="22" s="1"/>
  <c r="W842" i="22" a="1"/>
  <c r="W842" i="22" l="1"/>
  <c r="P842" i="22" a="1"/>
  <c r="P842" i="22" l="1"/>
  <c r="AC842" i="22"/>
  <c r="B843" i="22" l="1"/>
  <c r="R842" i="22"/>
  <c r="S842" i="22" s="1"/>
  <c r="K842" i="22" s="1"/>
  <c r="I843" i="22"/>
  <c r="X842" i="22" l="1"/>
  <c r="Y842" i="22" s="1"/>
  <c r="H843" i="22"/>
  <c r="AG842" i="22" l="1"/>
  <c r="F843" i="22" l="1"/>
  <c r="AK842" i="22"/>
  <c r="G843" i="22" s="1"/>
  <c r="T843" i="22" a="1"/>
  <c r="T843" i="22" l="1"/>
  <c r="Q843" i="22" l="1"/>
  <c r="V843" i="22"/>
  <c r="AF843" i="22" s="1"/>
  <c r="E844" i="22" s="1"/>
  <c r="AD843" i="22"/>
  <c r="C844" i="22" s="1"/>
  <c r="U843" i="22"/>
  <c r="AE843" i="22" s="1"/>
  <c r="D844" i="22" s="1"/>
  <c r="W843" i="22" a="1"/>
  <c r="W843" i="22" l="1"/>
  <c r="P843" i="22" a="1"/>
  <c r="P843" i="22" l="1"/>
  <c r="AC843" i="22"/>
  <c r="B844" i="22" l="1"/>
  <c r="I844" i="22"/>
  <c r="R843" i="22"/>
  <c r="S843" i="22" s="1"/>
  <c r="K843" i="22" s="1"/>
  <c r="X843" i="22" l="1"/>
  <c r="Y843" i="22" s="1"/>
  <c r="H844" i="22"/>
  <c r="AG843" i="22" l="1"/>
  <c r="F844" i="22" l="1"/>
  <c r="AK843" i="22"/>
  <c r="G844" i="22" s="1"/>
  <c r="T844" i="22" a="1"/>
  <c r="T844" i="22" l="1"/>
  <c r="Q844" i="22" l="1"/>
  <c r="V844" i="22"/>
  <c r="AF844" i="22" s="1"/>
  <c r="E845" i="22" s="1"/>
  <c r="AD844" i="22"/>
  <c r="C845" i="22" s="1"/>
  <c r="U844" i="22"/>
  <c r="AE844" i="22" s="1"/>
  <c r="D845" i="22" s="1"/>
  <c r="W844" i="22" a="1"/>
  <c r="W844" i="22" l="1"/>
  <c r="P844" i="22" a="1"/>
  <c r="P844" i="22" l="1"/>
  <c r="AC844" i="22"/>
  <c r="B845" i="22" l="1"/>
  <c r="R844" i="22"/>
  <c r="S844" i="22" s="1"/>
  <c r="K844" i="22" s="1"/>
  <c r="I845" i="22"/>
  <c r="X844" i="22" l="1"/>
  <c r="Y844" i="22" s="1"/>
  <c r="H845" i="22"/>
  <c r="AG844" i="22" l="1"/>
  <c r="F845" i="22" l="1"/>
  <c r="AK844" i="22"/>
  <c r="G845" i="22" s="1"/>
  <c r="T845" i="22" a="1"/>
  <c r="T845" i="22" l="1"/>
  <c r="Q845" i="22" l="1"/>
  <c r="V845" i="22"/>
  <c r="AF845" i="22" s="1"/>
  <c r="E846" i="22" s="1"/>
  <c r="AD845" i="22"/>
  <c r="C846" i="22" s="1"/>
  <c r="U845" i="22"/>
  <c r="AE845" i="22" s="1"/>
  <c r="D846" i="22" s="1"/>
  <c r="W845" i="22" a="1"/>
  <c r="W845" i="22" l="1"/>
  <c r="P845" i="22" a="1"/>
  <c r="P845" i="22" l="1"/>
  <c r="AC845" i="22"/>
  <c r="B846" i="22" l="1"/>
  <c r="I846" i="22"/>
  <c r="R845" i="22"/>
  <c r="S845" i="22" s="1"/>
  <c r="K845" i="22" s="1"/>
  <c r="X845" i="22" l="1"/>
  <c r="Y845" i="22" s="1"/>
  <c r="H846" i="22"/>
  <c r="AG845" i="22" l="1"/>
  <c r="F846" i="22" l="1"/>
  <c r="AK845" i="22"/>
  <c r="G846" i="22" s="1"/>
  <c r="T846" i="22" a="1"/>
  <c r="T846" i="22" l="1"/>
  <c r="Q846" i="22" l="1"/>
  <c r="U846" i="22"/>
  <c r="AE846" i="22" s="1"/>
  <c r="D847" i="22" s="1"/>
  <c r="AD846" i="22"/>
  <c r="C847" i="22" s="1"/>
  <c r="V846" i="22"/>
  <c r="AF846" i="22" s="1"/>
  <c r="E847" i="22" s="1"/>
  <c r="W846" i="22" a="1"/>
  <c r="W846" i="22" l="1"/>
  <c r="P846" i="22" a="1"/>
  <c r="P846" i="22" l="1"/>
  <c r="AC846" i="22"/>
  <c r="I847" i="22" l="1"/>
  <c r="R846" i="22"/>
  <c r="S846" i="22" s="1"/>
  <c r="K846" i="22" s="1"/>
  <c r="B847" i="22"/>
  <c r="X846" i="22" l="1"/>
  <c r="Y846" i="22" s="1"/>
  <c r="H847" i="22"/>
  <c r="AG846" i="22" l="1"/>
  <c r="F847" i="22" l="1"/>
  <c r="AK846" i="22"/>
  <c r="G847" i="22" s="1"/>
  <c r="T847" i="22" a="1"/>
  <c r="T847" i="22" l="1"/>
  <c r="Q847" i="22" l="1"/>
  <c r="U847" i="22"/>
  <c r="AE847" i="22" s="1"/>
  <c r="D848" i="22" s="1"/>
  <c r="V847" i="22"/>
  <c r="AF847" i="22" s="1"/>
  <c r="E848" i="22" s="1"/>
  <c r="AD847" i="22"/>
  <c r="C848" i="22" s="1"/>
  <c r="W847" i="22" a="1"/>
  <c r="W847" i="22" l="1"/>
  <c r="P847" i="22" a="1"/>
  <c r="P847" i="22" l="1"/>
  <c r="AC847" i="22"/>
  <c r="R847" i="22" l="1"/>
  <c r="S847" i="22" s="1"/>
  <c r="K847" i="22" s="1"/>
  <c r="I848" i="22"/>
  <c r="B848" i="22"/>
  <c r="X847" i="22" l="1"/>
  <c r="Y847" i="22" s="1"/>
  <c r="H848" i="22"/>
  <c r="AG847" i="22" l="1"/>
  <c r="F848" i="22" l="1"/>
  <c r="AK847" i="22"/>
  <c r="G848" i="22" s="1"/>
  <c r="T848" i="22" a="1"/>
  <c r="T848" i="22" l="1"/>
  <c r="Q848" i="22" l="1"/>
  <c r="AD848" i="22"/>
  <c r="C849" i="22" s="1"/>
  <c r="V848" i="22"/>
  <c r="AF848" i="22" s="1"/>
  <c r="E849" i="22" s="1"/>
  <c r="U848" i="22"/>
  <c r="AE848" i="22" s="1"/>
  <c r="D849" i="22" s="1"/>
  <c r="W848" i="22" a="1"/>
  <c r="W848" i="22" l="1"/>
  <c r="P848" i="22" a="1"/>
  <c r="P848" i="22" l="1"/>
  <c r="AC848" i="22"/>
  <c r="R848" i="22" l="1"/>
  <c r="S848" i="22" s="1"/>
  <c r="K848" i="22" s="1"/>
  <c r="I849" i="22"/>
  <c r="B849" i="22"/>
  <c r="X848" i="22" l="1"/>
  <c r="Y848" i="22" s="1"/>
  <c r="H849" i="22"/>
  <c r="AG848" i="22" l="1"/>
  <c r="F849" i="22" l="1"/>
  <c r="AK848" i="22"/>
  <c r="G849" i="22" s="1"/>
  <c r="T849" i="22" a="1"/>
  <c r="T849" i="22" l="1"/>
  <c r="Q849" i="22" l="1"/>
  <c r="V849" i="22"/>
  <c r="AF849" i="22" s="1"/>
  <c r="E850" i="22" s="1"/>
  <c r="AD849" i="22"/>
  <c r="C850" i="22" s="1"/>
  <c r="U849" i="22"/>
  <c r="AE849" i="22" s="1"/>
  <c r="D850" i="22" s="1"/>
  <c r="W849" i="22" a="1"/>
  <c r="W849" i="22" l="1"/>
  <c r="P849" i="22" a="1"/>
  <c r="P849" i="22" l="1"/>
  <c r="AC849" i="22"/>
  <c r="B850" i="22" l="1"/>
  <c r="R849" i="22"/>
  <c r="S849" i="22" s="1"/>
  <c r="K849" i="22" s="1"/>
  <c r="I850" i="22"/>
  <c r="H850" i="22" l="1"/>
  <c r="X849" i="22"/>
  <c r="Y849" i="22" s="1"/>
  <c r="AG849" i="22" l="1"/>
  <c r="F850" i="22" l="1"/>
  <c r="AK849" i="22"/>
  <c r="G850" i="22" s="1"/>
  <c r="T850" i="22" a="1"/>
  <c r="T850" i="22" l="1"/>
  <c r="Q850" i="22" l="1"/>
  <c r="V850" i="22"/>
  <c r="AF850" i="22" s="1"/>
  <c r="E851" i="22" s="1"/>
  <c r="AD850" i="22"/>
  <c r="C851" i="22" s="1"/>
  <c r="U850" i="22"/>
  <c r="AE850" i="22" s="1"/>
  <c r="D851" i="22" s="1"/>
  <c r="W850" i="22" a="1"/>
  <c r="W850" i="22" l="1"/>
  <c r="P850" i="22" a="1"/>
  <c r="P850" i="22" l="1"/>
  <c r="AC850" i="22"/>
  <c r="I851" i="22" l="1"/>
  <c r="R850" i="22"/>
  <c r="S850" i="22" s="1"/>
  <c r="K850" i="22" s="1"/>
  <c r="B851" i="22"/>
  <c r="H851" i="22" l="1"/>
  <c r="X850" i="22"/>
  <c r="Y850" i="22" s="1"/>
  <c r="AG850" i="22" l="1"/>
  <c r="F851" i="22" l="1"/>
  <c r="AK850" i="22"/>
  <c r="G851" i="22" s="1"/>
  <c r="T851" i="22" a="1"/>
  <c r="T851" i="22" l="1"/>
  <c r="Q851" i="22" l="1"/>
  <c r="U851" i="22"/>
  <c r="AE851" i="22" s="1"/>
  <c r="D852" i="22" s="1"/>
  <c r="V851" i="22"/>
  <c r="AF851" i="22" s="1"/>
  <c r="E852" i="22" s="1"/>
  <c r="AD851" i="22"/>
  <c r="C852" i="22" s="1"/>
  <c r="W851" i="22" a="1"/>
  <c r="W851" i="22" l="1"/>
  <c r="P851" i="22" a="1"/>
  <c r="P851" i="22" l="1"/>
  <c r="AC851" i="22"/>
  <c r="B852" i="22" l="1"/>
  <c r="R851" i="22"/>
  <c r="S851" i="22" s="1"/>
  <c r="K851" i="22" s="1"/>
  <c r="I852" i="22"/>
  <c r="H852" i="22" l="1"/>
  <c r="X851" i="22"/>
  <c r="Y851" i="22" s="1"/>
  <c r="AG851" i="22" l="1"/>
  <c r="F852" i="22" l="1"/>
  <c r="AK851" i="22"/>
  <c r="G852" i="22" s="1"/>
  <c r="T852" i="22" a="1"/>
  <c r="T852" i="22" l="1"/>
  <c r="Q852" i="22" l="1"/>
  <c r="U852" i="22"/>
  <c r="AE852" i="22" s="1"/>
  <c r="D853" i="22" s="1"/>
  <c r="V852" i="22"/>
  <c r="AF852" i="22" s="1"/>
  <c r="E853" i="22" s="1"/>
  <c r="AD852" i="22"/>
  <c r="C853" i="22" s="1"/>
  <c r="W852" i="22" a="1"/>
  <c r="W852" i="22" l="1"/>
  <c r="P852" i="22" a="1"/>
  <c r="P852" i="22" l="1"/>
  <c r="AC852" i="22"/>
  <c r="B853" i="22" l="1"/>
  <c r="I853" i="22"/>
  <c r="R852" i="22"/>
  <c r="S852" i="22" s="1"/>
  <c r="K852" i="22" s="1"/>
  <c r="H853" i="22" l="1"/>
  <c r="X852" i="22"/>
  <c r="Y852" i="22" s="1"/>
  <c r="AG852" i="22" l="1"/>
  <c r="F853" i="22" l="1"/>
  <c r="AK852" i="22"/>
  <c r="G853" i="22" s="1"/>
  <c r="T853" i="22" a="1"/>
  <c r="T853" i="22" l="1"/>
  <c r="Q853" i="22" l="1"/>
  <c r="V853" i="22"/>
  <c r="AF853" i="22" s="1"/>
  <c r="E854" i="22" s="1"/>
  <c r="U853" i="22"/>
  <c r="AE853" i="22" s="1"/>
  <c r="D854" i="22" s="1"/>
  <c r="AD853" i="22"/>
  <c r="C854" i="22" s="1"/>
  <c r="W853" i="22" a="1"/>
  <c r="W853" i="22" l="1"/>
  <c r="P853" i="22" a="1"/>
  <c r="P853" i="22" l="1"/>
  <c r="AC853" i="22"/>
  <c r="B854" i="22" l="1"/>
  <c r="R853" i="22"/>
  <c r="S853" i="22" s="1"/>
  <c r="K853" i="22" s="1"/>
  <c r="I854" i="22"/>
  <c r="X853" i="22" l="1"/>
  <c r="Y853" i="22" s="1"/>
  <c r="H854" i="22"/>
  <c r="AG853" i="22" l="1"/>
  <c r="F854" i="22" l="1"/>
  <c r="AK853" i="22"/>
  <c r="G854" i="22" s="1"/>
  <c r="T854" i="22" a="1"/>
  <c r="T854" i="22" l="1"/>
  <c r="Q854" i="22" l="1"/>
  <c r="U854" i="22"/>
  <c r="AE854" i="22" s="1"/>
  <c r="D855" i="22" s="1"/>
  <c r="AD854" i="22"/>
  <c r="C855" i="22" s="1"/>
  <c r="V854" i="22"/>
  <c r="AF854" i="22" s="1"/>
  <c r="E855" i="22" s="1"/>
  <c r="W854" i="22" a="1"/>
  <c r="W854" i="22" l="1"/>
  <c r="P854" i="22" a="1"/>
  <c r="P854" i="22" l="1"/>
  <c r="AC854" i="22"/>
  <c r="I855" i="22" l="1"/>
  <c r="R854" i="22"/>
  <c r="S854" i="22" s="1"/>
  <c r="K854" i="22" s="1"/>
  <c r="B855" i="22"/>
  <c r="H855" i="22" l="1"/>
  <c r="X854" i="22"/>
  <c r="Y854" i="22" s="1"/>
  <c r="AG854" i="22" l="1"/>
  <c r="F855" i="22" l="1"/>
  <c r="AK854" i="22"/>
  <c r="G855" i="22" s="1"/>
  <c r="T855" i="22" a="1"/>
  <c r="T855" i="22" l="1"/>
  <c r="Q855" i="22" l="1"/>
  <c r="V855" i="22"/>
  <c r="AF855" i="22" s="1"/>
  <c r="E856" i="22" s="1"/>
  <c r="U855" i="22"/>
  <c r="AE855" i="22" s="1"/>
  <c r="D856" i="22" s="1"/>
  <c r="AD855" i="22"/>
  <c r="C856" i="22" s="1"/>
  <c r="W855" i="22" a="1"/>
  <c r="W855" i="22" l="1"/>
  <c r="P855" i="22" a="1"/>
  <c r="P855" i="22" l="1"/>
  <c r="AC855" i="22"/>
  <c r="B856" i="22" l="1"/>
  <c r="R855" i="22"/>
  <c r="S855" i="22" s="1"/>
  <c r="K855" i="22" s="1"/>
  <c r="I856" i="22"/>
  <c r="H856" i="22" l="1"/>
  <c r="X855" i="22"/>
  <c r="Y855" i="22" s="1"/>
  <c r="AG855" i="22" l="1"/>
  <c r="F856" i="22" l="1"/>
  <c r="AK855" i="22"/>
  <c r="G856" i="22" s="1"/>
  <c r="T856" i="22" a="1"/>
  <c r="T856" i="22" l="1"/>
  <c r="Q856" i="22" l="1"/>
  <c r="U856" i="22"/>
  <c r="AE856" i="22" s="1"/>
  <c r="D857" i="22" s="1"/>
  <c r="V856" i="22"/>
  <c r="AF856" i="22" s="1"/>
  <c r="E857" i="22" s="1"/>
  <c r="AD856" i="22"/>
  <c r="C857" i="22" s="1"/>
  <c r="W856" i="22" a="1"/>
  <c r="W856" i="22" l="1"/>
  <c r="P856" i="22" a="1"/>
  <c r="P856" i="22" l="1"/>
  <c r="AC856" i="22"/>
  <c r="B857" i="22" l="1"/>
  <c r="I857" i="22"/>
  <c r="R856" i="22"/>
  <c r="S856" i="22" s="1"/>
  <c r="K856" i="22" s="1"/>
  <c r="X856" i="22" l="1"/>
  <c r="Y856" i="22" s="1"/>
  <c r="H857" i="22"/>
  <c r="AG856" i="22" l="1"/>
  <c r="F857" i="22" l="1"/>
  <c r="AK856" i="22"/>
  <c r="G857" i="22" s="1"/>
  <c r="T857" i="22" a="1"/>
  <c r="T857" i="22" l="1"/>
  <c r="Q857" i="22" l="1"/>
  <c r="V857" i="22"/>
  <c r="AF857" i="22" s="1"/>
  <c r="E858" i="22" s="1"/>
  <c r="AD857" i="22"/>
  <c r="C858" i="22" s="1"/>
  <c r="U857" i="22"/>
  <c r="AE857" i="22" s="1"/>
  <c r="D858" i="22" s="1"/>
  <c r="W857" i="22" a="1"/>
  <c r="W857" i="22" l="1"/>
  <c r="P857" i="22" a="1"/>
  <c r="P857" i="22" l="1"/>
  <c r="AC857" i="22"/>
  <c r="B858" i="22" l="1"/>
  <c r="I858" i="22"/>
  <c r="R857" i="22"/>
  <c r="S857" i="22" s="1"/>
  <c r="K857" i="22" s="1"/>
  <c r="X857" i="22" l="1"/>
  <c r="Y857" i="22" s="1"/>
  <c r="H858" i="22"/>
  <c r="AG857" i="22" l="1"/>
  <c r="F858" i="22" l="1"/>
  <c r="AK857" i="22"/>
  <c r="G858" i="22" s="1"/>
  <c r="T858" i="22" a="1"/>
  <c r="T858" i="22" l="1"/>
  <c r="Q858" i="22" l="1"/>
  <c r="V858" i="22"/>
  <c r="AF858" i="22" s="1"/>
  <c r="E859" i="22" s="1"/>
  <c r="U858" i="22"/>
  <c r="AE858" i="22" s="1"/>
  <c r="D859" i="22" s="1"/>
  <c r="AD858" i="22"/>
  <c r="C859" i="22" s="1"/>
  <c r="W858" i="22" a="1"/>
  <c r="W858" i="22" l="1"/>
  <c r="P858" i="22" a="1"/>
  <c r="P858" i="22" l="1"/>
  <c r="AC858" i="22"/>
  <c r="I859" i="22" l="1"/>
  <c r="R858" i="22"/>
  <c r="S858" i="22" s="1"/>
  <c r="K858" i="22" s="1"/>
  <c r="B859" i="22"/>
  <c r="H859" i="22" l="1"/>
  <c r="X858" i="22"/>
  <c r="Y858" i="22" s="1"/>
  <c r="AG858" i="22" l="1"/>
  <c r="AK858" i="22" s="1"/>
  <c r="G859" i="22" s="1"/>
  <c r="T859" i="22" a="1"/>
  <c r="F859" i="22" l="1"/>
  <c r="T859" i="22"/>
  <c r="Q859" i="22" l="1"/>
  <c r="V859" i="22"/>
  <c r="AF859" i="22" s="1"/>
  <c r="E860" i="22" s="1"/>
  <c r="U859" i="22"/>
  <c r="AE859" i="22" s="1"/>
  <c r="D860" i="22" s="1"/>
  <c r="AD859" i="22"/>
  <c r="C860" i="22" s="1"/>
  <c r="W859" i="22" a="1"/>
  <c r="W859" i="22" l="1"/>
  <c r="P859" i="22" a="1"/>
  <c r="P859" i="22" l="1"/>
  <c r="AC859" i="22"/>
  <c r="B860" i="22" l="1"/>
  <c r="I860" i="22"/>
  <c r="R859" i="22"/>
  <c r="S859" i="22" s="1"/>
  <c r="K859" i="22" s="1"/>
  <c r="X859" i="22" l="1"/>
  <c r="Y859" i="22" s="1"/>
  <c r="H860" i="22"/>
  <c r="AG859" i="22" l="1"/>
  <c r="F860" i="22" l="1"/>
  <c r="AK859" i="22"/>
  <c r="G860" i="22" s="1"/>
  <c r="T860" i="22" a="1"/>
  <c r="T860" i="22" l="1"/>
  <c r="Q860" i="22" l="1"/>
  <c r="V860" i="22"/>
  <c r="AF860" i="22" s="1"/>
  <c r="E861" i="22" s="1"/>
  <c r="AD860" i="22"/>
  <c r="C861" i="22" s="1"/>
  <c r="U860" i="22"/>
  <c r="AE860" i="22" s="1"/>
  <c r="D861" i="22" s="1"/>
  <c r="W860" i="22" a="1"/>
  <c r="W860" i="22" l="1"/>
  <c r="P860" i="22" a="1"/>
  <c r="P860" i="22" l="1"/>
  <c r="AC860" i="22"/>
  <c r="B861" i="22" l="1"/>
  <c r="R860" i="22"/>
  <c r="S860" i="22" s="1"/>
  <c r="K860" i="22" s="1"/>
  <c r="I861" i="22"/>
  <c r="X860" i="22" l="1"/>
  <c r="Y860" i="22" s="1"/>
  <c r="H861" i="22"/>
  <c r="AG860" i="22" l="1"/>
  <c r="F861" i="22" l="1"/>
  <c r="AK860" i="22"/>
  <c r="G861" i="22" s="1"/>
  <c r="T861" i="22" a="1"/>
  <c r="T861" i="22" l="1"/>
  <c r="Q861" i="22" l="1"/>
  <c r="V861" i="22"/>
  <c r="AF861" i="22" s="1"/>
  <c r="E862" i="22" s="1"/>
  <c r="U861" i="22"/>
  <c r="AE861" i="22" s="1"/>
  <c r="D862" i="22" s="1"/>
  <c r="AD861" i="22"/>
  <c r="C862" i="22" s="1"/>
  <c r="W861" i="22" a="1"/>
  <c r="W861" i="22" l="1"/>
  <c r="P861" i="22" a="1"/>
  <c r="P861" i="22" l="1"/>
  <c r="AC861" i="22"/>
  <c r="R861" i="22" l="1"/>
  <c r="S861" i="22" s="1"/>
  <c r="K861" i="22" s="1"/>
  <c r="I862" i="22"/>
  <c r="B862" i="22"/>
  <c r="X861" i="22" l="1"/>
  <c r="Y861" i="22" s="1"/>
  <c r="H862" i="22"/>
  <c r="AG861" i="22" l="1"/>
  <c r="F862" i="22" l="1"/>
  <c r="AK861" i="22"/>
  <c r="G862" i="22" s="1"/>
  <c r="T862" i="22" a="1"/>
  <c r="T862" i="22" l="1"/>
  <c r="Q862" i="22" l="1"/>
  <c r="V862" i="22"/>
  <c r="AF862" i="22" s="1"/>
  <c r="E863" i="22" s="1"/>
  <c r="U862" i="22"/>
  <c r="AE862" i="22" s="1"/>
  <c r="D863" i="22" s="1"/>
  <c r="AD862" i="22"/>
  <c r="C863" i="22" s="1"/>
  <c r="W862" i="22" a="1"/>
  <c r="W862" i="22" l="1"/>
  <c r="P862" i="22" a="1"/>
  <c r="P862" i="22" l="1"/>
  <c r="AC862" i="22"/>
  <c r="B863" i="22" l="1"/>
  <c r="I863" i="22"/>
  <c r="H863" i="22" s="1"/>
  <c r="R862" i="22"/>
  <c r="S862" i="22" s="1"/>
  <c r="K862" i="22" s="1"/>
  <c r="X862" i="22" l="1"/>
  <c r="Y862" i="22" s="1"/>
  <c r="AG862" i="22" l="1"/>
  <c r="F863" i="22" l="1"/>
  <c r="AK862" i="22"/>
  <c r="G863" i="22" s="1"/>
  <c r="T863" i="22" a="1"/>
  <c r="T863" i="22" l="1"/>
  <c r="Q863" i="22" l="1"/>
  <c r="AD863" i="22"/>
  <c r="C864" i="22" s="1"/>
  <c r="U863" i="22"/>
  <c r="AE863" i="22" s="1"/>
  <c r="D864" i="22" s="1"/>
  <c r="V863" i="22"/>
  <c r="AF863" i="22" s="1"/>
  <c r="E864" i="22" s="1"/>
  <c r="W863" i="22" a="1"/>
  <c r="W863" i="22" l="1"/>
  <c r="P863" i="22" a="1"/>
  <c r="P863" i="22" l="1"/>
  <c r="AC863" i="22"/>
  <c r="R863" i="22" l="1"/>
  <c r="S863" i="22" s="1"/>
  <c r="K863" i="22" s="1"/>
  <c r="I864" i="22"/>
  <c r="B864" i="22"/>
  <c r="H864" i="22" l="1"/>
  <c r="X863" i="22"/>
  <c r="Y863" i="22" s="1"/>
  <c r="AG863" i="22" l="1"/>
  <c r="F864" i="22" l="1"/>
  <c r="AK863" i="22"/>
  <c r="G864" i="22" s="1"/>
  <c r="T864" i="22" a="1"/>
  <c r="T864" i="22" l="1"/>
  <c r="Q864" i="22" l="1"/>
  <c r="V864" i="22"/>
  <c r="AF864" i="22" s="1"/>
  <c r="E865" i="22" s="1"/>
  <c r="U864" i="22"/>
  <c r="AE864" i="22" s="1"/>
  <c r="D865" i="22" s="1"/>
  <c r="AD864" i="22"/>
  <c r="C865" i="22" s="1"/>
  <c r="W864" i="22" a="1"/>
  <c r="W864" i="22" l="1"/>
  <c r="P864" i="22" a="1"/>
  <c r="P864" i="22" l="1"/>
  <c r="AC864" i="22"/>
  <c r="R864" i="22" l="1"/>
  <c r="S864" i="22" s="1"/>
  <c r="K864" i="22" s="1"/>
  <c r="I865" i="22"/>
  <c r="B865" i="22"/>
  <c r="H865" i="22" l="1"/>
  <c r="X864" i="22"/>
  <c r="Y864" i="22" s="1"/>
  <c r="AG864" i="22" l="1"/>
  <c r="F865" i="22" l="1"/>
  <c r="AK864" i="22"/>
  <c r="G865" i="22" s="1"/>
  <c r="T865" i="22" a="1"/>
  <c r="T865" i="22" l="1"/>
  <c r="Q865" i="22" l="1"/>
  <c r="U865" i="22"/>
  <c r="AE865" i="22" s="1"/>
  <c r="D866" i="22" s="1"/>
  <c r="V865" i="22"/>
  <c r="AF865" i="22" s="1"/>
  <c r="E866" i="22" s="1"/>
  <c r="AD865" i="22"/>
  <c r="C866" i="22" s="1"/>
  <c r="W865" i="22" a="1"/>
  <c r="W865" i="22" l="1"/>
  <c r="P865" i="22" a="1"/>
  <c r="P865" i="22" l="1"/>
  <c r="AC865" i="22"/>
  <c r="I866" i="22" l="1"/>
  <c r="R865" i="22"/>
  <c r="S865" i="22" s="1"/>
  <c r="K865" i="22" s="1"/>
  <c r="B866" i="22"/>
  <c r="H866" i="22" l="1"/>
  <c r="X865" i="22"/>
  <c r="Y865" i="22" s="1"/>
  <c r="AG865" i="22" l="1"/>
  <c r="F866" i="22" l="1"/>
  <c r="AK865" i="22"/>
  <c r="G866" i="22" s="1"/>
  <c r="T866" i="22" a="1"/>
  <c r="T866" i="22" l="1"/>
  <c r="Q866" i="22" l="1"/>
  <c r="AD866" i="22"/>
  <c r="C867" i="22" s="1"/>
  <c r="U866" i="22"/>
  <c r="AE866" i="22" s="1"/>
  <c r="D867" i="22" s="1"/>
  <c r="V866" i="22"/>
  <c r="AF866" i="22" s="1"/>
  <c r="E867" i="22" s="1"/>
  <c r="W866" i="22" a="1"/>
  <c r="W866" i="22" l="1"/>
  <c r="P866" i="22" a="1"/>
  <c r="P866" i="22" l="1"/>
  <c r="AC866" i="22"/>
  <c r="B867" i="22" l="1"/>
  <c r="I867" i="22"/>
  <c r="R866" i="22"/>
  <c r="S866" i="22" s="1"/>
  <c r="K866" i="22" s="1"/>
  <c r="X866" i="22" l="1"/>
  <c r="Y866" i="22" s="1"/>
  <c r="H867" i="22"/>
  <c r="AG866" i="22" l="1"/>
  <c r="F867" i="22" l="1"/>
  <c r="AK866" i="22"/>
  <c r="G867" i="22" s="1"/>
  <c r="T867" i="22" a="1"/>
  <c r="T867" i="22" l="1"/>
  <c r="Q867" i="22" l="1"/>
  <c r="U867" i="22"/>
  <c r="AE867" i="22" s="1"/>
  <c r="D868" i="22" s="1"/>
  <c r="AD867" i="22"/>
  <c r="C868" i="22" s="1"/>
  <c r="V867" i="22"/>
  <c r="AF867" i="22" s="1"/>
  <c r="E868" i="22" s="1"/>
  <c r="W867" i="22" a="1"/>
  <c r="W867" i="22" l="1"/>
  <c r="P867" i="22" a="1"/>
  <c r="P867" i="22" l="1"/>
  <c r="AC867" i="22"/>
  <c r="B868" i="22" l="1"/>
  <c r="R867" i="22"/>
  <c r="S867" i="22" s="1"/>
  <c r="K867" i="22" s="1"/>
  <c r="I868" i="22"/>
  <c r="X867" i="22" l="1"/>
  <c r="Y867" i="22" s="1"/>
  <c r="H868" i="22"/>
  <c r="AG867" i="22" l="1"/>
  <c r="F868" i="22" l="1"/>
  <c r="AK867" i="22"/>
  <c r="G868" i="22" s="1"/>
  <c r="T868" i="22" a="1"/>
  <c r="T868" i="22" l="1"/>
  <c r="Q868" i="22" l="1"/>
  <c r="AD868" i="22"/>
  <c r="C869" i="22" s="1"/>
  <c r="V868" i="22"/>
  <c r="AF868" i="22" s="1"/>
  <c r="E869" i="22" s="1"/>
  <c r="U868" i="22"/>
  <c r="AE868" i="22" s="1"/>
  <c r="D869" i="22" s="1"/>
  <c r="W868" i="22" a="1"/>
  <c r="W868" i="22" l="1"/>
  <c r="P868" i="22" a="1"/>
  <c r="P868" i="22" l="1"/>
  <c r="AC868" i="22"/>
  <c r="B869" i="22" l="1"/>
  <c r="I869" i="22"/>
  <c r="R868" i="22"/>
  <c r="S868" i="22" s="1"/>
  <c r="K868" i="22" s="1"/>
  <c r="H869" i="22" l="1"/>
  <c r="X868" i="22"/>
  <c r="Y868" i="22" s="1"/>
  <c r="AG868" i="22" l="1"/>
  <c r="F869" i="22" l="1"/>
  <c r="AK868" i="22"/>
  <c r="G869" i="22" s="1"/>
  <c r="T869" i="22" a="1"/>
  <c r="T869" i="22" l="1"/>
  <c r="Q869" i="22" l="1"/>
  <c r="AD869" i="22"/>
  <c r="C870" i="22" s="1"/>
  <c r="U869" i="22"/>
  <c r="AE869" i="22" s="1"/>
  <c r="D870" i="22" s="1"/>
  <c r="V869" i="22"/>
  <c r="AF869" i="22" s="1"/>
  <c r="E870" i="22" s="1"/>
  <c r="W869" i="22" a="1"/>
  <c r="W869" i="22" l="1"/>
  <c r="P869" i="22" a="1"/>
  <c r="P869" i="22" l="1"/>
  <c r="AC869" i="22"/>
  <c r="B870" i="22" l="1"/>
  <c r="R869" i="22"/>
  <c r="S869" i="22" s="1"/>
  <c r="K869" i="22" s="1"/>
  <c r="I870" i="22"/>
  <c r="X869" i="22" l="1"/>
  <c r="Y869" i="22" s="1"/>
  <c r="H870" i="22"/>
  <c r="AG869" i="22" l="1"/>
  <c r="F870" i="22" l="1"/>
  <c r="AK869" i="22"/>
  <c r="G870" i="22" s="1"/>
  <c r="T870" i="22" a="1"/>
  <c r="T870" i="22" l="1"/>
  <c r="Q870" i="22" l="1"/>
  <c r="U870" i="22"/>
  <c r="AE870" i="22" s="1"/>
  <c r="D871" i="22" s="1"/>
  <c r="AD870" i="22"/>
  <c r="C871" i="22" s="1"/>
  <c r="V870" i="22"/>
  <c r="AF870" i="22" s="1"/>
  <c r="E871" i="22" s="1"/>
  <c r="W870" i="22" a="1"/>
  <c r="W870" i="22" l="1"/>
  <c r="P870" i="22" a="1"/>
  <c r="P870" i="22" l="1"/>
  <c r="AC870" i="22"/>
  <c r="B871" i="22" l="1"/>
  <c r="I871" i="22"/>
  <c r="R870" i="22"/>
  <c r="S870" i="22" s="1"/>
  <c r="K870" i="22" s="1"/>
  <c r="X870" i="22" l="1"/>
  <c r="Y870" i="22" s="1"/>
  <c r="H871" i="22"/>
  <c r="AG870" i="22" l="1"/>
  <c r="F871" i="22" l="1"/>
  <c r="AK870" i="22"/>
  <c r="G871" i="22" s="1"/>
  <c r="T871" i="22" a="1"/>
  <c r="T871" i="22" l="1"/>
  <c r="Q871" i="22" l="1"/>
  <c r="AD871" i="22"/>
  <c r="C872" i="22" s="1"/>
  <c r="V871" i="22"/>
  <c r="AF871" i="22" s="1"/>
  <c r="E872" i="22" s="1"/>
  <c r="U871" i="22"/>
  <c r="AE871" i="22" s="1"/>
  <c r="D872" i="22" s="1"/>
  <c r="W871" i="22" a="1"/>
  <c r="W871" i="22" l="1"/>
  <c r="P871" i="22" a="1"/>
  <c r="P871" i="22" l="1"/>
  <c r="AC871" i="22"/>
  <c r="I872" i="22" l="1"/>
  <c r="R871" i="22"/>
  <c r="S871" i="22" s="1"/>
  <c r="K871" i="22" s="1"/>
  <c r="B872" i="22"/>
  <c r="H872" i="22" l="1"/>
  <c r="X871" i="22"/>
  <c r="Y871" i="22" s="1"/>
  <c r="AG871" i="22" l="1"/>
  <c r="F872" i="22" l="1"/>
  <c r="AK871" i="22"/>
  <c r="G872" i="22" s="1"/>
  <c r="T872" i="22" a="1"/>
  <c r="T872" i="22" l="1"/>
  <c r="Q872" i="22" l="1"/>
  <c r="U872" i="22"/>
  <c r="AE872" i="22" s="1"/>
  <c r="D873" i="22" s="1"/>
  <c r="AD872" i="22"/>
  <c r="C873" i="22" s="1"/>
  <c r="V872" i="22"/>
  <c r="AF872" i="22" s="1"/>
  <c r="E873" i="22" s="1"/>
  <c r="W872" i="22" a="1"/>
  <c r="W872" i="22" l="1"/>
  <c r="P872" i="22" a="1"/>
  <c r="P872" i="22" l="1"/>
  <c r="AC872" i="22"/>
  <c r="B873" i="22" l="1"/>
  <c r="R872" i="22"/>
  <c r="S872" i="22" s="1"/>
  <c r="K872" i="22" s="1"/>
  <c r="I873" i="22"/>
  <c r="X872" i="22" l="1"/>
  <c r="Y872" i="22" s="1"/>
  <c r="H873" i="22"/>
  <c r="AG872" i="22" l="1"/>
  <c r="F873" i="22" l="1"/>
  <c r="AK872" i="22"/>
  <c r="G873" i="22" s="1"/>
  <c r="T873" i="22" a="1"/>
  <c r="T873" i="22" l="1"/>
  <c r="Q873" i="22" l="1"/>
  <c r="U873" i="22"/>
  <c r="AE873" i="22" s="1"/>
  <c r="D874" i="22" s="1"/>
  <c r="V873" i="22"/>
  <c r="AF873" i="22" s="1"/>
  <c r="E874" i="22" s="1"/>
  <c r="AD873" i="22"/>
  <c r="C874" i="22" s="1"/>
  <c r="W873" i="22" a="1"/>
  <c r="W873" i="22" l="1"/>
  <c r="P873" i="22" a="1"/>
  <c r="P873" i="22" l="1"/>
  <c r="AC873" i="22"/>
  <c r="B874" i="22" l="1"/>
  <c r="I874" i="22"/>
  <c r="R873" i="22"/>
  <c r="S873" i="22" s="1"/>
  <c r="K873" i="22" s="1"/>
  <c r="H874" i="22" l="1"/>
  <c r="X873" i="22"/>
  <c r="Y873" i="22" s="1"/>
  <c r="AG873" i="22" l="1"/>
  <c r="F874" i="22" l="1"/>
  <c r="AK873" i="22"/>
  <c r="G874" i="22" s="1"/>
  <c r="T874" i="22" a="1"/>
  <c r="T874" i="22" l="1"/>
  <c r="Q874" i="22" l="1"/>
  <c r="V874" i="22"/>
  <c r="AF874" i="22" s="1"/>
  <c r="E875" i="22" s="1"/>
  <c r="U874" i="22"/>
  <c r="AE874" i="22" s="1"/>
  <c r="D875" i="22" s="1"/>
  <c r="AD874" i="22"/>
  <c r="C875" i="22" s="1"/>
  <c r="W874" i="22" a="1"/>
  <c r="W874" i="22" l="1"/>
  <c r="P874" i="22" a="1"/>
  <c r="P874" i="22" l="1"/>
  <c r="AC874" i="22"/>
  <c r="B875" i="22" l="1"/>
  <c r="R874" i="22"/>
  <c r="S874" i="22" s="1"/>
  <c r="K874" i="22" s="1"/>
  <c r="I875" i="22"/>
  <c r="H875" i="22" l="1"/>
  <c r="X874" i="22"/>
  <c r="Y874" i="22" s="1"/>
  <c r="AG874" i="22" l="1"/>
  <c r="F875" i="22" l="1"/>
  <c r="AK874" i="22"/>
  <c r="G875" i="22" s="1"/>
  <c r="T875" i="22" a="1"/>
  <c r="T875" i="22" l="1"/>
  <c r="Q875" i="22" l="1"/>
  <c r="V875" i="22"/>
  <c r="AF875" i="22" s="1"/>
  <c r="E876" i="22" s="1"/>
  <c r="AD875" i="22"/>
  <c r="C876" i="22" s="1"/>
  <c r="U875" i="22"/>
  <c r="AE875" i="22" s="1"/>
  <c r="D876" i="22" s="1"/>
  <c r="W875" i="22" a="1"/>
  <c r="W875" i="22" l="1"/>
  <c r="P875" i="22" a="1"/>
  <c r="P875" i="22" l="1"/>
  <c r="AC875" i="22"/>
  <c r="B876" i="22" l="1"/>
  <c r="I876" i="22"/>
  <c r="R875" i="22"/>
  <c r="S875" i="22" s="1"/>
  <c r="K875" i="22" s="1"/>
  <c r="H876" i="22" l="1"/>
  <c r="X875" i="22"/>
  <c r="Y875" i="22" s="1"/>
  <c r="AG875" i="22" l="1"/>
  <c r="F876" i="22" l="1"/>
  <c r="AK875" i="22"/>
  <c r="G876" i="22" s="1"/>
  <c r="T876" i="22" a="1"/>
  <c r="T876" i="22" l="1"/>
  <c r="Q876" i="22" l="1"/>
  <c r="U876" i="22"/>
  <c r="AE876" i="22" s="1"/>
  <c r="D877" i="22" s="1"/>
  <c r="AD876" i="22"/>
  <c r="C877" i="22" s="1"/>
  <c r="V876" i="22"/>
  <c r="AF876" i="22" s="1"/>
  <c r="E877" i="22" s="1"/>
  <c r="W876" i="22" a="1"/>
  <c r="W876" i="22" l="1"/>
  <c r="P876" i="22" a="1"/>
  <c r="P876" i="22" l="1"/>
  <c r="AC876" i="22"/>
  <c r="B877" i="22" l="1"/>
  <c r="I877" i="22"/>
  <c r="R876" i="22"/>
  <c r="S876" i="22" s="1"/>
  <c r="K876" i="22" s="1"/>
  <c r="H877" i="22" l="1"/>
  <c r="X876" i="22"/>
  <c r="Y876" i="22" s="1"/>
  <c r="AG876" i="22" l="1"/>
  <c r="F877" i="22" l="1"/>
  <c r="AK876" i="22"/>
  <c r="G877" i="22" s="1"/>
  <c r="T877" i="22" a="1"/>
  <c r="T877" i="22" l="1"/>
  <c r="Q877" i="22" l="1"/>
  <c r="V877" i="22"/>
  <c r="AF877" i="22" s="1"/>
  <c r="E878" i="22" s="1"/>
  <c r="AD877" i="22"/>
  <c r="C878" i="22" s="1"/>
  <c r="U877" i="22"/>
  <c r="AE877" i="22" s="1"/>
  <c r="D878" i="22" s="1"/>
  <c r="W877" i="22" a="1"/>
  <c r="W877" i="22" l="1"/>
  <c r="P877" i="22" a="1"/>
  <c r="P877" i="22" l="1"/>
  <c r="AC877" i="22"/>
  <c r="B878" i="22" l="1"/>
  <c r="I878" i="22"/>
  <c r="R877" i="22"/>
  <c r="S877" i="22" s="1"/>
  <c r="K877" i="22" s="1"/>
  <c r="X877" i="22" l="1"/>
  <c r="Y877" i="22" s="1"/>
  <c r="H878" i="22"/>
  <c r="AG877" i="22" l="1"/>
  <c r="F878" i="22" l="1"/>
  <c r="AK877" i="22"/>
  <c r="G878" i="22" s="1"/>
  <c r="T878" i="22" a="1"/>
  <c r="T878" i="22" l="1"/>
  <c r="Q878" i="22" l="1"/>
  <c r="V878" i="22"/>
  <c r="AF878" i="22" s="1"/>
  <c r="E879" i="22" s="1"/>
  <c r="AD878" i="22"/>
  <c r="C879" i="22" s="1"/>
  <c r="U878" i="22"/>
  <c r="AE878" i="22" s="1"/>
  <c r="D879" i="22" s="1"/>
  <c r="W878" i="22" a="1"/>
  <c r="W878" i="22" l="1"/>
  <c r="P878" i="22" a="1"/>
  <c r="P878" i="22" l="1"/>
  <c r="AC878" i="22"/>
  <c r="B879" i="22" l="1"/>
  <c r="R878" i="22"/>
  <c r="S878" i="22" s="1"/>
  <c r="K878" i="22" s="1"/>
  <c r="I879" i="22"/>
  <c r="X878" i="22" l="1"/>
  <c r="Y878" i="22" s="1"/>
  <c r="H879" i="22"/>
  <c r="AG878" i="22" l="1"/>
  <c r="F879" i="22" l="1"/>
  <c r="AK878" i="22"/>
  <c r="G879" i="22" s="1"/>
  <c r="T879" i="22" a="1"/>
  <c r="T879" i="22" l="1"/>
  <c r="Q879" i="22" l="1"/>
  <c r="U879" i="22"/>
  <c r="AE879" i="22" s="1"/>
  <c r="D880" i="22" s="1"/>
  <c r="V879" i="22"/>
  <c r="AF879" i="22" s="1"/>
  <c r="E880" i="22" s="1"/>
  <c r="AD879" i="22"/>
  <c r="C880" i="22" s="1"/>
  <c r="W879" i="22" a="1"/>
  <c r="W879" i="22" l="1"/>
  <c r="P879" i="22" a="1"/>
  <c r="P879" i="22" l="1"/>
  <c r="AC879" i="22"/>
  <c r="B880" i="22" l="1"/>
  <c r="I880" i="22"/>
  <c r="R879" i="22"/>
  <c r="S879" i="22" s="1"/>
  <c r="K879" i="22" s="1"/>
  <c r="H880" i="22" l="1"/>
  <c r="X879" i="22"/>
  <c r="Y879" i="22" s="1"/>
  <c r="AG879" i="22" l="1"/>
  <c r="F880" i="22" l="1"/>
  <c r="AK879" i="22"/>
  <c r="G880" i="22" s="1"/>
  <c r="T880" i="22" a="1"/>
  <c r="T880" i="22" l="1"/>
  <c r="Q880" i="22" l="1"/>
  <c r="U880" i="22"/>
  <c r="AE880" i="22" s="1"/>
  <c r="D881" i="22" s="1"/>
  <c r="V880" i="22"/>
  <c r="AF880" i="22" s="1"/>
  <c r="E881" i="22" s="1"/>
  <c r="AD880" i="22"/>
  <c r="C881" i="22" s="1"/>
  <c r="W880" i="22" a="1"/>
  <c r="W880" i="22" l="1"/>
  <c r="P880" i="22" a="1"/>
  <c r="P880" i="22" l="1"/>
  <c r="AC880" i="22"/>
  <c r="B881" i="22" l="1"/>
  <c r="R880" i="22"/>
  <c r="S880" i="22" s="1"/>
  <c r="K880" i="22" s="1"/>
  <c r="I881" i="22"/>
  <c r="X880" i="22" l="1"/>
  <c r="Y880" i="22" s="1"/>
  <c r="H881" i="22"/>
  <c r="AG880" i="22" l="1"/>
  <c r="F881" i="22" l="1"/>
  <c r="AK880" i="22"/>
  <c r="G881" i="22" s="1"/>
  <c r="T881" i="22" a="1"/>
  <c r="T881" i="22" l="1"/>
  <c r="Q881" i="22" l="1"/>
  <c r="AD881" i="22"/>
  <c r="C882" i="22" s="1"/>
  <c r="U881" i="22"/>
  <c r="AE881" i="22" s="1"/>
  <c r="D882" i="22" s="1"/>
  <c r="V881" i="22"/>
  <c r="AF881" i="22" s="1"/>
  <c r="E882" i="22" s="1"/>
  <c r="W881" i="22" a="1"/>
  <c r="W881" i="22" l="1"/>
  <c r="P881" i="22" a="1"/>
  <c r="P881" i="22" l="1"/>
  <c r="AC881" i="22"/>
  <c r="B882" i="22" l="1"/>
  <c r="R881" i="22"/>
  <c r="S881" i="22" s="1"/>
  <c r="K881" i="22" s="1"/>
  <c r="I882" i="22"/>
  <c r="H882" i="22" l="1"/>
  <c r="X881" i="22"/>
  <c r="Y881" i="22" s="1"/>
  <c r="AG881" i="22" l="1"/>
  <c r="F882" i="22" l="1"/>
  <c r="AK881" i="22"/>
  <c r="G882" i="22" s="1"/>
  <c r="T882" i="22" a="1"/>
  <c r="T882" i="22" l="1"/>
  <c r="Q882" i="22" l="1"/>
  <c r="V882" i="22"/>
  <c r="AF882" i="22" s="1"/>
  <c r="E883" i="22" s="1"/>
  <c r="AD882" i="22"/>
  <c r="C883" i="22" s="1"/>
  <c r="U882" i="22"/>
  <c r="AE882" i="22" s="1"/>
  <c r="D883" i="22" s="1"/>
  <c r="W882" i="22" a="1"/>
  <c r="W882" i="22" l="1"/>
  <c r="P882" i="22" a="1"/>
  <c r="P882" i="22" l="1"/>
  <c r="AC882" i="22"/>
  <c r="I883" i="22" l="1"/>
  <c r="R882" i="22"/>
  <c r="S882" i="22" s="1"/>
  <c r="K882" i="22" s="1"/>
  <c r="B883" i="22"/>
  <c r="X882" i="22" l="1"/>
  <c r="Y882" i="22" s="1"/>
  <c r="H883" i="22"/>
  <c r="AG882" i="22" l="1"/>
  <c r="F883" i="22" l="1"/>
  <c r="AK882" i="22"/>
  <c r="G883" i="22" s="1"/>
  <c r="T883" i="22" a="1"/>
  <c r="T883" i="22" l="1"/>
  <c r="Q883" i="22" l="1"/>
  <c r="AD883" i="22"/>
  <c r="C884" i="22" s="1"/>
  <c r="U883" i="22"/>
  <c r="AE883" i="22" s="1"/>
  <c r="D884" i="22" s="1"/>
  <c r="V883" i="22"/>
  <c r="AF883" i="22" s="1"/>
  <c r="E884" i="22" s="1"/>
  <c r="W883" i="22" a="1"/>
  <c r="W883" i="22" l="1"/>
  <c r="P883" i="22" a="1"/>
  <c r="P883" i="22" l="1"/>
  <c r="AC883" i="22"/>
  <c r="B884" i="22" l="1"/>
  <c r="I884" i="22"/>
  <c r="R883" i="22"/>
  <c r="S883" i="22" s="1"/>
  <c r="K883" i="22" s="1"/>
  <c r="H884" i="22" l="1"/>
  <c r="X883" i="22"/>
  <c r="Y883" i="22" s="1"/>
  <c r="AG883" i="22" l="1"/>
  <c r="F884" i="22" l="1"/>
  <c r="AK883" i="22"/>
  <c r="G884" i="22" s="1"/>
  <c r="T884" i="22" a="1"/>
  <c r="T884" i="22" l="1"/>
  <c r="Q884" i="22" l="1"/>
  <c r="U884" i="22"/>
  <c r="AE884" i="22" s="1"/>
  <c r="D885" i="22" s="1"/>
  <c r="V884" i="22"/>
  <c r="AF884" i="22" s="1"/>
  <c r="E885" i="22" s="1"/>
  <c r="AD884" i="22"/>
  <c r="C885" i="22" s="1"/>
  <c r="W884" i="22" a="1"/>
  <c r="W884" i="22" l="1"/>
  <c r="P884" i="22" a="1"/>
  <c r="P884" i="22" l="1"/>
  <c r="AC884" i="22"/>
  <c r="B885" i="22" l="1"/>
  <c r="R884" i="22"/>
  <c r="S884" i="22" s="1"/>
  <c r="K884" i="22" s="1"/>
  <c r="I885" i="22"/>
  <c r="X884" i="22" l="1"/>
  <c r="Y884" i="22" s="1"/>
  <c r="H885" i="22"/>
  <c r="AG884" i="22" l="1"/>
  <c r="F885" i="22" l="1"/>
  <c r="AK884" i="22"/>
  <c r="G885" i="22" s="1"/>
  <c r="T885" i="22" a="1"/>
  <c r="T885" i="22" l="1"/>
  <c r="Q885" i="22" l="1"/>
  <c r="V885" i="22"/>
  <c r="AF885" i="22" s="1"/>
  <c r="E886" i="22" s="1"/>
  <c r="AD885" i="22"/>
  <c r="C886" i="22" s="1"/>
  <c r="U885" i="22"/>
  <c r="AE885" i="22" s="1"/>
  <c r="D886" i="22" s="1"/>
  <c r="W885" i="22" a="1"/>
  <c r="W885" i="22" l="1"/>
  <c r="P885" i="22" a="1"/>
  <c r="P885" i="22" l="1"/>
  <c r="AC885" i="22"/>
  <c r="B886" i="22" l="1"/>
  <c r="I886" i="22"/>
  <c r="R885" i="22"/>
  <c r="S885" i="22" s="1"/>
  <c r="K885" i="22" s="1"/>
  <c r="X885" i="22" l="1"/>
  <c r="Y885" i="22" s="1"/>
  <c r="H886" i="22"/>
  <c r="AG885" i="22" l="1"/>
  <c r="F886" i="22" l="1"/>
  <c r="AK885" i="22"/>
  <c r="G886" i="22" s="1"/>
  <c r="T886" i="22" a="1"/>
  <c r="T886" i="22" l="1"/>
  <c r="Q886" i="22" l="1"/>
  <c r="V886" i="22"/>
  <c r="AF886" i="22" s="1"/>
  <c r="E887" i="22" s="1"/>
  <c r="AD886" i="22"/>
  <c r="C887" i="22" s="1"/>
  <c r="U886" i="22"/>
  <c r="AE886" i="22" s="1"/>
  <c r="D887" i="22" s="1"/>
  <c r="W886" i="22" a="1"/>
  <c r="W886" i="22" l="1"/>
  <c r="P886" i="22" a="1"/>
  <c r="P886" i="22" l="1"/>
  <c r="AC886" i="22"/>
  <c r="B887" i="22" l="1"/>
  <c r="I887" i="22"/>
  <c r="R886" i="22"/>
  <c r="S886" i="22" s="1"/>
  <c r="K886" i="22" s="1"/>
  <c r="H887" i="22" l="1"/>
  <c r="X886" i="22"/>
  <c r="Y886" i="22" s="1"/>
  <c r="AG886" i="22" l="1"/>
  <c r="F887" i="22" l="1"/>
  <c r="AK886" i="22"/>
  <c r="G887" i="22" s="1"/>
  <c r="T887" i="22" a="1"/>
  <c r="T887" i="22" l="1"/>
  <c r="Q887" i="22" l="1"/>
  <c r="U887" i="22"/>
  <c r="AE887" i="22" s="1"/>
  <c r="D888" i="22" s="1"/>
  <c r="AD887" i="22"/>
  <c r="C888" i="22" s="1"/>
  <c r="V887" i="22"/>
  <c r="AF887" i="22" s="1"/>
  <c r="E888" i="22" s="1"/>
  <c r="W887" i="22" a="1"/>
  <c r="W887" i="22" l="1"/>
  <c r="P887" i="22" a="1"/>
  <c r="P887" i="22" l="1"/>
  <c r="AC887" i="22"/>
  <c r="B888" i="22" l="1"/>
  <c r="R887" i="22"/>
  <c r="S887" i="22" s="1"/>
  <c r="K887" i="22" s="1"/>
  <c r="I888" i="22"/>
  <c r="X887" i="22" l="1"/>
  <c r="Y887" i="22" s="1"/>
  <c r="H888" i="22"/>
  <c r="AG887" i="22" l="1"/>
  <c r="F888" i="22" l="1"/>
  <c r="AK887" i="22"/>
  <c r="G888" i="22" s="1"/>
  <c r="T888" i="22" a="1"/>
  <c r="T888" i="22" l="1"/>
  <c r="Q888" i="22" l="1"/>
  <c r="U888" i="22"/>
  <c r="AE888" i="22" s="1"/>
  <c r="D889" i="22" s="1"/>
  <c r="AD888" i="22"/>
  <c r="C889" i="22" s="1"/>
  <c r="V888" i="22"/>
  <c r="AF888" i="22" s="1"/>
  <c r="E889" i="22" s="1"/>
  <c r="W888" i="22" a="1"/>
  <c r="W888" i="22" l="1"/>
  <c r="P888" i="22" a="1"/>
  <c r="P888" i="22" l="1"/>
  <c r="AC888" i="22"/>
  <c r="B889" i="22" l="1"/>
  <c r="I889" i="22"/>
  <c r="R888" i="22"/>
  <c r="S888" i="22" s="1"/>
  <c r="K888" i="22" s="1"/>
  <c r="H889" i="22" l="1"/>
  <c r="X888" i="22"/>
  <c r="Y888" i="22" s="1"/>
  <c r="AG888" i="22" l="1"/>
  <c r="F889" i="22" l="1"/>
  <c r="AK888" i="22"/>
  <c r="G889" i="22" s="1"/>
  <c r="T889" i="22" a="1"/>
  <c r="T889" i="22" l="1"/>
  <c r="Q889" i="22" l="1"/>
  <c r="AD889" i="22"/>
  <c r="C890" i="22" s="1"/>
  <c r="U889" i="22"/>
  <c r="AE889" i="22" s="1"/>
  <c r="D890" i="22" s="1"/>
  <c r="V889" i="22"/>
  <c r="AF889" i="22" s="1"/>
  <c r="E890" i="22" s="1"/>
  <c r="W889" i="22" a="1"/>
  <c r="W889" i="22" l="1"/>
  <c r="P889" i="22" a="1"/>
  <c r="P889" i="22" l="1"/>
  <c r="AC889" i="22"/>
  <c r="B890" i="22" l="1"/>
  <c r="R889" i="22"/>
  <c r="S889" i="22" s="1"/>
  <c r="K889" i="22" s="1"/>
  <c r="I890" i="22"/>
  <c r="X889" i="22" l="1"/>
  <c r="Y889" i="22" s="1"/>
  <c r="H890" i="22"/>
  <c r="AG889" i="22" l="1"/>
  <c r="F890" i="22" l="1"/>
  <c r="AK889" i="22"/>
  <c r="G890" i="22" s="1"/>
  <c r="T890" i="22" a="1"/>
  <c r="T890" i="22" l="1"/>
  <c r="Q890" i="22" l="1"/>
  <c r="V890" i="22"/>
  <c r="AF890" i="22" s="1"/>
  <c r="E891" i="22" s="1"/>
  <c r="AD890" i="22"/>
  <c r="C891" i="22" s="1"/>
  <c r="U890" i="22"/>
  <c r="AE890" i="22" s="1"/>
  <c r="D891" i="22" s="1"/>
  <c r="W890" i="22" a="1"/>
  <c r="W890" i="22" l="1"/>
  <c r="P890" i="22" a="1"/>
  <c r="P890" i="22" l="1"/>
  <c r="AC890" i="22"/>
  <c r="B891" i="22" l="1"/>
  <c r="R890" i="22"/>
  <c r="S890" i="22" s="1"/>
  <c r="K890" i="22" s="1"/>
  <c r="I891" i="22"/>
  <c r="H891" i="22" l="1"/>
  <c r="X890" i="22"/>
  <c r="Y890" i="22" s="1"/>
  <c r="AG890" i="22" l="1"/>
  <c r="F891" i="22" l="1"/>
  <c r="AK890" i="22"/>
  <c r="G891" i="22" s="1"/>
  <c r="T891" i="22" a="1"/>
  <c r="T891" i="22" l="1"/>
  <c r="Q891" i="22" l="1"/>
  <c r="U891" i="22"/>
  <c r="AE891" i="22" s="1"/>
  <c r="D892" i="22" s="1"/>
  <c r="V891" i="22"/>
  <c r="AF891" i="22" s="1"/>
  <c r="E892" i="22" s="1"/>
  <c r="AD891" i="22"/>
  <c r="C892" i="22" s="1"/>
  <c r="W891" i="22" a="1"/>
  <c r="W891" i="22" l="1"/>
  <c r="P891" i="22" a="1"/>
  <c r="P891" i="22" l="1"/>
  <c r="AC891" i="22"/>
  <c r="I892" i="22" l="1"/>
  <c r="R891" i="22"/>
  <c r="S891" i="22" s="1"/>
  <c r="K891" i="22" s="1"/>
  <c r="B892" i="22"/>
  <c r="X891" i="22" l="1"/>
  <c r="Y891" i="22" s="1"/>
  <c r="H892" i="22"/>
  <c r="AG891" i="22" l="1"/>
  <c r="F892" i="22" l="1"/>
  <c r="AK891" i="22"/>
  <c r="G892" i="22" s="1"/>
  <c r="T892" i="22" a="1"/>
  <c r="T892" i="22" l="1"/>
  <c r="Q892" i="22" l="1"/>
  <c r="U892" i="22"/>
  <c r="AE892" i="22" s="1"/>
  <c r="D893" i="22" s="1"/>
  <c r="V892" i="22"/>
  <c r="AF892" i="22" s="1"/>
  <c r="E893" i="22" s="1"/>
  <c r="AD892" i="22"/>
  <c r="C893" i="22" s="1"/>
  <c r="W892" i="22" a="1"/>
  <c r="W892" i="22" l="1"/>
  <c r="P892" i="22" a="1"/>
  <c r="P892" i="22" l="1"/>
  <c r="AC892" i="22"/>
  <c r="B893" i="22" l="1"/>
  <c r="I893" i="22"/>
  <c r="R892" i="22"/>
  <c r="S892" i="22" s="1"/>
  <c r="K892" i="22" s="1"/>
  <c r="X892" i="22" l="1"/>
  <c r="Y892" i="22" s="1"/>
  <c r="H893" i="22"/>
  <c r="AG892" i="22" l="1"/>
  <c r="F893" i="22" l="1"/>
  <c r="AK892" i="22"/>
  <c r="G893" i="22" s="1"/>
  <c r="T893" i="22" a="1"/>
  <c r="T893" i="22" l="1"/>
  <c r="Q893" i="22" l="1"/>
  <c r="V893" i="22"/>
  <c r="AF893" i="22" s="1"/>
  <c r="E894" i="22" s="1"/>
  <c r="AD893" i="22"/>
  <c r="C894" i="22" s="1"/>
  <c r="U893" i="22"/>
  <c r="AE893" i="22" s="1"/>
  <c r="D894" i="22" s="1"/>
  <c r="W893" i="22" a="1"/>
  <c r="W893" i="22" l="1"/>
  <c r="P893" i="22" a="1"/>
  <c r="P893" i="22" l="1"/>
  <c r="AC893" i="22"/>
  <c r="B894" i="22" l="1"/>
  <c r="R893" i="22"/>
  <c r="S893" i="22" s="1"/>
  <c r="K893" i="22" s="1"/>
  <c r="I894" i="22"/>
  <c r="H894" i="22" l="1"/>
  <c r="X893" i="22"/>
  <c r="Y893" i="22" s="1"/>
  <c r="AG893" i="22" l="1"/>
  <c r="F894" i="22" l="1"/>
  <c r="AK893" i="22"/>
  <c r="G894" i="22" s="1"/>
  <c r="T894" i="22" a="1"/>
  <c r="T894" i="22" l="1"/>
  <c r="Q894" i="22" l="1"/>
  <c r="U894" i="22"/>
  <c r="AE894" i="22" s="1"/>
  <c r="D895" i="22" s="1"/>
  <c r="AD894" i="22"/>
  <c r="C895" i="22" s="1"/>
  <c r="V894" i="22"/>
  <c r="AF894" i="22" s="1"/>
  <c r="E895" i="22" s="1"/>
  <c r="W894" i="22" a="1"/>
  <c r="W894" i="22" l="1"/>
  <c r="P894" i="22" a="1"/>
  <c r="P894" i="22" l="1"/>
  <c r="AC894" i="22"/>
  <c r="B895" i="22" l="1"/>
  <c r="R894" i="22"/>
  <c r="S894" i="22" s="1"/>
  <c r="K894" i="22" s="1"/>
  <c r="I895" i="22"/>
  <c r="X894" i="22" l="1"/>
  <c r="Y894" i="22" s="1"/>
  <c r="H895" i="22"/>
  <c r="AG894" i="22" l="1"/>
  <c r="F895" i="22" l="1"/>
  <c r="AK894" i="22"/>
  <c r="G895" i="22" s="1"/>
  <c r="T895" i="22" a="1"/>
  <c r="T895" i="22" l="1"/>
  <c r="Q895" i="22" l="1"/>
  <c r="U895" i="22"/>
  <c r="AE895" i="22" s="1"/>
  <c r="D896" i="22" s="1"/>
  <c r="V895" i="22"/>
  <c r="AF895" i="22" s="1"/>
  <c r="E896" i="22" s="1"/>
  <c r="AD895" i="22"/>
  <c r="C896" i="22" s="1"/>
  <c r="W895" i="22" a="1"/>
  <c r="W895" i="22" l="1"/>
  <c r="P895" i="22" a="1"/>
  <c r="P895" i="22" l="1"/>
  <c r="AC895" i="22"/>
  <c r="B896" i="22" l="1"/>
  <c r="R895" i="22"/>
  <c r="S895" i="22" s="1"/>
  <c r="K895" i="22" s="1"/>
  <c r="I896" i="22"/>
  <c r="H896" i="22" l="1"/>
  <c r="X895" i="22"/>
  <c r="Y895" i="22" s="1"/>
  <c r="AG895" i="22" l="1"/>
  <c r="F896" i="22" l="1"/>
  <c r="AK895" i="22"/>
  <c r="G896" i="22" s="1"/>
  <c r="T896" i="22" a="1"/>
  <c r="T896" i="22" l="1"/>
  <c r="Q896" i="22" l="1"/>
  <c r="V896" i="22"/>
  <c r="AF896" i="22" s="1"/>
  <c r="E897" i="22" s="1"/>
  <c r="U896" i="22"/>
  <c r="AE896" i="22" s="1"/>
  <c r="D897" i="22" s="1"/>
  <c r="AD896" i="22"/>
  <c r="C897" i="22" s="1"/>
  <c r="W896" i="22" a="1"/>
  <c r="W896" i="22" l="1"/>
  <c r="P896" i="22" a="1"/>
  <c r="P896" i="22" l="1"/>
  <c r="AC896" i="22"/>
  <c r="I897" i="22" l="1"/>
  <c r="R896" i="22"/>
  <c r="S896" i="22" s="1"/>
  <c r="K896" i="22" s="1"/>
  <c r="B897" i="22"/>
  <c r="X896" i="22" l="1"/>
  <c r="Y896" i="22" s="1"/>
  <c r="H897" i="22"/>
  <c r="AG896" i="22" l="1"/>
  <c r="F897" i="22" l="1"/>
  <c r="AK896" i="22"/>
  <c r="G897" i="22" s="1"/>
  <c r="T897" i="22" a="1"/>
  <c r="T897" i="22" l="1"/>
  <c r="Q897" i="22" l="1"/>
  <c r="AD897" i="22"/>
  <c r="C898" i="22" s="1"/>
  <c r="V897" i="22"/>
  <c r="AF897" i="22" s="1"/>
  <c r="E898" i="22" s="1"/>
  <c r="U897" i="22"/>
  <c r="AE897" i="22" s="1"/>
  <c r="D898" i="22" s="1"/>
  <c r="W897" i="22" a="1"/>
  <c r="W897" i="22" l="1"/>
  <c r="P897" i="22" a="1"/>
  <c r="P897" i="22" l="1"/>
  <c r="AC897" i="22"/>
  <c r="B898" i="22" l="1"/>
  <c r="I898" i="22"/>
  <c r="R897" i="22"/>
  <c r="S897" i="22" s="1"/>
  <c r="K897" i="22" s="1"/>
  <c r="X897" i="22" l="1"/>
  <c r="Y897" i="22" s="1"/>
  <c r="H898" i="22"/>
  <c r="AG897" i="22" l="1"/>
  <c r="F898" i="22" l="1"/>
  <c r="AK897" i="22"/>
  <c r="G898" i="22" s="1"/>
  <c r="T898" i="22" a="1"/>
  <c r="T898" i="22" l="1"/>
  <c r="Q898" i="22" l="1"/>
  <c r="U898" i="22"/>
  <c r="AE898" i="22" s="1"/>
  <c r="D899" i="22" s="1"/>
  <c r="AD898" i="22"/>
  <c r="C899" i="22" s="1"/>
  <c r="V898" i="22"/>
  <c r="AF898" i="22" s="1"/>
  <c r="E899" i="22" s="1"/>
  <c r="W898" i="22" a="1"/>
  <c r="W898" i="22" l="1"/>
  <c r="P898" i="22" a="1"/>
  <c r="P898" i="22" l="1"/>
  <c r="AC898" i="22"/>
  <c r="B899" i="22" l="1"/>
  <c r="I899" i="22"/>
  <c r="R898" i="22"/>
  <c r="S898" i="22" s="1"/>
  <c r="K898" i="22" s="1"/>
  <c r="X898" i="22" l="1"/>
  <c r="Y898" i="22" s="1"/>
  <c r="H899" i="22"/>
  <c r="AG898" i="22" l="1"/>
  <c r="F899" i="22" l="1"/>
  <c r="AK898" i="22"/>
  <c r="G899" i="22" s="1"/>
  <c r="T899" i="22" a="1"/>
  <c r="T899" i="22" l="1"/>
  <c r="Q899" i="22" l="1"/>
  <c r="AD899" i="22"/>
  <c r="C900" i="22" s="1"/>
  <c r="U899" i="22"/>
  <c r="AE899" i="22" s="1"/>
  <c r="D900" i="22" s="1"/>
  <c r="V899" i="22"/>
  <c r="AF899" i="22" s="1"/>
  <c r="E900" i="22" s="1"/>
  <c r="W899" i="22" a="1"/>
  <c r="W899" i="22" l="1"/>
  <c r="P899" i="22" a="1"/>
  <c r="P899" i="22" l="1"/>
  <c r="AC899" i="22"/>
  <c r="B900" i="22" l="1"/>
  <c r="I900" i="22"/>
  <c r="R899" i="22"/>
  <c r="S899" i="22" s="1"/>
  <c r="K899" i="22" s="1"/>
  <c r="X899" i="22" l="1"/>
  <c r="Y899" i="22" s="1"/>
  <c r="H900" i="22"/>
  <c r="AG899" i="22" l="1"/>
  <c r="F900" i="22" l="1"/>
  <c r="AK899" i="22"/>
  <c r="G900" i="22" s="1"/>
  <c r="T900" i="22" a="1"/>
  <c r="T900" i="22" l="1"/>
  <c r="Q900" i="22" l="1"/>
  <c r="V900" i="22"/>
  <c r="AF900" i="22" s="1"/>
  <c r="E901" i="22" s="1"/>
  <c r="U900" i="22"/>
  <c r="AE900" i="22" s="1"/>
  <c r="D901" i="22" s="1"/>
  <c r="AD900" i="22"/>
  <c r="C901" i="22" s="1"/>
  <c r="W900" i="22" a="1"/>
  <c r="W900" i="22" l="1"/>
  <c r="P900" i="22" a="1"/>
  <c r="P900" i="22" l="1"/>
  <c r="AC900" i="22"/>
  <c r="B901" i="22" l="1"/>
  <c r="R900" i="22"/>
  <c r="S900" i="22" s="1"/>
  <c r="K900" i="22" s="1"/>
  <c r="I901" i="22"/>
  <c r="X900" i="22" l="1"/>
  <c r="Y900" i="22" s="1"/>
  <c r="H901" i="22"/>
  <c r="AG900" i="22" l="1"/>
  <c r="F901" i="22" l="1"/>
  <c r="AK900" i="22"/>
  <c r="G901" i="22" s="1"/>
  <c r="T901" i="22" a="1"/>
  <c r="T901" i="22" l="1"/>
  <c r="Q901" i="22" l="1"/>
  <c r="U901" i="22"/>
  <c r="AE901" i="22" s="1"/>
  <c r="D902" i="22" s="1"/>
  <c r="AD901" i="22"/>
  <c r="C902" i="22" s="1"/>
  <c r="V901" i="22"/>
  <c r="AF901" i="22" s="1"/>
  <c r="E902" i="22" s="1"/>
  <c r="W901" i="22" a="1"/>
  <c r="W901" i="22" l="1"/>
  <c r="P901" i="22" a="1"/>
  <c r="P901" i="22" l="1"/>
  <c r="AC901" i="22"/>
  <c r="B902" i="22" l="1"/>
  <c r="R901" i="22"/>
  <c r="S901" i="22" s="1"/>
  <c r="K901" i="22" s="1"/>
  <c r="I902" i="22"/>
  <c r="X901" i="22" l="1"/>
  <c r="Y901" i="22" s="1"/>
  <c r="H902" i="22"/>
  <c r="AG901" i="22" l="1"/>
  <c r="F902" i="22" l="1"/>
  <c r="AK901" i="22"/>
  <c r="G902" i="22" s="1"/>
  <c r="T902" i="22" a="1"/>
  <c r="T902" i="22" l="1"/>
  <c r="Q902" i="22" l="1"/>
  <c r="U902" i="22"/>
  <c r="AE902" i="22" s="1"/>
  <c r="D903" i="22" s="1"/>
  <c r="V902" i="22"/>
  <c r="AF902" i="22" s="1"/>
  <c r="E903" i="22" s="1"/>
  <c r="AD902" i="22"/>
  <c r="C903" i="22" s="1"/>
  <c r="W902" i="22" a="1"/>
  <c r="W902" i="22" l="1"/>
  <c r="P902" i="22" a="1"/>
  <c r="P902" i="22" l="1"/>
  <c r="AC902" i="22"/>
  <c r="I903" i="22" l="1"/>
  <c r="R902" i="22"/>
  <c r="S902" i="22" s="1"/>
  <c r="K902" i="22" s="1"/>
  <c r="B903" i="22"/>
  <c r="X902" i="22" l="1"/>
  <c r="Y902" i="22" s="1"/>
  <c r="H903" i="22"/>
  <c r="AG902" i="22" l="1"/>
  <c r="F903" i="22" l="1"/>
  <c r="AK902" i="22"/>
  <c r="G903" i="22" s="1"/>
  <c r="T903" i="22" a="1"/>
  <c r="T903" i="22" l="1"/>
  <c r="Q903" i="22" l="1"/>
  <c r="AD903" i="22"/>
  <c r="C904" i="22" s="1"/>
  <c r="V903" i="22"/>
  <c r="AF903" i="22" s="1"/>
  <c r="E904" i="22" s="1"/>
  <c r="U903" i="22"/>
  <c r="AE903" i="22" s="1"/>
  <c r="D904" i="22" s="1"/>
  <c r="W903" i="22" a="1"/>
  <c r="W903" i="22" l="1"/>
  <c r="P903" i="22" a="1"/>
  <c r="P903" i="22" l="1"/>
  <c r="AC903" i="22"/>
  <c r="B904" i="22" l="1"/>
  <c r="I904" i="22"/>
  <c r="R903" i="22"/>
  <c r="S903" i="22" s="1"/>
  <c r="K903" i="22" s="1"/>
  <c r="X903" i="22" l="1"/>
  <c r="Y903" i="22" s="1"/>
  <c r="H904" i="22"/>
  <c r="AG903" i="22" l="1"/>
  <c r="F904" i="22" l="1"/>
  <c r="AK903" i="22"/>
  <c r="G904" i="22" s="1"/>
  <c r="T904" i="22" a="1"/>
  <c r="T904" i="22" l="1"/>
  <c r="Q904" i="22" l="1"/>
  <c r="AD904" i="22"/>
  <c r="C905" i="22" s="1"/>
  <c r="U904" i="22"/>
  <c r="AE904" i="22" s="1"/>
  <c r="D905" i="22" s="1"/>
  <c r="V904" i="22"/>
  <c r="AF904" i="22" s="1"/>
  <c r="E905" i="22" s="1"/>
  <c r="W904" i="22" a="1"/>
  <c r="W904" i="22" l="1"/>
  <c r="P904" i="22" a="1"/>
  <c r="P904" i="22" l="1"/>
  <c r="AC904" i="22"/>
  <c r="B905" i="22" l="1"/>
  <c r="R904" i="22"/>
  <c r="S904" i="22" s="1"/>
  <c r="K904" i="22" s="1"/>
  <c r="I905" i="22"/>
  <c r="X904" i="22" l="1"/>
  <c r="Y904" i="22" s="1"/>
  <c r="H905" i="22"/>
  <c r="AG904" i="22" l="1"/>
  <c r="F905" i="22" l="1"/>
  <c r="AK904" i="22"/>
  <c r="G905" i="22" s="1"/>
  <c r="T905" i="22" a="1"/>
  <c r="T905" i="22" l="1"/>
  <c r="Q905" i="22" l="1"/>
  <c r="V905" i="22"/>
  <c r="AF905" i="22" s="1"/>
  <c r="E906" i="22" s="1"/>
  <c r="AD905" i="22"/>
  <c r="C906" i="22" s="1"/>
  <c r="U905" i="22"/>
  <c r="AE905" i="22" s="1"/>
  <c r="D906" i="22" s="1"/>
  <c r="W905" i="22" a="1"/>
  <c r="W905" i="22" l="1"/>
  <c r="P905" i="22" a="1"/>
  <c r="P905" i="22" l="1"/>
  <c r="AC905" i="22"/>
  <c r="B906" i="22" l="1"/>
  <c r="I906" i="22"/>
  <c r="R905" i="22"/>
  <c r="S905" i="22" s="1"/>
  <c r="K905" i="22" s="1"/>
  <c r="H906" i="22" l="1"/>
  <c r="X905" i="22"/>
  <c r="Y905" i="22" s="1"/>
  <c r="AG905" i="22" l="1"/>
  <c r="F906" i="22" l="1"/>
  <c r="AK905" i="22"/>
  <c r="G906" i="22" s="1"/>
  <c r="T906" i="22" a="1"/>
  <c r="T906" i="22" l="1"/>
  <c r="Q906" i="22" l="1"/>
  <c r="V906" i="22"/>
  <c r="AF906" i="22" s="1"/>
  <c r="E907" i="22" s="1"/>
  <c r="U906" i="22"/>
  <c r="AE906" i="22" s="1"/>
  <c r="D907" i="22" s="1"/>
  <c r="AD906" i="22"/>
  <c r="C907" i="22" s="1"/>
  <c r="W906" i="22" a="1"/>
  <c r="W906" i="22" l="1"/>
  <c r="P906" i="22" a="1"/>
  <c r="P906" i="22" l="1"/>
  <c r="AC906" i="22"/>
  <c r="B907" i="22" l="1"/>
  <c r="I907" i="22"/>
  <c r="R906" i="22"/>
  <c r="S906" i="22" s="1"/>
  <c r="K906" i="22" s="1"/>
  <c r="H907" i="22" l="1"/>
  <c r="X906" i="22"/>
  <c r="Y906" i="22" s="1"/>
  <c r="AG906" i="22" l="1"/>
  <c r="F907" i="22" l="1"/>
  <c r="AK906" i="22"/>
  <c r="G907" i="22" s="1"/>
  <c r="T907" i="22" a="1"/>
  <c r="T907" i="22" l="1"/>
  <c r="Q907" i="22" l="1"/>
  <c r="U907" i="22"/>
  <c r="AE907" i="22" s="1"/>
  <c r="D908" i="22" s="1"/>
  <c r="V907" i="22"/>
  <c r="AF907" i="22" s="1"/>
  <c r="E908" i="22" s="1"/>
  <c r="AD907" i="22"/>
  <c r="C908" i="22" s="1"/>
  <c r="W907" i="22" a="1"/>
  <c r="W907" i="22" l="1"/>
  <c r="P907" i="22" a="1"/>
  <c r="P907" i="22" l="1"/>
  <c r="AC907" i="22"/>
  <c r="R907" i="22" l="1"/>
  <c r="S907" i="22" s="1"/>
  <c r="K907" i="22" s="1"/>
  <c r="I908" i="22"/>
  <c r="B908" i="22"/>
  <c r="H908" i="22" l="1"/>
  <c r="X907" i="22"/>
  <c r="Y907" i="22" s="1"/>
  <c r="AG907" i="22" l="1"/>
  <c r="F908" i="22" l="1"/>
  <c r="AK907" i="22"/>
  <c r="G908" i="22" s="1"/>
  <c r="T908" i="22" a="1"/>
  <c r="T908" i="22" l="1"/>
  <c r="Q908" i="22" l="1"/>
  <c r="U908" i="22"/>
  <c r="AE908" i="22" s="1"/>
  <c r="D909" i="22" s="1"/>
  <c r="AD908" i="22"/>
  <c r="C909" i="22" s="1"/>
  <c r="V908" i="22"/>
  <c r="AF908" i="22" s="1"/>
  <c r="E909" i="22" s="1"/>
  <c r="W908" i="22" a="1"/>
  <c r="W908" i="22" l="1"/>
  <c r="P908" i="22" a="1"/>
  <c r="P908" i="22" l="1"/>
  <c r="AC908" i="22"/>
  <c r="B909" i="22" l="1"/>
  <c r="R908" i="22"/>
  <c r="S908" i="22" s="1"/>
  <c r="K908" i="22" s="1"/>
  <c r="I909" i="22"/>
  <c r="H909" i="22" l="1"/>
  <c r="X908" i="22"/>
  <c r="Y908" i="22" s="1"/>
  <c r="AG908" i="22" l="1"/>
  <c r="F909" i="22" l="1"/>
  <c r="AK908" i="22"/>
  <c r="G909" i="22" s="1"/>
  <c r="T909" i="22" a="1"/>
  <c r="T909" i="22" l="1"/>
  <c r="Q909" i="22" l="1"/>
  <c r="U909" i="22"/>
  <c r="AE909" i="22" s="1"/>
  <c r="D910" i="22" s="1"/>
  <c r="AD909" i="22"/>
  <c r="C910" i="22" s="1"/>
  <c r="V909" i="22"/>
  <c r="AF909" i="22" s="1"/>
  <c r="E910" i="22" s="1"/>
  <c r="W909" i="22" a="1"/>
  <c r="W909" i="22" l="1"/>
  <c r="P909" i="22" a="1"/>
  <c r="P909" i="22" l="1"/>
  <c r="AC909" i="22"/>
  <c r="I910" i="22" l="1"/>
  <c r="R909" i="22"/>
  <c r="S909" i="22" s="1"/>
  <c r="K909" i="22" s="1"/>
  <c r="B910" i="22"/>
  <c r="X909" i="22" l="1"/>
  <c r="Y909" i="22" s="1"/>
  <c r="H910" i="22"/>
  <c r="AG909" i="22" l="1"/>
  <c r="F910" i="22" s="1"/>
  <c r="AK909" i="22" l="1"/>
  <c r="G910" i="22" s="1"/>
  <c r="T910" i="22" a="1"/>
  <c r="T910" i="22" l="1"/>
  <c r="Q910" i="22"/>
  <c r="AD910" i="22"/>
  <c r="C911" i="22" s="1"/>
  <c r="V910" i="22"/>
  <c r="AF910" i="22" s="1"/>
  <c r="E911" i="22" s="1"/>
  <c r="U910" i="22"/>
  <c r="AE910" i="22" s="1"/>
  <c r="D911" i="22" s="1"/>
  <c r="W910" i="22" a="1"/>
  <c r="W910" i="22" l="1"/>
  <c r="P910" i="22" a="1"/>
  <c r="P910" i="22" l="1"/>
  <c r="AC910" i="22"/>
  <c r="B911" i="22" l="1"/>
  <c r="R910" i="22"/>
  <c r="S910" i="22" s="1"/>
  <c r="K910" i="22" s="1"/>
  <c r="I911" i="22"/>
  <c r="H911" i="22" l="1"/>
  <c r="X910" i="22"/>
  <c r="Y910" i="22" s="1"/>
  <c r="AG910" i="22" l="1"/>
  <c r="F911" i="22" l="1"/>
  <c r="AK910" i="22"/>
  <c r="G911" i="22" s="1"/>
  <c r="T911" i="22" a="1"/>
  <c r="T911" i="22" l="1"/>
  <c r="Q911" i="22" l="1"/>
  <c r="AD911" i="22"/>
  <c r="C912" i="22" s="1"/>
  <c r="U911" i="22"/>
  <c r="AE911" i="22" s="1"/>
  <c r="D912" i="22" s="1"/>
  <c r="V911" i="22"/>
  <c r="AF911" i="22" s="1"/>
  <c r="E912" i="22" s="1"/>
  <c r="W911" i="22" a="1"/>
  <c r="W911" i="22" l="1"/>
  <c r="P911" i="22" a="1"/>
  <c r="P911" i="22" l="1"/>
  <c r="AC911" i="22"/>
  <c r="I912" i="22" l="1"/>
  <c r="R911" i="22"/>
  <c r="S911" i="22" s="1"/>
  <c r="K911" i="22" s="1"/>
  <c r="B912" i="22"/>
  <c r="H912" i="22" l="1"/>
  <c r="X911" i="22"/>
  <c r="Y911" i="22" s="1"/>
  <c r="AG911" i="22" l="1"/>
  <c r="F912" i="22" l="1"/>
  <c r="AK911" i="22"/>
  <c r="G912" i="22" s="1"/>
  <c r="T912" i="22" a="1"/>
  <c r="T912" i="22" l="1"/>
  <c r="Q912" i="22" l="1"/>
  <c r="U912" i="22"/>
  <c r="AE912" i="22" s="1"/>
  <c r="D913" i="22" s="1"/>
  <c r="AD912" i="22"/>
  <c r="C913" i="22" s="1"/>
  <c r="V912" i="22"/>
  <c r="AF912" i="22" s="1"/>
  <c r="E913" i="22" s="1"/>
  <c r="W912" i="22" a="1"/>
  <c r="W912" i="22" l="1"/>
  <c r="P912" i="22" a="1"/>
  <c r="P912" i="22" l="1"/>
  <c r="AC912" i="22"/>
  <c r="B913" i="22" l="1"/>
  <c r="R912" i="22"/>
  <c r="S912" i="22" s="1"/>
  <c r="K912" i="22" s="1"/>
  <c r="I913" i="22"/>
  <c r="X912" i="22" l="1"/>
  <c r="Y912" i="22" s="1"/>
  <c r="H913" i="22"/>
  <c r="AG912" i="22" l="1"/>
  <c r="F913" i="22" l="1"/>
  <c r="AK912" i="22"/>
  <c r="G913" i="22" s="1"/>
  <c r="T913" i="22" a="1"/>
  <c r="T913" i="22" l="1"/>
  <c r="Q913" i="22" l="1"/>
  <c r="AD913" i="22"/>
  <c r="C914" i="22" s="1"/>
  <c r="V913" i="22"/>
  <c r="AF913" i="22" s="1"/>
  <c r="E914" i="22" s="1"/>
  <c r="U913" i="22"/>
  <c r="AE913" i="22" s="1"/>
  <c r="D914" i="22" s="1"/>
  <c r="W913" i="22" a="1"/>
  <c r="W913" i="22" l="1"/>
  <c r="P913" i="22" a="1"/>
  <c r="P913" i="22" l="1"/>
  <c r="AC913" i="22"/>
  <c r="B914" i="22" l="1"/>
  <c r="I914" i="22"/>
  <c r="R913" i="22"/>
  <c r="S913" i="22" s="1"/>
  <c r="K913" i="22" s="1"/>
  <c r="X913" i="22" l="1"/>
  <c r="Y913" i="22" s="1"/>
  <c r="H914" i="22"/>
  <c r="AG913" i="22" l="1"/>
  <c r="F914" i="22" l="1"/>
  <c r="AK913" i="22"/>
  <c r="G914" i="22" s="1"/>
  <c r="T914" i="22" a="1"/>
  <c r="T914" i="22" l="1"/>
  <c r="Q914" i="22" l="1"/>
  <c r="AD914" i="22"/>
  <c r="C915" i="22" s="1"/>
  <c r="V914" i="22"/>
  <c r="AF914" i="22" s="1"/>
  <c r="E915" i="22" s="1"/>
  <c r="U914" i="22"/>
  <c r="AE914" i="22" s="1"/>
  <c r="D915" i="22" s="1"/>
  <c r="W914" i="22" a="1"/>
  <c r="W914" i="22" l="1"/>
  <c r="P914" i="22" a="1"/>
  <c r="P914" i="22" l="1"/>
  <c r="AC914" i="22"/>
  <c r="B915" i="22" l="1"/>
  <c r="R914" i="22"/>
  <c r="S914" i="22" s="1"/>
  <c r="K914" i="22" s="1"/>
  <c r="I915" i="22"/>
  <c r="X914" i="22" l="1"/>
  <c r="Y914" i="22" s="1"/>
  <c r="H915" i="22"/>
  <c r="AG914" i="22" l="1"/>
  <c r="F915" i="22" l="1"/>
  <c r="AK914" i="22"/>
  <c r="G915" i="22" s="1"/>
  <c r="T915" i="22" a="1"/>
  <c r="T915" i="22" l="1"/>
  <c r="Q915" i="22" l="1"/>
  <c r="AD915" i="22"/>
  <c r="C916" i="22" s="1"/>
  <c r="V915" i="22"/>
  <c r="AF915" i="22" s="1"/>
  <c r="E916" i="22" s="1"/>
  <c r="U915" i="22"/>
  <c r="AE915" i="22" s="1"/>
  <c r="D916" i="22" s="1"/>
  <c r="W915" i="22" a="1"/>
  <c r="W915" i="22" l="1"/>
  <c r="P915" i="22" a="1"/>
  <c r="P915" i="22" l="1"/>
  <c r="AC915" i="22"/>
  <c r="B916" i="22" l="1"/>
  <c r="R915" i="22"/>
  <c r="S915" i="22" s="1"/>
  <c r="K915" i="22" s="1"/>
  <c r="I916" i="22"/>
  <c r="X915" i="22" l="1"/>
  <c r="Y915" i="22" s="1"/>
  <c r="H916" i="22"/>
  <c r="AG915" i="22" l="1"/>
  <c r="F916" i="22" l="1"/>
  <c r="AK915" i="22"/>
  <c r="G916" i="22" s="1"/>
  <c r="T916" i="22" a="1"/>
  <c r="T916" i="22" l="1"/>
  <c r="Q916" i="22" l="1"/>
  <c r="V916" i="22"/>
  <c r="AF916" i="22" s="1"/>
  <c r="E917" i="22" s="1"/>
  <c r="AD916" i="22"/>
  <c r="C917" i="22" s="1"/>
  <c r="U916" i="22"/>
  <c r="AE916" i="22" s="1"/>
  <c r="D917" i="22" s="1"/>
  <c r="W916" i="22" a="1"/>
  <c r="W916" i="22" l="1"/>
  <c r="P916" i="22" a="1"/>
  <c r="P916" i="22" l="1"/>
  <c r="AC916" i="22"/>
  <c r="R916" i="22" l="1"/>
  <c r="S916" i="22" s="1"/>
  <c r="K916" i="22" s="1"/>
  <c r="I917" i="22"/>
  <c r="B917" i="22"/>
  <c r="H917" i="22" l="1"/>
  <c r="X916" i="22"/>
  <c r="Y916" i="22" s="1"/>
  <c r="AG916" i="22" l="1"/>
  <c r="F917" i="22" l="1"/>
  <c r="AK916" i="22"/>
  <c r="G917" i="22" s="1"/>
  <c r="T917" i="22" a="1"/>
  <c r="T917" i="22" l="1"/>
  <c r="Q917" i="22" l="1"/>
  <c r="U917" i="22"/>
  <c r="AE917" i="22" s="1"/>
  <c r="D918" i="22" s="1"/>
  <c r="AD917" i="22"/>
  <c r="C918" i="22" s="1"/>
  <c r="V917" i="22"/>
  <c r="AF917" i="22" s="1"/>
  <c r="E918" i="22" s="1"/>
  <c r="W917" i="22" a="1"/>
  <c r="W917" i="22" l="1"/>
  <c r="P917" i="22" a="1"/>
  <c r="P917" i="22" l="1"/>
  <c r="AC917" i="22"/>
  <c r="B918" i="22" l="1"/>
  <c r="I918" i="22"/>
  <c r="R917" i="22"/>
  <c r="S917" i="22" s="1"/>
  <c r="K917" i="22" s="1"/>
  <c r="X917" i="22" l="1"/>
  <c r="Y917" i="22" s="1"/>
  <c r="H918" i="22"/>
  <c r="AG917" i="22" l="1"/>
  <c r="F918" i="22" l="1"/>
  <c r="AK917" i="22"/>
  <c r="G918" i="22" s="1"/>
  <c r="T918" i="22" a="1"/>
  <c r="T918" i="22" l="1"/>
  <c r="Q918" i="22" l="1"/>
  <c r="V918" i="22"/>
  <c r="AF918" i="22" s="1"/>
  <c r="E919" i="22" s="1"/>
  <c r="AD918" i="22"/>
  <c r="C919" i="22" s="1"/>
  <c r="U918" i="22"/>
  <c r="AE918" i="22" s="1"/>
  <c r="D919" i="22" s="1"/>
  <c r="W918" i="22" a="1"/>
  <c r="W918" i="22" l="1"/>
  <c r="P918" i="22" a="1"/>
  <c r="P918" i="22" l="1"/>
  <c r="AC918" i="22"/>
  <c r="B919" i="22" l="1"/>
  <c r="R918" i="22"/>
  <c r="S918" i="22" s="1"/>
  <c r="K918" i="22" s="1"/>
  <c r="I919" i="22"/>
  <c r="X918" i="22" l="1"/>
  <c r="Y918" i="22" s="1"/>
  <c r="H919" i="22"/>
  <c r="AG918" i="22" l="1"/>
  <c r="F919" i="22" s="1"/>
  <c r="AK918" i="22" l="1"/>
  <c r="G919" i="22" s="1"/>
  <c r="T919" i="22" a="1"/>
  <c r="T919" i="22" l="1"/>
  <c r="Q919" i="22"/>
  <c r="V919" i="22"/>
  <c r="AF919" i="22" s="1"/>
  <c r="E920" i="22" s="1"/>
  <c r="U919" i="22"/>
  <c r="AE919" i="22" s="1"/>
  <c r="D920" i="22" s="1"/>
  <c r="AD919" i="22"/>
  <c r="C920" i="22" s="1"/>
  <c r="W919" i="22" a="1"/>
  <c r="W919" i="22" l="1"/>
  <c r="P919" i="22" a="1"/>
  <c r="P919" i="22" l="1"/>
  <c r="AC919" i="22"/>
  <c r="B920" i="22" l="1"/>
  <c r="R919" i="22"/>
  <c r="S919" i="22" s="1"/>
  <c r="K919" i="22" s="1"/>
  <c r="I920" i="22"/>
  <c r="X919" i="22" l="1"/>
  <c r="Y919" i="22" s="1"/>
  <c r="H920" i="22"/>
  <c r="AG919" i="22" l="1"/>
  <c r="F920" i="22" l="1"/>
  <c r="AK919" i="22"/>
  <c r="G920" i="22" s="1"/>
  <c r="T920" i="22" a="1"/>
  <c r="T920" i="22" l="1"/>
  <c r="Q920" i="22" l="1"/>
  <c r="U920" i="22"/>
  <c r="AE920" i="22" s="1"/>
  <c r="D921" i="22" s="1"/>
  <c r="AD920" i="22"/>
  <c r="C921" i="22" s="1"/>
  <c r="V920" i="22"/>
  <c r="AF920" i="22" s="1"/>
  <c r="E921" i="22" s="1"/>
  <c r="W920" i="22" a="1"/>
  <c r="W920" i="22" l="1"/>
  <c r="P920" i="22" a="1"/>
  <c r="P920" i="22" l="1"/>
  <c r="AC920" i="22"/>
  <c r="B921" i="22" l="1"/>
  <c r="I921" i="22"/>
  <c r="R920" i="22"/>
  <c r="S920" i="22" s="1"/>
  <c r="K920" i="22" s="1"/>
  <c r="X920" i="22" l="1"/>
  <c r="Y920" i="22" s="1"/>
  <c r="H921" i="22"/>
  <c r="AG920" i="22" l="1"/>
  <c r="F921" i="22" l="1"/>
  <c r="AK920" i="22"/>
  <c r="G921" i="22" s="1"/>
  <c r="T921" i="22" a="1"/>
  <c r="T921" i="22" l="1"/>
  <c r="Q921" i="22" l="1"/>
  <c r="V921" i="22"/>
  <c r="AF921" i="22" s="1"/>
  <c r="E922" i="22" s="1"/>
  <c r="U921" i="22"/>
  <c r="AE921" i="22" s="1"/>
  <c r="D922" i="22" s="1"/>
  <c r="AD921" i="22"/>
  <c r="C922" i="22" s="1"/>
  <c r="W921" i="22" a="1"/>
  <c r="W921" i="22" l="1"/>
  <c r="P921" i="22" a="1"/>
  <c r="P921" i="22" l="1"/>
  <c r="AC921" i="22"/>
  <c r="R921" i="22" l="1"/>
  <c r="S921" i="22" s="1"/>
  <c r="K921" i="22" s="1"/>
  <c r="I922" i="22"/>
  <c r="B922" i="22"/>
  <c r="X921" i="22" l="1"/>
  <c r="Y921" i="22" s="1"/>
  <c r="H922" i="22"/>
  <c r="AG921" i="22" l="1"/>
  <c r="F922" i="22" l="1"/>
  <c r="AK921" i="22"/>
  <c r="G922" i="22" s="1"/>
  <c r="T922" i="22" a="1"/>
  <c r="T922" i="22" l="1"/>
  <c r="Q922" i="22" l="1"/>
  <c r="U922" i="22"/>
  <c r="AE922" i="22" s="1"/>
  <c r="D923" i="22" s="1"/>
  <c r="V922" i="22"/>
  <c r="AF922" i="22" s="1"/>
  <c r="E923" i="22" s="1"/>
  <c r="AD922" i="22"/>
  <c r="C923" i="22" s="1"/>
  <c r="W922" i="22" a="1"/>
  <c r="W922" i="22" l="1"/>
  <c r="P922" i="22" a="1"/>
  <c r="P922" i="22" l="1"/>
  <c r="AC922" i="22"/>
  <c r="B923" i="22" l="1"/>
  <c r="I923" i="22"/>
  <c r="R922" i="22"/>
  <c r="S922" i="22" s="1"/>
  <c r="K922" i="22" s="1"/>
  <c r="H923" i="22" l="1"/>
  <c r="X922" i="22"/>
  <c r="Y922" i="22" s="1"/>
  <c r="AG922" i="22" l="1"/>
  <c r="F923" i="22" l="1"/>
  <c r="AK922" i="22"/>
  <c r="G923" i="22" s="1"/>
  <c r="T923" i="22" a="1"/>
  <c r="T923" i="22" l="1"/>
  <c r="Q923" i="22" l="1"/>
  <c r="U923" i="22"/>
  <c r="AE923" i="22" s="1"/>
  <c r="D924" i="22" s="1"/>
  <c r="AD923" i="22"/>
  <c r="C924" i="22" s="1"/>
  <c r="V923" i="22"/>
  <c r="AF923" i="22" s="1"/>
  <c r="E924" i="22" s="1"/>
  <c r="W923" i="22" a="1"/>
  <c r="W923" i="22" l="1"/>
  <c r="P923" i="22" a="1"/>
  <c r="P923" i="22" l="1"/>
  <c r="AC923" i="22"/>
  <c r="B924" i="22" l="1"/>
  <c r="I924" i="22"/>
  <c r="R923" i="22"/>
  <c r="S923" i="22" s="1"/>
  <c r="K923" i="22" s="1"/>
  <c r="X923" i="22" l="1"/>
  <c r="Y923" i="22" s="1"/>
  <c r="H924" i="22"/>
  <c r="AG923" i="22" l="1"/>
  <c r="F924" i="22" s="1"/>
  <c r="AK923" i="22" l="1"/>
  <c r="G924" i="22" s="1"/>
  <c r="T924" i="22" a="1"/>
  <c r="T924" i="22" l="1"/>
  <c r="Q924" i="22"/>
  <c r="V924" i="22"/>
  <c r="AF924" i="22" s="1"/>
  <c r="E925" i="22" s="1"/>
  <c r="AD924" i="22"/>
  <c r="C925" i="22" s="1"/>
  <c r="U924" i="22"/>
  <c r="AE924" i="22" s="1"/>
  <c r="D925" i="22" s="1"/>
  <c r="W924" i="22" a="1"/>
  <c r="W924" i="22" l="1"/>
  <c r="P924" i="22" a="1"/>
  <c r="P924" i="22" l="1"/>
  <c r="AC924" i="22"/>
  <c r="B925" i="22" l="1"/>
  <c r="R924" i="22"/>
  <c r="S924" i="22" s="1"/>
  <c r="K924" i="22" s="1"/>
  <c r="I925" i="22"/>
  <c r="H925" i="22" l="1"/>
  <c r="X924" i="22"/>
  <c r="Y924" i="22" s="1"/>
  <c r="AG924" i="22" l="1"/>
  <c r="F925" i="22" l="1"/>
  <c r="AK924" i="22"/>
  <c r="G925" i="22" s="1"/>
  <c r="T925" i="22" a="1"/>
  <c r="T925" i="22" l="1"/>
  <c r="Q925" i="22" l="1"/>
  <c r="V925" i="22"/>
  <c r="AF925" i="22" s="1"/>
  <c r="E926" i="22" s="1"/>
  <c r="U925" i="22"/>
  <c r="AE925" i="22" s="1"/>
  <c r="D926" i="22" s="1"/>
  <c r="AD925" i="22"/>
  <c r="C926" i="22" s="1"/>
  <c r="W925" i="22" a="1"/>
  <c r="W925" i="22" l="1"/>
  <c r="P925" i="22" a="1"/>
  <c r="P925" i="22" l="1"/>
  <c r="AC925" i="22"/>
  <c r="I926" i="22" l="1"/>
  <c r="R925" i="22"/>
  <c r="S925" i="22" s="1"/>
  <c r="K925" i="22" s="1"/>
  <c r="B926" i="22"/>
  <c r="H926" i="22" l="1"/>
  <c r="X925" i="22"/>
  <c r="Y925" i="22" s="1"/>
  <c r="AG925" i="22" l="1"/>
  <c r="F926" i="22" l="1"/>
  <c r="AK925" i="22"/>
  <c r="G926" i="22" s="1"/>
  <c r="T926" i="22" a="1"/>
  <c r="T926" i="22" l="1"/>
  <c r="Q926" i="22" l="1"/>
  <c r="U926" i="22"/>
  <c r="AE926" i="22" s="1"/>
  <c r="D927" i="22" s="1"/>
  <c r="V926" i="22"/>
  <c r="AF926" i="22" s="1"/>
  <c r="E927" i="22" s="1"/>
  <c r="AD926" i="22"/>
  <c r="C927" i="22" s="1"/>
  <c r="W926" i="22" a="1"/>
  <c r="W926" i="22" l="1"/>
  <c r="P926" i="22" a="1"/>
  <c r="P926" i="22" l="1"/>
  <c r="AC926" i="22"/>
  <c r="B927" i="22" l="1"/>
  <c r="I927" i="22"/>
  <c r="R926" i="22"/>
  <c r="S926" i="22" s="1"/>
  <c r="K926" i="22" s="1"/>
  <c r="H927" i="22" l="1"/>
  <c r="X926" i="22"/>
  <c r="Y926" i="22" s="1"/>
  <c r="AG926" i="22" l="1"/>
  <c r="F927" i="22" l="1"/>
  <c r="AK926" i="22"/>
  <c r="G927" i="22" s="1"/>
  <c r="T927" i="22" a="1"/>
  <c r="T927" i="22" l="1"/>
  <c r="Q927" i="22" l="1"/>
  <c r="V927" i="22"/>
  <c r="AF927" i="22" s="1"/>
  <c r="E928" i="22" s="1"/>
  <c r="U927" i="22"/>
  <c r="AE927" i="22" s="1"/>
  <c r="D928" i="22" s="1"/>
  <c r="AD927" i="22"/>
  <c r="C928" i="22" s="1"/>
  <c r="W927" i="22" a="1"/>
  <c r="W927" i="22" l="1"/>
  <c r="P927" i="22" a="1"/>
  <c r="P927" i="22" l="1"/>
  <c r="AC927" i="22"/>
  <c r="B928" i="22" l="1"/>
  <c r="I928" i="22"/>
  <c r="R927" i="22"/>
  <c r="S927" i="22" s="1"/>
  <c r="K927" i="22" s="1"/>
  <c r="X927" i="22" l="1"/>
  <c r="Y927" i="22" s="1"/>
  <c r="H928" i="22"/>
  <c r="AG927" i="22" l="1"/>
  <c r="F928" i="22" l="1"/>
  <c r="AK927" i="22"/>
  <c r="G928" i="22" s="1"/>
  <c r="T928" i="22" a="1"/>
  <c r="T928" i="22" l="1"/>
  <c r="Q928" i="22" l="1"/>
  <c r="AD928" i="22"/>
  <c r="C929" i="22" s="1"/>
  <c r="U928" i="22"/>
  <c r="AE928" i="22" s="1"/>
  <c r="D929" i="22" s="1"/>
  <c r="V928" i="22"/>
  <c r="AF928" i="22" s="1"/>
  <c r="E929" i="22" s="1"/>
  <c r="W928" i="22" a="1"/>
  <c r="W928" i="22" l="1"/>
  <c r="P928" i="22" a="1"/>
  <c r="P928" i="22" l="1"/>
  <c r="AC928" i="22"/>
  <c r="B929" i="22" l="1"/>
  <c r="I929" i="22"/>
  <c r="R928" i="22"/>
  <c r="S928" i="22" s="1"/>
  <c r="K928" i="22" s="1"/>
  <c r="H929" i="22" l="1"/>
  <c r="X928" i="22"/>
  <c r="Y928" i="22" s="1"/>
  <c r="AG928" i="22" l="1"/>
  <c r="F929" i="22" l="1"/>
  <c r="AK928" i="22"/>
  <c r="G929" i="22" s="1"/>
  <c r="T929" i="22" a="1"/>
  <c r="T929" i="22" l="1"/>
  <c r="Q929" i="22" l="1"/>
  <c r="V929" i="22"/>
  <c r="AF929" i="22" s="1"/>
  <c r="E930" i="22" s="1"/>
  <c r="U929" i="22"/>
  <c r="AE929" i="22" s="1"/>
  <c r="D930" i="22" s="1"/>
  <c r="AD929" i="22"/>
  <c r="C930" i="22" s="1"/>
  <c r="W929" i="22" a="1"/>
  <c r="W929" i="22" l="1"/>
  <c r="P929" i="22" a="1"/>
  <c r="P929" i="22" l="1"/>
  <c r="AC929" i="22"/>
  <c r="B930" i="22" l="1"/>
  <c r="R929" i="22"/>
  <c r="S929" i="22" s="1"/>
  <c r="K929" i="22" s="1"/>
  <c r="I930" i="22"/>
  <c r="X929" i="22" l="1"/>
  <c r="Y929" i="22" s="1"/>
  <c r="H930" i="22"/>
  <c r="AG929" i="22" l="1"/>
  <c r="F930" i="22" l="1"/>
  <c r="AK929" i="22"/>
  <c r="G930" i="22" s="1"/>
  <c r="T930" i="22" a="1"/>
  <c r="T930" i="22" l="1"/>
  <c r="Q930" i="22" l="1"/>
  <c r="U930" i="22"/>
  <c r="AE930" i="22" s="1"/>
  <c r="D931" i="22" s="1"/>
  <c r="AD930" i="22"/>
  <c r="C931" i="22" s="1"/>
  <c r="V930" i="22"/>
  <c r="AF930" i="22" s="1"/>
  <c r="E931" i="22" s="1"/>
  <c r="W930" i="22" a="1"/>
  <c r="W930" i="22" l="1"/>
  <c r="P930" i="22" a="1"/>
  <c r="P930" i="22" l="1"/>
  <c r="AC930" i="22"/>
  <c r="B931" i="22" l="1"/>
  <c r="R930" i="22"/>
  <c r="S930" i="22" s="1"/>
  <c r="K930" i="22" s="1"/>
  <c r="I931" i="22"/>
  <c r="X930" i="22" l="1"/>
  <c r="Y930" i="22" s="1"/>
  <c r="H931" i="22"/>
  <c r="AG930" i="22" l="1"/>
  <c r="F931" i="22" l="1"/>
  <c r="AK930" i="22"/>
  <c r="G931" i="22" s="1"/>
  <c r="T931" i="22" a="1"/>
  <c r="T931" i="22" l="1"/>
  <c r="Q931" i="22" l="1"/>
  <c r="AD931" i="22"/>
  <c r="C932" i="22" s="1"/>
  <c r="V931" i="22"/>
  <c r="AF931" i="22" s="1"/>
  <c r="E932" i="22" s="1"/>
  <c r="U931" i="22"/>
  <c r="AE931" i="22" s="1"/>
  <c r="D932" i="22" s="1"/>
  <c r="W931" i="22" a="1"/>
  <c r="W931" i="22" l="1"/>
  <c r="P931" i="22" a="1"/>
  <c r="P931" i="22" l="1"/>
  <c r="AC931" i="22"/>
  <c r="B932" i="22" l="1"/>
  <c r="I932" i="22"/>
  <c r="R931" i="22"/>
  <c r="S931" i="22" s="1"/>
  <c r="K931" i="22" s="1"/>
  <c r="X931" i="22" l="1"/>
  <c r="Y931" i="22" s="1"/>
  <c r="H932" i="22"/>
  <c r="AG931" i="22" l="1"/>
  <c r="F932" i="22" l="1"/>
  <c r="AK931" i="22"/>
  <c r="G932" i="22" s="1"/>
  <c r="T932" i="22" a="1"/>
  <c r="T932" i="22" l="1"/>
  <c r="Q932" i="22" l="1"/>
  <c r="V932" i="22"/>
  <c r="AF932" i="22" s="1"/>
  <c r="E933" i="22" s="1"/>
  <c r="AD932" i="22"/>
  <c r="C933" i="22" s="1"/>
  <c r="U932" i="22"/>
  <c r="AE932" i="22" s="1"/>
  <c r="D933" i="22" s="1"/>
  <c r="W932" i="22" a="1"/>
  <c r="W932" i="22" l="1"/>
  <c r="P932" i="22" a="1"/>
  <c r="P932" i="22" l="1"/>
  <c r="AC932" i="22"/>
  <c r="B933" i="22" l="1"/>
  <c r="R932" i="22"/>
  <c r="S932" i="22" s="1"/>
  <c r="K932" i="22" s="1"/>
  <c r="I933" i="22"/>
  <c r="X932" i="22" l="1"/>
  <c r="Y932" i="22" s="1"/>
  <c r="H933" i="22"/>
  <c r="AG932" i="22" l="1"/>
  <c r="F933" i="22" l="1"/>
  <c r="AK932" i="22"/>
  <c r="G933" i="22" s="1"/>
  <c r="T933" i="22" a="1"/>
  <c r="T933" i="22" l="1"/>
  <c r="Q933" i="22" l="1"/>
  <c r="V933" i="22"/>
  <c r="AF933" i="22" s="1"/>
  <c r="E934" i="22" s="1"/>
  <c r="U933" i="22"/>
  <c r="AE933" i="22" s="1"/>
  <c r="D934" i="22" s="1"/>
  <c r="AD933" i="22"/>
  <c r="C934" i="22" s="1"/>
  <c r="W933" i="22" a="1"/>
  <c r="W933" i="22" l="1"/>
  <c r="P933" i="22" a="1"/>
  <c r="P933" i="22" l="1"/>
  <c r="AC933" i="22"/>
  <c r="R933" i="22" l="1"/>
  <c r="S933" i="22" s="1"/>
  <c r="K933" i="22" s="1"/>
  <c r="I934" i="22"/>
  <c r="B934" i="22"/>
  <c r="H934" i="22" l="1"/>
  <c r="X933" i="22"/>
  <c r="Y933" i="22" s="1"/>
  <c r="AG933" i="22" l="1"/>
  <c r="F934" i="22" l="1"/>
  <c r="AK933" i="22"/>
  <c r="G934" i="22" s="1"/>
  <c r="T934" i="22" a="1"/>
  <c r="T934" i="22" l="1"/>
  <c r="Q934" i="22" l="1"/>
  <c r="V934" i="22"/>
  <c r="AF934" i="22" s="1"/>
  <c r="E935" i="22" s="1"/>
  <c r="AD934" i="22"/>
  <c r="C935" i="22" s="1"/>
  <c r="U934" i="22"/>
  <c r="AE934" i="22" s="1"/>
  <c r="D935" i="22" s="1"/>
  <c r="W934" i="22" a="1"/>
  <c r="W934" i="22" l="1"/>
  <c r="P934" i="22" a="1"/>
  <c r="P934" i="22" l="1"/>
  <c r="AC934" i="22"/>
  <c r="B935" i="22" l="1"/>
  <c r="I935" i="22"/>
  <c r="R934" i="22"/>
  <c r="S934" i="22" s="1"/>
  <c r="K934" i="22" s="1"/>
  <c r="X934" i="22" l="1"/>
  <c r="Y934" i="22" s="1"/>
  <c r="H935" i="22"/>
  <c r="AG934" i="22" l="1"/>
  <c r="F935" i="22" l="1"/>
  <c r="AK934" i="22"/>
  <c r="G935" i="22" s="1"/>
  <c r="T935" i="22" a="1"/>
  <c r="T935" i="22" l="1"/>
  <c r="Q935" i="22" l="1"/>
  <c r="AD935" i="22"/>
  <c r="C936" i="22" s="1"/>
  <c r="U935" i="22"/>
  <c r="AE935" i="22" s="1"/>
  <c r="D936" i="22" s="1"/>
  <c r="V935" i="22"/>
  <c r="AF935" i="22" s="1"/>
  <c r="E936" i="22" s="1"/>
  <c r="W935" i="22" a="1"/>
  <c r="W935" i="22" l="1"/>
  <c r="P935" i="22" a="1"/>
  <c r="P935" i="22" l="1"/>
  <c r="AC935" i="22"/>
  <c r="I936" i="22" l="1"/>
  <c r="R935" i="22"/>
  <c r="S935" i="22" s="1"/>
  <c r="K935" i="22" s="1"/>
  <c r="B936" i="22"/>
  <c r="H936" i="22" l="1"/>
  <c r="X935" i="22"/>
  <c r="Y935" i="22" s="1"/>
  <c r="AG935" i="22" l="1"/>
  <c r="F936" i="22" l="1"/>
  <c r="AK935" i="22"/>
  <c r="G936" i="22" s="1"/>
  <c r="T936" i="22" a="1"/>
  <c r="T936" i="22" l="1"/>
  <c r="Q936" i="22" l="1"/>
  <c r="U936" i="22"/>
  <c r="AE936" i="22" s="1"/>
  <c r="D937" i="22" s="1"/>
  <c r="V936" i="22"/>
  <c r="AF936" i="22" s="1"/>
  <c r="E937" i="22" s="1"/>
  <c r="AD936" i="22"/>
  <c r="C937" i="22" s="1"/>
  <c r="W936" i="22" a="1"/>
  <c r="W936" i="22" l="1"/>
  <c r="P936" i="22" a="1"/>
  <c r="P936" i="22" l="1"/>
  <c r="AC936" i="22"/>
  <c r="B937" i="22" l="1"/>
  <c r="R936" i="22"/>
  <c r="S936" i="22" s="1"/>
  <c r="K936" i="22" s="1"/>
  <c r="I937" i="22"/>
  <c r="X936" i="22" l="1"/>
  <c r="Y936" i="22" s="1"/>
  <c r="H937" i="22"/>
  <c r="AG936" i="22" l="1"/>
  <c r="F937" i="22" l="1"/>
  <c r="AK936" i="22"/>
  <c r="G937" i="22" s="1"/>
  <c r="T937" i="22" a="1"/>
  <c r="T937" i="22" l="1"/>
  <c r="Q937" i="22" l="1"/>
  <c r="U937" i="22"/>
  <c r="AE937" i="22" s="1"/>
  <c r="D938" i="22" s="1"/>
  <c r="V937" i="22"/>
  <c r="AF937" i="22" s="1"/>
  <c r="E938" i="22" s="1"/>
  <c r="AD937" i="22"/>
  <c r="C938" i="22" s="1"/>
  <c r="W937" i="22" a="1"/>
  <c r="W937" i="22" l="1"/>
  <c r="P937" i="22" a="1"/>
  <c r="P937" i="22" l="1"/>
  <c r="AC937" i="22"/>
  <c r="B938" i="22" l="1"/>
  <c r="I938" i="22"/>
  <c r="R937" i="22"/>
  <c r="S937" i="22" s="1"/>
  <c r="K937" i="22" s="1"/>
  <c r="H938" i="22" l="1"/>
  <c r="X937" i="22"/>
  <c r="Y937" i="22" s="1"/>
  <c r="AG937" i="22" l="1"/>
  <c r="F938" i="22" l="1"/>
  <c r="AK937" i="22"/>
  <c r="G938" i="22" s="1"/>
  <c r="T938" i="22" a="1"/>
  <c r="T938" i="22" l="1"/>
  <c r="Q938" i="22" l="1"/>
  <c r="AD938" i="22"/>
  <c r="C939" i="22" s="1"/>
  <c r="V938" i="22"/>
  <c r="AF938" i="22" s="1"/>
  <c r="E939" i="22" s="1"/>
  <c r="U938" i="22"/>
  <c r="AE938" i="22" s="1"/>
  <c r="D939" i="22" s="1"/>
  <c r="W938" i="22" a="1"/>
  <c r="W938" i="22" l="1"/>
  <c r="P938" i="22" a="1"/>
  <c r="P938" i="22" l="1"/>
  <c r="AC938" i="22"/>
  <c r="B939" i="22" l="1"/>
  <c r="R938" i="22"/>
  <c r="S938" i="22" s="1"/>
  <c r="K938" i="22" s="1"/>
  <c r="I939" i="22"/>
  <c r="H939" i="22" l="1"/>
  <c r="X938" i="22"/>
  <c r="Y938" i="22" s="1"/>
  <c r="AG938" i="22" l="1"/>
  <c r="F939" i="22" l="1"/>
  <c r="AK938" i="22"/>
  <c r="G939" i="22" s="1"/>
  <c r="T939" i="22" a="1"/>
  <c r="T939" i="22" l="1"/>
  <c r="Q939" i="22" l="1"/>
  <c r="V939" i="22"/>
  <c r="AF939" i="22" s="1"/>
  <c r="E940" i="22" s="1"/>
  <c r="U939" i="22"/>
  <c r="AE939" i="22" s="1"/>
  <c r="D940" i="22" s="1"/>
  <c r="AD939" i="22"/>
  <c r="C940" i="22" s="1"/>
  <c r="W939" i="22" a="1"/>
  <c r="W939" i="22" l="1"/>
  <c r="P939" i="22" a="1"/>
  <c r="P939" i="22" l="1"/>
  <c r="AC939" i="22"/>
  <c r="B940" i="22" l="1"/>
  <c r="I940" i="22"/>
  <c r="R939" i="22"/>
  <c r="S939" i="22" s="1"/>
  <c r="K939" i="22" s="1"/>
  <c r="H940" i="22" l="1"/>
  <c r="X939" i="22"/>
  <c r="Y939" i="22" s="1"/>
  <c r="AG939" i="22" l="1"/>
  <c r="F940" i="22" l="1"/>
  <c r="AK939" i="22"/>
  <c r="G940" i="22" s="1"/>
  <c r="T940" i="22" a="1"/>
  <c r="T940" i="22" l="1"/>
  <c r="Q940" i="22" l="1"/>
  <c r="AD940" i="22"/>
  <c r="C941" i="22" s="1"/>
  <c r="V940" i="22"/>
  <c r="AF940" i="22" s="1"/>
  <c r="E941" i="22" s="1"/>
  <c r="U940" i="22"/>
  <c r="AE940" i="22" s="1"/>
  <c r="D941" i="22" s="1"/>
  <c r="W940" i="22" a="1"/>
  <c r="W940" i="22" l="1"/>
  <c r="P940" i="22" a="1"/>
  <c r="P940" i="22" l="1"/>
  <c r="AC940" i="22"/>
  <c r="B941" i="22" l="1"/>
  <c r="R940" i="22"/>
  <c r="S940" i="22" s="1"/>
  <c r="K940" i="22" s="1"/>
  <c r="I941" i="22"/>
  <c r="X940" i="22" l="1"/>
  <c r="Y940" i="22" s="1"/>
  <c r="H941" i="22"/>
  <c r="AG940" i="22" l="1"/>
  <c r="F941" i="22" l="1"/>
  <c r="AK940" i="22"/>
  <c r="G941" i="22" s="1"/>
  <c r="T941" i="22" a="1"/>
  <c r="T941" i="22" l="1"/>
  <c r="Q941" i="22" l="1"/>
  <c r="V941" i="22"/>
  <c r="AF941" i="22" s="1"/>
  <c r="E942" i="22" s="1"/>
  <c r="AD941" i="22"/>
  <c r="C942" i="22" s="1"/>
  <c r="U941" i="22"/>
  <c r="AE941" i="22" s="1"/>
  <c r="D942" i="22" s="1"/>
  <c r="W941" i="22" a="1"/>
  <c r="W941" i="22" l="1"/>
  <c r="P941" i="22" a="1"/>
  <c r="P941" i="22" l="1"/>
  <c r="AC941" i="22"/>
  <c r="B942" i="22" l="1"/>
  <c r="I942" i="22"/>
  <c r="R941" i="22"/>
  <c r="S941" i="22" s="1"/>
  <c r="K941" i="22" s="1"/>
  <c r="X941" i="22" l="1"/>
  <c r="Y941" i="22" s="1"/>
  <c r="H942" i="22"/>
  <c r="AG941" i="22" l="1"/>
  <c r="F942" i="22" l="1"/>
  <c r="AK941" i="22"/>
  <c r="G942" i="22" s="1"/>
  <c r="T942" i="22" a="1"/>
  <c r="T942" i="22" l="1"/>
  <c r="Q942" i="22" l="1"/>
  <c r="U942" i="22"/>
  <c r="AE942" i="22" s="1"/>
  <c r="D943" i="22" s="1"/>
  <c r="AD942" i="22"/>
  <c r="C943" i="22" s="1"/>
  <c r="V942" i="22"/>
  <c r="AF942" i="22" s="1"/>
  <c r="E943" i="22" s="1"/>
  <c r="W942" i="22" a="1"/>
  <c r="W942" i="22" l="1"/>
  <c r="P942" i="22" a="1"/>
  <c r="P942" i="22" l="1"/>
  <c r="AC942" i="22"/>
  <c r="I943" i="22" l="1"/>
  <c r="R942" i="22"/>
  <c r="S942" i="22" s="1"/>
  <c r="K942" i="22" s="1"/>
  <c r="B943" i="22"/>
  <c r="H943" i="22" l="1"/>
  <c r="X942" i="22"/>
  <c r="Y942" i="22" s="1"/>
  <c r="AG942" i="22" l="1"/>
  <c r="F943" i="22" l="1"/>
  <c r="AK942" i="22"/>
  <c r="G943" i="22" s="1"/>
  <c r="T943" i="22" a="1"/>
  <c r="T943" i="22" l="1"/>
  <c r="Q943" i="22" l="1"/>
  <c r="V943" i="22"/>
  <c r="AF943" i="22" s="1"/>
  <c r="E944" i="22" s="1"/>
  <c r="U943" i="22"/>
  <c r="AE943" i="22" s="1"/>
  <c r="D944" i="22" s="1"/>
  <c r="AD943" i="22"/>
  <c r="C944" i="22" s="1"/>
  <c r="W943" i="22" a="1"/>
  <c r="W943" i="22" l="1"/>
  <c r="P943" i="22" a="1"/>
  <c r="P943" i="22" l="1"/>
  <c r="AC943" i="22"/>
  <c r="B944" i="22" l="1"/>
  <c r="I944" i="22"/>
  <c r="R943" i="22"/>
  <c r="S943" i="22" s="1"/>
  <c r="K943" i="22" s="1"/>
  <c r="H944" i="22" l="1"/>
  <c r="X943" i="22"/>
  <c r="Y943" i="22" s="1"/>
  <c r="AG943" i="22" l="1"/>
  <c r="F944" i="22" l="1"/>
  <c r="AK943" i="22"/>
  <c r="G944" i="22" s="1"/>
  <c r="T944" i="22" a="1"/>
  <c r="T944" i="22" l="1"/>
  <c r="Q944" i="22" l="1"/>
  <c r="V944" i="22"/>
  <c r="AF944" i="22" s="1"/>
  <c r="E945" i="22" s="1"/>
  <c r="AD944" i="22"/>
  <c r="C945" i="22" s="1"/>
  <c r="U944" i="22"/>
  <c r="AE944" i="22" s="1"/>
  <c r="D945" i="22" s="1"/>
  <c r="W944" i="22" a="1"/>
  <c r="W944" i="22" l="1"/>
  <c r="P944" i="22" a="1"/>
  <c r="P944" i="22" l="1"/>
  <c r="AC944" i="22"/>
  <c r="B945" i="22" l="1"/>
  <c r="I945" i="22"/>
  <c r="R944" i="22"/>
  <c r="S944" i="22" s="1"/>
  <c r="K944" i="22" s="1"/>
  <c r="X944" i="22" l="1"/>
  <c r="Y944" i="22" s="1"/>
  <c r="H945" i="22"/>
  <c r="AG944" i="22" l="1"/>
  <c r="F945" i="22" l="1"/>
  <c r="AK944" i="22"/>
  <c r="G945" i="22" s="1"/>
  <c r="T945" i="22" a="1"/>
  <c r="T945" i="22" l="1"/>
  <c r="Q945" i="22" l="1"/>
  <c r="AD945" i="22"/>
  <c r="C946" i="22" s="1"/>
  <c r="V945" i="22"/>
  <c r="AF945" i="22" s="1"/>
  <c r="E946" i="22" s="1"/>
  <c r="U945" i="22"/>
  <c r="AE945" i="22" s="1"/>
  <c r="D946" i="22" s="1"/>
  <c r="W945" i="22" a="1"/>
  <c r="W945" i="22" l="1"/>
  <c r="P945" i="22" a="1"/>
  <c r="P945" i="22" l="1"/>
  <c r="AC945" i="22"/>
  <c r="B946" i="22" l="1"/>
  <c r="R945" i="22"/>
  <c r="S945" i="22" s="1"/>
  <c r="K945" i="22" s="1"/>
  <c r="I946" i="22"/>
  <c r="H946" i="22" l="1"/>
  <c r="X945" i="22"/>
  <c r="Y945" i="22" s="1"/>
  <c r="AG945" i="22" l="1"/>
  <c r="F946" i="22" l="1"/>
  <c r="AK945" i="22"/>
  <c r="G946" i="22" s="1"/>
  <c r="T946" i="22" a="1"/>
  <c r="T946" i="22" l="1"/>
  <c r="Q946" i="22" l="1"/>
  <c r="V946" i="22"/>
  <c r="AF946" i="22" s="1"/>
  <c r="E947" i="22" s="1"/>
  <c r="U946" i="22"/>
  <c r="AE946" i="22" s="1"/>
  <c r="D947" i="22" s="1"/>
  <c r="AD946" i="22"/>
  <c r="C947" i="22" s="1"/>
  <c r="W946" i="22" a="1"/>
  <c r="W946" i="22" l="1"/>
  <c r="P946" i="22" a="1"/>
  <c r="P946" i="22" l="1"/>
  <c r="AC946" i="22"/>
  <c r="B947" i="22" l="1"/>
  <c r="R946" i="22"/>
  <c r="S946" i="22" s="1"/>
  <c r="K946" i="22" s="1"/>
  <c r="I947" i="22"/>
  <c r="X946" i="22" l="1"/>
  <c r="Y946" i="22" s="1"/>
  <c r="H947" i="22"/>
  <c r="AG946" i="22" l="1"/>
  <c r="F947" i="22" l="1"/>
  <c r="AK946" i="22"/>
  <c r="G947" i="22" s="1"/>
  <c r="T947" i="22" a="1"/>
  <c r="T947" i="22" l="1"/>
  <c r="Q947" i="22" l="1"/>
  <c r="AD947" i="22"/>
  <c r="C948" i="22" s="1"/>
  <c r="U947" i="22"/>
  <c r="AE947" i="22" s="1"/>
  <c r="D948" i="22" s="1"/>
  <c r="V947" i="22"/>
  <c r="AF947" i="22" s="1"/>
  <c r="E948" i="22" s="1"/>
  <c r="W947" i="22" a="1"/>
  <c r="W947" i="22" l="1"/>
  <c r="P947" i="22" a="1"/>
  <c r="P947" i="22" l="1"/>
  <c r="AC947" i="22"/>
  <c r="B948" i="22" l="1"/>
  <c r="I948" i="22"/>
  <c r="R947" i="22"/>
  <c r="S947" i="22" s="1"/>
  <c r="K947" i="22" s="1"/>
  <c r="H948" i="22" l="1"/>
  <c r="X947" i="22"/>
  <c r="Y947" i="22" s="1"/>
  <c r="AG947" i="22" l="1"/>
  <c r="F948" i="22" l="1"/>
  <c r="AK947" i="22"/>
  <c r="G948" i="22" s="1"/>
  <c r="T948" i="22" a="1"/>
  <c r="T948" i="22" l="1"/>
  <c r="Q948" i="22" l="1"/>
  <c r="V948" i="22"/>
  <c r="AF948" i="22" s="1"/>
  <c r="E949" i="22" s="1"/>
  <c r="U948" i="22"/>
  <c r="AE948" i="22" s="1"/>
  <c r="D949" i="22" s="1"/>
  <c r="AD948" i="22"/>
  <c r="C949" i="22" s="1"/>
  <c r="W948" i="22" a="1"/>
  <c r="W948" i="22" l="1"/>
  <c r="P948" i="22" a="1"/>
  <c r="P948" i="22" l="1"/>
  <c r="AC948" i="22"/>
  <c r="B949" i="22" l="1"/>
  <c r="R948" i="22"/>
  <c r="S948" i="22" s="1"/>
  <c r="K948" i="22" s="1"/>
  <c r="I949" i="22"/>
  <c r="H949" i="22" l="1"/>
  <c r="X948" i="22"/>
  <c r="Y948" i="22" s="1"/>
  <c r="AG948" i="22" l="1"/>
  <c r="F949" i="22" l="1"/>
  <c r="AK948" i="22"/>
  <c r="G949" i="22" s="1"/>
  <c r="T949" i="22" a="1"/>
  <c r="T949" i="22" l="1"/>
  <c r="Q949" i="22" l="1"/>
  <c r="U949" i="22"/>
  <c r="AE949" i="22" s="1"/>
  <c r="D950" i="22" s="1"/>
  <c r="V949" i="22"/>
  <c r="AF949" i="22" s="1"/>
  <c r="E950" i="22" s="1"/>
  <c r="AD949" i="22"/>
  <c r="C950" i="22" s="1"/>
  <c r="W949" i="22" a="1"/>
  <c r="W949" i="22" l="1"/>
  <c r="P949" i="22" a="1"/>
  <c r="P949" i="22" l="1"/>
  <c r="AC949" i="22"/>
  <c r="B950" i="22" l="1"/>
  <c r="R949" i="22"/>
  <c r="S949" i="22" s="1"/>
  <c r="K949" i="22" s="1"/>
  <c r="I950" i="22"/>
  <c r="X949" i="22" l="1"/>
  <c r="Y949" i="22" s="1"/>
  <c r="H950" i="22"/>
  <c r="AG949" i="22" l="1"/>
  <c r="F950" i="22" l="1"/>
  <c r="AK949" i="22"/>
  <c r="G950" i="22" s="1"/>
  <c r="T950" i="22" a="1"/>
  <c r="T950" i="22" l="1"/>
  <c r="Q950" i="22" l="1"/>
  <c r="U950" i="22"/>
  <c r="AE950" i="22" s="1"/>
  <c r="D951" i="22" s="1"/>
  <c r="AD950" i="22"/>
  <c r="C951" i="22" s="1"/>
  <c r="V950" i="22"/>
  <c r="AF950" i="22" s="1"/>
  <c r="E951" i="22" s="1"/>
  <c r="W950" i="22" a="1"/>
  <c r="W950" i="22" l="1"/>
  <c r="P950" i="22" a="1"/>
  <c r="P950" i="22" l="1"/>
  <c r="AC950" i="22"/>
  <c r="B951" i="22" l="1"/>
  <c r="I951" i="22"/>
  <c r="R950" i="22"/>
  <c r="S950" i="22" s="1"/>
  <c r="K950" i="22" s="1"/>
  <c r="H951" i="22" l="1"/>
  <c r="X950" i="22"/>
  <c r="Y950" i="22" s="1"/>
  <c r="AG950" i="22" l="1"/>
  <c r="F951" i="22" l="1"/>
  <c r="AK950" i="22"/>
  <c r="G951" i="22" s="1"/>
  <c r="T951" i="22" a="1"/>
  <c r="T951" i="22" l="1"/>
  <c r="Q951" i="22" l="1"/>
  <c r="U951" i="22"/>
  <c r="AE951" i="22" s="1"/>
  <c r="D952" i="22" s="1"/>
  <c r="AD951" i="22"/>
  <c r="C952" i="22" s="1"/>
  <c r="V951" i="22"/>
  <c r="AF951" i="22" s="1"/>
  <c r="E952" i="22" s="1"/>
  <c r="W951" i="22" a="1"/>
  <c r="W951" i="22" l="1"/>
  <c r="P951" i="22" a="1"/>
  <c r="P951" i="22" l="1"/>
  <c r="AC951" i="22"/>
  <c r="B952" i="22" l="1"/>
  <c r="R951" i="22"/>
  <c r="S951" i="22" s="1"/>
  <c r="K951" i="22" s="1"/>
  <c r="I952" i="22"/>
  <c r="X951" i="22" l="1"/>
  <c r="Y951" i="22" s="1"/>
  <c r="H952" i="22"/>
  <c r="AG951" i="22" l="1"/>
  <c r="F952" i="22" l="1"/>
  <c r="AK951" i="22"/>
  <c r="G952" i="22" s="1"/>
  <c r="T952" i="22" a="1"/>
  <c r="T952" i="22" l="1"/>
  <c r="Q952" i="22" l="1"/>
  <c r="U952" i="22"/>
  <c r="AE952" i="22" s="1"/>
  <c r="D953" i="22" s="1"/>
  <c r="AD952" i="22"/>
  <c r="C953" i="22" s="1"/>
  <c r="V952" i="22"/>
  <c r="AF952" i="22" s="1"/>
  <c r="E953" i="22" s="1"/>
  <c r="W952" i="22" a="1"/>
  <c r="W952" i="22" l="1"/>
  <c r="P952" i="22" a="1"/>
  <c r="P952" i="22" l="1"/>
  <c r="AC952" i="22"/>
  <c r="B953" i="22" l="1"/>
  <c r="I953" i="22"/>
  <c r="R952" i="22"/>
  <c r="S952" i="22" s="1"/>
  <c r="K952" i="22" s="1"/>
  <c r="X952" i="22" l="1"/>
  <c r="Y952" i="22" s="1"/>
  <c r="H953" i="22"/>
  <c r="AG952" i="22" l="1"/>
  <c r="F953" i="22" l="1"/>
  <c r="AK952" i="22"/>
  <c r="G953" i="22" s="1"/>
  <c r="T953" i="22" a="1"/>
  <c r="T953" i="22" l="1"/>
  <c r="Q953" i="22" l="1"/>
  <c r="AD953" i="22"/>
  <c r="C954" i="22" s="1"/>
  <c r="V953" i="22"/>
  <c r="AF953" i="22" s="1"/>
  <c r="E954" i="22" s="1"/>
  <c r="U953" i="22"/>
  <c r="AE953" i="22" s="1"/>
  <c r="D954" i="22" s="1"/>
  <c r="W953" i="22" a="1"/>
  <c r="W953" i="22" l="1"/>
  <c r="P953" i="22" a="1"/>
  <c r="P953" i="22" l="1"/>
  <c r="AC953" i="22"/>
  <c r="R953" i="22" l="1"/>
  <c r="S953" i="22" s="1"/>
  <c r="K953" i="22" s="1"/>
  <c r="I954" i="22"/>
  <c r="B954" i="22"/>
  <c r="H954" i="22" l="1"/>
  <c r="X953" i="22"/>
  <c r="Y953" i="22" s="1"/>
  <c r="AG953" i="22" l="1"/>
  <c r="F954" i="22" l="1"/>
  <c r="AK953" i="22"/>
  <c r="G954" i="22" s="1"/>
  <c r="T954" i="22" a="1"/>
  <c r="T954" i="22" l="1"/>
  <c r="Q954" i="22" l="1"/>
  <c r="U954" i="22"/>
  <c r="AE954" i="22" s="1"/>
  <c r="D955" i="22" s="1"/>
  <c r="V954" i="22"/>
  <c r="AF954" i="22" s="1"/>
  <c r="E955" i="22" s="1"/>
  <c r="AD954" i="22"/>
  <c r="C955" i="22" s="1"/>
  <c r="W954" i="22" a="1"/>
  <c r="W954" i="22" l="1"/>
  <c r="P954" i="22" a="1"/>
  <c r="P954" i="22" l="1"/>
  <c r="AC954" i="22"/>
  <c r="B955" i="22" l="1"/>
  <c r="R954" i="22"/>
  <c r="S954" i="22" s="1"/>
  <c r="K954" i="22" s="1"/>
  <c r="I955" i="22"/>
  <c r="H955" i="22" l="1"/>
  <c r="X954" i="22"/>
  <c r="Y954" i="22" s="1"/>
  <c r="AG954" i="22" l="1"/>
  <c r="F955" i="22" l="1"/>
  <c r="AK954" i="22"/>
  <c r="G955" i="22" s="1"/>
  <c r="T955" i="22" a="1"/>
  <c r="T955" i="22" l="1"/>
  <c r="Q955" i="22" l="1"/>
  <c r="U955" i="22"/>
  <c r="AE955" i="22" s="1"/>
  <c r="D956" i="22" s="1"/>
  <c r="V955" i="22"/>
  <c r="AF955" i="22" s="1"/>
  <c r="E956" i="22" s="1"/>
  <c r="AD955" i="22"/>
  <c r="C956" i="22" s="1"/>
  <c r="W955" i="22" a="1"/>
  <c r="W955" i="22" l="1"/>
  <c r="P955" i="22" a="1"/>
  <c r="P955" i="22" l="1"/>
  <c r="AC955" i="22"/>
  <c r="R955" i="22" l="1"/>
  <c r="S955" i="22" s="1"/>
  <c r="K955" i="22" s="1"/>
  <c r="I956" i="22"/>
  <c r="B956" i="22"/>
  <c r="H956" i="22" l="1"/>
  <c r="X955" i="22"/>
  <c r="Y955" i="22" s="1"/>
  <c r="AG955" i="22" l="1"/>
  <c r="F956" i="22" l="1"/>
  <c r="AK955" i="22"/>
  <c r="G956" i="22" s="1"/>
  <c r="T956" i="22" a="1"/>
  <c r="T956" i="22" l="1"/>
  <c r="Q956" i="22" l="1"/>
  <c r="U956" i="22"/>
  <c r="AE956" i="22" s="1"/>
  <c r="D957" i="22" s="1"/>
  <c r="V956" i="22"/>
  <c r="AF956" i="22" s="1"/>
  <c r="E957" i="22" s="1"/>
  <c r="AD956" i="22"/>
  <c r="C957" i="22" s="1"/>
  <c r="W956" i="22" a="1"/>
  <c r="W956" i="22" l="1"/>
  <c r="P956" i="22" a="1"/>
  <c r="P956" i="22" l="1"/>
  <c r="AC956" i="22"/>
  <c r="B957" i="22" l="1"/>
  <c r="I957" i="22"/>
  <c r="R956" i="22"/>
  <c r="S956" i="22" s="1"/>
  <c r="K956" i="22" s="1"/>
  <c r="X956" i="22" l="1"/>
  <c r="Y956" i="22" s="1"/>
  <c r="H957" i="22"/>
  <c r="AG956" i="22" l="1"/>
  <c r="F957" i="22" l="1"/>
  <c r="AK956" i="22"/>
  <c r="G957" i="22" s="1"/>
  <c r="T957" i="22" a="1"/>
  <c r="T957" i="22" l="1"/>
  <c r="Q957" i="22" l="1"/>
  <c r="U957" i="22"/>
  <c r="AE957" i="22" s="1"/>
  <c r="D958" i="22" s="1"/>
  <c r="V957" i="22"/>
  <c r="AF957" i="22" s="1"/>
  <c r="E958" i="22" s="1"/>
  <c r="AD957" i="22"/>
  <c r="C958" i="22" s="1"/>
  <c r="W957" i="22" a="1"/>
  <c r="W957" i="22" l="1"/>
  <c r="P957" i="22" a="1"/>
  <c r="P957" i="22" l="1"/>
  <c r="AC957" i="22"/>
  <c r="R957" i="22" l="1"/>
  <c r="S957" i="22" s="1"/>
  <c r="K957" i="22" s="1"/>
  <c r="I958" i="22"/>
  <c r="B958" i="22"/>
  <c r="X957" i="22" l="1"/>
  <c r="Y957" i="22" s="1"/>
  <c r="H958" i="22"/>
  <c r="AG957" i="22" l="1"/>
  <c r="F958" i="22" l="1"/>
  <c r="AK957" i="22"/>
  <c r="G958" i="22" s="1"/>
  <c r="T958" i="22" a="1"/>
  <c r="T958" i="22" l="1"/>
  <c r="Q958" i="22" l="1"/>
  <c r="U958" i="22"/>
  <c r="AE958" i="22" s="1"/>
  <c r="D959" i="22" s="1"/>
  <c r="V958" i="22"/>
  <c r="AF958" i="22" s="1"/>
  <c r="E959" i="22" s="1"/>
  <c r="AD958" i="22"/>
  <c r="C959" i="22" s="1"/>
  <c r="W958" i="22" a="1"/>
  <c r="W958" i="22" l="1"/>
  <c r="P958" i="22" a="1"/>
  <c r="P958" i="22" l="1"/>
  <c r="AC958" i="22"/>
  <c r="I959" i="22" l="1"/>
  <c r="R958" i="22"/>
  <c r="S958" i="22" s="1"/>
  <c r="K958" i="22" s="1"/>
  <c r="B959" i="22"/>
  <c r="X958" i="22" l="1"/>
  <c r="Y958" i="22" s="1"/>
  <c r="H959" i="22"/>
  <c r="AG958" i="22" l="1"/>
  <c r="F959" i="22" l="1"/>
  <c r="AK958" i="22"/>
  <c r="G959" i="22" s="1"/>
  <c r="T959" i="22" a="1"/>
  <c r="T959" i="22" l="1"/>
  <c r="Q959" i="22" l="1"/>
  <c r="AD959" i="22"/>
  <c r="C960" i="22" s="1"/>
  <c r="U959" i="22"/>
  <c r="AE959" i="22" s="1"/>
  <c r="D960" i="22" s="1"/>
  <c r="V959" i="22"/>
  <c r="AF959" i="22" s="1"/>
  <c r="E960" i="22" s="1"/>
  <c r="W959" i="22" a="1"/>
  <c r="W959" i="22" l="1"/>
  <c r="P959" i="22" a="1"/>
  <c r="P959" i="22" l="1"/>
  <c r="AC959" i="22"/>
  <c r="R959" i="22" l="1"/>
  <c r="S959" i="22" s="1"/>
  <c r="K959" i="22" s="1"/>
  <c r="I960" i="22"/>
  <c r="B960" i="22"/>
  <c r="H960" i="22" l="1"/>
  <c r="X959" i="22"/>
  <c r="Y959" i="22" s="1"/>
  <c r="AG959" i="22" l="1"/>
  <c r="F960" i="22" l="1"/>
  <c r="AK959" i="22"/>
  <c r="G960" i="22" s="1"/>
  <c r="T960" i="22" a="1"/>
  <c r="T960" i="22" l="1"/>
  <c r="Q960" i="22" l="1"/>
  <c r="V960" i="22"/>
  <c r="AF960" i="22" s="1"/>
  <c r="E961" i="22" s="1"/>
  <c r="AD960" i="22"/>
  <c r="C961" i="22" s="1"/>
  <c r="U960" i="22"/>
  <c r="AE960" i="22" s="1"/>
  <c r="D961" i="22" s="1"/>
  <c r="W960" i="22" a="1"/>
  <c r="W960" i="22" l="1"/>
  <c r="P960" i="22" a="1"/>
  <c r="P960" i="22" l="1"/>
  <c r="AC960" i="22"/>
  <c r="B961" i="22" l="1"/>
  <c r="R960" i="22"/>
  <c r="S960" i="22" s="1"/>
  <c r="K960" i="22" s="1"/>
  <c r="I961" i="22"/>
  <c r="X960" i="22" l="1"/>
  <c r="Y960" i="22" s="1"/>
  <c r="H961" i="22"/>
  <c r="AG960" i="22" l="1"/>
  <c r="F961" i="22" l="1"/>
  <c r="AK960" i="22"/>
  <c r="G961" i="22" s="1"/>
  <c r="T961" i="22" a="1"/>
  <c r="T961" i="22" l="1"/>
  <c r="Q961" i="22" l="1"/>
  <c r="V961" i="22"/>
  <c r="AF961" i="22" s="1"/>
  <c r="E962" i="22" s="1"/>
  <c r="AD961" i="22"/>
  <c r="C962" i="22" s="1"/>
  <c r="U961" i="22"/>
  <c r="AE961" i="22" s="1"/>
  <c r="D962" i="22" s="1"/>
  <c r="W961" i="22" a="1"/>
  <c r="W961" i="22" l="1"/>
  <c r="P961" i="22" a="1"/>
  <c r="P961" i="22" l="1"/>
  <c r="AC961" i="22"/>
  <c r="B962" i="22" l="1"/>
  <c r="I962" i="22"/>
  <c r="R961" i="22"/>
  <c r="S961" i="22" s="1"/>
  <c r="K961" i="22" s="1"/>
  <c r="X961" i="22" l="1"/>
  <c r="Y961" i="22" s="1"/>
  <c r="H962" i="22"/>
  <c r="AG961" i="22" l="1"/>
  <c r="F962" i="22" l="1"/>
  <c r="AK961" i="22"/>
  <c r="G962" i="22" s="1"/>
  <c r="T962" i="22" a="1"/>
  <c r="T962" i="22" l="1"/>
  <c r="Q962" i="22" l="1"/>
  <c r="AD962" i="22"/>
  <c r="C963" i="22" s="1"/>
  <c r="V962" i="22"/>
  <c r="AF962" i="22" s="1"/>
  <c r="E963" i="22" s="1"/>
  <c r="U962" i="22"/>
  <c r="AE962" i="22" s="1"/>
  <c r="D963" i="22" s="1"/>
  <c r="W962" i="22" a="1"/>
  <c r="W962" i="22" l="1"/>
  <c r="P962" i="22" a="1"/>
  <c r="P962" i="22" l="1"/>
  <c r="AC962" i="22"/>
  <c r="B963" i="22" l="1"/>
  <c r="R962" i="22"/>
  <c r="S962" i="22" s="1"/>
  <c r="K962" i="22" s="1"/>
  <c r="I963" i="22"/>
  <c r="H963" i="22" l="1"/>
  <c r="X962" i="22"/>
  <c r="Y962" i="22" s="1"/>
  <c r="AG962" i="22" l="1"/>
  <c r="F963" i="22" l="1"/>
  <c r="AK962" i="22"/>
  <c r="G963" i="22" s="1"/>
  <c r="T963" i="22" a="1"/>
  <c r="T963" i="22" l="1"/>
  <c r="Q963" i="22" l="1"/>
  <c r="V963" i="22"/>
  <c r="AF963" i="22" s="1"/>
  <c r="E964" i="22" s="1"/>
  <c r="U963" i="22"/>
  <c r="AE963" i="22" s="1"/>
  <c r="D964" i="22" s="1"/>
  <c r="AD963" i="22"/>
  <c r="C964" i="22" s="1"/>
  <c r="W963" i="22" a="1"/>
  <c r="W963" i="22" l="1"/>
  <c r="P963" i="22" a="1"/>
  <c r="P963" i="22" l="1"/>
  <c r="AC963" i="22"/>
  <c r="B964" i="22" l="1"/>
  <c r="I964" i="22"/>
  <c r="R963" i="22"/>
  <c r="S963" i="22" s="1"/>
  <c r="K963" i="22" s="1"/>
  <c r="H964" i="22" l="1"/>
  <c r="X963" i="22"/>
  <c r="Y963" i="22" s="1"/>
  <c r="AG963" i="22" l="1"/>
  <c r="F964" i="22" s="1"/>
  <c r="AK963" i="22" l="1"/>
  <c r="G964" i="22" s="1"/>
  <c r="T964" i="22" a="1"/>
  <c r="T964" i="22" l="1"/>
  <c r="Q964" i="22"/>
  <c r="V964" i="22"/>
  <c r="AF964" i="22" s="1"/>
  <c r="E965" i="22" s="1"/>
  <c r="U964" i="22"/>
  <c r="AE964" i="22" s="1"/>
  <c r="D965" i="22" s="1"/>
  <c r="AD964" i="22"/>
  <c r="C965" i="22" s="1"/>
  <c r="W964" i="22" a="1"/>
  <c r="W964" i="22" l="1"/>
  <c r="P964" i="22" a="1"/>
  <c r="P964" i="22" l="1"/>
  <c r="AC964" i="22"/>
  <c r="B965" i="22" l="1"/>
  <c r="R964" i="22"/>
  <c r="S964" i="22" s="1"/>
  <c r="K964" i="22" s="1"/>
  <c r="I965" i="22"/>
  <c r="X964" i="22" l="1"/>
  <c r="Y964" i="22" s="1"/>
  <c r="H965" i="22"/>
  <c r="AG964" i="22" l="1"/>
  <c r="F965" i="22" l="1"/>
  <c r="AK964" i="22"/>
  <c r="G965" i="22" s="1"/>
  <c r="T965" i="22" a="1"/>
  <c r="T965" i="22" l="1"/>
  <c r="Q965" i="22" l="1"/>
  <c r="AD965" i="22"/>
  <c r="C966" i="22" s="1"/>
  <c r="U965" i="22"/>
  <c r="AE965" i="22" s="1"/>
  <c r="D966" i="22" s="1"/>
  <c r="V965" i="22"/>
  <c r="AF965" i="22" s="1"/>
  <c r="E966" i="22" s="1"/>
  <c r="W965" i="22" a="1"/>
  <c r="W965" i="22" l="1"/>
  <c r="P965" i="22" a="1"/>
  <c r="P965" i="22" l="1"/>
  <c r="AC965" i="22"/>
  <c r="B966" i="22" l="1"/>
  <c r="R965" i="22"/>
  <c r="S965" i="22" s="1"/>
  <c r="K965" i="22" s="1"/>
  <c r="I966" i="22"/>
  <c r="X965" i="22" l="1"/>
  <c r="Y965" i="22" s="1"/>
  <c r="H966" i="22"/>
  <c r="AG965" i="22" l="1"/>
  <c r="F966" i="22" l="1"/>
  <c r="AK965" i="22"/>
  <c r="G966" i="22" s="1"/>
  <c r="T966" i="22" a="1"/>
  <c r="T966" i="22" l="1"/>
  <c r="Q966" i="22" l="1"/>
  <c r="AD966" i="22"/>
  <c r="C967" i="22" s="1"/>
  <c r="U966" i="22"/>
  <c r="AE966" i="22" s="1"/>
  <c r="D967" i="22" s="1"/>
  <c r="V966" i="22"/>
  <c r="AF966" i="22" s="1"/>
  <c r="E967" i="22" s="1"/>
  <c r="W966" i="22" a="1"/>
  <c r="W966" i="22" l="1"/>
  <c r="P966" i="22" a="1"/>
  <c r="P966" i="22" l="1"/>
  <c r="AC966" i="22"/>
  <c r="B967" i="22" l="1"/>
  <c r="I967" i="22"/>
  <c r="R966" i="22"/>
  <c r="S966" i="22" s="1"/>
  <c r="K966" i="22" s="1"/>
  <c r="H967" i="22" l="1"/>
  <c r="X966" i="22"/>
  <c r="Y966" i="22" s="1"/>
  <c r="AG966" i="22" l="1"/>
  <c r="F967" i="22" l="1"/>
  <c r="AK966" i="22"/>
  <c r="G967" i="22" s="1"/>
  <c r="T967" i="22" a="1"/>
  <c r="T967" i="22" l="1"/>
  <c r="Q967" i="22" l="1"/>
  <c r="U967" i="22"/>
  <c r="AE967" i="22" s="1"/>
  <c r="D968" i="22" s="1"/>
  <c r="AD967" i="22"/>
  <c r="C968" i="22" s="1"/>
  <c r="V967" i="22"/>
  <c r="AF967" i="22" s="1"/>
  <c r="E968" i="22" s="1"/>
  <c r="W967" i="22" a="1"/>
  <c r="W967" i="22" l="1"/>
  <c r="P967" i="22" a="1"/>
  <c r="P967" i="22" l="1"/>
  <c r="AC967" i="22"/>
  <c r="B968" i="22" l="1"/>
  <c r="I968" i="22"/>
  <c r="R967" i="22"/>
  <c r="S967" i="22" s="1"/>
  <c r="K967" i="22" s="1"/>
  <c r="X967" i="22" l="1"/>
  <c r="Y967" i="22" s="1"/>
  <c r="H968" i="22"/>
  <c r="AG967" i="22" l="1"/>
  <c r="F968" i="22" l="1"/>
  <c r="AK967" i="22"/>
  <c r="G968" i="22" s="1"/>
  <c r="T968" i="22" a="1"/>
  <c r="T968" i="22" l="1"/>
  <c r="Q968" i="22" l="1"/>
  <c r="AD968" i="22"/>
  <c r="C969" i="22" s="1"/>
  <c r="U968" i="22"/>
  <c r="AE968" i="22" s="1"/>
  <c r="D969" i="22" s="1"/>
  <c r="V968" i="22"/>
  <c r="AF968" i="22" s="1"/>
  <c r="E969" i="22" s="1"/>
  <c r="W968" i="22" a="1"/>
  <c r="W968" i="22" l="1"/>
  <c r="P968" i="22" a="1"/>
  <c r="P968" i="22" l="1"/>
  <c r="AC968" i="22"/>
  <c r="B969" i="22" l="1"/>
  <c r="I969" i="22"/>
  <c r="R968" i="22"/>
  <c r="S968" i="22" s="1"/>
  <c r="K968" i="22" s="1"/>
  <c r="X968" i="22" l="1"/>
  <c r="Y968" i="22" s="1"/>
  <c r="H969" i="22"/>
  <c r="AG968" i="22" l="1"/>
  <c r="F969" i="22" l="1"/>
  <c r="AK968" i="22"/>
  <c r="G969" i="22" s="1"/>
  <c r="T969" i="22" a="1"/>
  <c r="T969" i="22" l="1"/>
  <c r="Q969" i="22" l="1"/>
  <c r="AD969" i="22"/>
  <c r="C970" i="22" s="1"/>
  <c r="V969" i="22"/>
  <c r="AF969" i="22" s="1"/>
  <c r="E970" i="22" s="1"/>
  <c r="U969" i="22"/>
  <c r="AE969" i="22" s="1"/>
  <c r="D970" i="22" s="1"/>
  <c r="W969" i="22" a="1"/>
  <c r="W969" i="22" l="1"/>
  <c r="P969" i="22" a="1"/>
  <c r="P969" i="22" l="1"/>
  <c r="AC969" i="22"/>
  <c r="B970" i="22" l="1"/>
  <c r="R969" i="22"/>
  <c r="S969" i="22" s="1"/>
  <c r="K969" i="22" s="1"/>
  <c r="I970" i="22"/>
  <c r="H970" i="22" l="1"/>
  <c r="X969" i="22"/>
  <c r="Y969" i="22" s="1"/>
  <c r="AG969" i="22" l="1"/>
  <c r="F970" i="22" l="1"/>
  <c r="AK969" i="22"/>
  <c r="G970" i="22" s="1"/>
  <c r="T970" i="22" a="1"/>
  <c r="T970" i="22" l="1"/>
  <c r="Q970" i="22" l="1"/>
  <c r="U970" i="22"/>
  <c r="AE970" i="22" s="1"/>
  <c r="D971" i="22" s="1"/>
  <c r="AD970" i="22"/>
  <c r="C971" i="22" s="1"/>
  <c r="V970" i="22"/>
  <c r="AF970" i="22" s="1"/>
  <c r="E971" i="22" s="1"/>
  <c r="W970" i="22" a="1"/>
  <c r="W970" i="22" l="1"/>
  <c r="P970" i="22" a="1"/>
  <c r="P970" i="22" l="1"/>
  <c r="AC970" i="22"/>
  <c r="B971" i="22" l="1"/>
  <c r="R970" i="22"/>
  <c r="S970" i="22" s="1"/>
  <c r="K970" i="22" s="1"/>
  <c r="I971" i="22"/>
  <c r="X970" i="22" l="1"/>
  <c r="Y970" i="22" s="1"/>
  <c r="H971" i="22"/>
  <c r="AG970" i="22" l="1"/>
  <c r="F971" i="22" l="1"/>
  <c r="AK970" i="22"/>
  <c r="G971" i="22" s="1"/>
  <c r="T971" i="22" a="1"/>
  <c r="T971" i="22" l="1"/>
  <c r="Q971" i="22" l="1"/>
  <c r="V971" i="22"/>
  <c r="AF971" i="22" s="1"/>
  <c r="E972" i="22" s="1"/>
  <c r="U971" i="22"/>
  <c r="AE971" i="22" s="1"/>
  <c r="D972" i="22" s="1"/>
  <c r="AD971" i="22"/>
  <c r="C972" i="22" s="1"/>
  <c r="W971" i="22" a="1"/>
  <c r="W971" i="22" l="1"/>
  <c r="P971" i="22" a="1"/>
  <c r="P971" i="22" l="1"/>
  <c r="AC971" i="22"/>
  <c r="B972" i="22" l="1"/>
  <c r="I972" i="22"/>
  <c r="R971" i="22"/>
  <c r="S971" i="22" s="1"/>
  <c r="K971" i="22" s="1"/>
  <c r="X971" i="22" l="1"/>
  <c r="Y971" i="22" s="1"/>
  <c r="H972" i="22"/>
  <c r="AG971" i="22" l="1"/>
  <c r="F972" i="22" l="1"/>
  <c r="AK971" i="22"/>
  <c r="G972" i="22" s="1"/>
  <c r="T972" i="22" a="1"/>
  <c r="T972" i="22" l="1"/>
  <c r="Q972" i="22" l="1"/>
  <c r="V972" i="22"/>
  <c r="AF972" i="22" s="1"/>
  <c r="E973" i="22" s="1"/>
  <c r="U972" i="22"/>
  <c r="AE972" i="22" s="1"/>
  <c r="D973" i="22" s="1"/>
  <c r="AD972" i="22"/>
  <c r="C973" i="22" s="1"/>
  <c r="W972" i="22" a="1"/>
  <c r="W972" i="22" l="1"/>
  <c r="P972" i="22" a="1"/>
  <c r="P972" i="22" l="1"/>
  <c r="AC972" i="22"/>
  <c r="R972" i="22" l="1"/>
  <c r="S972" i="22" s="1"/>
  <c r="K972" i="22" s="1"/>
  <c r="I973" i="22"/>
  <c r="B973" i="22"/>
  <c r="H973" i="22" l="1"/>
  <c r="X972" i="22"/>
  <c r="Y972" i="22" s="1"/>
  <c r="AG972" i="22" l="1"/>
  <c r="F973" i="22" l="1"/>
  <c r="AK972" i="22"/>
  <c r="G973" i="22" s="1"/>
  <c r="T973" i="22" a="1"/>
  <c r="T973" i="22" l="1"/>
  <c r="Q973" i="22" l="1"/>
  <c r="AD973" i="22"/>
  <c r="C974" i="22" s="1"/>
  <c r="V973" i="22"/>
  <c r="AF973" i="22" s="1"/>
  <c r="E974" i="22" s="1"/>
  <c r="U973" i="22"/>
  <c r="AE973" i="22" s="1"/>
  <c r="D974" i="22" s="1"/>
  <c r="W973" i="22" a="1"/>
  <c r="W973" i="22" l="1"/>
  <c r="P973" i="22" a="1"/>
  <c r="P973" i="22" l="1"/>
  <c r="AC973" i="22"/>
  <c r="B974" i="22" l="1"/>
  <c r="R973" i="22"/>
  <c r="S973" i="22" s="1"/>
  <c r="K973" i="22" s="1"/>
  <c r="I974" i="22"/>
  <c r="X973" i="22" l="1"/>
  <c r="Y973" i="22" s="1"/>
  <c r="H974" i="22"/>
  <c r="AG973" i="22" l="1"/>
  <c r="F974" i="22" l="1"/>
  <c r="AK973" i="22"/>
  <c r="G974" i="22" s="1"/>
  <c r="T974" i="22" a="1"/>
  <c r="T974" i="22" l="1"/>
  <c r="Q974" i="22" l="1"/>
  <c r="AD974" i="22"/>
  <c r="C975" i="22" s="1"/>
  <c r="V974" i="22"/>
  <c r="AF974" i="22" s="1"/>
  <c r="E975" i="22" s="1"/>
  <c r="U974" i="22"/>
  <c r="AE974" i="22" s="1"/>
  <c r="D975" i="22" s="1"/>
  <c r="W974" i="22" a="1"/>
  <c r="W974" i="22" l="1"/>
  <c r="P974" i="22" a="1"/>
  <c r="P974" i="22" l="1"/>
  <c r="AC974" i="22"/>
  <c r="B975" i="22" l="1"/>
  <c r="R974" i="22"/>
  <c r="S974" i="22" s="1"/>
  <c r="K974" i="22" s="1"/>
  <c r="I975" i="22"/>
  <c r="H975" i="22" l="1"/>
  <c r="X974" i="22"/>
  <c r="Y974" i="22" s="1"/>
  <c r="AG974" i="22" l="1"/>
  <c r="F975" i="22" l="1"/>
  <c r="AK974" i="22"/>
  <c r="G975" i="22" s="1"/>
  <c r="T975" i="22" a="1"/>
  <c r="T975" i="22" l="1"/>
  <c r="Q975" i="22" l="1"/>
  <c r="V975" i="22"/>
  <c r="AF975" i="22" s="1"/>
  <c r="E976" i="22" s="1"/>
  <c r="U975" i="22"/>
  <c r="AE975" i="22" s="1"/>
  <c r="D976" i="22" s="1"/>
  <c r="AD975" i="22"/>
  <c r="C976" i="22" s="1"/>
  <c r="W975" i="22" a="1"/>
  <c r="W975" i="22" l="1"/>
  <c r="P975" i="22" a="1"/>
  <c r="P975" i="22" l="1"/>
  <c r="AC975" i="22"/>
  <c r="B976" i="22" l="1"/>
  <c r="R975" i="22"/>
  <c r="S975" i="22" s="1"/>
  <c r="K975" i="22" s="1"/>
  <c r="I976" i="22"/>
  <c r="X975" i="22" l="1"/>
  <c r="Y975" i="22" s="1"/>
  <c r="H976" i="22"/>
  <c r="AG975" i="22" l="1"/>
  <c r="F976" i="22" l="1"/>
  <c r="AK975" i="22"/>
  <c r="G976" i="22" s="1"/>
  <c r="T976" i="22" a="1"/>
  <c r="T976" i="22" l="1"/>
  <c r="Q976" i="22" l="1"/>
  <c r="V976" i="22"/>
  <c r="AF976" i="22" s="1"/>
  <c r="E977" i="22" s="1"/>
  <c r="AD976" i="22"/>
  <c r="C977" i="22" s="1"/>
  <c r="U976" i="22"/>
  <c r="AE976" i="22" s="1"/>
  <c r="D977" i="22" s="1"/>
  <c r="W976" i="22" a="1"/>
  <c r="W976" i="22" l="1"/>
  <c r="P976" i="22" a="1"/>
  <c r="P976" i="22" l="1"/>
  <c r="AC976" i="22"/>
  <c r="B977" i="22" l="1"/>
  <c r="R976" i="22"/>
  <c r="S976" i="22" s="1"/>
  <c r="K976" i="22" s="1"/>
  <c r="I977" i="22"/>
  <c r="X976" i="22" l="1"/>
  <c r="Y976" i="22" s="1"/>
  <c r="H977" i="22"/>
  <c r="AG976" i="22" l="1"/>
  <c r="F977" i="22" l="1"/>
  <c r="AK976" i="22"/>
  <c r="G977" i="22" s="1"/>
  <c r="T977" i="22" a="1"/>
  <c r="T977" i="22" l="1"/>
  <c r="Q977" i="22" l="1"/>
  <c r="U977" i="22"/>
  <c r="AE977" i="22" s="1"/>
  <c r="D978" i="22" s="1"/>
  <c r="AD977" i="22"/>
  <c r="C978" i="22" s="1"/>
  <c r="V977" i="22"/>
  <c r="AF977" i="22" s="1"/>
  <c r="E978" i="22" s="1"/>
  <c r="W977" i="22" a="1"/>
  <c r="W977" i="22" l="1"/>
  <c r="P977" i="22" a="1"/>
  <c r="P977" i="22" l="1"/>
  <c r="AC977" i="22"/>
  <c r="B978" i="22" l="1"/>
  <c r="I978" i="22"/>
  <c r="R977" i="22"/>
  <c r="S977" i="22" s="1"/>
  <c r="K977" i="22" s="1"/>
  <c r="H978" i="22" l="1"/>
  <c r="X977" i="22"/>
  <c r="Y977" i="22" s="1"/>
  <c r="AG977" i="22" l="1"/>
  <c r="F978" i="22" l="1"/>
  <c r="AK977" i="22"/>
  <c r="G978" i="22" s="1"/>
  <c r="T978" i="22" a="1"/>
  <c r="T978" i="22" l="1"/>
  <c r="Q978" i="22" l="1"/>
  <c r="U978" i="22"/>
  <c r="AE978" i="22" s="1"/>
  <c r="D979" i="22" s="1"/>
  <c r="V978" i="22"/>
  <c r="AF978" i="22" s="1"/>
  <c r="E979" i="22" s="1"/>
  <c r="AD978" i="22"/>
  <c r="C979" i="22" s="1"/>
  <c r="W978" i="22" a="1"/>
  <c r="W978" i="22" l="1"/>
  <c r="P978" i="22" a="1"/>
  <c r="P978" i="22" l="1"/>
  <c r="AC978" i="22"/>
  <c r="B979" i="22" l="1"/>
  <c r="R978" i="22"/>
  <c r="S978" i="22" s="1"/>
  <c r="K978" i="22" s="1"/>
  <c r="I979" i="22"/>
  <c r="X978" i="22" l="1"/>
  <c r="Y978" i="22" s="1"/>
  <c r="H979" i="22"/>
  <c r="AG978" i="22" l="1"/>
  <c r="F979" i="22" l="1"/>
  <c r="AK978" i="22"/>
  <c r="G979" i="22" s="1"/>
  <c r="T979" i="22" a="1"/>
  <c r="T979" i="22" l="1"/>
  <c r="Q979" i="22" l="1"/>
  <c r="AD979" i="22"/>
  <c r="C980" i="22" s="1"/>
  <c r="U979" i="22"/>
  <c r="AE979" i="22" s="1"/>
  <c r="D980" i="22" s="1"/>
  <c r="V979" i="22"/>
  <c r="AF979" i="22" s="1"/>
  <c r="E980" i="22" s="1"/>
  <c r="W979" i="22" a="1"/>
  <c r="W979" i="22" l="1"/>
  <c r="P979" i="22" a="1"/>
  <c r="P979" i="22" l="1"/>
  <c r="AC979" i="22"/>
  <c r="B980" i="22" l="1"/>
  <c r="I980" i="22"/>
  <c r="R979" i="22"/>
  <c r="S979" i="22" s="1"/>
  <c r="K979" i="22" s="1"/>
  <c r="X979" i="22" l="1"/>
  <c r="Y979" i="22" s="1"/>
  <c r="H980" i="22"/>
  <c r="AG979" i="22" l="1"/>
  <c r="F980" i="22" l="1"/>
  <c r="AK979" i="22"/>
  <c r="G980" i="22" s="1"/>
  <c r="T980" i="22" a="1"/>
  <c r="T980" i="22" l="1"/>
  <c r="Q980" i="22" l="1"/>
  <c r="U980" i="22"/>
  <c r="AE980" i="22" s="1"/>
  <c r="D981" i="22" s="1"/>
  <c r="AD980" i="22"/>
  <c r="C981" i="22" s="1"/>
  <c r="V980" i="22"/>
  <c r="AF980" i="22" s="1"/>
  <c r="E981" i="22" s="1"/>
  <c r="W980" i="22" a="1"/>
  <c r="W980" i="22" l="1"/>
  <c r="P980" i="22" a="1"/>
  <c r="P980" i="22" l="1"/>
  <c r="AC980" i="22"/>
  <c r="B981" i="22" l="1"/>
  <c r="I981" i="22"/>
  <c r="R980" i="22"/>
  <c r="S980" i="22" s="1"/>
  <c r="K980" i="22" s="1"/>
  <c r="X980" i="22" l="1"/>
  <c r="Y980" i="22" s="1"/>
  <c r="H981" i="22"/>
  <c r="AG980" i="22" l="1"/>
  <c r="F981" i="22" l="1"/>
  <c r="AK980" i="22"/>
  <c r="G981" i="22" s="1"/>
  <c r="T981" i="22" a="1"/>
  <c r="T981" i="22" l="1"/>
  <c r="Q981" i="22" l="1"/>
  <c r="U981" i="22"/>
  <c r="AE981" i="22" s="1"/>
  <c r="D982" i="22" s="1"/>
  <c r="AD981" i="22"/>
  <c r="C982" i="22" s="1"/>
  <c r="V981" i="22"/>
  <c r="AF981" i="22" s="1"/>
  <c r="E982" i="22" s="1"/>
  <c r="W981" i="22" a="1"/>
  <c r="W981" i="22" l="1"/>
  <c r="P981" i="22" a="1"/>
  <c r="P981" i="22" l="1"/>
  <c r="AC981" i="22"/>
  <c r="B982" i="22" l="1"/>
  <c r="I982" i="22"/>
  <c r="R981" i="22"/>
  <c r="S981" i="22" s="1"/>
  <c r="K981" i="22" s="1"/>
  <c r="H982" i="22" l="1"/>
  <c r="X981" i="22"/>
  <c r="Y981" i="22" s="1"/>
  <c r="AG981" i="22" l="1"/>
  <c r="F982" i="22" l="1"/>
  <c r="AK981" i="22"/>
  <c r="G982" i="22" s="1"/>
  <c r="T982" i="22" a="1"/>
  <c r="T982" i="22" l="1"/>
  <c r="Q982" i="22" l="1"/>
  <c r="V982" i="22"/>
  <c r="AF982" i="22" s="1"/>
  <c r="E983" i="22" s="1"/>
  <c r="U982" i="22"/>
  <c r="AE982" i="22" s="1"/>
  <c r="D983" i="22" s="1"/>
  <c r="AD982" i="22"/>
  <c r="C983" i="22" s="1"/>
  <c r="W982" i="22" a="1"/>
  <c r="W982" i="22" l="1"/>
  <c r="P982" i="22" a="1"/>
  <c r="P982" i="22" l="1"/>
  <c r="AC982" i="22"/>
  <c r="R982" i="22" l="1"/>
  <c r="S982" i="22" s="1"/>
  <c r="K982" i="22" s="1"/>
  <c r="I983" i="22"/>
  <c r="B983" i="22"/>
  <c r="X982" i="22" l="1"/>
  <c r="Y982" i="22" s="1"/>
  <c r="H983" i="22"/>
  <c r="AG982" i="22" l="1"/>
  <c r="F983" i="22" l="1"/>
  <c r="AK982" i="22"/>
  <c r="G983" i="22" s="1"/>
  <c r="T983" i="22" a="1"/>
  <c r="T983" i="22" l="1"/>
  <c r="Q983" i="22" l="1"/>
  <c r="U983" i="22"/>
  <c r="AE983" i="22" s="1"/>
  <c r="D984" i="22" s="1"/>
  <c r="V983" i="22"/>
  <c r="AF983" i="22" s="1"/>
  <c r="E984" i="22" s="1"/>
  <c r="AD983" i="22"/>
  <c r="C984" i="22" s="1"/>
  <c r="W983" i="22" a="1"/>
  <c r="W983" i="22" l="1"/>
  <c r="P983" i="22" a="1"/>
  <c r="P983" i="22" l="1"/>
  <c r="AC983" i="22"/>
  <c r="B984" i="22" l="1"/>
  <c r="I984" i="22"/>
  <c r="R983" i="22"/>
  <c r="S983" i="22" s="1"/>
  <c r="K983" i="22" s="1"/>
  <c r="X983" i="22" l="1"/>
  <c r="Y983" i="22" s="1"/>
  <c r="H984" i="22"/>
  <c r="AG983" i="22" l="1"/>
  <c r="F984" i="22" l="1"/>
  <c r="AK983" i="22"/>
  <c r="G984" i="22" s="1"/>
  <c r="T984" i="22" a="1"/>
  <c r="T984" i="22" l="1"/>
  <c r="Q984" i="22" l="1"/>
  <c r="U984" i="22"/>
  <c r="AE984" i="22" s="1"/>
  <c r="D985" i="22" s="1"/>
  <c r="AD984" i="22"/>
  <c r="C985" i="22" s="1"/>
  <c r="V984" i="22"/>
  <c r="AF984" i="22" s="1"/>
  <c r="E985" i="22" s="1"/>
  <c r="W984" i="22" a="1"/>
  <c r="W984" i="22" l="1"/>
  <c r="P984" i="22" a="1"/>
  <c r="P984" i="22" l="1"/>
  <c r="AC984" i="22"/>
  <c r="R984" i="22" l="1"/>
  <c r="S984" i="22" s="1"/>
  <c r="K984" i="22" s="1"/>
  <c r="I985" i="22"/>
  <c r="B985" i="22"/>
  <c r="H985" i="22" l="1"/>
  <c r="X984" i="22"/>
  <c r="Y984" i="22" s="1"/>
  <c r="AG984" i="22" l="1"/>
  <c r="F985" i="22" l="1"/>
  <c r="AK984" i="22"/>
  <c r="G985" i="22" s="1"/>
  <c r="T985" i="22" a="1"/>
  <c r="T985" i="22" l="1"/>
  <c r="Q985" i="22" l="1"/>
  <c r="AD985" i="22"/>
  <c r="C986" i="22" s="1"/>
  <c r="V985" i="22"/>
  <c r="AF985" i="22" s="1"/>
  <c r="E986" i="22" s="1"/>
  <c r="U985" i="22"/>
  <c r="AE985" i="22" s="1"/>
  <c r="D986" i="22" s="1"/>
  <c r="W985" i="22" a="1"/>
  <c r="W985" i="22" l="1"/>
  <c r="P985" i="22" a="1"/>
  <c r="P985" i="22" l="1"/>
  <c r="AC985" i="22"/>
  <c r="B986" i="22" l="1"/>
  <c r="I986" i="22"/>
  <c r="R985" i="22"/>
  <c r="S985" i="22" s="1"/>
  <c r="K985" i="22" s="1"/>
  <c r="H986" i="22" l="1"/>
  <c r="X985" i="22"/>
  <c r="Y985" i="22" s="1"/>
  <c r="AG985" i="22" l="1"/>
  <c r="F986" i="22" l="1"/>
  <c r="AK985" i="22"/>
  <c r="G986" i="22" s="1"/>
  <c r="T986" i="22" a="1"/>
  <c r="T986" i="22" l="1"/>
  <c r="Q986" i="22" l="1"/>
  <c r="U986" i="22"/>
  <c r="AE986" i="22" s="1"/>
  <c r="D987" i="22" s="1"/>
  <c r="AD986" i="22"/>
  <c r="C987" i="22" s="1"/>
  <c r="V986" i="22"/>
  <c r="AF986" i="22" s="1"/>
  <c r="E987" i="22" s="1"/>
  <c r="W986" i="22" a="1"/>
  <c r="W986" i="22" l="1"/>
  <c r="P986" i="22" a="1"/>
  <c r="P986" i="22" l="1"/>
  <c r="AC986" i="22"/>
  <c r="B987" i="22" l="1"/>
  <c r="I987" i="22"/>
  <c r="R986" i="22"/>
  <c r="S986" i="22" s="1"/>
  <c r="K986" i="22" s="1"/>
  <c r="H987" i="22" l="1"/>
  <c r="X986" i="22"/>
  <c r="Y986" i="22" s="1"/>
  <c r="AG986" i="22" l="1"/>
  <c r="F987" i="22" l="1"/>
  <c r="AK986" i="22"/>
  <c r="G987" i="22" s="1"/>
  <c r="T987" i="22" a="1"/>
  <c r="T987" i="22" l="1"/>
  <c r="Q987" i="22" l="1"/>
  <c r="V987" i="22"/>
  <c r="AF987" i="22" s="1"/>
  <c r="E988" i="22" s="1"/>
  <c r="U987" i="22"/>
  <c r="AE987" i="22" s="1"/>
  <c r="D988" i="22" s="1"/>
  <c r="AD987" i="22"/>
  <c r="C988" i="22" s="1"/>
  <c r="W987" i="22" a="1"/>
  <c r="W987" i="22" l="1"/>
  <c r="P987" i="22" a="1"/>
  <c r="P987" i="22" l="1"/>
  <c r="AC987" i="22"/>
  <c r="I988" i="22" l="1"/>
  <c r="R987" i="22"/>
  <c r="S987" i="22" s="1"/>
  <c r="K987" i="22" s="1"/>
  <c r="B988" i="22"/>
  <c r="H988" i="22" l="1"/>
  <c r="X987" i="22"/>
  <c r="Y987" i="22" s="1"/>
  <c r="AG987" i="22" l="1"/>
  <c r="F988" i="22" l="1"/>
  <c r="AK987" i="22"/>
  <c r="G988" i="22" s="1"/>
  <c r="T988" i="22" a="1"/>
  <c r="T988" i="22" l="1"/>
  <c r="Q988" i="22" l="1"/>
  <c r="V988" i="22"/>
  <c r="AF988" i="22" s="1"/>
  <c r="E989" i="22" s="1"/>
  <c r="U988" i="22"/>
  <c r="AE988" i="22" s="1"/>
  <c r="D989" i="22" s="1"/>
  <c r="AD988" i="22"/>
  <c r="C989" i="22" s="1"/>
  <c r="W988" i="22" a="1"/>
  <c r="W988" i="22" l="1"/>
  <c r="P988" i="22" a="1"/>
  <c r="P988" i="22" l="1"/>
  <c r="AC988" i="22"/>
  <c r="B989" i="22" l="1"/>
  <c r="R988" i="22"/>
  <c r="S988" i="22" s="1"/>
  <c r="K988" i="22" s="1"/>
  <c r="I989" i="22"/>
  <c r="X988" i="22" l="1"/>
  <c r="Y988" i="22" s="1"/>
  <c r="H989" i="22"/>
  <c r="AG988" i="22" l="1"/>
  <c r="F989" i="22" l="1"/>
  <c r="AK988" i="22"/>
  <c r="G989" i="22" s="1"/>
  <c r="T989" i="22" a="1"/>
  <c r="T989" i="22" l="1"/>
  <c r="Q989" i="22" l="1"/>
  <c r="U989" i="22"/>
  <c r="AE989" i="22" s="1"/>
  <c r="D990" i="22" s="1"/>
  <c r="V989" i="22"/>
  <c r="AF989" i="22" s="1"/>
  <c r="E990" i="22" s="1"/>
  <c r="AD989" i="22"/>
  <c r="C990" i="22" s="1"/>
  <c r="W989" i="22" a="1"/>
  <c r="W989" i="22" l="1"/>
  <c r="P989" i="22" a="1"/>
  <c r="P989" i="22" l="1"/>
  <c r="AC989" i="22"/>
  <c r="B990" i="22" l="1"/>
  <c r="R989" i="22"/>
  <c r="S989" i="22" s="1"/>
  <c r="K989" i="22" s="1"/>
  <c r="I990" i="22"/>
  <c r="H990" i="22" s="1"/>
  <c r="X989" i="22" l="1"/>
  <c r="Y989" i="22" s="1"/>
  <c r="AG989" i="22" l="1"/>
  <c r="F990" i="22" l="1"/>
  <c r="AK989" i="22"/>
  <c r="G990" i="22" s="1"/>
  <c r="T990" i="22" a="1"/>
  <c r="T990" i="22" l="1"/>
  <c r="Q990" i="22" l="1"/>
  <c r="AD990" i="22"/>
  <c r="C991" i="22" s="1"/>
  <c r="U990" i="22"/>
  <c r="AE990" i="22" s="1"/>
  <c r="D991" i="22" s="1"/>
  <c r="V990" i="22"/>
  <c r="AF990" i="22" s="1"/>
  <c r="E991" i="22" s="1"/>
  <c r="W990" i="22" a="1"/>
  <c r="W990" i="22" l="1"/>
  <c r="P990" i="22" a="1"/>
  <c r="P990" i="22" l="1"/>
  <c r="AC990" i="22"/>
  <c r="B991" i="22" l="1"/>
  <c r="R990" i="22"/>
  <c r="S990" i="22" s="1"/>
  <c r="K990" i="22" s="1"/>
  <c r="I991" i="22"/>
  <c r="X990" i="22" l="1"/>
  <c r="Y990" i="22" s="1"/>
  <c r="H991" i="22"/>
  <c r="AG990" i="22" l="1"/>
  <c r="F991" i="22" l="1"/>
  <c r="AK990" i="22"/>
  <c r="G991" i="22" s="1"/>
  <c r="T991" i="22" a="1"/>
  <c r="T991" i="22" l="1"/>
  <c r="Q991" i="22" l="1"/>
  <c r="U991" i="22"/>
  <c r="AE991" i="22" s="1"/>
  <c r="D992" i="22" s="1"/>
  <c r="AD991" i="22"/>
  <c r="C992" i="22" s="1"/>
  <c r="V991" i="22"/>
  <c r="AF991" i="22" s="1"/>
  <c r="E992" i="22" s="1"/>
  <c r="W991" i="22" a="1"/>
  <c r="W991" i="22" l="1"/>
  <c r="P991" i="22" a="1"/>
  <c r="P991" i="22" l="1"/>
  <c r="AC991" i="22"/>
  <c r="B992" i="22" l="1"/>
  <c r="I992" i="22"/>
  <c r="R991" i="22"/>
  <c r="S991" i="22" s="1"/>
  <c r="K991" i="22" s="1"/>
  <c r="X991" i="22" l="1"/>
  <c r="Y991" i="22" s="1"/>
  <c r="H992" i="22"/>
  <c r="AG991" i="22" l="1"/>
  <c r="F992" i="22" l="1"/>
  <c r="AK991" i="22"/>
  <c r="G992" i="22" s="1"/>
  <c r="T992" i="22" a="1"/>
  <c r="T992" i="22" l="1"/>
  <c r="Q992" i="22" l="1"/>
  <c r="V992" i="22"/>
  <c r="AF992" i="22" s="1"/>
  <c r="E993" i="22" s="1"/>
  <c r="U992" i="22"/>
  <c r="AE992" i="22" s="1"/>
  <c r="D993" i="22" s="1"/>
  <c r="AD992" i="22"/>
  <c r="C993" i="22" s="1"/>
  <c r="W992" i="22" a="1"/>
  <c r="W992" i="22" l="1"/>
  <c r="P992" i="22" a="1"/>
  <c r="P992" i="22" l="1"/>
  <c r="AC992" i="22"/>
  <c r="B993" i="22" l="1"/>
  <c r="R992" i="22"/>
  <c r="S992" i="22" s="1"/>
  <c r="K992" i="22" s="1"/>
  <c r="I993" i="22"/>
  <c r="H993" i="22" l="1"/>
  <c r="X992" i="22"/>
  <c r="Y992" i="22" s="1"/>
  <c r="AG992" i="22" l="1"/>
  <c r="F993" i="22" l="1"/>
  <c r="AK992" i="22"/>
  <c r="G993" i="22" s="1"/>
  <c r="T993" i="22" a="1"/>
  <c r="T993" i="22" l="1"/>
  <c r="Q993" i="22" l="1"/>
  <c r="V993" i="22"/>
  <c r="AF993" i="22" s="1"/>
  <c r="E994" i="22" s="1"/>
  <c r="U993" i="22"/>
  <c r="AE993" i="22" s="1"/>
  <c r="D994" i="22" s="1"/>
  <c r="AD993" i="22"/>
  <c r="C994" i="22" s="1"/>
  <c r="W993" i="22" a="1"/>
  <c r="W993" i="22" l="1"/>
  <c r="P993" i="22" a="1"/>
  <c r="P993" i="22" l="1"/>
  <c r="AC993" i="22"/>
  <c r="B994" i="22" l="1"/>
  <c r="R993" i="22"/>
  <c r="S993" i="22" s="1"/>
  <c r="K993" i="22" s="1"/>
  <c r="I994" i="22"/>
  <c r="X993" i="22" l="1"/>
  <c r="Y993" i="22" s="1"/>
  <c r="H994" i="22"/>
  <c r="AG993" i="22" l="1"/>
  <c r="F994" i="22" l="1"/>
  <c r="AK993" i="22"/>
  <c r="G994" i="22" s="1"/>
  <c r="T994" i="22" a="1"/>
  <c r="T994" i="22" l="1"/>
  <c r="Q994" i="22" l="1"/>
  <c r="AD994" i="22"/>
  <c r="C995" i="22" s="1"/>
  <c r="V994" i="22"/>
  <c r="AF994" i="22" s="1"/>
  <c r="E995" i="22" s="1"/>
  <c r="U994" i="22"/>
  <c r="AE994" i="22" s="1"/>
  <c r="D995" i="22" s="1"/>
  <c r="W994" i="22" a="1"/>
  <c r="W994" i="22" l="1"/>
  <c r="P994" i="22" a="1"/>
  <c r="P994" i="22" l="1"/>
  <c r="AC994" i="22"/>
  <c r="B995" i="22" l="1"/>
  <c r="I995" i="22"/>
  <c r="R994" i="22"/>
  <c r="S994" i="22" s="1"/>
  <c r="K994" i="22" s="1"/>
  <c r="X994" i="22" l="1"/>
  <c r="Y994" i="22" s="1"/>
  <c r="H995" i="22"/>
  <c r="AG994" i="22" l="1"/>
  <c r="F995" i="22" l="1"/>
  <c r="AK994" i="22"/>
  <c r="G995" i="22" s="1"/>
  <c r="T995" i="22" a="1"/>
  <c r="T995" i="22" l="1"/>
  <c r="Q995" i="22" l="1"/>
  <c r="AD995" i="22"/>
  <c r="C996" i="22" s="1"/>
  <c r="V995" i="22"/>
  <c r="AF995" i="22" s="1"/>
  <c r="E996" i="22" s="1"/>
  <c r="U995" i="22"/>
  <c r="AE995" i="22" s="1"/>
  <c r="D996" i="22" s="1"/>
  <c r="W995" i="22" a="1"/>
  <c r="W995" i="22" l="1"/>
  <c r="P995" i="22" a="1"/>
  <c r="P995" i="22" l="1"/>
  <c r="AC995" i="22"/>
  <c r="B996" i="22" l="1"/>
  <c r="R995" i="22"/>
  <c r="S995" i="22" s="1"/>
  <c r="K995" i="22" s="1"/>
  <c r="I996" i="22"/>
  <c r="H996" i="22" l="1"/>
  <c r="X995" i="22"/>
  <c r="Y995" i="22" s="1"/>
  <c r="AG995" i="22" l="1"/>
  <c r="F996" i="22" l="1"/>
  <c r="AK995" i="22"/>
  <c r="G996" i="22" s="1"/>
  <c r="T996" i="22" a="1"/>
  <c r="T996" i="22" l="1"/>
  <c r="Q996" i="22" l="1"/>
  <c r="U996" i="22"/>
  <c r="AE996" i="22" s="1"/>
  <c r="D997" i="22" s="1"/>
  <c r="AD996" i="22"/>
  <c r="C997" i="22" s="1"/>
  <c r="V996" i="22"/>
  <c r="AF996" i="22" s="1"/>
  <c r="E997" i="22" s="1"/>
  <c r="W996" i="22" a="1"/>
  <c r="W996" i="22" l="1"/>
  <c r="P996" i="22" a="1"/>
  <c r="P996" i="22" l="1"/>
  <c r="AC996" i="22"/>
  <c r="I997" i="22" l="1"/>
  <c r="R996" i="22"/>
  <c r="S996" i="22" s="1"/>
  <c r="K996" i="22" s="1"/>
  <c r="B997" i="22"/>
  <c r="H997" i="22" l="1"/>
  <c r="X996" i="22"/>
  <c r="Y996" i="22" s="1"/>
  <c r="AG996" i="22" l="1"/>
  <c r="F997" i="22" l="1"/>
  <c r="AK996" i="22"/>
  <c r="G997" i="22" s="1"/>
  <c r="T997" i="22" a="1"/>
  <c r="T997" i="22" l="1"/>
  <c r="Q997" i="22" l="1"/>
  <c r="U997" i="22"/>
  <c r="AE997" i="22" s="1"/>
  <c r="D998" i="22" s="1"/>
  <c r="V997" i="22"/>
  <c r="AF997" i="22" s="1"/>
  <c r="E998" i="22" s="1"/>
  <c r="AD997" i="22"/>
  <c r="C998" i="22" s="1"/>
  <c r="W997" i="22" a="1"/>
  <c r="W997" i="22" l="1"/>
  <c r="P997" i="22" a="1"/>
  <c r="P997" i="22" l="1"/>
  <c r="AC997" i="22"/>
  <c r="R997" i="22" l="1"/>
  <c r="S997" i="22" s="1"/>
  <c r="K997" i="22" s="1"/>
  <c r="I998" i="22"/>
  <c r="B998" i="22"/>
  <c r="H998" i="22" l="1"/>
  <c r="X997" i="22"/>
  <c r="Y997" i="22" s="1"/>
  <c r="AG997" i="22" l="1"/>
  <c r="F998" i="22" l="1"/>
  <c r="AK997" i="22"/>
  <c r="G998" i="22" s="1"/>
  <c r="T998" i="22" a="1"/>
  <c r="T998" i="22" l="1"/>
  <c r="Q998" i="22" l="1"/>
  <c r="U998" i="22"/>
  <c r="AE998" i="22" s="1"/>
  <c r="D999" i="22" s="1"/>
  <c r="AD998" i="22"/>
  <c r="C999" i="22" s="1"/>
  <c r="V998" i="22"/>
  <c r="AF998" i="22" s="1"/>
  <c r="E999" i="22" s="1"/>
  <c r="W998" i="22" a="1"/>
  <c r="W998" i="22" l="1"/>
  <c r="P998" i="22" a="1"/>
  <c r="P998" i="22" l="1"/>
  <c r="AC998" i="22"/>
  <c r="B999" i="22" l="1"/>
  <c r="R998" i="22"/>
  <c r="S998" i="22" s="1"/>
  <c r="K998" i="22" s="1"/>
  <c r="I999" i="22"/>
  <c r="H999" i="22" l="1"/>
  <c r="X998" i="22"/>
  <c r="Y998" i="22" s="1"/>
  <c r="AG998" i="22" l="1"/>
  <c r="F999" i="22" l="1"/>
  <c r="AK998" i="22"/>
  <c r="G999" i="22" s="1"/>
  <c r="T999" i="22" a="1"/>
  <c r="T999" i="22" l="1"/>
  <c r="Q999" i="22" l="1"/>
  <c r="V999" i="22"/>
  <c r="AF999" i="22" s="1"/>
  <c r="E1000" i="22" s="1"/>
  <c r="U999" i="22"/>
  <c r="AE999" i="22" s="1"/>
  <c r="D1000" i="22" s="1"/>
  <c r="AD999" i="22"/>
  <c r="C1000" i="22" s="1"/>
  <c r="W999" i="22" a="1"/>
  <c r="W999" i="22" l="1"/>
  <c r="P999" i="22" a="1"/>
  <c r="P999" i="22" l="1"/>
  <c r="AC999" i="22"/>
  <c r="R999" i="22" l="1"/>
  <c r="S999" i="22" s="1"/>
  <c r="K999" i="22" s="1"/>
  <c r="I1000" i="22"/>
  <c r="B1000" i="22"/>
  <c r="H1000" i="22" l="1"/>
  <c r="X999" i="22"/>
  <c r="Y999" i="22" s="1"/>
  <c r="AG999" i="22" l="1"/>
  <c r="F1000" i="22" l="1"/>
  <c r="AK999" i="22"/>
  <c r="G1000" i="22" s="1"/>
  <c r="T1000" i="22" a="1"/>
  <c r="T1000" i="22" l="1"/>
  <c r="Q1000" i="22" l="1"/>
  <c r="U1000" i="22"/>
  <c r="AE1000" i="22" s="1"/>
  <c r="D1001" i="22" s="1"/>
  <c r="AD1000" i="22"/>
  <c r="C1001" i="22" s="1"/>
  <c r="V1000" i="22"/>
  <c r="AF1000" i="22" s="1"/>
  <c r="E1001" i="22" s="1"/>
  <c r="W1000" i="22" a="1"/>
  <c r="W1000" i="22" l="1"/>
  <c r="P1000" i="22" a="1"/>
  <c r="P1000" i="22" l="1"/>
  <c r="AC1000" i="22"/>
  <c r="B1001" i="22" l="1"/>
  <c r="R1000" i="22"/>
  <c r="S1000" i="22" s="1"/>
  <c r="K1000" i="22" s="1"/>
  <c r="I1001" i="22"/>
  <c r="H1001" i="22" l="1"/>
  <c r="X1000" i="22"/>
  <c r="Y1000" i="22" s="1"/>
  <c r="AG1000" i="22" l="1"/>
  <c r="F1001" i="22" l="1"/>
  <c r="AK1000" i="22"/>
  <c r="G1001" i="22" s="1"/>
  <c r="T1001" i="22" a="1"/>
  <c r="T1001" i="22" l="1"/>
  <c r="Q1001" i="22" l="1"/>
  <c r="V1001" i="22"/>
  <c r="AF1001" i="22" s="1"/>
  <c r="E1002" i="22" s="1"/>
  <c r="AD1001" i="22"/>
  <c r="C1002" i="22" s="1"/>
  <c r="U1001" i="22"/>
  <c r="AE1001" i="22" s="1"/>
  <c r="D1002" i="22" s="1"/>
  <c r="W1001" i="22" a="1"/>
  <c r="W1001" i="22" l="1"/>
  <c r="P1001" i="22" a="1"/>
  <c r="P1001" i="22" l="1"/>
  <c r="AC1001" i="22"/>
  <c r="I1002" i="22" l="1"/>
  <c r="R1001" i="22"/>
  <c r="S1001" i="22" s="1"/>
  <c r="K1001" i="22" s="1"/>
  <c r="B1002" i="22"/>
  <c r="X1001" i="22" l="1"/>
  <c r="Y1001" i="22" s="1"/>
  <c r="H1002" i="22"/>
  <c r="AG1001" i="22" l="1"/>
  <c r="F1002" i="22" l="1"/>
  <c r="AK1001" i="22"/>
  <c r="G1002" i="22" s="1"/>
  <c r="T1002" i="22" a="1"/>
  <c r="T1002" i="22" l="1"/>
  <c r="Q1002" i="22" l="1"/>
  <c r="V1002" i="22"/>
  <c r="AF1002" i="22" s="1"/>
  <c r="E1003" i="22" s="1"/>
  <c r="AD1002" i="22"/>
  <c r="C1003" i="22" s="1"/>
  <c r="U1002" i="22"/>
  <c r="AE1002" i="22" s="1"/>
  <c r="D1003" i="22" s="1"/>
  <c r="W1002" i="22" a="1"/>
  <c r="W1002" i="22" l="1"/>
  <c r="P1002" i="22" a="1"/>
  <c r="P1002" i="22" l="1"/>
  <c r="AC1002" i="22"/>
  <c r="R1002" i="22" l="1"/>
  <c r="S1002" i="22" s="1"/>
  <c r="K1002" i="22" s="1"/>
  <c r="I1003" i="22"/>
  <c r="B1003" i="22"/>
  <c r="H1003" i="22" l="1"/>
  <c r="X1002" i="22"/>
  <c r="Y1002" i="22" s="1"/>
  <c r="AG1002" i="22" l="1"/>
  <c r="F1003" i="22" l="1"/>
  <c r="AK1002" i="22"/>
  <c r="G1003" i="22" s="1"/>
  <c r="T1003" i="22" a="1"/>
  <c r="T1003" i="22" l="1"/>
  <c r="Q1003" i="22" l="1"/>
  <c r="V1003" i="22"/>
  <c r="AF1003" i="22" s="1"/>
  <c r="E1004" i="22" s="1"/>
  <c r="AD1003" i="22"/>
  <c r="C1004" i="22" s="1"/>
  <c r="U1003" i="22"/>
  <c r="AE1003" i="22" s="1"/>
  <c r="D1004" i="22" s="1"/>
  <c r="W1003" i="22" a="1"/>
  <c r="W1003" i="22" l="1"/>
  <c r="P1003" i="22" a="1"/>
  <c r="P1003" i="22" l="1"/>
  <c r="AC1003" i="22"/>
  <c r="B1004" i="22" l="1"/>
  <c r="I1004" i="22"/>
  <c r="R1003" i="22"/>
  <c r="S1003" i="22" s="1"/>
  <c r="K1003" i="22" s="1"/>
  <c r="H1004" i="22" l="1"/>
  <c r="X1003" i="22"/>
  <c r="Y1003" i="22" s="1"/>
  <c r="AG1003" i="22" l="1"/>
  <c r="F1004" i="22" l="1"/>
  <c r="AK1003" i="22"/>
  <c r="G1004" i="22" s="1"/>
  <c r="T1004" i="22" a="1"/>
  <c r="T1004" i="22" l="1"/>
  <c r="Q1004" i="22" l="1"/>
  <c r="V1004" i="22"/>
  <c r="AF1004" i="22" s="1"/>
  <c r="E1005" i="22" s="1"/>
  <c r="U1004" i="22"/>
  <c r="AE1004" i="22" s="1"/>
  <c r="D1005" i="22" s="1"/>
  <c r="AD1004" i="22"/>
  <c r="C1005" i="22" s="1"/>
  <c r="W1004" i="22" a="1"/>
  <c r="W1004" i="22" l="1"/>
  <c r="P1004" i="22" a="1"/>
  <c r="P1004" i="22" l="1"/>
  <c r="AC1004" i="22"/>
  <c r="B1005" i="22" l="1"/>
  <c r="R1004" i="22"/>
  <c r="S1004" i="22" s="1"/>
  <c r="K1004" i="22" s="1"/>
  <c r="I1005" i="22"/>
  <c r="H1005" i="22" s="1"/>
  <c r="X1004" i="22" l="1"/>
  <c r="Y1004" i="22" s="1"/>
  <c r="AG1004" i="22" l="1"/>
  <c r="F1005" i="22" l="1"/>
  <c r="AK1004" i="22"/>
  <c r="G1005" i="22" s="1"/>
  <c r="T1005" i="22" a="1"/>
  <c r="T1005" i="22" l="1"/>
  <c r="Q1005" i="22" l="1"/>
  <c r="AD1005" i="22"/>
  <c r="C1006" i="22" s="1"/>
  <c r="V1005" i="22"/>
  <c r="AF1005" i="22" s="1"/>
  <c r="E1006" i="22" s="1"/>
  <c r="U1005" i="22"/>
  <c r="AE1005" i="22" s="1"/>
  <c r="D1006" i="22" s="1"/>
  <c r="W1005" i="22" a="1"/>
  <c r="W1005" i="22" l="1"/>
  <c r="P1005" i="22" a="1"/>
  <c r="P1005" i="22" l="1"/>
  <c r="AC1005" i="22"/>
  <c r="B1006" i="22" l="1"/>
  <c r="I1006" i="22"/>
  <c r="R1005" i="22"/>
  <c r="S1005" i="22" s="1"/>
  <c r="K1005" i="22" s="1"/>
  <c r="X1005" i="22" l="1"/>
  <c r="Y1005" i="22" s="1"/>
  <c r="H1006" i="22"/>
  <c r="AG1005" i="22" l="1"/>
  <c r="F1006" i="22" l="1"/>
  <c r="AK1005" i="22"/>
  <c r="G1006" i="22" s="1"/>
  <c r="T1006" i="22" a="1"/>
  <c r="T1006" i="22" l="1"/>
  <c r="Q1006" i="22" l="1"/>
  <c r="U1006" i="22"/>
  <c r="AE1006" i="22" s="1"/>
  <c r="D1007" i="22" s="1"/>
  <c r="V1006" i="22"/>
  <c r="AF1006" i="22" s="1"/>
  <c r="E1007" i="22" s="1"/>
  <c r="AD1006" i="22"/>
  <c r="C1007" i="22" s="1"/>
  <c r="W1006" i="22" a="1"/>
  <c r="W1006" i="22" l="1"/>
  <c r="P1006" i="22" a="1"/>
  <c r="P1006" i="22" l="1"/>
  <c r="AC1006" i="22"/>
  <c r="B1007" i="22" l="1"/>
  <c r="I1007" i="22"/>
  <c r="R1006" i="22"/>
  <c r="S1006" i="22" s="1"/>
  <c r="K1006" i="22" s="1"/>
  <c r="H1007" i="22" l="1"/>
  <c r="X1006" i="22"/>
  <c r="Y1006" i="22" s="1"/>
  <c r="AG1006" i="22" l="1"/>
  <c r="F1007" i="22" l="1"/>
  <c r="AK1006" i="22"/>
  <c r="G1007" i="22" s="1"/>
  <c r="T1007" i="22" a="1"/>
  <c r="T1007" i="22" l="1"/>
  <c r="Q1007" i="22" l="1"/>
  <c r="V1007" i="22"/>
  <c r="AF1007" i="22" s="1"/>
  <c r="E1008" i="22" s="1"/>
  <c r="U1007" i="22"/>
  <c r="AE1007" i="22" s="1"/>
  <c r="D1008" i="22" s="1"/>
  <c r="AD1007" i="22"/>
  <c r="C1008" i="22" s="1"/>
  <c r="W1007" i="22" a="1"/>
  <c r="W1007" i="22" l="1"/>
  <c r="P1007" i="22" a="1"/>
  <c r="P1007" i="22" l="1"/>
  <c r="AC1007" i="22"/>
  <c r="B1008" i="22" l="1"/>
  <c r="I1008" i="22"/>
  <c r="R1007" i="22"/>
  <c r="S1007" i="22" s="1"/>
  <c r="K1007" i="22" s="1"/>
  <c r="X1007" i="22" l="1"/>
  <c r="Y1007" i="22" s="1"/>
  <c r="H1008" i="22"/>
  <c r="AG1007" i="22" l="1"/>
  <c r="F1008" i="22" l="1"/>
  <c r="AK1007" i="22"/>
  <c r="G1008" i="22" s="1"/>
  <c r="T1008" i="22" a="1"/>
  <c r="T1008" i="22" l="1"/>
  <c r="Q1008" i="22" l="1"/>
  <c r="AD1008" i="22"/>
  <c r="C1009" i="22" s="1"/>
  <c r="V1008" i="22"/>
  <c r="AF1008" i="22" s="1"/>
  <c r="E1009" i="22" s="1"/>
  <c r="U1008" i="22"/>
  <c r="AE1008" i="22" s="1"/>
  <c r="D1009" i="22" s="1"/>
  <c r="W1008" i="22" a="1"/>
  <c r="W1008" i="22" l="1"/>
  <c r="P1008" i="22" a="1"/>
  <c r="P1008" i="22" l="1"/>
  <c r="AC1008" i="22"/>
  <c r="B1009" i="22" l="1"/>
  <c r="R1008" i="22"/>
  <c r="S1008" i="22" s="1"/>
  <c r="K1008" i="22" s="1"/>
  <c r="I1009" i="22"/>
  <c r="X1008" i="22" l="1"/>
  <c r="Y1008" i="22" s="1"/>
  <c r="H1009" i="22"/>
  <c r="AG1008" i="22" l="1"/>
  <c r="F1009" i="22" l="1"/>
  <c r="AK1008" i="22"/>
  <c r="G1009" i="22" s="1"/>
  <c r="T1009" i="22" a="1"/>
  <c r="T1009" i="22" l="1"/>
  <c r="Q1009" i="22" l="1"/>
  <c r="U1009" i="22"/>
  <c r="AE1009" i="22" s="1"/>
  <c r="D1010" i="22" s="1"/>
  <c r="AD1009" i="22"/>
  <c r="C1010" i="22" s="1"/>
  <c r="V1009" i="22"/>
  <c r="AF1009" i="22" s="1"/>
  <c r="E1010" i="22" s="1"/>
  <c r="W1009" i="22" a="1"/>
  <c r="W1009" i="22" l="1"/>
  <c r="P1009" i="22" a="1"/>
  <c r="P1009" i="22" l="1"/>
  <c r="AC1009" i="22"/>
  <c r="B1010" i="22" l="1"/>
  <c r="R1009" i="22"/>
  <c r="S1009" i="22" s="1"/>
  <c r="K1009" i="22" s="1"/>
  <c r="I1010" i="22"/>
  <c r="X1009" i="22" l="1"/>
  <c r="Y1009" i="22" s="1"/>
  <c r="H1010" i="22"/>
  <c r="AG1009" i="22" l="1"/>
  <c r="F1010" i="22" l="1"/>
  <c r="AK1009" i="22"/>
  <c r="G1010" i="22" s="1"/>
  <c r="T1010" i="22" a="1"/>
  <c r="T1010" i="22" l="1"/>
  <c r="Q1010" i="22" l="1"/>
  <c r="AD1010" i="22"/>
  <c r="C1011" i="22" s="1"/>
  <c r="U1010" i="22"/>
  <c r="AE1010" i="22" s="1"/>
  <c r="D1011" i="22" s="1"/>
  <c r="V1010" i="22"/>
  <c r="AF1010" i="22" s="1"/>
  <c r="E1011" i="22" s="1"/>
  <c r="W1010" i="22" a="1"/>
  <c r="W1010" i="22" l="1"/>
  <c r="P1010" i="22" a="1"/>
  <c r="P1010" i="22" l="1"/>
  <c r="AC1010" i="22"/>
  <c r="B1011" i="22" l="1"/>
  <c r="I1011" i="22"/>
  <c r="H1011" i="22" s="1"/>
  <c r="R1010" i="22"/>
  <c r="S1010" i="22" s="1"/>
  <c r="K1010" i="22" s="1"/>
  <c r="X1010" i="22" l="1"/>
  <c r="Y1010" i="22" s="1"/>
  <c r="AG1010" i="22" l="1"/>
  <c r="F1011" i="22" l="1"/>
  <c r="AK1010" i="22"/>
  <c r="G1011" i="22" s="1"/>
  <c r="T1011" i="22" a="1"/>
  <c r="T1011" i="22" l="1"/>
  <c r="Q1011" i="22" l="1"/>
  <c r="AD1011" i="22"/>
  <c r="C1012" i="22" s="1"/>
  <c r="V1011" i="22"/>
  <c r="AF1011" i="22" s="1"/>
  <c r="E1012" i="22" s="1"/>
  <c r="U1011" i="22"/>
  <c r="AE1011" i="22" s="1"/>
  <c r="D1012" i="22" s="1"/>
  <c r="W1011" i="22" a="1"/>
  <c r="W1011" i="22" l="1"/>
  <c r="P1011" i="22" a="1"/>
  <c r="P1011" i="22" l="1"/>
  <c r="AC1011" i="22"/>
  <c r="B1012" i="22" l="1"/>
  <c r="I1012" i="22"/>
  <c r="H1012" i="22" s="1"/>
  <c r="R1011" i="22"/>
  <c r="S1011" i="22" s="1"/>
  <c r="K1011" i="22" s="1"/>
  <c r="X1011" i="22" l="1"/>
  <c r="Y1011" i="22" s="1"/>
  <c r="AG1011" i="22" l="1"/>
  <c r="F1012" i="22" l="1"/>
  <c r="AK1011" i="22"/>
  <c r="G1012" i="22" s="1"/>
  <c r="T1012" i="22" a="1"/>
  <c r="T1012" i="22" l="1"/>
  <c r="Q1012" i="22" l="1"/>
  <c r="AD1012" i="22"/>
  <c r="C1013" i="22" s="1"/>
  <c r="U1012" i="22"/>
  <c r="AE1012" i="22" s="1"/>
  <c r="D1013" i="22" s="1"/>
  <c r="V1012" i="22"/>
  <c r="AF1012" i="22" s="1"/>
  <c r="E1013" i="22" s="1"/>
  <c r="W1012" i="22" a="1"/>
  <c r="W1012" i="22" l="1"/>
  <c r="P1012" i="22" a="1"/>
  <c r="P1012" i="22" l="1"/>
  <c r="AC1012" i="22"/>
  <c r="R1012" i="22" l="1"/>
  <c r="S1012" i="22" s="1"/>
  <c r="K1012" i="22" s="1"/>
  <c r="I1013" i="22"/>
  <c r="B1013" i="22"/>
  <c r="H1013" i="22" l="1"/>
  <c r="X1012" i="22"/>
  <c r="Y1012" i="22" s="1"/>
  <c r="AG1012" i="22" l="1"/>
  <c r="F1013" i="22" l="1"/>
  <c r="AK1012" i="22"/>
  <c r="G1013" i="22" s="1"/>
  <c r="T1013" i="22" a="1"/>
  <c r="T1013" i="22" l="1"/>
  <c r="Q1013" i="22" l="1"/>
  <c r="AD1013" i="22"/>
  <c r="C1014" i="22" s="1"/>
  <c r="U1013" i="22"/>
  <c r="AE1013" i="22" s="1"/>
  <c r="D1014" i="22" s="1"/>
  <c r="V1013" i="22"/>
  <c r="AF1013" i="22" s="1"/>
  <c r="E1014" i="22" s="1"/>
  <c r="W1013" i="22" a="1"/>
  <c r="W1013" i="22" l="1"/>
  <c r="P1013" i="22" a="1"/>
  <c r="P1013" i="22" l="1"/>
  <c r="AC1013" i="22"/>
  <c r="I1014" i="22" l="1"/>
  <c r="R1013" i="22"/>
  <c r="S1013" i="22" s="1"/>
  <c r="K1013" i="22" s="1"/>
  <c r="B1014" i="22"/>
  <c r="X1013" i="22" l="1"/>
  <c r="Y1013" i="22" s="1"/>
  <c r="H1014" i="22"/>
  <c r="AG1013" i="22" l="1"/>
  <c r="F1014" i="22" l="1"/>
  <c r="AK1013" i="22"/>
  <c r="G1014" i="22" s="1"/>
  <c r="T1014" i="22" a="1"/>
  <c r="T1014" i="22" l="1"/>
  <c r="Q1014" i="22" l="1"/>
  <c r="AD1014" i="22"/>
  <c r="C1015" i="22" s="1"/>
  <c r="U1014" i="22"/>
  <c r="AE1014" i="22" s="1"/>
  <c r="D1015" i="22" s="1"/>
  <c r="V1014" i="22"/>
  <c r="AF1014" i="22" s="1"/>
  <c r="E1015" i="22" s="1"/>
  <c r="W1014" i="22" a="1"/>
  <c r="W1014" i="22" l="1"/>
  <c r="P1014" i="22" a="1"/>
  <c r="P1014" i="22" l="1"/>
  <c r="AC1014" i="22"/>
  <c r="B1015" i="22" l="1"/>
  <c r="R1014" i="22"/>
  <c r="S1014" i="22" s="1"/>
  <c r="K1014" i="22" s="1"/>
  <c r="I1015" i="22"/>
  <c r="X1014" i="22" l="1"/>
  <c r="Y1014" i="22" s="1"/>
  <c r="H1015" i="22"/>
  <c r="AG1014" i="22" l="1"/>
  <c r="F1015" i="22" l="1"/>
  <c r="AK1014" i="22"/>
  <c r="G1015" i="22" s="1"/>
  <c r="T1015" i="22" a="1"/>
  <c r="T1015" i="22" l="1"/>
  <c r="Q1015" i="22" l="1"/>
  <c r="V1015" i="22"/>
  <c r="AF1015" i="22" s="1"/>
  <c r="E1016" i="22" s="1"/>
  <c r="U1015" i="22"/>
  <c r="AE1015" i="22" s="1"/>
  <c r="D1016" i="22" s="1"/>
  <c r="AD1015" i="22"/>
  <c r="C1016" i="22" s="1"/>
  <c r="W1015" i="22" a="1"/>
  <c r="W1015" i="22" l="1"/>
  <c r="P1015" i="22" a="1"/>
  <c r="P1015" i="22" l="1"/>
  <c r="AC1015" i="22"/>
  <c r="B1016" i="22" l="1"/>
  <c r="I1016" i="22"/>
  <c r="R1015" i="22"/>
  <c r="S1015" i="22" s="1"/>
  <c r="K1015" i="22" s="1"/>
  <c r="H1016" i="22" l="1"/>
  <c r="X1015" i="22"/>
  <c r="Y1015" i="22" s="1"/>
  <c r="AG1015" i="22" l="1"/>
  <c r="F1016" i="22" l="1"/>
  <c r="AK1015" i="22"/>
  <c r="G1016" i="22" s="1"/>
  <c r="T1016" i="22" a="1"/>
  <c r="T1016" i="22" l="1"/>
  <c r="Q1016" i="22" l="1"/>
  <c r="U1016" i="22"/>
  <c r="AE1016" i="22" s="1"/>
  <c r="D1017" i="22" s="1"/>
  <c r="V1016" i="22"/>
  <c r="AF1016" i="22" s="1"/>
  <c r="E1017" i="22" s="1"/>
  <c r="AD1016" i="22"/>
  <c r="C1017" i="22" s="1"/>
  <c r="W1016" i="22" a="1"/>
  <c r="W1016" i="22" l="1"/>
  <c r="P1016" i="22" a="1"/>
  <c r="P1016" i="22" l="1"/>
  <c r="AC1016" i="22"/>
  <c r="B1017" i="22" l="1"/>
  <c r="R1016" i="22"/>
  <c r="S1016" i="22" s="1"/>
  <c r="K1016" i="22" s="1"/>
  <c r="I1017" i="22"/>
  <c r="H1017" i="22" l="1"/>
  <c r="X1016" i="22"/>
  <c r="Y1016" i="22" s="1"/>
  <c r="AG1016" i="22" l="1"/>
  <c r="F1017" i="22" l="1"/>
  <c r="AK1016" i="22"/>
  <c r="G1017" i="22" s="1"/>
  <c r="T1017" i="22" a="1"/>
  <c r="T1017" i="22" l="1"/>
  <c r="Q1017" i="22" l="1"/>
  <c r="U1017" i="22"/>
  <c r="AE1017" i="22" s="1"/>
  <c r="D1018" i="22" s="1"/>
  <c r="V1017" i="22"/>
  <c r="AF1017" i="22" s="1"/>
  <c r="E1018" i="22" s="1"/>
  <c r="AD1017" i="22"/>
  <c r="C1018" i="22" s="1"/>
  <c r="W1017" i="22" a="1"/>
  <c r="W1017" i="22" l="1"/>
  <c r="P1017" i="22" a="1"/>
  <c r="P1017" i="22" l="1"/>
  <c r="AC1017" i="22"/>
  <c r="R1017" i="22" l="1"/>
  <c r="S1017" i="22" s="1"/>
  <c r="K1017" i="22" s="1"/>
  <c r="I1018" i="22"/>
  <c r="B1018" i="22"/>
  <c r="H1018" i="22" l="1"/>
  <c r="X1017" i="22"/>
  <c r="Y1017" i="22" s="1"/>
  <c r="AG1017" i="22" l="1"/>
  <c r="F1018" i="22" l="1"/>
  <c r="AK1017" i="22"/>
  <c r="G1018" i="22" s="1"/>
  <c r="T1018" i="22" a="1"/>
  <c r="T1018" i="22" l="1"/>
  <c r="Q1018" i="22" l="1"/>
  <c r="V1018" i="22"/>
  <c r="AF1018" i="22" s="1"/>
  <c r="E1019" i="22" s="1"/>
  <c r="AD1018" i="22"/>
  <c r="C1019" i="22" s="1"/>
  <c r="U1018" i="22"/>
  <c r="AE1018" i="22" s="1"/>
  <c r="D1019" i="22" s="1"/>
  <c r="W1018" i="22" a="1"/>
  <c r="W1018" i="22" l="1"/>
  <c r="P1018" i="22" a="1"/>
  <c r="P1018" i="22" l="1"/>
  <c r="AC1018" i="22"/>
  <c r="B1019" i="22" l="1"/>
  <c r="I1019" i="22"/>
  <c r="R1018" i="22"/>
  <c r="S1018" i="22" s="1"/>
  <c r="K1018" i="22" s="1"/>
  <c r="H1019" i="22" l="1"/>
  <c r="X1018" i="22"/>
  <c r="Y1018" i="22" s="1"/>
  <c r="AG1018" i="22" l="1"/>
  <c r="F1019" i="22" l="1"/>
  <c r="AK1018" i="22"/>
  <c r="G1019" i="22" s="1"/>
  <c r="T1019" i="22" a="1"/>
  <c r="T1019" i="22" l="1"/>
  <c r="Q1019" i="22" l="1"/>
  <c r="AD1019" i="22"/>
  <c r="C1020" i="22" s="1"/>
  <c r="U1019" i="22"/>
  <c r="AE1019" i="22" s="1"/>
  <c r="D1020" i="22" s="1"/>
  <c r="V1019" i="22"/>
  <c r="AF1019" i="22" s="1"/>
  <c r="E1020" i="22" s="1"/>
  <c r="W1019" i="22" a="1"/>
  <c r="W1019" i="22" l="1"/>
  <c r="P1019" i="22" a="1"/>
  <c r="P1019" i="22" l="1"/>
  <c r="AC1019" i="22"/>
  <c r="I1020" i="22" l="1"/>
  <c r="R1019" i="22"/>
  <c r="S1019" i="22" s="1"/>
  <c r="K1019" i="22" s="1"/>
  <c r="B1020" i="22"/>
  <c r="H1020" i="22" l="1"/>
  <c r="X1019" i="22"/>
  <c r="Y1019" i="22" s="1"/>
  <c r="AG1019" i="22" l="1"/>
  <c r="F1020" i="22" l="1"/>
  <c r="AK1019" i="22"/>
  <c r="G1020" i="22" s="1"/>
  <c r="T1020" i="22" a="1"/>
  <c r="T1020" i="22" l="1"/>
  <c r="Q1020" i="22" l="1"/>
  <c r="V1020" i="22"/>
  <c r="AF1020" i="22" s="1"/>
  <c r="E1021" i="22" s="1"/>
  <c r="U1020" i="22"/>
  <c r="AE1020" i="22" s="1"/>
  <c r="D1021" i="22" s="1"/>
  <c r="AD1020" i="22"/>
  <c r="C1021" i="22" s="1"/>
  <c r="W1020" i="22" a="1"/>
  <c r="W1020" i="22" l="1"/>
  <c r="P1020" i="22" a="1"/>
  <c r="P1020" i="22" l="1"/>
  <c r="AC1020" i="22"/>
  <c r="R1020" i="22" l="1"/>
  <c r="S1020" i="22" s="1"/>
  <c r="K1020" i="22" s="1"/>
  <c r="I1021" i="22"/>
  <c r="B1021" i="22"/>
  <c r="X1020" i="22" l="1"/>
  <c r="Y1020" i="22" s="1"/>
  <c r="H1021" i="22"/>
  <c r="AG1020" i="22" l="1"/>
  <c r="F1021" i="22" l="1"/>
  <c r="AK1020" i="22"/>
  <c r="G1021" i="22" s="1"/>
  <c r="T1021" i="22" a="1"/>
  <c r="T1021" i="22" l="1"/>
  <c r="Q1021" i="22" l="1"/>
  <c r="AD1021" i="22"/>
  <c r="C1022" i="22" s="1"/>
  <c r="U1021" i="22"/>
  <c r="AE1021" i="22" s="1"/>
  <c r="D1022" i="22" s="1"/>
  <c r="V1021" i="22"/>
  <c r="AF1021" i="22" s="1"/>
  <c r="E1022" i="22" s="1"/>
  <c r="W1021" i="22" a="1"/>
  <c r="W1021" i="22" l="1"/>
  <c r="P1021" i="22" a="1"/>
  <c r="P1021" i="22" l="1"/>
  <c r="AC1021" i="22"/>
  <c r="R1021" i="22" l="1"/>
  <c r="S1021" i="22" s="1"/>
  <c r="K1021" i="22" s="1"/>
  <c r="I1022" i="22"/>
  <c r="B1022" i="22"/>
  <c r="H1022" i="22" l="1"/>
  <c r="X1021" i="22"/>
  <c r="Y1021" i="22" s="1"/>
  <c r="AG1021" i="22" l="1"/>
  <c r="F1022" i="22" l="1"/>
  <c r="AK1021" i="22"/>
  <c r="G1022" i="22" s="1"/>
  <c r="T1022" i="22" a="1"/>
  <c r="T1022" i="22" l="1"/>
  <c r="Q1022" i="22" l="1"/>
  <c r="V1022" i="22"/>
  <c r="AF1022" i="22" s="1"/>
  <c r="E1023" i="22" s="1"/>
  <c r="U1022" i="22"/>
  <c r="AE1022" i="22" s="1"/>
  <c r="D1023" i="22" s="1"/>
  <c r="AD1022" i="22"/>
  <c r="C1023" i="22" s="1"/>
  <c r="W1022" i="22" a="1"/>
  <c r="W1022" i="22" l="1"/>
  <c r="P1022" i="22" a="1"/>
  <c r="P1022" i="22" l="1"/>
  <c r="AC1022" i="22"/>
  <c r="R1022" i="22" l="1"/>
  <c r="S1022" i="22" s="1"/>
  <c r="K1022" i="22" s="1"/>
  <c r="I1023" i="22"/>
  <c r="B1023" i="22"/>
  <c r="H1023" i="22" l="1"/>
  <c r="X1022" i="22"/>
  <c r="Y1022" i="22" s="1"/>
  <c r="AG1022" i="22" l="1"/>
  <c r="F1023" i="22" l="1"/>
  <c r="AK1022" i="22"/>
  <c r="G1023" i="22" s="1"/>
  <c r="T1023" i="22" a="1"/>
  <c r="T1023" i="22" l="1"/>
  <c r="Q1023" i="22" l="1"/>
  <c r="AD1023" i="22"/>
  <c r="C1024" i="22" s="1"/>
  <c r="V1023" i="22"/>
  <c r="AF1023" i="22" s="1"/>
  <c r="E1024" i="22" s="1"/>
  <c r="U1023" i="22"/>
  <c r="AE1023" i="22" s="1"/>
  <c r="D1024" i="22" s="1"/>
  <c r="W1023" i="22" a="1"/>
  <c r="W1023" i="22" l="1"/>
  <c r="P1023" i="22" a="1"/>
  <c r="P1023" i="22" l="1"/>
  <c r="AC1023" i="22"/>
  <c r="R1023" i="22" l="1"/>
  <c r="S1023" i="22" s="1"/>
  <c r="K1023" i="22" s="1"/>
  <c r="I1024" i="22"/>
  <c r="B1024" i="22"/>
  <c r="H1024" i="22" l="1"/>
  <c r="X1023" i="22"/>
  <c r="Y1023" i="22" s="1"/>
  <c r="AG1023" i="22" l="1"/>
  <c r="F1024" i="22" l="1"/>
  <c r="AK1023" i="22"/>
  <c r="G1024" i="22" s="1"/>
  <c r="T1024" i="22" a="1"/>
  <c r="T1024" i="22" l="1"/>
  <c r="Q1024" i="22" l="1"/>
  <c r="V1024" i="22"/>
  <c r="AF1024" i="22" s="1"/>
  <c r="E1025" i="22" s="1"/>
  <c r="U1024" i="22"/>
  <c r="AE1024" i="22" s="1"/>
  <c r="D1025" i="22" s="1"/>
  <c r="AD1024" i="22"/>
  <c r="C1025" i="22" s="1"/>
  <c r="W1024" i="22" a="1"/>
  <c r="W1024" i="22" l="1"/>
  <c r="P1024" i="22" a="1"/>
  <c r="P1024" i="22" l="1"/>
  <c r="AC1024" i="22"/>
  <c r="B1025" i="22" l="1"/>
  <c r="R1024" i="22"/>
  <c r="S1024" i="22" s="1"/>
  <c r="K1024" i="22" s="1"/>
  <c r="I1025" i="22"/>
  <c r="X1024" i="22" l="1"/>
  <c r="Y1024" i="22" s="1"/>
  <c r="H1025" i="22"/>
  <c r="AG1024" i="22" l="1"/>
  <c r="F1025" i="22" l="1"/>
  <c r="AK1024" i="22"/>
  <c r="G1025" i="22" s="1"/>
  <c r="T1025" i="22" a="1"/>
  <c r="T1025" i="22" l="1"/>
  <c r="Q1025" i="22" l="1"/>
  <c r="V1025" i="22"/>
  <c r="AF1025" i="22" s="1"/>
  <c r="E1026" i="22" s="1"/>
  <c r="AD1025" i="22"/>
  <c r="C1026" i="22" s="1"/>
  <c r="U1025" i="22"/>
  <c r="AE1025" i="22" s="1"/>
  <c r="D1026" i="22" s="1"/>
  <c r="W1025" i="22" a="1"/>
  <c r="W1025" i="22" l="1"/>
  <c r="P1025" i="22" a="1"/>
  <c r="P1025" i="22" l="1"/>
  <c r="AC1025" i="22"/>
  <c r="B1026" i="22" l="1"/>
  <c r="R1025" i="22"/>
  <c r="S1025" i="22" s="1"/>
  <c r="K1025" i="22" s="1"/>
  <c r="I1026" i="22"/>
  <c r="X1025" i="22" l="1"/>
  <c r="Y1025" i="22" s="1"/>
  <c r="H1026" i="22"/>
  <c r="AG1025" i="22" l="1"/>
  <c r="F1026" i="22" l="1"/>
  <c r="AK1025" i="22"/>
  <c r="G1026" i="22" s="1"/>
  <c r="T1026" i="22" a="1"/>
  <c r="T1026" i="22" l="1"/>
  <c r="Q1026" i="22" l="1"/>
  <c r="U1026" i="22"/>
  <c r="AE1026" i="22" s="1"/>
  <c r="D1027" i="22" s="1"/>
  <c r="AD1026" i="22"/>
  <c r="C1027" i="22" s="1"/>
  <c r="V1026" i="22"/>
  <c r="AF1026" i="22" s="1"/>
  <c r="E1027" i="22" s="1"/>
  <c r="W1026" i="22" a="1"/>
  <c r="W1026" i="22" l="1"/>
  <c r="P1026" i="22" a="1"/>
  <c r="P1026" i="22" l="1"/>
  <c r="AC1026" i="22"/>
  <c r="B1027" i="22" l="1"/>
  <c r="I1027" i="22"/>
  <c r="R1026" i="22"/>
  <c r="S1026" i="22" s="1"/>
  <c r="K1026" i="22" s="1"/>
  <c r="X1026" i="22" l="1"/>
  <c r="Y1026" i="22" s="1"/>
  <c r="H1027" i="22"/>
  <c r="AG1026" i="22" l="1"/>
  <c r="F1027" i="22" l="1"/>
  <c r="AK1026" i="22"/>
  <c r="G1027" i="22" s="1"/>
  <c r="T1027" i="22" a="1"/>
  <c r="T1027" i="22" l="1"/>
  <c r="Q1027" i="22" l="1"/>
  <c r="V1027" i="22"/>
  <c r="AF1027" i="22" s="1"/>
  <c r="E1028" i="22" s="1"/>
  <c r="AD1027" i="22"/>
  <c r="C1028" i="22" s="1"/>
  <c r="U1027" i="22"/>
  <c r="AE1027" i="22" s="1"/>
  <c r="D1028" i="22" s="1"/>
  <c r="W1027" i="22" a="1"/>
  <c r="W1027" i="22" l="1"/>
  <c r="P1027" i="22" a="1"/>
  <c r="P1027" i="22" l="1"/>
  <c r="AC1027" i="22"/>
  <c r="R1027" i="22" l="1"/>
  <c r="S1027" i="22" s="1"/>
  <c r="K1027" i="22" s="1"/>
  <c r="I1028" i="22"/>
  <c r="B1028" i="22"/>
  <c r="H1028" i="22" l="1"/>
  <c r="X1027" i="22"/>
  <c r="Y1027" i="22" s="1"/>
  <c r="AG1027" i="22" l="1"/>
  <c r="F1028" i="22" l="1"/>
  <c r="AK1027" i="22"/>
  <c r="G1028" i="22" s="1"/>
  <c r="T1028" i="22" a="1"/>
  <c r="T1028" i="22" l="1"/>
  <c r="Q1028" i="22" l="1"/>
  <c r="U1028" i="22"/>
  <c r="AE1028" i="22" s="1"/>
  <c r="D1029" i="22" s="1"/>
  <c r="V1028" i="22"/>
  <c r="AF1028" i="22" s="1"/>
  <c r="E1029" i="22" s="1"/>
  <c r="AD1028" i="22"/>
  <c r="C1029" i="22" s="1"/>
  <c r="W1028" i="22" a="1"/>
  <c r="W1028" i="22" l="1"/>
  <c r="P1028" i="22" a="1"/>
  <c r="P1028" i="22" l="1"/>
  <c r="AC1028" i="22"/>
  <c r="B1029" i="22" l="1"/>
  <c r="R1028" i="22"/>
  <c r="S1028" i="22" s="1"/>
  <c r="K1028" i="22" s="1"/>
  <c r="I1029" i="22"/>
  <c r="X1028" i="22" l="1"/>
  <c r="Y1028" i="22" s="1"/>
  <c r="H1029" i="22"/>
  <c r="AG1028" i="22" l="1"/>
  <c r="F1029" i="22" l="1"/>
  <c r="AK1028" i="22"/>
  <c r="G1029" i="22" s="1"/>
  <c r="T1029" i="22" a="1"/>
  <c r="T1029" i="22" l="1"/>
  <c r="Q1029" i="22" l="1"/>
  <c r="AD1029" i="22"/>
  <c r="C1030" i="22" s="1"/>
  <c r="U1029" i="22"/>
  <c r="AE1029" i="22" s="1"/>
  <c r="D1030" i="22" s="1"/>
  <c r="V1029" i="22"/>
  <c r="AF1029" i="22" s="1"/>
  <c r="E1030" i="22" s="1"/>
  <c r="W1029" i="22" a="1"/>
  <c r="W1029" i="22" l="1"/>
  <c r="P1029" i="22" a="1"/>
  <c r="P1029" i="22" l="1"/>
  <c r="AC1029" i="22"/>
  <c r="B1030" i="22" l="1"/>
  <c r="R1029" i="22"/>
  <c r="S1029" i="22" s="1"/>
  <c r="K1029" i="22" s="1"/>
  <c r="I1030" i="22"/>
  <c r="X1029" i="22" l="1"/>
  <c r="Y1029" i="22" s="1"/>
  <c r="H1030" i="22"/>
  <c r="AG1029" i="22" l="1"/>
  <c r="F1030" i="22" l="1"/>
  <c r="AK1029" i="22"/>
  <c r="G1030" i="22" s="1"/>
  <c r="T1030" i="22" a="1"/>
  <c r="T1030" i="22" l="1"/>
  <c r="Q1030" i="22" l="1"/>
  <c r="V1030" i="22"/>
  <c r="AF1030" i="22" s="1"/>
  <c r="E1031" i="22" s="1"/>
  <c r="AD1030" i="22"/>
  <c r="C1031" i="22" s="1"/>
  <c r="U1030" i="22"/>
  <c r="AE1030" i="22" s="1"/>
  <c r="D1031" i="22" s="1"/>
  <c r="W1030" i="22" a="1"/>
  <c r="W1030" i="22" l="1"/>
  <c r="P1030" i="22" a="1"/>
  <c r="P1030" i="22" l="1"/>
  <c r="AC1030" i="22"/>
  <c r="B1031" i="22" l="1"/>
  <c r="I1031" i="22"/>
  <c r="R1030" i="22"/>
  <c r="S1030" i="22" s="1"/>
  <c r="K1030" i="22" s="1"/>
  <c r="H1031" i="22" l="1"/>
  <c r="X1030" i="22"/>
  <c r="Y1030" i="22" s="1"/>
  <c r="AG1030" i="22" l="1"/>
  <c r="F1031" i="22" l="1"/>
  <c r="AK1030" i="22"/>
  <c r="G1031" i="22" s="1"/>
  <c r="T1031" i="22" a="1"/>
  <c r="T1031" i="22" l="1"/>
  <c r="Q1031" i="22" l="1"/>
  <c r="AD1031" i="22"/>
  <c r="C1032" i="22" s="1"/>
  <c r="U1031" i="22"/>
  <c r="AE1031" i="22" s="1"/>
  <c r="D1032" i="22" s="1"/>
  <c r="V1031" i="22"/>
  <c r="AF1031" i="22" s="1"/>
  <c r="E1032" i="22" s="1"/>
  <c r="W1031" i="22" a="1"/>
  <c r="W1031" i="22" l="1"/>
  <c r="P1031" i="22" a="1"/>
  <c r="P1031" i="22" l="1"/>
  <c r="AC1031" i="22"/>
  <c r="B1032" i="22" l="1"/>
  <c r="R1031" i="22"/>
  <c r="S1031" i="22" s="1"/>
  <c r="K1031" i="22" s="1"/>
  <c r="I1032" i="22"/>
  <c r="H1032" i="22" l="1"/>
  <c r="X1031" i="22"/>
  <c r="Y1031" i="22" s="1"/>
  <c r="AG1031" i="22" l="1"/>
  <c r="F1032" i="22" l="1"/>
  <c r="AK1031" i="22"/>
  <c r="G1032" i="22" s="1"/>
  <c r="T1032" i="22" a="1"/>
  <c r="T1032" i="22" l="1"/>
  <c r="Q1032" i="22" l="1"/>
  <c r="U1032" i="22"/>
  <c r="AE1032" i="22" s="1"/>
  <c r="D1033" i="22" s="1"/>
  <c r="AD1032" i="22"/>
  <c r="C1033" i="22" s="1"/>
  <c r="V1032" i="22"/>
  <c r="AF1032" i="22" s="1"/>
  <c r="E1033" i="22" s="1"/>
  <c r="W1032" i="22" a="1"/>
  <c r="W1032" i="22" l="1"/>
  <c r="P1032" i="22" a="1"/>
  <c r="P1032" i="22" l="1"/>
  <c r="AC1032" i="22"/>
  <c r="B1033" i="22" l="1"/>
  <c r="I1033" i="22"/>
  <c r="R1032" i="22"/>
  <c r="S1032" i="22" s="1"/>
  <c r="K1032" i="22" s="1"/>
  <c r="X1032" i="22" l="1"/>
  <c r="Y1032" i="22" s="1"/>
  <c r="H1033" i="22"/>
  <c r="AG1032" i="22" l="1"/>
  <c r="F1033" i="22" l="1"/>
  <c r="AK1032" i="22"/>
  <c r="G1033" i="22" s="1"/>
  <c r="T1033" i="22" a="1"/>
  <c r="T1033" i="22" l="1"/>
  <c r="Q1033" i="22" l="1"/>
  <c r="U1033" i="22"/>
  <c r="AE1033" i="22" s="1"/>
  <c r="D1034" i="22" s="1"/>
  <c r="V1033" i="22"/>
  <c r="AF1033" i="22" s="1"/>
  <c r="E1034" i="22" s="1"/>
  <c r="AD1033" i="22"/>
  <c r="C1034" i="22" s="1"/>
  <c r="W1033" i="22" a="1"/>
  <c r="W1033" i="22" l="1"/>
  <c r="P1033" i="22" a="1"/>
  <c r="P1033" i="22" l="1"/>
  <c r="AC1033" i="22"/>
  <c r="R1033" i="22" l="1"/>
  <c r="S1033" i="22" s="1"/>
  <c r="K1033" i="22" s="1"/>
  <c r="I1034" i="22"/>
  <c r="B1034" i="22"/>
  <c r="H1034" i="22" l="1"/>
  <c r="X1033" i="22"/>
  <c r="Y1033" i="22" s="1"/>
  <c r="AG1033" i="22" l="1"/>
  <c r="F1034" i="22" l="1"/>
  <c r="AK1033" i="22"/>
  <c r="G1034" i="22" s="1"/>
  <c r="T1034" i="22" a="1"/>
  <c r="T1034" i="22" l="1"/>
  <c r="Q1034" i="22" l="1"/>
  <c r="V1034" i="22"/>
  <c r="AF1034" i="22" s="1"/>
  <c r="E1035" i="22" s="1"/>
  <c r="U1034" i="22"/>
  <c r="AE1034" i="22" s="1"/>
  <c r="D1035" i="22" s="1"/>
  <c r="AD1034" i="22"/>
  <c r="C1035" i="22" s="1"/>
  <c r="W1034" i="22" a="1"/>
  <c r="W1034" i="22" l="1"/>
  <c r="P1034" i="22" a="1"/>
  <c r="P1034" i="22" l="1"/>
  <c r="AC1034" i="22"/>
  <c r="B1035" i="22" l="1"/>
  <c r="R1034" i="22"/>
  <c r="S1034" i="22" s="1"/>
  <c r="K1034" i="22" s="1"/>
  <c r="I1035" i="22"/>
  <c r="H1035" i="22" s="1"/>
  <c r="X1034" i="22" l="1"/>
  <c r="Y1034" i="22" s="1"/>
  <c r="AG1034" i="22" l="1"/>
  <c r="F1035" i="22" l="1"/>
  <c r="AK1034" i="22"/>
  <c r="G1035" i="22" s="1"/>
  <c r="T1035" i="22" a="1"/>
  <c r="T1035" i="22" l="1"/>
  <c r="Q1035" i="22" l="1"/>
  <c r="AD1035" i="22"/>
  <c r="C1036" i="22" s="1"/>
  <c r="U1035" i="22"/>
  <c r="AE1035" i="22" s="1"/>
  <c r="D1036" i="22" s="1"/>
  <c r="V1035" i="22"/>
  <c r="AF1035" i="22" s="1"/>
  <c r="E1036" i="22" s="1"/>
  <c r="W1035" i="22" a="1"/>
  <c r="W1035" i="22" l="1"/>
  <c r="P1035" i="22" a="1"/>
  <c r="P1035" i="22" l="1"/>
  <c r="AC1035" i="22"/>
  <c r="B1036" i="22" l="1"/>
  <c r="I1036" i="22"/>
  <c r="R1035" i="22"/>
  <c r="S1035" i="22" s="1"/>
  <c r="K1035" i="22" s="1"/>
  <c r="X1035" i="22" l="1"/>
  <c r="Y1035" i="22" s="1"/>
  <c r="H1036" i="22"/>
  <c r="AG1035" i="22" l="1"/>
  <c r="F1036" i="22" l="1"/>
  <c r="AK1035" i="22"/>
  <c r="G1036" i="22" s="1"/>
  <c r="T1036" i="22" a="1"/>
  <c r="T1036" i="22" l="1"/>
  <c r="Q1036" i="22" l="1"/>
  <c r="U1036" i="22"/>
  <c r="AE1036" i="22" s="1"/>
  <c r="D1037" i="22" s="1"/>
  <c r="V1036" i="22"/>
  <c r="AF1036" i="22" s="1"/>
  <c r="E1037" i="22" s="1"/>
  <c r="AD1036" i="22"/>
  <c r="C1037" i="22" s="1"/>
  <c r="W1036" i="22" a="1"/>
  <c r="W1036" i="22" l="1"/>
  <c r="P1036" i="22" a="1"/>
  <c r="P1036" i="22" l="1"/>
  <c r="AC1036" i="22"/>
  <c r="B1037" i="22" l="1"/>
  <c r="R1036" i="22"/>
  <c r="S1036" i="22" s="1"/>
  <c r="K1036" i="22" s="1"/>
  <c r="I1037" i="22"/>
  <c r="H1037" i="22" l="1"/>
  <c r="X1036" i="22"/>
  <c r="Y1036" i="22" s="1"/>
  <c r="AG1036" i="22" l="1"/>
  <c r="F1037" i="22" l="1"/>
  <c r="AK1036" i="22"/>
  <c r="G1037" i="22" s="1"/>
  <c r="T1037" i="22" a="1"/>
  <c r="T1037" i="22" l="1"/>
  <c r="Q1037" i="22" l="1"/>
  <c r="U1037" i="22"/>
  <c r="AE1037" i="22" s="1"/>
  <c r="D1038" i="22" s="1"/>
  <c r="V1037" i="22"/>
  <c r="AF1037" i="22" s="1"/>
  <c r="E1038" i="22" s="1"/>
  <c r="AD1037" i="22"/>
  <c r="C1038" i="22" s="1"/>
  <c r="W1037" i="22" a="1"/>
  <c r="W1037" i="22" l="1"/>
  <c r="P1037" i="22" a="1"/>
  <c r="P1037" i="22" l="1"/>
  <c r="AC1037" i="22"/>
  <c r="B1038" i="22" l="1"/>
  <c r="R1037" i="22"/>
  <c r="S1037" i="22" s="1"/>
  <c r="K1037" i="22" s="1"/>
  <c r="I1038" i="22"/>
  <c r="X1037" i="22" l="1"/>
  <c r="Y1037" i="22" s="1"/>
  <c r="H1038" i="22"/>
  <c r="AG1037" i="22" l="1"/>
  <c r="F1038" i="22" l="1"/>
  <c r="AK1037" i="22"/>
  <c r="G1038" i="22" s="1"/>
  <c r="T1038" i="22" a="1"/>
  <c r="T1038" i="22" l="1"/>
  <c r="Q1038" i="22" l="1"/>
  <c r="V1038" i="22"/>
  <c r="AF1038" i="22" s="1"/>
  <c r="E1039" i="22" s="1"/>
  <c r="U1038" i="22"/>
  <c r="AE1038" i="22" s="1"/>
  <c r="D1039" i="22" s="1"/>
  <c r="AD1038" i="22"/>
  <c r="C1039" i="22" s="1"/>
  <c r="W1038" i="22" a="1"/>
  <c r="W1038" i="22" l="1"/>
  <c r="P1038" i="22" a="1"/>
  <c r="P1038" i="22" l="1"/>
  <c r="AC1038" i="22"/>
  <c r="B1039" i="22" l="1"/>
  <c r="I1039" i="22"/>
  <c r="R1038" i="22"/>
  <c r="S1038" i="22" s="1"/>
  <c r="K1038" i="22" s="1"/>
  <c r="X1038" i="22" l="1"/>
  <c r="Y1038" i="22" s="1"/>
  <c r="H1039" i="22"/>
  <c r="AG1038" i="22" l="1"/>
  <c r="F1039" i="22" l="1"/>
  <c r="AK1038" i="22"/>
  <c r="G1039" i="22" s="1"/>
  <c r="T1039" i="22" a="1"/>
  <c r="T1039" i="22" l="1"/>
  <c r="Q1039" i="22" l="1"/>
  <c r="AD1039" i="22"/>
  <c r="C1040" i="22" s="1"/>
  <c r="V1039" i="22"/>
  <c r="AF1039" i="22" s="1"/>
  <c r="E1040" i="22" s="1"/>
  <c r="U1039" i="22"/>
  <c r="AE1039" i="22" s="1"/>
  <c r="D1040" i="22" s="1"/>
  <c r="W1039" i="22" a="1"/>
  <c r="W1039" i="22" l="1"/>
  <c r="P1039" i="22" a="1"/>
  <c r="P1039" i="22" l="1"/>
  <c r="AC1039" i="22"/>
  <c r="B1040" i="22" l="1"/>
  <c r="I1040" i="22"/>
  <c r="H1040" i="22" s="1"/>
  <c r="R1039" i="22"/>
  <c r="S1039" i="22" s="1"/>
  <c r="K1039" i="22" s="1"/>
  <c r="X1039" i="22" l="1"/>
  <c r="Y1039" i="22" s="1"/>
  <c r="AG1039" i="22" l="1"/>
  <c r="F1040" i="22" l="1"/>
  <c r="AK1039" i="22"/>
  <c r="G1040" i="22" s="1"/>
  <c r="T1040" i="22" a="1"/>
  <c r="T1040" i="22" l="1"/>
  <c r="Q1040" i="22" l="1"/>
  <c r="AD1040" i="22"/>
  <c r="C1041" i="22" s="1"/>
  <c r="V1040" i="22"/>
  <c r="AF1040" i="22" s="1"/>
  <c r="E1041" i="22" s="1"/>
  <c r="U1040" i="22"/>
  <c r="AE1040" i="22" s="1"/>
  <c r="D1041" i="22" s="1"/>
  <c r="W1040" i="22" a="1"/>
  <c r="W1040" i="22" l="1"/>
  <c r="P1040" i="22" a="1"/>
  <c r="P1040" i="22" l="1"/>
  <c r="AC1040" i="22"/>
  <c r="B1041" i="22" l="1"/>
  <c r="R1040" i="22"/>
  <c r="S1040" i="22" s="1"/>
  <c r="K1040" i="22" s="1"/>
  <c r="I1041" i="22"/>
  <c r="X1040" i="22" l="1"/>
  <c r="Y1040" i="22" s="1"/>
  <c r="H1041" i="22"/>
  <c r="AG1040" i="22" l="1"/>
  <c r="F1041" i="22" l="1"/>
  <c r="AK1040" i="22"/>
  <c r="G1041" i="22" s="1"/>
  <c r="T1041" i="22" a="1"/>
  <c r="T1041" i="22" l="1"/>
  <c r="Q1041" i="22" l="1"/>
  <c r="V1041" i="22"/>
  <c r="AF1041" i="22" s="1"/>
  <c r="E1042" i="22" s="1"/>
  <c r="AD1041" i="22"/>
  <c r="C1042" i="22" s="1"/>
  <c r="U1041" i="22"/>
  <c r="AE1041" i="22" s="1"/>
  <c r="D1042" i="22" s="1"/>
  <c r="W1041" i="22" a="1"/>
  <c r="W1041" i="22" l="1"/>
  <c r="P1041" i="22" a="1"/>
  <c r="P1041" i="22" l="1"/>
  <c r="AC1041" i="22"/>
  <c r="B1042" i="22" l="1"/>
  <c r="I1042" i="22"/>
  <c r="R1041" i="22"/>
  <c r="S1041" i="22" s="1"/>
  <c r="K1041" i="22" s="1"/>
  <c r="H1042" i="22" l="1"/>
  <c r="X1041" i="22"/>
  <c r="Y1041" i="22" s="1"/>
  <c r="AG1041" i="22" l="1"/>
  <c r="F1042" i="22" l="1"/>
  <c r="AK1041" i="22"/>
  <c r="G1042" i="22" s="1"/>
  <c r="T1042" i="22" a="1"/>
  <c r="T1042" i="22" l="1"/>
  <c r="Q1042" i="22" l="1"/>
  <c r="AD1042" i="22"/>
  <c r="C1043" i="22" s="1"/>
  <c r="V1042" i="22"/>
  <c r="AF1042" i="22" s="1"/>
  <c r="E1043" i="22" s="1"/>
  <c r="U1042" i="22"/>
  <c r="AE1042" i="22" s="1"/>
  <c r="D1043" i="22" s="1"/>
  <c r="W1042" i="22" a="1"/>
  <c r="W1042" i="22" l="1"/>
  <c r="P1042" i="22" a="1"/>
  <c r="P1042" i="22" l="1"/>
  <c r="AC1042" i="22"/>
  <c r="B1043" i="22" l="1"/>
  <c r="I1043" i="22"/>
  <c r="R1042" i="22"/>
  <c r="S1042" i="22" s="1"/>
  <c r="K1042" i="22" s="1"/>
  <c r="H1043" i="22" l="1"/>
  <c r="X1042" i="22"/>
  <c r="Y1042" i="22" s="1"/>
  <c r="AG1042" i="22" l="1"/>
  <c r="F1043" i="22" l="1"/>
  <c r="AK1042" i="22"/>
  <c r="G1043" i="22" s="1"/>
  <c r="T1043" i="22" a="1"/>
  <c r="T1043" i="22" l="1"/>
  <c r="Q1043" i="22" l="1"/>
  <c r="U1043" i="22"/>
  <c r="AE1043" i="22" s="1"/>
  <c r="D1044" i="22" s="1"/>
  <c r="AD1043" i="22"/>
  <c r="C1044" i="22" s="1"/>
  <c r="V1043" i="22"/>
  <c r="AF1043" i="22" s="1"/>
  <c r="E1044" i="22" s="1"/>
  <c r="W1043" i="22" a="1"/>
  <c r="W1043" i="22" l="1"/>
  <c r="P1043" i="22" a="1"/>
  <c r="P1043" i="22" l="1"/>
  <c r="AC1043" i="22"/>
  <c r="B1044" i="22" l="1"/>
  <c r="I1044" i="22"/>
  <c r="R1043" i="22"/>
  <c r="S1043" i="22" s="1"/>
  <c r="K1043" i="22" s="1"/>
  <c r="X1043" i="22" l="1"/>
  <c r="Y1043" i="22" s="1"/>
  <c r="H1044" i="22"/>
  <c r="AG1043" i="22" l="1"/>
  <c r="F1044" i="22" l="1"/>
  <c r="AK1043" i="22"/>
  <c r="G1044" i="22" s="1"/>
  <c r="T1044" i="22" a="1"/>
  <c r="T1044" i="22" l="1"/>
  <c r="Q1044" i="22" l="1"/>
  <c r="U1044" i="22"/>
  <c r="AE1044" i="22" s="1"/>
  <c r="D1045" i="22" s="1"/>
  <c r="AD1044" i="22"/>
  <c r="C1045" i="22" s="1"/>
  <c r="V1044" i="22"/>
  <c r="AF1044" i="22" s="1"/>
  <c r="E1045" i="22" s="1"/>
  <c r="W1044" i="22" a="1"/>
  <c r="W1044" i="22" l="1"/>
  <c r="P1044" i="22" a="1"/>
  <c r="P1044" i="22" l="1"/>
  <c r="AC1044" i="22"/>
  <c r="B1045" i="22" l="1"/>
  <c r="R1044" i="22"/>
  <c r="S1044" i="22" s="1"/>
  <c r="K1044" i="22" s="1"/>
  <c r="I1045" i="22"/>
  <c r="H1045" i="22" l="1"/>
  <c r="X1044" i="22"/>
  <c r="Y1044" i="22" s="1"/>
  <c r="AG1044" i="22" l="1"/>
  <c r="F1045" i="22" l="1"/>
  <c r="AK1044" i="22"/>
  <c r="G1045" i="22" s="1"/>
  <c r="T1045" i="22" a="1"/>
  <c r="T1045" i="22" l="1"/>
  <c r="Q1045" i="22" l="1"/>
  <c r="V1045" i="22"/>
  <c r="AF1045" i="22" s="1"/>
  <c r="E1046" i="22" s="1"/>
  <c r="AD1045" i="22"/>
  <c r="C1046" i="22" s="1"/>
  <c r="U1045" i="22"/>
  <c r="AE1045" i="22" s="1"/>
  <c r="D1046" i="22" s="1"/>
  <c r="W1045" i="22" a="1"/>
  <c r="W1045" i="22" l="1"/>
  <c r="P1045" i="22" a="1"/>
  <c r="P1045" i="22" l="1"/>
  <c r="AC1045" i="22"/>
  <c r="I1046" i="22" l="1"/>
  <c r="R1045" i="22"/>
  <c r="S1045" i="22" s="1"/>
  <c r="K1045" i="22" s="1"/>
  <c r="B1046" i="22"/>
  <c r="X1045" i="22" l="1"/>
  <c r="Y1045" i="22" s="1"/>
  <c r="H1046" i="22"/>
  <c r="AG1045" i="22" l="1"/>
  <c r="F1046" i="22" l="1"/>
  <c r="AK1045" i="22"/>
  <c r="G1046" i="22" s="1"/>
  <c r="T1046" i="22" a="1"/>
  <c r="T1046" i="22" l="1"/>
  <c r="Q1046" i="22" l="1"/>
  <c r="U1046" i="22"/>
  <c r="AE1046" i="22" s="1"/>
  <c r="D1047" i="22" s="1"/>
  <c r="AD1046" i="22"/>
  <c r="C1047" i="22" s="1"/>
  <c r="V1046" i="22"/>
  <c r="AF1046" i="22" s="1"/>
  <c r="E1047" i="22" s="1"/>
  <c r="W1046" i="22" a="1"/>
  <c r="W1046" i="22" l="1"/>
  <c r="P1046" i="22" a="1"/>
  <c r="P1046" i="22" l="1"/>
  <c r="AC1046" i="22"/>
  <c r="B1047" i="22" l="1"/>
  <c r="I1047" i="22"/>
  <c r="R1046" i="22"/>
  <c r="S1046" i="22" s="1"/>
  <c r="K1046" i="22" s="1"/>
  <c r="H1047" i="22" l="1"/>
  <c r="X1046" i="22"/>
  <c r="Y1046" i="22" s="1"/>
  <c r="AG1046" i="22" l="1"/>
  <c r="F1047" i="22" l="1"/>
  <c r="AK1046" i="22"/>
  <c r="G1047" i="22" s="1"/>
  <c r="T1047" i="22" a="1"/>
  <c r="T1047" i="22" l="1"/>
  <c r="Q1047" i="22" l="1"/>
  <c r="AD1047" i="22"/>
  <c r="C1048" i="22" s="1"/>
  <c r="U1047" i="22"/>
  <c r="AE1047" i="22" s="1"/>
  <c r="D1048" i="22" s="1"/>
  <c r="V1047" i="22"/>
  <c r="AF1047" i="22" s="1"/>
  <c r="E1048" i="22" s="1"/>
  <c r="W1047" i="22" a="1"/>
  <c r="W1047" i="22" l="1"/>
  <c r="P1047" i="22" a="1"/>
  <c r="P1047" i="22" l="1"/>
  <c r="AC1047" i="22"/>
  <c r="B1048" i="22" l="1"/>
  <c r="I1048" i="22"/>
  <c r="R1047" i="22"/>
  <c r="S1047" i="22" s="1"/>
  <c r="K1047" i="22" s="1"/>
  <c r="H1048" i="22" l="1"/>
  <c r="X1047" i="22"/>
  <c r="Y1047" i="22" s="1"/>
  <c r="AG1047" i="22" l="1"/>
  <c r="F1048" i="22" l="1"/>
  <c r="AK1047" i="22"/>
  <c r="G1048" i="22" s="1"/>
  <c r="T1048" i="22" a="1"/>
  <c r="T1048" i="22" l="1"/>
  <c r="Q1048" i="22" l="1"/>
  <c r="V1048" i="22"/>
  <c r="AF1048" i="22" s="1"/>
  <c r="E1049" i="22" s="1"/>
  <c r="AD1048" i="22"/>
  <c r="C1049" i="22" s="1"/>
  <c r="U1048" i="22"/>
  <c r="AE1048" i="22" s="1"/>
  <c r="D1049" i="22" s="1"/>
  <c r="W1048" i="22" a="1"/>
  <c r="W1048" i="22" l="1"/>
  <c r="P1048" i="22" a="1"/>
  <c r="P1048" i="22" l="1"/>
  <c r="AC1048" i="22"/>
  <c r="B1049" i="22" l="1"/>
  <c r="I1049" i="22"/>
  <c r="R1048" i="22"/>
  <c r="S1048" i="22" s="1"/>
  <c r="K1048" i="22" s="1"/>
  <c r="X1048" i="22" l="1"/>
  <c r="Y1048" i="22" s="1"/>
  <c r="H1049" i="22"/>
  <c r="AG1048" i="22" l="1"/>
  <c r="F1049" i="22" l="1"/>
  <c r="AK1048" i="22"/>
  <c r="G1049" i="22" s="1"/>
  <c r="T1049" i="22" a="1"/>
  <c r="T1049" i="22" l="1"/>
  <c r="Q1049" i="22" l="1"/>
  <c r="V1049" i="22"/>
  <c r="AF1049" i="22" s="1"/>
  <c r="E1050" i="22" s="1"/>
  <c r="AD1049" i="22"/>
  <c r="C1050" i="22" s="1"/>
  <c r="U1049" i="22"/>
  <c r="AE1049" i="22" s="1"/>
  <c r="D1050" i="22" s="1"/>
  <c r="W1049" i="22" a="1"/>
  <c r="W1049" i="22" l="1"/>
  <c r="P1049" i="22" a="1"/>
  <c r="P1049" i="22" l="1"/>
  <c r="AC1049" i="22"/>
  <c r="B1050" i="22" l="1"/>
  <c r="I1050" i="22"/>
  <c r="R1049" i="22"/>
  <c r="S1049" i="22" s="1"/>
  <c r="K1049" i="22" s="1"/>
  <c r="H1050" i="22" l="1"/>
  <c r="X1049" i="22"/>
  <c r="Y1049" i="22" s="1"/>
  <c r="AG1049" i="22" l="1"/>
  <c r="F1050" i="22" l="1"/>
  <c r="AK1049" i="22"/>
  <c r="G1050" i="22" s="1"/>
  <c r="T1050" i="22" a="1"/>
  <c r="T1050" i="22" l="1"/>
  <c r="Q1050" i="22" l="1"/>
  <c r="V1050" i="22"/>
  <c r="AF1050" i="22" s="1"/>
  <c r="E1051" i="22" s="1"/>
  <c r="AD1050" i="22"/>
  <c r="C1051" i="22" s="1"/>
  <c r="U1050" i="22"/>
  <c r="AE1050" i="22" s="1"/>
  <c r="D1051" i="22" s="1"/>
  <c r="W1050" i="22" a="1"/>
  <c r="W1050" i="22" l="1"/>
  <c r="P1050" i="22" a="1"/>
  <c r="P1050" i="22" l="1"/>
  <c r="AC1050" i="22"/>
  <c r="R1050" i="22" l="1"/>
  <c r="S1050" i="22" s="1"/>
  <c r="K1050" i="22" s="1"/>
  <c r="I1051" i="22"/>
  <c r="B1051" i="22"/>
  <c r="H1051" i="22" l="1"/>
  <c r="X1050" i="22"/>
  <c r="Y1050" i="22" s="1"/>
  <c r="AG1050" i="22" l="1"/>
  <c r="F1051" i="22" l="1"/>
  <c r="AK1050" i="22"/>
  <c r="G1051" i="22" s="1"/>
  <c r="T1051" i="22" a="1"/>
  <c r="T1051" i="22" l="1"/>
  <c r="Q1051" i="22" l="1"/>
  <c r="V1051" i="22"/>
  <c r="AF1051" i="22" s="1"/>
  <c r="E1052" i="22" s="1"/>
  <c r="AD1051" i="22"/>
  <c r="C1052" i="22" s="1"/>
  <c r="U1051" i="22"/>
  <c r="AE1051" i="22" s="1"/>
  <c r="D1052" i="22" s="1"/>
  <c r="W1051" i="22" a="1"/>
  <c r="W1051" i="22" l="1"/>
  <c r="P1051" i="22" a="1"/>
  <c r="P1051" i="22" l="1"/>
  <c r="AC1051" i="22"/>
  <c r="B1052" i="22" l="1"/>
  <c r="R1051" i="22"/>
  <c r="S1051" i="22" s="1"/>
  <c r="K1051" i="22" s="1"/>
  <c r="I1052" i="22"/>
  <c r="H1052" i="22" l="1"/>
  <c r="X1051" i="22"/>
  <c r="Y1051" i="22" s="1"/>
  <c r="AG1051" i="22" l="1"/>
  <c r="F1052" i="22" l="1"/>
  <c r="AK1051" i="22"/>
  <c r="G1052" i="22" s="1"/>
  <c r="T1052" i="22" a="1"/>
  <c r="T1052" i="22" l="1"/>
  <c r="Q1052" i="22" l="1"/>
  <c r="U1052" i="22"/>
  <c r="AE1052" i="22" s="1"/>
  <c r="D1053" i="22" s="1"/>
  <c r="AD1052" i="22"/>
  <c r="C1053" i="22" s="1"/>
  <c r="V1052" i="22"/>
  <c r="AF1052" i="22" s="1"/>
  <c r="E1053" i="22" s="1"/>
  <c r="W1052" i="22" a="1"/>
  <c r="W1052" i="22" l="1"/>
  <c r="P1052" i="22" a="1"/>
  <c r="P1052" i="22" l="1"/>
  <c r="AC1052" i="22"/>
  <c r="I1053" i="22" l="1"/>
  <c r="R1052" i="22"/>
  <c r="S1052" i="22" s="1"/>
  <c r="K1052" i="22" s="1"/>
  <c r="B1053" i="22"/>
  <c r="X1052" i="22" l="1"/>
  <c r="Y1052" i="22" s="1"/>
  <c r="H1053" i="22"/>
  <c r="AG1052" i="22" l="1"/>
  <c r="F1053" i="22" l="1"/>
  <c r="AK1052" i="22"/>
  <c r="G1053" i="22" s="1"/>
  <c r="T1053" i="22" a="1"/>
  <c r="T1053" i="22" l="1"/>
  <c r="Q1053" i="22" l="1"/>
  <c r="V1053" i="22"/>
  <c r="AF1053" i="22" s="1"/>
  <c r="E1054" i="22" s="1"/>
  <c r="AD1053" i="22"/>
  <c r="C1054" i="22" s="1"/>
  <c r="U1053" i="22"/>
  <c r="AE1053" i="22" s="1"/>
  <c r="D1054" i="22" s="1"/>
  <c r="W1053" i="22" a="1"/>
  <c r="W1053" i="22" l="1"/>
  <c r="P1053" i="22" a="1"/>
  <c r="P1053" i="22" l="1"/>
  <c r="AC1053" i="22"/>
  <c r="B1054" i="22" l="1"/>
  <c r="R1053" i="22"/>
  <c r="S1053" i="22" s="1"/>
  <c r="K1053" i="22" s="1"/>
  <c r="I1054" i="22"/>
  <c r="H1054" i="22" l="1"/>
  <c r="X1053" i="22"/>
  <c r="Y1053" i="22" s="1"/>
  <c r="AG1053" i="22" l="1"/>
  <c r="F1054" i="22" l="1"/>
  <c r="AK1053" i="22"/>
  <c r="G1054" i="22" s="1"/>
  <c r="T1054" i="22" a="1"/>
  <c r="T1054" i="22" l="1"/>
  <c r="Q1054" i="22" l="1"/>
  <c r="U1054" i="22"/>
  <c r="AE1054" i="22" s="1"/>
  <c r="D1055" i="22" s="1"/>
  <c r="V1054" i="22"/>
  <c r="AF1054" i="22" s="1"/>
  <c r="E1055" i="22" s="1"/>
  <c r="AD1054" i="22"/>
  <c r="C1055" i="22" s="1"/>
  <c r="W1054" i="22" a="1"/>
  <c r="W1054" i="22" l="1"/>
  <c r="P1054" i="22" a="1"/>
  <c r="P1054" i="22" l="1"/>
  <c r="AC1054" i="22"/>
  <c r="I1055" i="22" l="1"/>
  <c r="R1054" i="22"/>
  <c r="S1054" i="22" s="1"/>
  <c r="K1054" i="22" s="1"/>
  <c r="B1055" i="22"/>
  <c r="H1055" i="22" l="1"/>
  <c r="X1054" i="22"/>
  <c r="Y1054" i="22" s="1"/>
  <c r="AG1054" i="22" l="1"/>
  <c r="F1055" i="22" l="1"/>
  <c r="AK1054" i="22"/>
  <c r="G1055" i="22" s="1"/>
  <c r="T1055" i="22" a="1"/>
  <c r="T1055" i="22" l="1"/>
  <c r="Q1055" i="22" l="1"/>
  <c r="V1055" i="22"/>
  <c r="AF1055" i="22" s="1"/>
  <c r="E1056" i="22" s="1"/>
  <c r="AD1055" i="22"/>
  <c r="C1056" i="22" s="1"/>
  <c r="U1055" i="22"/>
  <c r="AE1055" i="22" s="1"/>
  <c r="D1056" i="22" s="1"/>
  <c r="W1055" i="22" a="1"/>
  <c r="W1055" i="22" l="1"/>
  <c r="P1055" i="22" a="1"/>
  <c r="P1055" i="22" l="1"/>
  <c r="AC1055" i="22"/>
  <c r="I1056" i="22" l="1"/>
  <c r="R1055" i="22"/>
  <c r="S1055" i="22" s="1"/>
  <c r="K1055" i="22" s="1"/>
  <c r="B1056" i="22"/>
  <c r="H1056" i="22" l="1"/>
  <c r="X1055" i="22"/>
  <c r="Y1055" i="22" s="1"/>
  <c r="AG1055" i="22" l="1"/>
  <c r="F1056" i="22" l="1"/>
  <c r="AK1055" i="22"/>
  <c r="G1056" i="22" s="1"/>
  <c r="T1056" i="22" a="1"/>
  <c r="T1056" i="22" l="1"/>
  <c r="Q1056" i="22" l="1"/>
  <c r="V1056" i="22"/>
  <c r="AF1056" i="22" s="1"/>
  <c r="E1057" i="22" s="1"/>
  <c r="U1056" i="22"/>
  <c r="AE1056" i="22" s="1"/>
  <c r="D1057" i="22" s="1"/>
  <c r="AD1056" i="22"/>
  <c r="C1057" i="22" s="1"/>
  <c r="W1056" i="22" a="1"/>
  <c r="W1056" i="22" l="1"/>
  <c r="P1056" i="22" a="1"/>
  <c r="P1056" i="22" l="1"/>
  <c r="AC1056" i="22"/>
  <c r="B1057" i="22" l="1"/>
  <c r="I1057" i="22"/>
  <c r="R1056" i="22"/>
  <c r="S1056" i="22" s="1"/>
  <c r="K1056" i="22" s="1"/>
  <c r="H1057" i="22" l="1"/>
  <c r="X1056" i="22"/>
  <c r="Y1056" i="22" s="1"/>
  <c r="AG1056" i="22" l="1"/>
  <c r="F1057" i="22" l="1"/>
  <c r="AK1056" i="22"/>
  <c r="G1057" i="22" s="1"/>
  <c r="T1057" i="22" a="1"/>
  <c r="T1057" i="22" l="1"/>
  <c r="Q1057" i="22" l="1"/>
  <c r="AD1057" i="22"/>
  <c r="C1058" i="22" s="1"/>
  <c r="V1057" i="22"/>
  <c r="AF1057" i="22" s="1"/>
  <c r="E1058" i="22" s="1"/>
  <c r="U1057" i="22"/>
  <c r="AE1057" i="22" s="1"/>
  <c r="D1058" i="22" s="1"/>
  <c r="W1057" i="22" a="1"/>
  <c r="W1057" i="22" l="1"/>
  <c r="P1057" i="22" a="1"/>
  <c r="P1057" i="22" l="1"/>
  <c r="AC1057" i="22"/>
  <c r="I1058" i="22" l="1"/>
  <c r="R1057" i="22"/>
  <c r="S1057" i="22" s="1"/>
  <c r="K1057" i="22" s="1"/>
  <c r="B1058" i="22"/>
  <c r="X1057" i="22" l="1"/>
  <c r="Y1057" i="22" s="1"/>
  <c r="H1058" i="22"/>
  <c r="AG1057" i="22" l="1"/>
  <c r="F1058" i="22" l="1"/>
  <c r="AK1057" i="22"/>
  <c r="G1058" i="22" s="1"/>
  <c r="T1058" i="22" a="1"/>
  <c r="T1058" i="22" l="1"/>
  <c r="Q1058" i="22" l="1"/>
  <c r="AD1058" i="22"/>
  <c r="C1059" i="22" s="1"/>
  <c r="V1058" i="22"/>
  <c r="AF1058" i="22" s="1"/>
  <c r="E1059" i="22" s="1"/>
  <c r="U1058" i="22"/>
  <c r="AE1058" i="22" s="1"/>
  <c r="D1059" i="22" s="1"/>
  <c r="W1058" i="22" a="1"/>
  <c r="W1058" i="22" l="1"/>
  <c r="P1058" i="22" a="1"/>
  <c r="P1058" i="22" l="1"/>
  <c r="AC1058" i="22"/>
  <c r="B1059" i="22" l="1"/>
  <c r="I1059" i="22"/>
  <c r="R1058" i="22"/>
  <c r="S1058" i="22" s="1"/>
  <c r="K1058" i="22" s="1"/>
  <c r="X1058" i="22" l="1"/>
  <c r="Y1058" i="22" s="1"/>
  <c r="H1059" i="22"/>
  <c r="AG1058" i="22" l="1"/>
  <c r="F1059" i="22" l="1"/>
  <c r="AK1058" i="22"/>
  <c r="G1059" i="22" s="1"/>
  <c r="T1059" i="22" a="1"/>
  <c r="T1059" i="22" l="1"/>
  <c r="Q1059" i="22" l="1"/>
  <c r="U1059" i="22"/>
  <c r="AE1059" i="22" s="1"/>
  <c r="D1060" i="22" s="1"/>
  <c r="AD1059" i="22"/>
  <c r="C1060" i="22" s="1"/>
  <c r="V1059" i="22"/>
  <c r="AF1059" i="22" s="1"/>
  <c r="E1060" i="22" s="1"/>
  <c r="W1059" i="22" a="1"/>
  <c r="W1059" i="22" l="1"/>
  <c r="P1059" i="22" a="1"/>
  <c r="P1059" i="22" l="1"/>
  <c r="AC1059" i="22"/>
  <c r="B1060" i="22" l="1"/>
  <c r="R1059" i="22"/>
  <c r="S1059" i="22" s="1"/>
  <c r="K1059" i="22" s="1"/>
  <c r="I1060" i="22"/>
  <c r="X1059" i="22" l="1"/>
  <c r="Y1059" i="22" s="1"/>
  <c r="H1060" i="22"/>
  <c r="AG1059" i="22" l="1"/>
  <c r="F1060" i="22" l="1"/>
  <c r="AK1059" i="22"/>
  <c r="G1060" i="22" s="1"/>
  <c r="T1060" i="22" a="1"/>
  <c r="T1060" i="22" l="1"/>
  <c r="Q1060" i="22" l="1"/>
  <c r="V1060" i="22"/>
  <c r="AF1060" i="22" s="1"/>
  <c r="E1061" i="22" s="1"/>
  <c r="AD1060" i="22"/>
  <c r="C1061" i="22" s="1"/>
  <c r="U1060" i="22"/>
  <c r="AE1060" i="22" s="1"/>
  <c r="D1061" i="22" s="1"/>
  <c r="W1060" i="22" a="1"/>
  <c r="W1060" i="22" l="1"/>
  <c r="P1060" i="22" a="1"/>
  <c r="P1060" i="22" l="1"/>
  <c r="AC1060" i="22"/>
  <c r="B1061" i="22" l="1"/>
  <c r="I1061" i="22"/>
  <c r="R1060" i="22"/>
  <c r="S1060" i="22" s="1"/>
  <c r="K1060" i="22" s="1"/>
  <c r="X1060" i="22" l="1"/>
  <c r="Y1060" i="22" s="1"/>
  <c r="H1061" i="22"/>
  <c r="AG1060" i="22" l="1"/>
  <c r="F1061" i="22" l="1"/>
  <c r="AK1060" i="22"/>
  <c r="G1061" i="22" s="1"/>
  <c r="T1061" i="22" a="1"/>
  <c r="T1061" i="22" l="1"/>
  <c r="Q1061" i="22" l="1"/>
  <c r="V1061" i="22"/>
  <c r="AF1061" i="22" s="1"/>
  <c r="E1062" i="22" s="1"/>
  <c r="AD1061" i="22"/>
  <c r="C1062" i="22" s="1"/>
  <c r="U1061" i="22"/>
  <c r="AE1061" i="22" s="1"/>
  <c r="D1062" i="22" s="1"/>
  <c r="W1061" i="22" a="1"/>
  <c r="W1061" i="22" l="1"/>
  <c r="P1061" i="22" a="1"/>
  <c r="P1061" i="22" l="1"/>
  <c r="AC1061" i="22"/>
  <c r="B1062" i="22" l="1"/>
  <c r="I1062" i="22"/>
  <c r="R1061" i="22"/>
  <c r="S1061" i="22" s="1"/>
  <c r="K1061" i="22" s="1"/>
  <c r="X1061" i="22" l="1"/>
  <c r="Y1061" i="22" s="1"/>
  <c r="H1062" i="22"/>
  <c r="AG1061" i="22" l="1"/>
  <c r="F1062" i="22" l="1"/>
  <c r="AK1061" i="22"/>
  <c r="G1062" i="22" s="1"/>
  <c r="T1062" i="22" a="1"/>
  <c r="T1062" i="22" l="1"/>
  <c r="Q1062" i="22" l="1"/>
  <c r="AD1062" i="22"/>
  <c r="C1063" i="22" s="1"/>
  <c r="V1062" i="22"/>
  <c r="AF1062" i="22" s="1"/>
  <c r="E1063" i="22" s="1"/>
  <c r="U1062" i="22"/>
  <c r="AE1062" i="22" s="1"/>
  <c r="D1063" i="22" s="1"/>
  <c r="W1062" i="22" a="1"/>
  <c r="W1062" i="22" l="1"/>
  <c r="P1062" i="22" a="1"/>
  <c r="P1062" i="22" l="1"/>
  <c r="AC1062" i="22"/>
  <c r="B1063" i="22" l="1"/>
  <c r="R1062" i="22"/>
  <c r="S1062" i="22" s="1"/>
  <c r="K1062" i="22" s="1"/>
  <c r="I1063" i="22"/>
  <c r="H1063" i="22" l="1"/>
  <c r="X1062" i="22"/>
  <c r="Y1062" i="22" s="1"/>
  <c r="AG1062" i="22" l="1"/>
  <c r="F1063" i="22" l="1"/>
  <c r="AK1062" i="22"/>
  <c r="G1063" i="22" s="1"/>
  <c r="T1063" i="22" a="1"/>
  <c r="T1063" i="22" l="1"/>
  <c r="Q1063" i="22" l="1"/>
  <c r="V1063" i="22"/>
  <c r="AF1063" i="22" s="1"/>
  <c r="E1064" i="22" s="1"/>
  <c r="U1063" i="22"/>
  <c r="AE1063" i="22" s="1"/>
  <c r="D1064" i="22" s="1"/>
  <c r="AD1063" i="22"/>
  <c r="C1064" i="22" s="1"/>
  <c r="W1063" i="22" a="1"/>
  <c r="W1063" i="22" l="1"/>
  <c r="P1063" i="22" a="1"/>
  <c r="P1063" i="22" l="1"/>
  <c r="AC1063" i="22"/>
  <c r="B1064" i="22" l="1"/>
  <c r="I1064" i="22"/>
  <c r="R1063" i="22"/>
  <c r="S1063" i="22" s="1"/>
  <c r="K1063" i="22" s="1"/>
  <c r="H1064" i="22" l="1"/>
  <c r="X1063" i="22"/>
  <c r="Y1063" i="22" s="1"/>
  <c r="AG1063" i="22" l="1"/>
  <c r="F1064" i="22" l="1"/>
  <c r="AK1063" i="22"/>
  <c r="G1064" i="22" s="1"/>
  <c r="T1064" i="22" a="1"/>
  <c r="T1064" i="22" l="1"/>
  <c r="Q1064" i="22" l="1"/>
  <c r="AD1064" i="22"/>
  <c r="C1065" i="22" s="1"/>
  <c r="V1064" i="22"/>
  <c r="AF1064" i="22" s="1"/>
  <c r="E1065" i="22" s="1"/>
  <c r="U1064" i="22"/>
  <c r="AE1064" i="22" s="1"/>
  <c r="D1065" i="22" s="1"/>
  <c r="W1064" i="22" a="1"/>
  <c r="W1064" i="22" l="1"/>
  <c r="P1064" i="22" a="1"/>
  <c r="P1064" i="22" l="1"/>
  <c r="AC1064" i="22"/>
  <c r="B1065" i="22" l="1"/>
  <c r="I1065" i="22"/>
  <c r="R1064" i="22"/>
  <c r="S1064" i="22" s="1"/>
  <c r="K1064" i="22" s="1"/>
  <c r="X1064" i="22" l="1"/>
  <c r="Y1064" i="22" s="1"/>
  <c r="H1065" i="22"/>
  <c r="AG1064" i="22" l="1"/>
  <c r="F1065" i="22" l="1"/>
  <c r="AK1064" i="22"/>
  <c r="G1065" i="22" s="1"/>
  <c r="T1065" i="22" a="1"/>
  <c r="T1065" i="22" l="1"/>
  <c r="Q1065" i="22" l="1"/>
  <c r="AD1065" i="22"/>
  <c r="C1066" i="22" s="1"/>
  <c r="U1065" i="22"/>
  <c r="AE1065" i="22" s="1"/>
  <c r="D1066" i="22" s="1"/>
  <c r="V1065" i="22"/>
  <c r="AF1065" i="22" s="1"/>
  <c r="E1066" i="22" s="1"/>
  <c r="W1065" i="22" a="1"/>
  <c r="W1065" i="22" l="1"/>
  <c r="P1065" i="22" a="1"/>
  <c r="P1065" i="22" l="1"/>
  <c r="AC1065" i="22"/>
  <c r="B1066" i="22" l="1"/>
  <c r="R1065" i="22"/>
  <c r="S1065" i="22" s="1"/>
  <c r="K1065" i="22" s="1"/>
  <c r="I1066" i="22"/>
  <c r="X1065" i="22" l="1"/>
  <c r="Y1065" i="22" s="1"/>
  <c r="H1066" i="22"/>
  <c r="AG1065" i="22" l="1"/>
  <c r="F1066" i="22" l="1"/>
  <c r="AK1065" i="22"/>
  <c r="G1066" i="22" s="1"/>
  <c r="T1066" i="22" a="1"/>
  <c r="T1066" i="22" l="1"/>
  <c r="Q1066" i="22" l="1"/>
  <c r="AD1066" i="22"/>
  <c r="C1067" i="22" s="1"/>
  <c r="U1066" i="22"/>
  <c r="AE1066" i="22" s="1"/>
  <c r="D1067" i="22" s="1"/>
  <c r="V1066" i="22"/>
  <c r="AF1066" i="22" s="1"/>
  <c r="E1067" i="22" s="1"/>
  <c r="W1066" i="22" a="1"/>
  <c r="W1066" i="22" l="1"/>
  <c r="P1066" i="22" a="1"/>
  <c r="P1066" i="22" l="1"/>
  <c r="AC1066" i="22"/>
  <c r="B1067" i="22" l="1"/>
  <c r="R1066" i="22"/>
  <c r="S1066" i="22" s="1"/>
  <c r="K1066" i="22" s="1"/>
  <c r="I1067" i="22"/>
  <c r="X1066" i="22" l="1"/>
  <c r="Y1066" i="22" s="1"/>
  <c r="H1067" i="22"/>
  <c r="AG1066" i="22" l="1"/>
  <c r="F1067" i="22" l="1"/>
  <c r="AK1066" i="22"/>
  <c r="G1067" i="22" s="1"/>
  <c r="T1067" i="22" a="1"/>
  <c r="T1067" i="22" l="1"/>
  <c r="Q1067" i="22" l="1"/>
  <c r="V1067" i="22"/>
  <c r="AF1067" i="22" s="1"/>
  <c r="E1068" i="22" s="1"/>
  <c r="AD1067" i="22"/>
  <c r="C1068" i="22" s="1"/>
  <c r="U1067" i="22"/>
  <c r="AE1067" i="22" s="1"/>
  <c r="D1068" i="22" s="1"/>
  <c r="W1067" i="22" a="1"/>
  <c r="W1067" i="22" l="1"/>
  <c r="P1067" i="22" a="1"/>
  <c r="P1067" i="22" l="1"/>
  <c r="AC1067" i="22"/>
  <c r="B1068" i="22" l="1"/>
  <c r="R1067" i="22"/>
  <c r="S1067" i="22" s="1"/>
  <c r="K1067" i="22" s="1"/>
  <c r="I1068" i="22"/>
  <c r="H1068" i="22" l="1"/>
  <c r="X1067" i="22"/>
  <c r="Y1067" i="22" s="1"/>
  <c r="AG1067" i="22" l="1"/>
  <c r="F1068" i="22" l="1"/>
  <c r="AK1067" i="22"/>
  <c r="G1068" i="22" s="1"/>
  <c r="T1068" i="22" a="1"/>
  <c r="T1068" i="22" l="1"/>
  <c r="Q1068" i="22" l="1"/>
  <c r="AD1068" i="22"/>
  <c r="C1069" i="22" s="1"/>
  <c r="U1068" i="22"/>
  <c r="AE1068" i="22" s="1"/>
  <c r="D1069" i="22" s="1"/>
  <c r="V1068" i="22"/>
  <c r="AF1068" i="22" s="1"/>
  <c r="E1069" i="22" s="1"/>
  <c r="W1068" i="22" a="1"/>
  <c r="W1068" i="22" l="1"/>
  <c r="P1068" i="22" a="1"/>
  <c r="P1068" i="22" l="1"/>
  <c r="AC1068" i="22"/>
  <c r="B1069" i="22" l="1"/>
  <c r="I1069" i="22"/>
  <c r="R1068" i="22"/>
  <c r="S1068" i="22" s="1"/>
  <c r="K1068" i="22" s="1"/>
  <c r="X1068" i="22" l="1"/>
  <c r="Y1068" i="22" s="1"/>
  <c r="H1069" i="22"/>
  <c r="AG1068" i="22" l="1"/>
  <c r="F1069" i="22" l="1"/>
  <c r="AK1068" i="22"/>
  <c r="G1069" i="22" s="1"/>
  <c r="T1069" i="22" a="1"/>
  <c r="T1069" i="22" l="1"/>
  <c r="Q1069" i="22" l="1"/>
  <c r="V1069" i="22"/>
  <c r="AF1069" i="22" s="1"/>
  <c r="E1070" i="22" s="1"/>
  <c r="U1069" i="22"/>
  <c r="AE1069" i="22" s="1"/>
  <c r="D1070" i="22" s="1"/>
  <c r="AD1069" i="22"/>
  <c r="C1070" i="22" s="1"/>
  <c r="W1069" i="22" a="1"/>
  <c r="W1069" i="22" l="1"/>
  <c r="P1069" i="22" a="1"/>
  <c r="P1069" i="22" l="1"/>
  <c r="AC1069" i="22"/>
  <c r="R1069" i="22" l="1"/>
  <c r="S1069" i="22" s="1"/>
  <c r="K1069" i="22" s="1"/>
  <c r="I1070" i="22"/>
  <c r="B1070" i="22"/>
  <c r="X1069" i="22" l="1"/>
  <c r="Y1069" i="22" s="1"/>
  <c r="H1070" i="22"/>
  <c r="AG1069" i="22" l="1"/>
  <c r="F1070" i="22" l="1"/>
  <c r="AK1069" i="22"/>
  <c r="G1070" i="22" s="1"/>
  <c r="T1070" i="22" a="1"/>
  <c r="T1070" i="22" l="1"/>
  <c r="Q1070" i="22" l="1"/>
  <c r="V1070" i="22"/>
  <c r="AF1070" i="22" s="1"/>
  <c r="E1071" i="22" s="1"/>
  <c r="U1070" i="22"/>
  <c r="AE1070" i="22" s="1"/>
  <c r="D1071" i="22" s="1"/>
  <c r="AD1070" i="22"/>
  <c r="C1071" i="22" s="1"/>
  <c r="W1070" i="22" a="1"/>
  <c r="W1070" i="22" l="1"/>
  <c r="P1070" i="22" a="1"/>
  <c r="P1070" i="22" l="1"/>
  <c r="AC1070" i="22"/>
  <c r="B1071" i="22" l="1"/>
  <c r="R1070" i="22"/>
  <c r="S1070" i="22" s="1"/>
  <c r="K1070" i="22" s="1"/>
  <c r="I1071" i="22"/>
  <c r="H1071" i="22" l="1"/>
  <c r="X1070" i="22"/>
  <c r="Y1070" i="22" s="1"/>
  <c r="AG1070" i="22" l="1"/>
  <c r="F1071" i="22" l="1"/>
  <c r="AK1070" i="22"/>
  <c r="G1071" i="22" s="1"/>
  <c r="T1071" i="22" a="1"/>
  <c r="T1071" i="22" l="1"/>
  <c r="Q1071" i="22" l="1"/>
  <c r="U1071" i="22"/>
  <c r="AE1071" i="22" s="1"/>
  <c r="D1072" i="22" s="1"/>
  <c r="AD1071" i="22"/>
  <c r="C1072" i="22" s="1"/>
  <c r="V1071" i="22"/>
  <c r="AF1071" i="22" s="1"/>
  <c r="E1072" i="22" s="1"/>
  <c r="W1071" i="22" a="1"/>
  <c r="W1071" i="22" l="1"/>
  <c r="P1071" i="22" a="1"/>
  <c r="P1071" i="22" l="1"/>
  <c r="AC1071" i="22"/>
  <c r="B1072" i="22" l="1"/>
  <c r="R1071" i="22"/>
  <c r="S1071" i="22" s="1"/>
  <c r="K1071" i="22" s="1"/>
  <c r="I1072" i="22"/>
  <c r="X1071" i="22" l="1"/>
  <c r="Y1071" i="22" s="1"/>
  <c r="H1072" i="22"/>
  <c r="AG1071" i="22" l="1"/>
  <c r="F1072" i="22" l="1"/>
  <c r="AK1071" i="22"/>
  <c r="G1072" i="22" s="1"/>
  <c r="T1072" i="22" a="1"/>
  <c r="T1072" i="22" l="1"/>
  <c r="Q1072" i="22" l="1"/>
  <c r="U1072" i="22"/>
  <c r="AE1072" i="22" s="1"/>
  <c r="D1073" i="22" s="1"/>
  <c r="AD1072" i="22"/>
  <c r="C1073" i="22" s="1"/>
  <c r="V1072" i="22"/>
  <c r="AF1072" i="22" s="1"/>
  <c r="E1073" i="22" s="1"/>
  <c r="W1072" i="22" a="1"/>
  <c r="W1072" i="22" l="1"/>
  <c r="P1072" i="22" a="1"/>
  <c r="P1072" i="22" l="1"/>
  <c r="AC1072" i="22"/>
  <c r="B1073" i="22" l="1"/>
  <c r="I1073" i="22"/>
  <c r="R1072" i="22"/>
  <c r="S1072" i="22" s="1"/>
  <c r="K1072" i="22" s="1"/>
  <c r="X1072" i="22" l="1"/>
  <c r="Y1072" i="22" s="1"/>
  <c r="H1073" i="22"/>
  <c r="AG1072" i="22" l="1"/>
  <c r="F1073" i="22" l="1"/>
  <c r="AK1072" i="22"/>
  <c r="G1073" i="22" s="1"/>
  <c r="T1073" i="22" a="1"/>
  <c r="T1073" i="22" l="1"/>
  <c r="Q1073" i="22" l="1"/>
  <c r="AD1073" i="22"/>
  <c r="C1074" i="22" s="1"/>
  <c r="V1073" i="22"/>
  <c r="AF1073" i="22" s="1"/>
  <c r="E1074" i="22" s="1"/>
  <c r="U1073" i="22"/>
  <c r="AE1073" i="22" s="1"/>
  <c r="D1074" i="22" s="1"/>
  <c r="W1073" i="22" a="1"/>
  <c r="W1073" i="22" l="1"/>
  <c r="P1073" i="22" a="1"/>
  <c r="P1073" i="22" l="1"/>
  <c r="AC1073" i="22"/>
  <c r="B1074" i="22" l="1"/>
  <c r="I1074" i="22"/>
  <c r="R1073" i="22"/>
  <c r="S1073" i="22" s="1"/>
  <c r="K1073" i="22" s="1"/>
  <c r="H1074" i="22" l="1"/>
  <c r="X1073" i="22"/>
  <c r="Y1073" i="22" s="1"/>
  <c r="AG1073" i="22" l="1"/>
  <c r="F1074" i="22" l="1"/>
  <c r="AK1073" i="22"/>
  <c r="G1074" i="22" s="1"/>
  <c r="T1074" i="22" a="1"/>
  <c r="T1074" i="22" l="1"/>
  <c r="Q1074" i="22" l="1"/>
  <c r="V1074" i="22"/>
  <c r="AF1074" i="22" s="1"/>
  <c r="E1075" i="22" s="1"/>
  <c r="U1074" i="22"/>
  <c r="AE1074" i="22" s="1"/>
  <c r="D1075" i="22" s="1"/>
  <c r="AD1074" i="22"/>
  <c r="C1075" i="22" s="1"/>
  <c r="W1074" i="22" a="1"/>
  <c r="W1074" i="22" l="1"/>
  <c r="P1074" i="22" a="1"/>
  <c r="P1074" i="22" l="1"/>
  <c r="AC1074" i="22"/>
  <c r="R1074" i="22" l="1"/>
  <c r="S1074" i="22" s="1"/>
  <c r="K1074" i="22" s="1"/>
  <c r="I1075" i="22"/>
  <c r="B1075" i="22"/>
  <c r="H1075" i="22" l="1"/>
  <c r="X1074" i="22"/>
  <c r="Y1074" i="22" s="1"/>
  <c r="AG1074" i="22" l="1"/>
  <c r="F1075" i="22" l="1"/>
  <c r="AK1074" i="22"/>
  <c r="G1075" i="22" s="1"/>
  <c r="T1075" i="22" a="1"/>
  <c r="T1075" i="22" l="1"/>
  <c r="Q1075" i="22" l="1"/>
  <c r="U1075" i="22"/>
  <c r="AE1075" i="22" s="1"/>
  <c r="D1076" i="22" s="1"/>
  <c r="V1075" i="22"/>
  <c r="AF1075" i="22" s="1"/>
  <c r="E1076" i="22" s="1"/>
  <c r="AD1075" i="22"/>
  <c r="C1076" i="22" s="1"/>
  <c r="W1075" i="22" a="1"/>
  <c r="W1075" i="22" l="1"/>
  <c r="P1075" i="22" a="1"/>
  <c r="P1075" i="22" l="1"/>
  <c r="AC1075" i="22"/>
  <c r="B1076" i="22" l="1"/>
  <c r="I1076" i="22"/>
  <c r="R1075" i="22"/>
  <c r="S1075" i="22" s="1"/>
  <c r="K1075" i="22" s="1"/>
  <c r="H1076" i="22" l="1"/>
  <c r="X1075" i="22"/>
  <c r="Y1075" i="22" s="1"/>
  <c r="AG1075" i="22" l="1"/>
  <c r="F1076" i="22" l="1"/>
  <c r="AK1075" i="22"/>
  <c r="G1076" i="22" s="1"/>
  <c r="T1076" i="22" a="1"/>
  <c r="T1076" i="22" l="1"/>
  <c r="Q1076" i="22" l="1"/>
  <c r="V1076" i="22"/>
  <c r="AF1076" i="22" s="1"/>
  <c r="E1077" i="22" s="1"/>
  <c r="AD1076" i="22"/>
  <c r="C1077" i="22" s="1"/>
  <c r="U1076" i="22"/>
  <c r="AE1076" i="22" s="1"/>
  <c r="D1077" i="22" s="1"/>
  <c r="W1076" i="22" a="1"/>
  <c r="W1076" i="22" l="1"/>
  <c r="P1076" i="22" a="1"/>
  <c r="P1076" i="22" l="1"/>
  <c r="AC1076" i="22"/>
  <c r="I1077" i="22" l="1"/>
  <c r="R1076" i="22"/>
  <c r="S1076" i="22" s="1"/>
  <c r="K1076" i="22" s="1"/>
  <c r="B1077" i="22"/>
  <c r="H1077" i="22" l="1"/>
  <c r="X1076" i="22"/>
  <c r="Y1076" i="22" s="1"/>
  <c r="AG1076" i="22" l="1"/>
  <c r="F1077" i="22" l="1"/>
  <c r="AK1076" i="22"/>
  <c r="G1077" i="22" s="1"/>
  <c r="T1077" i="22" a="1"/>
  <c r="T1077" i="22" l="1"/>
  <c r="Q1077" i="22" l="1"/>
  <c r="U1077" i="22"/>
  <c r="AE1077" i="22" s="1"/>
  <c r="D1078" i="22" s="1"/>
  <c r="AD1077" i="22"/>
  <c r="C1078" i="22" s="1"/>
  <c r="V1077" i="22"/>
  <c r="AF1077" i="22" s="1"/>
  <c r="E1078" i="22" s="1"/>
  <c r="W1077" i="22" a="1"/>
  <c r="W1077" i="22" l="1"/>
  <c r="P1077" i="22" a="1"/>
  <c r="P1077" i="22" l="1"/>
  <c r="AC1077" i="22"/>
  <c r="B1078" i="22" l="1"/>
  <c r="I1078" i="22"/>
  <c r="R1077" i="22"/>
  <c r="S1077" i="22" s="1"/>
  <c r="K1077" i="22" s="1"/>
  <c r="X1077" i="22" l="1"/>
  <c r="Y1077" i="22" s="1"/>
  <c r="H1078" i="22"/>
  <c r="AG1077" i="22" l="1"/>
  <c r="F1078" i="22" l="1"/>
  <c r="AK1077" i="22"/>
  <c r="G1078" i="22" s="1"/>
  <c r="T1078" i="22" a="1"/>
  <c r="T1078" i="22" l="1"/>
  <c r="Q1078" i="22" l="1"/>
  <c r="U1078" i="22"/>
  <c r="AE1078" i="22" s="1"/>
  <c r="D1079" i="22" s="1"/>
  <c r="V1078" i="22"/>
  <c r="AF1078" i="22" s="1"/>
  <c r="E1079" i="22" s="1"/>
  <c r="AD1078" i="22"/>
  <c r="C1079" i="22" s="1"/>
  <c r="W1078" i="22" a="1"/>
  <c r="W1078" i="22" l="1"/>
  <c r="P1078" i="22" a="1"/>
  <c r="P1078" i="22" l="1"/>
  <c r="AC1078" i="22"/>
  <c r="B1079" i="22" l="1"/>
  <c r="R1078" i="22"/>
  <c r="S1078" i="22" s="1"/>
  <c r="K1078" i="22" s="1"/>
  <c r="I1079" i="22"/>
  <c r="X1078" i="22" l="1"/>
  <c r="Y1078" i="22" s="1"/>
  <c r="H1079" i="22"/>
  <c r="AG1078" i="22" l="1"/>
  <c r="F1079" i="22" l="1"/>
  <c r="AK1078" i="22"/>
  <c r="G1079" i="22" s="1"/>
  <c r="T1079" i="22" a="1"/>
  <c r="T1079" i="22" l="1"/>
  <c r="Q1079" i="22" l="1"/>
  <c r="V1079" i="22"/>
  <c r="AF1079" i="22" s="1"/>
  <c r="E1080" i="22" s="1"/>
  <c r="AD1079" i="22"/>
  <c r="C1080" i="22" s="1"/>
  <c r="U1079" i="22"/>
  <c r="AE1079" i="22" s="1"/>
  <c r="D1080" i="22" s="1"/>
  <c r="W1079" i="22" a="1"/>
  <c r="W1079" i="22" l="1"/>
  <c r="P1079" i="22" a="1"/>
  <c r="P1079" i="22" l="1"/>
  <c r="AC1079" i="22"/>
  <c r="B1080" i="22" l="1"/>
  <c r="I1080" i="22"/>
  <c r="R1079" i="22"/>
  <c r="S1079" i="22" s="1"/>
  <c r="K1079" i="22" s="1"/>
  <c r="H1080" i="22" l="1"/>
  <c r="X1079" i="22"/>
  <c r="Y1079" i="22" s="1"/>
  <c r="AG1079" i="22" l="1"/>
  <c r="F1080" i="22" l="1"/>
  <c r="AK1079" i="22"/>
  <c r="G1080" i="22" s="1"/>
  <c r="T1080" i="22" a="1"/>
  <c r="T1080" i="22" l="1"/>
  <c r="Q1080" i="22" l="1"/>
  <c r="U1080" i="22"/>
  <c r="AE1080" i="22" s="1"/>
  <c r="D1081" i="22" s="1"/>
  <c r="AD1080" i="22"/>
  <c r="C1081" i="22" s="1"/>
  <c r="V1080" i="22"/>
  <c r="AF1080" i="22" s="1"/>
  <c r="E1081" i="22" s="1"/>
  <c r="W1080" i="22" a="1"/>
  <c r="W1080" i="22" l="1"/>
  <c r="P1080" i="22" a="1"/>
  <c r="P1080" i="22" l="1"/>
  <c r="AC1080" i="22"/>
  <c r="B1081" i="22" l="1"/>
  <c r="R1080" i="22"/>
  <c r="S1080" i="22" s="1"/>
  <c r="K1080" i="22" s="1"/>
  <c r="I1081" i="22"/>
  <c r="H1081" i="22" l="1"/>
  <c r="X1080" i="22"/>
  <c r="Y1080" i="22" s="1"/>
  <c r="AG1080" i="22" l="1"/>
  <c r="F1081" i="22" l="1"/>
  <c r="AK1080" i="22"/>
  <c r="G1081" i="22" s="1"/>
  <c r="T1081" i="22" a="1"/>
  <c r="T1081" i="22" l="1"/>
  <c r="Q1081" i="22" l="1"/>
  <c r="U1081" i="22"/>
  <c r="AE1081" i="22" s="1"/>
  <c r="D1082" i="22" s="1"/>
  <c r="AD1081" i="22"/>
  <c r="C1082" i="22" s="1"/>
  <c r="V1081" i="22"/>
  <c r="AF1081" i="22" s="1"/>
  <c r="E1082" i="22" s="1"/>
  <c r="W1081" i="22" a="1"/>
  <c r="W1081" i="22" l="1"/>
  <c r="P1081" i="22" a="1"/>
  <c r="P1081" i="22" l="1"/>
  <c r="AC1081" i="22"/>
  <c r="B1082" i="22" l="1"/>
  <c r="I1082" i="22"/>
  <c r="R1081" i="22"/>
  <c r="S1081" i="22" s="1"/>
  <c r="K1081" i="22" s="1"/>
  <c r="H1082" i="22" l="1"/>
  <c r="X1081" i="22"/>
  <c r="Y1081" i="22" s="1"/>
  <c r="AG1081" i="22" l="1"/>
  <c r="F1082" i="22" l="1"/>
  <c r="AK1081" i="22"/>
  <c r="G1082" i="22" s="1"/>
  <c r="T1082" i="22" a="1"/>
  <c r="T1082" i="22" l="1"/>
  <c r="Q1082" i="22" l="1"/>
  <c r="V1082" i="22"/>
  <c r="AF1082" i="22" s="1"/>
  <c r="E1083" i="22" s="1"/>
  <c r="U1082" i="22"/>
  <c r="AE1082" i="22" s="1"/>
  <c r="D1083" i="22" s="1"/>
  <c r="AD1082" i="22"/>
  <c r="C1083" i="22" s="1"/>
  <c r="W1082" i="22" a="1"/>
  <c r="W1082" i="22" l="1"/>
  <c r="P1082" i="22" a="1"/>
  <c r="P1082" i="22" l="1"/>
  <c r="AC1082" i="22"/>
  <c r="B1083" i="22" l="1"/>
  <c r="R1082" i="22"/>
  <c r="S1082" i="22" s="1"/>
  <c r="K1082" i="22" s="1"/>
  <c r="I1083" i="22"/>
  <c r="X1082" i="22" l="1"/>
  <c r="Y1082" i="22" s="1"/>
  <c r="H1083" i="22"/>
  <c r="AG1082" i="22" l="1"/>
  <c r="F1083" i="22" l="1"/>
  <c r="AK1082" i="22"/>
  <c r="G1083" i="22" s="1"/>
  <c r="T1083" i="22" a="1"/>
  <c r="T1083" i="22" l="1"/>
  <c r="Q1083" i="22" l="1"/>
  <c r="AD1083" i="22"/>
  <c r="C1084" i="22" s="1"/>
  <c r="U1083" i="22"/>
  <c r="AE1083" i="22" s="1"/>
  <c r="D1084" i="22" s="1"/>
  <c r="V1083" i="22"/>
  <c r="AF1083" i="22" s="1"/>
  <c r="E1084" i="22" s="1"/>
  <c r="W1083" i="22" a="1"/>
  <c r="W1083" i="22" l="1"/>
  <c r="P1083" i="22" a="1"/>
  <c r="P1083" i="22" l="1"/>
  <c r="AC1083" i="22"/>
  <c r="B1084" i="22" l="1"/>
  <c r="R1083" i="22"/>
  <c r="S1083" i="22" s="1"/>
  <c r="K1083" i="22" s="1"/>
  <c r="I1084" i="22"/>
  <c r="H1084" i="22" l="1"/>
  <c r="X1083" i="22"/>
  <c r="Y1083" i="22" s="1"/>
  <c r="AG1083" i="22" l="1"/>
  <c r="F1084" i="22" l="1"/>
  <c r="AK1083" i="22"/>
  <c r="G1084" i="22" s="1"/>
  <c r="T1084" i="22" a="1"/>
  <c r="T1084" i="22" l="1"/>
  <c r="Q1084" i="22" l="1"/>
  <c r="V1084" i="22"/>
  <c r="AF1084" i="22" s="1"/>
  <c r="E1085" i="22" s="1"/>
  <c r="U1084" i="22"/>
  <c r="AE1084" i="22" s="1"/>
  <c r="D1085" i="22" s="1"/>
  <c r="AD1084" i="22"/>
  <c r="C1085" i="22" s="1"/>
  <c r="W1084" i="22" a="1"/>
  <c r="W1084" i="22" l="1"/>
  <c r="P1084" i="22" a="1"/>
  <c r="P1084" i="22" l="1"/>
  <c r="AC1084" i="22"/>
  <c r="B1085" i="22" l="1"/>
  <c r="I1085" i="22"/>
  <c r="R1084" i="22"/>
  <c r="S1084" i="22" s="1"/>
  <c r="K1084" i="22" s="1"/>
  <c r="X1084" i="22" l="1"/>
  <c r="Y1084" i="22" s="1"/>
  <c r="H1085" i="22"/>
  <c r="AG1084" i="22" l="1"/>
  <c r="AK1084" i="22" s="1"/>
  <c r="G1085" i="22" s="1"/>
  <c r="T1085" i="22" a="1"/>
  <c r="F1085" i="22" l="1"/>
  <c r="T1085" i="22"/>
  <c r="Q1085" i="22" l="1"/>
  <c r="AD1085" i="22"/>
  <c r="C1086" i="22" s="1"/>
  <c r="V1085" i="22"/>
  <c r="AF1085" i="22" s="1"/>
  <c r="E1086" i="22" s="1"/>
  <c r="U1085" i="22"/>
  <c r="AE1085" i="22" s="1"/>
  <c r="D1086" i="22" s="1"/>
  <c r="W1085" i="22" a="1"/>
  <c r="W1085" i="22" l="1"/>
  <c r="P1085" i="22" a="1"/>
  <c r="P1085" i="22" l="1"/>
  <c r="AC1085" i="22"/>
  <c r="B1086" i="22" l="1"/>
  <c r="R1085" i="22"/>
  <c r="S1085" i="22" s="1"/>
  <c r="K1085" i="22" s="1"/>
  <c r="I1086" i="22"/>
  <c r="X1085" i="22" l="1"/>
  <c r="Y1085" i="22" s="1"/>
  <c r="H1086" i="22"/>
  <c r="AG1085" i="22" l="1"/>
  <c r="F1086" i="22" l="1"/>
  <c r="AK1085" i="22"/>
  <c r="G1086" i="22" s="1"/>
  <c r="T1086" i="22" a="1"/>
  <c r="T1086" i="22" l="1"/>
  <c r="Q1086" i="22" l="1"/>
  <c r="V1086" i="22"/>
  <c r="AF1086" i="22" s="1"/>
  <c r="E1087" i="22" s="1"/>
  <c r="AD1086" i="22"/>
  <c r="C1087" i="22" s="1"/>
  <c r="U1086" i="22"/>
  <c r="AE1086" i="22" s="1"/>
  <c r="D1087" i="22" s="1"/>
  <c r="W1086" i="22" a="1"/>
  <c r="W1086" i="22" l="1"/>
  <c r="P1086" i="22" a="1"/>
  <c r="P1086" i="22" l="1"/>
  <c r="AC1086" i="22"/>
  <c r="B1087" i="22" l="1"/>
  <c r="I1087" i="22"/>
  <c r="R1086" i="22"/>
  <c r="S1086" i="22" s="1"/>
  <c r="K1086" i="22" s="1"/>
  <c r="X1086" i="22" l="1"/>
  <c r="Y1086" i="22" s="1"/>
  <c r="H1087" i="22"/>
  <c r="AG1086" i="22" l="1"/>
  <c r="F1087" i="22" l="1"/>
  <c r="AK1086" i="22"/>
  <c r="G1087" i="22" s="1"/>
  <c r="T1087" i="22" a="1"/>
  <c r="T1087" i="22" l="1"/>
  <c r="Q1087" i="22" l="1"/>
  <c r="V1087" i="22"/>
  <c r="AF1087" i="22" s="1"/>
  <c r="E1088" i="22" s="1"/>
  <c r="AD1087" i="22"/>
  <c r="C1088" i="22" s="1"/>
  <c r="U1087" i="22"/>
  <c r="AE1087" i="22" s="1"/>
  <c r="D1088" i="22" s="1"/>
  <c r="W1087" i="22" a="1"/>
  <c r="W1087" i="22" l="1"/>
  <c r="P1087" i="22" a="1"/>
  <c r="P1087" i="22" l="1"/>
  <c r="AC1087" i="22"/>
  <c r="B1088" i="22" l="1"/>
  <c r="R1087" i="22"/>
  <c r="S1087" i="22" s="1"/>
  <c r="K1087" i="22" s="1"/>
  <c r="I1088" i="22"/>
  <c r="X1087" i="22" l="1"/>
  <c r="Y1087" i="22" s="1"/>
  <c r="H1088" i="22"/>
  <c r="AG1087" i="22" l="1"/>
  <c r="F1088" i="22" l="1"/>
  <c r="AK1087" i="22"/>
  <c r="G1088" i="22" s="1"/>
  <c r="T1088" i="22" a="1"/>
  <c r="T1088" i="22" l="1"/>
  <c r="Q1088" i="22" l="1"/>
  <c r="V1088" i="22"/>
  <c r="AF1088" i="22" s="1"/>
  <c r="E1089" i="22" s="1"/>
  <c r="AD1088" i="22"/>
  <c r="C1089" i="22" s="1"/>
  <c r="U1088" i="22"/>
  <c r="AE1088" i="22" s="1"/>
  <c r="D1089" i="22" s="1"/>
  <c r="W1088" i="22" a="1"/>
  <c r="W1088" i="22" l="1"/>
  <c r="P1088" i="22" a="1"/>
  <c r="P1088" i="22" l="1"/>
  <c r="AC1088" i="22"/>
  <c r="B1089" i="22" l="1"/>
  <c r="R1088" i="22"/>
  <c r="S1088" i="22" s="1"/>
  <c r="K1088" i="22" s="1"/>
  <c r="I1089" i="22"/>
  <c r="X1088" i="22" l="1"/>
  <c r="Y1088" i="22" s="1"/>
  <c r="H1089" i="22"/>
  <c r="AG1088" i="22" l="1"/>
  <c r="F1089" i="22" l="1"/>
  <c r="AK1088" i="22"/>
  <c r="G1089" i="22" s="1"/>
  <c r="T1089" i="22" a="1"/>
  <c r="T1089" i="22" l="1"/>
  <c r="Q1089" i="22" l="1"/>
  <c r="AD1089" i="22"/>
  <c r="C1090" i="22" s="1"/>
  <c r="U1089" i="22"/>
  <c r="AE1089" i="22" s="1"/>
  <c r="D1090" i="22" s="1"/>
  <c r="V1089" i="22"/>
  <c r="AF1089" i="22" s="1"/>
  <c r="E1090" i="22" s="1"/>
  <c r="W1089" i="22" a="1"/>
  <c r="W1089" i="22" l="1"/>
  <c r="P1089" i="22" a="1"/>
  <c r="P1089" i="22" l="1"/>
  <c r="AC1089" i="22"/>
  <c r="R1089" i="22" l="1"/>
  <c r="S1089" i="22" s="1"/>
  <c r="K1089" i="22" s="1"/>
  <c r="I1090" i="22"/>
  <c r="B1090" i="22"/>
  <c r="H1090" i="22" l="1"/>
  <c r="X1089" i="22"/>
  <c r="Y1089" i="22" s="1"/>
  <c r="AG1089" i="22" l="1"/>
  <c r="F1090" i="22" l="1"/>
  <c r="AK1089" i="22"/>
  <c r="G1090" i="22" s="1"/>
  <c r="T1090" i="22" a="1"/>
  <c r="T1090" i="22" l="1"/>
  <c r="Q1090" i="22" l="1"/>
  <c r="U1090" i="22"/>
  <c r="AE1090" i="22" s="1"/>
  <c r="D1091" i="22" s="1"/>
  <c r="V1090" i="22"/>
  <c r="AF1090" i="22" s="1"/>
  <c r="E1091" i="22" s="1"/>
  <c r="AD1090" i="22"/>
  <c r="C1091" i="22" s="1"/>
  <c r="W1090" i="22" a="1"/>
  <c r="W1090" i="22" l="1"/>
  <c r="P1090" i="22" a="1"/>
  <c r="P1090" i="22" l="1"/>
  <c r="AC1090" i="22"/>
  <c r="I1091" i="22" l="1"/>
  <c r="R1090" i="22"/>
  <c r="S1090" i="22" s="1"/>
  <c r="K1090" i="22" s="1"/>
  <c r="B1091" i="22"/>
  <c r="H1091" i="22" l="1"/>
  <c r="X1090" i="22"/>
  <c r="Y1090" i="22" s="1"/>
  <c r="AG1090" i="22" l="1"/>
  <c r="F1091" i="22" l="1"/>
  <c r="AK1090" i="22"/>
  <c r="G1091" i="22" s="1"/>
  <c r="T1091" i="22" a="1"/>
  <c r="T1091" i="22" l="1"/>
  <c r="Q1091" i="22" l="1"/>
  <c r="AD1091" i="22"/>
  <c r="C1092" i="22" s="1"/>
  <c r="U1091" i="22"/>
  <c r="AE1091" i="22" s="1"/>
  <c r="D1092" i="22" s="1"/>
  <c r="V1091" i="22"/>
  <c r="AF1091" i="22" s="1"/>
  <c r="E1092" i="22" s="1"/>
  <c r="W1091" i="22" a="1"/>
  <c r="W1091" i="22" l="1"/>
  <c r="P1091" i="22" a="1"/>
  <c r="P1091" i="22" l="1"/>
  <c r="AC1091" i="22"/>
  <c r="B1092" i="22" l="1"/>
  <c r="I1092" i="22"/>
  <c r="R1091" i="22"/>
  <c r="S1091" i="22" s="1"/>
  <c r="K1091" i="22" s="1"/>
  <c r="X1091" i="22" l="1"/>
  <c r="Y1091" i="22" s="1"/>
  <c r="H1092" i="22"/>
  <c r="AG1091" i="22" l="1"/>
  <c r="F1092" i="22" l="1"/>
  <c r="AK1091" i="22"/>
  <c r="G1092" i="22" s="1"/>
  <c r="T1092" i="22" a="1"/>
  <c r="T1092" i="22" l="1"/>
  <c r="Q1092" i="22" l="1"/>
  <c r="U1092" i="22"/>
  <c r="AE1092" i="22" s="1"/>
  <c r="D1093" i="22" s="1"/>
  <c r="AD1092" i="22"/>
  <c r="C1093" i="22" s="1"/>
  <c r="V1092" i="22"/>
  <c r="AF1092" i="22" s="1"/>
  <c r="E1093" i="22" s="1"/>
  <c r="W1092" i="22" a="1"/>
  <c r="W1092" i="22" l="1"/>
  <c r="P1092" i="22" a="1"/>
  <c r="P1092" i="22" l="1"/>
  <c r="AC1092" i="22"/>
  <c r="R1092" i="22" l="1"/>
  <c r="S1092" i="22" s="1"/>
  <c r="K1092" i="22" s="1"/>
  <c r="I1093" i="22"/>
  <c r="B1093" i="22"/>
  <c r="H1093" i="22" l="1"/>
  <c r="X1092" i="22"/>
  <c r="Y1092" i="22" s="1"/>
  <c r="AG1092" i="22" l="1"/>
  <c r="F1093" i="22" l="1"/>
  <c r="AK1092" i="22"/>
  <c r="G1093" i="22" s="1"/>
  <c r="T1093" i="22" a="1"/>
  <c r="T1093" i="22" l="1"/>
  <c r="Q1093" i="22" l="1"/>
  <c r="V1093" i="22"/>
  <c r="AF1093" i="22" s="1"/>
  <c r="E1094" i="22" s="1"/>
  <c r="U1093" i="22"/>
  <c r="AE1093" i="22" s="1"/>
  <c r="D1094" i="22" s="1"/>
  <c r="AD1093" i="22"/>
  <c r="C1094" i="22" s="1"/>
  <c r="W1093" i="22" a="1"/>
  <c r="W1093" i="22" l="1"/>
  <c r="P1093" i="22" a="1"/>
  <c r="P1093" i="22" l="1"/>
  <c r="AC1093" i="22"/>
  <c r="B1094" i="22" l="1"/>
  <c r="R1093" i="22"/>
  <c r="S1093" i="22" s="1"/>
  <c r="K1093" i="22" s="1"/>
  <c r="I1094" i="22"/>
  <c r="X1093" i="22" l="1"/>
  <c r="Y1093" i="22" s="1"/>
  <c r="H1094" i="22"/>
  <c r="AG1093" i="22" l="1"/>
  <c r="F1094" i="22" l="1"/>
  <c r="AK1093" i="22"/>
  <c r="G1094" i="22" s="1"/>
  <c r="T1094" i="22" a="1"/>
  <c r="T1094" i="22" l="1"/>
  <c r="Q1094" i="22" l="1"/>
  <c r="U1094" i="22"/>
  <c r="AE1094" i="22" s="1"/>
  <c r="D1095" i="22" s="1"/>
  <c r="AD1094" i="22"/>
  <c r="C1095" i="22" s="1"/>
  <c r="V1094" i="22"/>
  <c r="AF1094" i="22" s="1"/>
  <c r="E1095" i="22" s="1"/>
  <c r="W1094" i="22" a="1"/>
  <c r="W1094" i="22" l="1"/>
  <c r="P1094" i="22" a="1"/>
  <c r="P1094" i="22" l="1"/>
  <c r="AC1094" i="22"/>
  <c r="B1095" i="22" l="1"/>
  <c r="R1094" i="22"/>
  <c r="S1094" i="22" s="1"/>
  <c r="K1094" i="22" s="1"/>
  <c r="I1095" i="22"/>
  <c r="X1094" i="22" l="1"/>
  <c r="Y1094" i="22" s="1"/>
  <c r="H1095" i="22"/>
  <c r="AG1094" i="22" l="1"/>
  <c r="F1095" i="22" l="1"/>
  <c r="AK1094" i="22"/>
  <c r="G1095" i="22" s="1"/>
  <c r="T1095" i="22" a="1"/>
  <c r="T1095" i="22" l="1"/>
  <c r="Q1095" i="22" l="1"/>
  <c r="V1095" i="22"/>
  <c r="AF1095" i="22" s="1"/>
  <c r="E1096" i="22" s="1"/>
  <c r="AD1095" i="22"/>
  <c r="C1096" i="22" s="1"/>
  <c r="U1095" i="22"/>
  <c r="AE1095" i="22" s="1"/>
  <c r="D1096" i="22" s="1"/>
  <c r="W1095" i="22" a="1"/>
  <c r="W1095" i="22" l="1"/>
  <c r="P1095" i="22" a="1"/>
  <c r="P1095" i="22" l="1"/>
  <c r="AC1095" i="22"/>
  <c r="B1096" i="22" l="1"/>
  <c r="R1095" i="22"/>
  <c r="S1095" i="22" s="1"/>
  <c r="K1095" i="22" s="1"/>
  <c r="I1096" i="22"/>
  <c r="X1095" i="22" l="1"/>
  <c r="Y1095" i="22" s="1"/>
  <c r="H1096" i="22"/>
  <c r="AG1095" i="22" l="1"/>
  <c r="F1096" i="22" l="1"/>
  <c r="AK1095" i="22"/>
  <c r="G1096" i="22" s="1"/>
  <c r="T1096" i="22" a="1"/>
  <c r="T1096" i="22" l="1"/>
  <c r="Q1096" i="22" l="1"/>
  <c r="AD1096" i="22"/>
  <c r="C1097" i="22" s="1"/>
  <c r="U1096" i="22"/>
  <c r="AE1096" i="22" s="1"/>
  <c r="D1097" i="22" s="1"/>
  <c r="V1096" i="22"/>
  <c r="AF1096" i="22" s="1"/>
  <c r="E1097" i="22" s="1"/>
  <c r="W1096" i="22" a="1"/>
  <c r="W1096" i="22" l="1"/>
  <c r="P1096" i="22" a="1"/>
  <c r="P1096" i="22" l="1"/>
  <c r="AC1096" i="22"/>
  <c r="B1097" i="22" l="1"/>
  <c r="R1096" i="22"/>
  <c r="S1096" i="22" s="1"/>
  <c r="K1096" i="22" s="1"/>
  <c r="I1097" i="22"/>
  <c r="H1097" i="22" l="1"/>
  <c r="X1096" i="22"/>
  <c r="Y1096" i="22" s="1"/>
  <c r="AG1096" i="22" l="1"/>
  <c r="F1097" i="22" l="1"/>
  <c r="AK1096" i="22"/>
  <c r="G1097" i="22" s="1"/>
  <c r="T1097" i="22" a="1"/>
  <c r="T1097" i="22" l="1"/>
  <c r="Q1097" i="22" l="1"/>
  <c r="V1097" i="22"/>
  <c r="AF1097" i="22" s="1"/>
  <c r="E1098" i="22" s="1"/>
  <c r="AD1097" i="22"/>
  <c r="C1098" i="22" s="1"/>
  <c r="U1097" i="22"/>
  <c r="AE1097" i="22" s="1"/>
  <c r="D1098" i="22" s="1"/>
  <c r="W1097" i="22" a="1"/>
  <c r="W1097" i="22" l="1"/>
  <c r="P1097" i="22" a="1"/>
  <c r="P1097" i="22" l="1"/>
  <c r="AC1097" i="22"/>
  <c r="B1098" i="22" l="1"/>
  <c r="I1098" i="22"/>
  <c r="R1097" i="22"/>
  <c r="S1097" i="22" s="1"/>
  <c r="K1097" i="22" s="1"/>
  <c r="H1098" i="22" l="1"/>
  <c r="X1097" i="22"/>
  <c r="Y1097" i="22" s="1"/>
  <c r="AG1097" i="22" l="1"/>
  <c r="F1098" i="22" l="1"/>
  <c r="AK1097" i="22"/>
  <c r="G1098" i="22" s="1"/>
  <c r="T1098" i="22" a="1"/>
  <c r="T1098" i="22" l="1"/>
  <c r="Q1098" i="22" l="1"/>
  <c r="AD1098" i="22"/>
  <c r="C1099" i="22" s="1"/>
  <c r="V1098" i="22"/>
  <c r="AF1098" i="22" s="1"/>
  <c r="E1099" i="22" s="1"/>
  <c r="U1098" i="22"/>
  <c r="AE1098" i="22" s="1"/>
  <c r="D1099" i="22" s="1"/>
  <c r="W1098" i="22" a="1"/>
  <c r="W1098" i="22" l="1"/>
  <c r="P1098" i="22" a="1"/>
  <c r="P1098" i="22" l="1"/>
  <c r="AC1098" i="22"/>
  <c r="B1099" i="22" l="1"/>
  <c r="R1098" i="22"/>
  <c r="S1098" i="22" s="1"/>
  <c r="K1098" i="22" s="1"/>
  <c r="I1099" i="22"/>
  <c r="H1099" i="22" l="1"/>
  <c r="X1098" i="22"/>
  <c r="Y1098" i="22" s="1"/>
  <c r="AG1098" i="22" l="1"/>
  <c r="F1099" i="22" l="1"/>
  <c r="AK1098" i="22"/>
  <c r="G1099" i="22" s="1"/>
  <c r="T1099" i="22" a="1"/>
  <c r="T1099" i="22" l="1"/>
  <c r="Q1099" i="22" l="1"/>
  <c r="AD1099" i="22"/>
  <c r="C1100" i="22" s="1"/>
  <c r="U1099" i="22"/>
  <c r="AE1099" i="22" s="1"/>
  <c r="D1100" i="22" s="1"/>
  <c r="V1099" i="22"/>
  <c r="AF1099" i="22" s="1"/>
  <c r="E1100" i="22" s="1"/>
  <c r="W1099" i="22" a="1"/>
  <c r="W1099" i="22" l="1"/>
  <c r="P1099" i="22" a="1"/>
  <c r="P1099" i="22" l="1"/>
  <c r="AC1099" i="22"/>
  <c r="B1100" i="22" l="1"/>
  <c r="R1099" i="22"/>
  <c r="S1099" i="22" s="1"/>
  <c r="K1099" i="22" s="1"/>
  <c r="I1100" i="22"/>
  <c r="X1099" i="22" l="1"/>
  <c r="Y1099" i="22" s="1"/>
  <c r="H1100" i="22"/>
  <c r="AG1099" i="22" l="1"/>
  <c r="F1100" i="22" l="1"/>
  <c r="AK1099" i="22"/>
  <c r="G1100" i="22" s="1"/>
  <c r="T1100" i="22" a="1"/>
  <c r="T1100" i="22" l="1"/>
  <c r="Q1100" i="22" l="1"/>
  <c r="V1100" i="22"/>
  <c r="AF1100" i="22" s="1"/>
  <c r="E1101" i="22" s="1"/>
  <c r="AD1100" i="22"/>
  <c r="C1101" i="22" s="1"/>
  <c r="U1100" i="22"/>
  <c r="AE1100" i="22" s="1"/>
  <c r="D1101" i="22" s="1"/>
  <c r="W1100" i="22" a="1"/>
  <c r="W1100" i="22" l="1"/>
  <c r="P1100" i="22" a="1"/>
  <c r="P1100" i="22" l="1"/>
  <c r="AC1100" i="22"/>
  <c r="B1101" i="22" l="1"/>
  <c r="R1100" i="22"/>
  <c r="S1100" i="22" s="1"/>
  <c r="K1100" i="22" s="1"/>
  <c r="I1101" i="22"/>
  <c r="H1101" i="22" l="1"/>
  <c r="X1100" i="22"/>
  <c r="Y1100" i="22" s="1"/>
  <c r="AG1100" i="22" l="1"/>
  <c r="AK1100" i="22" s="1"/>
  <c r="G1101" i="22" s="1"/>
  <c r="T1101" i="22" a="1"/>
  <c r="F1101" i="22" l="1"/>
  <c r="T1101" i="22"/>
  <c r="Q1101" i="22" l="1"/>
  <c r="V1101" i="22"/>
  <c r="AF1101" i="22" s="1"/>
  <c r="E1102" i="22" s="1"/>
  <c r="U1101" i="22"/>
  <c r="AE1101" i="22" s="1"/>
  <c r="D1102" i="22" s="1"/>
  <c r="AD1101" i="22"/>
  <c r="C1102" i="22" s="1"/>
  <c r="W1101" i="22" a="1"/>
  <c r="W1101" i="22" l="1"/>
  <c r="P1101" i="22" a="1"/>
  <c r="P1101" i="22" l="1"/>
  <c r="AC1101" i="22"/>
  <c r="B1102" i="22" l="1"/>
  <c r="R1101" i="22"/>
  <c r="S1101" i="22" s="1"/>
  <c r="K1101" i="22" s="1"/>
  <c r="I1102" i="22"/>
  <c r="H1102" i="22" l="1"/>
  <c r="X1101" i="22"/>
  <c r="Y1101" i="22" s="1"/>
  <c r="AG1101" i="22" l="1"/>
  <c r="F1102" i="22" l="1"/>
  <c r="AK1101" i="22"/>
  <c r="G1102" i="22" s="1"/>
  <c r="T1102" i="22" a="1"/>
  <c r="T1102" i="22" l="1"/>
  <c r="Q1102" i="22" l="1"/>
  <c r="V1102" i="22"/>
  <c r="AF1102" i="22" s="1"/>
  <c r="E1103" i="22" s="1"/>
  <c r="U1102" i="22"/>
  <c r="AE1102" i="22" s="1"/>
  <c r="D1103" i="22" s="1"/>
  <c r="AD1102" i="22"/>
  <c r="C1103" i="22" s="1"/>
  <c r="W1102" i="22" a="1"/>
  <c r="W1102" i="22" l="1"/>
  <c r="P1102" i="22" a="1"/>
  <c r="P1102" i="22" l="1"/>
  <c r="AC1102" i="22"/>
  <c r="B1103" i="22" l="1"/>
  <c r="R1102" i="22"/>
  <c r="S1102" i="22" s="1"/>
  <c r="K1102" i="22" s="1"/>
  <c r="I1103" i="22"/>
  <c r="H1103" i="22" l="1"/>
  <c r="X1102" i="22"/>
  <c r="Y1102" i="22" s="1"/>
  <c r="AG1102" i="22" l="1"/>
  <c r="F1103" i="22" l="1"/>
  <c r="AK1102" i="22"/>
  <c r="G1103" i="22" s="1"/>
  <c r="T1103" i="22" a="1"/>
  <c r="T1103" i="22" l="1"/>
  <c r="Q1103" i="22" l="1"/>
  <c r="AD1103" i="22"/>
  <c r="C1104" i="22" s="1"/>
  <c r="U1103" i="22"/>
  <c r="AE1103" i="22" s="1"/>
  <c r="D1104" i="22" s="1"/>
  <c r="V1103" i="22"/>
  <c r="AF1103" i="22" s="1"/>
  <c r="E1104" i="22" s="1"/>
  <c r="W1103" i="22" a="1"/>
  <c r="W1103" i="22" l="1"/>
  <c r="P1103" i="22" a="1"/>
  <c r="P1103" i="22" l="1"/>
  <c r="AC1103" i="22"/>
  <c r="B1104" i="22" l="1"/>
  <c r="I1104" i="22"/>
  <c r="R1103" i="22"/>
  <c r="S1103" i="22" s="1"/>
  <c r="K1103" i="22" s="1"/>
  <c r="H1104" i="22" l="1"/>
  <c r="X1103" i="22"/>
  <c r="Y1103" i="22" s="1"/>
  <c r="AG1103" i="22" l="1"/>
  <c r="F1104" i="22" l="1"/>
  <c r="AK1103" i="22"/>
  <c r="G1104" i="22" s="1"/>
  <c r="T1104" i="22" a="1"/>
  <c r="T1104" i="22" l="1"/>
  <c r="Q1104" i="22" l="1"/>
  <c r="V1104" i="22"/>
  <c r="AF1104" i="22" s="1"/>
  <c r="E1105" i="22" s="1"/>
  <c r="U1104" i="22"/>
  <c r="AE1104" i="22" s="1"/>
  <c r="D1105" i="22" s="1"/>
  <c r="AD1104" i="22"/>
  <c r="C1105" i="22" s="1"/>
  <c r="W1104" i="22" a="1"/>
  <c r="W1104" i="22" l="1"/>
  <c r="P1104" i="22" a="1"/>
  <c r="P1104" i="22" l="1"/>
  <c r="AC1104" i="22"/>
  <c r="B1105" i="22" l="1"/>
  <c r="R1104" i="22"/>
  <c r="S1104" i="22" s="1"/>
  <c r="K1104" i="22" s="1"/>
  <c r="I1105" i="22"/>
  <c r="X1104" i="22" l="1"/>
  <c r="Y1104" i="22" s="1"/>
  <c r="H1105" i="22"/>
  <c r="AG1104" i="22" l="1"/>
  <c r="F1105" i="22" l="1"/>
  <c r="AK1104" i="22"/>
  <c r="G1105" i="22" s="1"/>
  <c r="T1105" i="22" a="1"/>
  <c r="T1105" i="22" l="1"/>
  <c r="Q1105" i="22" l="1"/>
  <c r="AD1105" i="22"/>
  <c r="C1106" i="22" s="1"/>
  <c r="V1105" i="22"/>
  <c r="AF1105" i="22" s="1"/>
  <c r="E1106" i="22" s="1"/>
  <c r="U1105" i="22"/>
  <c r="AE1105" i="22" s="1"/>
  <c r="D1106" i="22" s="1"/>
  <c r="W1105" i="22" a="1"/>
  <c r="W1105" i="22" l="1"/>
  <c r="P1105" i="22" a="1"/>
  <c r="P1105" i="22" l="1"/>
  <c r="AC1105" i="22"/>
  <c r="B1106" i="22" l="1"/>
  <c r="R1105" i="22"/>
  <c r="S1105" i="22" s="1"/>
  <c r="K1105" i="22" s="1"/>
  <c r="I1106" i="22"/>
  <c r="H1106" i="22" l="1"/>
  <c r="X1105" i="22"/>
  <c r="Y1105" i="22" s="1"/>
  <c r="AG1105" i="22" l="1"/>
  <c r="F1106" i="22" l="1"/>
  <c r="AK1105" i="22"/>
  <c r="G1106" i="22" s="1"/>
  <c r="T1106" i="22" a="1"/>
  <c r="T1106" i="22" l="1"/>
  <c r="Q1106" i="22" l="1"/>
  <c r="AD1106" i="22"/>
  <c r="C1107" i="22" s="1"/>
  <c r="V1106" i="22"/>
  <c r="AF1106" i="22" s="1"/>
  <c r="E1107" i="22" s="1"/>
  <c r="U1106" i="22"/>
  <c r="AE1106" i="22" s="1"/>
  <c r="D1107" i="22" s="1"/>
  <c r="W1106" i="22" a="1"/>
  <c r="W1106" i="22" l="1"/>
  <c r="P1106" i="22" a="1"/>
  <c r="P1106" i="22" l="1"/>
  <c r="AC1106" i="22"/>
  <c r="B1107" i="22" l="1"/>
  <c r="R1106" i="22"/>
  <c r="S1106" i="22" s="1"/>
  <c r="K1106" i="22" s="1"/>
  <c r="I1107" i="22"/>
  <c r="X1106" i="22" l="1"/>
  <c r="Y1106" i="22" s="1"/>
  <c r="H1107" i="22"/>
  <c r="AG1106" i="22" l="1"/>
  <c r="F1107" i="22" l="1"/>
  <c r="AK1106" i="22"/>
  <c r="G1107" i="22" s="1"/>
  <c r="T1107" i="22" a="1"/>
  <c r="T1107" i="22" l="1"/>
  <c r="Q1107" i="22" l="1"/>
  <c r="V1107" i="22"/>
  <c r="AF1107" i="22" s="1"/>
  <c r="E1108" i="22" s="1"/>
  <c r="AD1107" i="22"/>
  <c r="C1108" i="22" s="1"/>
  <c r="U1107" i="22"/>
  <c r="AE1107" i="22" s="1"/>
  <c r="D1108" i="22" s="1"/>
  <c r="W1107" i="22" a="1"/>
  <c r="W1107" i="22" l="1"/>
  <c r="P1107" i="22" a="1"/>
  <c r="P1107" i="22" l="1"/>
  <c r="AC1107" i="22"/>
  <c r="B1108" i="22" l="1"/>
  <c r="R1107" i="22"/>
  <c r="S1107" i="22" s="1"/>
  <c r="K1107" i="22" s="1"/>
  <c r="I1108" i="22"/>
  <c r="H1108" i="22" l="1"/>
  <c r="X1107" i="22"/>
  <c r="Y1107" i="22" s="1"/>
  <c r="AG1107" i="22" l="1"/>
  <c r="F1108" i="22" l="1"/>
  <c r="AK1107" i="22"/>
  <c r="G1108" i="22" s="1"/>
  <c r="T1108" i="22" a="1"/>
  <c r="T1108" i="22" l="1"/>
  <c r="Q1108" i="22" l="1"/>
  <c r="AD1108" i="22"/>
  <c r="C1109" i="22" s="1"/>
  <c r="V1108" i="22"/>
  <c r="AF1108" i="22" s="1"/>
  <c r="E1109" i="22" s="1"/>
  <c r="U1108" i="22"/>
  <c r="AE1108" i="22" s="1"/>
  <c r="D1109" i="22" s="1"/>
  <c r="W1108" i="22" a="1"/>
  <c r="W1108" i="22" l="1"/>
  <c r="P1108" i="22" a="1"/>
  <c r="P1108" i="22" l="1"/>
  <c r="AC1108" i="22"/>
  <c r="I1109" i="22" l="1"/>
  <c r="R1108" i="22"/>
  <c r="S1108" i="22" s="1"/>
  <c r="K1108" i="22" s="1"/>
  <c r="B1109" i="22"/>
  <c r="H1109" i="22" l="1"/>
  <c r="X1108" i="22"/>
  <c r="Y1108" i="22" s="1"/>
  <c r="AG1108" i="22" l="1"/>
  <c r="F1109" i="22" l="1"/>
  <c r="AK1108" i="22"/>
  <c r="G1109" i="22" s="1"/>
  <c r="T1109" i="22" a="1"/>
  <c r="T1109" i="22" l="1"/>
  <c r="Q1109" i="22" l="1"/>
  <c r="AD1109" i="22"/>
  <c r="C1110" i="22" s="1"/>
  <c r="U1109" i="22"/>
  <c r="AE1109" i="22" s="1"/>
  <c r="D1110" i="22" s="1"/>
  <c r="V1109" i="22"/>
  <c r="AF1109" i="22" s="1"/>
  <c r="E1110" i="22" s="1"/>
  <c r="W1109" i="22" a="1"/>
  <c r="W1109" i="22" l="1"/>
  <c r="P1109" i="22" a="1"/>
  <c r="P1109" i="22" l="1"/>
  <c r="AC1109" i="22"/>
  <c r="B1110" i="22" l="1"/>
  <c r="I1110" i="22"/>
  <c r="R1109" i="22"/>
  <c r="S1109" i="22" s="1"/>
  <c r="K1109" i="22" s="1"/>
  <c r="H1110" i="22" l="1"/>
  <c r="X1109" i="22"/>
  <c r="Y1109" i="22" s="1"/>
  <c r="AG1109" i="22" l="1"/>
  <c r="F1110" i="22" l="1"/>
  <c r="AK1109" i="22"/>
  <c r="G1110" i="22" s="1"/>
  <c r="T1110" i="22" a="1"/>
  <c r="T1110" i="22" l="1"/>
  <c r="Q1110" i="22" l="1"/>
  <c r="AD1110" i="22"/>
  <c r="C1111" i="22" s="1"/>
  <c r="U1110" i="22"/>
  <c r="AE1110" i="22" s="1"/>
  <c r="D1111" i="22" s="1"/>
  <c r="V1110" i="22"/>
  <c r="AF1110" i="22" s="1"/>
  <c r="E1111" i="22" s="1"/>
  <c r="W1110" i="22" a="1"/>
  <c r="W1110" i="22" l="1"/>
  <c r="P1110" i="22" a="1"/>
  <c r="P1110" i="22" l="1"/>
  <c r="AC1110" i="22"/>
  <c r="B1111" i="22" l="1"/>
  <c r="I1111" i="22"/>
  <c r="R1110" i="22"/>
  <c r="S1110" i="22" s="1"/>
  <c r="K1110" i="22" s="1"/>
  <c r="X1110" i="22" l="1"/>
  <c r="Y1110" i="22" s="1"/>
  <c r="H1111" i="22"/>
  <c r="AG1110" i="22" l="1"/>
  <c r="F1111" i="22" l="1"/>
  <c r="AK1110" i="22"/>
  <c r="G1111" i="22" s="1"/>
  <c r="T1111" i="22" a="1"/>
  <c r="T1111" i="22" l="1"/>
  <c r="Q1111" i="22" l="1"/>
  <c r="U1111" i="22"/>
  <c r="AE1111" i="22" s="1"/>
  <c r="D1112" i="22" s="1"/>
  <c r="V1111" i="22"/>
  <c r="AF1111" i="22" s="1"/>
  <c r="E1112" i="22" s="1"/>
  <c r="AD1111" i="22"/>
  <c r="C1112" i="22" s="1"/>
  <c r="W1111" i="22" a="1"/>
  <c r="W1111" i="22" l="1"/>
  <c r="P1111" i="22" a="1"/>
  <c r="P1111" i="22" l="1"/>
  <c r="AC1111" i="22"/>
  <c r="R1111" i="22" l="1"/>
  <c r="S1111" i="22" s="1"/>
  <c r="K1111" i="22" s="1"/>
  <c r="I1112" i="22"/>
  <c r="B1112" i="22"/>
  <c r="X1111" i="22" l="1"/>
  <c r="Y1111" i="22" s="1"/>
  <c r="H1112" i="22"/>
  <c r="AG1111" i="22" l="1"/>
  <c r="F1112" i="22" l="1"/>
  <c r="AK1111" i="22"/>
  <c r="G1112" i="22" s="1"/>
  <c r="T1112" i="22" a="1"/>
  <c r="T1112" i="22" l="1"/>
  <c r="Q1112" i="22" l="1"/>
  <c r="V1112" i="22"/>
  <c r="AF1112" i="22" s="1"/>
  <c r="E1113" i="22" s="1"/>
  <c r="AD1112" i="22"/>
  <c r="C1113" i="22" s="1"/>
  <c r="U1112" i="22"/>
  <c r="AE1112" i="22" s="1"/>
  <c r="D1113" i="22" s="1"/>
  <c r="W1112" i="22" a="1"/>
  <c r="W1112" i="22" l="1"/>
  <c r="P1112" i="22" a="1"/>
  <c r="P1112" i="22" l="1"/>
  <c r="AC1112" i="22"/>
  <c r="B1113" i="22" l="1"/>
  <c r="I1113" i="22"/>
  <c r="R1112" i="22"/>
  <c r="S1112" i="22" s="1"/>
  <c r="K1112" i="22" s="1"/>
  <c r="H1113" i="22" l="1"/>
  <c r="X1112" i="22"/>
  <c r="Y1112" i="22" s="1"/>
  <c r="AG1112" i="22" l="1"/>
  <c r="F1113" i="22" l="1"/>
  <c r="AK1112" i="22"/>
  <c r="G1113" i="22" s="1"/>
  <c r="T1113" i="22" a="1"/>
  <c r="T1113" i="22" l="1"/>
  <c r="Q1113" i="22" l="1"/>
  <c r="V1113" i="22"/>
  <c r="AF1113" i="22" s="1"/>
  <c r="E1114" i="22" s="1"/>
  <c r="U1113" i="22"/>
  <c r="AE1113" i="22" s="1"/>
  <c r="D1114" i="22" s="1"/>
  <c r="AD1113" i="22"/>
  <c r="C1114" i="22" s="1"/>
  <c r="W1113" i="22" a="1"/>
  <c r="W1113" i="22" l="1"/>
  <c r="P1113" i="22" a="1"/>
  <c r="P1113" i="22" l="1"/>
  <c r="AC1113" i="22"/>
  <c r="B1114" i="22" l="1"/>
  <c r="I1114" i="22"/>
  <c r="R1113" i="22"/>
  <c r="S1113" i="22" s="1"/>
  <c r="K1113" i="22" s="1"/>
  <c r="X1113" i="22" l="1"/>
  <c r="Y1113" i="22" s="1"/>
  <c r="H1114" i="22"/>
  <c r="AG1113" i="22" l="1"/>
  <c r="F1114" i="22" l="1"/>
  <c r="AK1113" i="22"/>
  <c r="G1114" i="22" s="1"/>
  <c r="T1114" i="22" a="1"/>
  <c r="T1114" i="22" l="1"/>
  <c r="Q1114" i="22" l="1"/>
  <c r="AD1114" i="22"/>
  <c r="C1115" i="22" s="1"/>
  <c r="U1114" i="22"/>
  <c r="AE1114" i="22" s="1"/>
  <c r="D1115" i="22" s="1"/>
  <c r="V1114" i="22"/>
  <c r="AF1114" i="22" s="1"/>
  <c r="E1115" i="22" s="1"/>
  <c r="W1114" i="22" a="1"/>
  <c r="W1114" i="22" l="1"/>
  <c r="P1114" i="22" a="1"/>
  <c r="P1114" i="22" l="1"/>
  <c r="AC1114" i="22"/>
  <c r="B1115" i="22" l="1"/>
  <c r="I1115" i="22"/>
  <c r="R1114" i="22"/>
  <c r="S1114" i="22" s="1"/>
  <c r="K1114" i="22" s="1"/>
  <c r="H1115" i="22" l="1"/>
  <c r="X1114" i="22"/>
  <c r="Y1114" i="22" s="1"/>
  <c r="AG1114" i="22" l="1"/>
  <c r="F1115" i="22" s="1"/>
  <c r="AK1114" i="22" l="1"/>
  <c r="G1115" i="22" s="1"/>
  <c r="T1115" i="22" a="1"/>
  <c r="T1115" i="22" l="1"/>
  <c r="AD1115" i="22" s="1"/>
  <c r="C1116" i="22" s="1"/>
  <c r="Q1115" i="22"/>
  <c r="U1115" i="22"/>
  <c r="AE1115" i="22" s="1"/>
  <c r="D1116" i="22" s="1"/>
  <c r="V1115" i="22"/>
  <c r="AF1115" i="22" s="1"/>
  <c r="E1116" i="22" s="1"/>
  <c r="W1115" i="22" a="1"/>
  <c r="W1115" i="22" l="1"/>
  <c r="P1115" i="22" a="1"/>
  <c r="P1115" i="22" l="1"/>
  <c r="AC1115" i="22"/>
  <c r="B1116" i="22" l="1"/>
  <c r="R1115" i="22"/>
  <c r="S1115" i="22" s="1"/>
  <c r="K1115" i="22" s="1"/>
  <c r="I1116" i="22"/>
  <c r="X1115" i="22" l="1"/>
  <c r="Y1115" i="22" s="1"/>
  <c r="H1116" i="22"/>
  <c r="AG1115" i="22" l="1"/>
  <c r="F1116" i="22" l="1"/>
  <c r="AK1115" i="22"/>
  <c r="G1116" i="22" s="1"/>
  <c r="T1116" i="22" a="1"/>
  <c r="T1116" i="22" l="1"/>
  <c r="Q1116" i="22" l="1"/>
  <c r="V1116" i="22"/>
  <c r="AF1116" i="22" s="1"/>
  <c r="E1117" i="22" s="1"/>
  <c r="U1116" i="22"/>
  <c r="AE1116" i="22" s="1"/>
  <c r="D1117" i="22" s="1"/>
  <c r="AD1116" i="22"/>
  <c r="C1117" i="22" s="1"/>
  <c r="W1116" i="22" a="1"/>
  <c r="W1116" i="22" l="1"/>
  <c r="P1116" i="22" a="1"/>
  <c r="P1116" i="22" l="1"/>
  <c r="AC1116" i="22"/>
  <c r="B1117" i="22" l="1"/>
  <c r="I1117" i="22"/>
  <c r="R1116" i="22"/>
  <c r="S1116" i="22" s="1"/>
  <c r="K1116" i="22" s="1"/>
  <c r="X1116" i="22" l="1"/>
  <c r="Y1116" i="22" s="1"/>
  <c r="H1117" i="22"/>
  <c r="AG1116" i="22" l="1"/>
  <c r="F1117" i="22" l="1"/>
  <c r="AK1116" i="22"/>
  <c r="G1117" i="22" s="1"/>
  <c r="T1117" i="22" a="1"/>
  <c r="T1117" i="22" l="1"/>
  <c r="Q1117" i="22" l="1"/>
  <c r="V1117" i="22"/>
  <c r="AF1117" i="22" s="1"/>
  <c r="E1118" i="22" s="1"/>
  <c r="AD1117" i="22"/>
  <c r="C1118" i="22" s="1"/>
  <c r="U1117" i="22"/>
  <c r="AE1117" i="22" s="1"/>
  <c r="D1118" i="22" s="1"/>
  <c r="W1117" i="22" a="1"/>
  <c r="W1117" i="22" l="1"/>
  <c r="P1117" i="22" a="1"/>
  <c r="P1117" i="22" l="1"/>
  <c r="AC1117" i="22"/>
  <c r="B1118" i="22" l="1"/>
  <c r="R1117" i="22"/>
  <c r="S1117" i="22" s="1"/>
  <c r="K1117" i="22" s="1"/>
  <c r="I1118" i="22"/>
  <c r="H1118" i="22" l="1"/>
  <c r="X1117" i="22"/>
  <c r="Y1117" i="22" s="1"/>
  <c r="AG1117" i="22" l="1"/>
  <c r="F1118" i="22" l="1"/>
  <c r="AK1117" i="22"/>
  <c r="G1118" i="22" s="1"/>
  <c r="T1118" i="22" a="1"/>
  <c r="T1118" i="22" l="1"/>
  <c r="Q1118" i="22" l="1"/>
  <c r="U1118" i="22"/>
  <c r="AE1118" i="22" s="1"/>
  <c r="D1119" i="22" s="1"/>
  <c r="V1118" i="22"/>
  <c r="AF1118" i="22" s="1"/>
  <c r="E1119" i="22" s="1"/>
  <c r="AD1118" i="22"/>
  <c r="C1119" i="22" s="1"/>
  <c r="W1118" i="22" a="1"/>
  <c r="W1118" i="22" l="1"/>
  <c r="P1118" i="22" a="1"/>
  <c r="P1118" i="22" l="1"/>
  <c r="AC1118" i="22"/>
  <c r="B1119" i="22" l="1"/>
  <c r="R1118" i="22"/>
  <c r="S1118" i="22" s="1"/>
  <c r="K1118" i="22" s="1"/>
  <c r="I1119" i="22"/>
  <c r="X1118" i="22" l="1"/>
  <c r="Y1118" i="22" s="1"/>
  <c r="H1119" i="22"/>
  <c r="AG1118" i="22" l="1"/>
  <c r="F1119" i="22" l="1"/>
  <c r="AK1118" i="22"/>
  <c r="G1119" i="22" s="1"/>
  <c r="T1119" i="22" a="1"/>
  <c r="T1119" i="22" l="1"/>
  <c r="Q1119" i="22" l="1"/>
  <c r="U1119" i="22"/>
  <c r="AE1119" i="22" s="1"/>
  <c r="D1120" i="22" s="1"/>
  <c r="AD1119" i="22"/>
  <c r="C1120" i="22" s="1"/>
  <c r="V1119" i="22"/>
  <c r="AF1119" i="22" s="1"/>
  <c r="E1120" i="22" s="1"/>
  <c r="W1119" i="22" a="1"/>
  <c r="W1119" i="22" l="1"/>
  <c r="P1119" i="22" a="1"/>
  <c r="P1119" i="22" l="1"/>
  <c r="AC1119" i="22"/>
  <c r="B1120" i="22" l="1"/>
  <c r="R1119" i="22"/>
  <c r="S1119" i="22" s="1"/>
  <c r="K1119" i="22" s="1"/>
  <c r="I1120" i="22"/>
  <c r="H1120" i="22" l="1"/>
  <c r="X1119" i="22"/>
  <c r="Y1119" i="22" s="1"/>
  <c r="AG1119" i="22" l="1"/>
  <c r="F1120" i="22" l="1"/>
  <c r="AK1119" i="22"/>
  <c r="G1120" i="22" s="1"/>
  <c r="T1120" i="22" a="1"/>
  <c r="T1120" i="22" l="1"/>
  <c r="Q1120" i="22" l="1"/>
  <c r="V1120" i="22"/>
  <c r="AF1120" i="22" s="1"/>
  <c r="E1121" i="22" s="1"/>
  <c r="U1120" i="22"/>
  <c r="AE1120" i="22" s="1"/>
  <c r="D1121" i="22" s="1"/>
  <c r="AD1120" i="22"/>
  <c r="C1121" i="22" s="1"/>
  <c r="W1120" i="22" a="1"/>
  <c r="W1120" i="22" l="1"/>
  <c r="P1120" i="22" a="1"/>
  <c r="P1120" i="22" l="1"/>
  <c r="AC1120" i="22"/>
  <c r="B1121" i="22" l="1"/>
  <c r="I1121" i="22"/>
  <c r="R1120" i="22"/>
  <c r="S1120" i="22" s="1"/>
  <c r="K1120" i="22" s="1"/>
  <c r="X1120" i="22" l="1"/>
  <c r="Y1120" i="22" s="1"/>
  <c r="H1121" i="22"/>
  <c r="AG1120" i="22" l="1"/>
  <c r="AK1120" i="22" s="1"/>
  <c r="G1121" i="22" s="1"/>
  <c r="T1121" i="22" a="1"/>
  <c r="F1121" i="22" l="1"/>
  <c r="T1121" i="22"/>
  <c r="Q1121" i="22" l="1"/>
  <c r="AD1121" i="22"/>
  <c r="C1122" i="22" s="1"/>
  <c r="V1121" i="22"/>
  <c r="AF1121" i="22" s="1"/>
  <c r="E1122" i="22" s="1"/>
  <c r="U1121" i="22"/>
  <c r="AE1121" i="22" s="1"/>
  <c r="D1122" i="22" s="1"/>
  <c r="W1121" i="22" a="1"/>
  <c r="W1121" i="22" l="1"/>
  <c r="P1121" i="22" a="1"/>
  <c r="P1121" i="22" l="1"/>
  <c r="AC1121" i="22"/>
  <c r="B1122" i="22" l="1"/>
  <c r="I1122" i="22"/>
  <c r="R1121" i="22"/>
  <c r="S1121" i="22" s="1"/>
  <c r="K1121" i="22" s="1"/>
  <c r="X1121" i="22" l="1"/>
  <c r="Y1121" i="22" s="1"/>
  <c r="H1122" i="22"/>
  <c r="AG1121" i="22" l="1"/>
  <c r="F1122" i="22" l="1"/>
  <c r="AK1121" i="22"/>
  <c r="G1122" i="22" s="1"/>
  <c r="T1122" i="22" a="1"/>
  <c r="T1122" i="22" l="1"/>
  <c r="Q1122" i="22" l="1"/>
  <c r="AD1122" i="22"/>
  <c r="C1123" i="22" s="1"/>
  <c r="U1122" i="22"/>
  <c r="AE1122" i="22" s="1"/>
  <c r="D1123" i="22" s="1"/>
  <c r="V1122" i="22"/>
  <c r="AF1122" i="22" s="1"/>
  <c r="E1123" i="22" s="1"/>
  <c r="W1122" i="22" a="1"/>
  <c r="W1122" i="22" l="1"/>
  <c r="P1122" i="22" a="1"/>
  <c r="P1122" i="22" l="1"/>
  <c r="AC1122" i="22"/>
  <c r="B1123" i="22" l="1"/>
  <c r="I1123" i="22"/>
  <c r="H1123" i="22" s="1"/>
  <c r="R1122" i="22"/>
  <c r="S1122" i="22" s="1"/>
  <c r="K1122" i="22" s="1"/>
  <c r="X1122" i="22" l="1"/>
  <c r="Y1122" i="22" s="1"/>
  <c r="AG1122" i="22" l="1"/>
  <c r="F1123" i="22" l="1"/>
  <c r="AK1122" i="22"/>
  <c r="G1123" i="22" s="1"/>
  <c r="T1123" i="22" a="1"/>
  <c r="T1123" i="22" l="1"/>
  <c r="Q1123" i="22" l="1"/>
  <c r="AD1123" i="22"/>
  <c r="C1124" i="22" s="1"/>
  <c r="V1123" i="22"/>
  <c r="AF1123" i="22" s="1"/>
  <c r="E1124" i="22" s="1"/>
  <c r="U1123" i="22"/>
  <c r="AE1123" i="22" s="1"/>
  <c r="D1124" i="22" s="1"/>
  <c r="W1123" i="22" a="1"/>
  <c r="W1123" i="22" l="1"/>
  <c r="P1123" i="22" a="1"/>
  <c r="P1123" i="22" l="1"/>
  <c r="AC1123" i="22"/>
  <c r="B1124" i="22" l="1"/>
  <c r="I1124" i="22"/>
  <c r="R1123" i="22"/>
  <c r="S1123" i="22" s="1"/>
  <c r="K1123" i="22" s="1"/>
  <c r="H1124" i="22" l="1"/>
  <c r="X1123" i="22"/>
  <c r="Y1123" i="22" s="1"/>
  <c r="AG1123" i="22" l="1"/>
  <c r="F1124" i="22" l="1"/>
  <c r="AK1123" i="22"/>
  <c r="G1124" i="22" s="1"/>
  <c r="T1124" i="22" a="1"/>
  <c r="T1124" i="22" l="1"/>
  <c r="Q1124" i="22" l="1"/>
  <c r="V1124" i="22"/>
  <c r="AF1124" i="22" s="1"/>
  <c r="E1125" i="22" s="1"/>
  <c r="AD1124" i="22"/>
  <c r="C1125" i="22" s="1"/>
  <c r="U1124" i="22"/>
  <c r="AE1124" i="22" s="1"/>
  <c r="D1125" i="22" s="1"/>
  <c r="W1124" i="22" a="1"/>
  <c r="W1124" i="22" l="1"/>
  <c r="P1124" i="22" a="1"/>
  <c r="P1124" i="22" l="1"/>
  <c r="AC1124" i="22"/>
  <c r="B1125" i="22" l="1"/>
  <c r="I1125" i="22"/>
  <c r="R1124" i="22"/>
  <c r="S1124" i="22" s="1"/>
  <c r="K1124" i="22" s="1"/>
  <c r="X1124" i="22" l="1"/>
  <c r="Y1124" i="22" s="1"/>
  <c r="H1125" i="22"/>
  <c r="AG1124" i="22" l="1"/>
  <c r="F1125" i="22" l="1"/>
  <c r="AK1124" i="22"/>
  <c r="G1125" i="22" s="1"/>
  <c r="T1125" i="22" a="1"/>
  <c r="T1125" i="22" l="1"/>
  <c r="Q1125" i="22" l="1"/>
  <c r="V1125" i="22"/>
  <c r="AF1125" i="22" s="1"/>
  <c r="E1126" i="22" s="1"/>
  <c r="AD1125" i="22"/>
  <c r="C1126" i="22" s="1"/>
  <c r="U1125" i="22"/>
  <c r="AE1125" i="22" s="1"/>
  <c r="D1126" i="22" s="1"/>
  <c r="W1125" i="22" a="1"/>
  <c r="W1125" i="22" l="1"/>
  <c r="P1125" i="22" a="1"/>
  <c r="P1125" i="22" l="1"/>
  <c r="AC1125" i="22"/>
  <c r="B1126" i="22" l="1"/>
  <c r="R1125" i="22"/>
  <c r="S1125" i="22" s="1"/>
  <c r="K1125" i="22" s="1"/>
  <c r="I1126" i="22"/>
  <c r="X1125" i="22" l="1"/>
  <c r="Y1125" i="22" s="1"/>
  <c r="H1126" i="22"/>
  <c r="AG1125" i="22" l="1"/>
  <c r="F1126" i="22" l="1"/>
  <c r="AK1125" i="22"/>
  <c r="G1126" i="22" s="1"/>
  <c r="T1126" i="22" a="1"/>
  <c r="T1126" i="22" l="1"/>
  <c r="Q1126" i="22" l="1"/>
  <c r="V1126" i="22"/>
  <c r="AF1126" i="22" s="1"/>
  <c r="E1127" i="22" s="1"/>
  <c r="AD1126" i="22"/>
  <c r="C1127" i="22" s="1"/>
  <c r="U1126" i="22"/>
  <c r="AE1126" i="22" s="1"/>
  <c r="D1127" i="22" s="1"/>
  <c r="W1126" i="22" a="1"/>
  <c r="W1126" i="22" l="1"/>
  <c r="P1126" i="22" a="1"/>
  <c r="P1126" i="22" l="1"/>
  <c r="AC1126" i="22"/>
  <c r="B1127" i="22" l="1"/>
  <c r="R1126" i="22"/>
  <c r="S1126" i="22" s="1"/>
  <c r="K1126" i="22" s="1"/>
  <c r="I1127" i="22"/>
  <c r="X1126" i="22" l="1"/>
  <c r="Y1126" i="22" s="1"/>
  <c r="H1127" i="22"/>
  <c r="AG1126" i="22" l="1"/>
  <c r="F1127" i="22" l="1"/>
  <c r="AK1126" i="22"/>
  <c r="G1127" i="22" s="1"/>
  <c r="T1127" i="22" a="1"/>
  <c r="T1127" i="22" l="1"/>
  <c r="Q1127" i="22" l="1"/>
  <c r="U1127" i="22"/>
  <c r="AE1127" i="22" s="1"/>
  <c r="D1128" i="22" s="1"/>
  <c r="AD1127" i="22"/>
  <c r="C1128" i="22" s="1"/>
  <c r="V1127" i="22"/>
  <c r="AF1127" i="22" s="1"/>
  <c r="E1128" i="22" s="1"/>
  <c r="W1127" i="22" a="1"/>
  <c r="W1127" i="22" l="1"/>
  <c r="P1127" i="22" a="1"/>
  <c r="P1127" i="22" l="1"/>
  <c r="AC1127" i="22"/>
  <c r="B1128" i="22" l="1"/>
  <c r="R1127" i="22"/>
  <c r="S1127" i="22" s="1"/>
  <c r="K1127" i="22" s="1"/>
  <c r="I1128" i="22"/>
  <c r="X1127" i="22" l="1"/>
  <c r="Y1127" i="22" s="1"/>
  <c r="H1128" i="22"/>
  <c r="AG1127" i="22" l="1"/>
  <c r="F1128" i="22" l="1"/>
  <c r="AK1127" i="22"/>
  <c r="G1128" i="22" s="1"/>
  <c r="T1128" i="22" a="1"/>
  <c r="T1128" i="22" l="1"/>
  <c r="Q1128" i="22" l="1"/>
  <c r="V1128" i="22"/>
  <c r="AF1128" i="22" s="1"/>
  <c r="E1129" i="22" s="1"/>
  <c r="AD1128" i="22"/>
  <c r="C1129" i="22" s="1"/>
  <c r="U1128" i="22"/>
  <c r="AE1128" i="22" s="1"/>
  <c r="D1129" i="22" s="1"/>
  <c r="W1128" i="22" a="1"/>
  <c r="W1128" i="22" l="1"/>
  <c r="P1128" i="22" a="1"/>
  <c r="P1128" i="22" l="1"/>
  <c r="AC1128" i="22"/>
  <c r="B1129" i="22" l="1"/>
  <c r="R1128" i="22"/>
  <c r="S1128" i="22" s="1"/>
  <c r="K1128" i="22" s="1"/>
  <c r="I1129" i="22"/>
  <c r="X1128" i="22" l="1"/>
  <c r="Y1128" i="22" s="1"/>
  <c r="H1129" i="22"/>
  <c r="AG1128" i="22" l="1"/>
  <c r="F1129" i="22" l="1"/>
  <c r="AK1128" i="22"/>
  <c r="G1129" i="22" s="1"/>
  <c r="T1129" i="22" a="1"/>
  <c r="T1129" i="22" l="1"/>
  <c r="Q1129" i="22" l="1"/>
  <c r="U1129" i="22"/>
  <c r="AE1129" i="22" s="1"/>
  <c r="D1130" i="22" s="1"/>
  <c r="V1129" i="22"/>
  <c r="AF1129" i="22" s="1"/>
  <c r="E1130" i="22" s="1"/>
  <c r="AD1129" i="22"/>
  <c r="C1130" i="22" s="1"/>
  <c r="W1129" i="22" a="1"/>
  <c r="W1129" i="22" l="1"/>
  <c r="P1129" i="22" a="1"/>
  <c r="P1129" i="22" l="1"/>
  <c r="AC1129" i="22"/>
  <c r="B1130" i="22" l="1"/>
  <c r="R1129" i="22"/>
  <c r="S1129" i="22" s="1"/>
  <c r="K1129" i="22" s="1"/>
  <c r="I1130" i="22"/>
  <c r="H1130" i="22" s="1"/>
  <c r="X1129" i="22" l="1"/>
  <c r="Y1129" i="22" s="1"/>
  <c r="AG1129" i="22" l="1"/>
  <c r="F1130" i="22" l="1"/>
  <c r="AK1129" i="22"/>
  <c r="G1130" i="22" s="1"/>
  <c r="T1130" i="22" a="1"/>
  <c r="T1130" i="22" l="1"/>
  <c r="Q1130" i="22" l="1"/>
  <c r="AD1130" i="22"/>
  <c r="C1131" i="22" s="1"/>
  <c r="V1130" i="22"/>
  <c r="AF1130" i="22" s="1"/>
  <c r="E1131" i="22" s="1"/>
  <c r="U1130" i="22"/>
  <c r="AE1130" i="22" s="1"/>
  <c r="D1131" i="22" s="1"/>
  <c r="W1130" i="22" a="1"/>
  <c r="W1130" i="22" l="1"/>
  <c r="P1130" i="22" a="1"/>
  <c r="P1130" i="22" l="1"/>
  <c r="AC1130" i="22"/>
  <c r="R1130" i="22" l="1"/>
  <c r="S1130" i="22" s="1"/>
  <c r="K1130" i="22" s="1"/>
  <c r="I1131" i="22"/>
  <c r="H1131" i="22" s="1"/>
  <c r="B1131" i="22"/>
  <c r="X1130" i="22" l="1"/>
  <c r="Y1130" i="22" s="1"/>
  <c r="AG1130" i="22" l="1"/>
  <c r="F1131" i="22" l="1"/>
  <c r="AK1130" i="22"/>
  <c r="G1131" i="22" s="1"/>
  <c r="T1131" i="22" a="1"/>
  <c r="T1131" i="22" l="1"/>
  <c r="Q1131" i="22" l="1"/>
  <c r="AD1131" i="22"/>
  <c r="C1132" i="22" s="1"/>
  <c r="V1131" i="22"/>
  <c r="AF1131" i="22" s="1"/>
  <c r="E1132" i="22" s="1"/>
  <c r="U1131" i="22"/>
  <c r="AE1131" i="22" s="1"/>
  <c r="D1132" i="22" s="1"/>
  <c r="W1131" i="22" a="1"/>
  <c r="W1131" i="22" l="1"/>
  <c r="P1131" i="22" a="1"/>
  <c r="P1131" i="22" l="1"/>
  <c r="AC1131" i="22"/>
  <c r="B1132" i="22" l="1"/>
  <c r="I1132" i="22"/>
  <c r="R1131" i="22"/>
  <c r="S1131" i="22" s="1"/>
  <c r="K1131" i="22" s="1"/>
  <c r="X1131" i="22" l="1"/>
  <c r="Y1131" i="22" s="1"/>
  <c r="H1132" i="22"/>
  <c r="AG1131" i="22" l="1"/>
  <c r="AK1131" i="22" s="1"/>
  <c r="G1132" i="22" s="1"/>
  <c r="T1132" i="22" a="1"/>
  <c r="F1132" i="22" l="1"/>
  <c r="T1132" i="22"/>
  <c r="Q1132" i="22" l="1"/>
  <c r="AD1132" i="22"/>
  <c r="C1133" i="22" s="1"/>
  <c r="V1132" i="22"/>
  <c r="AF1132" i="22" s="1"/>
  <c r="E1133" i="22" s="1"/>
  <c r="U1132" i="22"/>
  <c r="AE1132" i="22" s="1"/>
  <c r="D1133" i="22" s="1"/>
  <c r="W1132" i="22" a="1"/>
  <c r="W1132" i="22" l="1"/>
  <c r="P1132" i="22" a="1"/>
  <c r="P1132" i="22" l="1"/>
  <c r="AC1132" i="22"/>
  <c r="B1133" i="22" l="1"/>
  <c r="R1132" i="22"/>
  <c r="S1132" i="22" s="1"/>
  <c r="K1132" i="22" s="1"/>
  <c r="I1133" i="22"/>
  <c r="H1133" i="22" l="1"/>
  <c r="X1132" i="22"/>
  <c r="Y1132" i="22" s="1"/>
  <c r="AG1132" i="22" l="1"/>
  <c r="AK1132" i="22" s="1"/>
  <c r="G1133" i="22" s="1"/>
  <c r="T1133" i="22" a="1"/>
  <c r="F1133" i="22" l="1"/>
  <c r="T1133" i="22"/>
  <c r="Q1133" i="22" l="1"/>
  <c r="AD1133" i="22"/>
  <c r="C1134" i="22" s="1"/>
  <c r="U1133" i="22"/>
  <c r="AE1133" i="22" s="1"/>
  <c r="D1134" i="22" s="1"/>
  <c r="V1133" i="22"/>
  <c r="AF1133" i="22" s="1"/>
  <c r="E1134" i="22" s="1"/>
  <c r="W1133" i="22" a="1"/>
  <c r="W1133" i="22" l="1"/>
  <c r="P1133" i="22" a="1"/>
  <c r="P1133" i="22" l="1"/>
  <c r="AC1133" i="22"/>
  <c r="B1134" i="22" l="1"/>
  <c r="R1133" i="22"/>
  <c r="S1133" i="22" s="1"/>
  <c r="K1133" i="22" s="1"/>
  <c r="I1134" i="22"/>
  <c r="X1133" i="22" l="1"/>
  <c r="Y1133" i="22" s="1"/>
  <c r="H1134" i="22"/>
  <c r="AG1133" i="22" l="1"/>
  <c r="F1134" i="22" l="1"/>
  <c r="AK1133" i="22"/>
  <c r="G1134" i="22" s="1"/>
  <c r="T1134" i="22" a="1"/>
  <c r="T1134" i="22" l="1"/>
  <c r="Q1134" i="22" l="1"/>
  <c r="U1134" i="22"/>
  <c r="AE1134" i="22" s="1"/>
  <c r="D1135" i="22" s="1"/>
  <c r="AD1134" i="22"/>
  <c r="C1135" i="22" s="1"/>
  <c r="V1134" i="22"/>
  <c r="AF1134" i="22" s="1"/>
  <c r="E1135" i="22" s="1"/>
  <c r="W1134" i="22" a="1"/>
  <c r="W1134" i="22" l="1"/>
  <c r="P1134" i="22" a="1"/>
  <c r="P1134" i="22" l="1"/>
  <c r="AC1134" i="22"/>
  <c r="B1135" i="22" l="1"/>
  <c r="R1134" i="22"/>
  <c r="S1134" i="22" s="1"/>
  <c r="K1134" i="22" s="1"/>
  <c r="I1135" i="22"/>
  <c r="X1134" i="22" l="1"/>
  <c r="Y1134" i="22" s="1"/>
  <c r="H1135" i="22"/>
  <c r="AG1134" i="22" l="1"/>
  <c r="F1135" i="22" l="1"/>
  <c r="AK1134" i="22"/>
  <c r="G1135" i="22" s="1"/>
  <c r="T1135" i="22" a="1"/>
  <c r="T1135" i="22" l="1"/>
  <c r="Q1135" i="22" l="1"/>
  <c r="V1135" i="22"/>
  <c r="AF1135" i="22" s="1"/>
  <c r="E1136" i="22" s="1"/>
  <c r="AD1135" i="22"/>
  <c r="C1136" i="22" s="1"/>
  <c r="U1135" i="22"/>
  <c r="AE1135" i="22" s="1"/>
  <c r="D1136" i="22" s="1"/>
  <c r="W1135" i="22" a="1"/>
  <c r="W1135" i="22" l="1"/>
  <c r="P1135" i="22" a="1"/>
  <c r="P1135" i="22" l="1"/>
  <c r="AC1135" i="22"/>
  <c r="B1136" i="22" l="1"/>
  <c r="I1136" i="22"/>
  <c r="H1136" i="22" s="1"/>
  <c r="R1135" i="22"/>
  <c r="S1135" i="22" s="1"/>
  <c r="K1135" i="22" s="1"/>
  <c r="X1135" i="22" l="1"/>
  <c r="Y1135" i="22" s="1"/>
  <c r="AG1135" i="22" l="1"/>
  <c r="F1136" i="22" s="1"/>
  <c r="AK1135" i="22" l="1"/>
  <c r="G1136" i="22" s="1"/>
  <c r="T1136" i="22" a="1"/>
  <c r="T1136" i="22" l="1"/>
  <c r="Q1136" i="22"/>
  <c r="AD1136" i="22"/>
  <c r="C1137" i="22" s="1"/>
  <c r="U1136" i="22"/>
  <c r="AE1136" i="22" s="1"/>
  <c r="D1137" i="22" s="1"/>
  <c r="V1136" i="22"/>
  <c r="AF1136" i="22" s="1"/>
  <c r="E1137" i="22" s="1"/>
  <c r="W1136" i="22" a="1"/>
  <c r="W1136" i="22" l="1"/>
  <c r="P1136" i="22" a="1"/>
  <c r="P1136" i="22" l="1"/>
  <c r="AC1136" i="22"/>
  <c r="B1137" i="22" l="1"/>
  <c r="I1137" i="22"/>
  <c r="H1137" i="22" s="1"/>
  <c r="R1136" i="22"/>
  <c r="S1136" i="22" s="1"/>
  <c r="K1136" i="22" s="1"/>
  <c r="X1136" i="22" l="1"/>
  <c r="Y1136" i="22" s="1"/>
  <c r="AG1136" i="22" l="1"/>
  <c r="F1137" i="22" l="1"/>
  <c r="AK1136" i="22"/>
  <c r="G1137" i="22" s="1"/>
  <c r="T1137" i="22" a="1"/>
  <c r="T1137" i="22" l="1"/>
  <c r="Q1137" i="22" l="1"/>
  <c r="AD1137" i="22"/>
  <c r="C1138" i="22" s="1"/>
  <c r="U1137" i="22"/>
  <c r="AE1137" i="22" s="1"/>
  <c r="D1138" i="22" s="1"/>
  <c r="V1137" i="22"/>
  <c r="AF1137" i="22" s="1"/>
  <c r="E1138" i="22" s="1"/>
  <c r="W1137" i="22" a="1"/>
  <c r="W1137" i="22" l="1"/>
  <c r="P1137" i="22" a="1"/>
  <c r="P1137" i="22" l="1"/>
  <c r="AC1137" i="22"/>
  <c r="B1138" i="22" l="1"/>
  <c r="R1137" i="22"/>
  <c r="S1137" i="22" s="1"/>
  <c r="K1137" i="22" s="1"/>
  <c r="I1138" i="22"/>
  <c r="X1137" i="22" l="1"/>
  <c r="Y1137" i="22" s="1"/>
  <c r="H1138" i="22"/>
  <c r="AG1137" i="22" l="1"/>
  <c r="AK1137" i="22" s="1"/>
  <c r="G1138" i="22" s="1"/>
  <c r="T1138" i="22" a="1"/>
  <c r="F1138" i="22" l="1"/>
  <c r="T1138" i="22"/>
  <c r="Q1138" i="22" l="1"/>
  <c r="V1138" i="22"/>
  <c r="AF1138" i="22" s="1"/>
  <c r="E1139" i="22" s="1"/>
  <c r="U1138" i="22"/>
  <c r="AE1138" i="22" s="1"/>
  <c r="D1139" i="22" s="1"/>
  <c r="AD1138" i="22"/>
  <c r="C1139" i="22" s="1"/>
  <c r="W1138" i="22" a="1"/>
  <c r="W1138" i="22" l="1"/>
  <c r="P1138" i="22" a="1"/>
  <c r="P1138" i="22" l="1"/>
  <c r="AC1138" i="22"/>
  <c r="B1139" i="22" l="1"/>
  <c r="I1139" i="22"/>
  <c r="R1138" i="22"/>
  <c r="S1138" i="22" s="1"/>
  <c r="K1138" i="22" s="1"/>
  <c r="X1138" i="22" l="1"/>
  <c r="Y1138" i="22" s="1"/>
  <c r="H1139" i="22"/>
  <c r="AG1138" i="22" l="1"/>
  <c r="F1139" i="22" l="1"/>
  <c r="AK1138" i="22"/>
  <c r="G1139" i="22" s="1"/>
  <c r="T1139" i="22" a="1"/>
  <c r="T1139" i="22" l="1"/>
  <c r="Q1139" i="22" l="1"/>
  <c r="AD1139" i="22"/>
  <c r="C1140" i="22" s="1"/>
  <c r="V1139" i="22"/>
  <c r="AF1139" i="22" s="1"/>
  <c r="E1140" i="22" s="1"/>
  <c r="U1139" i="22"/>
  <c r="AE1139" i="22" s="1"/>
  <c r="D1140" i="22" s="1"/>
  <c r="W1139" i="22" a="1"/>
  <c r="W1139" i="22" l="1"/>
  <c r="P1139" i="22" a="1"/>
  <c r="P1139" i="22" l="1"/>
  <c r="AC1139" i="22"/>
  <c r="I1140" i="22" l="1"/>
  <c r="R1139" i="22"/>
  <c r="S1139" i="22" s="1"/>
  <c r="K1139" i="22" s="1"/>
  <c r="B1140" i="22"/>
  <c r="H1140" i="22" l="1"/>
  <c r="X1139" i="22"/>
  <c r="Y1139" i="22" s="1"/>
  <c r="AG1139" i="22" l="1"/>
  <c r="F1140" i="22" l="1"/>
  <c r="AK1139" i="22"/>
  <c r="G1140" i="22" s="1"/>
  <c r="T1140" i="22" a="1"/>
  <c r="T1140" i="22" l="1"/>
  <c r="Q1140" i="22" l="1"/>
  <c r="AD1140" i="22"/>
  <c r="C1141" i="22" s="1"/>
  <c r="U1140" i="22"/>
  <c r="AE1140" i="22" s="1"/>
  <c r="D1141" i="22" s="1"/>
  <c r="V1140" i="22"/>
  <c r="AF1140" i="22" s="1"/>
  <c r="E1141" i="22" s="1"/>
  <c r="W1140" i="22" a="1"/>
  <c r="W1140" i="22" l="1"/>
  <c r="P1140" i="22" a="1"/>
  <c r="P1140" i="22" l="1"/>
  <c r="AC1140" i="22"/>
  <c r="I1141" i="22" l="1"/>
  <c r="R1140" i="22"/>
  <c r="S1140" i="22" s="1"/>
  <c r="K1140" i="22" s="1"/>
  <c r="B1141" i="22"/>
  <c r="H1141" i="22" l="1"/>
  <c r="X1140" i="22"/>
  <c r="Y1140" i="22" s="1"/>
  <c r="AG1140" i="22" l="1"/>
  <c r="F1141" i="22" l="1"/>
  <c r="AK1140" i="22"/>
  <c r="G1141" i="22" s="1"/>
  <c r="T1141" i="22" a="1"/>
  <c r="T1141" i="22" l="1"/>
  <c r="Q1141" i="22" l="1"/>
  <c r="V1141" i="22"/>
  <c r="AF1141" i="22" s="1"/>
  <c r="E1142" i="22" s="1"/>
  <c r="AD1141" i="22"/>
  <c r="C1142" i="22" s="1"/>
  <c r="U1141" i="22"/>
  <c r="AE1141" i="22" s="1"/>
  <c r="D1142" i="22" s="1"/>
  <c r="W1141" i="22" a="1"/>
  <c r="W1141" i="22" l="1"/>
  <c r="P1141" i="22" a="1"/>
  <c r="P1141" i="22" l="1"/>
  <c r="AC1141" i="22"/>
  <c r="B1142" i="22" l="1"/>
  <c r="I1142" i="22"/>
  <c r="R1141" i="22"/>
  <c r="S1141" i="22" s="1"/>
  <c r="K1141" i="22" s="1"/>
  <c r="X1141" i="22" l="1"/>
  <c r="Y1141" i="22" s="1"/>
  <c r="H1142" i="22"/>
  <c r="AG1141" i="22" l="1"/>
  <c r="F1142" i="22" l="1"/>
  <c r="AK1141" i="22"/>
  <c r="G1142" i="22" s="1"/>
  <c r="T1142" i="22" a="1"/>
  <c r="T1142" i="22" l="1"/>
  <c r="Q1142" i="22" l="1"/>
  <c r="U1142" i="22"/>
  <c r="AE1142" i="22" s="1"/>
  <c r="D1143" i="22" s="1"/>
  <c r="V1142" i="22"/>
  <c r="AF1142" i="22" s="1"/>
  <c r="E1143" i="22" s="1"/>
  <c r="AD1142" i="22"/>
  <c r="C1143" i="22" s="1"/>
  <c r="W1142" i="22" a="1"/>
  <c r="W1142" i="22" l="1"/>
  <c r="P1142" i="22" a="1"/>
  <c r="P1142" i="22" l="1"/>
  <c r="AC1142" i="22"/>
  <c r="R1142" i="22" l="1"/>
  <c r="S1142" i="22" s="1"/>
  <c r="K1142" i="22" s="1"/>
  <c r="I1143" i="22"/>
  <c r="B1143" i="22"/>
  <c r="H1143" i="22" l="1"/>
  <c r="X1142" i="22"/>
  <c r="Y1142" i="22" s="1"/>
  <c r="AG1142" i="22" l="1"/>
  <c r="F1143" i="22" l="1"/>
  <c r="AK1142" i="22"/>
  <c r="G1143" i="22" s="1"/>
  <c r="T1143" i="22" a="1"/>
  <c r="T1143" i="22" l="1"/>
  <c r="Q1143" i="22" l="1"/>
  <c r="U1143" i="22"/>
  <c r="AE1143" i="22" s="1"/>
  <c r="D1144" i="22" s="1"/>
  <c r="V1143" i="22"/>
  <c r="AF1143" i="22" s="1"/>
  <c r="E1144" i="22" s="1"/>
  <c r="AD1143" i="22"/>
  <c r="C1144" i="22" s="1"/>
  <c r="W1143" i="22" a="1"/>
  <c r="W1143" i="22" l="1"/>
  <c r="P1143" i="22" a="1"/>
  <c r="P1143" i="22" l="1"/>
  <c r="AC1143" i="22"/>
  <c r="I1144" i="22" l="1"/>
  <c r="R1143" i="22"/>
  <c r="S1143" i="22" s="1"/>
  <c r="K1143" i="22" s="1"/>
  <c r="B1144" i="22"/>
  <c r="H1144" i="22" l="1"/>
  <c r="X1143" i="22"/>
  <c r="Y1143" i="22" s="1"/>
  <c r="AG1143" i="22" l="1"/>
  <c r="F1144" i="22" l="1"/>
  <c r="AK1143" i="22"/>
  <c r="G1144" i="22" s="1"/>
  <c r="T1144" i="22" a="1"/>
  <c r="T1144" i="22" l="1"/>
  <c r="Q1144" i="22" l="1"/>
  <c r="V1144" i="22"/>
  <c r="AF1144" i="22" s="1"/>
  <c r="E1145" i="22" s="1"/>
  <c r="AD1144" i="22"/>
  <c r="C1145" i="22" s="1"/>
  <c r="U1144" i="22"/>
  <c r="AE1144" i="22" s="1"/>
  <c r="D1145" i="22" s="1"/>
  <c r="W1144" i="22" a="1"/>
  <c r="W1144" i="22" l="1"/>
  <c r="P1144" i="22" a="1"/>
  <c r="P1144" i="22" l="1"/>
  <c r="AC1144" i="22"/>
  <c r="B1145" i="22" l="1"/>
  <c r="R1144" i="22"/>
  <c r="S1144" i="22" s="1"/>
  <c r="K1144" i="22" s="1"/>
  <c r="I1145" i="22"/>
  <c r="X1144" i="22" l="1"/>
  <c r="Y1144" i="22" s="1"/>
  <c r="H1145" i="22"/>
  <c r="AG1144" i="22" l="1"/>
  <c r="F1145" i="22" l="1"/>
  <c r="AK1144" i="22"/>
  <c r="G1145" i="22" s="1"/>
  <c r="T1145" i="22" a="1"/>
  <c r="T1145" i="22" l="1"/>
  <c r="Q1145" i="22" l="1"/>
  <c r="AD1145" i="22"/>
  <c r="C1146" i="22" s="1"/>
  <c r="U1145" i="22"/>
  <c r="AE1145" i="22" s="1"/>
  <c r="D1146" i="22" s="1"/>
  <c r="V1145" i="22"/>
  <c r="AF1145" i="22" s="1"/>
  <c r="E1146" i="22" s="1"/>
  <c r="W1145" i="22" a="1"/>
  <c r="W1145" i="22" l="1"/>
  <c r="P1145" i="22" a="1"/>
  <c r="P1145" i="22" l="1"/>
  <c r="AC1145" i="22"/>
  <c r="B1146" i="22" l="1"/>
  <c r="I1146" i="22"/>
  <c r="R1145" i="22"/>
  <c r="S1145" i="22" s="1"/>
  <c r="K1145" i="22" s="1"/>
  <c r="H1146" i="22" l="1"/>
  <c r="X1145" i="22"/>
  <c r="Y1145" i="22" s="1"/>
  <c r="AG1145" i="22" l="1"/>
  <c r="F1146" i="22" l="1"/>
  <c r="AK1145" i="22"/>
  <c r="G1146" i="22" s="1"/>
  <c r="T1146" i="22" a="1"/>
  <c r="T1146" i="22" l="1"/>
  <c r="Q1146" i="22" l="1"/>
  <c r="U1146" i="22"/>
  <c r="AE1146" i="22" s="1"/>
  <c r="D1147" i="22" s="1"/>
  <c r="AD1146" i="22"/>
  <c r="C1147" i="22" s="1"/>
  <c r="V1146" i="22"/>
  <c r="AF1146" i="22" s="1"/>
  <c r="E1147" i="22" s="1"/>
  <c r="W1146" i="22" a="1"/>
  <c r="W1146" i="22" l="1"/>
  <c r="P1146" i="22" a="1"/>
  <c r="P1146" i="22" l="1"/>
  <c r="AC1146" i="22"/>
  <c r="I1147" i="22" l="1"/>
  <c r="H1147" i="22" s="1"/>
  <c r="R1146" i="22"/>
  <c r="S1146" i="22" s="1"/>
  <c r="K1146" i="22" s="1"/>
  <c r="B1147" i="22"/>
  <c r="X1146" i="22" l="1"/>
  <c r="Y1146" i="22" s="1"/>
  <c r="AG1146" i="22" l="1"/>
  <c r="F1147" i="22" l="1"/>
  <c r="AK1146" i="22"/>
  <c r="G1147" i="22" s="1"/>
  <c r="T1147" i="22" a="1"/>
  <c r="T1147" i="22" l="1"/>
  <c r="Q1147" i="22" l="1"/>
  <c r="AD1147" i="22"/>
  <c r="C1148" i="22" s="1"/>
  <c r="U1147" i="22"/>
  <c r="AE1147" i="22" s="1"/>
  <c r="D1148" i="22" s="1"/>
  <c r="V1147" i="22"/>
  <c r="AF1147" i="22" s="1"/>
  <c r="E1148" i="22" s="1"/>
  <c r="W1147" i="22" a="1"/>
  <c r="W1147" i="22" l="1"/>
  <c r="P1147" i="22" a="1"/>
  <c r="P1147" i="22" l="1"/>
  <c r="AC1147" i="22"/>
  <c r="B1148" i="22" l="1"/>
  <c r="R1147" i="22"/>
  <c r="S1147" i="22" s="1"/>
  <c r="K1147" i="22" s="1"/>
  <c r="I1148" i="22"/>
  <c r="X1147" i="22" l="1"/>
  <c r="Y1147" i="22" s="1"/>
  <c r="H1148" i="22"/>
  <c r="AG1147" i="22" l="1"/>
  <c r="F1148" i="22" l="1"/>
  <c r="AK1147" i="22"/>
  <c r="G1148" i="22" s="1"/>
  <c r="T1148" i="22" a="1"/>
  <c r="T1148" i="22" l="1"/>
  <c r="Q1148" i="22" l="1"/>
  <c r="V1148" i="22"/>
  <c r="AF1148" i="22" s="1"/>
  <c r="E1149" i="22" s="1"/>
  <c r="AD1148" i="22"/>
  <c r="C1149" i="22" s="1"/>
  <c r="U1148" i="22"/>
  <c r="AE1148" i="22" s="1"/>
  <c r="D1149" i="22" s="1"/>
  <c r="W1148" i="22" a="1"/>
  <c r="W1148" i="22" l="1"/>
  <c r="P1148" i="22" a="1"/>
  <c r="P1148" i="22" l="1"/>
  <c r="AC1148" i="22"/>
  <c r="R1148" i="22" l="1"/>
  <c r="S1148" i="22" s="1"/>
  <c r="K1148" i="22" s="1"/>
  <c r="I1149" i="22"/>
  <c r="B1149" i="22"/>
  <c r="H1149" i="22" l="1"/>
  <c r="X1148" i="22"/>
  <c r="Y1148" i="22" s="1"/>
  <c r="AG1148" i="22" l="1"/>
  <c r="AK1148" i="22" s="1"/>
  <c r="G1149" i="22" s="1"/>
  <c r="T1149" i="22" a="1"/>
  <c r="F1149" i="22" l="1"/>
  <c r="T1149" i="22"/>
  <c r="Q1149" i="22" l="1"/>
  <c r="V1149" i="22"/>
  <c r="AF1149" i="22" s="1"/>
  <c r="E1150" i="22" s="1"/>
  <c r="U1149" i="22"/>
  <c r="AE1149" i="22" s="1"/>
  <c r="D1150" i="22" s="1"/>
  <c r="AD1149" i="22"/>
  <c r="C1150" i="22" s="1"/>
  <c r="W1149" i="22" a="1"/>
  <c r="W1149" i="22" l="1"/>
  <c r="P1149" i="22" a="1"/>
  <c r="P1149" i="22" l="1"/>
  <c r="AC1149" i="22"/>
  <c r="B1150" i="22" l="1"/>
  <c r="R1149" i="22"/>
  <c r="S1149" i="22" s="1"/>
  <c r="K1149" i="22" s="1"/>
  <c r="I1150" i="22"/>
  <c r="X1149" i="22" l="1"/>
  <c r="Y1149" i="22" s="1"/>
  <c r="H1150" i="22"/>
  <c r="AG1149" i="22" l="1"/>
  <c r="F1150" i="22" l="1"/>
  <c r="AK1149" i="22"/>
  <c r="G1150" i="22" s="1"/>
  <c r="T1150" i="22" a="1"/>
  <c r="T1150" i="22" l="1"/>
  <c r="Q1150" i="22" l="1"/>
  <c r="V1150" i="22"/>
  <c r="AF1150" i="22" s="1"/>
  <c r="E1151" i="22" s="1"/>
  <c r="AD1150" i="22"/>
  <c r="C1151" i="22" s="1"/>
  <c r="U1150" i="22"/>
  <c r="AE1150" i="22" s="1"/>
  <c r="D1151" i="22" s="1"/>
  <c r="W1150" i="22" a="1"/>
  <c r="W1150" i="22" l="1"/>
  <c r="P1150" i="22" a="1"/>
  <c r="P1150" i="22" l="1"/>
  <c r="AC1150" i="22"/>
  <c r="B1151" i="22" l="1"/>
  <c r="R1150" i="22"/>
  <c r="S1150" i="22" s="1"/>
  <c r="K1150" i="22" s="1"/>
  <c r="I1151" i="22"/>
  <c r="X1150" i="22" l="1"/>
  <c r="Y1150" i="22" s="1"/>
  <c r="H1151" i="22"/>
  <c r="AG1150" i="22" l="1"/>
  <c r="F1151" i="22" l="1"/>
  <c r="AK1150" i="22"/>
  <c r="G1151" i="22" s="1"/>
  <c r="T1151" i="22" a="1"/>
  <c r="T1151" i="22" l="1"/>
  <c r="Q1151" i="22" l="1"/>
  <c r="U1151" i="22"/>
  <c r="AE1151" i="22" s="1"/>
  <c r="D1152" i="22" s="1"/>
  <c r="AD1151" i="22"/>
  <c r="C1152" i="22" s="1"/>
  <c r="V1151" i="22"/>
  <c r="AF1151" i="22" s="1"/>
  <c r="E1152" i="22" s="1"/>
  <c r="W1151" i="22" a="1"/>
  <c r="W1151" i="22" l="1"/>
  <c r="P1151" i="22" a="1"/>
  <c r="P1151" i="22" l="1"/>
  <c r="AC1151" i="22"/>
  <c r="B1152" i="22" l="1"/>
  <c r="R1151" i="22"/>
  <c r="S1151" i="22" s="1"/>
  <c r="K1151" i="22" s="1"/>
  <c r="I1152" i="22"/>
  <c r="X1151" i="22" l="1"/>
  <c r="Y1151" i="22" s="1"/>
  <c r="H1152" i="22"/>
  <c r="AG1151" i="22" l="1"/>
  <c r="F1152" i="22" l="1"/>
  <c r="AK1151" i="22"/>
  <c r="G1152" i="22" s="1"/>
  <c r="T1152" i="22" a="1"/>
  <c r="T1152" i="22" l="1"/>
  <c r="Q1152" i="22" l="1"/>
  <c r="AD1152" i="22"/>
  <c r="C1153" i="22" s="1"/>
  <c r="U1152" i="22"/>
  <c r="AE1152" i="22" s="1"/>
  <c r="D1153" i="22" s="1"/>
  <c r="V1152" i="22"/>
  <c r="AF1152" i="22" s="1"/>
  <c r="E1153" i="22" s="1"/>
  <c r="W1152" i="22" a="1"/>
  <c r="W1152" i="22" l="1"/>
  <c r="P1152" i="22" a="1"/>
  <c r="P1152" i="22" l="1"/>
  <c r="AC1152" i="22"/>
  <c r="B1153" i="22" l="1"/>
  <c r="I1153" i="22"/>
  <c r="R1152" i="22"/>
  <c r="S1152" i="22" s="1"/>
  <c r="K1152" i="22" s="1"/>
  <c r="X1152" i="22" l="1"/>
  <c r="Y1152" i="22" s="1"/>
  <c r="H1153" i="22"/>
  <c r="AG1152" i="22" l="1"/>
  <c r="F1153" i="22" l="1"/>
  <c r="AK1152" i="22"/>
  <c r="G1153" i="22" s="1"/>
  <c r="T1153" i="22" a="1"/>
  <c r="T1153" i="22" l="1"/>
  <c r="Q1153" i="22" l="1"/>
  <c r="U1153" i="22"/>
  <c r="AE1153" i="22" s="1"/>
  <c r="D1154" i="22" s="1"/>
  <c r="V1153" i="22"/>
  <c r="AF1153" i="22" s="1"/>
  <c r="E1154" i="22" s="1"/>
  <c r="AD1153" i="22"/>
  <c r="C1154" i="22" s="1"/>
  <c r="W1153" i="22" a="1"/>
  <c r="W1153" i="22" l="1"/>
  <c r="P1153" i="22" a="1"/>
  <c r="P1153" i="22" l="1"/>
  <c r="AC1153" i="22"/>
  <c r="I1154" i="22" l="1"/>
  <c r="R1153" i="22"/>
  <c r="S1153" i="22" s="1"/>
  <c r="K1153" i="22" s="1"/>
  <c r="B1154" i="22"/>
  <c r="X1153" i="22" l="1"/>
  <c r="Y1153" i="22" s="1"/>
  <c r="H1154" i="22"/>
  <c r="AG1153" i="22" l="1"/>
  <c r="F1154" i="22" l="1"/>
  <c r="AK1153" i="22"/>
  <c r="G1154" i="22" s="1"/>
  <c r="T1154" i="22" a="1"/>
  <c r="T1154" i="22" l="1"/>
  <c r="Q1154" i="22" l="1"/>
  <c r="AD1154" i="22"/>
  <c r="C1155" i="22" s="1"/>
  <c r="U1154" i="22"/>
  <c r="AE1154" i="22" s="1"/>
  <c r="D1155" i="22" s="1"/>
  <c r="V1154" i="22"/>
  <c r="AF1154" i="22" s="1"/>
  <c r="E1155" i="22" s="1"/>
  <c r="W1154" i="22" a="1"/>
  <c r="W1154" i="22" l="1"/>
  <c r="P1154" i="22" a="1"/>
  <c r="P1154" i="22" l="1"/>
  <c r="AC1154" i="22"/>
  <c r="I1155" i="22" l="1"/>
  <c r="R1154" i="22"/>
  <c r="S1154" i="22" s="1"/>
  <c r="K1154" i="22" s="1"/>
  <c r="B1155" i="22"/>
  <c r="H1155" i="22" l="1"/>
  <c r="X1154" i="22"/>
  <c r="Y1154" i="22" s="1"/>
  <c r="AG1154" i="22" l="1"/>
  <c r="F1155" i="22" l="1"/>
  <c r="AK1154" i="22"/>
  <c r="G1155" i="22" s="1"/>
  <c r="T1155" i="22" a="1"/>
  <c r="T1155" i="22" l="1"/>
  <c r="Q1155" i="22" l="1"/>
  <c r="AD1155" i="22"/>
  <c r="C1156" i="22" s="1"/>
  <c r="V1155" i="22"/>
  <c r="AF1155" i="22" s="1"/>
  <c r="E1156" i="22" s="1"/>
  <c r="U1155" i="22"/>
  <c r="AE1155" i="22" s="1"/>
  <c r="D1156" i="22" s="1"/>
  <c r="W1155" i="22" a="1"/>
  <c r="W1155" i="22" l="1"/>
  <c r="P1155" i="22" a="1"/>
  <c r="P1155" i="22" l="1"/>
  <c r="AC1155" i="22"/>
  <c r="B1156" i="22" l="1"/>
  <c r="I1156" i="22"/>
  <c r="R1155" i="22"/>
  <c r="S1155" i="22" s="1"/>
  <c r="K1155" i="22" s="1"/>
  <c r="H1156" i="22" l="1"/>
  <c r="X1155" i="22"/>
  <c r="Y1155" i="22" s="1"/>
  <c r="AG1155" i="22" l="1"/>
  <c r="F1156" i="22" l="1"/>
  <c r="AK1155" i="22"/>
  <c r="G1156" i="22" s="1"/>
  <c r="T1156" i="22" a="1"/>
  <c r="T1156" i="22" l="1"/>
  <c r="Q1156" i="22" l="1"/>
  <c r="V1156" i="22"/>
  <c r="AF1156" i="22" s="1"/>
  <c r="E1157" i="22" s="1"/>
  <c r="AD1156" i="22"/>
  <c r="C1157" i="22" s="1"/>
  <c r="U1156" i="22"/>
  <c r="AE1156" i="22" s="1"/>
  <c r="D1157" i="22" s="1"/>
  <c r="W1156" i="22" a="1"/>
  <c r="W1156" i="22" l="1"/>
  <c r="P1156" i="22" a="1"/>
  <c r="P1156" i="22" l="1"/>
  <c r="AC1156" i="22"/>
  <c r="R1156" i="22" l="1"/>
  <c r="S1156" i="22" s="1"/>
  <c r="K1156" i="22" s="1"/>
  <c r="I1157" i="22"/>
  <c r="B1157" i="22"/>
  <c r="H1157" i="22" l="1"/>
  <c r="X1156" i="22"/>
  <c r="Y1156" i="22" s="1"/>
  <c r="AG1156" i="22" l="1"/>
  <c r="F1157" i="22" l="1"/>
  <c r="AK1156" i="22"/>
  <c r="G1157" i="22" s="1"/>
  <c r="T1157" i="22" a="1"/>
  <c r="T1157" i="22" l="1"/>
  <c r="Q1157" i="22" l="1"/>
  <c r="U1157" i="22"/>
  <c r="AE1157" i="22" s="1"/>
  <c r="D1158" i="22" s="1"/>
  <c r="AD1157" i="22"/>
  <c r="C1158" i="22" s="1"/>
  <c r="V1157" i="22"/>
  <c r="AF1157" i="22" s="1"/>
  <c r="E1158" i="22" s="1"/>
  <c r="W1157" i="22" a="1"/>
  <c r="W1157" i="22" l="1"/>
  <c r="P1157" i="22" a="1"/>
  <c r="P1157" i="22" l="1"/>
  <c r="AC1157" i="22"/>
  <c r="I1158" i="22" l="1"/>
  <c r="H1158" i="22" s="1"/>
  <c r="R1157" i="22"/>
  <c r="S1157" i="22" s="1"/>
  <c r="K1157" i="22" s="1"/>
  <c r="B1158" i="22"/>
  <c r="X1157" i="22" l="1"/>
  <c r="Y1157" i="22" s="1"/>
  <c r="AG1157" i="22" l="1"/>
  <c r="F1158" i="22" l="1"/>
  <c r="AK1157" i="22"/>
  <c r="G1158" i="22" s="1"/>
  <c r="T1158" i="22" a="1"/>
  <c r="T1158" i="22" l="1"/>
  <c r="Q1158" i="22" l="1"/>
  <c r="AD1158" i="22"/>
  <c r="C1159" i="22" s="1"/>
  <c r="U1158" i="22"/>
  <c r="AE1158" i="22" s="1"/>
  <c r="D1159" i="22" s="1"/>
  <c r="V1158" i="22"/>
  <c r="AF1158" i="22" s="1"/>
  <c r="E1159" i="22" s="1"/>
  <c r="W1158" i="22" a="1"/>
  <c r="W1158" i="22" l="1"/>
  <c r="P1158" i="22" a="1"/>
  <c r="P1158" i="22" l="1"/>
  <c r="AC1158" i="22"/>
  <c r="R1158" i="22" l="1"/>
  <c r="S1158" i="22" s="1"/>
  <c r="K1158" i="22" s="1"/>
  <c r="I1159" i="22"/>
  <c r="B1159" i="22"/>
  <c r="H1159" i="22" l="1"/>
  <c r="X1158" i="22"/>
  <c r="Y1158" i="22" s="1"/>
  <c r="AG1158" i="22" l="1"/>
  <c r="F1159" i="22" l="1"/>
  <c r="AK1158" i="22"/>
  <c r="G1159" i="22" s="1"/>
  <c r="T1159" i="22" a="1"/>
  <c r="T1159" i="22" l="1"/>
  <c r="Q1159" i="22" l="1"/>
  <c r="V1159" i="22"/>
  <c r="AF1159" i="22" s="1"/>
  <c r="E1160" i="22" s="1"/>
  <c r="U1159" i="22"/>
  <c r="AE1159" i="22" s="1"/>
  <c r="D1160" i="22" s="1"/>
  <c r="AD1159" i="22"/>
  <c r="C1160" i="22" s="1"/>
  <c r="W1159" i="22" a="1"/>
  <c r="W1159" i="22" l="1"/>
  <c r="P1159" i="22" a="1"/>
  <c r="P1159" i="22" l="1"/>
  <c r="AC1159" i="22"/>
  <c r="B1160" i="22" l="1"/>
  <c r="I1160" i="22"/>
  <c r="R1159" i="22"/>
  <c r="S1159" i="22" s="1"/>
  <c r="K1159" i="22" s="1"/>
  <c r="H1160" i="22" l="1"/>
  <c r="X1159" i="22"/>
  <c r="Y1159" i="22" s="1"/>
  <c r="AG1159" i="22" l="1"/>
  <c r="F1160" i="22" l="1"/>
  <c r="AK1159" i="22"/>
  <c r="G1160" i="22" s="1"/>
  <c r="T1160" i="22" a="1"/>
  <c r="T1160" i="22" l="1"/>
  <c r="Q1160" i="22" l="1"/>
  <c r="V1160" i="22"/>
  <c r="AF1160" i="22" s="1"/>
  <c r="E1161" i="22" s="1"/>
  <c r="AD1160" i="22"/>
  <c r="C1161" i="22" s="1"/>
  <c r="U1160" i="22"/>
  <c r="AE1160" i="22" s="1"/>
  <c r="D1161" i="22" s="1"/>
  <c r="W1160" i="22" a="1"/>
  <c r="W1160" i="22" l="1"/>
  <c r="P1160" i="22" a="1"/>
  <c r="P1160" i="22" l="1"/>
  <c r="AC1160" i="22"/>
  <c r="R1160" i="22" l="1"/>
  <c r="S1160" i="22" s="1"/>
  <c r="K1160" i="22" s="1"/>
  <c r="I1161" i="22"/>
  <c r="B1161" i="22"/>
  <c r="H1161" i="22" l="1"/>
  <c r="X1160" i="22"/>
  <c r="Y1160" i="22" s="1"/>
  <c r="AG1160" i="22" l="1"/>
  <c r="F1161" i="22" l="1"/>
  <c r="AK1160" i="22"/>
  <c r="G1161" i="22" s="1"/>
  <c r="T1161" i="22" a="1"/>
  <c r="T1161" i="22" l="1"/>
  <c r="Q1161" i="22" l="1"/>
  <c r="AD1161" i="22"/>
  <c r="C1162" i="22" s="1"/>
  <c r="U1161" i="22"/>
  <c r="AE1161" i="22" s="1"/>
  <c r="D1162" i="22" s="1"/>
  <c r="V1161" i="22"/>
  <c r="AF1161" i="22" s="1"/>
  <c r="E1162" i="22" s="1"/>
  <c r="W1161" i="22" a="1"/>
  <c r="W1161" i="22" l="1"/>
  <c r="P1161" i="22" a="1"/>
  <c r="P1161" i="22" l="1"/>
  <c r="AC1161" i="22"/>
  <c r="I1162" i="22" l="1"/>
  <c r="R1161" i="22"/>
  <c r="S1161" i="22" s="1"/>
  <c r="K1161" i="22" s="1"/>
  <c r="B1162" i="22"/>
  <c r="X1161" i="22" l="1"/>
  <c r="Y1161" i="22" s="1"/>
  <c r="H1162" i="22"/>
  <c r="AG1161" i="22" l="1"/>
  <c r="F1162" i="22" l="1"/>
  <c r="AK1161" i="22"/>
  <c r="G1162" i="22" s="1"/>
  <c r="T1162" i="22" a="1"/>
  <c r="T1162" i="22" l="1"/>
  <c r="Q1162" i="22" l="1"/>
  <c r="U1162" i="22"/>
  <c r="AE1162" i="22" s="1"/>
  <c r="D1163" i="22" s="1"/>
  <c r="V1162" i="22"/>
  <c r="AF1162" i="22" s="1"/>
  <c r="E1163" i="22" s="1"/>
  <c r="AD1162" i="22"/>
  <c r="C1163" i="22" s="1"/>
  <c r="W1162" i="22" a="1"/>
  <c r="W1162" i="22" l="1"/>
  <c r="P1162" i="22" a="1"/>
  <c r="P1162" i="22" l="1"/>
  <c r="AC1162" i="22"/>
  <c r="B1163" i="22" l="1"/>
  <c r="I1163" i="22"/>
  <c r="R1162" i="22"/>
  <c r="S1162" i="22" s="1"/>
  <c r="K1162" i="22" s="1"/>
  <c r="X1162" i="22" l="1"/>
  <c r="Y1162" i="22" s="1"/>
  <c r="H1163" i="22"/>
  <c r="AG1162" i="22" l="1"/>
  <c r="F1163" i="22" l="1"/>
  <c r="AK1162" i="22"/>
  <c r="G1163" i="22" s="1"/>
  <c r="T1163" i="22" a="1"/>
  <c r="T1163" i="22" l="1"/>
  <c r="Q1163" i="22" l="1"/>
  <c r="V1163" i="22"/>
  <c r="AF1163" i="22" s="1"/>
  <c r="E1164" i="22" s="1"/>
  <c r="U1163" i="22"/>
  <c r="AE1163" i="22" s="1"/>
  <c r="D1164" i="22" s="1"/>
  <c r="AD1163" i="22"/>
  <c r="C1164" i="22" s="1"/>
  <c r="W1163" i="22" a="1"/>
  <c r="W1163" i="22" l="1"/>
  <c r="P1163" i="22" a="1"/>
  <c r="P1163" i="22" l="1"/>
  <c r="AC1163" i="22"/>
  <c r="B1164" i="22" l="1"/>
  <c r="R1163" i="22"/>
  <c r="S1163" i="22" s="1"/>
  <c r="K1163" i="22" s="1"/>
  <c r="I1164" i="22"/>
  <c r="X1163" i="22" l="1"/>
  <c r="Y1163" i="22" s="1"/>
  <c r="H1164" i="22"/>
  <c r="AG1163" i="22" l="1"/>
  <c r="F1164" i="22" l="1"/>
  <c r="AK1163" i="22"/>
  <c r="G1164" i="22" s="1"/>
  <c r="T1164" i="22" a="1"/>
  <c r="T1164" i="22" l="1"/>
  <c r="Q1164" i="22" l="1"/>
  <c r="V1164" i="22"/>
  <c r="AF1164" i="22" s="1"/>
  <c r="E1165" i="22" s="1"/>
  <c r="AD1164" i="22"/>
  <c r="C1165" i="22" s="1"/>
  <c r="U1164" i="22"/>
  <c r="AE1164" i="22" s="1"/>
  <c r="D1165" i="22" s="1"/>
  <c r="W1164" i="22" a="1"/>
  <c r="W1164" i="22" l="1"/>
  <c r="P1164" i="22" a="1"/>
  <c r="P1164" i="22" l="1"/>
  <c r="AC1164" i="22"/>
  <c r="B1165" i="22" l="1"/>
  <c r="I1165" i="22"/>
  <c r="R1164" i="22"/>
  <c r="S1164" i="22" s="1"/>
  <c r="K1164" i="22" s="1"/>
  <c r="X1164" i="22" l="1"/>
  <c r="Y1164" i="22" s="1"/>
  <c r="H1165" i="22"/>
  <c r="AG1164" i="22" l="1"/>
  <c r="F1165" i="22" l="1"/>
  <c r="AK1164" i="22"/>
  <c r="G1165" i="22" s="1"/>
  <c r="T1165" i="22" a="1"/>
  <c r="T1165" i="22" l="1"/>
  <c r="Q1165" i="22" l="1"/>
  <c r="AD1165" i="22"/>
  <c r="C1166" i="22" s="1"/>
  <c r="V1165" i="22"/>
  <c r="AF1165" i="22" s="1"/>
  <c r="E1166" i="22" s="1"/>
  <c r="U1165" i="22"/>
  <c r="AE1165" i="22" s="1"/>
  <c r="D1166" i="22" s="1"/>
  <c r="W1165" i="22" a="1"/>
  <c r="W1165" i="22" l="1"/>
  <c r="P1165" i="22" a="1"/>
  <c r="P1165" i="22" l="1"/>
  <c r="AC1165" i="22"/>
  <c r="B1166" i="22" l="1"/>
  <c r="R1165" i="22"/>
  <c r="S1165" i="22" s="1"/>
  <c r="K1165" i="22" s="1"/>
  <c r="I1166" i="22"/>
  <c r="X1165" i="22" l="1"/>
  <c r="Y1165" i="22" s="1"/>
  <c r="H1166" i="22"/>
  <c r="AG1165" i="22" l="1"/>
  <c r="F1166" i="22" l="1"/>
  <c r="AK1165" i="22"/>
  <c r="G1166" i="22" s="1"/>
  <c r="T1166" i="22" a="1"/>
  <c r="T1166" i="22" l="1"/>
  <c r="Q1166" i="22" l="1"/>
  <c r="U1166" i="22"/>
  <c r="AE1166" i="22" s="1"/>
  <c r="D1167" i="22" s="1"/>
  <c r="V1166" i="22"/>
  <c r="AF1166" i="22" s="1"/>
  <c r="E1167" i="22" s="1"/>
  <c r="AD1166" i="22"/>
  <c r="C1167" i="22" s="1"/>
  <c r="W1166" i="22" a="1"/>
  <c r="W1166" i="22" l="1"/>
  <c r="P1166" i="22" a="1"/>
  <c r="P1166" i="22" l="1"/>
  <c r="AC1166" i="22"/>
  <c r="B1167" i="22" l="1"/>
  <c r="I1167" i="22"/>
  <c r="R1166" i="22"/>
  <c r="S1166" i="22" s="1"/>
  <c r="K1166" i="22" s="1"/>
  <c r="X1166" i="22" l="1"/>
  <c r="Y1166" i="22" s="1"/>
  <c r="H1167" i="22"/>
  <c r="AG1166" i="22" l="1"/>
  <c r="F1167" i="22" l="1"/>
  <c r="AK1166" i="22"/>
  <c r="G1167" i="22" s="1"/>
  <c r="T1167" i="22" a="1"/>
  <c r="T1167" i="22" l="1"/>
  <c r="Q1167" i="22" l="1"/>
  <c r="U1167" i="22"/>
  <c r="AE1167" i="22" s="1"/>
  <c r="D1168" i="22" s="1"/>
  <c r="V1167" i="22"/>
  <c r="AF1167" i="22" s="1"/>
  <c r="E1168" i="22" s="1"/>
  <c r="AD1167" i="22"/>
  <c r="C1168" i="22" s="1"/>
  <c r="W1167" i="22" a="1"/>
  <c r="W1167" i="22" l="1"/>
  <c r="P1167" i="22" a="1"/>
  <c r="P1167" i="22" l="1"/>
  <c r="AC1167" i="22"/>
  <c r="B1168" i="22" l="1"/>
  <c r="R1167" i="22"/>
  <c r="S1167" i="22" s="1"/>
  <c r="K1167" i="22" s="1"/>
  <c r="I1168" i="22"/>
  <c r="H1168" i="22" l="1"/>
  <c r="X1167" i="22"/>
  <c r="Y1167" i="22" s="1"/>
  <c r="AG1167" i="22" l="1"/>
  <c r="F1168" i="22" l="1"/>
  <c r="AK1167" i="22"/>
  <c r="G1168" i="22" s="1"/>
  <c r="T1168" i="22" a="1"/>
  <c r="T1168" i="22" l="1"/>
  <c r="Q1168" i="22" l="1"/>
  <c r="V1168" i="22"/>
  <c r="AF1168" i="22" s="1"/>
  <c r="E1169" i="22" s="1"/>
  <c r="U1168" i="22"/>
  <c r="AE1168" i="22" s="1"/>
  <c r="D1169" i="22" s="1"/>
  <c r="AD1168" i="22"/>
  <c r="C1169" i="22" s="1"/>
  <c r="W1168" i="22" a="1"/>
  <c r="W1168" i="22" l="1"/>
  <c r="P1168" i="22" a="1"/>
  <c r="P1168" i="22" l="1"/>
  <c r="AC1168" i="22"/>
  <c r="I1169" i="22" l="1"/>
  <c r="R1168" i="22"/>
  <c r="S1168" i="22" s="1"/>
  <c r="K1168" i="22" s="1"/>
  <c r="B1169" i="22"/>
  <c r="X1168" i="22" l="1"/>
  <c r="Y1168" i="22" s="1"/>
  <c r="H1169" i="22"/>
  <c r="AG1168" i="22" l="1"/>
  <c r="F1169" i="22" l="1"/>
  <c r="AK1168" i="22"/>
  <c r="G1169" i="22" s="1"/>
  <c r="T1169" i="22" a="1"/>
  <c r="T1169" i="22" l="1"/>
  <c r="Q1169" i="22" l="1"/>
  <c r="U1169" i="22"/>
  <c r="AE1169" i="22" s="1"/>
  <c r="D1170" i="22" s="1"/>
  <c r="V1169" i="22"/>
  <c r="AF1169" i="22" s="1"/>
  <c r="E1170" i="22" s="1"/>
  <c r="AD1169" i="22"/>
  <c r="C1170" i="22" s="1"/>
  <c r="W1169" i="22" a="1"/>
  <c r="W1169" i="22" l="1"/>
  <c r="P1169" i="22" a="1"/>
  <c r="P1169" i="22" l="1"/>
  <c r="AC1169" i="22"/>
  <c r="I1170" i="22" l="1"/>
  <c r="R1169" i="22"/>
  <c r="S1169" i="22" s="1"/>
  <c r="K1169" i="22" s="1"/>
  <c r="B1170" i="22"/>
  <c r="X1169" i="22" l="1"/>
  <c r="Y1169" i="22" s="1"/>
  <c r="H1170" i="22"/>
  <c r="AG1169" i="22" l="1"/>
  <c r="F1170" i="22" l="1"/>
  <c r="AK1169" i="22"/>
  <c r="G1170" i="22" s="1"/>
  <c r="T1170" i="22" a="1"/>
  <c r="T1170" i="22" l="1"/>
  <c r="Q1170" i="22" l="1"/>
  <c r="V1170" i="22"/>
  <c r="AF1170" i="22" s="1"/>
  <c r="E1171" i="22" s="1"/>
  <c r="U1170" i="22"/>
  <c r="AE1170" i="22" s="1"/>
  <c r="D1171" i="22" s="1"/>
  <c r="AD1170" i="22"/>
  <c r="C1171" i="22" s="1"/>
  <c r="W1170" i="22" a="1"/>
  <c r="W1170" i="22" l="1"/>
  <c r="P1170" i="22" a="1"/>
  <c r="P1170" i="22" l="1"/>
  <c r="AC1170" i="22"/>
  <c r="I1171" i="22" l="1"/>
  <c r="R1170" i="22"/>
  <c r="S1170" i="22" s="1"/>
  <c r="K1170" i="22" s="1"/>
  <c r="B1171" i="22"/>
  <c r="X1170" i="22" l="1"/>
  <c r="Y1170" i="22" s="1"/>
  <c r="H1171" i="22"/>
  <c r="AG1170" i="22" l="1"/>
  <c r="F1171" i="22" l="1"/>
  <c r="AK1170" i="22"/>
  <c r="G1171" i="22" s="1"/>
  <c r="T1171" i="22" a="1"/>
  <c r="T1171" i="22" l="1"/>
  <c r="Q1171" i="22" l="1"/>
  <c r="AD1171" i="22"/>
  <c r="C1172" i="22" s="1"/>
  <c r="U1171" i="22"/>
  <c r="AE1171" i="22" s="1"/>
  <c r="D1172" i="22" s="1"/>
  <c r="V1171" i="22"/>
  <c r="AF1171" i="22" s="1"/>
  <c r="E1172" i="22" s="1"/>
  <c r="W1171" i="22" a="1"/>
  <c r="W1171" i="22" l="1"/>
  <c r="P1171" i="22" a="1"/>
  <c r="P1171" i="22" l="1"/>
  <c r="AC1171" i="22"/>
  <c r="I1172" i="22" l="1"/>
  <c r="H1172" i="22" s="1"/>
  <c r="R1171" i="22"/>
  <c r="S1171" i="22" s="1"/>
  <c r="K1171" i="22" s="1"/>
  <c r="B1172" i="22"/>
  <c r="X1171" i="22" l="1"/>
  <c r="Y1171" i="22" s="1"/>
  <c r="AG1171" i="22" l="1"/>
  <c r="F1172" i="22" l="1"/>
  <c r="AK1171" i="22"/>
  <c r="G1172" i="22" s="1"/>
  <c r="T1172" i="22" a="1"/>
  <c r="T1172" i="22" l="1"/>
  <c r="Q1172" i="22" l="1"/>
  <c r="AD1172" i="22"/>
  <c r="C1173" i="22" s="1"/>
  <c r="U1172" i="22"/>
  <c r="AE1172" i="22" s="1"/>
  <c r="D1173" i="22" s="1"/>
  <c r="V1172" i="22"/>
  <c r="AF1172" i="22" s="1"/>
  <c r="E1173" i="22" s="1"/>
  <c r="W1172" i="22" a="1"/>
  <c r="W1172" i="22" l="1"/>
  <c r="P1172" i="22" a="1"/>
  <c r="P1172" i="22" l="1"/>
  <c r="AC1172" i="22"/>
  <c r="B1173" i="22" l="1"/>
  <c r="I1173" i="22"/>
  <c r="R1172" i="22"/>
  <c r="S1172" i="22" s="1"/>
  <c r="K1172" i="22" s="1"/>
  <c r="H1173" i="22" l="1"/>
  <c r="X1172" i="22"/>
  <c r="Y1172" i="22" s="1"/>
  <c r="AG1172" i="22" l="1"/>
  <c r="F1173" i="22" l="1"/>
  <c r="AK1172" i="22"/>
  <c r="G1173" i="22" s="1"/>
  <c r="T1173" i="22" a="1"/>
  <c r="T1173" i="22" l="1"/>
  <c r="Q1173" i="22" l="1"/>
  <c r="U1173" i="22"/>
  <c r="AE1173" i="22" s="1"/>
  <c r="D1174" i="22" s="1"/>
  <c r="V1173" i="22"/>
  <c r="AF1173" i="22" s="1"/>
  <c r="E1174" i="22" s="1"/>
  <c r="AD1173" i="22"/>
  <c r="C1174" i="22" s="1"/>
  <c r="W1173" i="22" a="1"/>
  <c r="W1173" i="22" l="1"/>
  <c r="P1173" i="22" a="1"/>
  <c r="P1173" i="22" l="1"/>
  <c r="AC1173" i="22"/>
  <c r="B1174" i="22" l="1"/>
  <c r="R1173" i="22"/>
  <c r="S1173" i="22" s="1"/>
  <c r="K1173" i="22" s="1"/>
  <c r="I1174" i="22"/>
  <c r="X1173" i="22" l="1"/>
  <c r="Y1173" i="22" s="1"/>
  <c r="H1174" i="22"/>
  <c r="AG1173" i="22" l="1"/>
  <c r="F1174" i="22" l="1"/>
  <c r="AK1173" i="22"/>
  <c r="G1174" i="22" s="1"/>
  <c r="T1174" i="22" a="1"/>
  <c r="T1174" i="22" l="1"/>
  <c r="Q1174" i="22" l="1"/>
  <c r="V1174" i="22"/>
  <c r="AF1174" i="22" s="1"/>
  <c r="E1175" i="22" s="1"/>
  <c r="AD1174" i="22"/>
  <c r="C1175" i="22" s="1"/>
  <c r="U1174" i="22"/>
  <c r="AE1174" i="22" s="1"/>
  <c r="D1175" i="22" s="1"/>
  <c r="W1174" i="22" a="1"/>
  <c r="W1174" i="22" l="1"/>
  <c r="P1174" i="22" a="1"/>
  <c r="P1174" i="22" l="1"/>
  <c r="AC1174" i="22"/>
  <c r="B1175" i="22" l="1"/>
  <c r="R1174" i="22"/>
  <c r="S1174" i="22" s="1"/>
  <c r="K1174" i="22" s="1"/>
  <c r="I1175" i="22"/>
  <c r="H1175" i="22" s="1"/>
  <c r="X1174" i="22" l="1"/>
  <c r="Y1174" i="22" s="1"/>
  <c r="AG1174" i="22" l="1"/>
  <c r="F1175" i="22" l="1"/>
  <c r="AK1174" i="22"/>
  <c r="G1175" i="22" s="1"/>
  <c r="T1175" i="22" a="1"/>
  <c r="T1175" i="22" l="1"/>
  <c r="Q1175" i="22" l="1"/>
  <c r="AD1175" i="22"/>
  <c r="C1176" i="22" s="1"/>
  <c r="U1175" i="22"/>
  <c r="AE1175" i="22" s="1"/>
  <c r="D1176" i="22" s="1"/>
  <c r="V1175" i="22"/>
  <c r="AF1175" i="22" s="1"/>
  <c r="E1176" i="22" s="1"/>
  <c r="W1175" i="22" a="1"/>
  <c r="W1175" i="22" l="1"/>
  <c r="P1175" i="22" a="1"/>
  <c r="P1175" i="22" l="1"/>
  <c r="AC1175" i="22"/>
  <c r="B1176" i="22" l="1"/>
  <c r="I1176" i="22"/>
  <c r="R1175" i="22"/>
  <c r="S1175" i="22" s="1"/>
  <c r="K1175" i="22" s="1"/>
  <c r="X1175" i="22" l="1"/>
  <c r="Y1175" i="22" s="1"/>
  <c r="H1176" i="22"/>
  <c r="AG1175" i="22" l="1"/>
  <c r="F1176" i="22" l="1"/>
  <c r="AK1175" i="22"/>
  <c r="G1176" i="22" s="1"/>
  <c r="T1176" i="22" a="1"/>
  <c r="T1176" i="22" l="1"/>
  <c r="Q1176" i="22" l="1"/>
  <c r="U1176" i="22"/>
  <c r="AE1176" i="22" s="1"/>
  <c r="D1177" i="22" s="1"/>
  <c r="V1176" i="22"/>
  <c r="AF1176" i="22" s="1"/>
  <c r="E1177" i="22" s="1"/>
  <c r="AD1176" i="22"/>
  <c r="C1177" i="22" s="1"/>
  <c r="W1176" i="22" a="1"/>
  <c r="W1176" i="22" l="1"/>
  <c r="P1176" i="22" a="1"/>
  <c r="P1176" i="22" l="1"/>
  <c r="AC1176" i="22"/>
  <c r="B1177" i="22" l="1"/>
  <c r="I1177" i="22"/>
  <c r="R1176" i="22"/>
  <c r="S1176" i="22" s="1"/>
  <c r="K1176" i="22" s="1"/>
  <c r="X1176" i="22" l="1"/>
  <c r="Y1176" i="22" s="1"/>
  <c r="H1177" i="22"/>
  <c r="AG1176" i="22" l="1"/>
  <c r="F1177" i="22" l="1"/>
  <c r="AK1176" i="22"/>
  <c r="G1177" i="22" s="1"/>
  <c r="T1177" i="22" a="1"/>
  <c r="T1177" i="22" l="1"/>
  <c r="Q1177" i="22" l="1"/>
  <c r="V1177" i="22"/>
  <c r="AF1177" i="22" s="1"/>
  <c r="E1178" i="22" s="1"/>
  <c r="AD1177" i="22"/>
  <c r="C1178" i="22" s="1"/>
  <c r="U1177" i="22"/>
  <c r="AE1177" i="22" s="1"/>
  <c r="D1178" i="22" s="1"/>
  <c r="W1177" i="22" a="1"/>
  <c r="W1177" i="22" l="1"/>
  <c r="P1177" i="22" a="1"/>
  <c r="P1177" i="22" l="1"/>
  <c r="AC1177" i="22"/>
  <c r="B1178" i="22" l="1"/>
  <c r="R1177" i="22"/>
  <c r="S1177" i="22" s="1"/>
  <c r="K1177" i="22" s="1"/>
  <c r="I1178" i="22"/>
  <c r="X1177" i="22" l="1"/>
  <c r="Y1177" i="22" s="1"/>
  <c r="H1178" i="22"/>
  <c r="AG1177" i="22" l="1"/>
  <c r="F1178" i="22" l="1"/>
  <c r="AK1177" i="22"/>
  <c r="G1178" i="22" s="1"/>
  <c r="T1178" i="22" a="1"/>
  <c r="T1178" i="22" l="1"/>
  <c r="Q1178" i="22" l="1"/>
  <c r="U1178" i="22"/>
  <c r="AE1178" i="22" s="1"/>
  <c r="D1179" i="22" s="1"/>
  <c r="AD1178" i="22"/>
  <c r="C1179" i="22" s="1"/>
  <c r="V1178" i="22"/>
  <c r="AF1178" i="22" s="1"/>
  <c r="E1179" i="22" s="1"/>
  <c r="W1178" i="22" a="1"/>
  <c r="W1178" i="22" l="1"/>
  <c r="P1178" i="22" a="1"/>
  <c r="P1178" i="22" l="1"/>
  <c r="AC1178" i="22"/>
  <c r="B1179" i="22" l="1"/>
  <c r="I1179" i="22"/>
  <c r="R1178" i="22"/>
  <c r="S1178" i="22" s="1"/>
  <c r="K1178" i="22" s="1"/>
  <c r="X1178" i="22" l="1"/>
  <c r="Y1178" i="22" s="1"/>
  <c r="H1179" i="22"/>
  <c r="AG1178" i="22" l="1"/>
  <c r="F1179" i="22" l="1"/>
  <c r="AK1178" i="22"/>
  <c r="G1179" i="22" s="1"/>
  <c r="T1179" i="22" a="1"/>
  <c r="T1179" i="22" l="1"/>
  <c r="Q1179" i="22" l="1"/>
  <c r="U1179" i="22"/>
  <c r="AE1179" i="22" s="1"/>
  <c r="D1180" i="22" s="1"/>
  <c r="V1179" i="22"/>
  <c r="AF1179" i="22" s="1"/>
  <c r="E1180" i="22" s="1"/>
  <c r="AD1179" i="22"/>
  <c r="C1180" i="22" s="1"/>
  <c r="W1179" i="22" a="1"/>
  <c r="W1179" i="22" l="1"/>
  <c r="P1179" i="22" a="1"/>
  <c r="P1179" i="22" l="1"/>
  <c r="AC1179" i="22"/>
  <c r="B1180" i="22" l="1"/>
  <c r="I1180" i="22"/>
  <c r="R1179" i="22"/>
  <c r="S1179" i="22" s="1"/>
  <c r="K1179" i="22" s="1"/>
  <c r="X1179" i="22" l="1"/>
  <c r="Y1179" i="22" s="1"/>
  <c r="H1180" i="22"/>
  <c r="AG1179" i="22" l="1"/>
  <c r="AK1179" i="22" s="1"/>
  <c r="G1180" i="22" s="1"/>
  <c r="T1180" i="22" a="1"/>
  <c r="F1180" i="22" l="1"/>
  <c r="T1180" i="22"/>
  <c r="Q1180" i="22" l="1"/>
  <c r="AD1180" i="22"/>
  <c r="C1181" i="22" s="1"/>
  <c r="V1180" i="22"/>
  <c r="AF1180" i="22" s="1"/>
  <c r="E1181" i="22" s="1"/>
  <c r="U1180" i="22"/>
  <c r="AE1180" i="22" s="1"/>
  <c r="D1181" i="22" s="1"/>
  <c r="W1180" i="22" a="1"/>
  <c r="W1180" i="22" l="1"/>
  <c r="P1180" i="22" a="1"/>
  <c r="P1180" i="22" l="1"/>
  <c r="AC1180" i="22"/>
  <c r="R1180" i="22" l="1"/>
  <c r="S1180" i="22" s="1"/>
  <c r="K1180" i="22" s="1"/>
  <c r="I1181" i="22"/>
  <c r="B1181" i="22"/>
  <c r="H1181" i="22" l="1"/>
  <c r="X1180" i="22"/>
  <c r="Y1180" i="22" s="1"/>
  <c r="AG1180" i="22" l="1"/>
  <c r="F1181" i="22" l="1"/>
  <c r="AK1180" i="22"/>
  <c r="G1181" i="22" s="1"/>
  <c r="T1181" i="22" a="1"/>
  <c r="T1181" i="22" l="1"/>
  <c r="Q1181" i="22" l="1"/>
  <c r="V1181" i="22"/>
  <c r="AF1181" i="22" s="1"/>
  <c r="E1182" i="22" s="1"/>
  <c r="U1181" i="22"/>
  <c r="AE1181" i="22" s="1"/>
  <c r="D1182" i="22" s="1"/>
  <c r="AD1181" i="22"/>
  <c r="C1182" i="22" s="1"/>
  <c r="W1181" i="22" a="1"/>
  <c r="W1181" i="22" l="1"/>
  <c r="P1181" i="22" a="1"/>
  <c r="P1181" i="22" l="1"/>
  <c r="AC1181" i="22"/>
  <c r="B1182" i="22" l="1"/>
  <c r="I1182" i="22"/>
  <c r="R1181" i="22"/>
  <c r="S1181" i="22" s="1"/>
  <c r="K1181" i="22" s="1"/>
  <c r="H1182" i="22" l="1"/>
  <c r="X1181" i="22"/>
  <c r="Y1181" i="22" s="1"/>
  <c r="AG1181" i="22" l="1"/>
  <c r="F1182" i="22" l="1"/>
  <c r="AK1181" i="22"/>
  <c r="G1182" i="22" s="1"/>
  <c r="T1182" i="22" a="1"/>
  <c r="T1182" i="22" l="1"/>
  <c r="Q1182" i="22" l="1"/>
  <c r="U1182" i="22"/>
  <c r="AE1182" i="22" s="1"/>
  <c r="D1183" i="22" s="1"/>
  <c r="AD1182" i="22"/>
  <c r="C1183" i="22" s="1"/>
  <c r="V1182" i="22"/>
  <c r="AF1182" i="22" s="1"/>
  <c r="E1183" i="22" s="1"/>
  <c r="W1182" i="22" a="1"/>
  <c r="W1182" i="22" l="1"/>
  <c r="P1182" i="22" a="1"/>
  <c r="P1182" i="22" l="1"/>
  <c r="AC1182" i="22"/>
  <c r="B1183" i="22" l="1"/>
  <c r="I1183" i="22"/>
  <c r="H1183" i="22" s="1"/>
  <c r="R1182" i="22"/>
  <c r="S1182" i="22" s="1"/>
  <c r="K1182" i="22" s="1"/>
  <c r="X1182" i="22" l="1"/>
  <c r="Y1182" i="22" s="1"/>
  <c r="AG1182" i="22" l="1"/>
  <c r="F1183" i="22" l="1"/>
  <c r="AK1182" i="22"/>
  <c r="G1183" i="22" s="1"/>
  <c r="T1183" i="22" a="1"/>
  <c r="T1183" i="22" l="1"/>
  <c r="Q1183" i="22" l="1"/>
  <c r="AD1183" i="22"/>
  <c r="C1184" i="22" s="1"/>
  <c r="V1183" i="22"/>
  <c r="AF1183" i="22" s="1"/>
  <c r="E1184" i="22" s="1"/>
  <c r="U1183" i="22"/>
  <c r="AE1183" i="22" s="1"/>
  <c r="D1184" i="22" s="1"/>
  <c r="W1183" i="22" a="1"/>
  <c r="W1183" i="22" l="1"/>
  <c r="P1183" i="22" a="1"/>
  <c r="P1183" i="22" l="1"/>
  <c r="AC1183" i="22"/>
  <c r="B1184" i="22" l="1"/>
  <c r="I1184" i="22"/>
  <c r="R1183" i="22"/>
  <c r="S1183" i="22" s="1"/>
  <c r="K1183" i="22" s="1"/>
  <c r="X1183" i="22" l="1"/>
  <c r="Y1183" i="22" s="1"/>
  <c r="H1184" i="22"/>
  <c r="AG1183" i="22" l="1"/>
  <c r="F1184" i="22" l="1"/>
  <c r="AK1183" i="22"/>
  <c r="G1184" i="22" s="1"/>
  <c r="T1184" i="22" a="1"/>
  <c r="T1184" i="22" l="1"/>
  <c r="Q1184" i="22" l="1"/>
  <c r="U1184" i="22"/>
  <c r="AE1184" i="22" s="1"/>
  <c r="D1185" i="22" s="1"/>
  <c r="AD1184" i="22"/>
  <c r="C1185" i="22" s="1"/>
  <c r="V1184" i="22"/>
  <c r="AF1184" i="22" s="1"/>
  <c r="E1185" i="22" s="1"/>
  <c r="W1184" i="22" a="1"/>
  <c r="W1184" i="22" l="1"/>
  <c r="P1184" i="22" a="1"/>
  <c r="P1184" i="22" l="1"/>
  <c r="AC1184" i="22"/>
  <c r="B1185" i="22" l="1"/>
  <c r="I1185" i="22"/>
  <c r="R1184" i="22"/>
  <c r="S1184" i="22" s="1"/>
  <c r="K1184" i="22" s="1"/>
  <c r="X1184" i="22" l="1"/>
  <c r="Y1184" i="22" s="1"/>
  <c r="H1185" i="22"/>
  <c r="AG1184" i="22" l="1"/>
  <c r="F1185" i="22" l="1"/>
  <c r="AK1184" i="22"/>
  <c r="G1185" i="22" s="1"/>
  <c r="T1185" i="22" a="1"/>
  <c r="T1185" i="22" l="1"/>
  <c r="Q1185" i="22" l="1"/>
  <c r="U1185" i="22"/>
  <c r="AE1185" i="22" s="1"/>
  <c r="D1186" i="22" s="1"/>
  <c r="AD1185" i="22"/>
  <c r="C1186" i="22" s="1"/>
  <c r="V1185" i="22"/>
  <c r="AF1185" i="22" s="1"/>
  <c r="E1186" i="22" s="1"/>
  <c r="W1185" i="22" a="1"/>
  <c r="W1185" i="22" l="1"/>
  <c r="P1185" i="22" a="1"/>
  <c r="P1185" i="22" l="1"/>
  <c r="AC1185" i="22"/>
  <c r="B1186" i="22" l="1"/>
  <c r="R1185" i="22"/>
  <c r="S1185" i="22" s="1"/>
  <c r="K1185" i="22" s="1"/>
  <c r="I1186" i="22"/>
  <c r="X1185" i="22" l="1"/>
  <c r="Y1185" i="22" s="1"/>
  <c r="H1186" i="22"/>
  <c r="AG1185" i="22" l="1"/>
  <c r="F1186" i="22" l="1"/>
  <c r="AK1185" i="22"/>
  <c r="G1186" i="22" s="1"/>
  <c r="T1186" i="22" a="1"/>
  <c r="T1186" i="22" l="1"/>
  <c r="Q1186" i="22" l="1"/>
  <c r="AD1186" i="22"/>
  <c r="C1187" i="22" s="1"/>
  <c r="V1186" i="22"/>
  <c r="AF1186" i="22" s="1"/>
  <c r="E1187" i="22" s="1"/>
  <c r="U1186" i="22"/>
  <c r="AE1186" i="22" s="1"/>
  <c r="D1187" i="22" s="1"/>
  <c r="W1186" i="22" a="1"/>
  <c r="W1186" i="22" l="1"/>
  <c r="P1186" i="22" a="1"/>
  <c r="P1186" i="22" l="1"/>
  <c r="AC1186" i="22"/>
  <c r="I1187" i="22" l="1"/>
  <c r="R1186" i="22"/>
  <c r="S1186" i="22" s="1"/>
  <c r="K1186" i="22" s="1"/>
  <c r="B1187" i="22"/>
  <c r="H1187" i="22" l="1"/>
  <c r="X1186" i="22"/>
  <c r="Y1186" i="22" s="1"/>
  <c r="AG1186" i="22" l="1"/>
  <c r="F1187" i="22" l="1"/>
  <c r="AK1186" i="22"/>
  <c r="G1187" i="22" s="1"/>
  <c r="T1187" i="22" a="1"/>
  <c r="T1187" i="22" l="1"/>
  <c r="Q1187" i="22" l="1"/>
  <c r="V1187" i="22"/>
  <c r="AF1187" i="22" s="1"/>
  <c r="E1188" i="22" s="1"/>
  <c r="U1187" i="22"/>
  <c r="AE1187" i="22" s="1"/>
  <c r="D1188" i="22" s="1"/>
  <c r="AD1187" i="22"/>
  <c r="C1188" i="22" s="1"/>
  <c r="W1187" i="22" a="1"/>
  <c r="W1187" i="22" l="1"/>
  <c r="P1187" i="22" a="1"/>
  <c r="P1187" i="22" l="1"/>
  <c r="AC1187" i="22"/>
  <c r="I1188" i="22" l="1"/>
  <c r="R1187" i="22"/>
  <c r="S1187" i="22" s="1"/>
  <c r="K1187" i="22" s="1"/>
  <c r="B1188" i="22"/>
  <c r="H1188" i="22" l="1"/>
  <c r="X1187" i="22"/>
  <c r="Y1187" i="22" s="1"/>
  <c r="AG1187" i="22" l="1"/>
  <c r="F1188" i="22" l="1"/>
  <c r="AK1187" i="22"/>
  <c r="G1188" i="22" s="1"/>
  <c r="T1188" i="22" a="1"/>
  <c r="T1188" i="22" l="1"/>
  <c r="Q1188" i="22" l="1"/>
  <c r="V1188" i="22"/>
  <c r="AF1188" i="22" s="1"/>
  <c r="E1189" i="22" s="1"/>
  <c r="AD1188" i="22"/>
  <c r="C1189" i="22" s="1"/>
  <c r="U1188" i="22"/>
  <c r="AE1188" i="22" s="1"/>
  <c r="D1189" i="22" s="1"/>
  <c r="W1188" i="22" a="1"/>
  <c r="W1188" i="22" l="1"/>
  <c r="P1188" i="22" a="1"/>
  <c r="P1188" i="22" l="1"/>
  <c r="AC1188" i="22"/>
  <c r="B1189" i="22" l="1"/>
  <c r="I1189" i="22"/>
  <c r="R1188" i="22"/>
  <c r="S1188" i="22" s="1"/>
  <c r="K1188" i="22" s="1"/>
  <c r="X1188" i="22" l="1"/>
  <c r="Y1188" i="22" s="1"/>
  <c r="H1189" i="22"/>
  <c r="AG1188" i="22" l="1"/>
  <c r="F1189" i="22" l="1"/>
  <c r="AK1188" i="22"/>
  <c r="G1189" i="22" s="1"/>
  <c r="T1189" i="22" a="1"/>
  <c r="T1189" i="22" l="1"/>
  <c r="Q1189" i="22" l="1"/>
  <c r="AD1189" i="22"/>
  <c r="C1190" i="22" s="1"/>
  <c r="U1189" i="22"/>
  <c r="AE1189" i="22" s="1"/>
  <c r="D1190" i="22" s="1"/>
  <c r="V1189" i="22"/>
  <c r="AF1189" i="22" s="1"/>
  <c r="E1190" i="22" s="1"/>
  <c r="W1189" i="22" a="1"/>
  <c r="W1189" i="22" l="1"/>
  <c r="P1189" i="22" a="1"/>
  <c r="P1189" i="22" l="1"/>
  <c r="AC1189" i="22"/>
  <c r="I1190" i="22" l="1"/>
  <c r="R1189" i="22"/>
  <c r="S1189" i="22" s="1"/>
  <c r="K1189" i="22" s="1"/>
  <c r="B1190" i="22"/>
  <c r="H1190" i="22" l="1"/>
  <c r="X1189" i="22"/>
  <c r="Y1189" i="22" s="1"/>
  <c r="AG1189" i="22" l="1"/>
  <c r="F1190" i="22" l="1"/>
  <c r="AK1189" i="22"/>
  <c r="G1190" i="22" s="1"/>
  <c r="T1190" i="22" a="1"/>
  <c r="T1190" i="22" l="1"/>
  <c r="Q1190" i="22" l="1"/>
  <c r="AD1190" i="22"/>
  <c r="C1191" i="22" s="1"/>
  <c r="U1190" i="22"/>
  <c r="AE1190" i="22" s="1"/>
  <c r="D1191" i="22" s="1"/>
  <c r="V1190" i="22"/>
  <c r="AF1190" i="22" s="1"/>
  <c r="E1191" i="22" s="1"/>
  <c r="W1190" i="22" a="1"/>
  <c r="W1190" i="22" l="1"/>
  <c r="P1190" i="22" a="1"/>
  <c r="P1190" i="22" l="1"/>
  <c r="AC1190" i="22"/>
  <c r="B1191" i="22" l="1"/>
  <c r="I1191" i="22"/>
  <c r="R1190" i="22"/>
  <c r="S1190" i="22" s="1"/>
  <c r="K1190" i="22" s="1"/>
  <c r="X1190" i="22" l="1"/>
  <c r="Y1190" i="22" s="1"/>
  <c r="H1191" i="22"/>
  <c r="AG1190" i="22" l="1"/>
  <c r="F1191" i="22" l="1"/>
  <c r="AK1190" i="22"/>
  <c r="G1191" i="22" s="1"/>
  <c r="T1191" i="22" a="1"/>
  <c r="T1191" i="22" l="1"/>
  <c r="Q1191" i="22" l="1"/>
  <c r="V1191" i="22"/>
  <c r="AF1191" i="22" s="1"/>
  <c r="E1192" i="22" s="1"/>
  <c r="AD1191" i="22"/>
  <c r="C1192" i="22" s="1"/>
  <c r="U1191" i="22"/>
  <c r="AE1191" i="22" s="1"/>
  <c r="D1192" i="22" s="1"/>
  <c r="W1191" i="22" a="1"/>
  <c r="W1191" i="22" l="1"/>
  <c r="P1191" i="22" a="1"/>
  <c r="P1191" i="22" l="1"/>
  <c r="AC1191" i="22"/>
  <c r="B1192" i="22" l="1"/>
  <c r="R1191" i="22"/>
  <c r="S1191" i="22" s="1"/>
  <c r="K1191" i="22" s="1"/>
  <c r="I1192" i="22"/>
  <c r="H1192" i="22" l="1"/>
  <c r="X1191" i="22"/>
  <c r="Y1191" i="22" s="1"/>
  <c r="AG1191" i="22" l="1"/>
  <c r="F1192" i="22" l="1"/>
  <c r="AK1191" i="22"/>
  <c r="G1192" i="22" s="1"/>
  <c r="T1192" i="22" a="1"/>
  <c r="T1192" i="22" l="1"/>
  <c r="Q1192" i="22" l="1"/>
  <c r="AD1192" i="22"/>
  <c r="C1193" i="22" s="1"/>
  <c r="V1192" i="22"/>
  <c r="AF1192" i="22" s="1"/>
  <c r="E1193" i="22" s="1"/>
  <c r="U1192" i="22"/>
  <c r="AE1192" i="22" s="1"/>
  <c r="D1193" i="22" s="1"/>
  <c r="W1192" i="22" a="1"/>
  <c r="W1192" i="22" l="1"/>
  <c r="P1192" i="22" a="1"/>
  <c r="P1192" i="22" l="1"/>
  <c r="AC1192" i="22"/>
  <c r="I1193" i="22" l="1"/>
  <c r="R1192" i="22"/>
  <c r="S1192" i="22" s="1"/>
  <c r="K1192" i="22" s="1"/>
  <c r="B1193" i="22"/>
  <c r="H1193" i="22" l="1"/>
  <c r="X1192" i="22"/>
  <c r="Y1192" i="22" s="1"/>
  <c r="AG1192" i="22" l="1"/>
  <c r="F1193" i="22" l="1"/>
  <c r="AK1192" i="22"/>
  <c r="G1193" i="22" s="1"/>
  <c r="T1193" i="22" a="1"/>
  <c r="T1193" i="22" l="1"/>
  <c r="Q1193" i="22" l="1"/>
  <c r="U1193" i="22"/>
  <c r="AE1193" i="22" s="1"/>
  <c r="D1194" i="22" s="1"/>
  <c r="AD1193" i="22"/>
  <c r="C1194" i="22" s="1"/>
  <c r="V1193" i="22"/>
  <c r="AF1193" i="22" s="1"/>
  <c r="E1194" i="22" s="1"/>
  <c r="W1193" i="22" a="1"/>
  <c r="W1193" i="22" l="1"/>
  <c r="P1193" i="22" a="1"/>
  <c r="P1193" i="22" l="1"/>
  <c r="AC1193" i="22"/>
  <c r="B1194" i="22" l="1"/>
  <c r="I1194" i="22"/>
  <c r="R1193" i="22"/>
  <c r="S1193" i="22" s="1"/>
  <c r="K1193" i="22" s="1"/>
  <c r="X1193" i="22" l="1"/>
  <c r="Y1193" i="22" s="1"/>
  <c r="H1194" i="22"/>
  <c r="AG1193" i="22" l="1"/>
  <c r="F1194" i="22" l="1"/>
  <c r="AK1193" i="22"/>
  <c r="G1194" i="22" s="1"/>
  <c r="T1194" i="22" a="1"/>
  <c r="T1194" i="22" l="1"/>
  <c r="Q1194" i="22" l="1"/>
  <c r="V1194" i="22"/>
  <c r="AF1194" i="22" s="1"/>
  <c r="E1195" i="22" s="1"/>
  <c r="AD1194" i="22"/>
  <c r="C1195" i="22" s="1"/>
  <c r="U1194" i="22"/>
  <c r="AE1194" i="22" s="1"/>
  <c r="D1195" i="22" s="1"/>
  <c r="W1194" i="22" a="1"/>
  <c r="W1194" i="22" l="1"/>
  <c r="P1194" i="22" a="1"/>
  <c r="P1194" i="22" l="1"/>
  <c r="AC1194" i="22"/>
  <c r="R1194" i="22" l="1"/>
  <c r="S1194" i="22" s="1"/>
  <c r="K1194" i="22" s="1"/>
  <c r="I1195" i="22"/>
  <c r="B1195" i="22"/>
  <c r="H1195" i="22" l="1"/>
  <c r="X1194" i="22"/>
  <c r="Y1194" i="22" s="1"/>
  <c r="AG1194" i="22" l="1"/>
  <c r="F1195" i="22" l="1"/>
  <c r="AK1194" i="22"/>
  <c r="G1195" i="22" s="1"/>
  <c r="T1195" i="22" a="1"/>
  <c r="T1195" i="22" l="1"/>
  <c r="Q1195" i="22" l="1"/>
  <c r="AD1195" i="22"/>
  <c r="C1196" i="22" s="1"/>
  <c r="V1195" i="22"/>
  <c r="AF1195" i="22" s="1"/>
  <c r="E1196" i="22" s="1"/>
  <c r="U1195" i="22"/>
  <c r="AE1195" i="22" s="1"/>
  <c r="D1196" i="22" s="1"/>
  <c r="W1195" i="22" a="1"/>
  <c r="W1195" i="22" l="1"/>
  <c r="P1195" i="22" a="1"/>
  <c r="P1195" i="22" l="1"/>
  <c r="AC1195" i="22"/>
  <c r="B1196" i="22" l="1"/>
  <c r="R1195" i="22"/>
  <c r="S1195" i="22" s="1"/>
  <c r="K1195" i="22" s="1"/>
  <c r="I1196" i="22"/>
  <c r="X1195" i="22" l="1"/>
  <c r="Y1195" i="22" s="1"/>
  <c r="H1196" i="22"/>
  <c r="AG1195" i="22" l="1"/>
  <c r="F1196" i="22" l="1"/>
  <c r="AK1195" i="22"/>
  <c r="G1196" i="22" s="1"/>
  <c r="T1196" i="22" a="1"/>
  <c r="T1196" i="22" l="1"/>
  <c r="Q1196" i="22" l="1"/>
  <c r="V1196" i="22"/>
  <c r="AF1196" i="22" s="1"/>
  <c r="E1197" i="22" s="1"/>
  <c r="U1196" i="22"/>
  <c r="AE1196" i="22" s="1"/>
  <c r="D1197" i="22" s="1"/>
  <c r="AD1196" i="22"/>
  <c r="C1197" i="22" s="1"/>
  <c r="W1196" i="22" a="1"/>
  <c r="W1196" i="22" l="1"/>
  <c r="P1196" i="22" a="1"/>
  <c r="P1196" i="22" l="1"/>
  <c r="AC1196" i="22"/>
  <c r="B1197" i="22" l="1"/>
  <c r="I1197" i="22"/>
  <c r="R1196" i="22"/>
  <c r="S1196" i="22" s="1"/>
  <c r="K1196" i="22" s="1"/>
  <c r="X1196" i="22" l="1"/>
  <c r="Y1196" i="22" s="1"/>
  <c r="H1197" i="22"/>
  <c r="AG1196" i="22" l="1"/>
  <c r="F1197" i="22" s="1"/>
  <c r="AK1196" i="22" l="1"/>
  <c r="G1197" i="22" s="1"/>
  <c r="T1197" i="22" a="1"/>
  <c r="T1197" i="22" l="1"/>
  <c r="AD1197" i="22" s="1"/>
  <c r="C1198" i="22" s="1"/>
  <c r="Q1197" i="22"/>
  <c r="V1197" i="22"/>
  <c r="AF1197" i="22" s="1"/>
  <c r="E1198" i="22" s="1"/>
  <c r="U1197" i="22"/>
  <c r="AE1197" i="22" s="1"/>
  <c r="D1198" i="22" s="1"/>
  <c r="W1197" i="22" a="1"/>
  <c r="W1197" i="22" l="1"/>
  <c r="P1197" i="22" a="1"/>
  <c r="P1197" i="22" l="1"/>
  <c r="AC1197" i="22"/>
  <c r="I1198" i="22" l="1"/>
  <c r="R1197" i="22"/>
  <c r="S1197" i="22" s="1"/>
  <c r="K1197" i="22" s="1"/>
  <c r="B1198" i="22"/>
  <c r="H1198" i="22" l="1"/>
  <c r="X1197" i="22"/>
  <c r="Y1197" i="22" s="1"/>
  <c r="AG1197" i="22" l="1"/>
  <c r="F1198" i="22" l="1"/>
  <c r="AK1197" i="22"/>
  <c r="G1198" i="22" s="1"/>
  <c r="T1198" i="22" a="1"/>
  <c r="T1198" i="22" l="1"/>
  <c r="Q1198" i="22" l="1"/>
  <c r="U1198" i="22"/>
  <c r="AE1198" i="22" s="1"/>
  <c r="D1199" i="22" s="1"/>
  <c r="V1198" i="22"/>
  <c r="AF1198" i="22" s="1"/>
  <c r="E1199" i="22" s="1"/>
  <c r="AD1198" i="22"/>
  <c r="C1199" i="22" s="1"/>
  <c r="W1198" i="22" a="1"/>
  <c r="W1198" i="22" l="1"/>
  <c r="P1198" i="22" a="1"/>
  <c r="P1198" i="22" l="1"/>
  <c r="AC1198" i="22"/>
  <c r="B1199" i="22" l="1"/>
  <c r="R1198" i="22"/>
  <c r="S1198" i="22" s="1"/>
  <c r="K1198" i="22" s="1"/>
  <c r="I1199" i="22"/>
  <c r="X1198" i="22" l="1"/>
  <c r="Y1198" i="22" s="1"/>
  <c r="H1199" i="22"/>
  <c r="AG1198" i="22" l="1"/>
  <c r="F1199" i="22" l="1"/>
  <c r="AK1198" i="22"/>
  <c r="G1199" i="22" s="1"/>
  <c r="T1199" i="22" a="1"/>
  <c r="T1199" i="22" l="1"/>
  <c r="Q1199" i="22" l="1"/>
  <c r="AD1199" i="22"/>
  <c r="C1200" i="22" s="1"/>
  <c r="V1199" i="22"/>
  <c r="AF1199" i="22" s="1"/>
  <c r="E1200" i="22" s="1"/>
  <c r="U1199" i="22"/>
  <c r="AE1199" i="22" s="1"/>
  <c r="D1200" i="22" s="1"/>
  <c r="W1199" i="22" a="1"/>
  <c r="W1199" i="22" l="1"/>
  <c r="P1199" i="22" a="1"/>
  <c r="P1199" i="22" l="1"/>
  <c r="AC1199" i="22"/>
  <c r="B1200" i="22" l="1"/>
  <c r="I1200" i="22"/>
  <c r="R1199" i="22"/>
  <c r="S1199" i="22" s="1"/>
  <c r="K1199" i="22" s="1"/>
  <c r="X1199" i="22" l="1"/>
  <c r="Y1199" i="22" s="1"/>
  <c r="H1200" i="22"/>
  <c r="AG1199" i="22" l="1"/>
  <c r="F1200" i="22" l="1"/>
  <c r="AK1199" i="22"/>
  <c r="G1200" i="22" s="1"/>
  <c r="T1200" i="22" a="1"/>
  <c r="T1200" i="22" l="1"/>
  <c r="Q1200" i="22" l="1"/>
  <c r="U1200" i="22"/>
  <c r="AE1200" i="22" s="1"/>
  <c r="D1201" i="22" s="1"/>
  <c r="AD1200" i="22"/>
  <c r="C1201" i="22" s="1"/>
  <c r="V1200" i="22"/>
  <c r="AF1200" i="22" s="1"/>
  <c r="E1201" i="22" s="1"/>
  <c r="W1200" i="22" a="1"/>
  <c r="W1200" i="22" l="1"/>
  <c r="P1200" i="22" a="1"/>
  <c r="P1200" i="22" l="1"/>
  <c r="AC1200" i="22"/>
  <c r="B1201" i="22" l="1"/>
  <c r="R1200" i="22"/>
  <c r="S1200" i="22" s="1"/>
  <c r="K1200" i="22" s="1"/>
  <c r="I1201" i="22"/>
  <c r="X1200" i="22" l="1"/>
  <c r="Y1200" i="22" s="1"/>
  <c r="H1201" i="22"/>
  <c r="AG1200" i="22" l="1"/>
  <c r="F1201" i="22" l="1"/>
  <c r="AK1200" i="22"/>
  <c r="G1201" i="22" s="1"/>
  <c r="T1201" i="22" a="1"/>
  <c r="T1201" i="22" l="1"/>
  <c r="Q1201" i="22" l="1"/>
  <c r="U1201" i="22"/>
  <c r="AE1201" i="22" s="1"/>
  <c r="D1202" i="22" s="1"/>
  <c r="AD1201" i="22"/>
  <c r="C1202" i="22" s="1"/>
  <c r="V1201" i="22"/>
  <c r="AF1201" i="22" s="1"/>
  <c r="E1202" i="22" s="1"/>
  <c r="W1201" i="22" a="1"/>
  <c r="W1201" i="22" l="1"/>
  <c r="P1201" i="22" a="1"/>
  <c r="P1201" i="22" l="1"/>
  <c r="AC1201" i="22"/>
  <c r="B1202" i="22" l="1"/>
  <c r="I1202" i="22"/>
  <c r="R1201" i="22"/>
  <c r="S1201" i="22" s="1"/>
  <c r="K1201" i="22" s="1"/>
  <c r="H1202" i="22" l="1"/>
  <c r="X1201" i="22"/>
  <c r="Y1201" i="22" s="1"/>
  <c r="AG1201" i="22" l="1"/>
  <c r="F1202" i="22" l="1"/>
  <c r="AK1201" i="22"/>
  <c r="G1202" i="22" s="1"/>
  <c r="T1202" i="22" a="1"/>
  <c r="T1202" i="22" l="1"/>
  <c r="Q1202" i="22" l="1"/>
  <c r="V1202" i="22"/>
  <c r="AF1202" i="22" s="1"/>
  <c r="E1203" i="22" s="1"/>
  <c r="AD1202" i="22"/>
  <c r="C1203" i="22" s="1"/>
  <c r="U1202" i="22"/>
  <c r="AE1202" i="22" s="1"/>
  <c r="D1203" i="22" s="1"/>
  <c r="W1202" i="22" a="1"/>
  <c r="W1202" i="22" l="1"/>
  <c r="P1202" i="22" a="1"/>
  <c r="P1202" i="22" l="1"/>
  <c r="AC1202" i="22"/>
  <c r="B1203" i="22" l="1"/>
  <c r="I1203" i="22"/>
  <c r="H1203" i="22" s="1"/>
  <c r="R1202" i="22"/>
  <c r="S1202" i="22" s="1"/>
  <c r="K1202" i="22" s="1"/>
  <c r="X1202" i="22" l="1"/>
  <c r="Y1202" i="22" s="1"/>
  <c r="AG1202" i="22" l="1"/>
  <c r="F1203" i="22" l="1"/>
  <c r="AK1202" i="22"/>
  <c r="G1203" i="22" s="1"/>
  <c r="T1203" i="22" a="1"/>
  <c r="T1203" i="22" l="1"/>
  <c r="Q1203" i="22" l="1"/>
  <c r="AD1203" i="22"/>
  <c r="C1204" i="22" s="1"/>
  <c r="U1203" i="22"/>
  <c r="AE1203" i="22" s="1"/>
  <c r="D1204" i="22" s="1"/>
  <c r="V1203" i="22"/>
  <c r="AF1203" i="22" s="1"/>
  <c r="E1204" i="22" s="1"/>
  <c r="W1203" i="22" a="1"/>
  <c r="W1203" i="22" l="1"/>
  <c r="P1203" i="22" a="1"/>
  <c r="P1203" i="22" l="1"/>
  <c r="AC1203" i="22"/>
  <c r="B1204" i="22" l="1"/>
  <c r="I1204" i="22"/>
  <c r="R1203" i="22"/>
  <c r="S1203" i="22" s="1"/>
  <c r="K1203" i="22" s="1"/>
  <c r="X1203" i="22" l="1"/>
  <c r="Y1203" i="22" s="1"/>
  <c r="H1204" i="22"/>
  <c r="AG1203" i="22" l="1"/>
  <c r="F1204" i="22" l="1"/>
  <c r="AK1203" i="22"/>
  <c r="G1204" i="22" s="1"/>
  <c r="T1204" i="22" a="1"/>
  <c r="T1204" i="22" l="1"/>
  <c r="Q1204" i="22" l="1"/>
  <c r="AD1204" i="22"/>
  <c r="C1205" i="22" s="1"/>
  <c r="U1204" i="22"/>
  <c r="AE1204" i="22" s="1"/>
  <c r="D1205" i="22" s="1"/>
  <c r="V1204" i="22"/>
  <c r="AF1204" i="22" s="1"/>
  <c r="E1205" i="22" s="1"/>
  <c r="W1204" i="22" a="1"/>
  <c r="W1204" i="22" l="1"/>
  <c r="P1204" i="22" a="1"/>
  <c r="P1204" i="22" l="1"/>
  <c r="AC1204" i="22"/>
  <c r="B1205" i="22" l="1"/>
  <c r="R1204" i="22"/>
  <c r="S1204" i="22" s="1"/>
  <c r="K1204" i="22" s="1"/>
  <c r="I1205" i="22"/>
  <c r="H1205" i="22" l="1"/>
  <c r="X1204" i="22"/>
  <c r="Y1204" i="22" s="1"/>
  <c r="AG1204" i="22" l="1"/>
  <c r="F1205" i="22" l="1"/>
  <c r="AK1204" i="22"/>
  <c r="G1205" i="22" s="1"/>
  <c r="T1205" i="22" a="1"/>
  <c r="T1205" i="22" l="1"/>
  <c r="Q1205" i="22" l="1"/>
  <c r="V1205" i="22"/>
  <c r="AF1205" i="22" s="1"/>
  <c r="E1206" i="22" s="1"/>
  <c r="U1205" i="22"/>
  <c r="AE1205" i="22" s="1"/>
  <c r="D1206" i="22" s="1"/>
  <c r="AD1205" i="22"/>
  <c r="C1206" i="22" s="1"/>
  <c r="W1205" i="22" a="1"/>
  <c r="W1205" i="22" l="1"/>
  <c r="P1205" i="22" a="1"/>
  <c r="P1205" i="22" l="1"/>
  <c r="AC1205" i="22"/>
  <c r="B1206" i="22" l="1"/>
  <c r="R1205" i="22"/>
  <c r="S1205" i="22" s="1"/>
  <c r="K1205" i="22" s="1"/>
  <c r="I1206" i="22"/>
  <c r="H1206" i="22" l="1"/>
  <c r="X1205" i="22"/>
  <c r="Y1205" i="22" s="1"/>
  <c r="AG1205" i="22" l="1"/>
  <c r="F1206" i="22" l="1"/>
  <c r="AK1205" i="22"/>
  <c r="G1206" i="22" s="1"/>
  <c r="T1206" i="22" a="1"/>
  <c r="T1206" i="22" l="1"/>
  <c r="Q1206" i="22" l="1"/>
  <c r="V1206" i="22"/>
  <c r="AF1206" i="22" s="1"/>
  <c r="E1207" i="22" s="1"/>
  <c r="U1206" i="22"/>
  <c r="AE1206" i="22" s="1"/>
  <c r="D1207" i="22" s="1"/>
  <c r="AD1206" i="22"/>
  <c r="C1207" i="22" s="1"/>
  <c r="W1206" i="22" a="1"/>
  <c r="W1206" i="22" l="1"/>
  <c r="P1206" i="22" a="1"/>
  <c r="P1206" i="22" l="1"/>
  <c r="AC1206" i="22"/>
  <c r="B1207" i="22" l="1"/>
  <c r="R1206" i="22"/>
  <c r="S1206" i="22" s="1"/>
  <c r="K1206" i="22" s="1"/>
  <c r="I1207" i="22"/>
  <c r="X1206" i="22" l="1"/>
  <c r="Y1206" i="22" s="1"/>
  <c r="H1207" i="22"/>
  <c r="AG1206" i="22" l="1"/>
  <c r="F1207" i="22" l="1"/>
  <c r="AK1206" i="22"/>
  <c r="G1207" i="22" s="1"/>
  <c r="T1207" i="22" a="1"/>
  <c r="T1207" i="22" l="1"/>
  <c r="Q1207" i="22" l="1"/>
  <c r="U1207" i="22"/>
  <c r="AE1207" i="22" s="1"/>
  <c r="D1208" i="22" s="1"/>
  <c r="V1207" i="22"/>
  <c r="AF1207" i="22" s="1"/>
  <c r="E1208" i="22" s="1"/>
  <c r="AD1207" i="22"/>
  <c r="C1208" i="22" s="1"/>
  <c r="W1207" i="22" a="1"/>
  <c r="W1207" i="22" l="1"/>
  <c r="P1207" i="22" a="1"/>
  <c r="P1207" i="22" l="1"/>
  <c r="AC1207" i="22"/>
  <c r="R1207" i="22" l="1"/>
  <c r="S1207" i="22" s="1"/>
  <c r="K1207" i="22" s="1"/>
  <c r="I1208" i="22"/>
  <c r="B1208" i="22"/>
  <c r="H1208" i="22" l="1"/>
  <c r="X1207" i="22"/>
  <c r="Y1207" i="22" s="1"/>
  <c r="AG1207" i="22" l="1"/>
  <c r="F1208" i="22" l="1"/>
  <c r="AK1207" i="22"/>
  <c r="G1208" i="22" s="1"/>
  <c r="T1208" i="22" a="1"/>
  <c r="T1208" i="22" l="1"/>
  <c r="Q1208" i="22" l="1"/>
  <c r="V1208" i="22"/>
  <c r="AF1208" i="22" s="1"/>
  <c r="E1209" i="22" s="1"/>
  <c r="AD1208" i="22"/>
  <c r="C1209" i="22" s="1"/>
  <c r="U1208" i="22"/>
  <c r="AE1208" i="22" s="1"/>
  <c r="D1209" i="22" s="1"/>
  <c r="W1208" i="22" a="1"/>
  <c r="W1208" i="22" l="1"/>
  <c r="P1208" i="22" a="1"/>
  <c r="P1208" i="22" l="1"/>
  <c r="AC1208" i="22"/>
  <c r="B1209" i="22" l="1"/>
  <c r="I1209" i="22"/>
  <c r="R1208" i="22"/>
  <c r="S1208" i="22" s="1"/>
  <c r="K1208" i="22" s="1"/>
  <c r="X1208" i="22" l="1"/>
  <c r="Y1208" i="22" s="1"/>
  <c r="H1209" i="22"/>
  <c r="AG1208" i="22" l="1"/>
  <c r="F1209" i="22" l="1"/>
  <c r="AK1208" i="22"/>
  <c r="G1209" i="22" s="1"/>
  <c r="T1209" i="22" a="1"/>
  <c r="T1209" i="22" l="1"/>
  <c r="Q1209" i="22" l="1"/>
  <c r="AD1209" i="22"/>
  <c r="C1210" i="22" s="1"/>
  <c r="U1209" i="22"/>
  <c r="AE1209" i="22" s="1"/>
  <c r="D1210" i="22" s="1"/>
  <c r="V1209" i="22"/>
  <c r="AF1209" i="22" s="1"/>
  <c r="E1210" i="22" s="1"/>
  <c r="W1209" i="22" a="1"/>
  <c r="W1209" i="22" l="1"/>
  <c r="P1209" i="22" a="1"/>
  <c r="P1209" i="22" l="1"/>
  <c r="AC1209" i="22"/>
  <c r="B1210" i="22" l="1"/>
  <c r="I1210" i="22"/>
  <c r="R1209" i="22"/>
  <c r="S1209" i="22" s="1"/>
  <c r="K1209" i="22" s="1"/>
  <c r="X1209" i="22" l="1"/>
  <c r="Y1209" i="22" s="1"/>
  <c r="H1210" i="22"/>
  <c r="AG1209" i="22" l="1"/>
  <c r="F1210" i="22" l="1"/>
  <c r="AK1209" i="22"/>
  <c r="G1210" i="22" s="1"/>
  <c r="T1210" i="22" a="1"/>
  <c r="T1210" i="22" l="1"/>
  <c r="Q1210" i="22" l="1"/>
  <c r="U1210" i="22"/>
  <c r="AE1210" i="22" s="1"/>
  <c r="D1211" i="22" s="1"/>
  <c r="V1210" i="22"/>
  <c r="AF1210" i="22" s="1"/>
  <c r="E1211" i="22" s="1"/>
  <c r="AD1210" i="22"/>
  <c r="C1211" i="22" s="1"/>
  <c r="W1210" i="22" a="1"/>
  <c r="W1210" i="22" l="1"/>
  <c r="P1210" i="22" a="1"/>
  <c r="P1210" i="22" l="1"/>
  <c r="AC1210" i="22"/>
  <c r="B1211" i="22" l="1"/>
  <c r="I1211" i="22"/>
  <c r="R1210" i="22"/>
  <c r="S1210" i="22" s="1"/>
  <c r="K1210" i="22" s="1"/>
  <c r="H1211" i="22" l="1"/>
  <c r="X1210" i="22"/>
  <c r="Y1210" i="22" s="1"/>
  <c r="AG1210" i="22" l="1"/>
  <c r="F1211" i="22" l="1"/>
  <c r="AK1210" i="22"/>
  <c r="G1211" i="22" s="1"/>
  <c r="T1211" i="22" a="1"/>
  <c r="T1211" i="22" l="1"/>
  <c r="Q1211" i="22" l="1"/>
  <c r="U1211" i="22"/>
  <c r="AE1211" i="22" s="1"/>
  <c r="D1212" i="22" s="1"/>
  <c r="AD1211" i="22"/>
  <c r="C1212" i="22" s="1"/>
  <c r="V1211" i="22"/>
  <c r="AF1211" i="22" s="1"/>
  <c r="E1212" i="22" s="1"/>
  <c r="W1211" i="22" a="1"/>
  <c r="W1211" i="22" l="1"/>
  <c r="P1211" i="22" a="1"/>
  <c r="P1211" i="22" l="1"/>
  <c r="AC1211" i="22"/>
  <c r="I1212" i="22" l="1"/>
  <c r="R1211" i="22"/>
  <c r="S1211" i="22" s="1"/>
  <c r="K1211" i="22" s="1"/>
  <c r="B1212" i="22"/>
  <c r="H1212" i="22" l="1"/>
  <c r="X1211" i="22"/>
  <c r="Y1211" i="22" s="1"/>
  <c r="AG1211" i="22" l="1"/>
  <c r="F1212" i="22" l="1"/>
  <c r="AK1211" i="22"/>
  <c r="G1212" i="22" s="1"/>
  <c r="T1212" i="22" a="1"/>
  <c r="T1212" i="22" l="1"/>
  <c r="Q1212" i="22" l="1"/>
  <c r="V1212" i="22"/>
  <c r="AF1212" i="22" s="1"/>
  <c r="E1213" i="22" s="1"/>
  <c r="AD1212" i="22"/>
  <c r="C1213" i="22" s="1"/>
  <c r="U1212" i="22"/>
  <c r="AE1212" i="22" s="1"/>
  <c r="D1213" i="22" s="1"/>
  <c r="W1212" i="22" a="1"/>
  <c r="W1212" i="22" l="1"/>
  <c r="P1212" i="22" a="1"/>
  <c r="P1212" i="22" l="1"/>
  <c r="AC1212" i="22"/>
  <c r="R1212" i="22" l="1"/>
  <c r="S1212" i="22" s="1"/>
  <c r="K1212" i="22" s="1"/>
  <c r="I1213" i="22"/>
  <c r="B1213" i="22"/>
  <c r="X1212" i="22" l="1"/>
  <c r="Y1212" i="22" s="1"/>
  <c r="H1213" i="22"/>
  <c r="AG1212" i="22" l="1"/>
  <c r="F1213" i="22" l="1"/>
  <c r="AK1212" i="22"/>
  <c r="G1213" i="22" s="1"/>
  <c r="T1213" i="22" a="1"/>
  <c r="T1213" i="22" l="1"/>
  <c r="Q1213" i="22" l="1"/>
  <c r="U1213" i="22"/>
  <c r="AE1213" i="22" s="1"/>
  <c r="D1214" i="22" s="1"/>
  <c r="AD1213" i="22"/>
  <c r="C1214" i="22" s="1"/>
  <c r="V1213" i="22"/>
  <c r="AF1213" i="22" s="1"/>
  <c r="E1214" i="22" s="1"/>
  <c r="W1213" i="22" a="1"/>
  <c r="W1213" i="22" l="1"/>
  <c r="P1213" i="22" a="1"/>
  <c r="P1213" i="22" l="1"/>
  <c r="AC1213" i="22"/>
  <c r="R1213" i="22" l="1"/>
  <c r="S1213" i="22" s="1"/>
  <c r="K1213" i="22" s="1"/>
  <c r="I1214" i="22"/>
  <c r="B1214" i="22"/>
  <c r="H1214" i="22" l="1"/>
  <c r="X1213" i="22"/>
  <c r="Y1213" i="22" s="1"/>
  <c r="AG1213" i="22" l="1"/>
  <c r="F1214" i="22" l="1"/>
  <c r="AK1213" i="22"/>
  <c r="G1214" i="22" s="1"/>
  <c r="T1214" i="22" a="1"/>
  <c r="T1214" i="22" l="1"/>
  <c r="Q1214" i="22" l="1"/>
  <c r="V1214" i="22"/>
  <c r="AF1214" i="22" s="1"/>
  <c r="E1215" i="22" s="1"/>
  <c r="AD1214" i="22"/>
  <c r="C1215" i="22" s="1"/>
  <c r="U1214" i="22"/>
  <c r="AE1214" i="22" s="1"/>
  <c r="D1215" i="22" s="1"/>
  <c r="W1214" i="22" a="1"/>
  <c r="W1214" i="22" l="1"/>
  <c r="P1214" i="22" a="1"/>
  <c r="P1214" i="22" l="1"/>
  <c r="AC1214" i="22"/>
  <c r="I1215" i="22" l="1"/>
  <c r="R1214" i="22"/>
  <c r="S1214" i="22" s="1"/>
  <c r="K1214" i="22" s="1"/>
  <c r="B1215" i="22"/>
  <c r="H1215" i="22" l="1"/>
  <c r="X1214" i="22"/>
  <c r="Y1214" i="22" s="1"/>
  <c r="AG1214" i="22" l="1"/>
  <c r="F1215" i="22" l="1"/>
  <c r="AK1214" i="22"/>
  <c r="G1215" i="22" s="1"/>
  <c r="T1215" i="22" a="1"/>
  <c r="T1215" i="22" l="1"/>
  <c r="Q1215" i="22" l="1"/>
  <c r="U1215" i="22"/>
  <c r="AE1215" i="22" s="1"/>
  <c r="D1216" i="22" s="1"/>
  <c r="AD1215" i="22"/>
  <c r="C1216" i="22" s="1"/>
  <c r="V1215" i="22"/>
  <c r="AF1215" i="22" s="1"/>
  <c r="E1216" i="22" s="1"/>
  <c r="W1215" i="22" a="1"/>
  <c r="W1215" i="22" l="1"/>
  <c r="P1215" i="22" a="1"/>
  <c r="P1215" i="22" l="1"/>
  <c r="AC1215" i="22"/>
  <c r="B1216" i="22" l="1"/>
  <c r="R1215" i="22"/>
  <c r="S1215" i="22" s="1"/>
  <c r="K1215" i="22" s="1"/>
  <c r="I1216" i="22"/>
  <c r="H1216" i="22" l="1"/>
  <c r="X1215" i="22"/>
  <c r="Y1215" i="22" s="1"/>
  <c r="AG1215" i="22" l="1"/>
  <c r="F1216" i="22" l="1"/>
  <c r="AK1215" i="22"/>
  <c r="G1216" i="22" s="1"/>
  <c r="T1216" i="22" a="1"/>
  <c r="T1216" i="22" l="1"/>
  <c r="Q1216" i="22" l="1"/>
  <c r="AD1216" i="22"/>
  <c r="C1217" i="22" s="1"/>
  <c r="V1216" i="22"/>
  <c r="AF1216" i="22" s="1"/>
  <c r="E1217" i="22" s="1"/>
  <c r="U1216" i="22"/>
  <c r="AE1216" i="22" s="1"/>
  <c r="D1217" i="22" s="1"/>
  <c r="W1216" i="22" a="1"/>
  <c r="W1216" i="22" l="1"/>
  <c r="P1216" i="22" a="1"/>
  <c r="P1216" i="22" l="1"/>
  <c r="AC1216" i="22"/>
  <c r="R1216" i="22" l="1"/>
  <c r="S1216" i="22" s="1"/>
  <c r="K1216" i="22" s="1"/>
  <c r="I1217" i="22"/>
  <c r="B1217" i="22"/>
  <c r="H1217" i="22" l="1"/>
  <c r="X1216" i="22"/>
  <c r="Y1216" i="22" s="1"/>
  <c r="AG1216" i="22" l="1"/>
  <c r="F1217" i="22" l="1"/>
  <c r="AK1216" i="22"/>
  <c r="G1217" i="22" s="1"/>
  <c r="T1217" i="22" a="1"/>
  <c r="T1217" i="22" l="1"/>
  <c r="Q1217" i="22" l="1"/>
  <c r="U1217" i="22"/>
  <c r="AE1217" i="22" s="1"/>
  <c r="D1218" i="22" s="1"/>
  <c r="AD1217" i="22"/>
  <c r="C1218" i="22" s="1"/>
  <c r="V1217" i="22"/>
  <c r="AF1217" i="22" s="1"/>
  <c r="E1218" i="22" s="1"/>
  <c r="W1217" i="22" a="1"/>
  <c r="W1217" i="22" l="1"/>
  <c r="P1217" i="22" a="1"/>
  <c r="P1217" i="22" l="1"/>
  <c r="AC1217" i="22"/>
  <c r="I1218" i="22" l="1"/>
  <c r="R1217" i="22"/>
  <c r="S1217" i="22" s="1"/>
  <c r="K1217" i="22" s="1"/>
  <c r="B1218" i="22"/>
  <c r="X1217" i="22" l="1"/>
  <c r="Y1217" i="22" s="1"/>
  <c r="H1218" i="22"/>
  <c r="AG1217" i="22" l="1"/>
  <c r="F1218" i="22" l="1"/>
  <c r="AK1217" i="22"/>
  <c r="G1218" i="22" s="1"/>
  <c r="T1218" i="22" a="1"/>
  <c r="T1218" i="22" l="1"/>
  <c r="Q1218" i="22" l="1"/>
  <c r="V1218" i="22"/>
  <c r="AF1218" i="22" s="1"/>
  <c r="E1219" i="22" s="1"/>
  <c r="U1218" i="22"/>
  <c r="AE1218" i="22" s="1"/>
  <c r="D1219" i="22" s="1"/>
  <c r="AD1218" i="22"/>
  <c r="C1219" i="22" s="1"/>
  <c r="W1218" i="22" a="1"/>
  <c r="W1218" i="22" l="1"/>
  <c r="P1218" i="22" a="1"/>
  <c r="P1218" i="22" l="1"/>
  <c r="AC1218" i="22"/>
  <c r="R1218" i="22" l="1"/>
  <c r="S1218" i="22" s="1"/>
  <c r="K1218" i="22" s="1"/>
  <c r="I1219" i="22"/>
  <c r="B1219" i="22"/>
  <c r="X1218" i="22" l="1"/>
  <c r="Y1218" i="22" s="1"/>
  <c r="H1219" i="22"/>
  <c r="AG1218" i="22" l="1"/>
  <c r="F1219" i="22" s="1"/>
  <c r="AK1218" i="22" l="1"/>
  <c r="G1219" i="22" s="1"/>
  <c r="T1219" i="22" a="1"/>
  <c r="T1219" i="22" l="1"/>
  <c r="Q1219" i="22"/>
  <c r="AD1219" i="22"/>
  <c r="C1220" i="22" s="1"/>
  <c r="U1219" i="22"/>
  <c r="AE1219" i="22" s="1"/>
  <c r="D1220" i="22" s="1"/>
  <c r="V1219" i="22"/>
  <c r="AF1219" i="22" s="1"/>
  <c r="E1220" i="22" s="1"/>
  <c r="W1219" i="22" a="1"/>
  <c r="W1219" i="22" l="1"/>
  <c r="P1219" i="22" a="1"/>
  <c r="P1219" i="22" l="1"/>
  <c r="AC1219" i="22"/>
  <c r="I1220" i="22" l="1"/>
  <c r="R1219" i="22"/>
  <c r="S1219" i="22" s="1"/>
  <c r="K1219" i="22" s="1"/>
  <c r="B1220" i="22"/>
  <c r="H1220" i="22" l="1"/>
  <c r="X1219" i="22"/>
  <c r="Y1219" i="22" s="1"/>
  <c r="AG1219" i="22" l="1"/>
  <c r="F1220" i="22" l="1"/>
  <c r="AK1219" i="22"/>
  <c r="G1220" i="22" s="1"/>
  <c r="T1220" i="22" a="1"/>
  <c r="T1220" i="22" l="1"/>
  <c r="Q1220" i="22" l="1"/>
  <c r="U1220" i="22"/>
  <c r="AE1220" i="22" s="1"/>
  <c r="D1221" i="22" s="1"/>
  <c r="AD1220" i="22"/>
  <c r="C1221" i="22" s="1"/>
  <c r="V1220" i="22"/>
  <c r="AF1220" i="22" s="1"/>
  <c r="E1221" i="22" s="1"/>
  <c r="W1220" i="22" a="1"/>
  <c r="W1220" i="22" l="1"/>
  <c r="P1220" i="22" a="1"/>
  <c r="P1220" i="22" l="1"/>
  <c r="AC1220" i="22"/>
  <c r="R1220" i="22" l="1"/>
  <c r="S1220" i="22" s="1"/>
  <c r="K1220" i="22" s="1"/>
  <c r="I1221" i="22"/>
  <c r="B1221" i="22"/>
  <c r="H1221" i="22" l="1"/>
  <c r="X1220" i="22"/>
  <c r="Y1220" i="22" s="1"/>
  <c r="AG1220" i="22" l="1"/>
  <c r="F1221" i="22" l="1"/>
  <c r="AK1220" i="22"/>
  <c r="G1221" i="22" s="1"/>
  <c r="T1221" i="22" a="1"/>
  <c r="T1221" i="22" l="1"/>
  <c r="Q1221" i="22" l="1"/>
  <c r="V1221" i="22"/>
  <c r="AF1221" i="22" s="1"/>
  <c r="E1222" i="22" s="1"/>
  <c r="U1221" i="22"/>
  <c r="AE1221" i="22" s="1"/>
  <c r="D1222" i="22" s="1"/>
  <c r="AD1221" i="22"/>
  <c r="C1222" i="22" s="1"/>
  <c r="W1221" i="22" a="1"/>
  <c r="W1221" i="22" l="1"/>
  <c r="P1221" i="22" a="1"/>
  <c r="P1221" i="22" l="1"/>
  <c r="AC1221" i="22"/>
  <c r="I1222" i="22" l="1"/>
  <c r="R1221" i="22"/>
  <c r="S1221" i="22" s="1"/>
  <c r="K1221" i="22" s="1"/>
  <c r="B1222" i="22"/>
  <c r="X1221" i="22" l="1"/>
  <c r="Y1221" i="22" s="1"/>
  <c r="H1222" i="22"/>
  <c r="AG1221" i="22" l="1"/>
  <c r="F1222" i="22" l="1"/>
  <c r="AK1221" i="22"/>
  <c r="G1222" i="22" s="1"/>
  <c r="T1222" i="22" a="1"/>
  <c r="T1222" i="22" l="1"/>
  <c r="Q1222" i="22" l="1"/>
  <c r="U1222" i="22"/>
  <c r="AE1222" i="22" s="1"/>
  <c r="D1223" i="22" s="1"/>
  <c r="V1222" i="22"/>
  <c r="AF1222" i="22" s="1"/>
  <c r="E1223" i="22" s="1"/>
  <c r="AD1222" i="22"/>
  <c r="C1223" i="22" s="1"/>
  <c r="W1222" i="22" a="1"/>
  <c r="W1222" i="22" l="1"/>
  <c r="P1222" i="22" a="1"/>
  <c r="P1222" i="22" l="1"/>
  <c r="AC1222" i="22"/>
  <c r="B1223" i="22" l="1"/>
  <c r="I1223" i="22"/>
  <c r="R1222" i="22"/>
  <c r="S1222" i="22" s="1"/>
  <c r="K1222" i="22" s="1"/>
  <c r="X1222" i="22" l="1"/>
  <c r="Y1222" i="22" s="1"/>
  <c r="H1223" i="22"/>
  <c r="AG1222" i="22" l="1"/>
  <c r="F1223" i="22" l="1"/>
  <c r="AK1222" i="22"/>
  <c r="G1223" i="22" s="1"/>
  <c r="T1223" i="22" a="1"/>
  <c r="T1223" i="22" l="1"/>
  <c r="Q1223" i="22" l="1"/>
  <c r="U1223" i="22"/>
  <c r="AE1223" i="22" s="1"/>
  <c r="D1224" i="22" s="1"/>
  <c r="AD1223" i="22"/>
  <c r="C1224" i="22" s="1"/>
  <c r="V1223" i="22"/>
  <c r="AF1223" i="22" s="1"/>
  <c r="E1224" i="22" s="1"/>
  <c r="W1223" i="22" a="1"/>
  <c r="W1223" i="22" l="1"/>
  <c r="P1223" i="22" a="1"/>
  <c r="P1223" i="22" l="1"/>
  <c r="AC1223" i="22"/>
  <c r="B1224" i="22" l="1"/>
  <c r="I1224" i="22"/>
  <c r="R1223" i="22"/>
  <c r="S1223" i="22" s="1"/>
  <c r="K1223" i="22" s="1"/>
  <c r="H1224" i="22" l="1"/>
  <c r="X1223" i="22"/>
  <c r="Y1223" i="22" s="1"/>
  <c r="AG1223" i="22" l="1"/>
  <c r="F1224" i="22" l="1"/>
  <c r="AK1223" i="22"/>
  <c r="G1224" i="22" s="1"/>
  <c r="T1224" i="22" a="1"/>
  <c r="T1224" i="22" l="1"/>
  <c r="Q1224" i="22" l="1"/>
  <c r="AD1224" i="22"/>
  <c r="C1225" i="22" s="1"/>
  <c r="V1224" i="22"/>
  <c r="AF1224" i="22" s="1"/>
  <c r="E1225" i="22" s="1"/>
  <c r="U1224" i="22"/>
  <c r="AE1224" i="22" s="1"/>
  <c r="D1225" i="22" s="1"/>
  <c r="W1224" i="22" a="1"/>
  <c r="W1224" i="22" l="1"/>
  <c r="P1224" i="22" a="1"/>
  <c r="P1224" i="22" l="1"/>
  <c r="AC1224" i="22"/>
  <c r="B1225" i="22" l="1"/>
  <c r="I1225" i="22"/>
  <c r="R1224" i="22"/>
  <c r="S1224" i="22" s="1"/>
  <c r="K1224" i="22" s="1"/>
  <c r="X1224" i="22" l="1"/>
  <c r="Y1224" i="22" s="1"/>
  <c r="H1225" i="22"/>
  <c r="AG1224" i="22" l="1"/>
  <c r="F1225" i="22" l="1"/>
  <c r="AK1224" i="22"/>
  <c r="G1225" i="22" s="1"/>
  <c r="T1225" i="22" a="1"/>
  <c r="T1225" i="22" l="1"/>
  <c r="Q1225" i="22" l="1"/>
  <c r="AD1225" i="22"/>
  <c r="C1226" i="22" s="1"/>
  <c r="V1225" i="22"/>
  <c r="AF1225" i="22" s="1"/>
  <c r="E1226" i="22" s="1"/>
  <c r="U1225" i="22"/>
  <c r="AE1225" i="22" s="1"/>
  <c r="D1226" i="22" s="1"/>
  <c r="W1225" i="22" a="1"/>
  <c r="W1225" i="22" l="1"/>
  <c r="P1225" i="22" a="1"/>
  <c r="P1225" i="22" l="1"/>
  <c r="AC1225" i="22"/>
  <c r="B1226" i="22" l="1"/>
  <c r="I1226" i="22"/>
  <c r="R1225" i="22"/>
  <c r="S1225" i="22" s="1"/>
  <c r="K1225" i="22" s="1"/>
  <c r="X1225" i="22" l="1"/>
  <c r="Y1225" i="22" s="1"/>
  <c r="H1226" i="22"/>
  <c r="AG1225" i="22" l="1"/>
  <c r="F1226" i="22" l="1"/>
  <c r="AK1225" i="22"/>
  <c r="G1226" i="22" s="1"/>
  <c r="T1226" i="22" a="1"/>
  <c r="T1226" i="22" l="1"/>
  <c r="Q1226" i="22" l="1"/>
  <c r="V1226" i="22"/>
  <c r="AF1226" i="22" s="1"/>
  <c r="E1227" i="22" s="1"/>
  <c r="AD1226" i="22"/>
  <c r="C1227" i="22" s="1"/>
  <c r="U1226" i="22"/>
  <c r="AE1226" i="22" s="1"/>
  <c r="D1227" i="22" s="1"/>
  <c r="W1226" i="22" a="1"/>
  <c r="W1226" i="22" l="1"/>
  <c r="P1226" i="22" a="1"/>
  <c r="P1226" i="22" l="1"/>
  <c r="AC1226" i="22"/>
  <c r="B1227" i="22" l="1"/>
  <c r="I1227" i="22"/>
  <c r="R1226" i="22"/>
  <c r="S1226" i="22" s="1"/>
  <c r="K1226" i="22" s="1"/>
  <c r="H1227" i="22" l="1"/>
  <c r="X1226" i="22"/>
  <c r="Y1226" i="22" s="1"/>
  <c r="AG1226" i="22" l="1"/>
  <c r="F1227" i="22" l="1"/>
  <c r="AK1226" i="22"/>
  <c r="G1227" i="22" s="1"/>
  <c r="T1227" i="22" a="1"/>
  <c r="T1227" i="22" l="1"/>
  <c r="Q1227" i="22" l="1"/>
  <c r="U1227" i="22"/>
  <c r="AE1227" i="22" s="1"/>
  <c r="D1228" i="22" s="1"/>
  <c r="AD1227" i="22"/>
  <c r="C1228" i="22" s="1"/>
  <c r="V1227" i="22"/>
  <c r="AF1227" i="22" s="1"/>
  <c r="E1228" i="22" s="1"/>
  <c r="W1227" i="22" a="1"/>
  <c r="W1227" i="22" l="1"/>
  <c r="P1227" i="22" a="1"/>
  <c r="P1227" i="22" l="1"/>
  <c r="AC1227" i="22"/>
  <c r="R1227" i="22" l="1"/>
  <c r="S1227" i="22" s="1"/>
  <c r="K1227" i="22" s="1"/>
  <c r="I1228" i="22"/>
  <c r="B1228" i="22"/>
  <c r="X1227" i="22" l="1"/>
  <c r="Y1227" i="22" s="1"/>
  <c r="H1228" i="22"/>
  <c r="AG1227" i="22" l="1"/>
  <c r="F1228" i="22" l="1"/>
  <c r="AK1227" i="22"/>
  <c r="G1228" i="22" s="1"/>
  <c r="T1228" i="22" a="1"/>
  <c r="T1228" i="22" l="1"/>
  <c r="Q1228" i="22" l="1"/>
  <c r="AD1228" i="22"/>
  <c r="C1229" i="22" s="1"/>
  <c r="V1228" i="22"/>
  <c r="AF1228" i="22" s="1"/>
  <c r="E1229" i="22" s="1"/>
  <c r="U1228" i="22"/>
  <c r="AE1228" i="22" s="1"/>
  <c r="D1229" i="22" s="1"/>
  <c r="W1228" i="22" a="1"/>
  <c r="W1228" i="22" l="1"/>
  <c r="P1228" i="22" a="1"/>
  <c r="P1228" i="22" l="1"/>
  <c r="AC1228" i="22"/>
  <c r="B1229" i="22" l="1"/>
  <c r="I1229" i="22"/>
  <c r="R1228" i="22"/>
  <c r="S1228" i="22" s="1"/>
  <c r="K1228" i="22" s="1"/>
  <c r="X1228" i="22" l="1"/>
  <c r="Y1228" i="22" s="1"/>
  <c r="H1229" i="22"/>
  <c r="AG1228" i="22" l="1"/>
  <c r="F1229" i="22" l="1"/>
  <c r="AK1228" i="22"/>
  <c r="G1229" i="22" s="1"/>
  <c r="T1229" i="22" a="1"/>
  <c r="T1229" i="22" l="1"/>
  <c r="Q1229" i="22" l="1"/>
  <c r="V1229" i="22"/>
  <c r="AF1229" i="22" s="1"/>
  <c r="E1230" i="22" s="1"/>
  <c r="AD1229" i="22"/>
  <c r="C1230" i="22" s="1"/>
  <c r="U1229" i="22"/>
  <c r="AE1229" i="22" s="1"/>
  <c r="D1230" i="22" s="1"/>
  <c r="W1229" i="22" a="1"/>
  <c r="W1229" i="22" l="1"/>
  <c r="P1229" i="22" a="1"/>
  <c r="P1229" i="22" l="1"/>
  <c r="AC1229" i="22"/>
  <c r="B1230" i="22" l="1"/>
  <c r="R1229" i="22"/>
  <c r="S1229" i="22" s="1"/>
  <c r="K1229" i="22" s="1"/>
  <c r="I1230" i="22"/>
  <c r="X1229" i="22" l="1"/>
  <c r="Y1229" i="22" s="1"/>
  <c r="H1230" i="22"/>
  <c r="AG1229" i="22" l="1"/>
  <c r="F1230" i="22" l="1"/>
  <c r="AK1229" i="22"/>
  <c r="G1230" i="22" s="1"/>
  <c r="T1230" i="22" a="1"/>
  <c r="T1230" i="22" l="1"/>
  <c r="Q1230" i="22" l="1"/>
  <c r="U1230" i="22"/>
  <c r="AE1230" i="22" s="1"/>
  <c r="D1231" i="22" s="1"/>
  <c r="AD1230" i="22"/>
  <c r="C1231" i="22" s="1"/>
  <c r="V1230" i="22"/>
  <c r="AF1230" i="22" s="1"/>
  <c r="E1231" i="22" s="1"/>
  <c r="W1230" i="22" a="1"/>
  <c r="W1230" i="22" l="1"/>
  <c r="P1230" i="22" a="1"/>
  <c r="P1230" i="22" l="1"/>
  <c r="AC1230" i="22"/>
  <c r="B1231" i="22" l="1"/>
  <c r="R1230" i="22"/>
  <c r="S1230" i="22" s="1"/>
  <c r="K1230" i="22" s="1"/>
  <c r="I1231" i="22"/>
  <c r="X1230" i="22" l="1"/>
  <c r="Y1230" i="22" s="1"/>
  <c r="H1231" i="22"/>
  <c r="AG1230" i="22" l="1"/>
  <c r="F1231" i="22" l="1"/>
  <c r="AK1230" i="22"/>
  <c r="G1231" i="22" s="1"/>
  <c r="T1231" i="22" a="1"/>
  <c r="T1231" i="22" l="1"/>
  <c r="Q1231" i="22" l="1"/>
  <c r="U1231" i="22"/>
  <c r="AE1231" i="22" s="1"/>
  <c r="D1232" i="22" s="1"/>
  <c r="V1231" i="22"/>
  <c r="AF1231" i="22" s="1"/>
  <c r="E1232" i="22" s="1"/>
  <c r="AD1231" i="22"/>
  <c r="C1232" i="22" s="1"/>
  <c r="W1231" i="22" a="1"/>
  <c r="W1231" i="22" l="1"/>
  <c r="P1231" i="22" a="1"/>
  <c r="P1231" i="22" l="1"/>
  <c r="AC1231" i="22"/>
  <c r="B1232" i="22" l="1"/>
  <c r="I1232" i="22"/>
  <c r="R1231" i="22"/>
  <c r="S1231" i="22" s="1"/>
  <c r="K1231" i="22" s="1"/>
  <c r="X1231" i="22" l="1"/>
  <c r="Y1231" i="22" s="1"/>
  <c r="H1232" i="22"/>
  <c r="AG1231" i="22" l="1"/>
  <c r="F1232" i="22" l="1"/>
  <c r="AK1231" i="22"/>
  <c r="G1232" i="22" s="1"/>
  <c r="T1232" i="22" a="1"/>
  <c r="T1232" i="22" l="1"/>
  <c r="Q1232" i="22" l="1"/>
  <c r="U1232" i="22"/>
  <c r="AE1232" i="22" s="1"/>
  <c r="D1233" i="22" s="1"/>
  <c r="AD1232" i="22"/>
  <c r="C1233" i="22" s="1"/>
  <c r="V1232" i="22"/>
  <c r="AF1232" i="22" s="1"/>
  <c r="E1233" i="22" s="1"/>
  <c r="W1232" i="22" a="1"/>
  <c r="W1232" i="22" l="1"/>
  <c r="P1232" i="22" a="1"/>
  <c r="P1232" i="22" l="1"/>
  <c r="AC1232" i="22"/>
  <c r="B1233" i="22" l="1"/>
  <c r="R1232" i="22"/>
  <c r="S1232" i="22" s="1"/>
  <c r="K1232" i="22" s="1"/>
  <c r="I1233" i="22"/>
  <c r="H1233" i="22" l="1"/>
  <c r="X1232" i="22"/>
  <c r="Y1232" i="22" s="1"/>
  <c r="AG1232" i="22" l="1"/>
  <c r="F1233" i="22" l="1"/>
  <c r="AK1232" i="22"/>
  <c r="G1233" i="22" s="1"/>
  <c r="T1233" i="22" a="1"/>
  <c r="T1233" i="22" l="1"/>
  <c r="Q1233" i="22" l="1"/>
  <c r="U1233" i="22"/>
  <c r="AE1233" i="22" s="1"/>
  <c r="D1234" i="22" s="1"/>
  <c r="AD1233" i="22"/>
  <c r="C1234" i="22" s="1"/>
  <c r="V1233" i="22"/>
  <c r="AF1233" i="22" s="1"/>
  <c r="E1234" i="22" s="1"/>
  <c r="W1233" i="22" a="1"/>
  <c r="W1233" i="22" l="1"/>
  <c r="P1233" i="22" a="1"/>
  <c r="P1233" i="22" l="1"/>
  <c r="AC1233" i="22"/>
  <c r="R1233" i="22" l="1"/>
  <c r="S1233" i="22" s="1"/>
  <c r="K1233" i="22" s="1"/>
  <c r="I1234" i="22"/>
  <c r="B1234" i="22"/>
  <c r="H1234" i="22" l="1"/>
  <c r="X1233" i="22"/>
  <c r="Y1233" i="22" s="1"/>
  <c r="AG1233" i="22" l="1"/>
  <c r="F1234" i="22" l="1"/>
  <c r="AK1233" i="22"/>
  <c r="G1234" i="22" s="1"/>
  <c r="T1234" i="22" a="1"/>
  <c r="T1234" i="22" l="1"/>
  <c r="Q1234" i="22" l="1"/>
  <c r="U1234" i="22"/>
  <c r="AE1234" i="22" s="1"/>
  <c r="D1235" i="22" s="1"/>
  <c r="V1234" i="22"/>
  <c r="AF1234" i="22" s="1"/>
  <c r="E1235" i="22" s="1"/>
  <c r="AD1234" i="22"/>
  <c r="C1235" i="22" s="1"/>
  <c r="W1234" i="22" a="1"/>
  <c r="W1234" i="22" l="1"/>
  <c r="P1234" i="22" a="1"/>
  <c r="P1234" i="22" l="1"/>
  <c r="AC1234" i="22"/>
  <c r="B1235" i="22" l="1"/>
  <c r="R1234" i="22"/>
  <c r="S1234" i="22" s="1"/>
  <c r="K1234" i="22" s="1"/>
  <c r="I1235" i="22"/>
  <c r="H1235" i="22" l="1"/>
  <c r="X1234" i="22"/>
  <c r="Y1234" i="22" s="1"/>
  <c r="AG1234" i="22" l="1"/>
  <c r="F1235" i="22" l="1"/>
  <c r="AK1234" i="22"/>
  <c r="G1235" i="22" s="1"/>
  <c r="T1235" i="22" a="1"/>
  <c r="T1235" i="22" l="1"/>
  <c r="Q1235" i="22" l="1"/>
  <c r="V1235" i="22"/>
  <c r="AF1235" i="22" s="1"/>
  <c r="E1236" i="22" s="1"/>
  <c r="U1235" i="22"/>
  <c r="AE1235" i="22" s="1"/>
  <c r="D1236" i="22" s="1"/>
  <c r="AD1235" i="22"/>
  <c r="C1236" i="22" s="1"/>
  <c r="W1235" i="22" a="1"/>
  <c r="W1235" i="22" l="1"/>
  <c r="P1235" i="22" a="1"/>
  <c r="P1235" i="22" l="1"/>
  <c r="AC1235" i="22"/>
  <c r="I1236" i="22" l="1"/>
  <c r="R1235" i="22"/>
  <c r="S1235" i="22" s="1"/>
  <c r="K1235" i="22" s="1"/>
  <c r="B1236" i="22"/>
  <c r="H1236" i="22" l="1"/>
  <c r="X1235" i="22"/>
  <c r="Y1235" i="22" s="1"/>
  <c r="AG1235" i="22" l="1"/>
  <c r="F1236" i="22" l="1"/>
  <c r="AK1235" i="22"/>
  <c r="G1236" i="22" s="1"/>
  <c r="T1236" i="22" a="1"/>
  <c r="T1236" i="22" l="1"/>
  <c r="Q1236" i="22" l="1"/>
  <c r="U1236" i="22"/>
  <c r="AE1236" i="22" s="1"/>
  <c r="D1237" i="22" s="1"/>
  <c r="AD1236" i="22"/>
  <c r="C1237" i="22" s="1"/>
  <c r="V1236" i="22"/>
  <c r="AF1236" i="22" s="1"/>
  <c r="E1237" i="22" s="1"/>
  <c r="W1236" i="22" a="1"/>
  <c r="W1236" i="22" l="1"/>
  <c r="P1236" i="22" a="1"/>
  <c r="P1236" i="22" l="1"/>
  <c r="AC1236" i="22"/>
  <c r="B1237" i="22" l="1"/>
  <c r="I1237" i="22"/>
  <c r="R1236" i="22"/>
  <c r="S1236" i="22" s="1"/>
  <c r="K1236" i="22" s="1"/>
  <c r="X1236" i="22" l="1"/>
  <c r="Y1236" i="22" s="1"/>
  <c r="H1237" i="22"/>
  <c r="AG1236" i="22" l="1"/>
  <c r="F1237" i="22" l="1"/>
  <c r="AK1236" i="22"/>
  <c r="G1237" i="22" s="1"/>
  <c r="T1237" i="22" a="1"/>
  <c r="T1237" i="22" l="1"/>
  <c r="Q1237" i="22" l="1"/>
  <c r="AD1237" i="22"/>
  <c r="C1238" i="22" s="1"/>
  <c r="U1237" i="22"/>
  <c r="AE1237" i="22" s="1"/>
  <c r="D1238" i="22" s="1"/>
  <c r="V1237" i="22"/>
  <c r="AF1237" i="22" s="1"/>
  <c r="E1238" i="22" s="1"/>
  <c r="W1237" i="22" a="1"/>
  <c r="W1237" i="22" l="1"/>
  <c r="P1237" i="22" a="1"/>
  <c r="P1237" i="22" l="1"/>
  <c r="AC1237" i="22"/>
  <c r="B1238" i="22" l="1"/>
  <c r="I1238" i="22"/>
  <c r="R1237" i="22"/>
  <c r="S1237" i="22" s="1"/>
  <c r="K1237" i="22" s="1"/>
  <c r="X1237" i="22" l="1"/>
  <c r="Y1237" i="22" s="1"/>
  <c r="H1238" i="22"/>
  <c r="AG1237" i="22" l="1"/>
  <c r="F1238" i="22" l="1"/>
  <c r="AK1237" i="22"/>
  <c r="G1238" i="22" s="1"/>
  <c r="T1238" i="22" a="1"/>
  <c r="T1238" i="22" l="1"/>
  <c r="Q1238" i="22" l="1"/>
  <c r="V1238" i="22"/>
  <c r="AF1238" i="22" s="1"/>
  <c r="E1239" i="22" s="1"/>
  <c r="AD1238" i="22"/>
  <c r="C1239" i="22" s="1"/>
  <c r="U1238" i="22"/>
  <c r="AE1238" i="22" s="1"/>
  <c r="D1239" i="22" s="1"/>
  <c r="W1238" i="22" a="1"/>
  <c r="W1238" i="22" l="1"/>
  <c r="P1238" i="22" a="1"/>
  <c r="P1238" i="22" l="1"/>
  <c r="AC1238" i="22"/>
  <c r="B1239" i="22" l="1"/>
  <c r="R1238" i="22"/>
  <c r="S1238" i="22" s="1"/>
  <c r="K1238" i="22" s="1"/>
  <c r="I1239" i="22"/>
  <c r="X1238" i="22" l="1"/>
  <c r="Y1238" i="22" s="1"/>
  <c r="H1239" i="22"/>
  <c r="AG1238" i="22" l="1"/>
  <c r="F1239" i="22" l="1"/>
  <c r="AK1238" i="22"/>
  <c r="G1239" i="22" s="1"/>
  <c r="T1239" i="22" a="1"/>
  <c r="T1239" i="22" l="1"/>
  <c r="Q1239" i="22" l="1"/>
  <c r="AD1239" i="22"/>
  <c r="C1240" i="22" s="1"/>
  <c r="V1239" i="22"/>
  <c r="AF1239" i="22" s="1"/>
  <c r="E1240" i="22" s="1"/>
  <c r="U1239" i="22"/>
  <c r="AE1239" i="22" s="1"/>
  <c r="D1240" i="22" s="1"/>
  <c r="W1239" i="22" a="1"/>
  <c r="W1239" i="22" l="1"/>
  <c r="P1239" i="22" a="1"/>
  <c r="P1239" i="22" l="1"/>
  <c r="AC1239" i="22"/>
  <c r="B1240" i="22" l="1"/>
  <c r="I1240" i="22"/>
  <c r="R1239" i="22"/>
  <c r="S1239" i="22" s="1"/>
  <c r="K1239" i="22" s="1"/>
  <c r="H1240" i="22" l="1"/>
  <c r="X1239" i="22"/>
  <c r="Y1239" i="22" s="1"/>
  <c r="AG1239" i="22" l="1"/>
  <c r="F1240" i="22" l="1"/>
  <c r="AK1239" i="22"/>
  <c r="G1240" i="22" s="1"/>
  <c r="T1240" i="22" a="1"/>
  <c r="T1240" i="22" l="1"/>
  <c r="Q1240" i="22" l="1"/>
  <c r="AD1240" i="22"/>
  <c r="C1241" i="22" s="1"/>
  <c r="U1240" i="22"/>
  <c r="AE1240" i="22" s="1"/>
  <c r="D1241" i="22" s="1"/>
  <c r="V1240" i="22"/>
  <c r="AF1240" i="22" s="1"/>
  <c r="E1241" i="22" s="1"/>
  <c r="W1240" i="22" a="1"/>
  <c r="W1240" i="22" l="1"/>
  <c r="P1240" i="22" a="1"/>
  <c r="P1240" i="22" l="1"/>
  <c r="AC1240" i="22"/>
  <c r="R1240" i="22" l="1"/>
  <c r="S1240" i="22" s="1"/>
  <c r="K1240" i="22" s="1"/>
  <c r="I1241" i="22"/>
  <c r="B1241" i="22"/>
  <c r="X1240" i="22" l="1"/>
  <c r="Y1240" i="22" s="1"/>
  <c r="H1241" i="22"/>
  <c r="AG1240" i="22" l="1"/>
  <c r="F1241" i="22" l="1"/>
  <c r="AK1240" i="22"/>
  <c r="G1241" i="22" s="1"/>
  <c r="T1241" i="22" a="1"/>
  <c r="T1241" i="22" l="1"/>
  <c r="Q1241" i="22" l="1"/>
  <c r="V1241" i="22"/>
  <c r="AF1241" i="22" s="1"/>
  <c r="E1242" i="22" s="1"/>
  <c r="U1241" i="22"/>
  <c r="AE1241" i="22" s="1"/>
  <c r="D1242" i="22" s="1"/>
  <c r="AD1241" i="22"/>
  <c r="C1242" i="22" s="1"/>
  <c r="W1241" i="22" a="1"/>
  <c r="W1241" i="22" l="1"/>
  <c r="P1241" i="22" a="1"/>
  <c r="P1241" i="22" l="1"/>
  <c r="AC1241" i="22"/>
  <c r="R1241" i="22" l="1"/>
  <c r="S1241" i="22" s="1"/>
  <c r="K1241" i="22" s="1"/>
  <c r="I1242" i="22"/>
  <c r="B1242" i="22"/>
  <c r="X1241" i="22" l="1"/>
  <c r="Y1241" i="22" s="1"/>
  <c r="H1242" i="22"/>
  <c r="AG1241" i="22" l="1"/>
  <c r="F1242" i="22" l="1"/>
  <c r="AK1241" i="22"/>
  <c r="G1242" i="22" s="1"/>
  <c r="T1242" i="22" a="1"/>
  <c r="T1242" i="22" l="1"/>
  <c r="Q1242" i="22" l="1"/>
  <c r="V1242" i="22"/>
  <c r="AF1242" i="22" s="1"/>
  <c r="E1243" i="22" s="1"/>
  <c r="AD1242" i="22"/>
  <c r="C1243" i="22" s="1"/>
  <c r="U1242" i="22"/>
  <c r="AE1242" i="22" s="1"/>
  <c r="D1243" i="22" s="1"/>
  <c r="W1242" i="22" a="1"/>
  <c r="W1242" i="22" l="1"/>
  <c r="P1242" i="22" a="1"/>
  <c r="P1242" i="22" l="1"/>
  <c r="AC1242" i="22"/>
  <c r="B1243" i="22" l="1"/>
  <c r="I1243" i="22"/>
  <c r="R1242" i="22"/>
  <c r="S1242" i="22" s="1"/>
  <c r="K1242" i="22" s="1"/>
  <c r="X1242" i="22" l="1"/>
  <c r="Y1242" i="22" s="1"/>
  <c r="H1243" i="22"/>
  <c r="AG1242" i="22" l="1"/>
  <c r="F1243" i="22" l="1"/>
  <c r="AK1242" i="22"/>
  <c r="G1243" i="22" s="1"/>
  <c r="T1243" i="22" a="1"/>
  <c r="T1243" i="22" l="1"/>
  <c r="Q1243" i="22" l="1"/>
  <c r="AD1243" i="22"/>
  <c r="C1244" i="22" s="1"/>
  <c r="V1243" i="22"/>
  <c r="AF1243" i="22" s="1"/>
  <c r="E1244" i="22" s="1"/>
  <c r="U1243" i="22"/>
  <c r="AE1243" i="22" s="1"/>
  <c r="D1244" i="22" s="1"/>
  <c r="W1243" i="22" a="1"/>
  <c r="W1243" i="22" l="1"/>
  <c r="P1243" i="22" a="1"/>
  <c r="P1243" i="22" l="1"/>
  <c r="AC1243" i="22"/>
  <c r="R1243" i="22" l="1"/>
  <c r="S1243" i="22" s="1"/>
  <c r="K1243" i="22" s="1"/>
  <c r="I1244" i="22"/>
  <c r="B1244" i="22"/>
  <c r="X1243" i="22" l="1"/>
  <c r="Y1243" i="22" s="1"/>
  <c r="H1244" i="22"/>
  <c r="AG1243" i="22" l="1"/>
  <c r="F1244" i="22" l="1"/>
  <c r="AK1243" i="22"/>
  <c r="G1244" i="22" s="1"/>
  <c r="T1244" i="22" a="1"/>
  <c r="T1244" i="22" l="1"/>
  <c r="Q1244" i="22" l="1"/>
  <c r="AD1244" i="22"/>
  <c r="C1245" i="22" s="1"/>
  <c r="U1244" i="22"/>
  <c r="AE1244" i="22" s="1"/>
  <c r="D1245" i="22" s="1"/>
  <c r="V1244" i="22"/>
  <c r="AF1244" i="22" s="1"/>
  <c r="E1245" i="22" s="1"/>
  <c r="W1244" i="22" a="1"/>
  <c r="W1244" i="22" l="1"/>
  <c r="P1244" i="22" a="1"/>
  <c r="P1244" i="22" l="1"/>
  <c r="AC1244" i="22"/>
  <c r="B1245" i="22" l="1"/>
  <c r="R1244" i="22"/>
  <c r="S1244" i="22" s="1"/>
  <c r="K1244" i="22" s="1"/>
  <c r="I1245" i="22"/>
  <c r="H1245" i="22" l="1"/>
  <c r="X1244" i="22"/>
  <c r="Y1244" i="22" s="1"/>
  <c r="AG1244" i="22" l="1"/>
  <c r="F1245" i="22" l="1"/>
  <c r="AK1244" i="22"/>
  <c r="G1245" i="22" s="1"/>
  <c r="T1245" i="22" a="1"/>
  <c r="T1245" i="22" l="1"/>
  <c r="Q1245" i="22" l="1"/>
  <c r="V1245" i="22"/>
  <c r="AF1245" i="22" s="1"/>
  <c r="E1246" i="22" s="1"/>
  <c r="AD1245" i="22"/>
  <c r="C1246" i="22" s="1"/>
  <c r="U1245" i="22"/>
  <c r="AE1245" i="22" s="1"/>
  <c r="D1246" i="22" s="1"/>
  <c r="W1245" i="22" a="1"/>
  <c r="W1245" i="22" l="1"/>
  <c r="P1245" i="22" a="1"/>
  <c r="P1245" i="22" l="1"/>
  <c r="AC1245" i="22"/>
  <c r="B1246" i="22" l="1"/>
  <c r="I1246" i="22"/>
  <c r="R1245" i="22"/>
  <c r="S1245" i="22" s="1"/>
  <c r="K1245" i="22" s="1"/>
  <c r="X1245" i="22" l="1"/>
  <c r="Y1245" i="22" s="1"/>
  <c r="H1246" i="22"/>
  <c r="AG1245" i="22" l="1"/>
  <c r="F1246" i="22" l="1"/>
  <c r="AK1245" i="22"/>
  <c r="G1246" i="22" s="1"/>
  <c r="T1246" i="22" a="1"/>
  <c r="T1246" i="22" l="1"/>
  <c r="Q1246" i="22" l="1"/>
  <c r="AD1246" i="22"/>
  <c r="C1247" i="22" s="1"/>
  <c r="V1246" i="22"/>
  <c r="AF1246" i="22" s="1"/>
  <c r="E1247" i="22" s="1"/>
  <c r="U1246" i="22"/>
  <c r="AE1246" i="22" s="1"/>
  <c r="D1247" i="22" s="1"/>
  <c r="W1246" i="22" a="1"/>
  <c r="W1246" i="22" l="1"/>
  <c r="P1246" i="22" a="1"/>
  <c r="P1246" i="22" l="1"/>
  <c r="AC1246" i="22"/>
  <c r="R1246" i="22" l="1"/>
  <c r="S1246" i="22" s="1"/>
  <c r="K1246" i="22" s="1"/>
  <c r="I1247" i="22"/>
  <c r="B1247" i="22"/>
  <c r="X1246" i="22" l="1"/>
  <c r="Y1246" i="22" s="1"/>
  <c r="H1247" i="22"/>
  <c r="AG1246" i="22" l="1"/>
  <c r="F1247" i="22" l="1"/>
  <c r="AK1246" i="22"/>
  <c r="G1247" i="22" s="1"/>
  <c r="T1247" i="22" a="1"/>
  <c r="T1247" i="22" l="1"/>
  <c r="Q1247" i="22" l="1"/>
  <c r="U1247" i="22"/>
  <c r="AE1247" i="22" s="1"/>
  <c r="D1248" i="22" s="1"/>
  <c r="AD1247" i="22"/>
  <c r="C1248" i="22" s="1"/>
  <c r="V1247" i="22"/>
  <c r="AF1247" i="22" s="1"/>
  <c r="E1248" i="22" s="1"/>
  <c r="W1247" i="22" a="1"/>
  <c r="W1247" i="22" l="1"/>
  <c r="P1247" i="22" a="1"/>
  <c r="P1247" i="22" l="1"/>
  <c r="AC1247" i="22"/>
  <c r="B1248" i="22" l="1"/>
  <c r="R1247" i="22"/>
  <c r="S1247" i="22" s="1"/>
  <c r="K1247" i="22" s="1"/>
  <c r="I1248" i="22"/>
  <c r="H1248" i="22" l="1"/>
  <c r="X1247" i="22"/>
  <c r="Y1247" i="22" s="1"/>
  <c r="AG1247" i="22" l="1"/>
  <c r="F1248" i="22" l="1"/>
  <c r="AK1247" i="22"/>
  <c r="G1248" i="22" s="1"/>
  <c r="T1248" i="22" a="1"/>
  <c r="T1248" i="22" l="1"/>
  <c r="Q1248" i="22" l="1"/>
  <c r="V1248" i="22"/>
  <c r="AF1248" i="22" s="1"/>
  <c r="E1249" i="22" s="1"/>
  <c r="U1248" i="22"/>
  <c r="AE1248" i="22" s="1"/>
  <c r="D1249" i="22" s="1"/>
  <c r="AD1248" i="22"/>
  <c r="C1249" i="22" s="1"/>
  <c r="W1248" i="22" a="1"/>
  <c r="W1248" i="22" l="1"/>
  <c r="P1248" i="22" a="1"/>
  <c r="P1248" i="22" l="1"/>
  <c r="AC1248" i="22"/>
  <c r="B1249" i="22" l="1"/>
  <c r="I1249" i="22"/>
  <c r="R1248" i="22"/>
  <c r="S1248" i="22" s="1"/>
  <c r="K1248" i="22" s="1"/>
  <c r="X1248" i="22" l="1"/>
  <c r="Y1248" i="22" s="1"/>
  <c r="H1249" i="22"/>
  <c r="AG1248" i="22" l="1"/>
  <c r="F1249" i="22" l="1"/>
  <c r="AK1248" i="22"/>
  <c r="G1249" i="22" s="1"/>
  <c r="T1249" i="22" a="1"/>
  <c r="T1249" i="22" l="1"/>
  <c r="Q1249" i="22" l="1"/>
  <c r="U1249" i="22"/>
  <c r="AE1249" i="22" s="1"/>
  <c r="D1250" i="22" s="1"/>
  <c r="V1249" i="22"/>
  <c r="AF1249" i="22" s="1"/>
  <c r="E1250" i="22" s="1"/>
  <c r="AD1249" i="22"/>
  <c r="C1250" i="22" s="1"/>
  <c r="W1249" i="22" a="1"/>
  <c r="W1249" i="22" l="1"/>
  <c r="P1249" i="22" a="1"/>
  <c r="P1249" i="22" l="1"/>
  <c r="AC1249" i="22"/>
  <c r="B1250" i="22" l="1"/>
  <c r="I1250" i="22"/>
  <c r="R1249" i="22"/>
  <c r="S1249" i="22" s="1"/>
  <c r="K1249" i="22" s="1"/>
  <c r="X1249" i="22" l="1"/>
  <c r="Y1249" i="22" s="1"/>
  <c r="H1250" i="22"/>
  <c r="AG1249" i="22" l="1"/>
  <c r="F1250" i="22" l="1"/>
  <c r="AK1249" i="22"/>
  <c r="G1250" i="22" s="1"/>
  <c r="T1250" i="22" a="1"/>
  <c r="T1250" i="22" l="1"/>
  <c r="Q1250" i="22" l="1"/>
  <c r="V1250" i="22"/>
  <c r="AF1250" i="22" s="1"/>
  <c r="E1251" i="22" s="1"/>
  <c r="AD1250" i="22"/>
  <c r="C1251" i="22" s="1"/>
  <c r="U1250" i="22"/>
  <c r="AE1250" i="22" s="1"/>
  <c r="D1251" i="22" s="1"/>
  <c r="W1250" i="22" a="1"/>
  <c r="W1250" i="22" l="1"/>
  <c r="P1250" i="22" a="1"/>
  <c r="P1250" i="22" l="1"/>
  <c r="AC1250" i="22"/>
  <c r="B1251" i="22" l="1"/>
  <c r="I1251" i="22"/>
  <c r="R1250" i="22"/>
  <c r="S1250" i="22" s="1"/>
  <c r="K1250" i="22" s="1"/>
  <c r="H1251" i="22" l="1"/>
  <c r="X1250" i="22"/>
  <c r="Y1250" i="22" s="1"/>
  <c r="AG1250" i="22" l="1"/>
  <c r="F1251" i="22" l="1"/>
  <c r="AK1250" i="22"/>
  <c r="G1251" i="22" s="1"/>
  <c r="T1251" i="22" a="1"/>
  <c r="T1251" i="22" l="1"/>
  <c r="Q1251" i="22" l="1"/>
  <c r="AD1251" i="22"/>
  <c r="C1252" i="22" s="1"/>
  <c r="V1251" i="22"/>
  <c r="AF1251" i="22" s="1"/>
  <c r="E1252" i="22" s="1"/>
  <c r="U1251" i="22"/>
  <c r="AE1251" i="22" s="1"/>
  <c r="D1252" i="22" s="1"/>
  <c r="W1251" i="22" a="1"/>
  <c r="W1251" i="22" l="1"/>
  <c r="P1251" i="22" a="1"/>
  <c r="P1251" i="22" l="1"/>
  <c r="AC1251" i="22"/>
  <c r="I1252" i="22" l="1"/>
  <c r="R1251" i="22"/>
  <c r="S1251" i="22" s="1"/>
  <c r="K1251" i="22" s="1"/>
  <c r="B1252" i="22"/>
  <c r="X1251" i="22" l="1"/>
  <c r="Y1251" i="22" s="1"/>
  <c r="H1252" i="22"/>
  <c r="AG1251" i="22" l="1"/>
  <c r="F1252" i="22" l="1"/>
  <c r="AK1251" i="22"/>
  <c r="G1252" i="22" s="1"/>
  <c r="T1252" i="22" a="1"/>
  <c r="T1252" i="22" l="1"/>
  <c r="Q1252" i="22" l="1"/>
  <c r="V1252" i="22"/>
  <c r="AF1252" i="22" s="1"/>
  <c r="E1253" i="22" s="1"/>
  <c r="AD1252" i="22"/>
  <c r="C1253" i="22" s="1"/>
  <c r="U1252" i="22"/>
  <c r="AE1252" i="22" s="1"/>
  <c r="D1253" i="22" s="1"/>
  <c r="W1252" i="22" a="1"/>
  <c r="W1252" i="22" l="1"/>
  <c r="P1252" i="22" a="1"/>
  <c r="P1252" i="22" l="1"/>
  <c r="AC1252" i="22"/>
  <c r="B1253" i="22" l="1"/>
  <c r="R1252" i="22"/>
  <c r="S1252" i="22" s="1"/>
  <c r="K1252" i="22" s="1"/>
  <c r="I1253" i="22"/>
  <c r="X1252" i="22" l="1"/>
  <c r="Y1252" i="22" s="1"/>
  <c r="H1253" i="22"/>
  <c r="AG1252" i="22" l="1"/>
  <c r="F1253" i="22" l="1"/>
  <c r="AK1252" i="22"/>
  <c r="G1253" i="22" s="1"/>
  <c r="T1253" i="22" a="1"/>
  <c r="T1253" i="22" l="1"/>
  <c r="Q1253" i="22" l="1"/>
  <c r="AD1253" i="22"/>
  <c r="C1254" i="22" s="1"/>
  <c r="U1253" i="22"/>
  <c r="AE1253" i="22" s="1"/>
  <c r="D1254" i="22" s="1"/>
  <c r="V1253" i="22"/>
  <c r="AF1253" i="22" s="1"/>
  <c r="E1254" i="22" s="1"/>
  <c r="W1253" i="22" a="1"/>
  <c r="W1253" i="22" l="1"/>
  <c r="P1253" i="22" a="1"/>
  <c r="P1253" i="22" l="1"/>
  <c r="AC1253" i="22"/>
  <c r="I1254" i="22" l="1"/>
  <c r="R1253" i="22"/>
  <c r="S1253" i="22" s="1"/>
  <c r="K1253" i="22" s="1"/>
  <c r="B1254" i="22"/>
  <c r="H1254" i="22" l="1"/>
  <c r="X1253" i="22"/>
  <c r="Y1253" i="22" s="1"/>
  <c r="AG1253" i="22" l="1"/>
  <c r="F1254" i="22" l="1"/>
  <c r="AK1253" i="22"/>
  <c r="G1254" i="22" s="1"/>
  <c r="T1254" i="22" a="1"/>
  <c r="T1254" i="22" l="1"/>
  <c r="Q1254" i="22" l="1"/>
  <c r="V1254" i="22"/>
  <c r="AF1254" i="22" s="1"/>
  <c r="E1255" i="22" s="1"/>
  <c r="U1254" i="22"/>
  <c r="AE1254" i="22" s="1"/>
  <c r="D1255" i="22" s="1"/>
  <c r="AD1254" i="22"/>
  <c r="C1255" i="22" s="1"/>
  <c r="W1254" i="22" a="1"/>
  <c r="W1254" i="22" l="1"/>
  <c r="P1254" i="22" a="1"/>
  <c r="P1254" i="22" l="1"/>
  <c r="AC1254" i="22"/>
  <c r="I1255" i="22" l="1"/>
  <c r="H1255" i="22" s="1"/>
  <c r="R1254" i="22"/>
  <c r="S1254" i="22" s="1"/>
  <c r="K1254" i="22" s="1"/>
  <c r="B1255" i="22"/>
  <c r="X1254" i="22" l="1"/>
  <c r="Y1254" i="22" s="1"/>
  <c r="AG1254" i="22" l="1"/>
  <c r="F1255" i="22" l="1"/>
  <c r="AK1254" i="22"/>
  <c r="G1255" i="22" s="1"/>
  <c r="T1255" i="22" a="1"/>
  <c r="T1255" i="22" l="1"/>
  <c r="Q1255" i="22" l="1"/>
  <c r="AD1255" i="22"/>
  <c r="C1256" i="22" s="1"/>
  <c r="V1255" i="22"/>
  <c r="AF1255" i="22" s="1"/>
  <c r="E1256" i="22" s="1"/>
  <c r="U1255" i="22"/>
  <c r="AE1255" i="22" s="1"/>
  <c r="D1256" i="22" s="1"/>
  <c r="W1255" i="22" a="1"/>
  <c r="W1255" i="22" l="1"/>
  <c r="P1255" i="22" a="1"/>
  <c r="P1255" i="22" l="1"/>
  <c r="AC1255" i="22"/>
  <c r="B1256" i="22" l="1"/>
  <c r="I1256" i="22"/>
  <c r="R1255" i="22"/>
  <c r="S1255" i="22" s="1"/>
  <c r="K1255" i="22" s="1"/>
  <c r="X1255" i="22" l="1"/>
  <c r="Y1255" i="22" s="1"/>
  <c r="H1256" i="22"/>
  <c r="AG1255" i="22" l="1"/>
  <c r="F1256" i="22" l="1"/>
  <c r="AK1255" i="22"/>
  <c r="G1256" i="22" s="1"/>
  <c r="T1256" i="22" a="1"/>
  <c r="T1256" i="22" l="1"/>
  <c r="Q1256" i="22" l="1"/>
  <c r="U1256" i="22"/>
  <c r="AE1256" i="22" s="1"/>
  <c r="D1257" i="22" s="1"/>
  <c r="V1256" i="22"/>
  <c r="AF1256" i="22" s="1"/>
  <c r="E1257" i="22" s="1"/>
  <c r="AD1256" i="22"/>
  <c r="C1257" i="22" s="1"/>
  <c r="W1256" i="22" a="1"/>
  <c r="W1256" i="22" l="1"/>
  <c r="P1256" i="22" a="1"/>
  <c r="P1256" i="22" l="1"/>
  <c r="AC1256" i="22"/>
  <c r="I1257" i="22" l="1"/>
  <c r="R1256" i="22"/>
  <c r="S1256" i="22" s="1"/>
  <c r="K1256" i="22" s="1"/>
  <c r="B1257" i="22"/>
  <c r="X1256" i="22" l="1"/>
  <c r="Y1256" i="22" s="1"/>
  <c r="H1257" i="22"/>
  <c r="AG1256" i="22" l="1"/>
  <c r="F1257" i="22" l="1"/>
  <c r="AK1256" i="22"/>
  <c r="G1257" i="22" s="1"/>
  <c r="T1257" i="22" a="1"/>
  <c r="T1257" i="22" l="1"/>
  <c r="Q1257" i="22" l="1"/>
  <c r="AD1257" i="22"/>
  <c r="C1258" i="22" s="1"/>
  <c r="U1257" i="22"/>
  <c r="AE1257" i="22" s="1"/>
  <c r="D1258" i="22" s="1"/>
  <c r="V1257" i="22"/>
  <c r="AF1257" i="22" s="1"/>
  <c r="E1258" i="22" s="1"/>
  <c r="W1257" i="22" a="1"/>
  <c r="W1257" i="22" l="1"/>
  <c r="P1257" i="22" a="1"/>
  <c r="P1257" i="22" l="1"/>
  <c r="AC1257" i="22"/>
  <c r="R1257" i="22" l="1"/>
  <c r="S1257" i="22" s="1"/>
  <c r="K1257" i="22" s="1"/>
  <c r="I1258" i="22"/>
  <c r="B1258" i="22"/>
  <c r="X1257" i="22" l="1"/>
  <c r="Y1257" i="22" s="1"/>
  <c r="H1258" i="22"/>
  <c r="AG1257" i="22" l="1"/>
  <c r="F1258" i="22" l="1"/>
  <c r="AK1257" i="22"/>
  <c r="G1258" i="22" s="1"/>
  <c r="T1258" i="22" a="1"/>
  <c r="T1258" i="22" l="1"/>
  <c r="Q1258" i="22" l="1"/>
  <c r="U1258" i="22"/>
  <c r="AE1258" i="22" s="1"/>
  <c r="D1259" i="22" s="1"/>
  <c r="V1258" i="22"/>
  <c r="AF1258" i="22" s="1"/>
  <c r="E1259" i="22" s="1"/>
  <c r="AD1258" i="22"/>
  <c r="C1259" i="22" s="1"/>
  <c r="W1258" i="22" a="1"/>
  <c r="W1258" i="22" l="1"/>
  <c r="P1258" i="22" a="1"/>
  <c r="P1258" i="22" l="1"/>
  <c r="AC1258" i="22"/>
  <c r="R1258" i="22" l="1"/>
  <c r="S1258" i="22" s="1"/>
  <c r="K1258" i="22" s="1"/>
  <c r="I1259" i="22"/>
  <c r="B1259" i="22"/>
  <c r="X1258" i="22" l="1"/>
  <c r="Y1258" i="22" s="1"/>
  <c r="H1259" i="22"/>
  <c r="AG1258" i="22" l="1"/>
  <c r="F1259" i="22" l="1"/>
  <c r="AK1258" i="22"/>
  <c r="G1259" i="22" s="1"/>
  <c r="T1259" i="22" a="1"/>
  <c r="T1259" i="22" l="1"/>
  <c r="Q1259" i="22" l="1"/>
  <c r="AD1259" i="22"/>
  <c r="C1260" i="22" s="1"/>
  <c r="V1259" i="22"/>
  <c r="AF1259" i="22" s="1"/>
  <c r="E1260" i="22" s="1"/>
  <c r="U1259" i="22"/>
  <c r="AE1259" i="22" s="1"/>
  <c r="D1260" i="22" s="1"/>
  <c r="W1259" i="22" a="1"/>
  <c r="W1259" i="22" l="1"/>
  <c r="P1259" i="22" a="1"/>
  <c r="P1259" i="22" l="1"/>
  <c r="AC1259" i="22"/>
  <c r="R1259" i="22" l="1"/>
  <c r="S1259" i="22" s="1"/>
  <c r="K1259" i="22" s="1"/>
  <c r="I1260" i="22"/>
  <c r="B1260" i="22"/>
  <c r="H1260" i="22" l="1"/>
  <c r="X1259" i="22"/>
  <c r="Y1259" i="22" s="1"/>
  <c r="AG1259" i="22" l="1"/>
  <c r="F1260" i="22" l="1"/>
  <c r="AK1259" i="22"/>
  <c r="G1260" i="22" s="1"/>
  <c r="T1260" i="22" a="1"/>
  <c r="T1260" i="22" l="1"/>
  <c r="Q1260" i="22" l="1"/>
  <c r="AD1260" i="22"/>
  <c r="C1261" i="22" s="1"/>
  <c r="V1260" i="22"/>
  <c r="AF1260" i="22" s="1"/>
  <c r="E1261" i="22" s="1"/>
  <c r="U1260" i="22"/>
  <c r="AE1260" i="22" s="1"/>
  <c r="D1261" i="22" s="1"/>
  <c r="W1260" i="22" a="1"/>
  <c r="W1260" i="22" l="1"/>
  <c r="P1260" i="22" a="1"/>
  <c r="P1260" i="22" l="1"/>
  <c r="AC1260" i="22"/>
  <c r="I1261" i="22" l="1"/>
  <c r="H1261" i="22" s="1"/>
  <c r="R1260" i="22"/>
  <c r="S1260" i="22" s="1"/>
  <c r="K1260" i="22" s="1"/>
  <c r="B1261" i="22"/>
  <c r="X1260" i="22" l="1"/>
  <c r="Y1260" i="22" s="1"/>
  <c r="AG1260" i="22" l="1"/>
  <c r="F1261" i="22" l="1"/>
  <c r="AK1260" i="22"/>
  <c r="G1261" i="22" s="1"/>
  <c r="T1261" i="22" a="1"/>
  <c r="T1261" i="22" l="1"/>
  <c r="Q1261" i="22" l="1"/>
  <c r="AD1261" i="22"/>
  <c r="C1262" i="22" s="1"/>
  <c r="V1261" i="22"/>
  <c r="AF1261" i="22" s="1"/>
  <c r="E1262" i="22" s="1"/>
  <c r="U1261" i="22"/>
  <c r="AE1261" i="22" s="1"/>
  <c r="D1262" i="22" s="1"/>
  <c r="W1261" i="22" a="1"/>
  <c r="W1261" i="22" l="1"/>
  <c r="P1261" i="22" a="1"/>
  <c r="P1261" i="22" l="1"/>
  <c r="AC1261" i="22"/>
  <c r="I1262" i="22" l="1"/>
  <c r="R1261" i="22"/>
  <c r="S1261" i="22" s="1"/>
  <c r="K1261" i="22" s="1"/>
  <c r="B1262" i="22"/>
  <c r="X1261" i="22" l="1"/>
  <c r="Y1261" i="22" s="1"/>
  <c r="H1262" i="22"/>
  <c r="AG1261" i="22" l="1"/>
  <c r="F1262" i="22" l="1"/>
  <c r="AK1261" i="22"/>
  <c r="G1262" i="22" s="1"/>
  <c r="T1262" i="22" a="1"/>
  <c r="T1262" i="22" l="1"/>
  <c r="Q1262" i="22" l="1"/>
  <c r="U1262" i="22"/>
  <c r="AE1262" i="22" s="1"/>
  <c r="D1263" i="22" s="1"/>
  <c r="V1262" i="22"/>
  <c r="AF1262" i="22" s="1"/>
  <c r="E1263" i="22" s="1"/>
  <c r="AD1262" i="22"/>
  <c r="C1263" i="22" s="1"/>
  <c r="W1262" i="22" a="1"/>
  <c r="W1262" i="22" l="1"/>
  <c r="P1262" i="22" a="1"/>
  <c r="P1262" i="22" l="1"/>
  <c r="AC1262" i="22"/>
  <c r="B1263" i="22" l="1"/>
  <c r="R1262" i="22"/>
  <c r="S1262" i="22" s="1"/>
  <c r="K1262" i="22" s="1"/>
  <c r="I1263" i="22"/>
  <c r="H1263" i="22" l="1"/>
  <c r="X1262" i="22"/>
  <c r="Y1262" i="22" s="1"/>
  <c r="AG1262" i="22" l="1"/>
  <c r="F1263" i="22" l="1"/>
  <c r="AK1262" i="22"/>
  <c r="G1263" i="22" s="1"/>
  <c r="T1263" i="22" a="1"/>
  <c r="T1263" i="22" l="1"/>
  <c r="Q1263" i="22" l="1"/>
  <c r="V1263" i="22"/>
  <c r="AF1263" i="22" s="1"/>
  <c r="E1264" i="22" s="1"/>
  <c r="U1263" i="22"/>
  <c r="AE1263" i="22" s="1"/>
  <c r="D1264" i="22" s="1"/>
  <c r="AD1263" i="22"/>
  <c r="C1264" i="22" s="1"/>
  <c r="W1263" i="22" a="1"/>
  <c r="W1263" i="22" l="1"/>
  <c r="P1263" i="22" a="1"/>
  <c r="P1263" i="22" l="1"/>
  <c r="AC1263" i="22"/>
  <c r="R1263" i="22" l="1"/>
  <c r="S1263" i="22" s="1"/>
  <c r="K1263" i="22" s="1"/>
  <c r="I1264" i="22"/>
  <c r="H1264" i="22" s="1"/>
  <c r="B1264" i="22"/>
  <c r="X1263" i="22" l="1"/>
  <c r="Y1263" i="22" s="1"/>
  <c r="AG1263" i="22" l="1"/>
  <c r="F1264" i="22" l="1"/>
  <c r="AK1263" i="22"/>
  <c r="G1264" i="22" s="1"/>
  <c r="T1264" i="22" a="1"/>
  <c r="T1264" i="22" l="1"/>
  <c r="Q1264" i="22" l="1"/>
  <c r="AD1264" i="22"/>
  <c r="C1265" i="22" s="1"/>
  <c r="V1264" i="22"/>
  <c r="AF1264" i="22" s="1"/>
  <c r="E1265" i="22" s="1"/>
  <c r="U1264" i="22"/>
  <c r="AE1264" i="22" s="1"/>
  <c r="D1265" i="22" s="1"/>
  <c r="W1264" i="22" a="1"/>
  <c r="W1264" i="22" l="1"/>
  <c r="P1264" i="22" a="1"/>
  <c r="P1264" i="22" l="1"/>
  <c r="AC1264" i="22"/>
  <c r="B1265" i="22" l="1"/>
  <c r="R1264" i="22"/>
  <c r="S1264" i="22" s="1"/>
  <c r="K1264" i="22" s="1"/>
  <c r="I1265" i="22"/>
  <c r="X1264" i="22" l="1"/>
  <c r="Y1264" i="22" s="1"/>
  <c r="H1265" i="22"/>
  <c r="AG1264" i="22" l="1"/>
  <c r="F1265" i="22" l="1"/>
  <c r="AK1264" i="22"/>
  <c r="G1265" i="22" s="1"/>
  <c r="T1265" i="22" a="1"/>
  <c r="T1265" i="22" l="1"/>
  <c r="Q1265" i="22" l="1"/>
  <c r="V1265" i="22"/>
  <c r="AF1265" i="22" s="1"/>
  <c r="E1266" i="22" s="1"/>
  <c r="AD1265" i="22"/>
  <c r="C1266" i="22" s="1"/>
  <c r="U1265" i="22"/>
  <c r="AE1265" i="22" s="1"/>
  <c r="D1266" i="22" s="1"/>
  <c r="W1265" i="22" a="1"/>
  <c r="W1265" i="22" l="1"/>
  <c r="P1265" i="22" a="1"/>
  <c r="P1265" i="22" l="1"/>
  <c r="AC1265" i="22"/>
  <c r="B1266" i="22" l="1"/>
  <c r="R1265" i="22"/>
  <c r="S1265" i="22" s="1"/>
  <c r="K1265" i="22" s="1"/>
  <c r="I1266" i="22"/>
  <c r="X1265" i="22" l="1"/>
  <c r="Y1265" i="22" s="1"/>
  <c r="H1266" i="22"/>
  <c r="AG1265" i="22" l="1"/>
  <c r="F1266" i="22" l="1"/>
  <c r="AK1265" i="22"/>
  <c r="G1266" i="22" s="1"/>
  <c r="T1266" i="22" a="1"/>
  <c r="T1266" i="22" l="1"/>
  <c r="Q1266" i="22" l="1"/>
  <c r="U1266" i="22"/>
  <c r="AE1266" i="22" s="1"/>
  <c r="D1267" i="22" s="1"/>
  <c r="AD1266" i="22"/>
  <c r="C1267" i="22" s="1"/>
  <c r="V1266" i="22"/>
  <c r="AF1266" i="22" s="1"/>
  <c r="E1267" i="22" s="1"/>
  <c r="W1266" i="22" a="1"/>
  <c r="W1266" i="22" l="1"/>
  <c r="P1266" i="22" a="1"/>
  <c r="P1266" i="22" l="1"/>
  <c r="AC1266" i="22"/>
  <c r="B1267" i="22" l="1"/>
  <c r="I1267" i="22"/>
  <c r="R1266" i="22"/>
  <c r="S1266" i="22" s="1"/>
  <c r="K1266" i="22" s="1"/>
  <c r="X1266" i="22" l="1"/>
  <c r="Y1266" i="22" s="1"/>
  <c r="H1267" i="22"/>
  <c r="AG1266" i="22" l="1"/>
  <c r="F1267" i="22" l="1"/>
  <c r="AK1266" i="22"/>
  <c r="G1267" i="22" s="1"/>
  <c r="T1267" i="22" a="1"/>
  <c r="T1267" i="22" l="1"/>
  <c r="Q1267" i="22" l="1"/>
  <c r="V1267" i="22"/>
  <c r="AF1267" i="22" s="1"/>
  <c r="E1268" i="22" s="1"/>
  <c r="AD1267" i="22"/>
  <c r="C1268" i="22" s="1"/>
  <c r="U1267" i="22"/>
  <c r="AE1267" i="22" s="1"/>
  <c r="D1268" i="22" s="1"/>
  <c r="W1267" i="22" a="1"/>
  <c r="W1267" i="22" l="1"/>
  <c r="P1267" i="22" a="1"/>
  <c r="P1267" i="22" l="1"/>
  <c r="AC1267" i="22"/>
  <c r="R1267" i="22" l="1"/>
  <c r="S1267" i="22" s="1"/>
  <c r="K1267" i="22" s="1"/>
  <c r="I1268" i="22"/>
  <c r="B1268" i="22"/>
  <c r="X1267" i="22" l="1"/>
  <c r="Y1267" i="22" s="1"/>
  <c r="H1268" i="22"/>
  <c r="AG1267" i="22" l="1"/>
  <c r="F1268" i="22" l="1"/>
  <c r="AK1267" i="22"/>
  <c r="G1268" i="22" s="1"/>
  <c r="T1268" i="22" a="1"/>
  <c r="T1268" i="22" l="1"/>
  <c r="Q1268" i="22" l="1"/>
  <c r="U1268" i="22"/>
  <c r="AE1268" i="22" s="1"/>
  <c r="D1269" i="22" s="1"/>
  <c r="AD1268" i="22"/>
  <c r="C1269" i="22" s="1"/>
  <c r="V1268" i="22"/>
  <c r="AF1268" i="22" s="1"/>
  <c r="E1269" i="22" s="1"/>
  <c r="W1268" i="22" a="1"/>
  <c r="W1268" i="22" l="1"/>
  <c r="P1268" i="22" a="1"/>
  <c r="P1268" i="22" l="1"/>
  <c r="AC1268" i="22"/>
  <c r="I1269" i="22" l="1"/>
  <c r="R1268" i="22"/>
  <c r="S1268" i="22" s="1"/>
  <c r="K1268" i="22" s="1"/>
  <c r="B1269" i="22"/>
  <c r="X1268" i="22" l="1"/>
  <c r="Y1268" i="22" s="1"/>
  <c r="H1269" i="22"/>
  <c r="AG1268" i="22" l="1"/>
  <c r="F1269" i="22" l="1"/>
  <c r="AK1268" i="22"/>
  <c r="G1269" i="22" s="1"/>
  <c r="T1269" i="22" a="1"/>
  <c r="T1269" i="22" l="1"/>
  <c r="Q1269" i="22" l="1"/>
  <c r="U1269" i="22"/>
  <c r="AE1269" i="22" s="1"/>
  <c r="D1270" i="22" s="1"/>
  <c r="AD1269" i="22"/>
  <c r="C1270" i="22" s="1"/>
  <c r="V1269" i="22"/>
  <c r="AF1269" i="22" s="1"/>
  <c r="E1270" i="22" s="1"/>
  <c r="W1269" i="22" a="1"/>
  <c r="W1269" i="22" l="1"/>
  <c r="P1269" i="22" a="1"/>
  <c r="P1269" i="22" l="1"/>
  <c r="AC1269" i="22"/>
  <c r="B1270" i="22" l="1"/>
  <c r="R1269" i="22"/>
  <c r="S1269" i="22" s="1"/>
  <c r="K1269" i="22" s="1"/>
  <c r="I1270" i="22"/>
  <c r="X1269" i="22" l="1"/>
  <c r="Y1269" i="22" s="1"/>
  <c r="H1270" i="22"/>
  <c r="AG1269" i="22" l="1"/>
  <c r="F1270" i="22" l="1"/>
  <c r="AK1269" i="22"/>
  <c r="G1270" i="22" s="1"/>
  <c r="T1270" i="22" a="1"/>
  <c r="T1270" i="22" l="1"/>
  <c r="Q1270" i="22" l="1"/>
  <c r="U1270" i="22"/>
  <c r="AE1270" i="22" s="1"/>
  <c r="D1271" i="22" s="1"/>
  <c r="AD1270" i="22"/>
  <c r="C1271" i="22" s="1"/>
  <c r="V1270" i="22"/>
  <c r="AF1270" i="22" s="1"/>
  <c r="E1271" i="22" s="1"/>
  <c r="W1270" i="22" a="1"/>
  <c r="W1270" i="22" l="1"/>
  <c r="P1270" i="22" a="1"/>
  <c r="P1270" i="22" l="1"/>
  <c r="AC1270" i="22"/>
  <c r="B1271" i="22" l="1"/>
  <c r="I1271" i="22"/>
  <c r="R1270" i="22"/>
  <c r="S1270" i="22" s="1"/>
  <c r="K1270" i="22" s="1"/>
  <c r="X1270" i="22" l="1"/>
  <c r="Y1270" i="22" s="1"/>
  <c r="H1271" i="22"/>
  <c r="AG1270" i="22" l="1"/>
  <c r="F1271" i="22" l="1"/>
  <c r="AK1270" i="22"/>
  <c r="G1271" i="22" s="1"/>
  <c r="T1271" i="22" a="1"/>
  <c r="T1271" i="22" l="1"/>
  <c r="Q1271" i="22" l="1"/>
  <c r="U1271" i="22"/>
  <c r="AE1271" i="22" s="1"/>
  <c r="D1272" i="22" s="1"/>
  <c r="AD1271" i="22"/>
  <c r="C1272" i="22" s="1"/>
  <c r="V1271" i="22"/>
  <c r="AF1271" i="22" s="1"/>
  <c r="E1272" i="22" s="1"/>
  <c r="W1271" i="22" a="1"/>
  <c r="W1271" i="22" l="1"/>
  <c r="P1271" i="22" a="1"/>
  <c r="P1271" i="22" l="1"/>
  <c r="AC1271" i="22"/>
  <c r="B1272" i="22" l="1"/>
  <c r="I1272" i="22"/>
  <c r="R1271" i="22"/>
  <c r="S1271" i="22" s="1"/>
  <c r="K1271" i="22" s="1"/>
  <c r="X1271" i="22" l="1"/>
  <c r="Y1271" i="22" s="1"/>
  <c r="H1272" i="22"/>
  <c r="AG1271" i="22" l="1"/>
  <c r="F1272" i="22" l="1"/>
  <c r="AK1271" i="22"/>
  <c r="G1272" i="22" s="1"/>
  <c r="T1272" i="22" a="1"/>
  <c r="T1272" i="22" l="1"/>
  <c r="Q1272" i="22" l="1"/>
  <c r="AD1272" i="22"/>
  <c r="C1273" i="22" s="1"/>
  <c r="U1272" i="22"/>
  <c r="AE1272" i="22" s="1"/>
  <c r="D1273" i="22" s="1"/>
  <c r="V1272" i="22"/>
  <c r="AF1272" i="22" s="1"/>
  <c r="E1273" i="22" s="1"/>
  <c r="W1272" i="22" a="1"/>
  <c r="W1272" i="22" l="1"/>
  <c r="P1272" i="22" a="1"/>
  <c r="P1272" i="22" l="1"/>
  <c r="AC1272" i="22"/>
  <c r="B1273" i="22" l="1"/>
  <c r="R1272" i="22"/>
  <c r="S1272" i="22" s="1"/>
  <c r="K1272" i="22" s="1"/>
  <c r="I1273" i="22"/>
  <c r="H1273" i="22" l="1"/>
  <c r="X1272" i="22"/>
  <c r="Y1272" i="22" s="1"/>
  <c r="AG1272" i="22" l="1"/>
  <c r="F1273" i="22" l="1"/>
  <c r="AK1272" i="22"/>
  <c r="G1273" i="22" s="1"/>
  <c r="T1273" i="22" a="1"/>
  <c r="T1273" i="22" l="1"/>
  <c r="Q1273" i="22" l="1"/>
  <c r="AD1273" i="22"/>
  <c r="C1274" i="22" s="1"/>
  <c r="V1273" i="22"/>
  <c r="AF1273" i="22" s="1"/>
  <c r="E1274" i="22" s="1"/>
  <c r="U1273" i="22"/>
  <c r="AE1273" i="22" s="1"/>
  <c r="D1274" i="22" s="1"/>
  <c r="W1273" i="22" a="1"/>
  <c r="W1273" i="22" l="1"/>
  <c r="P1273" i="22" a="1"/>
  <c r="P1273" i="22" l="1"/>
  <c r="AC1273" i="22"/>
  <c r="R1273" i="22" l="1"/>
  <c r="S1273" i="22" s="1"/>
  <c r="K1273" i="22" s="1"/>
  <c r="I1274" i="22"/>
  <c r="H1274" i="22" s="1"/>
  <c r="B1274" i="22"/>
  <c r="X1273" i="22" l="1"/>
  <c r="Y1273" i="22" s="1"/>
  <c r="AG1273" i="22" l="1"/>
  <c r="F1274" i="22" l="1"/>
  <c r="AK1273" i="22"/>
  <c r="G1274" i="22" s="1"/>
  <c r="T1274" i="22" a="1"/>
  <c r="T1274" i="22" l="1"/>
  <c r="Q1274" i="22" l="1"/>
  <c r="AD1274" i="22"/>
  <c r="C1275" i="22" s="1"/>
  <c r="V1274" i="22"/>
  <c r="AF1274" i="22" s="1"/>
  <c r="E1275" i="22" s="1"/>
  <c r="U1274" i="22"/>
  <c r="AE1274" i="22" s="1"/>
  <c r="D1275" i="22" s="1"/>
  <c r="W1274" i="22" a="1"/>
  <c r="W1274" i="22" l="1"/>
  <c r="P1274" i="22" a="1"/>
  <c r="P1274" i="22" l="1"/>
  <c r="AC1274" i="22"/>
  <c r="I1275" i="22" l="1"/>
  <c r="R1274" i="22"/>
  <c r="S1274" i="22" s="1"/>
  <c r="K1274" i="22" s="1"/>
  <c r="B1275" i="22"/>
  <c r="X1274" i="22" l="1"/>
  <c r="Y1274" i="22" s="1"/>
  <c r="H1275" i="22"/>
  <c r="AG1274" i="22" l="1"/>
  <c r="F1275" i="22" l="1"/>
  <c r="AK1274" i="22"/>
  <c r="G1275" i="22" s="1"/>
  <c r="T1275" i="22" a="1"/>
  <c r="T1275" i="22" l="1"/>
  <c r="Q1275" i="22" l="1"/>
  <c r="U1275" i="22"/>
  <c r="AE1275" i="22" s="1"/>
  <c r="D1276" i="22" s="1"/>
  <c r="V1275" i="22"/>
  <c r="AF1275" i="22" s="1"/>
  <c r="E1276" i="22" s="1"/>
  <c r="AD1275" i="22"/>
  <c r="C1276" i="22" s="1"/>
  <c r="W1275" i="22" a="1"/>
  <c r="W1275" i="22" l="1"/>
  <c r="P1275" i="22" a="1"/>
  <c r="P1275" i="22" l="1"/>
  <c r="AC1275" i="22"/>
  <c r="R1275" i="22" l="1"/>
  <c r="S1275" i="22" s="1"/>
  <c r="K1275" i="22" s="1"/>
  <c r="I1276" i="22"/>
  <c r="B1276" i="22"/>
  <c r="H1276" i="22" l="1"/>
  <c r="X1275" i="22"/>
  <c r="Y1275" i="22" s="1"/>
  <c r="AG1275" i="22" l="1"/>
  <c r="F1276" i="22" l="1"/>
  <c r="AK1275" i="22"/>
  <c r="G1276" i="22" s="1"/>
  <c r="T1276" i="22" a="1"/>
  <c r="T1276" i="22" l="1"/>
  <c r="Q1276" i="22" l="1"/>
  <c r="U1276" i="22"/>
  <c r="AE1276" i="22" s="1"/>
  <c r="D1277" i="22" s="1"/>
  <c r="AD1276" i="22"/>
  <c r="C1277" i="22" s="1"/>
  <c r="V1276" i="22"/>
  <c r="AF1276" i="22" s="1"/>
  <c r="E1277" i="22" s="1"/>
  <c r="W1276" i="22" a="1"/>
  <c r="W1276" i="22" l="1"/>
  <c r="P1276" i="22" a="1"/>
  <c r="P1276" i="22" l="1"/>
  <c r="AC1276" i="22"/>
  <c r="B1277" i="22" l="1"/>
  <c r="R1276" i="22"/>
  <c r="S1276" i="22" s="1"/>
  <c r="K1276" i="22" s="1"/>
  <c r="I1277" i="22"/>
  <c r="H1277" i="22" l="1"/>
  <c r="X1276" i="22"/>
  <c r="Y1276" i="22" s="1"/>
  <c r="AG1276" i="22" l="1"/>
  <c r="F1277" i="22" l="1"/>
  <c r="AK1276" i="22"/>
  <c r="G1277" i="22" s="1"/>
  <c r="T1277" i="22" a="1"/>
  <c r="T1277" i="22" l="1"/>
  <c r="Q1277" i="22" l="1"/>
  <c r="AD1277" i="22"/>
  <c r="C1278" i="22" s="1"/>
  <c r="U1277" i="22"/>
  <c r="AE1277" i="22" s="1"/>
  <c r="D1278" i="22" s="1"/>
  <c r="V1277" i="22"/>
  <c r="AF1277" i="22" s="1"/>
  <c r="E1278" i="22" s="1"/>
  <c r="W1277" i="22" a="1"/>
  <c r="W1277" i="22" l="1"/>
  <c r="P1277" i="22" a="1"/>
  <c r="P1277" i="22" l="1"/>
  <c r="AC1277" i="22"/>
  <c r="B1278" i="22" l="1"/>
  <c r="R1277" i="22"/>
  <c r="S1277" i="22" s="1"/>
  <c r="K1277" i="22" s="1"/>
  <c r="I1278" i="22"/>
  <c r="X1277" i="22" l="1"/>
  <c r="Y1277" i="22" s="1"/>
  <c r="H1278" i="22"/>
  <c r="AG1277" i="22" l="1"/>
  <c r="F1278" i="22" l="1"/>
  <c r="AK1277" i="22"/>
  <c r="G1278" i="22" s="1"/>
  <c r="T1278" i="22" a="1"/>
  <c r="T1278" i="22" l="1"/>
  <c r="Q1278" i="22" l="1"/>
  <c r="AD1278" i="22"/>
  <c r="C1279" i="22" s="1"/>
  <c r="U1278" i="22"/>
  <c r="AE1278" i="22" s="1"/>
  <c r="D1279" i="22" s="1"/>
  <c r="V1278" i="22"/>
  <c r="AF1278" i="22" s="1"/>
  <c r="E1279" i="22" s="1"/>
  <c r="W1278" i="22" a="1"/>
  <c r="W1278" i="22" l="1"/>
  <c r="P1278" i="22" a="1"/>
  <c r="P1278" i="22" l="1"/>
  <c r="AC1278" i="22"/>
  <c r="R1278" i="22" l="1"/>
  <c r="S1278" i="22" s="1"/>
  <c r="K1278" i="22" s="1"/>
  <c r="I1279" i="22"/>
  <c r="B1279" i="22"/>
  <c r="H1279" i="22" l="1"/>
  <c r="X1278" i="22"/>
  <c r="Y1278" i="22" s="1"/>
  <c r="AG1278" i="22" l="1"/>
  <c r="F1279" i="22" l="1"/>
  <c r="AK1278" i="22"/>
  <c r="G1279" i="22" s="1"/>
  <c r="T1279" i="22" a="1"/>
  <c r="T1279" i="22" l="1"/>
  <c r="Q1279" i="22" l="1"/>
  <c r="V1279" i="22"/>
  <c r="AF1279" i="22" s="1"/>
  <c r="E1280" i="22" s="1"/>
  <c r="AD1279" i="22"/>
  <c r="C1280" i="22" s="1"/>
  <c r="U1279" i="22"/>
  <c r="AE1279" i="22" s="1"/>
  <c r="D1280" i="22" s="1"/>
  <c r="W1279" i="22" a="1"/>
  <c r="W1279" i="22" l="1"/>
  <c r="P1279" i="22" a="1"/>
  <c r="P1279" i="22" l="1"/>
  <c r="AC1279" i="22"/>
  <c r="I1280" i="22" l="1"/>
  <c r="R1279" i="22"/>
  <c r="S1279" i="22" s="1"/>
  <c r="K1279" i="22" s="1"/>
  <c r="B1280" i="22"/>
  <c r="H1280" i="22" l="1"/>
  <c r="X1279" i="22"/>
  <c r="Y1279" i="22" s="1"/>
  <c r="AG1279" i="22" l="1"/>
  <c r="F1280" i="22" l="1"/>
  <c r="AK1279" i="22"/>
  <c r="G1280" i="22" s="1"/>
  <c r="T1280" i="22" a="1"/>
  <c r="T1280" i="22" l="1"/>
  <c r="Q1280" i="22" l="1"/>
  <c r="V1280" i="22"/>
  <c r="AF1280" i="22" s="1"/>
  <c r="E1281" i="22" s="1"/>
  <c r="AD1280" i="22"/>
  <c r="C1281" i="22" s="1"/>
  <c r="U1280" i="22"/>
  <c r="AE1280" i="22" s="1"/>
  <c r="D1281" i="22" s="1"/>
  <c r="W1280" i="22" a="1"/>
  <c r="W1280" i="22" l="1"/>
  <c r="P1280" i="22" a="1"/>
  <c r="P1280" i="22" l="1"/>
  <c r="AC1280" i="22"/>
  <c r="I1281" i="22" l="1"/>
  <c r="R1280" i="22"/>
  <c r="S1280" i="22" s="1"/>
  <c r="K1280" i="22" s="1"/>
  <c r="B1281" i="22"/>
  <c r="H1281" i="22" l="1"/>
  <c r="X1280" i="22"/>
  <c r="Y1280" i="22" s="1"/>
  <c r="AG1280" i="22" l="1"/>
  <c r="F1281" i="22" l="1"/>
  <c r="AK1280" i="22"/>
  <c r="G1281" i="22" s="1"/>
  <c r="T1281" i="22" a="1"/>
  <c r="T1281" i="22" l="1"/>
  <c r="Q1281" i="22" l="1"/>
  <c r="U1281" i="22"/>
  <c r="AE1281" i="22" s="1"/>
  <c r="D1282" i="22" s="1"/>
  <c r="V1281" i="22"/>
  <c r="AF1281" i="22" s="1"/>
  <c r="E1282" i="22" s="1"/>
  <c r="AD1281" i="22"/>
  <c r="C1282" i="22" s="1"/>
  <c r="W1281" i="22" a="1"/>
  <c r="W1281" i="22" l="1"/>
  <c r="P1281" i="22" a="1"/>
  <c r="P1281" i="22" l="1"/>
  <c r="AC1281" i="22"/>
  <c r="B1282" i="22" l="1"/>
  <c r="I1282" i="22"/>
  <c r="R1281" i="22"/>
  <c r="S1281" i="22" s="1"/>
  <c r="K1281" i="22" s="1"/>
  <c r="X1281" i="22" l="1"/>
  <c r="Y1281" i="22" s="1"/>
  <c r="H1282" i="22"/>
  <c r="AG1281" i="22" l="1"/>
  <c r="F1282" i="22" l="1"/>
  <c r="AK1281" i="22"/>
  <c r="G1282" i="22" s="1"/>
  <c r="T1282" i="22" a="1"/>
  <c r="T1282" i="22" l="1"/>
  <c r="Q1282" i="22" l="1"/>
  <c r="U1282" i="22"/>
  <c r="AE1282" i="22" s="1"/>
  <c r="D1283" i="22" s="1"/>
  <c r="AD1282" i="22"/>
  <c r="C1283" i="22" s="1"/>
  <c r="V1282" i="22"/>
  <c r="AF1282" i="22" s="1"/>
  <c r="E1283" i="22" s="1"/>
  <c r="W1282" i="22" a="1"/>
  <c r="W1282" i="22" l="1"/>
  <c r="P1282" i="22" a="1"/>
  <c r="P1282" i="22" l="1"/>
  <c r="AC1282" i="22"/>
  <c r="R1282" i="22" l="1"/>
  <c r="S1282" i="22" s="1"/>
  <c r="K1282" i="22" s="1"/>
  <c r="I1283" i="22"/>
  <c r="B1283" i="22"/>
  <c r="X1282" i="22" l="1"/>
  <c r="Y1282" i="22" s="1"/>
  <c r="H1283" i="22"/>
  <c r="AG1282" i="22" l="1"/>
  <c r="F1283" i="22" l="1"/>
  <c r="AK1282" i="22"/>
  <c r="G1283" i="22" s="1"/>
  <c r="T1283" i="22" a="1"/>
  <c r="T1283" i="22" l="1"/>
  <c r="Q1283" i="22" l="1"/>
  <c r="U1283" i="22"/>
  <c r="AE1283" i="22" s="1"/>
  <c r="D1284" i="22" s="1"/>
  <c r="V1283" i="22"/>
  <c r="AF1283" i="22" s="1"/>
  <c r="E1284" i="22" s="1"/>
  <c r="AD1283" i="22"/>
  <c r="C1284" i="22" s="1"/>
  <c r="W1283" i="22" a="1"/>
  <c r="W1283" i="22" l="1"/>
  <c r="P1283" i="22" a="1"/>
  <c r="P1283" i="22" l="1"/>
  <c r="AC1283" i="22"/>
  <c r="B1284" i="22" l="1"/>
  <c r="R1283" i="22"/>
  <c r="S1283" i="22" s="1"/>
  <c r="K1283" i="22" s="1"/>
  <c r="I1284" i="22"/>
  <c r="H1284" i="22" l="1"/>
  <c r="X1283" i="22"/>
  <c r="Y1283" i="22" s="1"/>
  <c r="AG1283" i="22" l="1"/>
  <c r="F1284" i="22" l="1"/>
  <c r="AK1283" i="22"/>
  <c r="G1284" i="22" s="1"/>
  <c r="T1284" i="22" a="1"/>
  <c r="T1284" i="22" l="1"/>
  <c r="Q1284" i="22" l="1"/>
  <c r="U1284" i="22"/>
  <c r="AE1284" i="22" s="1"/>
  <c r="D1285" i="22" s="1"/>
  <c r="V1284" i="22"/>
  <c r="AF1284" i="22" s="1"/>
  <c r="E1285" i="22" s="1"/>
  <c r="AD1284" i="22"/>
  <c r="C1285" i="22" s="1"/>
  <c r="W1284" i="22" a="1"/>
  <c r="W1284" i="22" l="1"/>
  <c r="P1284" i="22" a="1"/>
  <c r="P1284" i="22" l="1"/>
  <c r="AC1284" i="22"/>
  <c r="B1285" i="22" l="1"/>
  <c r="I1285" i="22"/>
  <c r="R1284" i="22"/>
  <c r="S1284" i="22" s="1"/>
  <c r="K1284" i="22" s="1"/>
  <c r="X1284" i="22" l="1"/>
  <c r="Y1284" i="22" s="1"/>
  <c r="H1285" i="22"/>
  <c r="AG1284" i="22" l="1"/>
  <c r="F1285" i="22" l="1"/>
  <c r="AK1284" i="22"/>
  <c r="G1285" i="22" s="1"/>
  <c r="T1285" i="22" a="1"/>
  <c r="T1285" i="22" l="1"/>
  <c r="Q1285" i="22" l="1"/>
  <c r="AD1285" i="22"/>
  <c r="C1286" i="22" s="1"/>
  <c r="U1285" i="22"/>
  <c r="AE1285" i="22" s="1"/>
  <c r="D1286" i="22" s="1"/>
  <c r="V1285" i="22"/>
  <c r="AF1285" i="22" s="1"/>
  <c r="E1286" i="22" s="1"/>
  <c r="W1285" i="22" a="1"/>
  <c r="W1285" i="22" l="1"/>
  <c r="P1285" i="22" a="1"/>
  <c r="P1285" i="22" l="1"/>
  <c r="AC1285" i="22"/>
  <c r="R1285" i="22" l="1"/>
  <c r="S1285" i="22" s="1"/>
  <c r="K1285" i="22" s="1"/>
  <c r="I1286" i="22"/>
  <c r="H1286" i="22" s="1"/>
  <c r="B1286" i="22"/>
  <c r="X1285" i="22" l="1"/>
  <c r="Y1285" i="22" s="1"/>
  <c r="AG1285" i="22" l="1"/>
  <c r="F1286" i="22" l="1"/>
  <c r="AK1285" i="22"/>
  <c r="G1286" i="22" s="1"/>
  <c r="T1286" i="22" a="1"/>
  <c r="T1286" i="22" l="1"/>
  <c r="Q1286" i="22" l="1"/>
  <c r="AD1286" i="22"/>
  <c r="C1287" i="22" s="1"/>
  <c r="U1286" i="22"/>
  <c r="AE1286" i="22" s="1"/>
  <c r="D1287" i="22" s="1"/>
  <c r="V1286" i="22"/>
  <c r="AF1286" i="22" s="1"/>
  <c r="E1287" i="22" s="1"/>
  <c r="W1286" i="22" a="1"/>
  <c r="W1286" i="22" l="1"/>
  <c r="P1286" i="22" a="1"/>
  <c r="P1286" i="22" l="1"/>
  <c r="AC1286" i="22"/>
  <c r="B1287" i="22" l="1"/>
  <c r="I1287" i="22"/>
  <c r="H1287" i="22" s="1"/>
  <c r="R1286" i="22"/>
  <c r="S1286" i="22" s="1"/>
  <c r="K1286" i="22" s="1"/>
  <c r="X1286" i="22" l="1"/>
  <c r="Y1286" i="22" s="1"/>
  <c r="AG1286" i="22" l="1"/>
  <c r="F1287" i="22" l="1"/>
  <c r="AK1286" i="22"/>
  <c r="G1287" i="22" s="1"/>
  <c r="T1287" i="22" a="1"/>
  <c r="T1287" i="22" l="1"/>
  <c r="Q1287" i="22" l="1"/>
  <c r="AD1287" i="22"/>
  <c r="C1288" i="22" s="1"/>
  <c r="U1287" i="22"/>
  <c r="AE1287" i="22" s="1"/>
  <c r="D1288" i="22" s="1"/>
  <c r="V1287" i="22"/>
  <c r="AF1287" i="22" s="1"/>
  <c r="E1288" i="22" s="1"/>
  <c r="W1287" i="22" a="1"/>
  <c r="W1287" i="22" l="1"/>
  <c r="P1287" i="22" a="1"/>
  <c r="P1287" i="22" l="1"/>
  <c r="AC1287" i="22"/>
  <c r="B1288" i="22" l="1"/>
  <c r="I1288" i="22"/>
  <c r="H1288" i="22" s="1"/>
  <c r="R1287" i="22"/>
  <c r="S1287" i="22" s="1"/>
  <c r="K1287" i="22" s="1"/>
  <c r="X1287" i="22" l="1"/>
  <c r="Y1287" i="22" s="1"/>
  <c r="AG1287" i="22" l="1"/>
  <c r="F1288" i="22" l="1"/>
  <c r="AK1287" i="22"/>
  <c r="G1288" i="22" s="1"/>
  <c r="T1288" i="22" a="1"/>
  <c r="T1288" i="22" l="1"/>
  <c r="Q1288" i="22" l="1"/>
  <c r="AD1288" i="22"/>
  <c r="C1289" i="22" s="1"/>
  <c r="V1288" i="22"/>
  <c r="AF1288" i="22" s="1"/>
  <c r="E1289" i="22" s="1"/>
  <c r="U1288" i="22"/>
  <c r="AE1288" i="22" s="1"/>
  <c r="D1289" i="22" s="1"/>
  <c r="W1288" i="22" a="1"/>
  <c r="W1288" i="22" l="1"/>
  <c r="P1288" i="22" a="1"/>
  <c r="P1288" i="22" l="1"/>
  <c r="AC1288" i="22"/>
  <c r="R1288" i="22" l="1"/>
  <c r="S1288" i="22" s="1"/>
  <c r="K1288" i="22" s="1"/>
  <c r="I1289" i="22"/>
  <c r="H1289" i="22" s="1"/>
  <c r="B1289" i="22"/>
  <c r="X1288" i="22" l="1"/>
  <c r="Y1288" i="22" s="1"/>
  <c r="AG1288" i="22" l="1"/>
  <c r="F1289" i="22" l="1"/>
  <c r="AK1288" i="22"/>
  <c r="G1289" i="22" s="1"/>
  <c r="T1289" i="22" a="1"/>
  <c r="T1289" i="22" l="1"/>
  <c r="Q1289" i="22" l="1"/>
  <c r="AD1289" i="22"/>
  <c r="C1290" i="22" s="1"/>
  <c r="V1289" i="22"/>
  <c r="AF1289" i="22" s="1"/>
  <c r="E1290" i="22" s="1"/>
  <c r="U1289" i="22"/>
  <c r="AE1289" i="22" s="1"/>
  <c r="D1290" i="22" s="1"/>
  <c r="W1289" i="22" a="1"/>
  <c r="W1289" i="22" l="1"/>
  <c r="P1289" i="22" a="1"/>
  <c r="P1289" i="22" l="1"/>
  <c r="AC1289" i="22"/>
  <c r="I1290" i="22" l="1"/>
  <c r="R1289" i="22"/>
  <c r="S1289" i="22" s="1"/>
  <c r="K1289" i="22" s="1"/>
  <c r="B1290" i="22"/>
  <c r="H1290" i="22" l="1"/>
  <c r="X1289" i="22"/>
  <c r="Y1289" i="22" s="1"/>
  <c r="AG1289" i="22" l="1"/>
  <c r="F1290" i="22" l="1"/>
  <c r="AK1289" i="22"/>
  <c r="G1290" i="22" s="1"/>
  <c r="T1290" i="22" a="1"/>
  <c r="T1290" i="22" l="1"/>
  <c r="Q1290" i="22" l="1"/>
  <c r="U1290" i="22"/>
  <c r="AE1290" i="22" s="1"/>
  <c r="D1291" i="22" s="1"/>
  <c r="AD1290" i="22"/>
  <c r="C1291" i="22" s="1"/>
  <c r="V1290" i="22"/>
  <c r="AF1290" i="22" s="1"/>
  <c r="E1291" i="22" s="1"/>
  <c r="W1290" i="22" a="1"/>
  <c r="W1290" i="22" l="1"/>
  <c r="P1290" i="22" a="1"/>
  <c r="P1290" i="22" l="1"/>
  <c r="AC1290" i="22"/>
  <c r="B1291" i="22" l="1"/>
  <c r="R1290" i="22"/>
  <c r="S1290" i="22" s="1"/>
  <c r="K1290" i="22" s="1"/>
  <c r="I1291" i="22"/>
  <c r="H1291" i="22" l="1"/>
  <c r="X1290" i="22"/>
  <c r="Y1290" i="22" s="1"/>
  <c r="AG1290" i="22" l="1"/>
  <c r="F1291" i="22" l="1"/>
  <c r="AK1290" i="22"/>
  <c r="G1291" i="22" s="1"/>
  <c r="T1291" i="22" a="1"/>
  <c r="T1291" i="22" l="1"/>
  <c r="Q1291" i="22" l="1"/>
  <c r="AD1291" i="22"/>
  <c r="C1292" i="22" s="1"/>
  <c r="V1291" i="22"/>
  <c r="AF1291" i="22" s="1"/>
  <c r="E1292" i="22" s="1"/>
  <c r="U1291" i="22"/>
  <c r="AE1291" i="22" s="1"/>
  <c r="D1292" i="22" s="1"/>
  <c r="W1291" i="22" a="1"/>
  <c r="W1291" i="22" l="1"/>
  <c r="P1291" i="22" a="1"/>
  <c r="P1291" i="22" l="1"/>
  <c r="AC1291" i="22"/>
  <c r="I1292" i="22" l="1"/>
  <c r="R1291" i="22"/>
  <c r="S1291" i="22" s="1"/>
  <c r="K1291" i="22" s="1"/>
  <c r="B1292" i="22"/>
  <c r="H1292" i="22" l="1"/>
  <c r="X1291" i="22"/>
  <c r="Y1291" i="22" s="1"/>
  <c r="AG1291" i="22" l="1"/>
  <c r="F1292" i="22" l="1"/>
  <c r="AK1291" i="22"/>
  <c r="G1292" i="22" s="1"/>
  <c r="T1292" i="22" a="1"/>
  <c r="T1292" i="22" l="1"/>
  <c r="Q1292" i="22" l="1"/>
  <c r="U1292" i="22"/>
  <c r="AE1292" i="22" s="1"/>
  <c r="D1293" i="22" s="1"/>
  <c r="AD1292" i="22"/>
  <c r="C1293" i="22" s="1"/>
  <c r="V1292" i="22"/>
  <c r="AF1292" i="22" s="1"/>
  <c r="E1293" i="22" s="1"/>
  <c r="W1292" i="22" a="1"/>
  <c r="W1292" i="22" l="1"/>
  <c r="P1292" i="22" a="1"/>
  <c r="P1292" i="22" l="1"/>
  <c r="AC1292" i="22"/>
  <c r="B1293" i="22" l="1"/>
  <c r="R1292" i="22"/>
  <c r="S1292" i="22" s="1"/>
  <c r="K1292" i="22" s="1"/>
  <c r="I1293" i="22"/>
  <c r="H1293" i="22" l="1"/>
  <c r="X1292" i="22"/>
  <c r="Y1292" i="22" s="1"/>
  <c r="AG1292" i="22" l="1"/>
  <c r="F1293" i="22" l="1"/>
  <c r="AK1292" i="22"/>
  <c r="G1293" i="22" s="1"/>
  <c r="T1293" i="22" a="1"/>
  <c r="T1293" i="22" l="1"/>
  <c r="Q1293" i="22" l="1"/>
  <c r="V1293" i="22"/>
  <c r="AF1293" i="22" s="1"/>
  <c r="E1294" i="22" s="1"/>
  <c r="U1293" i="22"/>
  <c r="AE1293" i="22" s="1"/>
  <c r="D1294" i="22" s="1"/>
  <c r="AD1293" i="22"/>
  <c r="C1294" i="22" s="1"/>
  <c r="W1293" i="22" a="1"/>
  <c r="W1293" i="22" l="1"/>
  <c r="P1293" i="22" a="1"/>
  <c r="P1293" i="22" l="1"/>
  <c r="AC1293" i="22"/>
  <c r="R1293" i="22" l="1"/>
  <c r="S1293" i="22" s="1"/>
  <c r="K1293" i="22" s="1"/>
  <c r="I1294" i="22"/>
  <c r="B1294" i="22"/>
  <c r="H1294" i="22" l="1"/>
  <c r="X1293" i="22"/>
  <c r="Y1293" i="22" s="1"/>
  <c r="AG1293" i="22" l="1"/>
  <c r="F1294" i="22" l="1"/>
  <c r="AK1293" i="22"/>
  <c r="G1294" i="22" s="1"/>
  <c r="T1294" i="22" a="1"/>
  <c r="T1294" i="22" l="1"/>
  <c r="Q1294" i="22" l="1"/>
  <c r="U1294" i="22"/>
  <c r="AE1294" i="22" s="1"/>
  <c r="D1295" i="22" s="1"/>
  <c r="V1294" i="22"/>
  <c r="AF1294" i="22" s="1"/>
  <c r="E1295" i="22" s="1"/>
  <c r="AD1294" i="22"/>
  <c r="C1295" i="22" s="1"/>
  <c r="W1294" i="22" a="1"/>
  <c r="W1294" i="22" l="1"/>
  <c r="P1294" i="22" a="1"/>
  <c r="P1294" i="22" l="1"/>
  <c r="AC1294" i="22"/>
  <c r="R1294" i="22" l="1"/>
  <c r="S1294" i="22" s="1"/>
  <c r="K1294" i="22" s="1"/>
  <c r="I1295" i="22"/>
  <c r="B1295" i="22"/>
  <c r="H1295" i="22" l="1"/>
  <c r="X1294" i="22"/>
  <c r="Y1294" i="22" s="1"/>
  <c r="AG1294" i="22" l="1"/>
  <c r="F1295" i="22" l="1"/>
  <c r="AK1294" i="22"/>
  <c r="G1295" i="22" s="1"/>
  <c r="T1295" i="22" a="1"/>
  <c r="T1295" i="22" l="1"/>
  <c r="Q1295" i="22" l="1"/>
  <c r="V1295" i="22"/>
  <c r="AF1295" i="22" s="1"/>
  <c r="E1296" i="22" s="1"/>
  <c r="U1295" i="22"/>
  <c r="AE1295" i="22" s="1"/>
  <c r="D1296" i="22" s="1"/>
  <c r="AD1295" i="22"/>
  <c r="C1296" i="22" s="1"/>
  <c r="W1295" i="22" a="1"/>
  <c r="W1295" i="22" l="1"/>
  <c r="P1295" i="22" a="1"/>
  <c r="P1295" i="22" l="1"/>
  <c r="AC1295" i="22"/>
  <c r="R1295" i="22" l="1"/>
  <c r="S1295" i="22" s="1"/>
  <c r="K1295" i="22" s="1"/>
  <c r="I1296" i="22"/>
  <c r="B1296" i="22"/>
  <c r="H1296" i="22" l="1"/>
  <c r="X1295" i="22"/>
  <c r="Y1295" i="22" s="1"/>
  <c r="AG1295" i="22" l="1"/>
  <c r="F1296" i="22" l="1"/>
  <c r="AK1295" i="22"/>
  <c r="G1296" i="22" s="1"/>
  <c r="T1296" i="22" a="1"/>
  <c r="T1296" i="22" l="1"/>
  <c r="Q1296" i="22" l="1"/>
  <c r="U1296" i="22"/>
  <c r="AE1296" i="22" s="1"/>
  <c r="D1297" i="22" s="1"/>
  <c r="V1296" i="22"/>
  <c r="AF1296" i="22" s="1"/>
  <c r="E1297" i="22" s="1"/>
  <c r="AD1296" i="22"/>
  <c r="C1297" i="22" s="1"/>
  <c r="W1296" i="22" a="1"/>
  <c r="W1296" i="22" l="1"/>
  <c r="P1296" i="22" a="1"/>
  <c r="P1296" i="22" l="1"/>
  <c r="AC1296" i="22"/>
  <c r="B1297" i="22" l="1"/>
  <c r="R1296" i="22"/>
  <c r="S1296" i="22" s="1"/>
  <c r="K1296" i="22" s="1"/>
  <c r="I1297" i="22"/>
  <c r="H1297" i="22" l="1"/>
  <c r="X1296" i="22"/>
  <c r="Y1296" i="22" s="1"/>
  <c r="AG1296" i="22" l="1"/>
  <c r="F1297" i="22" l="1"/>
  <c r="AK1296" i="22"/>
  <c r="G1297" i="22" s="1"/>
  <c r="T1297" i="22" a="1"/>
  <c r="T1297" i="22" l="1"/>
  <c r="Q1297" i="22" l="1"/>
  <c r="V1297" i="22"/>
  <c r="AF1297" i="22" s="1"/>
  <c r="E1298" i="22" s="1"/>
  <c r="U1297" i="22"/>
  <c r="AE1297" i="22" s="1"/>
  <c r="D1298" i="22" s="1"/>
  <c r="AD1297" i="22"/>
  <c r="C1298" i="22" s="1"/>
  <c r="W1297" i="22" a="1"/>
  <c r="W1297" i="22" l="1"/>
  <c r="P1297" i="22" a="1"/>
  <c r="P1297" i="22" l="1"/>
  <c r="AC1297" i="22"/>
  <c r="B1298" i="22" l="1"/>
  <c r="R1297" i="22"/>
  <c r="S1297" i="22" s="1"/>
  <c r="K1297" i="22" s="1"/>
  <c r="I1298" i="22"/>
  <c r="H1298" i="22" l="1"/>
  <c r="X1297" i="22"/>
  <c r="Y1297" i="22" s="1"/>
  <c r="AG1297" i="22" l="1"/>
  <c r="F1298" i="22" l="1"/>
  <c r="AK1297" i="22"/>
  <c r="G1298" i="22" s="1"/>
  <c r="T1298" i="22" a="1"/>
  <c r="T1298" i="22" l="1"/>
  <c r="Q1298" i="22" l="1"/>
  <c r="U1298" i="22"/>
  <c r="AE1298" i="22" s="1"/>
  <c r="D1299" i="22" s="1"/>
  <c r="V1298" i="22"/>
  <c r="AF1298" i="22" s="1"/>
  <c r="E1299" i="22" s="1"/>
  <c r="AD1298" i="22"/>
  <c r="C1299" i="22" s="1"/>
  <c r="W1298" i="22" a="1"/>
  <c r="W1298" i="22" l="1"/>
  <c r="P1298" i="22" a="1"/>
  <c r="P1298" i="22" l="1"/>
  <c r="AC1298" i="22"/>
  <c r="B1299" i="22" l="1"/>
  <c r="R1298" i="22"/>
  <c r="S1298" i="22" s="1"/>
  <c r="K1298" i="22" s="1"/>
  <c r="I1299" i="22"/>
  <c r="X1298" i="22" l="1"/>
  <c r="Y1298" i="22" s="1"/>
  <c r="H1299" i="22"/>
  <c r="AG1298" i="22" l="1"/>
  <c r="F1299" i="22" l="1"/>
  <c r="AK1298" i="22"/>
  <c r="G1299" i="22" s="1"/>
  <c r="T1299" i="22" a="1"/>
  <c r="T1299" i="22" l="1"/>
  <c r="Q1299" i="22" l="1"/>
  <c r="AD1299" i="22"/>
  <c r="C1300" i="22" s="1"/>
  <c r="U1299" i="22"/>
  <c r="AE1299" i="22" s="1"/>
  <c r="D1300" i="22" s="1"/>
  <c r="V1299" i="22"/>
  <c r="AF1299" i="22" s="1"/>
  <c r="E1300" i="22" s="1"/>
  <c r="W1299" i="22" a="1"/>
  <c r="W1299" i="22" l="1"/>
  <c r="P1299" i="22" a="1"/>
  <c r="P1299" i="22" l="1"/>
  <c r="AC1299" i="22"/>
  <c r="R1299" i="22" l="1"/>
  <c r="S1299" i="22" s="1"/>
  <c r="K1299" i="22" s="1"/>
  <c r="I1300" i="22"/>
  <c r="B1300" i="22"/>
  <c r="X1299" i="22" l="1"/>
  <c r="Y1299" i="22" s="1"/>
  <c r="H1300" i="22"/>
  <c r="AG1299" i="22" l="1"/>
  <c r="F1300" i="22" l="1"/>
  <c r="AK1299" i="22"/>
  <c r="G1300" i="22" s="1"/>
  <c r="T1300" i="22" a="1"/>
  <c r="T1300" i="22" l="1"/>
  <c r="Q1300" i="22" l="1"/>
  <c r="V1300" i="22"/>
  <c r="AF1300" i="22" s="1"/>
  <c r="E1301" i="22" s="1"/>
  <c r="U1300" i="22"/>
  <c r="AE1300" i="22" s="1"/>
  <c r="D1301" i="22" s="1"/>
  <c r="AD1300" i="22"/>
  <c r="C1301" i="22" s="1"/>
  <c r="W1300" i="22" a="1"/>
  <c r="W1300" i="22" l="1"/>
  <c r="P1300" i="22" a="1"/>
  <c r="P1300" i="22" l="1"/>
  <c r="AC1300" i="22"/>
  <c r="I1301" i="22" l="1"/>
  <c r="R1300" i="22"/>
  <c r="S1300" i="22" s="1"/>
  <c r="K1300" i="22" s="1"/>
  <c r="B1301" i="22"/>
  <c r="H1301" i="22" l="1"/>
  <c r="X1300" i="22"/>
  <c r="Y1300" i="22" s="1"/>
  <c r="AG1300" i="22" l="1"/>
  <c r="F1301" i="22" l="1"/>
  <c r="AK1300" i="22"/>
  <c r="G1301" i="22" s="1"/>
  <c r="T1301" i="22" a="1"/>
  <c r="T1301" i="22" l="1"/>
  <c r="Q1301" i="22" l="1"/>
  <c r="V1301" i="22"/>
  <c r="AF1301" i="22" s="1"/>
  <c r="E1302" i="22" s="1"/>
  <c r="AD1301" i="22"/>
  <c r="C1302" i="22" s="1"/>
  <c r="U1301" i="22"/>
  <c r="AE1301" i="22" s="1"/>
  <c r="D1302" i="22" s="1"/>
  <c r="W1301" i="22" a="1"/>
  <c r="W1301" i="22" l="1"/>
  <c r="P1301" i="22" a="1"/>
  <c r="P1301" i="22" l="1"/>
  <c r="AC1301" i="22"/>
  <c r="B1302" i="22" l="1"/>
  <c r="I1302" i="22"/>
  <c r="R1301" i="22"/>
  <c r="S1301" i="22" s="1"/>
  <c r="K1301" i="22" s="1"/>
  <c r="H1302" i="22" l="1"/>
  <c r="X1301" i="22"/>
  <c r="Y1301" i="22" s="1"/>
  <c r="AG1301" i="22" l="1"/>
  <c r="F1302" i="22" l="1"/>
  <c r="AK1301" i="22"/>
  <c r="G1302" i="22" s="1"/>
  <c r="T1302" i="22" a="1"/>
  <c r="T1302" i="22" l="1"/>
  <c r="Q1302" i="22" l="1"/>
  <c r="V1302" i="22"/>
  <c r="AF1302" i="22" s="1"/>
  <c r="E1303" i="22" s="1"/>
  <c r="AD1302" i="22"/>
  <c r="C1303" i="22" s="1"/>
  <c r="U1302" i="22"/>
  <c r="AE1302" i="22" s="1"/>
  <c r="D1303" i="22" s="1"/>
  <c r="W1302" i="22" a="1"/>
  <c r="W1302" i="22" l="1"/>
  <c r="P1302" i="22" a="1"/>
  <c r="P1302" i="22" l="1"/>
  <c r="AC1302" i="22"/>
  <c r="B1303" i="22" l="1"/>
  <c r="R1302" i="22"/>
  <c r="S1302" i="22" s="1"/>
  <c r="K1302" i="22" s="1"/>
  <c r="I1303" i="22"/>
  <c r="X1302" i="22" l="1"/>
  <c r="Y1302" i="22" s="1"/>
  <c r="H1303" i="22"/>
  <c r="AG1302" i="22" l="1"/>
  <c r="F1303" i="22" l="1"/>
  <c r="AK1302" i="22"/>
  <c r="G1303" i="22" s="1"/>
  <c r="T1303" i="22" a="1"/>
  <c r="T1303" i="22" l="1"/>
  <c r="Q1303" i="22" l="1"/>
  <c r="AD1303" i="22"/>
  <c r="C1304" i="22" s="1"/>
  <c r="V1303" i="22"/>
  <c r="AF1303" i="22" s="1"/>
  <c r="E1304" i="22" s="1"/>
  <c r="U1303" i="22"/>
  <c r="AE1303" i="22" s="1"/>
  <c r="D1304" i="22" s="1"/>
  <c r="W1303" i="22" a="1"/>
  <c r="W1303" i="22" l="1"/>
  <c r="P1303" i="22" a="1"/>
  <c r="P1303" i="22" l="1"/>
  <c r="AC1303" i="22"/>
  <c r="B1304" i="22" l="1"/>
  <c r="I1304" i="22"/>
  <c r="R1303" i="22"/>
  <c r="S1303" i="22" s="1"/>
  <c r="K1303" i="22" s="1"/>
  <c r="H1304" i="22" l="1"/>
  <c r="X1303" i="22"/>
  <c r="Y1303" i="22" s="1"/>
  <c r="AG1303" i="22" l="1"/>
  <c r="F1304" i="22" l="1"/>
  <c r="AK1303" i="22"/>
  <c r="G1304" i="22" s="1"/>
  <c r="T1304" i="22" a="1"/>
  <c r="T1304" i="22" l="1"/>
  <c r="Q1304" i="22" l="1"/>
  <c r="AD1304" i="22"/>
  <c r="C1305" i="22" s="1"/>
  <c r="V1304" i="22"/>
  <c r="AF1304" i="22" s="1"/>
  <c r="E1305" i="22" s="1"/>
  <c r="U1304" i="22"/>
  <c r="AE1304" i="22" s="1"/>
  <c r="D1305" i="22" s="1"/>
  <c r="W1304" i="22" a="1"/>
  <c r="W1304" i="22" l="1"/>
  <c r="P1304" i="22" a="1"/>
  <c r="P1304" i="22" l="1"/>
  <c r="AC1304" i="22"/>
  <c r="R1304" i="22" l="1"/>
  <c r="S1304" i="22" s="1"/>
  <c r="K1304" i="22" s="1"/>
  <c r="I1305" i="22"/>
  <c r="B1305" i="22"/>
  <c r="H1305" i="22" l="1"/>
  <c r="X1304" i="22"/>
  <c r="Y1304" i="22" s="1"/>
  <c r="AG1304" i="22" l="1"/>
  <c r="F1305" i="22" l="1"/>
  <c r="AK1304" i="22"/>
  <c r="G1305" i="22" s="1"/>
  <c r="T1305" i="22" a="1"/>
  <c r="T1305" i="22" l="1"/>
  <c r="Q1305" i="22" l="1"/>
  <c r="V1305" i="22"/>
  <c r="AF1305" i="22" s="1"/>
  <c r="E1306" i="22" s="1"/>
  <c r="U1305" i="22"/>
  <c r="AE1305" i="22" s="1"/>
  <c r="D1306" i="22" s="1"/>
  <c r="AD1305" i="22"/>
  <c r="C1306" i="22" s="1"/>
  <c r="W1305" i="22" a="1"/>
  <c r="W1305" i="22" l="1"/>
  <c r="P1305" i="22" a="1"/>
  <c r="P1305" i="22" l="1"/>
  <c r="AC1305" i="22"/>
  <c r="I1306" i="22" l="1"/>
  <c r="R1305" i="22"/>
  <c r="S1305" i="22" s="1"/>
  <c r="K1305" i="22" s="1"/>
  <c r="B1306" i="22"/>
  <c r="X1305" i="22" l="1"/>
  <c r="Y1305" i="22" s="1"/>
  <c r="H1306" i="22"/>
  <c r="AG1305" i="22" l="1"/>
  <c r="F1306" i="22" l="1"/>
  <c r="AK1305" i="22"/>
  <c r="G1306" i="22" s="1"/>
  <c r="T1306" i="22" a="1"/>
  <c r="T1306" i="22" l="1"/>
  <c r="Q1306" i="22" l="1"/>
  <c r="AD1306" i="22"/>
  <c r="C1307" i="22" s="1"/>
  <c r="U1306" i="22"/>
  <c r="AE1306" i="22" s="1"/>
  <c r="D1307" i="22" s="1"/>
  <c r="V1306" i="22"/>
  <c r="AF1306" i="22" s="1"/>
  <c r="E1307" i="22" s="1"/>
  <c r="W1306" i="22" a="1"/>
  <c r="W1306" i="22" l="1"/>
  <c r="P1306" i="22" a="1"/>
  <c r="P1306" i="22" l="1"/>
  <c r="AC1306" i="22"/>
  <c r="B1307" i="22" l="1"/>
  <c r="I1307" i="22"/>
  <c r="R1306" i="22"/>
  <c r="S1306" i="22" s="1"/>
  <c r="K1306" i="22" s="1"/>
  <c r="X1306" i="22" l="1"/>
  <c r="Y1306" i="22" s="1"/>
  <c r="H1307" i="22"/>
  <c r="AG1306" i="22" l="1"/>
  <c r="F1307" i="22" l="1"/>
  <c r="AK1306" i="22"/>
  <c r="G1307" i="22" s="1"/>
  <c r="T1307" i="22" a="1"/>
  <c r="T1307" i="22" l="1"/>
  <c r="Q1307" i="22" l="1"/>
  <c r="AD1307" i="22"/>
  <c r="C1308" i="22" s="1"/>
  <c r="V1307" i="22"/>
  <c r="AF1307" i="22" s="1"/>
  <c r="E1308" i="22" s="1"/>
  <c r="U1307" i="22"/>
  <c r="AE1307" i="22" s="1"/>
  <c r="D1308" i="22" s="1"/>
  <c r="W1307" i="22" a="1"/>
  <c r="W1307" i="22" l="1"/>
  <c r="P1307" i="22" a="1"/>
  <c r="P1307" i="22" l="1"/>
  <c r="AC1307" i="22"/>
  <c r="R1307" i="22" l="1"/>
  <c r="S1307" i="22" s="1"/>
  <c r="K1307" i="22" s="1"/>
  <c r="I1308" i="22"/>
  <c r="B1308" i="22"/>
  <c r="X1307" i="22" l="1"/>
  <c r="Y1307" i="22" s="1"/>
  <c r="H1308" i="22"/>
  <c r="AG1307" i="22" l="1"/>
  <c r="F1308" i="22" l="1"/>
  <c r="AK1307" i="22"/>
  <c r="G1308" i="22" s="1"/>
  <c r="T1308" i="22" a="1"/>
  <c r="T1308" i="22" l="1"/>
  <c r="Q1308" i="22" l="1"/>
  <c r="V1308" i="22"/>
  <c r="AF1308" i="22" s="1"/>
  <c r="E1309" i="22" s="1"/>
  <c r="AD1308" i="22"/>
  <c r="C1309" i="22" s="1"/>
  <c r="U1308" i="22"/>
  <c r="AE1308" i="22" s="1"/>
  <c r="D1309" i="22" s="1"/>
  <c r="W1308" i="22" a="1"/>
  <c r="W1308" i="22" l="1"/>
  <c r="P1308" i="22" a="1"/>
  <c r="P1308" i="22" l="1"/>
  <c r="AC1308" i="22"/>
  <c r="I1309" i="22" l="1"/>
  <c r="R1308" i="22"/>
  <c r="S1308" i="22" s="1"/>
  <c r="K1308" i="22" s="1"/>
  <c r="B1309" i="22"/>
  <c r="X1308" i="22" l="1"/>
  <c r="Y1308" i="22" s="1"/>
  <c r="H1309" i="22"/>
  <c r="AG1308" i="22" l="1"/>
  <c r="F1309" i="22" l="1"/>
  <c r="AK1308" i="22"/>
  <c r="G1309" i="22" s="1"/>
  <c r="T1309" i="22" a="1"/>
  <c r="T1309" i="22" l="1"/>
  <c r="Q1309" i="22" l="1"/>
  <c r="U1309" i="22"/>
  <c r="AE1309" i="22" s="1"/>
  <c r="D1310" i="22" s="1"/>
  <c r="V1309" i="22"/>
  <c r="AF1309" i="22" s="1"/>
  <c r="E1310" i="22" s="1"/>
  <c r="AD1309" i="22"/>
  <c r="C1310" i="22" s="1"/>
  <c r="W1309" i="22" a="1"/>
  <c r="W1309" i="22" l="1"/>
  <c r="P1309" i="22" a="1"/>
  <c r="P1309" i="22" l="1"/>
  <c r="AC1309" i="22"/>
  <c r="B1310" i="22" l="1"/>
  <c r="R1309" i="22"/>
  <c r="S1309" i="22" s="1"/>
  <c r="K1309" i="22" s="1"/>
  <c r="I1310" i="22"/>
  <c r="X1309" i="22" l="1"/>
  <c r="Y1309" i="22" s="1"/>
  <c r="H1310" i="22"/>
  <c r="AG1309" i="22" l="1"/>
  <c r="F1310" i="22" l="1"/>
  <c r="AK1309" i="22"/>
  <c r="G1310" i="22" s="1"/>
  <c r="T1310" i="22" a="1"/>
  <c r="T1310" i="22" l="1"/>
  <c r="Q1310" i="22" l="1"/>
  <c r="U1310" i="22"/>
  <c r="AE1310" i="22" s="1"/>
  <c r="D1311" i="22" s="1"/>
  <c r="V1310" i="22"/>
  <c r="AF1310" i="22" s="1"/>
  <c r="E1311" i="22" s="1"/>
  <c r="AD1310" i="22"/>
  <c r="C1311" i="22" s="1"/>
  <c r="W1310" i="22" a="1"/>
  <c r="W1310" i="22" l="1"/>
  <c r="P1310" i="22" a="1"/>
  <c r="P1310" i="22" l="1"/>
  <c r="AC1310" i="22"/>
  <c r="I1311" i="22" l="1"/>
  <c r="R1310" i="22"/>
  <c r="S1310" i="22" s="1"/>
  <c r="K1310" i="22" s="1"/>
  <c r="B1311" i="22"/>
  <c r="H1311" i="22" l="1"/>
  <c r="X1310" i="22"/>
  <c r="Y1310" i="22" s="1"/>
  <c r="AG1310" i="22" l="1"/>
  <c r="F1311" i="22" l="1"/>
  <c r="AK1310" i="22"/>
  <c r="G1311" i="22" s="1"/>
  <c r="T1311" i="22" a="1"/>
  <c r="T1311" i="22" l="1"/>
  <c r="Q1311" i="22" l="1"/>
  <c r="V1311" i="22"/>
  <c r="AF1311" i="22" s="1"/>
  <c r="E1312" i="22" s="1"/>
  <c r="AD1311" i="22"/>
  <c r="C1312" i="22" s="1"/>
  <c r="U1311" i="22"/>
  <c r="AE1311" i="22" s="1"/>
  <c r="D1312" i="22" s="1"/>
  <c r="W1311" i="22" a="1"/>
  <c r="W1311" i="22" l="1"/>
  <c r="P1311" i="22" a="1"/>
  <c r="P1311" i="22" l="1"/>
  <c r="AC1311" i="22"/>
  <c r="R1311" i="22" l="1"/>
  <c r="S1311" i="22" s="1"/>
  <c r="K1311" i="22" s="1"/>
  <c r="I1312" i="22"/>
  <c r="H1312" i="22" s="1"/>
  <c r="B1312" i="22"/>
  <c r="X1311" i="22" l="1"/>
  <c r="Y1311" i="22" s="1"/>
  <c r="AG1311" i="22" l="1"/>
  <c r="F1312" i="22" l="1"/>
  <c r="AK1311" i="22"/>
  <c r="G1312" i="22" s="1"/>
  <c r="T1312" i="22" a="1"/>
  <c r="T1312" i="22" l="1"/>
  <c r="Q1312" i="22" l="1"/>
  <c r="AD1312" i="22"/>
  <c r="C1313" i="22" s="1"/>
  <c r="V1312" i="22"/>
  <c r="AF1312" i="22" s="1"/>
  <c r="E1313" i="22" s="1"/>
  <c r="U1312" i="22"/>
  <c r="AE1312" i="22" s="1"/>
  <c r="D1313" i="22" s="1"/>
  <c r="W1312" i="22" a="1"/>
  <c r="W1312" i="22" l="1"/>
  <c r="P1312" i="22" a="1"/>
  <c r="P1312" i="22" l="1"/>
  <c r="AC1312" i="22"/>
  <c r="B1313" i="22" l="1"/>
  <c r="R1312" i="22"/>
  <c r="S1312" i="22" s="1"/>
  <c r="K1312" i="22" s="1"/>
  <c r="I1313" i="22"/>
  <c r="X1312" i="22" l="1"/>
  <c r="Y1312" i="22" s="1"/>
  <c r="H1313" i="22"/>
  <c r="AG1312" i="22" l="1"/>
  <c r="F1313" i="22" l="1"/>
  <c r="AK1312" i="22"/>
  <c r="G1313" i="22" s="1"/>
  <c r="T1313" i="22" a="1"/>
  <c r="T1313" i="22" l="1"/>
  <c r="Q1313" i="22" l="1"/>
  <c r="AD1313" i="22"/>
  <c r="C1314" i="22" s="1"/>
  <c r="V1313" i="22"/>
  <c r="AF1313" i="22" s="1"/>
  <c r="E1314" i="22" s="1"/>
  <c r="U1313" i="22"/>
  <c r="AE1313" i="22" s="1"/>
  <c r="D1314" i="22" s="1"/>
  <c r="W1313" i="22" a="1"/>
  <c r="W1313" i="22" l="1"/>
  <c r="P1313" i="22" a="1"/>
  <c r="P1313" i="22" l="1"/>
  <c r="AC1313" i="22"/>
  <c r="B1314" i="22" l="1"/>
  <c r="I1314" i="22"/>
  <c r="R1313" i="22"/>
  <c r="S1313" i="22" s="1"/>
  <c r="K1313" i="22" s="1"/>
  <c r="H1314" i="22" l="1"/>
  <c r="X1313" i="22"/>
  <c r="Y1313" i="22" s="1"/>
  <c r="AG1313" i="22" l="1"/>
  <c r="F1314" i="22" l="1"/>
  <c r="AK1313" i="22"/>
  <c r="G1314" i="22" s="1"/>
  <c r="T1314" i="22" a="1"/>
  <c r="T1314" i="22" l="1"/>
  <c r="Q1314" i="22" l="1"/>
  <c r="V1314" i="22"/>
  <c r="AF1314" i="22" s="1"/>
  <c r="E1315" i="22" s="1"/>
  <c r="U1314" i="22"/>
  <c r="AE1314" i="22" s="1"/>
  <c r="D1315" i="22" s="1"/>
  <c r="AD1314" i="22"/>
  <c r="C1315" i="22" s="1"/>
  <c r="W1314" i="22" a="1"/>
  <c r="W1314" i="22" l="1"/>
  <c r="P1314" i="22" a="1"/>
  <c r="P1314" i="22" l="1"/>
  <c r="AC1314" i="22"/>
  <c r="B1315" i="22" l="1"/>
  <c r="R1314" i="22"/>
  <c r="S1314" i="22" s="1"/>
  <c r="K1314" i="22" s="1"/>
  <c r="I1315" i="22"/>
  <c r="H1315" i="22" s="1"/>
  <c r="X1314" i="22" l="1"/>
  <c r="Y1314" i="22" s="1"/>
  <c r="AG1314" i="22" l="1"/>
  <c r="F1315" i="22" l="1"/>
  <c r="AK1314" i="22"/>
  <c r="G1315" i="22" s="1"/>
  <c r="T1315" i="22" a="1"/>
  <c r="T1315" i="22" l="1"/>
  <c r="Q1315" i="22" l="1"/>
  <c r="AD1315" i="22"/>
  <c r="C1316" i="22" s="1"/>
  <c r="U1315" i="22"/>
  <c r="AE1315" i="22" s="1"/>
  <c r="D1316" i="22" s="1"/>
  <c r="V1315" i="22"/>
  <c r="AF1315" i="22" s="1"/>
  <c r="E1316" i="22" s="1"/>
  <c r="W1315" i="22" a="1"/>
  <c r="W1315" i="22" l="1"/>
  <c r="P1315" i="22" a="1"/>
  <c r="P1315" i="22" l="1"/>
  <c r="AC1315" i="22"/>
  <c r="B1316" i="22" l="1"/>
  <c r="I1316" i="22"/>
  <c r="R1315" i="22"/>
  <c r="S1315" i="22" s="1"/>
  <c r="K1315" i="22" s="1"/>
  <c r="X1315" i="22" l="1"/>
  <c r="Y1315" i="22" s="1"/>
  <c r="H1316" i="22"/>
  <c r="AG1315" i="22" l="1"/>
  <c r="F1316" i="22" l="1"/>
  <c r="AK1315" i="22"/>
  <c r="G1316" i="22" s="1"/>
  <c r="T1316" i="22" a="1"/>
  <c r="T1316" i="22" l="1"/>
  <c r="Q1316" i="22" l="1"/>
  <c r="U1316" i="22"/>
  <c r="AE1316" i="22" s="1"/>
  <c r="D1317" i="22" s="1"/>
  <c r="AD1316" i="22"/>
  <c r="C1317" i="22" s="1"/>
  <c r="V1316" i="22"/>
  <c r="AF1316" i="22" s="1"/>
  <c r="E1317" i="22" s="1"/>
  <c r="W1316" i="22" a="1"/>
  <c r="W1316" i="22" l="1"/>
  <c r="P1316" i="22" a="1"/>
  <c r="P1316" i="22" l="1"/>
  <c r="AC1316" i="22"/>
  <c r="B1317" i="22" l="1"/>
  <c r="I1317" i="22"/>
  <c r="R1316" i="22"/>
  <c r="S1316" i="22" s="1"/>
  <c r="K1316" i="22" s="1"/>
  <c r="X1316" i="22" l="1"/>
  <c r="Y1316" i="22" s="1"/>
  <c r="H1317" i="22"/>
  <c r="AG1316" i="22" l="1"/>
  <c r="F1317" i="22" l="1"/>
  <c r="AK1316" i="22"/>
  <c r="G1317" i="22" s="1"/>
  <c r="T1317" i="22" a="1"/>
  <c r="T1317" i="22" l="1"/>
  <c r="Q1317" i="22" l="1"/>
  <c r="U1317" i="22"/>
  <c r="AE1317" i="22" s="1"/>
  <c r="D1318" i="22" s="1"/>
  <c r="AD1317" i="22"/>
  <c r="C1318" i="22" s="1"/>
  <c r="V1317" i="22"/>
  <c r="AF1317" i="22" s="1"/>
  <c r="E1318" i="22" s="1"/>
  <c r="W1317" i="22" a="1"/>
  <c r="W1317" i="22" l="1"/>
  <c r="P1317" i="22" a="1"/>
  <c r="P1317" i="22" l="1"/>
  <c r="AC1317" i="22"/>
  <c r="B1318" i="22" l="1"/>
  <c r="I1318" i="22"/>
  <c r="R1317" i="22"/>
  <c r="S1317" i="22" s="1"/>
  <c r="K1317" i="22" s="1"/>
  <c r="H1318" i="22" l="1"/>
  <c r="X1317" i="22"/>
  <c r="Y1317" i="22" s="1"/>
  <c r="AG1317" i="22" l="1"/>
  <c r="F1318" i="22" l="1"/>
  <c r="AK1317" i="22"/>
  <c r="G1318" i="22" s="1"/>
  <c r="T1318" i="22" a="1"/>
  <c r="T1318" i="22" l="1"/>
  <c r="Q1318" i="22" l="1"/>
  <c r="AD1318" i="22"/>
  <c r="C1319" i="22" s="1"/>
  <c r="V1318" i="22"/>
  <c r="AF1318" i="22" s="1"/>
  <c r="E1319" i="22" s="1"/>
  <c r="U1318" i="22"/>
  <c r="AE1318" i="22" s="1"/>
  <c r="D1319" i="22" s="1"/>
  <c r="W1318" i="22" a="1"/>
  <c r="W1318" i="22" l="1"/>
  <c r="P1318" i="22" a="1"/>
  <c r="P1318" i="22" l="1"/>
  <c r="AC1318" i="22"/>
  <c r="B1319" i="22" l="1"/>
  <c r="R1318" i="22"/>
  <c r="S1318" i="22" s="1"/>
  <c r="K1318" i="22" s="1"/>
  <c r="I1319" i="22"/>
  <c r="X1318" i="22" l="1"/>
  <c r="Y1318" i="22" s="1"/>
  <c r="H1319" i="22"/>
  <c r="AG1318" i="22" l="1"/>
  <c r="F1319" i="22" l="1"/>
  <c r="AK1318" i="22"/>
  <c r="G1319" i="22" s="1"/>
  <c r="T1319" i="22" a="1"/>
  <c r="T1319" i="22" l="1"/>
  <c r="Q1319" i="22" l="1"/>
  <c r="V1319" i="22"/>
  <c r="AF1319" i="22" s="1"/>
  <c r="E1320" i="22" s="1"/>
  <c r="U1319" i="22"/>
  <c r="AE1319" i="22" s="1"/>
  <c r="D1320" i="22" s="1"/>
  <c r="AD1319" i="22"/>
  <c r="C1320" i="22" s="1"/>
  <c r="W1319" i="22" a="1"/>
  <c r="W1319" i="22" l="1"/>
  <c r="P1319" i="22" a="1"/>
  <c r="P1319" i="22" l="1"/>
  <c r="AC1319" i="22"/>
  <c r="B1320" i="22" l="1"/>
  <c r="R1319" i="22"/>
  <c r="S1319" i="22" s="1"/>
  <c r="K1319" i="22" s="1"/>
  <c r="I1320" i="22"/>
  <c r="X1319" i="22" l="1"/>
  <c r="Y1319" i="22" s="1"/>
  <c r="H1320" i="22"/>
  <c r="AG1319" i="22" l="1"/>
  <c r="F1320" i="22" l="1"/>
  <c r="AK1319" i="22"/>
  <c r="G1320" i="22" s="1"/>
  <c r="T1320" i="22" a="1"/>
  <c r="T1320" i="22" l="1"/>
  <c r="Q1320" i="22" l="1"/>
  <c r="U1320" i="22"/>
  <c r="AE1320" i="22" s="1"/>
  <c r="D1321" i="22" s="1"/>
  <c r="AD1320" i="22"/>
  <c r="C1321" i="22" s="1"/>
  <c r="V1320" i="22"/>
  <c r="AF1320" i="22" s="1"/>
  <c r="E1321" i="22" s="1"/>
  <c r="W1320" i="22" a="1"/>
  <c r="W1320" i="22" l="1"/>
  <c r="P1320" i="22" a="1"/>
  <c r="P1320" i="22" l="1"/>
  <c r="AC1320" i="22"/>
  <c r="B1321" i="22" l="1"/>
  <c r="R1320" i="22"/>
  <c r="S1320" i="22" s="1"/>
  <c r="K1320" i="22" s="1"/>
  <c r="I1321" i="22"/>
  <c r="X1320" i="22" l="1"/>
  <c r="Y1320" i="22" s="1"/>
  <c r="H1321" i="22"/>
  <c r="AG1320" i="22" l="1"/>
  <c r="F1321" i="22" l="1"/>
  <c r="AK1320" i="22"/>
  <c r="G1321" i="22" s="1"/>
  <c r="T1321" i="22" a="1"/>
  <c r="T1321" i="22" l="1"/>
  <c r="Q1321" i="22" l="1"/>
  <c r="U1321" i="22"/>
  <c r="AE1321" i="22" s="1"/>
  <c r="D1322" i="22" s="1"/>
  <c r="AD1321" i="22"/>
  <c r="C1322" i="22" s="1"/>
  <c r="V1321" i="22"/>
  <c r="AF1321" i="22" s="1"/>
  <c r="E1322" i="22" s="1"/>
  <c r="W1321" i="22" a="1"/>
  <c r="W1321" i="22" l="1"/>
  <c r="P1321" i="22" a="1"/>
  <c r="P1321" i="22" l="1"/>
  <c r="AC1321" i="22"/>
  <c r="B1322" i="22" l="1"/>
  <c r="I1322" i="22"/>
  <c r="R1321" i="22"/>
  <c r="S1321" i="22" s="1"/>
  <c r="K1321" i="22" s="1"/>
  <c r="X1321" i="22" l="1"/>
  <c r="Y1321" i="22" s="1"/>
  <c r="H1322" i="22"/>
  <c r="AG1321" i="22" l="1"/>
  <c r="F1322" i="22" l="1"/>
  <c r="AK1321" i="22"/>
  <c r="G1322" i="22" s="1"/>
  <c r="T1322" i="22" a="1"/>
  <c r="T1322" i="22" l="1"/>
  <c r="Q1322" i="22" l="1"/>
  <c r="U1322" i="22"/>
  <c r="AE1322" i="22" s="1"/>
  <c r="D1323" i="22" s="1"/>
  <c r="V1322" i="22"/>
  <c r="AF1322" i="22" s="1"/>
  <c r="E1323" i="22" s="1"/>
  <c r="AD1322" i="22"/>
  <c r="C1323" i="22" s="1"/>
  <c r="W1322" i="22" a="1"/>
  <c r="W1322" i="22" l="1"/>
  <c r="P1322" i="22" a="1"/>
  <c r="P1322" i="22" l="1"/>
  <c r="AC1322" i="22"/>
  <c r="B1323" i="22" l="1"/>
  <c r="I1323" i="22"/>
  <c r="R1322" i="22"/>
  <c r="S1322" i="22" s="1"/>
  <c r="K1322" i="22" s="1"/>
  <c r="H1323" i="22" l="1"/>
  <c r="X1322" i="22"/>
  <c r="Y1322" i="22" s="1"/>
  <c r="AG1322" i="22" l="1"/>
  <c r="F1323" i="22" l="1"/>
  <c r="AK1322" i="22"/>
  <c r="G1323" i="22" s="1"/>
  <c r="T1323" i="22" a="1"/>
  <c r="T1323" i="22" l="1"/>
  <c r="Q1323" i="22" l="1"/>
  <c r="U1323" i="22"/>
  <c r="AE1323" i="22" s="1"/>
  <c r="D1324" i="22" s="1"/>
  <c r="AD1323" i="22"/>
  <c r="C1324" i="22" s="1"/>
  <c r="V1323" i="22"/>
  <c r="AF1323" i="22" s="1"/>
  <c r="E1324" i="22" s="1"/>
  <c r="W1323" i="22" a="1"/>
  <c r="W1323" i="22" l="1"/>
  <c r="P1323" i="22" a="1"/>
  <c r="P1323" i="22" l="1"/>
  <c r="AC1323" i="22"/>
  <c r="B1324" i="22" l="1"/>
  <c r="I1324" i="22"/>
  <c r="R1323" i="22"/>
  <c r="S1323" i="22" s="1"/>
  <c r="K1323" i="22" s="1"/>
  <c r="X1323" i="22" l="1"/>
  <c r="Y1323" i="22" s="1"/>
  <c r="H1324" i="22"/>
  <c r="AG1323" i="22" l="1"/>
  <c r="F1324" i="22" l="1"/>
  <c r="AK1323" i="22"/>
  <c r="G1324" i="22" s="1"/>
  <c r="T1324" i="22" a="1"/>
  <c r="T1324" i="22" l="1"/>
  <c r="Q1324" i="22" l="1"/>
  <c r="V1324" i="22"/>
  <c r="AF1324" i="22" s="1"/>
  <c r="E1325" i="22" s="1"/>
  <c r="U1324" i="22"/>
  <c r="AE1324" i="22" s="1"/>
  <c r="D1325" i="22" s="1"/>
  <c r="AD1324" i="22"/>
  <c r="C1325" i="22" s="1"/>
  <c r="W1324" i="22" a="1"/>
  <c r="W1324" i="22" l="1"/>
  <c r="P1324" i="22" a="1"/>
  <c r="P1324" i="22" l="1"/>
  <c r="AC1324" i="22"/>
  <c r="B1325" i="22" l="1"/>
  <c r="R1324" i="22"/>
  <c r="S1324" i="22" s="1"/>
  <c r="K1324" i="22" s="1"/>
  <c r="I1325" i="22"/>
  <c r="H1325" i="22" l="1"/>
  <c r="X1324" i="22"/>
  <c r="Y1324" i="22" s="1"/>
  <c r="AG1324" i="22" l="1"/>
  <c r="F1325" i="22" s="1"/>
  <c r="AK1324" i="22"/>
  <c r="G1325" i="22" s="1"/>
  <c r="T1325" i="22" a="1"/>
  <c r="T1325" i="22" l="1"/>
  <c r="Q1325" i="22" l="1"/>
  <c r="AD1325" i="22"/>
  <c r="C1326" i="22" s="1"/>
  <c r="V1325" i="22"/>
  <c r="AF1325" i="22" s="1"/>
  <c r="E1326" i="22" s="1"/>
  <c r="U1325" i="22"/>
  <c r="AE1325" i="22" s="1"/>
  <c r="D1326" i="22" s="1"/>
  <c r="W1325" i="22" a="1"/>
  <c r="W1325" i="22" l="1"/>
  <c r="P1325" i="22" a="1"/>
  <c r="P1325" i="22" l="1"/>
  <c r="AC1325" i="22"/>
  <c r="B1326" i="22" l="1"/>
  <c r="I1326" i="22"/>
  <c r="R1325" i="22"/>
  <c r="S1325" i="22" s="1"/>
  <c r="K1325" i="22" s="1"/>
  <c r="X1325" i="22" l="1"/>
  <c r="Y1325" i="22" s="1"/>
  <c r="H1326" i="22"/>
  <c r="AG1325" i="22" l="1"/>
  <c r="F1326" i="22" l="1"/>
  <c r="AK1325" i="22"/>
  <c r="G1326" i="22" s="1"/>
  <c r="T1326" i="22" a="1"/>
  <c r="T1326" i="22" l="1"/>
  <c r="Q1326" i="22" l="1"/>
  <c r="U1326" i="22"/>
  <c r="AE1326" i="22" s="1"/>
  <c r="D1327" i="22" s="1"/>
  <c r="AD1326" i="22"/>
  <c r="C1327" i="22" s="1"/>
  <c r="V1326" i="22"/>
  <c r="AF1326" i="22" s="1"/>
  <c r="E1327" i="22" s="1"/>
  <c r="W1326" i="22" a="1"/>
  <c r="W1326" i="22" l="1"/>
  <c r="P1326" i="22" a="1"/>
  <c r="P1326" i="22" l="1"/>
  <c r="AC1326" i="22"/>
  <c r="B1327" i="22" l="1"/>
  <c r="R1326" i="22"/>
  <c r="S1326" i="22" s="1"/>
  <c r="K1326" i="22" s="1"/>
  <c r="I1327" i="22"/>
  <c r="X1326" i="22" l="1"/>
  <c r="Y1326" i="22" s="1"/>
  <c r="H1327" i="22"/>
  <c r="AG1326" i="22" l="1"/>
  <c r="F1327" i="22" l="1"/>
  <c r="AK1326" i="22"/>
  <c r="G1327" i="22" s="1"/>
  <c r="T1327" i="22" a="1"/>
  <c r="T1327" i="22" l="1"/>
  <c r="Q1327" i="22" l="1"/>
  <c r="U1327" i="22"/>
  <c r="AE1327" i="22" s="1"/>
  <c r="D1328" i="22" s="1"/>
  <c r="V1327" i="22"/>
  <c r="AF1327" i="22" s="1"/>
  <c r="E1328" i="22" s="1"/>
  <c r="AD1327" i="22"/>
  <c r="C1328" i="22" s="1"/>
  <c r="W1327" i="22" a="1"/>
  <c r="W1327" i="22" l="1"/>
  <c r="P1327" i="22" a="1"/>
  <c r="P1327" i="22" l="1"/>
  <c r="AC1327" i="22"/>
  <c r="B1328" i="22" l="1"/>
  <c r="R1327" i="22"/>
  <c r="S1327" i="22" s="1"/>
  <c r="K1327" i="22" s="1"/>
  <c r="I1328" i="22"/>
  <c r="H1328" i="22" l="1"/>
  <c r="X1327" i="22"/>
  <c r="Y1327" i="22" s="1"/>
  <c r="AG1327" i="22" l="1"/>
  <c r="F1328" i="22" l="1"/>
  <c r="AK1327" i="22"/>
  <c r="G1328" i="22" s="1"/>
  <c r="T1328" i="22" a="1"/>
  <c r="T1328" i="22" l="1"/>
  <c r="Q1328" i="22" l="1"/>
  <c r="AD1328" i="22"/>
  <c r="C1329" i="22" s="1"/>
  <c r="U1328" i="22"/>
  <c r="AE1328" i="22" s="1"/>
  <c r="D1329" i="22" s="1"/>
  <c r="V1328" i="22"/>
  <c r="AF1328" i="22" s="1"/>
  <c r="E1329" i="22" s="1"/>
  <c r="W1328" i="22" a="1"/>
  <c r="W1328" i="22" l="1"/>
  <c r="P1328" i="22" a="1"/>
  <c r="P1328" i="22" l="1"/>
  <c r="AC1328" i="22"/>
  <c r="B1329" i="22" l="1"/>
  <c r="R1328" i="22"/>
  <c r="S1328" i="22" s="1"/>
  <c r="K1328" i="22" s="1"/>
  <c r="I1329" i="22"/>
  <c r="X1328" i="22" l="1"/>
  <c r="Y1328" i="22" s="1"/>
  <c r="H1329" i="22"/>
  <c r="AG1328" i="22" l="1"/>
  <c r="F1329" i="22" l="1"/>
  <c r="AK1328" i="22"/>
  <c r="G1329" i="22" s="1"/>
  <c r="T1329" i="22" a="1"/>
  <c r="T1329" i="22" l="1"/>
  <c r="Q1329" i="22" l="1"/>
  <c r="V1329" i="22"/>
  <c r="AF1329" i="22" s="1"/>
  <c r="E1330" i="22" s="1"/>
  <c r="AD1329" i="22"/>
  <c r="C1330" i="22" s="1"/>
  <c r="U1329" i="22"/>
  <c r="AE1329" i="22" s="1"/>
  <c r="D1330" i="22" s="1"/>
  <c r="W1329" i="22" a="1"/>
  <c r="W1329" i="22" l="1"/>
  <c r="P1329" i="22" a="1"/>
  <c r="P1329" i="22" l="1"/>
  <c r="AC1329" i="22"/>
  <c r="B1330" i="22" l="1"/>
  <c r="I1330" i="22"/>
  <c r="R1329" i="22"/>
  <c r="S1329" i="22" s="1"/>
  <c r="K1329" i="22" s="1"/>
  <c r="H1330" i="22" l="1"/>
  <c r="X1329" i="22"/>
  <c r="Y1329" i="22" s="1"/>
  <c r="AG1329" i="22" l="1"/>
  <c r="F1330" i="22" l="1"/>
  <c r="AK1329" i="22"/>
  <c r="G1330" i="22" s="1"/>
  <c r="T1330" i="22" a="1"/>
  <c r="T1330" i="22" l="1"/>
  <c r="Q1330" i="22" l="1"/>
  <c r="U1330" i="22"/>
  <c r="AE1330" i="22" s="1"/>
  <c r="D1331" i="22" s="1"/>
  <c r="V1330" i="22"/>
  <c r="AF1330" i="22" s="1"/>
  <c r="E1331" i="22" s="1"/>
  <c r="AD1330" i="22"/>
  <c r="C1331" i="22" s="1"/>
  <c r="W1330" i="22" a="1"/>
  <c r="W1330" i="22" l="1"/>
  <c r="P1330" i="22" a="1"/>
  <c r="P1330" i="22" l="1"/>
  <c r="AC1330" i="22"/>
  <c r="B1331" i="22" l="1"/>
  <c r="R1330" i="22"/>
  <c r="S1330" i="22" s="1"/>
  <c r="K1330" i="22" s="1"/>
  <c r="I1331" i="22"/>
  <c r="X1330" i="22" l="1"/>
  <c r="Y1330" i="22" s="1"/>
  <c r="H1331" i="22"/>
  <c r="AG1330" i="22" l="1"/>
  <c r="F1331" i="22" l="1"/>
  <c r="AK1330" i="22"/>
  <c r="G1331" i="22" s="1"/>
  <c r="T1331" i="22" a="1"/>
  <c r="T1331" i="22" l="1"/>
  <c r="Q1331" i="22" l="1"/>
  <c r="V1331" i="22"/>
  <c r="AF1331" i="22" s="1"/>
  <c r="E1332" i="22" s="1"/>
  <c r="AD1331" i="22"/>
  <c r="C1332" i="22" s="1"/>
  <c r="U1331" i="22"/>
  <c r="AE1331" i="22" s="1"/>
  <c r="D1332" i="22" s="1"/>
  <c r="W1331" i="22" a="1"/>
  <c r="W1331" i="22" l="1"/>
  <c r="P1331" i="22" a="1"/>
  <c r="P1331" i="22" l="1"/>
  <c r="AC1331" i="22"/>
  <c r="B1332" i="22" l="1"/>
  <c r="I1332" i="22"/>
  <c r="R1331" i="22"/>
  <c r="S1331" i="22" s="1"/>
  <c r="K1331" i="22" s="1"/>
  <c r="X1331" i="22" l="1"/>
  <c r="Y1331" i="22" s="1"/>
  <c r="H1332" i="22"/>
  <c r="AG1331" i="22" l="1"/>
  <c r="F1332" i="22" l="1"/>
  <c r="AK1331" i="22"/>
  <c r="G1332" i="22" s="1"/>
  <c r="T1332" i="22" a="1"/>
  <c r="T1332" i="22" l="1"/>
  <c r="Q1332" i="22" l="1"/>
  <c r="V1332" i="22"/>
  <c r="AF1332" i="22" s="1"/>
  <c r="E1333" i="22" s="1"/>
  <c r="AD1332" i="22"/>
  <c r="C1333" i="22" s="1"/>
  <c r="U1332" i="22"/>
  <c r="AE1332" i="22" s="1"/>
  <c r="D1333" i="22" s="1"/>
  <c r="W1332" i="22" a="1"/>
  <c r="W1332" i="22" l="1"/>
  <c r="P1332" i="22" a="1"/>
  <c r="P1332" i="22" l="1"/>
  <c r="AC1332" i="22"/>
  <c r="B1333" i="22" l="1"/>
  <c r="R1332" i="22"/>
  <c r="S1332" i="22" s="1"/>
  <c r="K1332" i="22" s="1"/>
  <c r="I1333" i="22"/>
  <c r="X1332" i="22" l="1"/>
  <c r="Y1332" i="22" s="1"/>
  <c r="H1333" i="22"/>
  <c r="AG1332" i="22" l="1"/>
  <c r="F1333" i="22" l="1"/>
  <c r="AK1332" i="22"/>
  <c r="G1333" i="22" s="1"/>
  <c r="T1333" i="22" a="1"/>
  <c r="T1333" i="22" l="1"/>
  <c r="Q1333" i="22" l="1"/>
  <c r="U1333" i="22"/>
  <c r="AE1333" i="22" s="1"/>
  <c r="D1334" i="22" s="1"/>
  <c r="V1333" i="22"/>
  <c r="AF1333" i="22" s="1"/>
  <c r="E1334" i="22" s="1"/>
  <c r="AD1333" i="22"/>
  <c r="C1334" i="22" s="1"/>
  <c r="W1333" i="22" a="1"/>
  <c r="W1333" i="22" l="1"/>
  <c r="P1333" i="22" a="1"/>
  <c r="P1333" i="22" l="1"/>
  <c r="AC1333" i="22"/>
  <c r="B1334" i="22" l="1"/>
  <c r="R1333" i="22"/>
  <c r="S1333" i="22" s="1"/>
  <c r="K1333" i="22" s="1"/>
  <c r="I1334" i="22"/>
  <c r="H1334" i="22" l="1"/>
  <c r="X1333" i="22"/>
  <c r="Y1333" i="22" s="1"/>
  <c r="AG1333" i="22" l="1"/>
  <c r="F1334" i="22" l="1"/>
  <c r="AK1333" i="22"/>
  <c r="G1334" i="22" s="1"/>
  <c r="T1334" i="22" a="1"/>
  <c r="T1334" i="22" l="1"/>
  <c r="Q1334" i="22" l="1"/>
  <c r="V1334" i="22"/>
  <c r="AF1334" i="22" s="1"/>
  <c r="E1335" i="22" s="1"/>
  <c r="U1334" i="22"/>
  <c r="AE1334" i="22" s="1"/>
  <c r="D1335" i="22" s="1"/>
  <c r="AD1334" i="22"/>
  <c r="C1335" i="22" s="1"/>
  <c r="W1334" i="22" a="1"/>
  <c r="W1334" i="22" l="1"/>
  <c r="P1334" i="22" a="1"/>
  <c r="P1334" i="22" l="1"/>
  <c r="AC1334" i="22"/>
  <c r="B1335" i="22" l="1"/>
  <c r="I1335" i="22"/>
  <c r="R1334" i="22"/>
  <c r="S1334" i="22" s="1"/>
  <c r="K1334" i="22" s="1"/>
  <c r="H1335" i="22" l="1"/>
  <c r="X1334" i="22"/>
  <c r="Y1334" i="22" s="1"/>
  <c r="AG1334" i="22" l="1"/>
  <c r="F1335" i="22" l="1"/>
  <c r="AK1334" i="22"/>
  <c r="G1335" i="22" s="1"/>
  <c r="T1335" i="22" a="1"/>
  <c r="T1335" i="22" l="1"/>
  <c r="Q1335" i="22" l="1"/>
  <c r="U1335" i="22"/>
  <c r="AE1335" i="22" s="1"/>
  <c r="D1336" i="22" s="1"/>
  <c r="AD1335" i="22"/>
  <c r="C1336" i="22" s="1"/>
  <c r="V1335" i="22"/>
  <c r="AF1335" i="22" s="1"/>
  <c r="E1336" i="22" s="1"/>
  <c r="W1335" i="22" a="1"/>
  <c r="W1335" i="22" l="1"/>
  <c r="P1335" i="22" a="1"/>
  <c r="P1335" i="22" l="1"/>
  <c r="AC1335" i="22"/>
  <c r="B1336" i="22" l="1"/>
  <c r="I1336" i="22"/>
  <c r="R1335" i="22"/>
  <c r="S1335" i="22" s="1"/>
  <c r="K1335" i="22" s="1"/>
  <c r="X1335" i="22" l="1"/>
  <c r="Y1335" i="22" s="1"/>
  <c r="H1336" i="22"/>
  <c r="AG1335" i="22" l="1"/>
  <c r="F1336" i="22" l="1"/>
  <c r="AK1335" i="22"/>
  <c r="G1336" i="22" s="1"/>
  <c r="T1336" i="22" a="1"/>
  <c r="T1336" i="22" l="1"/>
  <c r="Q1336" i="22" l="1"/>
  <c r="V1336" i="22"/>
  <c r="AF1336" i="22" s="1"/>
  <c r="E1337" i="22" s="1"/>
  <c r="AD1336" i="22"/>
  <c r="C1337" i="22" s="1"/>
  <c r="U1336" i="22"/>
  <c r="AE1336" i="22" s="1"/>
  <c r="D1337" i="22" s="1"/>
  <c r="W1336" i="22" a="1"/>
  <c r="W1336" i="22" l="1"/>
  <c r="P1336" i="22" a="1"/>
  <c r="P1336" i="22" l="1"/>
  <c r="AC1336" i="22"/>
  <c r="B1337" i="22" l="1"/>
  <c r="I1337" i="22"/>
  <c r="R1336" i="22"/>
  <c r="S1336" i="22" s="1"/>
  <c r="K1336" i="22" s="1"/>
  <c r="H1337" i="22" l="1"/>
  <c r="X1336" i="22"/>
  <c r="Y1336" i="22" s="1"/>
  <c r="AG1336" i="22" l="1"/>
  <c r="F1337" i="22" l="1"/>
  <c r="AK1336" i="22"/>
  <c r="G1337" i="22" s="1"/>
  <c r="T1337" i="22" a="1"/>
  <c r="T1337" i="22" l="1"/>
  <c r="Q1337" i="22" l="1"/>
  <c r="V1337" i="22"/>
  <c r="AF1337" i="22" s="1"/>
  <c r="E1338" i="22" s="1"/>
  <c r="U1337" i="22"/>
  <c r="AE1337" i="22" s="1"/>
  <c r="D1338" i="22" s="1"/>
  <c r="AD1337" i="22"/>
  <c r="C1338" i="22" s="1"/>
  <c r="W1337" i="22" a="1"/>
  <c r="W1337" i="22" l="1"/>
  <c r="P1337" i="22" a="1"/>
  <c r="P1337" i="22" l="1"/>
  <c r="AC1337" i="22"/>
  <c r="B1338" i="22" l="1"/>
  <c r="R1337" i="22"/>
  <c r="S1337" i="22" s="1"/>
  <c r="K1337" i="22" s="1"/>
  <c r="I1338" i="22"/>
  <c r="X1337" i="22" l="1"/>
  <c r="Y1337" i="22" s="1"/>
  <c r="H1338" i="22"/>
  <c r="AG1337" i="22" l="1"/>
  <c r="F1338" i="22" l="1"/>
  <c r="AK1337" i="22"/>
  <c r="G1338" i="22" s="1"/>
  <c r="T1338" i="22" a="1"/>
  <c r="T1338" i="22" l="1"/>
  <c r="Q1338" i="22" l="1"/>
  <c r="U1338" i="22"/>
  <c r="AE1338" i="22" s="1"/>
  <c r="D1339" i="22" s="1"/>
  <c r="AD1338" i="22"/>
  <c r="C1339" i="22" s="1"/>
  <c r="V1338" i="22"/>
  <c r="AF1338" i="22" s="1"/>
  <c r="E1339" i="22" s="1"/>
  <c r="W1338" i="22" a="1"/>
  <c r="W1338" i="22" l="1"/>
  <c r="P1338" i="22" a="1"/>
  <c r="P1338" i="22" l="1"/>
  <c r="AC1338" i="22"/>
  <c r="B1339" i="22" l="1"/>
  <c r="I1339" i="22"/>
  <c r="R1338" i="22"/>
  <c r="S1338" i="22" s="1"/>
  <c r="K1338" i="22" s="1"/>
  <c r="H1339" i="22" l="1"/>
  <c r="X1338" i="22"/>
  <c r="Y1338" i="22" s="1"/>
  <c r="AG1338" i="22" l="1"/>
  <c r="F1339" i="22" l="1"/>
  <c r="AK1338" i="22"/>
  <c r="G1339" i="22" s="1"/>
  <c r="T1339" i="22" a="1"/>
  <c r="T1339" i="22" l="1"/>
  <c r="Q1339" i="22" l="1"/>
  <c r="V1339" i="22"/>
  <c r="AF1339" i="22" s="1"/>
  <c r="E1340" i="22" s="1"/>
  <c r="U1339" i="22"/>
  <c r="AE1339" i="22" s="1"/>
  <c r="D1340" i="22" s="1"/>
  <c r="AD1339" i="22"/>
  <c r="C1340" i="22" s="1"/>
  <c r="W1339" i="22" a="1"/>
  <c r="W1339" i="22" l="1"/>
  <c r="P1339" i="22" a="1"/>
  <c r="P1339" i="22" l="1"/>
  <c r="AC1339" i="22"/>
  <c r="B1340" i="22" l="1"/>
  <c r="I1340" i="22"/>
  <c r="R1339" i="22"/>
  <c r="S1339" i="22" s="1"/>
  <c r="K1339" i="22" s="1"/>
  <c r="H1340" i="22" l="1"/>
  <c r="X1339" i="22"/>
  <c r="Y1339" i="22" s="1"/>
  <c r="AG1339" i="22" l="1"/>
  <c r="F1340" i="22" l="1"/>
  <c r="AK1339" i="22"/>
  <c r="G1340" i="22" s="1"/>
  <c r="T1340" i="22" a="1"/>
  <c r="T1340" i="22" l="1"/>
  <c r="Q1340" i="22" l="1"/>
  <c r="AD1340" i="22"/>
  <c r="C1341" i="22" s="1"/>
  <c r="U1340" i="22"/>
  <c r="AE1340" i="22" s="1"/>
  <c r="D1341" i="22" s="1"/>
  <c r="V1340" i="22"/>
  <c r="AF1340" i="22" s="1"/>
  <c r="E1341" i="22" s="1"/>
  <c r="W1340" i="22" a="1"/>
  <c r="W1340" i="22" l="1"/>
  <c r="P1340" i="22" a="1"/>
  <c r="P1340" i="22" l="1"/>
  <c r="AC1340" i="22"/>
  <c r="I1341" i="22" l="1"/>
  <c r="R1340" i="22"/>
  <c r="S1340" i="22" s="1"/>
  <c r="K1340" i="22" s="1"/>
  <c r="B1341" i="22"/>
  <c r="H1341" i="22" l="1"/>
  <c r="X1340" i="22"/>
  <c r="Y1340" i="22" s="1"/>
  <c r="AG1340" i="22" l="1"/>
  <c r="F1341" i="22" l="1"/>
  <c r="AK1340" i="22"/>
  <c r="G1341" i="22" s="1"/>
  <c r="T1341" i="22" a="1"/>
  <c r="T1341" i="22" l="1"/>
  <c r="Q1341" i="22" l="1"/>
  <c r="U1341" i="22"/>
  <c r="AE1341" i="22" s="1"/>
  <c r="D1342" i="22" s="1"/>
  <c r="AD1341" i="22"/>
  <c r="C1342" i="22" s="1"/>
  <c r="V1341" i="22"/>
  <c r="AF1341" i="22" s="1"/>
  <c r="E1342" i="22" s="1"/>
  <c r="W1341" i="22" a="1"/>
  <c r="W1341" i="22" l="1"/>
  <c r="P1341" i="22" a="1"/>
  <c r="P1341" i="22" l="1"/>
  <c r="AC1341" i="22"/>
  <c r="I1342" i="22" l="1"/>
  <c r="R1341" i="22"/>
  <c r="S1341" i="22" s="1"/>
  <c r="K1341" i="22" s="1"/>
  <c r="B1342" i="22"/>
  <c r="H1342" i="22" l="1"/>
  <c r="X1341" i="22"/>
  <c r="Y1341" i="22" s="1"/>
  <c r="AG1341" i="22" l="1"/>
  <c r="F1342" i="22" l="1"/>
  <c r="AK1341" i="22"/>
  <c r="G1342" i="22" s="1"/>
  <c r="T1342" i="22" a="1"/>
  <c r="T1342" i="22" l="1"/>
  <c r="Q1342" i="22" l="1"/>
  <c r="V1342" i="22"/>
  <c r="AF1342" i="22" s="1"/>
  <c r="E1343" i="22" s="1"/>
  <c r="U1342" i="22"/>
  <c r="AE1342" i="22" s="1"/>
  <c r="D1343" i="22" s="1"/>
  <c r="AD1342" i="22"/>
  <c r="C1343" i="22" s="1"/>
  <c r="W1342" i="22" a="1"/>
  <c r="W1342" i="22" l="1"/>
  <c r="P1342" i="22" a="1"/>
  <c r="P1342" i="22" l="1"/>
  <c r="AC1342" i="22"/>
  <c r="B1343" i="22" l="1"/>
  <c r="R1342" i="22"/>
  <c r="S1342" i="22" s="1"/>
  <c r="K1342" i="22" s="1"/>
  <c r="I1343" i="22"/>
  <c r="H1343" i="22" l="1"/>
  <c r="X1342" i="22"/>
  <c r="Y1342" i="22" s="1"/>
  <c r="AG1342" i="22" l="1"/>
  <c r="F1343" i="22" l="1"/>
  <c r="AK1342" i="22"/>
  <c r="G1343" i="22" s="1"/>
  <c r="T1343" i="22" a="1"/>
  <c r="T1343" i="22" l="1"/>
  <c r="Q1343" i="22" l="1"/>
  <c r="U1343" i="22"/>
  <c r="AE1343" i="22" s="1"/>
  <c r="D1344" i="22" s="1"/>
  <c r="AD1343" i="22"/>
  <c r="C1344" i="22" s="1"/>
  <c r="V1343" i="22"/>
  <c r="AF1343" i="22" s="1"/>
  <c r="E1344" i="22" s="1"/>
  <c r="W1343" i="22" a="1"/>
  <c r="W1343" i="22" l="1"/>
  <c r="P1343" i="22" a="1"/>
  <c r="P1343" i="22" l="1"/>
  <c r="AC1343" i="22"/>
  <c r="B1344" i="22" l="1"/>
  <c r="R1343" i="22"/>
  <c r="S1343" i="22" s="1"/>
  <c r="K1343" i="22" s="1"/>
  <c r="I1344" i="22"/>
  <c r="H1344" i="22" l="1"/>
  <c r="X1343" i="22"/>
  <c r="Y1343" i="22" s="1"/>
  <c r="AG1343" i="22" l="1"/>
  <c r="F1344" i="22" l="1"/>
  <c r="AK1343" i="22"/>
  <c r="G1344" i="22" s="1"/>
  <c r="T1344" i="22" a="1"/>
  <c r="T1344" i="22" l="1"/>
  <c r="Q1344" i="22" l="1"/>
  <c r="U1344" i="22"/>
  <c r="AE1344" i="22" s="1"/>
  <c r="D1345" i="22" s="1"/>
  <c r="AD1344" i="22"/>
  <c r="C1345" i="22" s="1"/>
  <c r="V1344" i="22"/>
  <c r="AF1344" i="22" s="1"/>
  <c r="E1345" i="22" s="1"/>
  <c r="W1344" i="22" a="1"/>
  <c r="W1344" i="22" l="1"/>
  <c r="P1344" i="22" a="1"/>
  <c r="P1344" i="22" l="1"/>
  <c r="AC1344" i="22"/>
  <c r="B1345" i="22" l="1"/>
  <c r="I1345" i="22"/>
  <c r="R1344" i="22"/>
  <c r="S1344" i="22" s="1"/>
  <c r="K1344" i="22" s="1"/>
  <c r="X1344" i="22" l="1"/>
  <c r="Y1344" i="22" s="1"/>
  <c r="H1345" i="22"/>
  <c r="AG1344" i="22" l="1"/>
  <c r="F1345" i="22" l="1"/>
  <c r="AK1344" i="22"/>
  <c r="G1345" i="22" s="1"/>
  <c r="T1345" i="22" a="1"/>
  <c r="T1345" i="22" l="1"/>
  <c r="Q1345" i="22" l="1"/>
  <c r="V1345" i="22"/>
  <c r="AF1345" i="22" s="1"/>
  <c r="E1346" i="22" s="1"/>
  <c r="AD1345" i="22"/>
  <c r="C1346" i="22" s="1"/>
  <c r="U1345" i="22"/>
  <c r="AE1345" i="22" s="1"/>
  <c r="D1346" i="22" s="1"/>
  <c r="W1345" i="22" a="1"/>
  <c r="W1345" i="22" l="1"/>
  <c r="P1345" i="22" a="1"/>
  <c r="P1345" i="22" l="1"/>
  <c r="AC1345" i="22"/>
  <c r="R1345" i="22" l="1"/>
  <c r="S1345" i="22" s="1"/>
  <c r="K1345" i="22" s="1"/>
  <c r="I1346" i="22"/>
  <c r="H1346" i="22" s="1"/>
  <c r="B1346" i="22"/>
  <c r="X1345" i="22" l="1"/>
  <c r="Y1345" i="22" s="1"/>
  <c r="AG1345" i="22" l="1"/>
  <c r="F1346" i="22" l="1"/>
  <c r="AK1345" i="22"/>
  <c r="G1346" i="22" s="1"/>
  <c r="T1346" i="22" a="1"/>
  <c r="T1346" i="22" l="1"/>
  <c r="Q1346" i="22" l="1"/>
  <c r="AD1346" i="22"/>
  <c r="C1347" i="22" s="1"/>
  <c r="U1346" i="22"/>
  <c r="AE1346" i="22" s="1"/>
  <c r="D1347" i="22" s="1"/>
  <c r="V1346" i="22"/>
  <c r="AF1346" i="22" s="1"/>
  <c r="E1347" i="22" s="1"/>
  <c r="W1346" i="22" a="1"/>
  <c r="W1346" i="22" l="1"/>
  <c r="P1346" i="22" a="1"/>
  <c r="P1346" i="22" l="1"/>
  <c r="AC1346" i="22"/>
  <c r="R1346" i="22" l="1"/>
  <c r="S1346" i="22" s="1"/>
  <c r="K1346" i="22" s="1"/>
  <c r="I1347" i="22"/>
  <c r="B1347" i="22"/>
  <c r="H1347" i="22" l="1"/>
  <c r="X1346" i="22"/>
  <c r="Y1346" i="22" s="1"/>
  <c r="AG1346" i="22" l="1"/>
  <c r="F1347" i="22" l="1"/>
  <c r="AK1346" i="22"/>
  <c r="G1347" i="22" s="1"/>
  <c r="T1347" i="22" a="1"/>
  <c r="T1347" i="22" l="1"/>
  <c r="Q1347" i="22" l="1"/>
  <c r="U1347" i="22"/>
  <c r="AE1347" i="22" s="1"/>
  <c r="D1348" i="22" s="1"/>
  <c r="AD1347" i="22"/>
  <c r="C1348" i="22" s="1"/>
  <c r="V1347" i="22"/>
  <c r="AF1347" i="22" s="1"/>
  <c r="E1348" i="22" s="1"/>
  <c r="W1347" i="22" a="1"/>
  <c r="W1347" i="22" l="1"/>
  <c r="P1347" i="22" a="1"/>
  <c r="P1347" i="22" l="1"/>
  <c r="AC1347" i="22"/>
  <c r="B1348" i="22" l="1"/>
  <c r="R1347" i="22"/>
  <c r="S1347" i="22" s="1"/>
  <c r="K1347" i="22" s="1"/>
  <c r="I1348" i="22"/>
  <c r="H1348" i="22" l="1"/>
  <c r="X1347" i="22"/>
  <c r="Y1347" i="22" s="1"/>
  <c r="AG1347" i="22" l="1"/>
  <c r="F1348" i="22" l="1"/>
  <c r="AK1347" i="22"/>
  <c r="G1348" i="22" s="1"/>
  <c r="T1348" i="22" a="1"/>
  <c r="T1348" i="22" l="1"/>
  <c r="Q1348" i="22" l="1"/>
  <c r="U1348" i="22"/>
  <c r="AE1348" i="22" s="1"/>
  <c r="D1349" i="22" s="1"/>
  <c r="AD1348" i="22"/>
  <c r="C1349" i="22" s="1"/>
  <c r="V1348" i="22"/>
  <c r="AF1348" i="22" s="1"/>
  <c r="E1349" i="22" s="1"/>
  <c r="W1348" i="22" a="1"/>
  <c r="W1348" i="22" l="1"/>
  <c r="P1348" i="22" a="1"/>
  <c r="P1348" i="22" l="1"/>
  <c r="AC1348" i="22"/>
  <c r="B1349" i="22" l="1"/>
  <c r="R1348" i="22"/>
  <c r="S1348" i="22" s="1"/>
  <c r="K1348" i="22" s="1"/>
  <c r="I1349" i="22"/>
  <c r="X1348" i="22" l="1"/>
  <c r="Y1348" i="22" s="1"/>
  <c r="H1349" i="22"/>
  <c r="AG1348" i="22" l="1"/>
  <c r="F1349" i="22" l="1"/>
  <c r="AK1348" i="22"/>
  <c r="G1349" i="22" s="1"/>
  <c r="T1349" i="22" a="1"/>
  <c r="T1349" i="22" l="1"/>
  <c r="Q1349" i="22" l="1"/>
  <c r="AD1349" i="22"/>
  <c r="C1350" i="22" s="1"/>
  <c r="V1349" i="22"/>
  <c r="AF1349" i="22" s="1"/>
  <c r="E1350" i="22" s="1"/>
  <c r="U1349" i="22"/>
  <c r="AE1349" i="22" s="1"/>
  <c r="D1350" i="22" s="1"/>
  <c r="W1349" i="22" a="1"/>
  <c r="W1349" i="22" l="1"/>
  <c r="P1349" i="22" a="1"/>
  <c r="P1349" i="22" l="1"/>
  <c r="AC1349" i="22"/>
  <c r="B1350" i="22" l="1"/>
  <c r="I1350" i="22"/>
  <c r="R1349" i="22"/>
  <c r="S1349" i="22" s="1"/>
  <c r="K1349" i="22" s="1"/>
  <c r="X1349" i="22" l="1"/>
  <c r="Y1349" i="22" s="1"/>
  <c r="H1350" i="22"/>
  <c r="AG1349" i="22" l="1"/>
  <c r="F1350" i="22" l="1"/>
  <c r="AK1349" i="22"/>
  <c r="G1350" i="22" s="1"/>
  <c r="T1350" i="22" a="1"/>
  <c r="T1350" i="22" l="1"/>
  <c r="Q1350" i="22" l="1"/>
  <c r="AD1350" i="22"/>
  <c r="C1351" i="22" s="1"/>
  <c r="V1350" i="22"/>
  <c r="AF1350" i="22" s="1"/>
  <c r="E1351" i="22" s="1"/>
  <c r="U1350" i="22"/>
  <c r="AE1350" i="22" s="1"/>
  <c r="D1351" i="22" s="1"/>
  <c r="W1350" i="22" a="1"/>
  <c r="W1350" i="22" l="1"/>
  <c r="P1350" i="22" a="1"/>
  <c r="P1350" i="22" l="1"/>
  <c r="AC1350" i="22"/>
  <c r="B1351" i="22" l="1"/>
  <c r="R1350" i="22"/>
  <c r="S1350" i="22" s="1"/>
  <c r="K1350" i="22" s="1"/>
  <c r="I1351" i="22"/>
  <c r="X1350" i="22" l="1"/>
  <c r="Y1350" i="22" s="1"/>
  <c r="H1351" i="22"/>
  <c r="AG1350" i="22" l="1"/>
  <c r="F1351" i="22" l="1"/>
  <c r="AK1350" i="22"/>
  <c r="G1351" i="22" s="1"/>
  <c r="T1351" i="22" a="1"/>
  <c r="T1351" i="22" l="1"/>
  <c r="Q1351" i="22" l="1"/>
  <c r="AD1351" i="22"/>
  <c r="C1352" i="22" s="1"/>
  <c r="V1351" i="22"/>
  <c r="AF1351" i="22" s="1"/>
  <c r="E1352" i="22" s="1"/>
  <c r="U1351" i="22"/>
  <c r="AE1351" i="22" s="1"/>
  <c r="D1352" i="22" s="1"/>
  <c r="W1351" i="22" a="1"/>
  <c r="W1351" i="22" l="1"/>
  <c r="P1351" i="22" a="1"/>
  <c r="P1351" i="22" l="1"/>
  <c r="AC1351" i="22"/>
  <c r="B1352" i="22" l="1"/>
  <c r="R1351" i="22"/>
  <c r="S1351" i="22" s="1"/>
  <c r="K1351" i="22" s="1"/>
  <c r="I1352" i="22"/>
  <c r="H1352" i="22" l="1"/>
  <c r="X1351" i="22"/>
  <c r="Y1351" i="22" s="1"/>
  <c r="AG1351" i="22" l="1"/>
  <c r="F1352" i="22" l="1"/>
  <c r="AK1351" i="22"/>
  <c r="G1352" i="22" s="1"/>
  <c r="T1352" i="22" a="1"/>
  <c r="T1352" i="22" l="1"/>
  <c r="Q1352" i="22" l="1"/>
  <c r="U1352" i="22"/>
  <c r="AE1352" i="22" s="1"/>
  <c r="D1353" i="22" s="1"/>
  <c r="AD1352" i="22"/>
  <c r="C1353" i="22" s="1"/>
  <c r="V1352" i="22"/>
  <c r="AF1352" i="22" s="1"/>
  <c r="E1353" i="22" s="1"/>
  <c r="W1352" i="22" a="1"/>
  <c r="W1352" i="22" l="1"/>
  <c r="P1352" i="22" a="1"/>
  <c r="P1352" i="22" l="1"/>
  <c r="AC1352" i="22"/>
  <c r="B1353" i="22" l="1"/>
  <c r="I1353" i="22"/>
  <c r="R1352" i="22"/>
  <c r="S1352" i="22" s="1"/>
  <c r="K1352" i="22" s="1"/>
  <c r="X1352" i="22" l="1"/>
  <c r="Y1352" i="22" s="1"/>
  <c r="H1353" i="22"/>
  <c r="AG1352" i="22" l="1"/>
  <c r="F1353" i="22" l="1"/>
  <c r="AK1352" i="22"/>
  <c r="G1353" i="22" s="1"/>
  <c r="T1353" i="22" a="1"/>
  <c r="T1353" i="22" l="1"/>
  <c r="Q1353" i="22" l="1"/>
  <c r="AD1353" i="22"/>
  <c r="C1354" i="22" s="1"/>
  <c r="V1353" i="22"/>
  <c r="AF1353" i="22" s="1"/>
  <c r="E1354" i="22" s="1"/>
  <c r="U1353" i="22"/>
  <c r="AE1353" i="22" s="1"/>
  <c r="D1354" i="22" s="1"/>
  <c r="W1353" i="22" a="1"/>
  <c r="W1353" i="22" l="1"/>
  <c r="P1353" i="22" a="1"/>
  <c r="P1353" i="22" l="1"/>
  <c r="AC1353" i="22"/>
  <c r="I1354" i="22" l="1"/>
  <c r="R1353" i="22"/>
  <c r="S1353" i="22" s="1"/>
  <c r="K1353" i="22" s="1"/>
  <c r="B1354" i="22"/>
  <c r="X1353" i="22" l="1"/>
  <c r="Y1353" i="22" s="1"/>
  <c r="H1354" i="22"/>
  <c r="AG1353" i="22" l="1"/>
  <c r="F1354" i="22" l="1"/>
  <c r="AK1353" i="22"/>
  <c r="G1354" i="22" s="1"/>
  <c r="T1354" i="22" a="1"/>
  <c r="T1354" i="22" l="1"/>
  <c r="Q1354" i="22" l="1"/>
  <c r="AD1354" i="22"/>
  <c r="C1355" i="22" s="1"/>
  <c r="V1354" i="22"/>
  <c r="AF1354" i="22" s="1"/>
  <c r="E1355" i="22" s="1"/>
  <c r="U1354" i="22"/>
  <c r="AE1354" i="22" s="1"/>
  <c r="D1355" i="22" s="1"/>
  <c r="W1354" i="22" a="1"/>
  <c r="W1354" i="22" l="1"/>
  <c r="P1354" i="22" a="1"/>
  <c r="P1354" i="22" l="1"/>
  <c r="AC1354" i="22"/>
  <c r="B1355" i="22" l="1"/>
  <c r="I1355" i="22"/>
  <c r="R1354" i="22"/>
  <c r="S1354" i="22" s="1"/>
  <c r="K1354" i="22" s="1"/>
  <c r="X1354" i="22" l="1"/>
  <c r="Y1354" i="22" s="1"/>
  <c r="H1355" i="22"/>
  <c r="AG1354" i="22" l="1"/>
  <c r="F1355" i="22" l="1"/>
  <c r="AK1354" i="22"/>
  <c r="G1355" i="22" s="1"/>
  <c r="T1355" i="22" a="1"/>
  <c r="T1355" i="22" l="1"/>
  <c r="Q1355" i="22" l="1"/>
  <c r="V1355" i="22"/>
  <c r="AF1355" i="22" s="1"/>
  <c r="E1356" i="22" s="1"/>
  <c r="AD1355" i="22"/>
  <c r="C1356" i="22" s="1"/>
  <c r="U1355" i="22"/>
  <c r="AE1355" i="22" s="1"/>
  <c r="D1356" i="22" s="1"/>
  <c r="W1355" i="22" a="1"/>
  <c r="W1355" i="22" l="1"/>
  <c r="P1355" i="22" a="1"/>
  <c r="P1355" i="22" l="1"/>
  <c r="AC1355" i="22"/>
  <c r="B1356" i="22" l="1"/>
  <c r="R1355" i="22"/>
  <c r="S1355" i="22" s="1"/>
  <c r="K1355" i="22" s="1"/>
  <c r="I1356" i="22"/>
  <c r="X1355" i="22" l="1"/>
  <c r="Y1355" i="22" s="1"/>
  <c r="H1356" i="22"/>
  <c r="AG1355" i="22" l="1"/>
  <c r="F1356" i="22" l="1"/>
  <c r="AK1355" i="22"/>
  <c r="G1356" i="22" s="1"/>
  <c r="T1356" i="22" a="1"/>
  <c r="T1356" i="22" l="1"/>
  <c r="Q1356" i="22" l="1"/>
  <c r="AD1356" i="22"/>
  <c r="C1357" i="22" s="1"/>
  <c r="V1356" i="22"/>
  <c r="AF1356" i="22" s="1"/>
  <c r="E1357" i="22" s="1"/>
  <c r="U1356" i="22"/>
  <c r="AE1356" i="22" s="1"/>
  <c r="D1357" i="22" s="1"/>
  <c r="W1356" i="22" a="1"/>
  <c r="W1356" i="22" l="1"/>
  <c r="P1356" i="22" a="1"/>
  <c r="P1356" i="22" l="1"/>
  <c r="AC1356" i="22"/>
  <c r="B1357" i="22" l="1"/>
  <c r="R1356" i="22"/>
  <c r="S1356" i="22" s="1"/>
  <c r="K1356" i="22" s="1"/>
  <c r="I1357" i="22"/>
  <c r="X1356" i="22" l="1"/>
  <c r="Y1356" i="22" s="1"/>
  <c r="H1357" i="22"/>
  <c r="AG1356" i="22" l="1"/>
  <c r="F1357" i="22" l="1"/>
  <c r="AK1356" i="22"/>
  <c r="G1357" i="22" s="1"/>
  <c r="T1357" i="22" a="1"/>
  <c r="T1357" i="22" l="1"/>
  <c r="Q1357" i="22" l="1"/>
  <c r="V1357" i="22"/>
  <c r="AF1357" i="22" s="1"/>
  <c r="E1358" i="22" s="1"/>
  <c r="AD1357" i="22"/>
  <c r="C1358" i="22" s="1"/>
  <c r="U1357" i="22"/>
  <c r="AE1357" i="22" s="1"/>
  <c r="D1358" i="22" s="1"/>
  <c r="W1357" i="22" a="1"/>
  <c r="W1357" i="22" l="1"/>
  <c r="P1357" i="22" a="1"/>
  <c r="P1357" i="22" l="1"/>
  <c r="AC1357" i="22"/>
  <c r="B1358" i="22" l="1"/>
  <c r="R1357" i="22"/>
  <c r="S1357" i="22" s="1"/>
  <c r="K1357" i="22" s="1"/>
  <c r="I1358" i="22"/>
  <c r="X1357" i="22" l="1"/>
  <c r="Y1357" i="22" s="1"/>
  <c r="H1358" i="22"/>
  <c r="AG1357" i="22" l="1"/>
  <c r="F1358" i="22" l="1"/>
  <c r="AK1357" i="22"/>
  <c r="G1358" i="22" s="1"/>
  <c r="T1358" i="22" a="1"/>
  <c r="T1358" i="22" l="1"/>
  <c r="Q1358" i="22" l="1"/>
  <c r="AD1358" i="22"/>
  <c r="C1359" i="22" s="1"/>
  <c r="U1358" i="22"/>
  <c r="AE1358" i="22" s="1"/>
  <c r="D1359" i="22" s="1"/>
  <c r="V1358" i="22"/>
  <c r="AF1358" i="22" s="1"/>
  <c r="E1359" i="22" s="1"/>
  <c r="W1358" i="22" a="1"/>
  <c r="W1358" i="22" l="1"/>
  <c r="P1358" i="22" a="1"/>
  <c r="P1358" i="22" l="1"/>
  <c r="AC1358" i="22"/>
  <c r="B1359" i="22" l="1"/>
  <c r="I1359" i="22"/>
  <c r="R1358" i="22"/>
  <c r="S1358" i="22" s="1"/>
  <c r="K1358" i="22" s="1"/>
  <c r="X1358" i="22" l="1"/>
  <c r="Y1358" i="22" s="1"/>
  <c r="H1359" i="22"/>
  <c r="AG1358" i="22" l="1"/>
  <c r="F1359" i="22" l="1"/>
  <c r="AK1358" i="22"/>
  <c r="G1359" i="22" s="1"/>
  <c r="T1359" i="22" a="1"/>
  <c r="T1359" i="22" l="1"/>
  <c r="Q1359" i="22" l="1"/>
  <c r="U1359" i="22"/>
  <c r="AE1359" i="22" s="1"/>
  <c r="D1360" i="22" s="1"/>
  <c r="AD1359" i="22"/>
  <c r="C1360" i="22" s="1"/>
  <c r="V1359" i="22"/>
  <c r="AF1359" i="22" s="1"/>
  <c r="E1360" i="22" s="1"/>
  <c r="W1359" i="22" a="1"/>
  <c r="W1359" i="22" l="1"/>
  <c r="P1359" i="22" a="1"/>
  <c r="P1359" i="22" l="1"/>
  <c r="AC1359" i="22"/>
  <c r="I1360" i="22" l="1"/>
  <c r="R1359" i="22"/>
  <c r="S1359" i="22" s="1"/>
  <c r="K1359" i="22" s="1"/>
  <c r="B1360" i="22"/>
  <c r="H1360" i="22" l="1"/>
  <c r="X1359" i="22"/>
  <c r="Y1359" i="22" s="1"/>
  <c r="AG1359" i="22" l="1"/>
  <c r="F1360" i="22" l="1"/>
  <c r="AK1359" i="22"/>
  <c r="G1360" i="22" s="1"/>
  <c r="T1360" i="22" a="1"/>
  <c r="T1360" i="22" l="1"/>
  <c r="Q1360" i="22" l="1"/>
  <c r="U1360" i="22"/>
  <c r="AE1360" i="22" s="1"/>
  <c r="D1361" i="22" s="1"/>
  <c r="AD1360" i="22"/>
  <c r="C1361" i="22" s="1"/>
  <c r="V1360" i="22"/>
  <c r="AF1360" i="22" s="1"/>
  <c r="E1361" i="22" s="1"/>
  <c r="W1360" i="22" a="1"/>
  <c r="W1360" i="22" l="1"/>
  <c r="P1360" i="22" a="1"/>
  <c r="P1360" i="22" l="1"/>
  <c r="AC1360" i="22"/>
  <c r="B1361" i="22" l="1"/>
  <c r="I1361" i="22"/>
  <c r="R1360" i="22"/>
  <c r="S1360" i="22" s="1"/>
  <c r="K1360" i="22" s="1"/>
  <c r="X1360" i="22" l="1"/>
  <c r="Y1360" i="22" s="1"/>
  <c r="H1361" i="22"/>
  <c r="AG1360" i="22" l="1"/>
  <c r="F1361" i="22" l="1"/>
  <c r="AK1360" i="22"/>
  <c r="G1361" i="22" s="1"/>
  <c r="T1361" i="22" a="1"/>
  <c r="T1361" i="22" l="1"/>
  <c r="Q1361" i="22" l="1"/>
  <c r="AD1361" i="22"/>
  <c r="C1362" i="22" s="1"/>
  <c r="U1361" i="22"/>
  <c r="AE1361" i="22" s="1"/>
  <c r="D1362" i="22" s="1"/>
  <c r="V1361" i="22"/>
  <c r="AF1361" i="22" s="1"/>
  <c r="E1362" i="22" s="1"/>
  <c r="W1361" i="22" a="1"/>
  <c r="W1361" i="22" l="1"/>
  <c r="P1361" i="22" a="1"/>
  <c r="P1361" i="22" l="1"/>
  <c r="AC1361" i="22"/>
  <c r="B1362" i="22" l="1"/>
  <c r="R1361" i="22"/>
  <c r="S1361" i="22" s="1"/>
  <c r="K1361" i="22" s="1"/>
  <c r="I1362" i="22"/>
  <c r="X1361" i="22" l="1"/>
  <c r="Y1361" i="22" s="1"/>
  <c r="H1362" i="22"/>
  <c r="AG1361" i="22" l="1"/>
  <c r="F1362" i="22" l="1"/>
  <c r="AK1361" i="22"/>
  <c r="G1362" i="22" s="1"/>
  <c r="T1362" i="22" a="1"/>
  <c r="T1362" i="22" l="1"/>
  <c r="Q1362" i="22" l="1"/>
  <c r="U1362" i="22"/>
  <c r="AE1362" i="22" s="1"/>
  <c r="D1363" i="22" s="1"/>
  <c r="V1362" i="22"/>
  <c r="AF1362" i="22" s="1"/>
  <c r="E1363" i="22" s="1"/>
  <c r="AD1362" i="22"/>
  <c r="C1363" i="22" s="1"/>
  <c r="W1362" i="22" a="1"/>
  <c r="W1362" i="22" l="1"/>
  <c r="P1362" i="22" a="1"/>
  <c r="P1362" i="22" l="1"/>
  <c r="AC1362" i="22"/>
  <c r="B1363" i="22" l="1"/>
  <c r="I1363" i="22"/>
  <c r="R1362" i="22"/>
  <c r="S1362" i="22" s="1"/>
  <c r="K1362" i="22" s="1"/>
  <c r="X1362" i="22" l="1"/>
  <c r="Y1362" i="22" s="1"/>
  <c r="H1363" i="22"/>
  <c r="AG1362" i="22" l="1"/>
  <c r="F1363" i="22" l="1"/>
  <c r="AK1362" i="22"/>
  <c r="G1363" i="22" s="1"/>
  <c r="T1363" i="22" a="1"/>
  <c r="T1363" i="22" l="1"/>
  <c r="Q1363" i="22" l="1"/>
  <c r="V1363" i="22"/>
  <c r="AF1363" i="22" s="1"/>
  <c r="E1364" i="22" s="1"/>
  <c r="AD1363" i="22"/>
  <c r="C1364" i="22" s="1"/>
  <c r="U1363" i="22"/>
  <c r="AE1363" i="22" s="1"/>
  <c r="D1364" i="22" s="1"/>
  <c r="W1363" i="22" a="1"/>
  <c r="W1363" i="22" l="1"/>
  <c r="P1363" i="22" a="1"/>
  <c r="P1363" i="22" l="1"/>
  <c r="AC1363" i="22"/>
  <c r="I1364" i="22" l="1"/>
  <c r="H1364" i="22" s="1"/>
  <c r="R1363" i="22"/>
  <c r="S1363" i="22" s="1"/>
  <c r="K1363" i="22" s="1"/>
  <c r="B1364" i="22"/>
  <c r="X1363" i="22" l="1"/>
  <c r="Y1363" i="22" s="1"/>
  <c r="AG1363" i="22" l="1"/>
  <c r="F1364" i="22" l="1"/>
  <c r="AK1363" i="22"/>
  <c r="G1364" i="22" s="1"/>
  <c r="T1364" i="22" a="1"/>
  <c r="T1364" i="22" l="1"/>
  <c r="Q1364" i="22" l="1"/>
  <c r="AD1364" i="22"/>
  <c r="C1365" i="22" s="1"/>
  <c r="U1364" i="22"/>
  <c r="AE1364" i="22" s="1"/>
  <c r="D1365" i="22" s="1"/>
  <c r="V1364" i="22"/>
  <c r="AF1364" i="22" s="1"/>
  <c r="E1365" i="22" s="1"/>
  <c r="W1364" i="22" a="1"/>
  <c r="W1364" i="22" l="1"/>
  <c r="P1364" i="22" a="1"/>
  <c r="P1364" i="22" l="1"/>
  <c r="AC1364" i="22"/>
  <c r="B1365" i="22" l="1"/>
  <c r="R1364" i="22"/>
  <c r="S1364" i="22" s="1"/>
  <c r="K1364" i="22" s="1"/>
  <c r="I1365" i="22"/>
  <c r="H1365" i="22" l="1"/>
  <c r="X1364" i="22"/>
  <c r="Y1364" i="22" s="1"/>
  <c r="AG1364" i="22" l="1"/>
  <c r="F1365" i="22" l="1"/>
  <c r="AK1364" i="22"/>
  <c r="G1365" i="22" s="1"/>
  <c r="T1365" i="22" a="1"/>
  <c r="T1365" i="22" l="1"/>
  <c r="Q1365" i="22" l="1"/>
  <c r="V1365" i="22"/>
  <c r="AF1365" i="22" s="1"/>
  <c r="E1366" i="22" s="1"/>
  <c r="AD1365" i="22"/>
  <c r="C1366" i="22" s="1"/>
  <c r="U1365" i="22"/>
  <c r="AE1365" i="22" s="1"/>
  <c r="D1366" i="22" s="1"/>
  <c r="W1365" i="22" a="1"/>
  <c r="W1365" i="22" l="1"/>
  <c r="P1365" i="22" a="1"/>
  <c r="P1365" i="22" l="1"/>
  <c r="AC1365" i="22"/>
  <c r="I1366" i="22" l="1"/>
  <c r="R1365" i="22"/>
  <c r="S1365" i="22" s="1"/>
  <c r="K1365" i="22" s="1"/>
  <c r="B1366" i="22"/>
  <c r="X1365" i="22" l="1"/>
  <c r="Y1365" i="22" s="1"/>
  <c r="H1366" i="22"/>
  <c r="AG1365" i="22" l="1"/>
  <c r="F1366" i="22" l="1"/>
  <c r="AK1365" i="22"/>
  <c r="G1366" i="22" s="1"/>
  <c r="T1366" i="22" a="1"/>
  <c r="T1366" i="22" l="1"/>
  <c r="Q1366" i="22" l="1"/>
  <c r="U1366" i="22"/>
  <c r="AE1366" i="22" s="1"/>
  <c r="D1367" i="22" s="1"/>
  <c r="V1366" i="22"/>
  <c r="AF1366" i="22" s="1"/>
  <c r="E1367" i="22" s="1"/>
  <c r="AD1366" i="22"/>
  <c r="C1367" i="22" s="1"/>
  <c r="W1366" i="22" a="1"/>
  <c r="W1366" i="22" l="1"/>
  <c r="P1366" i="22" a="1"/>
  <c r="P1366" i="22" l="1"/>
  <c r="AC1366" i="22"/>
  <c r="R1366" i="22" l="1"/>
  <c r="S1366" i="22" s="1"/>
  <c r="K1366" i="22" s="1"/>
  <c r="I1367" i="22"/>
  <c r="B1367" i="22"/>
  <c r="H1367" i="22" l="1"/>
  <c r="X1366" i="22"/>
  <c r="Y1366" i="22" s="1"/>
  <c r="AG1366" i="22" l="1"/>
  <c r="F1367" i="22" l="1"/>
  <c r="AK1366" i="22"/>
  <c r="G1367" i="22" s="1"/>
  <c r="T1367" i="22" a="1"/>
  <c r="T1367" i="22" l="1"/>
  <c r="Q1367" i="22" l="1"/>
  <c r="AD1367" i="22"/>
  <c r="C1368" i="22" s="1"/>
  <c r="U1367" i="22"/>
  <c r="AE1367" i="22" s="1"/>
  <c r="D1368" i="22" s="1"/>
  <c r="V1367" i="22"/>
  <c r="AF1367" i="22" s="1"/>
  <c r="E1368" i="22" s="1"/>
  <c r="W1367" i="22" a="1"/>
  <c r="W1367" i="22" l="1"/>
  <c r="P1367" i="22" a="1"/>
  <c r="P1367" i="22" l="1"/>
  <c r="AC1367" i="22"/>
  <c r="B1368" i="22" l="1"/>
  <c r="R1367" i="22"/>
  <c r="S1367" i="22" s="1"/>
  <c r="K1367" i="22" s="1"/>
  <c r="I1368" i="22"/>
  <c r="H1368" i="22" l="1"/>
  <c r="X1367" i="22"/>
  <c r="Y1367" i="22" s="1"/>
  <c r="AG1367" i="22" l="1"/>
  <c r="F1368" i="22" l="1"/>
  <c r="AK1367" i="22"/>
  <c r="G1368" i="22" s="1"/>
  <c r="T1368" i="22" a="1"/>
  <c r="T1368" i="22" l="1"/>
  <c r="Q1368" i="22" l="1"/>
  <c r="U1368" i="22"/>
  <c r="AE1368" i="22" s="1"/>
  <c r="D1369" i="22" s="1"/>
  <c r="V1368" i="22"/>
  <c r="AF1368" i="22" s="1"/>
  <c r="E1369" i="22" s="1"/>
  <c r="AD1368" i="22"/>
  <c r="C1369" i="22" s="1"/>
  <c r="W1368" i="22" a="1"/>
  <c r="W1368" i="22" l="1"/>
  <c r="P1368" i="22" a="1"/>
  <c r="P1368" i="22" l="1"/>
  <c r="AC1368" i="22"/>
  <c r="R1368" i="22" l="1"/>
  <c r="S1368" i="22" s="1"/>
  <c r="K1368" i="22" s="1"/>
  <c r="I1369" i="22"/>
  <c r="B1369" i="22"/>
  <c r="X1368" i="22" l="1"/>
  <c r="Y1368" i="22" s="1"/>
  <c r="H1369" i="22"/>
  <c r="AG1368" i="22" l="1"/>
  <c r="F1369" i="22" l="1"/>
  <c r="AK1368" i="22"/>
  <c r="G1369" i="22" s="1"/>
  <c r="T1369" i="22" a="1"/>
  <c r="T1369" i="22" l="1"/>
  <c r="Q1369" i="22" l="1"/>
  <c r="V1369" i="22"/>
  <c r="AF1369" i="22" s="1"/>
  <c r="E1370" i="22" s="1"/>
  <c r="AD1369" i="22"/>
  <c r="C1370" i="22" s="1"/>
  <c r="U1369" i="22"/>
  <c r="AE1369" i="22" s="1"/>
  <c r="D1370" i="22" s="1"/>
  <c r="W1369" i="22" a="1"/>
  <c r="W1369" i="22" l="1"/>
  <c r="P1369" i="22" a="1"/>
  <c r="P1369" i="22" l="1"/>
  <c r="AC1369" i="22"/>
  <c r="B1370" i="22" l="1"/>
  <c r="R1369" i="22"/>
  <c r="S1369" i="22" s="1"/>
  <c r="K1369" i="22" s="1"/>
  <c r="I1370" i="22"/>
  <c r="H1370" i="22" l="1"/>
  <c r="X1369" i="22"/>
  <c r="Y1369" i="22" s="1"/>
  <c r="AG1369" i="22" l="1"/>
  <c r="F1370" i="22" l="1"/>
  <c r="AK1369" i="22"/>
  <c r="G1370" i="22" s="1"/>
  <c r="T1370" i="22" a="1"/>
  <c r="T1370" i="22" l="1"/>
  <c r="Q1370" i="22" l="1"/>
  <c r="V1370" i="22"/>
  <c r="AF1370" i="22" s="1"/>
  <c r="E1371" i="22" s="1"/>
  <c r="U1370" i="22"/>
  <c r="AE1370" i="22" s="1"/>
  <c r="D1371" i="22" s="1"/>
  <c r="AD1370" i="22"/>
  <c r="C1371" i="22" s="1"/>
  <c r="W1370" i="22" a="1"/>
  <c r="W1370" i="22" l="1"/>
  <c r="P1370" i="22" a="1"/>
  <c r="P1370" i="22" l="1"/>
  <c r="AC1370" i="22"/>
  <c r="R1370" i="22" l="1"/>
  <c r="S1370" i="22" s="1"/>
  <c r="K1370" i="22" s="1"/>
  <c r="I1371" i="22"/>
  <c r="H1371" i="22" s="1"/>
  <c r="B1371" i="22"/>
  <c r="X1370" i="22" l="1"/>
  <c r="Y1370" i="22" s="1"/>
  <c r="AG1370" i="22" l="1"/>
  <c r="F1371" i="22" l="1"/>
  <c r="AK1370" i="22"/>
  <c r="G1371" i="22" s="1"/>
  <c r="T1371" i="22" a="1"/>
  <c r="T1371" i="22" l="1"/>
  <c r="Q1371" i="22" l="1"/>
  <c r="AD1371" i="22"/>
  <c r="C1372" i="22" s="1"/>
  <c r="U1371" i="22"/>
  <c r="AE1371" i="22" s="1"/>
  <c r="D1372" i="22" s="1"/>
  <c r="V1371" i="22"/>
  <c r="AF1371" i="22" s="1"/>
  <c r="E1372" i="22" s="1"/>
  <c r="W1371" i="22" a="1"/>
  <c r="W1371" i="22" l="1"/>
  <c r="P1371" i="22" a="1"/>
  <c r="P1371" i="22" l="1"/>
  <c r="AC1371" i="22"/>
  <c r="B1372" i="22" l="1"/>
  <c r="I1372" i="22"/>
  <c r="R1371" i="22"/>
  <c r="S1371" i="22" s="1"/>
  <c r="K1371" i="22" s="1"/>
  <c r="X1371" i="22" l="1"/>
  <c r="Y1371" i="22" s="1"/>
  <c r="H1372" i="22"/>
  <c r="AG1371" i="22" l="1"/>
  <c r="F1372" i="22" l="1"/>
  <c r="AK1371" i="22"/>
  <c r="G1372" i="22" s="1"/>
  <c r="T1372" i="22" a="1"/>
  <c r="T1372" i="22" l="1"/>
  <c r="Q1372" i="22" l="1"/>
  <c r="AD1372" i="22"/>
  <c r="C1373" i="22" s="1"/>
  <c r="U1372" i="22"/>
  <c r="AE1372" i="22" s="1"/>
  <c r="D1373" i="22" s="1"/>
  <c r="V1372" i="22"/>
  <c r="AF1372" i="22" s="1"/>
  <c r="E1373" i="22" s="1"/>
  <c r="W1372" i="22" a="1"/>
  <c r="W1372" i="22" l="1"/>
  <c r="P1372" i="22" a="1"/>
  <c r="P1372" i="22" l="1"/>
  <c r="AC1372" i="22"/>
  <c r="B1373" i="22" l="1"/>
  <c r="R1372" i="22"/>
  <c r="S1372" i="22" s="1"/>
  <c r="K1372" i="22" s="1"/>
  <c r="I1373" i="22"/>
  <c r="H1373" i="22" l="1"/>
  <c r="X1372" i="22"/>
  <c r="Y1372" i="22" s="1"/>
  <c r="AG1372" i="22" l="1"/>
  <c r="F1373" i="22" l="1"/>
  <c r="AK1372" i="22"/>
  <c r="G1373" i="22" s="1"/>
  <c r="T1373" i="22" a="1"/>
  <c r="T1373" i="22" l="1"/>
  <c r="Q1373" i="22" l="1"/>
  <c r="U1373" i="22"/>
  <c r="AE1373" i="22" s="1"/>
  <c r="D1374" i="22" s="1"/>
  <c r="AD1373" i="22"/>
  <c r="C1374" i="22" s="1"/>
  <c r="V1373" i="22"/>
  <c r="AF1373" i="22" s="1"/>
  <c r="E1374" i="22" s="1"/>
  <c r="W1373" i="22" a="1"/>
  <c r="W1373" i="22" l="1"/>
  <c r="P1373" i="22" a="1"/>
  <c r="P1373" i="22" l="1"/>
  <c r="AC1373" i="22"/>
  <c r="B1374" i="22" l="1"/>
  <c r="R1373" i="22"/>
  <c r="S1373" i="22" s="1"/>
  <c r="K1373" i="22" s="1"/>
  <c r="I1374" i="22"/>
  <c r="X1373" i="22" l="1"/>
  <c r="Y1373" i="22" s="1"/>
  <c r="H1374" i="22"/>
  <c r="AG1373" i="22" l="1"/>
  <c r="F1374" i="22" l="1"/>
  <c r="AK1373" i="22"/>
  <c r="G1374" i="22" s="1"/>
  <c r="T1374" i="22" a="1"/>
  <c r="T1374" i="22" l="1"/>
  <c r="Q1374" i="22" l="1"/>
  <c r="U1374" i="22"/>
  <c r="AE1374" i="22" s="1"/>
  <c r="D1375" i="22" s="1"/>
  <c r="AD1374" i="22"/>
  <c r="C1375" i="22" s="1"/>
  <c r="V1374" i="22"/>
  <c r="AF1374" i="22" s="1"/>
  <c r="E1375" i="22" s="1"/>
  <c r="W1374" i="22" a="1"/>
  <c r="W1374" i="22" l="1"/>
  <c r="P1374" i="22" a="1"/>
  <c r="P1374" i="22" l="1"/>
  <c r="AC1374" i="22"/>
  <c r="I1375" i="22" l="1"/>
  <c r="R1374" i="22"/>
  <c r="S1374" i="22" s="1"/>
  <c r="K1374" i="22" s="1"/>
  <c r="B1375" i="22"/>
  <c r="X1374" i="22" l="1"/>
  <c r="Y1374" i="22" s="1"/>
  <c r="H1375" i="22"/>
  <c r="AG1374" i="22" l="1"/>
  <c r="F1375" i="22" l="1"/>
  <c r="AK1374" i="22"/>
  <c r="G1375" i="22" s="1"/>
  <c r="T1375" i="22" a="1"/>
  <c r="T1375" i="22" l="1"/>
  <c r="Q1375" i="22" l="1"/>
  <c r="V1375" i="22"/>
  <c r="AF1375" i="22" s="1"/>
  <c r="E1376" i="22" s="1"/>
  <c r="AD1375" i="22"/>
  <c r="C1376" i="22" s="1"/>
  <c r="U1375" i="22"/>
  <c r="AE1375" i="22" s="1"/>
  <c r="D1376" i="22" s="1"/>
  <c r="W1375" i="22" a="1"/>
  <c r="W1375" i="22" l="1"/>
  <c r="P1375" i="22" a="1"/>
  <c r="P1375" i="22" l="1"/>
  <c r="AC1375" i="22"/>
  <c r="I1376" i="22" l="1"/>
  <c r="R1375" i="22"/>
  <c r="S1375" i="22" s="1"/>
  <c r="K1375" i="22" s="1"/>
  <c r="B1376" i="22"/>
  <c r="X1375" i="22" l="1"/>
  <c r="Y1375" i="22" s="1"/>
  <c r="H1376" i="22"/>
  <c r="AG1375" i="22" l="1"/>
  <c r="F1376" i="22" l="1"/>
  <c r="AK1375" i="22"/>
  <c r="G1376" i="22" s="1"/>
  <c r="T1376" i="22" a="1"/>
  <c r="T1376" i="22" l="1"/>
  <c r="Q1376" i="22" l="1"/>
  <c r="AD1376" i="22"/>
  <c r="C1377" i="22" s="1"/>
  <c r="U1376" i="22"/>
  <c r="AE1376" i="22" s="1"/>
  <c r="D1377" i="22" s="1"/>
  <c r="V1376" i="22"/>
  <c r="AF1376" i="22" s="1"/>
  <c r="E1377" i="22" s="1"/>
  <c r="W1376" i="22" a="1"/>
  <c r="W1376" i="22" l="1"/>
  <c r="P1376" i="22" a="1"/>
  <c r="P1376" i="22" l="1"/>
  <c r="AC1376" i="22"/>
  <c r="R1376" i="22" l="1"/>
  <c r="S1376" i="22" s="1"/>
  <c r="K1376" i="22" s="1"/>
  <c r="I1377" i="22"/>
  <c r="B1377" i="22"/>
  <c r="X1376" i="22" l="1"/>
  <c r="Y1376" i="22" s="1"/>
  <c r="H1377" i="22"/>
  <c r="AG1376" i="22" l="1"/>
  <c r="F1377" i="22" l="1"/>
  <c r="AK1376" i="22"/>
  <c r="G1377" i="22" s="1"/>
  <c r="T1377" i="22" a="1"/>
  <c r="T1377" i="22" l="1"/>
  <c r="Q1377" i="22" l="1"/>
  <c r="AD1377" i="22"/>
  <c r="C1378" i="22" s="1"/>
  <c r="V1377" i="22"/>
  <c r="AF1377" i="22" s="1"/>
  <c r="E1378" i="22" s="1"/>
  <c r="U1377" i="22"/>
  <c r="AE1377" i="22" s="1"/>
  <c r="D1378" i="22" s="1"/>
  <c r="W1377" i="22" a="1"/>
  <c r="W1377" i="22" l="1"/>
  <c r="P1377" i="22" a="1"/>
  <c r="P1377" i="22" l="1"/>
  <c r="AC1377" i="22"/>
  <c r="R1377" i="22" l="1"/>
  <c r="S1377" i="22" s="1"/>
  <c r="K1377" i="22" s="1"/>
  <c r="I1378" i="22"/>
  <c r="B1378" i="22"/>
  <c r="H1378" i="22" l="1"/>
  <c r="X1377" i="22"/>
  <c r="Y1377" i="22" s="1"/>
  <c r="AG1377" i="22" l="1"/>
  <c r="F1378" i="22" l="1"/>
  <c r="AK1377" i="22"/>
  <c r="G1378" i="22" s="1"/>
  <c r="T1378" i="22" a="1"/>
  <c r="T1378" i="22" l="1"/>
  <c r="Q1378" i="22" l="1"/>
  <c r="V1378" i="22"/>
  <c r="AF1378" i="22" s="1"/>
  <c r="E1379" i="22" s="1"/>
  <c r="AD1378" i="22"/>
  <c r="C1379" i="22" s="1"/>
  <c r="U1378" i="22"/>
  <c r="AE1378" i="22" s="1"/>
  <c r="D1379" i="22" s="1"/>
  <c r="W1378" i="22" a="1"/>
  <c r="W1378" i="22" l="1"/>
  <c r="P1378" i="22" a="1"/>
  <c r="P1378" i="22" l="1"/>
  <c r="AC1378" i="22"/>
  <c r="B1379" i="22" l="1"/>
  <c r="I1379" i="22"/>
  <c r="R1378" i="22"/>
  <c r="S1378" i="22" s="1"/>
  <c r="K1378" i="22" s="1"/>
  <c r="H1379" i="22" l="1"/>
  <c r="X1378" i="22"/>
  <c r="Y1378" i="22" s="1"/>
  <c r="AG1378" i="22" l="1"/>
  <c r="F1379" i="22" l="1"/>
  <c r="AK1378" i="22"/>
  <c r="G1379" i="22" s="1"/>
  <c r="T1379" i="22" a="1"/>
  <c r="T1379" i="22" l="1"/>
  <c r="Q1379" i="22" l="1"/>
  <c r="U1379" i="22"/>
  <c r="AE1379" i="22" s="1"/>
  <c r="D1380" i="22" s="1"/>
  <c r="AD1379" i="22"/>
  <c r="C1380" i="22" s="1"/>
  <c r="V1379" i="22"/>
  <c r="AF1379" i="22" s="1"/>
  <c r="E1380" i="22" s="1"/>
  <c r="W1379" i="22" a="1"/>
  <c r="W1379" i="22" l="1"/>
  <c r="P1379" i="22" a="1"/>
  <c r="P1379" i="22" l="1"/>
  <c r="AC1379" i="22"/>
  <c r="I1380" i="22" l="1"/>
  <c r="H1380" i="22" s="1"/>
  <c r="R1379" i="22"/>
  <c r="S1379" i="22" s="1"/>
  <c r="K1379" i="22" s="1"/>
  <c r="B1380" i="22"/>
  <c r="X1379" i="22" l="1"/>
  <c r="Y1379" i="22" s="1"/>
  <c r="AG1379" i="22" l="1"/>
  <c r="F1380" i="22" l="1"/>
  <c r="AK1379" i="22"/>
  <c r="G1380" i="22" s="1"/>
  <c r="T1380" i="22" a="1"/>
  <c r="T1380" i="22" l="1"/>
  <c r="Q1380" i="22" l="1"/>
  <c r="AD1380" i="22"/>
  <c r="C1381" i="22" s="1"/>
  <c r="V1380" i="22"/>
  <c r="AF1380" i="22" s="1"/>
  <c r="E1381" i="22" s="1"/>
  <c r="U1380" i="22"/>
  <c r="AE1380" i="22" s="1"/>
  <c r="D1381" i="22" s="1"/>
  <c r="W1380" i="22" a="1"/>
  <c r="W1380" i="22" l="1"/>
  <c r="P1380" i="22" a="1"/>
  <c r="P1380" i="22" l="1"/>
  <c r="AC1380" i="22"/>
  <c r="I1381" i="22" l="1"/>
  <c r="R1380" i="22"/>
  <c r="S1380" i="22" s="1"/>
  <c r="K1380" i="22" s="1"/>
  <c r="B1381" i="22"/>
  <c r="H1381" i="22" l="1"/>
  <c r="X1380" i="22"/>
  <c r="Y1380" i="22" s="1"/>
  <c r="AG1380" i="22" l="1"/>
  <c r="F1381" i="22" l="1"/>
  <c r="AK1380" i="22"/>
  <c r="G1381" i="22" s="1"/>
  <c r="T1381" i="22" a="1"/>
  <c r="T1381" i="22" l="1"/>
  <c r="Q1381" i="22" l="1"/>
  <c r="U1381" i="22"/>
  <c r="AE1381" i="22" s="1"/>
  <c r="D1382" i="22" s="1"/>
  <c r="AD1381" i="22"/>
  <c r="C1382" i="22" s="1"/>
  <c r="V1381" i="22"/>
  <c r="AF1381" i="22" s="1"/>
  <c r="E1382" i="22" s="1"/>
  <c r="W1381" i="22" a="1"/>
  <c r="W1381" i="22" l="1"/>
  <c r="P1381" i="22" a="1"/>
  <c r="P1381" i="22" l="1"/>
  <c r="AC1381" i="22"/>
  <c r="B1382" i="22" l="1"/>
  <c r="R1381" i="22"/>
  <c r="S1381" i="22" s="1"/>
  <c r="K1381" i="22" s="1"/>
  <c r="I1382" i="22"/>
  <c r="H1382" i="22" s="1"/>
  <c r="X1381" i="22" l="1"/>
  <c r="Y1381" i="22" s="1"/>
  <c r="AG1381" i="22" l="1"/>
  <c r="F1382" i="22" l="1"/>
  <c r="AK1381" i="22"/>
  <c r="G1382" i="22" s="1"/>
  <c r="T1382" i="22" a="1"/>
  <c r="T1382" i="22" l="1"/>
  <c r="Q1382" i="22" l="1"/>
  <c r="AD1382" i="22"/>
  <c r="C1383" i="22" s="1"/>
  <c r="U1382" i="22"/>
  <c r="AE1382" i="22" s="1"/>
  <c r="D1383" i="22" s="1"/>
  <c r="V1382" i="22"/>
  <c r="AF1382" i="22" s="1"/>
  <c r="E1383" i="22" s="1"/>
  <c r="W1382" i="22" a="1"/>
  <c r="W1382" i="22" l="1"/>
  <c r="P1382" i="22" a="1"/>
  <c r="P1382" i="22" l="1"/>
  <c r="AC1382" i="22"/>
  <c r="B1383" i="22" l="1"/>
  <c r="R1382" i="22"/>
  <c r="S1382" i="22" s="1"/>
  <c r="K1382" i="22" s="1"/>
  <c r="I1383" i="22"/>
  <c r="X1382" i="22" l="1"/>
  <c r="Y1382" i="22" s="1"/>
  <c r="H1383" i="22"/>
  <c r="AG1382" i="22" l="1"/>
  <c r="F1383" i="22" l="1"/>
  <c r="AK1382" i="22"/>
  <c r="G1383" i="22" s="1"/>
  <c r="T1383" i="22" a="1"/>
  <c r="T1383" i="22" l="1"/>
  <c r="Q1383" i="22" l="1"/>
  <c r="U1383" i="22"/>
  <c r="AE1383" i="22" s="1"/>
  <c r="D1384" i="22" s="1"/>
  <c r="AD1383" i="22"/>
  <c r="C1384" i="22" s="1"/>
  <c r="V1383" i="22"/>
  <c r="AF1383" i="22" s="1"/>
  <c r="E1384" i="22" s="1"/>
  <c r="W1383" i="22" a="1"/>
  <c r="W1383" i="22" l="1"/>
  <c r="P1383" i="22" a="1"/>
  <c r="P1383" i="22" l="1"/>
  <c r="AC1383" i="22"/>
  <c r="B1384" i="22" l="1"/>
  <c r="R1383" i="22"/>
  <c r="S1383" i="22" s="1"/>
  <c r="K1383" i="22" s="1"/>
  <c r="I1384" i="22"/>
  <c r="H1384" i="22" l="1"/>
  <c r="X1383" i="22"/>
  <c r="Y1383" i="22" s="1"/>
  <c r="AG1383" i="22" l="1"/>
  <c r="F1384" i="22" l="1"/>
  <c r="AK1383" i="22"/>
  <c r="G1384" i="22" s="1"/>
  <c r="T1384" i="22" a="1"/>
  <c r="T1384" i="22" l="1"/>
  <c r="Q1384" i="22" l="1"/>
  <c r="U1384" i="22"/>
  <c r="AE1384" i="22" s="1"/>
  <c r="D1385" i="22" s="1"/>
  <c r="V1384" i="22"/>
  <c r="AF1384" i="22" s="1"/>
  <c r="E1385" i="22" s="1"/>
  <c r="AD1384" i="22"/>
  <c r="C1385" i="22" s="1"/>
  <c r="W1384" i="22" a="1"/>
  <c r="W1384" i="22" l="1"/>
  <c r="P1384" i="22" a="1"/>
  <c r="P1384" i="22" l="1"/>
  <c r="AC1384" i="22"/>
  <c r="R1384" i="22" l="1"/>
  <c r="S1384" i="22" s="1"/>
  <c r="K1384" i="22" s="1"/>
  <c r="I1385" i="22"/>
  <c r="B1385" i="22"/>
  <c r="H1385" i="22" l="1"/>
  <c r="X1384" i="22"/>
  <c r="Y1384" i="22" s="1"/>
  <c r="AG1384" i="22" l="1"/>
  <c r="F1385" i="22" l="1"/>
  <c r="AK1384" i="22"/>
  <c r="G1385" i="22" s="1"/>
  <c r="T1385" i="22" a="1"/>
  <c r="T1385" i="22" l="1"/>
  <c r="Q1385" i="22" l="1"/>
  <c r="V1385" i="22"/>
  <c r="AF1385" i="22" s="1"/>
  <c r="E1386" i="22" s="1"/>
  <c r="U1385" i="22"/>
  <c r="AE1385" i="22" s="1"/>
  <c r="D1386" i="22" s="1"/>
  <c r="AD1385" i="22"/>
  <c r="C1386" i="22" s="1"/>
  <c r="W1385" i="22" a="1"/>
  <c r="W1385" i="22" l="1"/>
  <c r="P1385" i="22" a="1"/>
  <c r="P1385" i="22" l="1"/>
  <c r="AC1385" i="22"/>
  <c r="B1386" i="22" l="1"/>
  <c r="I1386" i="22"/>
  <c r="R1385" i="22"/>
  <c r="S1385" i="22" s="1"/>
  <c r="K1385" i="22" s="1"/>
  <c r="X1385" i="22" l="1"/>
  <c r="Y1385" i="22" s="1"/>
  <c r="H1386" i="22"/>
  <c r="AG1385" i="22" l="1"/>
  <c r="F1386" i="22" l="1"/>
  <c r="AK1385" i="22"/>
  <c r="G1386" i="22" s="1"/>
  <c r="T1386" i="22" a="1"/>
  <c r="T1386" i="22" l="1"/>
  <c r="Q1386" i="22" l="1"/>
  <c r="V1386" i="22"/>
  <c r="AF1386" i="22" s="1"/>
  <c r="E1387" i="22" s="1"/>
  <c r="AD1386" i="22"/>
  <c r="C1387" i="22" s="1"/>
  <c r="U1386" i="22"/>
  <c r="AE1386" i="22" s="1"/>
  <c r="D1387" i="22" s="1"/>
  <c r="W1386" i="22" a="1"/>
  <c r="W1386" i="22" l="1"/>
  <c r="P1386" i="22" a="1"/>
  <c r="P1386" i="22" l="1"/>
  <c r="AC1386" i="22"/>
  <c r="B1387" i="22" l="1"/>
  <c r="I1387" i="22"/>
  <c r="R1386" i="22"/>
  <c r="S1386" i="22" s="1"/>
  <c r="K1386" i="22" s="1"/>
  <c r="H1387" i="22" l="1"/>
  <c r="X1386" i="22"/>
  <c r="Y1386" i="22" s="1"/>
  <c r="AG1386" i="22" l="1"/>
  <c r="F1387" i="22" l="1"/>
  <c r="AK1386" i="22"/>
  <c r="G1387" i="22" s="1"/>
  <c r="T1387" i="22" a="1"/>
  <c r="T1387" i="22" l="1"/>
  <c r="Q1387" i="22" l="1"/>
  <c r="AD1387" i="22"/>
  <c r="C1388" i="22" s="1"/>
  <c r="U1387" i="22"/>
  <c r="AE1387" i="22" s="1"/>
  <c r="D1388" i="22" s="1"/>
  <c r="V1387" i="22"/>
  <c r="AF1387" i="22" s="1"/>
  <c r="E1388" i="22" s="1"/>
  <c r="W1387" i="22" a="1"/>
  <c r="W1387" i="22" l="1"/>
  <c r="P1387" i="22" a="1"/>
  <c r="P1387" i="22" l="1"/>
  <c r="AC1387" i="22"/>
  <c r="B1388" i="22" l="1"/>
  <c r="I1388" i="22"/>
  <c r="R1387" i="22"/>
  <c r="S1387" i="22" s="1"/>
  <c r="K1387" i="22" s="1"/>
  <c r="X1387" i="22" l="1"/>
  <c r="Y1387" i="22" s="1"/>
  <c r="H1388" i="22"/>
  <c r="AG1387" i="22" l="1"/>
  <c r="F1388" i="22" l="1"/>
  <c r="AK1387" i="22"/>
  <c r="G1388" i="22" s="1"/>
  <c r="T1388" i="22" a="1"/>
  <c r="T1388" i="22" l="1"/>
  <c r="Q1388" i="22" l="1"/>
  <c r="U1388" i="22"/>
  <c r="AE1388" i="22" s="1"/>
  <c r="D1389" i="22" s="1"/>
  <c r="V1388" i="22"/>
  <c r="AF1388" i="22" s="1"/>
  <c r="E1389" i="22" s="1"/>
  <c r="AD1388" i="22"/>
  <c r="C1389" i="22" s="1"/>
  <c r="W1388" i="22" a="1"/>
  <c r="W1388" i="22" l="1"/>
  <c r="P1388" i="22" a="1"/>
  <c r="P1388" i="22" l="1"/>
  <c r="AC1388" i="22"/>
  <c r="B1389" i="22" l="1"/>
  <c r="R1388" i="22"/>
  <c r="S1388" i="22" s="1"/>
  <c r="K1388" i="22" s="1"/>
  <c r="I1389" i="22"/>
  <c r="H1389" i="22" l="1"/>
  <c r="X1388" i="22"/>
  <c r="Y1388" i="22" s="1"/>
  <c r="AG1388" i="22" l="1"/>
  <c r="F1389" i="22" l="1"/>
  <c r="AK1388" i="22"/>
  <c r="G1389" i="22" s="1"/>
  <c r="T1389" i="22" a="1"/>
  <c r="T1389" i="22" l="1"/>
  <c r="Q1389" i="22" l="1"/>
  <c r="AD1389" i="22"/>
  <c r="C1390" i="22" s="1"/>
  <c r="U1389" i="22"/>
  <c r="AE1389" i="22" s="1"/>
  <c r="D1390" i="22" s="1"/>
  <c r="V1389" i="22"/>
  <c r="AF1389" i="22" s="1"/>
  <c r="E1390" i="22" s="1"/>
  <c r="W1389" i="22" a="1"/>
  <c r="W1389" i="22" l="1"/>
  <c r="P1389" i="22" a="1"/>
  <c r="P1389" i="22" l="1"/>
  <c r="AC1389" i="22"/>
  <c r="B1390" i="22" l="1"/>
  <c r="R1389" i="22"/>
  <c r="S1389" i="22" s="1"/>
  <c r="K1389" i="22" s="1"/>
  <c r="I1390" i="22"/>
  <c r="H1390" i="22" l="1"/>
  <c r="X1389" i="22"/>
  <c r="Y1389" i="22" s="1"/>
  <c r="AG1389" i="22" l="1"/>
  <c r="F1390" i="22" l="1"/>
  <c r="AK1389" i="22"/>
  <c r="G1390" i="22" s="1"/>
  <c r="T1390" i="22" a="1"/>
  <c r="T1390" i="22" l="1"/>
  <c r="Q1390" i="22" l="1"/>
  <c r="V1390" i="22"/>
  <c r="AF1390" i="22" s="1"/>
  <c r="E1391" i="22" s="1"/>
  <c r="U1390" i="22"/>
  <c r="AE1390" i="22" s="1"/>
  <c r="D1391" i="22" s="1"/>
  <c r="AD1390" i="22"/>
  <c r="C1391" i="22" s="1"/>
  <c r="W1390" i="22" a="1"/>
  <c r="W1390" i="22" l="1"/>
  <c r="P1390" i="22" a="1"/>
  <c r="P1390" i="22" l="1"/>
  <c r="AC1390" i="22"/>
  <c r="B1391" i="22" l="1"/>
  <c r="R1390" i="22"/>
  <c r="S1390" i="22" s="1"/>
  <c r="K1390" i="22" s="1"/>
  <c r="I1391" i="22"/>
  <c r="X1390" i="22" l="1"/>
  <c r="Y1390" i="22" s="1"/>
  <c r="H1391" i="22"/>
  <c r="AG1390" i="22" l="1"/>
  <c r="F1391" i="22" l="1"/>
  <c r="AK1390" i="22"/>
  <c r="G1391" i="22" s="1"/>
  <c r="T1391" i="22" a="1"/>
  <c r="T1391" i="22" l="1"/>
  <c r="Q1391" i="22" l="1"/>
  <c r="U1391" i="22"/>
  <c r="AE1391" i="22" s="1"/>
  <c r="D1392" i="22" s="1"/>
  <c r="V1391" i="22"/>
  <c r="AF1391" i="22" s="1"/>
  <c r="E1392" i="22" s="1"/>
  <c r="AD1391" i="22"/>
  <c r="C1392" i="22" s="1"/>
  <c r="W1391" i="22" a="1"/>
  <c r="W1391" i="22" l="1"/>
  <c r="P1391" i="22" a="1"/>
  <c r="P1391" i="22" l="1"/>
  <c r="AC1391" i="22"/>
  <c r="B1392" i="22" l="1"/>
  <c r="R1391" i="22"/>
  <c r="S1391" i="22" s="1"/>
  <c r="K1391" i="22" s="1"/>
  <c r="I1392" i="22"/>
  <c r="X1391" i="22" l="1"/>
  <c r="Y1391" i="22" s="1"/>
  <c r="H1392" i="22"/>
  <c r="AG1391" i="22" l="1"/>
  <c r="F1392" i="22" l="1"/>
  <c r="AK1391" i="22"/>
  <c r="G1392" i="22" s="1"/>
  <c r="T1392" i="22" a="1"/>
  <c r="T1392" i="22" l="1"/>
  <c r="Q1392" i="22" l="1"/>
  <c r="AD1392" i="22"/>
  <c r="C1393" i="22" s="1"/>
  <c r="U1392" i="22"/>
  <c r="AE1392" i="22" s="1"/>
  <c r="D1393" i="22" s="1"/>
  <c r="V1392" i="22"/>
  <c r="AF1392" i="22" s="1"/>
  <c r="E1393" i="22" s="1"/>
  <c r="W1392" i="22" a="1"/>
  <c r="W1392" i="22" l="1"/>
  <c r="P1392" i="22" a="1"/>
  <c r="P1392" i="22" l="1"/>
  <c r="AC1392" i="22"/>
  <c r="B1393" i="22" l="1"/>
  <c r="I1393" i="22"/>
  <c r="R1392" i="22"/>
  <c r="S1392" i="22" s="1"/>
  <c r="K1392" i="22" s="1"/>
  <c r="X1392" i="22" l="1"/>
  <c r="Y1392" i="22" s="1"/>
  <c r="H1393" i="22"/>
  <c r="AG1392" i="22" l="1"/>
  <c r="F1393" i="22" l="1"/>
  <c r="AK1392" i="22"/>
  <c r="G1393" i="22" s="1"/>
  <c r="T1393" i="22" a="1"/>
  <c r="T1393" i="22" l="1"/>
  <c r="Q1393" i="22" l="1"/>
  <c r="U1393" i="22"/>
  <c r="AE1393" i="22" s="1"/>
  <c r="D1394" i="22" s="1"/>
  <c r="AD1393" i="22"/>
  <c r="C1394" i="22" s="1"/>
  <c r="V1393" i="22"/>
  <c r="AF1393" i="22" s="1"/>
  <c r="E1394" i="22" s="1"/>
  <c r="W1393" i="22" a="1"/>
  <c r="W1393" i="22" l="1"/>
  <c r="P1393" i="22" a="1"/>
  <c r="P1393" i="22" l="1"/>
  <c r="AC1393" i="22"/>
  <c r="B1394" i="22" l="1"/>
  <c r="I1394" i="22"/>
  <c r="H1394" i="22" s="1"/>
  <c r="R1393" i="22"/>
  <c r="S1393" i="22" s="1"/>
  <c r="K1393" i="22" s="1"/>
  <c r="X1393" i="22" l="1"/>
  <c r="Y1393" i="22" s="1"/>
  <c r="AG1393" i="22" l="1"/>
  <c r="F1394" i="22" l="1"/>
  <c r="AK1393" i="22"/>
  <c r="G1394" i="22" s="1"/>
  <c r="T1394" i="22" a="1"/>
  <c r="T1394" i="22" l="1"/>
  <c r="Q1394" i="22" l="1"/>
  <c r="AD1394" i="22"/>
  <c r="C1395" i="22" s="1"/>
  <c r="U1394" i="22"/>
  <c r="AE1394" i="22" s="1"/>
  <c r="D1395" i="22" s="1"/>
  <c r="V1394" i="22"/>
  <c r="AF1394" i="22" s="1"/>
  <c r="E1395" i="22" s="1"/>
  <c r="W1394" i="22" a="1"/>
  <c r="W1394" i="22" l="1"/>
  <c r="P1394" i="22" a="1"/>
  <c r="P1394" i="22" l="1"/>
  <c r="AC1394" i="22"/>
  <c r="R1394" i="22" l="1"/>
  <c r="S1394" i="22" s="1"/>
  <c r="K1394" i="22" s="1"/>
  <c r="I1395" i="22"/>
  <c r="B1395" i="22"/>
  <c r="H1395" i="22" l="1"/>
  <c r="X1394" i="22"/>
  <c r="Y1394" i="22" s="1"/>
  <c r="AG1394" i="22" l="1"/>
  <c r="F1395" i="22" l="1"/>
  <c r="AK1394" i="22"/>
  <c r="G1395" i="22" s="1"/>
  <c r="T1395" i="22" a="1"/>
  <c r="T1395" i="22" l="1"/>
  <c r="Q1395" i="22" l="1"/>
  <c r="V1395" i="22"/>
  <c r="AF1395" i="22" s="1"/>
  <c r="E1396" i="22" s="1"/>
  <c r="AD1395" i="22"/>
  <c r="C1396" i="22" s="1"/>
  <c r="U1395" i="22"/>
  <c r="AE1395" i="22" s="1"/>
  <c r="D1396" i="22" s="1"/>
  <c r="W1395" i="22" a="1"/>
  <c r="W1395" i="22" l="1"/>
  <c r="P1395" i="22" a="1"/>
  <c r="P1395" i="22" l="1"/>
  <c r="AC1395" i="22"/>
  <c r="R1395" i="22" l="1"/>
  <c r="S1395" i="22" s="1"/>
  <c r="K1395" i="22" s="1"/>
  <c r="I1396" i="22"/>
  <c r="H1396" i="22" s="1"/>
  <c r="B1396" i="22"/>
  <c r="X1395" i="22" l="1"/>
  <c r="Y1395" i="22" s="1"/>
  <c r="AG1395" i="22" l="1"/>
  <c r="F1396" i="22" l="1"/>
  <c r="AK1395" i="22"/>
  <c r="G1396" i="22" s="1"/>
  <c r="T1396" i="22" a="1"/>
  <c r="T1396" i="22" l="1"/>
  <c r="Q1396" i="22" l="1"/>
  <c r="AD1396" i="22"/>
  <c r="C1397" i="22" s="1"/>
  <c r="V1396" i="22"/>
  <c r="AF1396" i="22" s="1"/>
  <c r="E1397" i="22" s="1"/>
  <c r="U1396" i="22"/>
  <c r="AE1396" i="22" s="1"/>
  <c r="D1397" i="22" s="1"/>
  <c r="W1396" i="22" a="1"/>
  <c r="W1396" i="22" l="1"/>
  <c r="P1396" i="22" a="1"/>
  <c r="P1396" i="22" l="1"/>
  <c r="AC1396" i="22"/>
  <c r="I1397" i="22" l="1"/>
  <c r="H1397" i="22" s="1"/>
  <c r="R1396" i="22"/>
  <c r="S1396" i="22" s="1"/>
  <c r="K1396" i="22" s="1"/>
  <c r="B1397" i="22"/>
  <c r="X1396" i="22" l="1"/>
  <c r="Y1396" i="22" s="1"/>
  <c r="AG1396" i="22" l="1"/>
  <c r="F1397" i="22" l="1"/>
  <c r="AK1396" i="22"/>
  <c r="G1397" i="22" s="1"/>
  <c r="T1397" i="22" a="1"/>
  <c r="T1397" i="22" l="1"/>
  <c r="Q1397" i="22" l="1"/>
  <c r="AD1397" i="22"/>
  <c r="C1398" i="22" s="1"/>
  <c r="V1397" i="22"/>
  <c r="AF1397" i="22" s="1"/>
  <c r="E1398" i="22" s="1"/>
  <c r="U1397" i="22"/>
  <c r="AE1397" i="22" s="1"/>
  <c r="D1398" i="22" s="1"/>
  <c r="W1397" i="22" a="1"/>
  <c r="W1397" i="22" l="1"/>
  <c r="P1397" i="22" a="1"/>
  <c r="P1397" i="22" l="1"/>
  <c r="AC1397" i="22"/>
  <c r="B1398" i="22" l="1"/>
  <c r="I1398" i="22"/>
  <c r="R1397" i="22"/>
  <c r="S1397" i="22" s="1"/>
  <c r="K1397" i="22" s="1"/>
  <c r="H1398" i="22" l="1"/>
  <c r="X1397" i="22"/>
  <c r="Y1397" i="22" s="1"/>
  <c r="AG1397" i="22" l="1"/>
  <c r="F1398" i="22" l="1"/>
  <c r="AK1397" i="22"/>
  <c r="G1398" i="22" s="1"/>
  <c r="T1398" i="22" a="1"/>
  <c r="T1398" i="22" l="1"/>
  <c r="Q1398" i="22" l="1"/>
  <c r="V1398" i="22"/>
  <c r="AF1398" i="22" s="1"/>
  <c r="E1399" i="22" s="1"/>
  <c r="U1398" i="22"/>
  <c r="AE1398" i="22" s="1"/>
  <c r="D1399" i="22" s="1"/>
  <c r="AD1398" i="22"/>
  <c r="C1399" i="22" s="1"/>
  <c r="W1398" i="22" a="1"/>
  <c r="W1398" i="22" l="1"/>
  <c r="P1398" i="22" a="1"/>
  <c r="P1398" i="22" l="1"/>
  <c r="AC1398" i="22"/>
  <c r="I1399" i="22" l="1"/>
  <c r="R1398" i="22"/>
  <c r="S1398" i="22" s="1"/>
  <c r="K1398" i="22" s="1"/>
  <c r="B1399" i="22"/>
  <c r="H1399" i="22" l="1"/>
  <c r="X1398" i="22"/>
  <c r="Y1398" i="22" s="1"/>
  <c r="AG1398" i="22" l="1"/>
  <c r="F1399" i="22" l="1"/>
  <c r="AK1398" i="22"/>
  <c r="G1399" i="22" s="1"/>
  <c r="T1399" i="22" a="1"/>
  <c r="T1399" i="22" l="1"/>
  <c r="Q1399" i="22" l="1"/>
  <c r="V1399" i="22"/>
  <c r="AF1399" i="22" s="1"/>
  <c r="E1400" i="22" s="1"/>
  <c r="AD1399" i="22"/>
  <c r="C1400" i="22" s="1"/>
  <c r="U1399" i="22"/>
  <c r="AE1399" i="22" s="1"/>
  <c r="D1400" i="22" s="1"/>
  <c r="W1399" i="22" a="1"/>
  <c r="W1399" i="22" l="1"/>
  <c r="P1399" i="22" a="1"/>
  <c r="P1399" i="22" l="1"/>
  <c r="AC1399" i="22"/>
  <c r="B1400" i="22" l="1"/>
  <c r="I1400" i="22"/>
  <c r="R1399" i="22"/>
  <c r="S1399" i="22" s="1"/>
  <c r="K1399" i="22" s="1"/>
  <c r="H1400" i="22" l="1"/>
  <c r="X1399" i="22"/>
  <c r="Y1399" i="22" s="1"/>
  <c r="AG1399" i="22" l="1"/>
  <c r="F1400" i="22" l="1"/>
  <c r="AK1399" i="22"/>
  <c r="G1400" i="22" s="1"/>
  <c r="T1400" i="22" a="1"/>
  <c r="T1400" i="22" l="1"/>
  <c r="Q1400" i="22" l="1"/>
  <c r="AD1400" i="22"/>
  <c r="C1401" i="22" s="1"/>
  <c r="V1400" i="22"/>
  <c r="AF1400" i="22" s="1"/>
  <c r="E1401" i="22" s="1"/>
  <c r="U1400" i="22"/>
  <c r="AE1400" i="22" s="1"/>
  <c r="D1401" i="22" s="1"/>
  <c r="W1400" i="22" a="1"/>
  <c r="W1400" i="22" l="1"/>
  <c r="P1400" i="22" a="1"/>
  <c r="P1400" i="22" l="1"/>
  <c r="AC1400" i="22"/>
  <c r="B1401" i="22" l="1"/>
  <c r="R1400" i="22"/>
  <c r="S1400" i="22" s="1"/>
  <c r="K1400" i="22" s="1"/>
  <c r="I1401" i="22"/>
  <c r="H1401" i="22" l="1"/>
  <c r="X1400" i="22"/>
  <c r="Y1400" i="22" s="1"/>
  <c r="AG1400" i="22" l="1"/>
  <c r="F1401" i="22" l="1"/>
  <c r="AK1400" i="22"/>
  <c r="G1401" i="22" s="1"/>
  <c r="T1401" i="22" a="1"/>
  <c r="T1401" i="22" l="1"/>
  <c r="Q1401" i="22" l="1"/>
  <c r="U1401" i="22"/>
  <c r="AE1401" i="22" s="1"/>
  <c r="D1402" i="22" s="1"/>
  <c r="AD1401" i="22"/>
  <c r="C1402" i="22" s="1"/>
  <c r="V1401" i="22"/>
  <c r="AF1401" i="22" s="1"/>
  <c r="E1402" i="22" s="1"/>
  <c r="W1401" i="22" a="1"/>
  <c r="W1401" i="22" l="1"/>
  <c r="P1401" i="22" a="1"/>
  <c r="P1401" i="22" l="1"/>
  <c r="AC1401" i="22"/>
  <c r="B1402" i="22" l="1"/>
  <c r="I1402" i="22"/>
  <c r="R1401" i="22"/>
  <c r="S1401" i="22" s="1"/>
  <c r="K1401" i="22" s="1"/>
  <c r="X1401" i="22" l="1"/>
  <c r="Y1401" i="22" s="1"/>
  <c r="H1402" i="22"/>
  <c r="AG1401" i="22" l="1"/>
  <c r="F1402" i="22" l="1"/>
  <c r="AK1401" i="22"/>
  <c r="G1402" i="22" s="1"/>
  <c r="T1402" i="22" a="1"/>
  <c r="T1402" i="22" l="1"/>
  <c r="Q1402" i="22" l="1"/>
  <c r="U1402" i="22"/>
  <c r="AE1402" i="22" s="1"/>
  <c r="D1403" i="22" s="1"/>
  <c r="AD1402" i="22"/>
  <c r="C1403" i="22" s="1"/>
  <c r="V1402" i="22"/>
  <c r="AF1402" i="22" s="1"/>
  <c r="E1403" i="22" s="1"/>
  <c r="W1402" i="22" a="1"/>
  <c r="W1402" i="22" l="1"/>
  <c r="P1402" i="22" a="1"/>
  <c r="P1402" i="22" l="1"/>
  <c r="AC1402" i="22"/>
  <c r="R1402" i="22" l="1"/>
  <c r="S1402" i="22" s="1"/>
  <c r="K1402" i="22" s="1"/>
  <c r="I1403" i="22"/>
  <c r="B1403" i="22"/>
  <c r="H1403" i="22" l="1"/>
  <c r="X1402" i="22"/>
  <c r="Y1402" i="22" s="1"/>
  <c r="AG1402" i="22" l="1"/>
  <c r="F1403" i="22" l="1"/>
  <c r="AK1402" i="22"/>
  <c r="G1403" i="22" s="1"/>
  <c r="T1403" i="22" a="1"/>
  <c r="T1403" i="22" l="1"/>
  <c r="Q1403" i="22" l="1"/>
  <c r="V1403" i="22"/>
  <c r="AF1403" i="22" s="1"/>
  <c r="E1404" i="22" s="1"/>
  <c r="AD1403" i="22"/>
  <c r="C1404" i="22" s="1"/>
  <c r="U1403" i="22"/>
  <c r="AE1403" i="22" s="1"/>
  <c r="D1404" i="22" s="1"/>
  <c r="W1403" i="22" a="1"/>
  <c r="W1403" i="22" l="1"/>
  <c r="P1403" i="22" a="1"/>
  <c r="P1403" i="22" l="1"/>
  <c r="AC1403" i="22"/>
  <c r="R1403" i="22" l="1"/>
  <c r="S1403" i="22" s="1"/>
  <c r="K1403" i="22" s="1"/>
  <c r="I1404" i="22"/>
  <c r="B1404" i="22"/>
  <c r="H1404" i="22" l="1"/>
  <c r="X1403" i="22"/>
  <c r="Y1403" i="22" s="1"/>
  <c r="AG1403" i="22" l="1"/>
  <c r="F1404" i="22" l="1"/>
  <c r="AK1403" i="22"/>
  <c r="G1404" i="22" s="1"/>
  <c r="T1404" i="22" a="1"/>
  <c r="T1404" i="22" l="1"/>
  <c r="Q1404" i="22" l="1"/>
  <c r="V1404" i="22"/>
  <c r="AF1404" i="22" s="1"/>
  <c r="E1405" i="22" s="1"/>
  <c r="U1404" i="22"/>
  <c r="AE1404" i="22" s="1"/>
  <c r="D1405" i="22" s="1"/>
  <c r="AD1404" i="22"/>
  <c r="C1405" i="22" s="1"/>
  <c r="W1404" i="22" a="1"/>
  <c r="W1404" i="22" l="1"/>
  <c r="P1404" i="22" a="1"/>
  <c r="P1404" i="22" l="1"/>
  <c r="AC1404" i="22"/>
  <c r="B1405" i="22" l="1"/>
  <c r="R1404" i="22"/>
  <c r="S1404" i="22" s="1"/>
  <c r="K1404" i="22" s="1"/>
  <c r="I1405" i="22"/>
  <c r="X1404" i="22" l="1"/>
  <c r="Y1404" i="22" s="1"/>
  <c r="H1405" i="22"/>
  <c r="AG1404" i="22" l="1"/>
  <c r="F1405" i="22" l="1"/>
  <c r="AK1404" i="22"/>
  <c r="G1405" i="22" s="1"/>
  <c r="T1405" i="22" a="1"/>
  <c r="T1405" i="22" l="1"/>
  <c r="Q1405" i="22" l="1"/>
  <c r="AD1405" i="22"/>
  <c r="C1406" i="22" s="1"/>
  <c r="V1405" i="22"/>
  <c r="AF1405" i="22" s="1"/>
  <c r="E1406" i="22" s="1"/>
  <c r="U1405" i="22"/>
  <c r="AE1405" i="22" s="1"/>
  <c r="D1406" i="22" s="1"/>
  <c r="W1405" i="22" a="1"/>
  <c r="W1405" i="22" l="1"/>
  <c r="P1405" i="22" a="1"/>
  <c r="P1405" i="22" l="1"/>
  <c r="AC1405" i="22"/>
  <c r="B1406" i="22" l="1"/>
  <c r="I1406" i="22"/>
  <c r="H1406" i="22" s="1"/>
  <c r="R1405" i="22"/>
  <c r="S1405" i="22" s="1"/>
  <c r="K1405" i="22" s="1"/>
  <c r="X1405" i="22" l="1"/>
  <c r="Y1405" i="22" s="1"/>
  <c r="AG1405" i="22" l="1"/>
  <c r="F1406" i="22" l="1"/>
  <c r="AK1405" i="22"/>
  <c r="G1406" i="22" s="1"/>
  <c r="T1406" i="22" a="1"/>
  <c r="T1406" i="22" l="1"/>
  <c r="Q1406" i="22" l="1"/>
  <c r="AD1406" i="22"/>
  <c r="C1407" i="22" s="1"/>
  <c r="U1406" i="22"/>
  <c r="AE1406" i="22" s="1"/>
  <c r="D1407" i="22" s="1"/>
  <c r="V1406" i="22"/>
  <c r="AF1406" i="22" s="1"/>
  <c r="E1407" i="22" s="1"/>
  <c r="W1406" i="22" a="1"/>
  <c r="W1406" i="22" l="1"/>
  <c r="P1406" i="22" a="1"/>
  <c r="P1406" i="22" l="1"/>
  <c r="AC1406" i="22"/>
  <c r="I1407" i="22" l="1"/>
  <c r="R1406" i="22"/>
  <c r="S1406" i="22" s="1"/>
  <c r="K1406" i="22" s="1"/>
  <c r="B1407" i="22"/>
  <c r="H1407" i="22" l="1"/>
  <c r="X1406" i="22"/>
  <c r="Y1406" i="22" s="1"/>
  <c r="AG1406" i="22" l="1"/>
  <c r="F1407" i="22" l="1"/>
  <c r="AK1406" i="22"/>
  <c r="G1407" i="22" s="1"/>
  <c r="T1407" i="22" a="1"/>
  <c r="T1407" i="22" l="1"/>
  <c r="Q1407" i="22" l="1"/>
  <c r="U1407" i="22"/>
  <c r="AE1407" i="22" s="1"/>
  <c r="D1408" i="22" s="1"/>
  <c r="AD1407" i="22"/>
  <c r="C1408" i="22" s="1"/>
  <c r="V1407" i="22"/>
  <c r="AF1407" i="22" s="1"/>
  <c r="E1408" i="22" s="1"/>
  <c r="W1407" i="22" a="1"/>
  <c r="W1407" i="22" l="1"/>
  <c r="P1407" i="22" a="1"/>
  <c r="P1407" i="22" l="1"/>
  <c r="AC1407" i="22"/>
  <c r="I1408" i="22" l="1"/>
  <c r="R1407" i="22"/>
  <c r="S1407" i="22" s="1"/>
  <c r="K1407" i="22" s="1"/>
  <c r="B1408" i="22"/>
  <c r="H1408" i="22" l="1"/>
  <c r="X1407" i="22"/>
  <c r="Y1407" i="22" s="1"/>
  <c r="AG1407" i="22" l="1"/>
  <c r="F1408" i="22" l="1"/>
  <c r="AK1407" i="22"/>
  <c r="G1408" i="22" s="1"/>
  <c r="T1408" i="22" a="1"/>
  <c r="T1408" i="22" l="1"/>
  <c r="Q1408" i="22" l="1"/>
  <c r="U1408" i="22"/>
  <c r="AE1408" i="22" s="1"/>
  <c r="D1409" i="22" s="1"/>
  <c r="V1408" i="22"/>
  <c r="AF1408" i="22" s="1"/>
  <c r="E1409" i="22" s="1"/>
  <c r="AD1408" i="22"/>
  <c r="C1409" i="22" s="1"/>
  <c r="W1408" i="22" a="1"/>
  <c r="W1408" i="22" l="1"/>
  <c r="P1408" i="22" a="1"/>
  <c r="P1408" i="22" l="1"/>
  <c r="AC1408" i="22"/>
  <c r="B1409" i="22" l="1"/>
  <c r="R1408" i="22"/>
  <c r="S1408" i="22" s="1"/>
  <c r="K1408" i="22" s="1"/>
  <c r="I1409" i="22"/>
  <c r="H1409" i="22" l="1"/>
  <c r="X1408" i="22"/>
  <c r="Y1408" i="22" s="1"/>
  <c r="AG1408" i="22" l="1"/>
  <c r="F1409" i="22" l="1"/>
  <c r="AK1408" i="22"/>
  <c r="G1409" i="22" s="1"/>
  <c r="T1409" i="22" a="1"/>
  <c r="T1409" i="22" l="1"/>
  <c r="Q1409" i="22" l="1"/>
  <c r="U1409" i="22"/>
  <c r="AE1409" i="22" s="1"/>
  <c r="D1410" i="22" s="1"/>
  <c r="AD1409" i="22"/>
  <c r="C1410" i="22" s="1"/>
  <c r="V1409" i="22"/>
  <c r="AF1409" i="22" s="1"/>
  <c r="E1410" i="22" s="1"/>
  <c r="W1409" i="22" a="1"/>
  <c r="W1409" i="22" l="1"/>
  <c r="P1409" i="22" a="1"/>
  <c r="P1409" i="22" l="1"/>
  <c r="AC1409" i="22"/>
  <c r="B1410" i="22" l="1"/>
  <c r="I1410" i="22"/>
  <c r="R1409" i="22"/>
  <c r="S1409" i="22" s="1"/>
  <c r="K1409" i="22" s="1"/>
  <c r="X1409" i="22" l="1"/>
  <c r="Y1409" i="22" s="1"/>
  <c r="H1410" i="22"/>
  <c r="AG1409" i="22" l="1"/>
  <c r="F1410" i="22" l="1"/>
  <c r="AK1409" i="22"/>
  <c r="G1410" i="22" s="1"/>
  <c r="T1410" i="22" a="1"/>
  <c r="T1410" i="22" l="1"/>
  <c r="Q1410" i="22" l="1"/>
  <c r="AD1410" i="22"/>
  <c r="C1411" i="22" s="1"/>
  <c r="V1410" i="22"/>
  <c r="AF1410" i="22" s="1"/>
  <c r="E1411" i="22" s="1"/>
  <c r="U1410" i="22"/>
  <c r="AE1410" i="22" s="1"/>
  <c r="D1411" i="22" s="1"/>
  <c r="W1410" i="22" a="1"/>
  <c r="W1410" i="22" l="1"/>
  <c r="P1410" i="22" a="1"/>
  <c r="P1410" i="22" l="1"/>
  <c r="AC1410" i="22"/>
  <c r="B1411" i="22" l="1"/>
  <c r="I1411" i="22"/>
  <c r="R1410" i="22"/>
  <c r="S1410" i="22" s="1"/>
  <c r="K1410" i="22" s="1"/>
  <c r="X1410" i="22" l="1"/>
  <c r="Y1410" i="22" s="1"/>
  <c r="H1411" i="22"/>
  <c r="AG1410" i="22" l="1"/>
  <c r="F1411" i="22" l="1"/>
  <c r="AK1410" i="22"/>
  <c r="G1411" i="22" s="1"/>
  <c r="T1411" i="22" a="1"/>
  <c r="T1411" i="22" l="1"/>
  <c r="Q1411" i="22" l="1"/>
  <c r="AD1411" i="22"/>
  <c r="C1412" i="22" s="1"/>
  <c r="V1411" i="22"/>
  <c r="AF1411" i="22" s="1"/>
  <c r="E1412" i="22" s="1"/>
  <c r="U1411" i="22"/>
  <c r="AE1411" i="22" s="1"/>
  <c r="D1412" i="22" s="1"/>
  <c r="W1411" i="22" a="1"/>
  <c r="W1411" i="22" l="1"/>
  <c r="P1411" i="22" a="1"/>
  <c r="P1411" i="22" l="1"/>
  <c r="AC1411" i="22"/>
  <c r="B1412" i="22" l="1"/>
  <c r="I1412" i="22"/>
  <c r="R1411" i="22"/>
  <c r="S1411" i="22" s="1"/>
  <c r="K1411" i="22" s="1"/>
  <c r="X1411" i="22" l="1"/>
  <c r="Y1411" i="22" s="1"/>
  <c r="H1412" i="22"/>
  <c r="AG1411" i="22" l="1"/>
  <c r="F1412" i="22" s="1"/>
  <c r="AK1411" i="22" l="1"/>
  <c r="G1412" i="22" s="1"/>
  <c r="T1412" i="22" a="1"/>
  <c r="T1412" i="22" l="1"/>
  <c r="Q1412" i="22"/>
  <c r="AD1412" i="22"/>
  <c r="C1413" i="22" s="1"/>
  <c r="V1412" i="22"/>
  <c r="AF1412" i="22" s="1"/>
  <c r="E1413" i="22" s="1"/>
  <c r="U1412" i="22"/>
  <c r="AE1412" i="22" s="1"/>
  <c r="D1413" i="22" s="1"/>
  <c r="W1412" i="22" a="1"/>
  <c r="W1412" i="22" l="1"/>
  <c r="P1412" i="22" a="1"/>
  <c r="P1412" i="22" l="1"/>
  <c r="AC1412" i="22"/>
  <c r="R1412" i="22" l="1"/>
  <c r="S1412" i="22" s="1"/>
  <c r="K1412" i="22" s="1"/>
  <c r="I1413" i="22"/>
  <c r="B1413" i="22"/>
  <c r="H1413" i="22" l="1"/>
  <c r="X1412" i="22"/>
  <c r="Y1412" i="22" s="1"/>
  <c r="AG1412" i="22" l="1"/>
  <c r="F1413" i="22" l="1"/>
  <c r="AK1412" i="22"/>
  <c r="G1413" i="22" s="1"/>
  <c r="T1413" i="22" a="1"/>
  <c r="T1413" i="22" l="1"/>
  <c r="Q1413" i="22" l="1"/>
  <c r="U1413" i="22"/>
  <c r="AE1413" i="22" s="1"/>
  <c r="D1414" i="22" s="1"/>
  <c r="V1413" i="22"/>
  <c r="AF1413" i="22" s="1"/>
  <c r="E1414" i="22" s="1"/>
  <c r="AD1413" i="22"/>
  <c r="C1414" i="22" s="1"/>
  <c r="W1413" i="22" a="1"/>
  <c r="W1413" i="22" l="1"/>
  <c r="P1413" i="22" a="1"/>
  <c r="P1413" i="22" l="1"/>
  <c r="AC1413" i="22"/>
  <c r="B1414" i="22" l="1"/>
  <c r="R1413" i="22"/>
  <c r="S1413" i="22" s="1"/>
  <c r="K1413" i="22" s="1"/>
  <c r="I1414" i="22"/>
  <c r="X1413" i="22" l="1"/>
  <c r="Y1413" i="22" s="1"/>
  <c r="H1414" i="22"/>
  <c r="AG1413" i="22" l="1"/>
  <c r="F1414" i="22" l="1"/>
  <c r="AK1413" i="22"/>
  <c r="G1414" i="22" s="1"/>
  <c r="T1414" i="22" a="1"/>
  <c r="T1414" i="22" l="1"/>
  <c r="Q1414" i="22" l="1"/>
  <c r="AD1414" i="22"/>
  <c r="C1415" i="22" s="1"/>
  <c r="V1414" i="22"/>
  <c r="AF1414" i="22" s="1"/>
  <c r="E1415" i="22" s="1"/>
  <c r="U1414" i="22"/>
  <c r="AE1414" i="22" s="1"/>
  <c r="D1415" i="22" s="1"/>
  <c r="W1414" i="22" a="1"/>
  <c r="W1414" i="22" l="1"/>
  <c r="P1414" i="22" a="1"/>
  <c r="P1414" i="22" l="1"/>
  <c r="AC1414" i="22"/>
  <c r="B1415" i="22" l="1"/>
  <c r="I1415" i="22"/>
  <c r="R1414" i="22"/>
  <c r="S1414" i="22" s="1"/>
  <c r="K1414" i="22" s="1"/>
  <c r="H1415" i="22" l="1"/>
  <c r="X1414" i="22"/>
  <c r="Y1414" i="22" s="1"/>
  <c r="AG1414" i="22" l="1"/>
  <c r="F1415" i="22" l="1"/>
  <c r="AK1414" i="22"/>
  <c r="G1415" i="22" s="1"/>
  <c r="T1415" i="22" a="1"/>
  <c r="T1415" i="22" l="1"/>
  <c r="Q1415" i="22" l="1"/>
  <c r="U1415" i="22"/>
  <c r="AE1415" i="22" s="1"/>
  <c r="D1416" i="22" s="1"/>
  <c r="V1415" i="22"/>
  <c r="AF1415" i="22" s="1"/>
  <c r="E1416" i="22" s="1"/>
  <c r="AD1415" i="22"/>
  <c r="C1416" i="22" s="1"/>
  <c r="W1415" i="22" a="1"/>
  <c r="W1415" i="22" l="1"/>
  <c r="P1415" i="22" a="1"/>
  <c r="P1415" i="22" l="1"/>
  <c r="AC1415" i="22"/>
  <c r="B1416" i="22" l="1"/>
  <c r="I1416" i="22"/>
  <c r="R1415" i="22"/>
  <c r="S1415" i="22" s="1"/>
  <c r="K1415" i="22" s="1"/>
  <c r="X1415" i="22" l="1"/>
  <c r="Y1415" i="22" s="1"/>
  <c r="H1416" i="22"/>
  <c r="AG1415" i="22" l="1"/>
  <c r="F1416" i="22" l="1"/>
  <c r="AK1415" i="22"/>
  <c r="G1416" i="22" s="1"/>
  <c r="T1416" i="22" a="1"/>
  <c r="T1416" i="22" l="1"/>
  <c r="Q1416" i="22" l="1"/>
  <c r="V1416" i="22"/>
  <c r="AF1416" i="22" s="1"/>
  <c r="E1417" i="22" s="1"/>
  <c r="AD1416" i="22"/>
  <c r="C1417" i="22" s="1"/>
  <c r="U1416" i="22"/>
  <c r="AE1416" i="22" s="1"/>
  <c r="D1417" i="22" s="1"/>
  <c r="W1416" i="22" a="1"/>
  <c r="W1416" i="22" l="1"/>
  <c r="P1416" i="22" a="1"/>
  <c r="P1416" i="22" l="1"/>
  <c r="AC1416" i="22"/>
  <c r="I1417" i="22" l="1"/>
  <c r="R1416" i="22"/>
  <c r="S1416" i="22" s="1"/>
  <c r="K1416" i="22" s="1"/>
  <c r="B1417" i="22"/>
  <c r="H1417" i="22" l="1"/>
  <c r="X1416" i="22"/>
  <c r="Y1416" i="22" s="1"/>
  <c r="AG1416" i="22" l="1"/>
  <c r="F1417" i="22" s="1"/>
  <c r="AK1416" i="22" l="1"/>
  <c r="G1417" i="22" s="1"/>
  <c r="T1417" i="22" a="1"/>
  <c r="T1417" i="22" l="1"/>
  <c r="U1417" i="22" s="1"/>
  <c r="AE1417" i="22" s="1"/>
  <c r="D1418" i="22" s="1"/>
  <c r="Q1417" i="22"/>
  <c r="AD1417" i="22"/>
  <c r="C1418" i="22" s="1"/>
  <c r="V1417" i="22" l="1"/>
  <c r="W1417" i="22" a="1"/>
  <c r="W1417" i="22" l="1"/>
  <c r="AF1417" i="22"/>
  <c r="E1418" i="22" s="1"/>
  <c r="AC1417" i="22"/>
  <c r="P1417" i="22" a="1"/>
  <c r="P1417" i="22" l="1"/>
  <c r="B1418" i="22"/>
  <c r="R1417" i="22"/>
  <c r="S1417" i="22" s="1"/>
  <c r="K1417" i="22" s="1"/>
  <c r="I1418" i="22"/>
  <c r="X1417" i="22" l="1"/>
  <c r="Y1417" i="22" s="1"/>
  <c r="H1418" i="22"/>
  <c r="AG1417" i="22" l="1"/>
  <c r="F1418" i="22" l="1"/>
  <c r="AK1417" i="22"/>
  <c r="G1418" i="22" s="1"/>
  <c r="T1418" i="22" a="1"/>
  <c r="T1418" i="22" l="1"/>
  <c r="Q1418" i="22" l="1"/>
  <c r="V1418" i="22"/>
  <c r="AF1418" i="22" s="1"/>
  <c r="E1419" i="22" s="1"/>
  <c r="U1418" i="22"/>
  <c r="AE1418" i="22" s="1"/>
  <c r="D1419" i="22" s="1"/>
  <c r="AD1418" i="22"/>
  <c r="C1419" i="22" s="1"/>
  <c r="W1418" i="22" a="1"/>
  <c r="W1418" i="22" l="1"/>
  <c r="P1418" i="22" a="1"/>
  <c r="P1418" i="22" l="1"/>
  <c r="AC1418" i="22"/>
  <c r="B1419" i="22" l="1"/>
  <c r="R1418" i="22"/>
  <c r="S1418" i="22" s="1"/>
  <c r="K1418" i="22" s="1"/>
  <c r="I1419" i="22"/>
  <c r="X1418" i="22" l="1"/>
  <c r="Y1418" i="22" s="1"/>
  <c r="H1419" i="22"/>
  <c r="AG1418" i="22" l="1"/>
  <c r="F1419" i="22" l="1"/>
  <c r="AK1418" i="22"/>
  <c r="G1419" i="22" s="1"/>
  <c r="T1419" i="22" a="1"/>
  <c r="T1419" i="22" l="1"/>
  <c r="Q1419" i="22" l="1"/>
  <c r="V1419" i="22"/>
  <c r="AF1419" i="22" s="1"/>
  <c r="E1420" i="22" s="1"/>
  <c r="AD1419" i="22"/>
  <c r="C1420" i="22" s="1"/>
  <c r="U1419" i="22"/>
  <c r="AE1419" i="22" s="1"/>
  <c r="D1420" i="22" s="1"/>
  <c r="W1419" i="22" a="1"/>
  <c r="W1419" i="22" l="1"/>
  <c r="P1419" i="22" a="1"/>
  <c r="P1419" i="22" l="1"/>
  <c r="AC1419" i="22"/>
  <c r="I1420" i="22" l="1"/>
  <c r="R1419" i="22"/>
  <c r="S1419" i="22" s="1"/>
  <c r="K1419" i="22" s="1"/>
  <c r="B1420" i="22"/>
  <c r="H1420" i="22" l="1"/>
  <c r="X1419" i="22"/>
  <c r="Y1419" i="22" s="1"/>
  <c r="AG1419" i="22" l="1"/>
  <c r="F1420" i="22" l="1"/>
  <c r="AK1419" i="22"/>
  <c r="G1420" i="22" s="1"/>
  <c r="T1420" i="22" a="1"/>
  <c r="T1420" i="22" l="1"/>
  <c r="Q1420" i="22" l="1"/>
  <c r="V1420" i="22"/>
  <c r="AF1420" i="22" s="1"/>
  <c r="E1421" i="22" s="1"/>
  <c r="U1420" i="22"/>
  <c r="AE1420" i="22" s="1"/>
  <c r="D1421" i="22" s="1"/>
  <c r="AD1420" i="22"/>
  <c r="C1421" i="22" s="1"/>
  <c r="W1420" i="22" a="1"/>
  <c r="W1420" i="22" l="1"/>
  <c r="P1420" i="22" a="1"/>
  <c r="P1420" i="22" l="1"/>
  <c r="AC1420" i="22"/>
  <c r="B1421" i="22" l="1"/>
  <c r="I1421" i="22"/>
  <c r="R1420" i="22"/>
  <c r="S1420" i="22" s="1"/>
  <c r="K1420" i="22" s="1"/>
  <c r="X1420" i="22" l="1"/>
  <c r="Y1420" i="22" s="1"/>
  <c r="H1421" i="22"/>
  <c r="AG1420" i="22" l="1"/>
  <c r="F1421" i="22" l="1"/>
  <c r="AK1420" i="22"/>
  <c r="G1421" i="22" s="1"/>
  <c r="T1421" i="22" a="1"/>
  <c r="T1421" i="22" l="1"/>
  <c r="Q1421" i="22" l="1"/>
  <c r="U1421" i="22"/>
  <c r="AE1421" i="22" s="1"/>
  <c r="D1422" i="22" s="1"/>
  <c r="V1421" i="22"/>
  <c r="AF1421" i="22" s="1"/>
  <c r="E1422" i="22" s="1"/>
  <c r="AD1421" i="22"/>
  <c r="C1422" i="22" s="1"/>
  <c r="W1421" i="22" a="1"/>
  <c r="W1421" i="22" l="1"/>
  <c r="P1421" i="22" a="1"/>
  <c r="P1421" i="22" l="1"/>
  <c r="AC1421" i="22"/>
  <c r="B1422" i="22" l="1"/>
  <c r="R1421" i="22"/>
  <c r="S1421" i="22" s="1"/>
  <c r="K1421" i="22" s="1"/>
  <c r="I1422" i="22"/>
  <c r="X1421" i="22" l="1"/>
  <c r="Y1421" i="22" s="1"/>
  <c r="H1422" i="22"/>
  <c r="AG1421" i="22" l="1"/>
  <c r="F1422" i="22" l="1"/>
  <c r="AK1421" i="22"/>
  <c r="G1422" i="22" s="1"/>
  <c r="T1422" i="22" a="1"/>
  <c r="T1422" i="22" l="1"/>
  <c r="Q1422" i="22" l="1"/>
  <c r="U1422" i="22"/>
  <c r="AE1422" i="22" s="1"/>
  <c r="D1423" i="22" s="1"/>
  <c r="AD1422" i="22"/>
  <c r="C1423" i="22" s="1"/>
  <c r="V1422" i="22"/>
  <c r="AF1422" i="22" s="1"/>
  <c r="E1423" i="22" s="1"/>
  <c r="W1422" i="22" a="1"/>
  <c r="W1422" i="22" l="1"/>
  <c r="P1422" i="22" a="1"/>
  <c r="P1422" i="22" l="1"/>
  <c r="AC1422" i="22"/>
  <c r="B1423" i="22" l="1"/>
  <c r="I1423" i="22"/>
  <c r="R1422" i="22"/>
  <c r="S1422" i="22" s="1"/>
  <c r="K1422" i="22" s="1"/>
  <c r="H1423" i="22" l="1"/>
  <c r="X1422" i="22"/>
  <c r="Y1422" i="22" s="1"/>
  <c r="AG1422" i="22" l="1"/>
  <c r="F1423" i="22" l="1"/>
  <c r="AK1422" i="22"/>
  <c r="G1423" i="22" s="1"/>
  <c r="T1423" i="22" a="1"/>
  <c r="T1423" i="22" l="1"/>
  <c r="Q1423" i="22" l="1"/>
  <c r="U1423" i="22"/>
  <c r="AE1423" i="22" s="1"/>
  <c r="D1424" i="22" s="1"/>
  <c r="AD1423" i="22"/>
  <c r="C1424" i="22" s="1"/>
  <c r="V1423" i="22"/>
  <c r="AF1423" i="22" s="1"/>
  <c r="E1424" i="22" s="1"/>
  <c r="W1423" i="22" a="1"/>
  <c r="W1423" i="22" l="1"/>
  <c r="P1423" i="22" a="1"/>
  <c r="P1423" i="22" l="1"/>
  <c r="AC1423" i="22"/>
  <c r="B1424" i="22" l="1"/>
  <c r="R1423" i="22"/>
  <c r="S1423" i="22" s="1"/>
  <c r="K1423" i="22" s="1"/>
  <c r="I1424" i="22"/>
  <c r="X1423" i="22" l="1"/>
  <c r="Y1423" i="22" s="1"/>
  <c r="H1424" i="22"/>
  <c r="AG1423" i="22" l="1"/>
  <c r="F1424" i="22" l="1"/>
  <c r="AK1423" i="22"/>
  <c r="G1424" i="22" s="1"/>
  <c r="T1424" i="22" a="1"/>
  <c r="T1424" i="22" l="1"/>
  <c r="Q1424" i="22" l="1"/>
  <c r="AD1424" i="22"/>
  <c r="C1425" i="22" s="1"/>
  <c r="U1424" i="22"/>
  <c r="AE1424" i="22" s="1"/>
  <c r="D1425" i="22" s="1"/>
  <c r="V1424" i="22"/>
  <c r="AF1424" i="22" s="1"/>
  <c r="E1425" i="22" s="1"/>
  <c r="W1424" i="22" a="1"/>
  <c r="W1424" i="22" l="1"/>
  <c r="P1424" i="22" a="1"/>
  <c r="P1424" i="22" l="1"/>
  <c r="AC1424" i="22"/>
  <c r="B1425" i="22" l="1"/>
  <c r="I1425" i="22"/>
  <c r="R1424" i="22"/>
  <c r="S1424" i="22" s="1"/>
  <c r="K1424" i="22" s="1"/>
  <c r="X1424" i="22" l="1"/>
  <c r="Y1424" i="22" s="1"/>
  <c r="H1425" i="22"/>
  <c r="AG1424" i="22" l="1"/>
  <c r="F1425" i="22" l="1"/>
  <c r="AK1424" i="22"/>
  <c r="G1425" i="22" s="1"/>
  <c r="T1425" i="22" a="1"/>
  <c r="T1425" i="22" l="1"/>
  <c r="Q1425" i="22" l="1"/>
  <c r="U1425" i="22"/>
  <c r="AE1425" i="22" s="1"/>
  <c r="D1426" i="22" s="1"/>
  <c r="AD1425" i="22"/>
  <c r="C1426" i="22" s="1"/>
  <c r="V1425" i="22"/>
  <c r="AF1425" i="22" s="1"/>
  <c r="E1426" i="22" s="1"/>
  <c r="W1425" i="22" a="1"/>
  <c r="W1425" i="22" l="1"/>
  <c r="P1425" i="22" a="1"/>
  <c r="P1425" i="22" l="1"/>
  <c r="AC1425" i="22"/>
  <c r="B1426" i="22" l="1"/>
  <c r="R1425" i="22"/>
  <c r="S1425" i="22" s="1"/>
  <c r="K1425" i="22" s="1"/>
  <c r="I1426" i="22"/>
  <c r="X1425" i="22" l="1"/>
  <c r="Y1425" i="22" s="1"/>
  <c r="H1426" i="22"/>
  <c r="AG1425" i="22" l="1"/>
  <c r="F1426" i="22" l="1"/>
  <c r="AK1425" i="22"/>
  <c r="G1426" i="22" s="1"/>
  <c r="T1426" i="22" a="1"/>
  <c r="T1426" i="22" l="1"/>
  <c r="Q1426" i="22" l="1"/>
  <c r="U1426" i="22"/>
  <c r="AE1426" i="22" s="1"/>
  <c r="D1427" i="22" s="1"/>
  <c r="AD1426" i="22"/>
  <c r="C1427" i="22" s="1"/>
  <c r="V1426" i="22"/>
  <c r="AF1426" i="22" s="1"/>
  <c r="E1427" i="22" s="1"/>
  <c r="W1426" i="22" a="1"/>
  <c r="W1426" i="22" l="1"/>
  <c r="P1426" i="22" a="1"/>
  <c r="P1426" i="22" l="1"/>
  <c r="AC1426" i="22"/>
  <c r="B1427" i="22" l="1"/>
  <c r="R1426" i="22"/>
  <c r="S1426" i="22" s="1"/>
  <c r="K1426" i="22" s="1"/>
  <c r="I1427" i="22"/>
  <c r="X1426" i="22" l="1"/>
  <c r="Y1426" i="22" s="1"/>
  <c r="H1427" i="22"/>
  <c r="AG1426" i="22" l="1"/>
  <c r="F1427" i="22" l="1"/>
  <c r="AK1426" i="22"/>
  <c r="G1427" i="22" s="1"/>
  <c r="T1427" i="22" a="1"/>
  <c r="T1427" i="22" l="1"/>
  <c r="Q1427" i="22" l="1"/>
  <c r="U1427" i="22"/>
  <c r="AE1427" i="22" s="1"/>
  <c r="D1428" i="22" s="1"/>
  <c r="V1427" i="22"/>
  <c r="AF1427" i="22" s="1"/>
  <c r="E1428" i="22" s="1"/>
  <c r="AD1427" i="22"/>
  <c r="C1428" i="22" s="1"/>
  <c r="W1427" i="22" a="1"/>
  <c r="W1427" i="22" l="1"/>
  <c r="P1427" i="22" a="1"/>
  <c r="P1427" i="22" l="1"/>
  <c r="AC1427" i="22"/>
  <c r="B1428" i="22" l="1"/>
  <c r="R1427" i="22"/>
  <c r="S1427" i="22" s="1"/>
  <c r="K1427" i="22" s="1"/>
  <c r="I1428" i="22"/>
  <c r="X1427" i="22" l="1"/>
  <c r="Y1427" i="22" s="1"/>
  <c r="H1428" i="22"/>
  <c r="AG1427" i="22" l="1"/>
  <c r="F1428" i="22" l="1"/>
  <c r="AK1427" i="22"/>
  <c r="G1428" i="22" s="1"/>
  <c r="T1428" i="22" a="1"/>
  <c r="T1428" i="22" l="1"/>
  <c r="Q1428" i="22" l="1"/>
  <c r="U1428" i="22"/>
  <c r="AE1428" i="22" s="1"/>
  <c r="D1429" i="22" s="1"/>
  <c r="AD1428" i="22"/>
  <c r="C1429" i="22" s="1"/>
  <c r="V1428" i="22"/>
  <c r="AF1428" i="22" s="1"/>
  <c r="E1429" i="22" s="1"/>
  <c r="W1428" i="22" a="1"/>
  <c r="W1428" i="22" l="1"/>
  <c r="P1428" i="22" a="1"/>
  <c r="P1428" i="22" l="1"/>
  <c r="AC1428" i="22"/>
  <c r="B1429" i="22" l="1"/>
  <c r="I1429" i="22"/>
  <c r="R1428" i="22"/>
  <c r="S1428" i="22" s="1"/>
  <c r="K1428" i="22" s="1"/>
  <c r="H1429" i="22" l="1"/>
  <c r="X1428" i="22"/>
  <c r="Y1428" i="22" s="1"/>
  <c r="AG1428" i="22" l="1"/>
  <c r="F1429" i="22" l="1"/>
  <c r="AK1428" i="22"/>
  <c r="G1429" i="22" s="1"/>
  <c r="T1429" i="22" a="1"/>
  <c r="T1429" i="22" l="1"/>
  <c r="Q1429" i="22" l="1"/>
  <c r="U1429" i="22"/>
  <c r="AE1429" i="22" s="1"/>
  <c r="D1430" i="22" s="1"/>
  <c r="AD1429" i="22"/>
  <c r="C1430" i="22" s="1"/>
  <c r="V1429" i="22"/>
  <c r="AF1429" i="22" s="1"/>
  <c r="E1430" i="22" s="1"/>
  <c r="W1429" i="22" a="1"/>
  <c r="W1429" i="22" l="1"/>
  <c r="P1429" i="22" a="1"/>
  <c r="P1429" i="22" l="1"/>
  <c r="AC1429" i="22"/>
  <c r="B1430" i="22" l="1"/>
  <c r="I1430" i="22"/>
  <c r="R1429" i="22"/>
  <c r="S1429" i="22" s="1"/>
  <c r="K1429" i="22" s="1"/>
  <c r="X1429" i="22" l="1"/>
  <c r="Y1429" i="22" s="1"/>
  <c r="H1430" i="22"/>
  <c r="AG1429" i="22" l="1"/>
  <c r="F1430" i="22" l="1"/>
  <c r="AK1429" i="22"/>
  <c r="G1430" i="22" s="1"/>
  <c r="T1430" i="22" a="1"/>
  <c r="T1430" i="22" l="1"/>
  <c r="Q1430" i="22" l="1"/>
  <c r="V1430" i="22"/>
  <c r="AF1430" i="22" s="1"/>
  <c r="E1431" i="22" s="1"/>
  <c r="AD1430" i="22"/>
  <c r="C1431" i="22" s="1"/>
  <c r="U1430" i="22"/>
  <c r="AE1430" i="22" s="1"/>
  <c r="D1431" i="22" s="1"/>
  <c r="W1430" i="22" a="1"/>
  <c r="W1430" i="22" l="1"/>
  <c r="P1430" i="22" a="1"/>
  <c r="P1430" i="22" l="1"/>
  <c r="AC1430" i="22"/>
  <c r="R1430" i="22" l="1"/>
  <c r="S1430" i="22" s="1"/>
  <c r="K1430" i="22" s="1"/>
  <c r="I1431" i="22"/>
  <c r="B1431" i="22"/>
  <c r="H1431" i="22" l="1"/>
  <c r="X1430" i="22"/>
  <c r="Y1430" i="22" s="1"/>
  <c r="AG1430" i="22" l="1"/>
  <c r="F1431" i="22" l="1"/>
  <c r="AK1430" i="22"/>
  <c r="G1431" i="22" s="1"/>
  <c r="T1431" i="22" a="1"/>
  <c r="T1431" i="22" l="1"/>
  <c r="Q1431" i="22" l="1"/>
  <c r="V1431" i="22"/>
  <c r="AF1431" i="22" s="1"/>
  <c r="E1432" i="22" s="1"/>
  <c r="AD1431" i="22"/>
  <c r="C1432" i="22" s="1"/>
  <c r="U1431" i="22"/>
  <c r="AE1431" i="22" s="1"/>
  <c r="D1432" i="22" s="1"/>
  <c r="W1431" i="22" a="1"/>
  <c r="W1431" i="22" l="1"/>
  <c r="P1431" i="22" a="1"/>
  <c r="P1431" i="22" l="1"/>
  <c r="AC1431" i="22"/>
  <c r="B1432" i="22" l="1"/>
  <c r="R1431" i="22"/>
  <c r="S1431" i="22" s="1"/>
  <c r="K1431" i="22" s="1"/>
  <c r="I1432" i="22"/>
  <c r="X1431" i="22" l="1"/>
  <c r="Y1431" i="22" s="1"/>
  <c r="H1432" i="22"/>
  <c r="AG1431" i="22" l="1"/>
  <c r="F1432" i="22" l="1"/>
  <c r="AK1431" i="22"/>
  <c r="G1432" i="22" s="1"/>
  <c r="T1432" i="22" a="1"/>
  <c r="T1432" i="22" l="1"/>
  <c r="Q1432" i="22" l="1"/>
  <c r="U1432" i="22"/>
  <c r="AE1432" i="22" s="1"/>
  <c r="D1433" i="22" s="1"/>
  <c r="V1432" i="22"/>
  <c r="AF1432" i="22" s="1"/>
  <c r="E1433" i="22" s="1"/>
  <c r="AD1432" i="22"/>
  <c r="C1433" i="22" s="1"/>
  <c r="W1432" i="22" a="1"/>
  <c r="W1432" i="22" l="1"/>
  <c r="P1432" i="22" a="1"/>
  <c r="P1432" i="22" l="1"/>
  <c r="AC1432" i="22"/>
  <c r="B1433" i="22" l="1"/>
  <c r="R1432" i="22"/>
  <c r="S1432" i="22" s="1"/>
  <c r="K1432" i="22" s="1"/>
  <c r="I1433" i="22"/>
  <c r="X1432" i="22" l="1"/>
  <c r="Y1432" i="22" s="1"/>
  <c r="H1433" i="22"/>
  <c r="AG1432" i="22" l="1"/>
  <c r="F1433" i="22" l="1"/>
  <c r="AK1432" i="22"/>
  <c r="G1433" i="22" s="1"/>
  <c r="T1433" i="22" a="1"/>
  <c r="T1433" i="22" l="1"/>
  <c r="Q1433" i="22" l="1"/>
  <c r="U1433" i="22"/>
  <c r="AE1433" i="22" s="1"/>
  <c r="D1434" i="22" s="1"/>
  <c r="AD1433" i="22"/>
  <c r="C1434" i="22" s="1"/>
  <c r="V1433" i="22"/>
  <c r="AF1433" i="22" s="1"/>
  <c r="E1434" i="22" s="1"/>
  <c r="W1433" i="22" a="1"/>
  <c r="W1433" i="22" l="1"/>
  <c r="P1433" i="22" a="1"/>
  <c r="P1433" i="22" l="1"/>
  <c r="AC1433" i="22"/>
  <c r="B1434" i="22" l="1"/>
  <c r="I1434" i="22"/>
  <c r="R1433" i="22"/>
  <c r="S1433" i="22" s="1"/>
  <c r="K1433" i="22" s="1"/>
  <c r="X1433" i="22" l="1"/>
  <c r="Y1433" i="22" s="1"/>
  <c r="H1434" i="22"/>
  <c r="AG1433" i="22" l="1"/>
  <c r="F1434" i="22" l="1"/>
  <c r="AK1433" i="22"/>
  <c r="G1434" i="22" s="1"/>
  <c r="T1434" i="22" a="1"/>
  <c r="T1434" i="22" l="1"/>
  <c r="Q1434" i="22" l="1"/>
  <c r="U1434" i="22"/>
  <c r="AE1434" i="22" s="1"/>
  <c r="D1435" i="22" s="1"/>
  <c r="AD1434" i="22"/>
  <c r="C1435" i="22" s="1"/>
  <c r="V1434" i="22"/>
  <c r="AF1434" i="22" s="1"/>
  <c r="E1435" i="22" s="1"/>
  <c r="W1434" i="22" a="1"/>
  <c r="W1434" i="22" l="1"/>
  <c r="P1434" i="22" a="1"/>
  <c r="P1434" i="22" l="1"/>
  <c r="AC1434" i="22"/>
  <c r="B1435" i="22" l="1"/>
  <c r="I1435" i="22"/>
  <c r="R1434" i="22"/>
  <c r="S1434" i="22" s="1"/>
  <c r="K1434" i="22" s="1"/>
  <c r="H1435" i="22" l="1"/>
  <c r="X1434" i="22"/>
  <c r="Y1434" i="22" s="1"/>
  <c r="AG1434" i="22" l="1"/>
  <c r="F1435" i="22" l="1"/>
  <c r="AK1434" i="22"/>
  <c r="G1435" i="22" s="1"/>
  <c r="T1435" i="22" a="1"/>
  <c r="T1435" i="22" l="1"/>
  <c r="Q1435" i="22" l="1"/>
  <c r="V1435" i="22"/>
  <c r="AF1435" i="22" s="1"/>
  <c r="E1436" i="22" s="1"/>
  <c r="AD1435" i="22"/>
  <c r="C1436" i="22" s="1"/>
  <c r="U1435" i="22"/>
  <c r="AE1435" i="22" s="1"/>
  <c r="D1436" i="22" s="1"/>
  <c r="W1435" i="22" a="1"/>
  <c r="W1435" i="22" l="1"/>
  <c r="P1435" i="22" a="1"/>
  <c r="P1435" i="22" l="1"/>
  <c r="AC1435" i="22"/>
  <c r="R1435" i="22" l="1"/>
  <c r="S1435" i="22" s="1"/>
  <c r="K1435" i="22" s="1"/>
  <c r="I1436" i="22"/>
  <c r="B1436" i="22"/>
  <c r="X1435" i="22" l="1"/>
  <c r="Y1435" i="22" s="1"/>
  <c r="H1436" i="22"/>
  <c r="AG1435" i="22" l="1"/>
  <c r="F1436" i="22" l="1"/>
  <c r="AK1435" i="22"/>
  <c r="G1436" i="22" s="1"/>
  <c r="T1436" i="22" a="1"/>
  <c r="T1436" i="22" l="1"/>
  <c r="Q1436" i="22" l="1"/>
  <c r="AD1436" i="22"/>
  <c r="C1437" i="22" s="1"/>
  <c r="U1436" i="22"/>
  <c r="AE1436" i="22" s="1"/>
  <c r="D1437" i="22" s="1"/>
  <c r="V1436" i="22"/>
  <c r="AF1436" i="22" s="1"/>
  <c r="E1437" i="22" s="1"/>
  <c r="W1436" i="22" a="1"/>
  <c r="W1436" i="22" l="1"/>
  <c r="P1436" i="22" a="1"/>
  <c r="P1436" i="22" l="1"/>
  <c r="AC1436" i="22"/>
  <c r="B1437" i="22" l="1"/>
  <c r="I1437" i="22"/>
  <c r="R1436" i="22"/>
  <c r="S1436" i="22" s="1"/>
  <c r="K1436" i="22" s="1"/>
  <c r="H1437" i="22" l="1"/>
  <c r="X1436" i="22"/>
  <c r="Y1436" i="22" s="1"/>
  <c r="AG1436" i="22" l="1"/>
  <c r="F1437" i="22" l="1"/>
  <c r="AK1436" i="22"/>
  <c r="G1437" i="22" s="1"/>
  <c r="T1437" i="22" a="1"/>
  <c r="T1437" i="22" l="1"/>
  <c r="Q1437" i="22" l="1"/>
  <c r="U1437" i="22"/>
  <c r="AE1437" i="22" s="1"/>
  <c r="D1438" i="22" s="1"/>
  <c r="AD1437" i="22"/>
  <c r="C1438" i="22" s="1"/>
  <c r="V1437" i="22"/>
  <c r="AF1437" i="22" s="1"/>
  <c r="E1438" i="22" s="1"/>
  <c r="W1437" i="22" a="1"/>
  <c r="W1437" i="22" l="1"/>
  <c r="P1437" i="22" a="1"/>
  <c r="P1437" i="22" l="1"/>
  <c r="AC1437" i="22"/>
  <c r="R1437" i="22" l="1"/>
  <c r="S1437" i="22" s="1"/>
  <c r="K1437" i="22" s="1"/>
  <c r="I1438" i="22"/>
  <c r="B1438" i="22"/>
  <c r="H1438" i="22" l="1"/>
  <c r="X1437" i="22"/>
  <c r="Y1437" i="22" s="1"/>
  <c r="AG1437" i="22" l="1"/>
  <c r="F1438" i="22" l="1"/>
  <c r="AK1437" i="22"/>
  <c r="G1438" i="22" s="1"/>
  <c r="T1438" i="22" a="1"/>
  <c r="T1438" i="22" l="1"/>
  <c r="Q1438" i="22" l="1"/>
  <c r="V1438" i="22"/>
  <c r="AF1438" i="22" s="1"/>
  <c r="E1439" i="22" s="1"/>
  <c r="U1438" i="22"/>
  <c r="AE1438" i="22" s="1"/>
  <c r="D1439" i="22" s="1"/>
  <c r="AD1438" i="22"/>
  <c r="C1439" i="22" s="1"/>
  <c r="W1438" i="22" a="1"/>
  <c r="W1438" i="22" l="1"/>
  <c r="P1438" i="22" a="1"/>
  <c r="P1438" i="22" l="1"/>
  <c r="AC1438" i="22"/>
  <c r="B1439" i="22" l="1"/>
  <c r="R1438" i="22"/>
  <c r="S1438" i="22" s="1"/>
  <c r="K1438" i="22" s="1"/>
  <c r="I1439" i="22"/>
  <c r="H1439" i="22" l="1"/>
  <c r="X1438" i="22"/>
  <c r="Y1438" i="22" s="1"/>
  <c r="AG1438" i="22" l="1"/>
  <c r="F1439" i="22" l="1"/>
  <c r="AK1438" i="22"/>
  <c r="G1439" i="22" s="1"/>
  <c r="T1439" i="22" a="1"/>
  <c r="T1439" i="22" l="1"/>
  <c r="Q1439" i="22" l="1"/>
  <c r="V1439" i="22"/>
  <c r="AF1439" i="22" s="1"/>
  <c r="E1440" i="22" s="1"/>
  <c r="AD1439" i="22"/>
  <c r="C1440" i="22" s="1"/>
  <c r="U1439" i="22"/>
  <c r="AE1439" i="22" s="1"/>
  <c r="D1440" i="22" s="1"/>
  <c r="W1439" i="22" a="1"/>
  <c r="W1439" i="22" l="1"/>
  <c r="P1439" i="22" a="1"/>
  <c r="P1439" i="22" l="1"/>
  <c r="AC1439" i="22"/>
  <c r="I1440" i="22" l="1"/>
  <c r="R1439" i="22"/>
  <c r="S1439" i="22" s="1"/>
  <c r="K1439" i="22" s="1"/>
  <c r="B1440" i="22"/>
  <c r="X1439" i="22" l="1"/>
  <c r="Y1439" i="22" s="1"/>
  <c r="H1440" i="22"/>
  <c r="AG1439" i="22" l="1"/>
  <c r="F1440" i="22" l="1"/>
  <c r="AK1439" i="22"/>
  <c r="G1440" i="22" s="1"/>
  <c r="T1440" i="22" a="1"/>
  <c r="T1440" i="22" l="1"/>
  <c r="Q1440" i="22" l="1"/>
  <c r="V1440" i="22"/>
  <c r="AF1440" i="22" s="1"/>
  <c r="E1441" i="22" s="1"/>
  <c r="AD1440" i="22"/>
  <c r="C1441" i="22" s="1"/>
  <c r="U1440" i="22"/>
  <c r="AE1440" i="22" s="1"/>
  <c r="D1441" i="22" s="1"/>
  <c r="W1440" i="22" a="1"/>
  <c r="W1440" i="22" l="1"/>
  <c r="P1440" i="22" a="1"/>
  <c r="P1440" i="22" l="1"/>
  <c r="AC1440" i="22"/>
  <c r="B1441" i="22" l="1"/>
  <c r="R1440" i="22"/>
  <c r="S1440" i="22" s="1"/>
  <c r="K1440" i="22" s="1"/>
  <c r="I1441" i="22"/>
  <c r="X1440" i="22" l="1"/>
  <c r="Y1440" i="22" s="1"/>
  <c r="H1441" i="22"/>
  <c r="AG1440" i="22" l="1"/>
  <c r="F1441" i="22" l="1"/>
  <c r="AK1440" i="22"/>
  <c r="G1441" i="22" s="1"/>
  <c r="T1441" i="22" a="1"/>
  <c r="T1441" i="22" l="1"/>
  <c r="Q1441" i="22" l="1"/>
  <c r="V1441" i="22"/>
  <c r="AF1441" i="22" s="1"/>
  <c r="E1442" i="22" s="1"/>
  <c r="AD1441" i="22"/>
  <c r="C1442" i="22" s="1"/>
  <c r="U1441" i="22"/>
  <c r="AE1441" i="22" s="1"/>
  <c r="D1442" i="22" s="1"/>
  <c r="W1441" i="22" a="1"/>
  <c r="W1441" i="22" l="1"/>
  <c r="P1441" i="22" a="1"/>
  <c r="P1441" i="22" l="1"/>
  <c r="AC1441" i="22"/>
  <c r="I1442" i="22" l="1"/>
  <c r="R1441" i="22"/>
  <c r="S1441" i="22" s="1"/>
  <c r="K1441" i="22" s="1"/>
  <c r="B1442" i="22"/>
  <c r="X1441" i="22" l="1"/>
  <c r="Y1441" i="22" s="1"/>
  <c r="H1442" i="22"/>
  <c r="AG1441" i="22" l="1"/>
  <c r="F1442" i="22" l="1"/>
  <c r="AK1441" i="22"/>
  <c r="G1442" i="22" s="1"/>
  <c r="T1442" i="22" a="1"/>
  <c r="T1442" i="22" l="1"/>
  <c r="Q1442" i="22" l="1"/>
  <c r="V1442" i="22"/>
  <c r="AF1442" i="22" s="1"/>
  <c r="E1443" i="22" s="1"/>
  <c r="U1442" i="22"/>
  <c r="AE1442" i="22" s="1"/>
  <c r="D1443" i="22" s="1"/>
  <c r="AD1442" i="22"/>
  <c r="C1443" i="22" s="1"/>
  <c r="W1442" i="22" a="1"/>
  <c r="W1442" i="22" l="1"/>
  <c r="P1442" i="22" a="1"/>
  <c r="P1442" i="22" l="1"/>
  <c r="AC1442" i="22"/>
  <c r="B1443" i="22" l="1"/>
  <c r="I1443" i="22"/>
  <c r="R1442" i="22"/>
  <c r="S1442" i="22" s="1"/>
  <c r="K1442" i="22" s="1"/>
  <c r="X1442" i="22" l="1"/>
  <c r="Y1442" i="22" s="1"/>
  <c r="H1443" i="22"/>
  <c r="AG1442" i="22" l="1"/>
  <c r="F1443" i="22" l="1"/>
  <c r="AK1442" i="22"/>
  <c r="G1443" i="22" s="1"/>
  <c r="T1443" i="22" a="1"/>
  <c r="T1443" i="22" l="1"/>
  <c r="Q1443" i="22" l="1"/>
  <c r="U1443" i="22"/>
  <c r="AE1443" i="22" s="1"/>
  <c r="D1444" i="22" s="1"/>
  <c r="AD1443" i="22"/>
  <c r="C1444" i="22" s="1"/>
  <c r="V1443" i="22"/>
  <c r="AF1443" i="22" s="1"/>
  <c r="E1444" i="22" s="1"/>
  <c r="W1443" i="22" a="1"/>
  <c r="W1443" i="22" l="1"/>
  <c r="P1443" i="22" a="1"/>
  <c r="P1443" i="22" l="1"/>
  <c r="AC1443" i="22"/>
  <c r="R1443" i="22" l="1"/>
  <c r="S1443" i="22" s="1"/>
  <c r="K1443" i="22" s="1"/>
  <c r="I1444" i="22"/>
  <c r="H1444" i="22" s="1"/>
  <c r="B1444" i="22"/>
  <c r="X1443" i="22" l="1"/>
  <c r="Y1443" i="22" s="1"/>
  <c r="AG1443" i="22" l="1"/>
  <c r="F1444" i="22" s="1"/>
  <c r="AK1443" i="22" l="1"/>
  <c r="G1444" i="22" s="1"/>
  <c r="T1444" i="22" a="1"/>
  <c r="T1444" i="22" l="1"/>
  <c r="AD1444" i="22" s="1"/>
  <c r="C1445" i="22" s="1"/>
  <c r="Q1444" i="22"/>
  <c r="V1444" i="22"/>
  <c r="AF1444" i="22" s="1"/>
  <c r="E1445" i="22" s="1"/>
  <c r="U1444" i="22"/>
  <c r="AE1444" i="22" s="1"/>
  <c r="D1445" i="22" s="1"/>
  <c r="W1444" i="22" a="1"/>
  <c r="W1444" i="22" l="1"/>
  <c r="P1444" i="22" a="1"/>
  <c r="P1444" i="22" l="1"/>
  <c r="AC1444" i="22"/>
  <c r="B1445" i="22" l="1"/>
  <c r="I1445" i="22"/>
  <c r="R1444" i="22"/>
  <c r="S1444" i="22" s="1"/>
  <c r="K1444" i="22" s="1"/>
  <c r="X1444" i="22" l="1"/>
  <c r="Y1444" i="22" s="1"/>
  <c r="H1445" i="22"/>
  <c r="AG1444" i="22" l="1"/>
  <c r="F1445" i="22" l="1"/>
  <c r="AK1444" i="22"/>
  <c r="G1445" i="22" s="1"/>
  <c r="T1445" i="22" a="1"/>
  <c r="T1445" i="22" l="1"/>
  <c r="Q1445" i="22" l="1"/>
  <c r="AD1445" i="22"/>
  <c r="C1446" i="22" s="1"/>
  <c r="V1445" i="22"/>
  <c r="AF1445" i="22" s="1"/>
  <c r="E1446" i="22" s="1"/>
  <c r="U1445" i="22"/>
  <c r="AE1445" i="22" s="1"/>
  <c r="D1446" i="22" s="1"/>
  <c r="W1445" i="22" a="1"/>
  <c r="W1445" i="22" l="1"/>
  <c r="P1445" i="22" a="1"/>
  <c r="P1445" i="22" l="1"/>
  <c r="AC1445" i="22"/>
  <c r="B1446" i="22" l="1"/>
  <c r="I1446" i="22"/>
  <c r="R1445" i="22"/>
  <c r="S1445" i="22" s="1"/>
  <c r="K1445" i="22" s="1"/>
  <c r="H1446" i="22" l="1"/>
  <c r="X1445" i="22"/>
  <c r="Y1445" i="22" s="1"/>
  <c r="AG1445" i="22" l="1"/>
  <c r="F1446" i="22" l="1"/>
  <c r="AK1445" i="22"/>
  <c r="G1446" i="22" s="1"/>
  <c r="T1446" i="22" a="1"/>
  <c r="T1446" i="22" l="1"/>
  <c r="Q1446" i="22" l="1"/>
  <c r="U1446" i="22"/>
  <c r="AE1446" i="22" s="1"/>
  <c r="D1447" i="22" s="1"/>
  <c r="V1446" i="22"/>
  <c r="AF1446" i="22" s="1"/>
  <c r="E1447" i="22" s="1"/>
  <c r="AD1446" i="22"/>
  <c r="C1447" i="22" s="1"/>
  <c r="W1446" i="22" a="1"/>
  <c r="W1446" i="22" l="1"/>
  <c r="P1446" i="22" a="1"/>
  <c r="P1446" i="22" l="1"/>
  <c r="AC1446" i="22"/>
  <c r="B1447" i="22" l="1"/>
  <c r="R1446" i="22"/>
  <c r="S1446" i="22" s="1"/>
  <c r="K1446" i="22" s="1"/>
  <c r="I1447" i="22"/>
  <c r="X1446" i="22" l="1"/>
  <c r="Y1446" i="22" s="1"/>
  <c r="H1447" i="22"/>
  <c r="AG1446" i="22" l="1"/>
  <c r="F1447" i="22" l="1"/>
  <c r="AK1446" i="22"/>
  <c r="G1447" i="22" s="1"/>
  <c r="T1447" i="22" a="1"/>
  <c r="T1447" i="22" l="1"/>
  <c r="Q1447" i="22" l="1"/>
  <c r="V1447" i="22"/>
  <c r="AF1447" i="22" s="1"/>
  <c r="E1448" i="22" s="1"/>
  <c r="AD1447" i="22"/>
  <c r="C1448" i="22" s="1"/>
  <c r="U1447" i="22"/>
  <c r="AE1447" i="22" s="1"/>
  <c r="D1448" i="22" s="1"/>
  <c r="W1447" i="22" a="1"/>
  <c r="W1447" i="22" l="1"/>
  <c r="P1447" i="22" a="1"/>
  <c r="P1447" i="22" l="1"/>
  <c r="AC1447" i="22"/>
  <c r="B1448" i="22" l="1"/>
  <c r="R1447" i="22"/>
  <c r="S1447" i="22" s="1"/>
  <c r="K1447" i="22" s="1"/>
  <c r="I1448" i="22"/>
  <c r="X1447" i="22" l="1"/>
  <c r="Y1447" i="22" s="1"/>
  <c r="H1448" i="22"/>
  <c r="AG1447" i="22" l="1"/>
  <c r="F1448" i="22" l="1"/>
  <c r="AK1447" i="22"/>
  <c r="G1448" i="22" s="1"/>
  <c r="T1448" i="22" a="1"/>
  <c r="T1448" i="22" l="1"/>
  <c r="Q1448" i="22" l="1"/>
  <c r="AD1448" i="22"/>
  <c r="C1449" i="22" s="1"/>
  <c r="U1448" i="22"/>
  <c r="AE1448" i="22" s="1"/>
  <c r="D1449" i="22" s="1"/>
  <c r="V1448" i="22"/>
  <c r="AF1448" i="22" s="1"/>
  <c r="E1449" i="22" s="1"/>
  <c r="W1448" i="22" a="1"/>
  <c r="W1448" i="22" l="1"/>
  <c r="P1448" i="22" a="1"/>
  <c r="P1448" i="22" l="1"/>
  <c r="AC1448" i="22"/>
  <c r="B1449" i="22" l="1"/>
  <c r="I1449" i="22"/>
  <c r="R1448" i="22"/>
  <c r="S1448" i="22" s="1"/>
  <c r="K1448" i="22" s="1"/>
  <c r="X1448" i="22" l="1"/>
  <c r="Y1448" i="22" s="1"/>
  <c r="H1449" i="22"/>
  <c r="AG1448" i="22" l="1"/>
  <c r="F1449" i="22" l="1"/>
  <c r="AK1448" i="22"/>
  <c r="G1449" i="22" s="1"/>
  <c r="T1449" i="22" a="1"/>
  <c r="T1449" i="22" l="1"/>
  <c r="Q1449" i="22" l="1"/>
  <c r="AD1449" i="22"/>
  <c r="C1450" i="22" s="1"/>
  <c r="U1449" i="22"/>
  <c r="AE1449" i="22" s="1"/>
  <c r="D1450" i="22" s="1"/>
  <c r="V1449" i="22"/>
  <c r="AF1449" i="22" s="1"/>
  <c r="E1450" i="22" s="1"/>
  <c r="W1449" i="22" a="1"/>
  <c r="W1449" i="22" l="1"/>
  <c r="P1449" i="22" a="1"/>
  <c r="P1449" i="22" l="1"/>
  <c r="AC1449" i="22"/>
  <c r="I1450" i="22" l="1"/>
  <c r="R1449" i="22"/>
  <c r="S1449" i="22" s="1"/>
  <c r="K1449" i="22" s="1"/>
  <c r="B1450" i="22"/>
  <c r="H1450" i="22" l="1"/>
  <c r="X1449" i="22"/>
  <c r="Y1449" i="22" s="1"/>
  <c r="AG1449" i="22" l="1"/>
  <c r="F1450" i="22" l="1"/>
  <c r="AK1449" i="22"/>
  <c r="G1450" i="22" s="1"/>
  <c r="T1450" i="22" a="1"/>
  <c r="T1450" i="22" l="1"/>
  <c r="Q1450" i="22" l="1"/>
  <c r="U1450" i="22"/>
  <c r="AE1450" i="22" s="1"/>
  <c r="D1451" i="22" s="1"/>
  <c r="V1450" i="22"/>
  <c r="AF1450" i="22" s="1"/>
  <c r="E1451" i="22" s="1"/>
  <c r="AD1450" i="22"/>
  <c r="C1451" i="22" s="1"/>
  <c r="W1450" i="22" a="1"/>
  <c r="W1450" i="22" l="1"/>
  <c r="P1450" i="22" a="1"/>
  <c r="P1450" i="22" l="1"/>
  <c r="AC1450" i="22"/>
  <c r="B1451" i="22" l="1"/>
  <c r="I1451" i="22"/>
  <c r="R1450" i="22"/>
  <c r="S1450" i="22" s="1"/>
  <c r="K1450" i="22" s="1"/>
  <c r="X1450" i="22" l="1"/>
  <c r="Y1450" i="22" s="1"/>
  <c r="H1451" i="22"/>
  <c r="AG1450" i="22" l="1"/>
  <c r="F1451" i="22" l="1"/>
  <c r="AK1450" i="22"/>
  <c r="G1451" i="22" s="1"/>
  <c r="T1451" i="22" a="1"/>
  <c r="T1451" i="22" l="1"/>
  <c r="Q1451" i="22" l="1"/>
  <c r="AD1451" i="22"/>
  <c r="C1452" i="22" s="1"/>
  <c r="V1451" i="22"/>
  <c r="AF1451" i="22" s="1"/>
  <c r="E1452" i="22" s="1"/>
  <c r="U1451" i="22"/>
  <c r="AE1451" i="22" s="1"/>
  <c r="D1452" i="22" s="1"/>
  <c r="W1451" i="22" a="1"/>
  <c r="W1451" i="22" l="1"/>
  <c r="P1451" i="22" a="1"/>
  <c r="P1451" i="22" l="1"/>
  <c r="AC1451" i="22"/>
  <c r="B1452" i="22" l="1"/>
  <c r="R1451" i="22"/>
  <c r="S1451" i="22" s="1"/>
  <c r="K1451" i="22" s="1"/>
  <c r="I1452" i="22"/>
  <c r="H1452" i="22" s="1"/>
  <c r="X1451" i="22" l="1"/>
  <c r="Y1451" i="22" s="1"/>
  <c r="AG1451" i="22" l="1"/>
  <c r="F1452" i="22" l="1"/>
  <c r="AK1451" i="22"/>
  <c r="G1452" i="22" s="1"/>
  <c r="T1452" i="22" a="1"/>
  <c r="T1452" i="22" l="1"/>
  <c r="Q1452" i="22" l="1"/>
  <c r="AD1452" i="22"/>
  <c r="C1453" i="22" s="1"/>
  <c r="V1452" i="22"/>
  <c r="AF1452" i="22" s="1"/>
  <c r="E1453" i="22" s="1"/>
  <c r="U1452" i="22"/>
  <c r="AE1452" i="22" s="1"/>
  <c r="D1453" i="22" s="1"/>
  <c r="W1452" i="22" a="1"/>
  <c r="W1452" i="22" l="1"/>
  <c r="P1452" i="22" a="1"/>
  <c r="P1452" i="22" l="1"/>
  <c r="AC1452" i="22"/>
  <c r="B1453" i="22" l="1"/>
  <c r="I1453" i="22"/>
  <c r="R1452" i="22"/>
  <c r="S1452" i="22" s="1"/>
  <c r="K1452" i="22" s="1"/>
  <c r="X1452" i="22" l="1"/>
  <c r="Y1452" i="22" s="1"/>
  <c r="H1453" i="22"/>
  <c r="AG1452" i="22" l="1"/>
  <c r="F1453" i="22" l="1"/>
  <c r="AK1452" i="22"/>
  <c r="G1453" i="22" s="1"/>
  <c r="T1453" i="22" a="1"/>
  <c r="T1453" i="22" l="1"/>
  <c r="Q1453" i="22" l="1"/>
  <c r="V1453" i="22"/>
  <c r="AF1453" i="22" s="1"/>
  <c r="E1454" i="22" s="1"/>
  <c r="AD1453" i="22"/>
  <c r="C1454" i="22" s="1"/>
  <c r="U1453" i="22"/>
  <c r="AE1453" i="22" s="1"/>
  <c r="D1454" i="22" s="1"/>
  <c r="W1453" i="22" a="1"/>
  <c r="W1453" i="22" l="1"/>
  <c r="P1453" i="22" a="1"/>
  <c r="P1453" i="22" l="1"/>
  <c r="AC1453" i="22"/>
  <c r="B1454" i="22" l="1"/>
  <c r="R1453" i="22"/>
  <c r="S1453" i="22" s="1"/>
  <c r="K1453" i="22" s="1"/>
  <c r="I1454" i="22"/>
  <c r="H1454" i="22" l="1"/>
  <c r="X1453" i="22"/>
  <c r="Y1453" i="22" s="1"/>
  <c r="AG1453" i="22" l="1"/>
  <c r="F1454" i="22" l="1"/>
  <c r="AK1453" i="22"/>
  <c r="G1454" i="22" s="1"/>
  <c r="T1454" i="22" a="1"/>
  <c r="T1454" i="22" l="1"/>
  <c r="Q1454" i="22" l="1"/>
  <c r="V1454" i="22"/>
  <c r="AF1454" i="22" s="1"/>
  <c r="E1455" i="22" s="1"/>
  <c r="AD1454" i="22"/>
  <c r="C1455" i="22" s="1"/>
  <c r="U1454" i="22"/>
  <c r="AE1454" i="22" s="1"/>
  <c r="D1455" i="22" s="1"/>
  <c r="W1454" i="22" a="1"/>
  <c r="W1454" i="22" l="1"/>
  <c r="P1454" i="22" a="1"/>
  <c r="P1454" i="22" l="1"/>
  <c r="AC1454" i="22"/>
  <c r="B1455" i="22" l="1"/>
  <c r="I1455" i="22"/>
  <c r="R1454" i="22"/>
  <c r="S1454" i="22" s="1"/>
  <c r="K1454" i="22" s="1"/>
  <c r="X1454" i="22" l="1"/>
  <c r="Y1454" i="22" s="1"/>
  <c r="H1455" i="22"/>
  <c r="AG1454" i="22" l="1"/>
  <c r="F1455" i="22" l="1"/>
  <c r="AK1454" i="22"/>
  <c r="G1455" i="22" s="1"/>
  <c r="T1455" i="22" a="1"/>
  <c r="T1455" i="22" l="1"/>
  <c r="Q1455" i="22" l="1"/>
  <c r="V1455" i="22"/>
  <c r="AF1455" i="22" s="1"/>
  <c r="E1456" i="22" s="1"/>
  <c r="U1455" i="22"/>
  <c r="AE1455" i="22" s="1"/>
  <c r="D1456" i="22" s="1"/>
  <c r="AD1455" i="22"/>
  <c r="C1456" i="22" s="1"/>
  <c r="W1455" i="22" a="1"/>
  <c r="W1455" i="22" l="1"/>
  <c r="P1455" i="22" a="1"/>
  <c r="P1455" i="22" l="1"/>
  <c r="AC1455" i="22"/>
  <c r="B1456" i="22" l="1"/>
  <c r="R1455" i="22"/>
  <c r="S1455" i="22" s="1"/>
  <c r="K1455" i="22" s="1"/>
  <c r="I1456" i="22"/>
  <c r="X1455" i="22" l="1"/>
  <c r="Y1455" i="22" s="1"/>
  <c r="H1456" i="22"/>
  <c r="AG1455" i="22" l="1"/>
  <c r="F1456" i="22" l="1"/>
  <c r="AK1455" i="22"/>
  <c r="G1456" i="22" s="1"/>
  <c r="T1456" i="22" a="1"/>
  <c r="T1456" i="22" l="1"/>
  <c r="Q1456" i="22" l="1"/>
  <c r="U1456" i="22"/>
  <c r="AE1456" i="22" s="1"/>
  <c r="D1457" i="22" s="1"/>
  <c r="V1456" i="22"/>
  <c r="AF1456" i="22" s="1"/>
  <c r="E1457" i="22" s="1"/>
  <c r="AD1456" i="22"/>
  <c r="C1457" i="22" s="1"/>
  <c r="W1456" i="22" a="1"/>
  <c r="W1456" i="22" l="1"/>
  <c r="P1456" i="22" a="1"/>
  <c r="P1456" i="22" l="1"/>
  <c r="AC1456" i="22"/>
  <c r="B1457" i="22" l="1"/>
  <c r="I1457" i="22"/>
  <c r="H1457" i="22" s="1"/>
  <c r="R1456" i="22"/>
  <c r="S1456" i="22" s="1"/>
  <c r="K1456" i="22" s="1"/>
  <c r="X1456" i="22" l="1"/>
  <c r="Y1456" i="22" s="1"/>
  <c r="AG1456" i="22" l="1"/>
  <c r="F1457" i="22" l="1"/>
  <c r="AK1456" i="22"/>
  <c r="G1457" i="22" s="1"/>
  <c r="T1457" i="22" a="1"/>
  <c r="T1457" i="22" l="1"/>
  <c r="Q1457" i="22" l="1"/>
  <c r="AD1457" i="22"/>
  <c r="C1458" i="22" s="1"/>
  <c r="V1457" i="22"/>
  <c r="AF1457" i="22" s="1"/>
  <c r="E1458" i="22" s="1"/>
  <c r="U1457" i="22"/>
  <c r="AE1457" i="22" s="1"/>
  <c r="D1458" i="22" s="1"/>
  <c r="W1457" i="22" a="1"/>
  <c r="W1457" i="22" l="1"/>
  <c r="P1457" i="22" a="1"/>
  <c r="P1457" i="22" l="1"/>
  <c r="AC1457" i="22"/>
  <c r="B1458" i="22" l="1"/>
  <c r="R1457" i="22"/>
  <c r="S1457" i="22" s="1"/>
  <c r="K1457" i="22" s="1"/>
  <c r="I1458" i="22"/>
  <c r="X1457" i="22" l="1"/>
  <c r="Y1457" i="22" s="1"/>
  <c r="H1458" i="22"/>
  <c r="AG1457" i="22" l="1"/>
  <c r="F1458" i="22" l="1"/>
  <c r="AK1457" i="22"/>
  <c r="G1458" i="22" s="1"/>
  <c r="T1458" i="22" a="1"/>
  <c r="T1458" i="22" l="1"/>
  <c r="Q1458" i="22" l="1"/>
  <c r="V1458" i="22"/>
  <c r="AF1458" i="22" s="1"/>
  <c r="E1459" i="22" s="1"/>
  <c r="AD1458" i="22"/>
  <c r="C1459" i="22" s="1"/>
  <c r="U1458" i="22"/>
  <c r="AE1458" i="22" s="1"/>
  <c r="D1459" i="22" s="1"/>
  <c r="W1458" i="22" a="1"/>
  <c r="W1458" i="22" l="1"/>
  <c r="P1458" i="22" a="1"/>
  <c r="P1458" i="22" l="1"/>
  <c r="AC1458" i="22"/>
  <c r="B1459" i="22" l="1"/>
  <c r="I1459" i="22"/>
  <c r="R1458" i="22"/>
  <c r="S1458" i="22" s="1"/>
  <c r="K1458" i="22" s="1"/>
  <c r="H1459" i="22" l="1"/>
  <c r="X1458" i="22"/>
  <c r="Y1458" i="22" s="1"/>
  <c r="AG1458" i="22" l="1"/>
  <c r="F1459" i="22" l="1"/>
  <c r="AK1458" i="22"/>
  <c r="G1459" i="22" s="1"/>
  <c r="T1459" i="22" a="1"/>
  <c r="T1459" i="22" l="1"/>
  <c r="Q1459" i="22" l="1"/>
  <c r="U1459" i="22"/>
  <c r="AE1459" i="22" s="1"/>
  <c r="D1460" i="22" s="1"/>
  <c r="AD1459" i="22"/>
  <c r="C1460" i="22" s="1"/>
  <c r="V1459" i="22"/>
  <c r="AF1459" i="22" s="1"/>
  <c r="E1460" i="22" s="1"/>
  <c r="W1459" i="22" a="1"/>
  <c r="W1459" i="22" l="1"/>
  <c r="P1459" i="22" a="1"/>
  <c r="P1459" i="22" l="1"/>
  <c r="AC1459" i="22"/>
  <c r="B1460" i="22" l="1"/>
  <c r="I1460" i="22"/>
  <c r="R1459" i="22"/>
  <c r="S1459" i="22" s="1"/>
  <c r="K1459" i="22" s="1"/>
  <c r="X1459" i="22" l="1"/>
  <c r="Y1459" i="22" s="1"/>
  <c r="H1460" i="22"/>
  <c r="AG1459" i="22" l="1"/>
  <c r="F1460" i="22" l="1"/>
  <c r="AK1459" i="22"/>
  <c r="G1460" i="22" s="1"/>
  <c r="T1460" i="22" a="1"/>
  <c r="T1460" i="22" l="1"/>
  <c r="Q1460" i="22" l="1"/>
  <c r="U1460" i="22"/>
  <c r="AE1460" i="22" s="1"/>
  <c r="D1461" i="22" s="1"/>
  <c r="V1460" i="22"/>
  <c r="AF1460" i="22" s="1"/>
  <c r="E1461" i="22" s="1"/>
  <c r="AD1460" i="22"/>
  <c r="C1461" i="22" s="1"/>
  <c r="W1460" i="22" a="1"/>
  <c r="W1460" i="22" l="1"/>
  <c r="P1460" i="22" a="1"/>
  <c r="P1460" i="22" l="1"/>
  <c r="AC1460" i="22"/>
  <c r="B1461" i="22" l="1"/>
  <c r="R1460" i="22"/>
  <c r="S1460" i="22" s="1"/>
  <c r="K1460" i="22" s="1"/>
  <c r="I1461" i="22"/>
  <c r="X1460" i="22" l="1"/>
  <c r="Y1460" i="22" s="1"/>
  <c r="H1461" i="22"/>
  <c r="AG1460" i="22" l="1"/>
  <c r="F1461" i="22" l="1"/>
  <c r="AK1460" i="22"/>
  <c r="G1461" i="22" s="1"/>
  <c r="T1461" i="22" a="1"/>
  <c r="T1461" i="22" l="1"/>
  <c r="Q1461" i="22" l="1"/>
  <c r="U1461" i="22"/>
  <c r="AE1461" i="22" s="1"/>
  <c r="D1462" i="22" s="1"/>
  <c r="V1461" i="22"/>
  <c r="AF1461" i="22" s="1"/>
  <c r="E1462" i="22" s="1"/>
  <c r="AD1461" i="22"/>
  <c r="C1462" i="22" s="1"/>
  <c r="W1461" i="22" a="1"/>
  <c r="W1461" i="22" l="1"/>
  <c r="P1461" i="22" a="1"/>
  <c r="P1461" i="22" l="1"/>
  <c r="AC1461" i="22"/>
  <c r="B1462" i="22" l="1"/>
  <c r="I1462" i="22"/>
  <c r="R1461" i="22"/>
  <c r="S1461" i="22" s="1"/>
  <c r="K1461" i="22" s="1"/>
  <c r="X1461" i="22" l="1"/>
  <c r="Y1461" i="22" s="1"/>
  <c r="H1462" i="22"/>
  <c r="AG1461" i="22" l="1"/>
  <c r="F1462" i="22" l="1"/>
  <c r="AK1461" i="22"/>
  <c r="G1462" i="22" s="1"/>
  <c r="T1462" i="22" a="1"/>
  <c r="T1462" i="22" l="1"/>
  <c r="Q1462" i="22" l="1"/>
  <c r="U1462" i="22"/>
  <c r="AE1462" i="22" s="1"/>
  <c r="D1463" i="22" s="1"/>
  <c r="AD1462" i="22"/>
  <c r="C1463" i="22" s="1"/>
  <c r="V1462" i="22"/>
  <c r="AF1462" i="22" s="1"/>
  <c r="E1463" i="22" s="1"/>
  <c r="W1462" i="22" a="1"/>
  <c r="W1462" i="22" l="1"/>
  <c r="P1462" i="22" a="1"/>
  <c r="P1462" i="22" l="1"/>
  <c r="AC1462" i="22"/>
  <c r="R1462" i="22" l="1"/>
  <c r="S1462" i="22" s="1"/>
  <c r="K1462" i="22" s="1"/>
  <c r="I1463" i="22"/>
  <c r="B1463" i="22"/>
  <c r="X1462" i="22" l="1"/>
  <c r="Y1462" i="22" s="1"/>
  <c r="H1463" i="22"/>
  <c r="AG1462" i="22" l="1"/>
  <c r="F1463" i="22" l="1"/>
  <c r="AK1462" i="22"/>
  <c r="G1463" i="22" s="1"/>
  <c r="T1463" i="22" a="1"/>
  <c r="T1463" i="22" l="1"/>
  <c r="Q1463" i="22" l="1"/>
  <c r="V1463" i="22"/>
  <c r="AF1463" i="22" s="1"/>
  <c r="E1464" i="22" s="1"/>
  <c r="U1463" i="22"/>
  <c r="AE1463" i="22" s="1"/>
  <c r="D1464" i="22" s="1"/>
  <c r="AD1463" i="22"/>
  <c r="C1464" i="22" s="1"/>
  <c r="W1463" i="22" a="1"/>
  <c r="W1463" i="22" l="1"/>
  <c r="P1463" i="22" a="1"/>
  <c r="P1463" i="22" l="1"/>
  <c r="AC1463" i="22"/>
  <c r="I1464" i="22" l="1"/>
  <c r="R1463" i="22"/>
  <c r="S1463" i="22" s="1"/>
  <c r="K1463" i="22" s="1"/>
  <c r="B1464" i="22"/>
  <c r="H1464" i="22" l="1"/>
  <c r="X1463" i="22"/>
  <c r="Y1463" i="22" s="1"/>
  <c r="AG1463" i="22" l="1"/>
  <c r="F1464" i="22" l="1"/>
  <c r="AK1463" i="22"/>
  <c r="G1464" i="22" s="1"/>
  <c r="T1464" i="22" a="1"/>
  <c r="T1464" i="22" l="1"/>
  <c r="Q1464" i="22" l="1"/>
  <c r="U1464" i="22"/>
  <c r="AE1464" i="22" s="1"/>
  <c r="D1465" i="22" s="1"/>
  <c r="AD1464" i="22"/>
  <c r="C1465" i="22" s="1"/>
  <c r="V1464" i="22"/>
  <c r="AF1464" i="22" s="1"/>
  <c r="E1465" i="22" s="1"/>
  <c r="W1464" i="22" a="1"/>
  <c r="W1464" i="22" l="1"/>
  <c r="P1464" i="22" a="1"/>
  <c r="P1464" i="22" l="1"/>
  <c r="AC1464" i="22"/>
  <c r="B1465" i="22" l="1"/>
  <c r="I1465" i="22"/>
  <c r="R1464" i="22"/>
  <c r="S1464" i="22" s="1"/>
  <c r="K1464" i="22" s="1"/>
  <c r="X1464" i="22" l="1"/>
  <c r="Y1464" i="22" s="1"/>
  <c r="H1465" i="22"/>
  <c r="AG1464" i="22" l="1"/>
  <c r="F1465" i="22" s="1"/>
  <c r="AK1464" i="22" l="1"/>
  <c r="G1465" i="22" s="1"/>
  <c r="T1465" i="22" a="1"/>
  <c r="T1465" i="22" l="1"/>
  <c r="AD1465" i="22" s="1"/>
  <c r="C1466" i="22" s="1"/>
  <c r="Q1465" i="22"/>
  <c r="V1465" i="22"/>
  <c r="AF1465" i="22" s="1"/>
  <c r="E1466" i="22" s="1"/>
  <c r="U1465" i="22"/>
  <c r="AE1465" i="22" s="1"/>
  <c r="D1466" i="22" s="1"/>
  <c r="W1465" i="22" a="1"/>
  <c r="W1465" i="22" l="1"/>
  <c r="P1465" i="22" a="1"/>
  <c r="P1465" i="22" l="1"/>
  <c r="AC1465" i="22"/>
  <c r="R1465" i="22" l="1"/>
  <c r="S1465" i="22" s="1"/>
  <c r="K1465" i="22" s="1"/>
  <c r="I1466" i="22"/>
  <c r="B1466" i="22"/>
  <c r="X1465" i="22" l="1"/>
  <c r="Y1465" i="22" s="1"/>
  <c r="H1466" i="22"/>
  <c r="AG1465" i="22" l="1"/>
  <c r="AK1465" i="22" s="1"/>
  <c r="G1466" i="22" s="1"/>
  <c r="T1466" i="22" a="1"/>
  <c r="F1466" i="22" l="1"/>
  <c r="T1466" i="22"/>
  <c r="Q1466" i="22" l="1"/>
  <c r="V1466" i="22"/>
  <c r="AF1466" i="22" s="1"/>
  <c r="E1467" i="22" s="1"/>
  <c r="AD1466" i="22"/>
  <c r="C1467" i="22" s="1"/>
  <c r="U1466" i="22"/>
  <c r="AE1466" i="22" s="1"/>
  <c r="D1467" i="22" s="1"/>
  <c r="W1466" i="22" a="1"/>
  <c r="W1466" i="22" l="1"/>
  <c r="P1466" i="22" a="1"/>
  <c r="P1466" i="22" l="1"/>
  <c r="AC1466" i="22"/>
  <c r="R1466" i="22" l="1"/>
  <c r="S1466" i="22" s="1"/>
  <c r="K1466" i="22" s="1"/>
  <c r="I1467" i="22"/>
  <c r="B1467" i="22"/>
  <c r="H1467" i="22" l="1"/>
  <c r="X1466" i="22"/>
  <c r="Y1466" i="22" s="1"/>
  <c r="AG1466" i="22" l="1"/>
  <c r="F1467" i="22" l="1"/>
  <c r="AK1466" i="22"/>
  <c r="G1467" i="22" s="1"/>
  <c r="T1467" i="22" a="1"/>
  <c r="T1467" i="22" l="1"/>
  <c r="Q1467" i="22" l="1"/>
  <c r="V1467" i="22"/>
  <c r="AF1467" i="22" s="1"/>
  <c r="E1468" i="22" s="1"/>
  <c r="U1467" i="22"/>
  <c r="AE1467" i="22" s="1"/>
  <c r="D1468" i="22" s="1"/>
  <c r="AD1467" i="22"/>
  <c r="C1468" i="22" s="1"/>
  <c r="W1467" i="22" a="1"/>
  <c r="W1467" i="22" l="1"/>
  <c r="P1467" i="22" a="1"/>
  <c r="P1467" i="22" l="1"/>
  <c r="AC1467" i="22"/>
  <c r="R1467" i="22" l="1"/>
  <c r="S1467" i="22" s="1"/>
  <c r="K1467" i="22" s="1"/>
  <c r="I1468" i="22"/>
  <c r="B1468" i="22"/>
  <c r="X1467" i="22" l="1"/>
  <c r="Y1467" i="22" s="1"/>
  <c r="H1468" i="22"/>
  <c r="AG1467" i="22" l="1"/>
  <c r="F1468" i="22" l="1"/>
  <c r="AK1467" i="22"/>
  <c r="G1468" i="22" s="1"/>
  <c r="T1468" i="22" a="1"/>
  <c r="T1468" i="22" l="1"/>
  <c r="Q1468" i="22" l="1"/>
  <c r="AD1468" i="22"/>
  <c r="C1469" i="22" s="1"/>
  <c r="V1468" i="22"/>
  <c r="AF1468" i="22" s="1"/>
  <c r="E1469" i="22" s="1"/>
  <c r="U1468" i="22"/>
  <c r="AE1468" i="22" s="1"/>
  <c r="D1469" i="22" s="1"/>
  <c r="W1468" i="22" a="1"/>
  <c r="W1468" i="22" l="1"/>
  <c r="P1468" i="22" a="1"/>
  <c r="P1468" i="22" l="1"/>
  <c r="AC1468" i="22"/>
  <c r="B1469" i="22" l="1"/>
  <c r="I1469" i="22"/>
  <c r="H1469" i="22" s="1"/>
  <c r="R1468" i="22"/>
  <c r="S1468" i="22" s="1"/>
  <c r="K1468" i="22" s="1"/>
  <c r="X1468" i="22" l="1"/>
  <c r="Y1468" i="22" s="1"/>
  <c r="AG1468" i="22" l="1"/>
  <c r="F1469" i="22" l="1"/>
  <c r="AK1468" i="22"/>
  <c r="G1469" i="22" s="1"/>
  <c r="T1469" i="22" a="1"/>
  <c r="T1469" i="22" l="1"/>
  <c r="Q1469" i="22" l="1"/>
  <c r="AD1469" i="22"/>
  <c r="C1470" i="22" s="1"/>
  <c r="V1469" i="22"/>
  <c r="AF1469" i="22" s="1"/>
  <c r="E1470" i="22" s="1"/>
  <c r="U1469" i="22"/>
  <c r="AE1469" i="22" s="1"/>
  <c r="D1470" i="22" s="1"/>
  <c r="W1469" i="22" a="1"/>
  <c r="W1469" i="22" l="1"/>
  <c r="P1469" i="22" a="1"/>
  <c r="P1469" i="22" l="1"/>
  <c r="AC1469" i="22"/>
  <c r="I1470" i="22" l="1"/>
  <c r="R1469" i="22"/>
  <c r="S1469" i="22" s="1"/>
  <c r="K1469" i="22" s="1"/>
  <c r="B1470" i="22"/>
  <c r="X1469" i="22" l="1"/>
  <c r="Y1469" i="22" s="1"/>
  <c r="H1470" i="22"/>
  <c r="AG1469" i="22" l="1"/>
  <c r="F1470" i="22" l="1"/>
  <c r="AK1469" i="22"/>
  <c r="G1470" i="22" s="1"/>
  <c r="T1470" i="22" a="1"/>
  <c r="T1470" i="22" l="1"/>
  <c r="Q1470" i="22" l="1"/>
  <c r="U1470" i="22"/>
  <c r="AE1470" i="22" s="1"/>
  <c r="D1471" i="22" s="1"/>
  <c r="V1470" i="22"/>
  <c r="AF1470" i="22" s="1"/>
  <c r="E1471" i="22" s="1"/>
  <c r="AD1470" i="22"/>
  <c r="C1471" i="22" s="1"/>
  <c r="W1470" i="22" a="1"/>
  <c r="W1470" i="22" l="1"/>
  <c r="P1470" i="22" a="1"/>
  <c r="P1470" i="22" l="1"/>
  <c r="AC1470" i="22"/>
  <c r="B1471" i="22" l="1"/>
  <c r="I1471" i="22"/>
  <c r="R1470" i="22"/>
  <c r="S1470" i="22" s="1"/>
  <c r="K1470" i="22" s="1"/>
  <c r="H1471" i="22" l="1"/>
  <c r="X1470" i="22"/>
  <c r="Y1470" i="22" s="1"/>
  <c r="AG1470" i="22" l="1"/>
  <c r="F1471" i="22" l="1"/>
  <c r="AK1470" i="22"/>
  <c r="G1471" i="22" s="1"/>
  <c r="T1471" i="22" a="1"/>
  <c r="T1471" i="22" l="1"/>
  <c r="Q1471" i="22" l="1"/>
  <c r="V1471" i="22"/>
  <c r="AF1471" i="22" s="1"/>
  <c r="E1472" i="22" s="1"/>
  <c r="AD1471" i="22"/>
  <c r="C1472" i="22" s="1"/>
  <c r="U1471" i="22"/>
  <c r="AE1471" i="22" s="1"/>
  <c r="D1472" i="22" s="1"/>
  <c r="W1471" i="22" a="1"/>
  <c r="W1471" i="22" l="1"/>
  <c r="P1471" i="22" a="1"/>
  <c r="P1471" i="22" l="1"/>
  <c r="AC1471" i="22"/>
  <c r="B1472" i="22" l="1"/>
  <c r="I1472" i="22"/>
  <c r="R1471" i="22"/>
  <c r="S1471" i="22" s="1"/>
  <c r="K1471" i="22" s="1"/>
  <c r="X1471" i="22" l="1"/>
  <c r="Y1471" i="22" s="1"/>
  <c r="H1472" i="22"/>
  <c r="AG1471" i="22" l="1"/>
  <c r="F1472" i="22" l="1"/>
  <c r="AK1471" i="22"/>
  <c r="G1472" i="22" s="1"/>
  <c r="T1472" i="22" a="1"/>
  <c r="T1472" i="22" l="1"/>
  <c r="Q1472" i="22" l="1"/>
  <c r="AD1472" i="22"/>
  <c r="C1473" i="22" s="1"/>
  <c r="V1472" i="22"/>
  <c r="AF1472" i="22" s="1"/>
  <c r="E1473" i="22" s="1"/>
  <c r="U1472" i="22"/>
  <c r="AE1472" i="22" s="1"/>
  <c r="D1473" i="22" s="1"/>
  <c r="W1472" i="22" a="1"/>
  <c r="W1472" i="22" l="1"/>
  <c r="P1472" i="22" a="1"/>
  <c r="P1472" i="22" l="1"/>
  <c r="AC1472" i="22"/>
  <c r="B1473" i="22" l="1"/>
  <c r="R1472" i="22"/>
  <c r="S1472" i="22" s="1"/>
  <c r="K1472" i="22" s="1"/>
  <c r="I1473" i="22"/>
  <c r="X1472" i="22" l="1"/>
  <c r="Y1472" i="22" s="1"/>
  <c r="H1473" i="22"/>
  <c r="AG1472" i="22" l="1"/>
  <c r="F1473" i="22" l="1"/>
  <c r="AK1472" i="22"/>
  <c r="G1473" i="22" s="1"/>
  <c r="T1473" i="22" a="1"/>
  <c r="T1473" i="22" l="1"/>
  <c r="Q1473" i="22" l="1"/>
  <c r="V1473" i="22"/>
  <c r="AF1473" i="22" s="1"/>
  <c r="E1474" i="22" s="1"/>
  <c r="U1473" i="22"/>
  <c r="AE1473" i="22" s="1"/>
  <c r="D1474" i="22" s="1"/>
  <c r="AD1473" i="22"/>
  <c r="C1474" i="22" s="1"/>
  <c r="W1473" i="22" a="1"/>
  <c r="W1473" i="22" l="1"/>
  <c r="P1473" i="22" a="1"/>
  <c r="P1473" i="22" l="1"/>
  <c r="AC1473" i="22"/>
  <c r="B1474" i="22" l="1"/>
  <c r="I1474" i="22"/>
  <c r="R1473" i="22"/>
  <c r="S1473" i="22" s="1"/>
  <c r="K1473" i="22" s="1"/>
  <c r="H1474" i="22" l="1"/>
  <c r="X1473" i="22"/>
  <c r="Y1473" i="22" s="1"/>
  <c r="AG1473" i="22" l="1"/>
  <c r="AK1473" i="22" s="1"/>
  <c r="G1474" i="22" s="1"/>
  <c r="T1474" i="22" a="1"/>
  <c r="F1474" i="22" l="1"/>
  <c r="T1474" i="22"/>
  <c r="Q1474" i="22" l="1"/>
  <c r="V1474" i="22"/>
  <c r="AF1474" i="22" s="1"/>
  <c r="E1475" i="22" s="1"/>
  <c r="AD1474" i="22"/>
  <c r="C1475" i="22" s="1"/>
  <c r="U1474" i="22"/>
  <c r="AE1474" i="22" s="1"/>
  <c r="D1475" i="22" s="1"/>
  <c r="W1474" i="22" a="1"/>
  <c r="W1474" i="22" l="1"/>
  <c r="P1474" i="22" a="1"/>
  <c r="P1474" i="22" l="1"/>
  <c r="AC1474" i="22"/>
  <c r="B1475" i="22" l="1"/>
  <c r="I1475" i="22"/>
  <c r="R1474" i="22"/>
  <c r="S1474" i="22" s="1"/>
  <c r="K1474" i="22" s="1"/>
  <c r="X1474" i="22" l="1"/>
  <c r="Y1474" i="22" s="1"/>
  <c r="H1475" i="22"/>
  <c r="AG1474" i="22" l="1"/>
  <c r="F1475" i="22" l="1"/>
  <c r="AK1474" i="22"/>
  <c r="G1475" i="22" s="1"/>
  <c r="T1475" i="22" a="1"/>
  <c r="T1475" i="22" l="1"/>
  <c r="Q1475" i="22" l="1"/>
  <c r="V1475" i="22"/>
  <c r="AF1475" i="22" s="1"/>
  <c r="E1476" i="22" s="1"/>
  <c r="AD1475" i="22"/>
  <c r="C1476" i="22" s="1"/>
  <c r="U1475" i="22"/>
  <c r="AE1475" i="22" s="1"/>
  <c r="D1476" i="22" s="1"/>
  <c r="W1475" i="22" a="1"/>
  <c r="W1475" i="22" l="1"/>
  <c r="P1475" i="22" a="1"/>
  <c r="P1475" i="22" l="1"/>
  <c r="AC1475" i="22"/>
  <c r="B1476" i="22" l="1"/>
  <c r="R1475" i="22"/>
  <c r="S1475" i="22" s="1"/>
  <c r="K1475" i="22" s="1"/>
  <c r="I1476" i="22"/>
  <c r="X1475" i="22" l="1"/>
  <c r="Y1475" i="22" s="1"/>
  <c r="H1476" i="22"/>
  <c r="AG1475" i="22" l="1"/>
  <c r="F1476" i="22" l="1"/>
  <c r="AK1475" i="22"/>
  <c r="G1476" i="22" s="1"/>
  <c r="T1476" i="22" a="1"/>
  <c r="T1476" i="22" l="1"/>
  <c r="Q1476" i="22" l="1"/>
  <c r="V1476" i="22"/>
  <c r="AF1476" i="22" s="1"/>
  <c r="E1477" i="22" s="1"/>
  <c r="AD1476" i="22"/>
  <c r="C1477" i="22" s="1"/>
  <c r="U1476" i="22"/>
  <c r="AE1476" i="22" s="1"/>
  <c r="D1477" i="22" s="1"/>
  <c r="W1476" i="22" a="1"/>
  <c r="W1476" i="22" l="1"/>
  <c r="P1476" i="22" a="1"/>
  <c r="P1476" i="22" l="1"/>
  <c r="AC1476" i="22"/>
  <c r="R1476" i="22" l="1"/>
  <c r="S1476" i="22" s="1"/>
  <c r="K1476" i="22" s="1"/>
  <c r="I1477" i="22"/>
  <c r="B1477" i="22"/>
  <c r="X1476" i="22" l="1"/>
  <c r="Y1476" i="22" s="1"/>
  <c r="H1477" i="22"/>
  <c r="AG1476" i="22" l="1"/>
  <c r="F1477" i="22" l="1"/>
  <c r="AK1476" i="22"/>
  <c r="G1477" i="22" s="1"/>
  <c r="T1477" i="22" a="1"/>
  <c r="T1477" i="22" l="1"/>
  <c r="Q1477" i="22" l="1"/>
  <c r="U1477" i="22"/>
  <c r="AE1477" i="22" s="1"/>
  <c r="D1478" i="22" s="1"/>
  <c r="V1477" i="22"/>
  <c r="AF1477" i="22" s="1"/>
  <c r="E1478" i="22" s="1"/>
  <c r="AD1477" i="22"/>
  <c r="C1478" i="22" s="1"/>
  <c r="W1477" i="22" a="1"/>
  <c r="W1477" i="22" l="1"/>
  <c r="P1477" i="22" a="1"/>
  <c r="P1477" i="22" l="1"/>
  <c r="AC1477" i="22"/>
  <c r="B1478" i="22" l="1"/>
  <c r="I1478" i="22"/>
  <c r="R1477" i="22"/>
  <c r="S1477" i="22" s="1"/>
  <c r="K1477" i="22" s="1"/>
  <c r="X1477" i="22" l="1"/>
  <c r="Y1477" i="22" s="1"/>
  <c r="H1478" i="22"/>
  <c r="AG1477" i="22" l="1"/>
  <c r="F1478" i="22" l="1"/>
  <c r="AK1477" i="22"/>
  <c r="G1478" i="22" s="1"/>
  <c r="T1478" i="22" a="1"/>
  <c r="T1478" i="22" l="1"/>
  <c r="Q1478" i="22" l="1"/>
  <c r="AD1478" i="22"/>
  <c r="C1479" i="22" s="1"/>
  <c r="V1478" i="22"/>
  <c r="AF1478" i="22" s="1"/>
  <c r="E1479" i="22" s="1"/>
  <c r="U1478" i="22"/>
  <c r="AE1478" i="22" s="1"/>
  <c r="D1479" i="22" s="1"/>
  <c r="W1478" i="22" a="1"/>
  <c r="W1478" i="22" l="1"/>
  <c r="P1478" i="22" a="1"/>
  <c r="P1478" i="22" l="1"/>
  <c r="AC1478" i="22"/>
  <c r="R1478" i="22" l="1"/>
  <c r="S1478" i="22" s="1"/>
  <c r="K1478" i="22" s="1"/>
  <c r="I1479" i="22"/>
  <c r="B1479" i="22"/>
  <c r="H1479" i="22" l="1"/>
  <c r="X1478" i="22"/>
  <c r="Y1478" i="22" s="1"/>
  <c r="AG1478" i="22" l="1"/>
  <c r="AK1478" i="22" s="1"/>
  <c r="G1479" i="22" s="1"/>
  <c r="T1479" i="22" a="1"/>
  <c r="F1479" i="22" l="1"/>
  <c r="T1479" i="22"/>
  <c r="Q1479" i="22" l="1"/>
  <c r="AD1479" i="22"/>
  <c r="C1480" i="22" s="1"/>
  <c r="V1479" i="22"/>
  <c r="AF1479" i="22" s="1"/>
  <c r="E1480" i="22" s="1"/>
  <c r="U1479" i="22"/>
  <c r="AE1479" i="22" s="1"/>
  <c r="D1480" i="22" s="1"/>
  <c r="W1479" i="22" a="1"/>
  <c r="W1479" i="22" l="1"/>
  <c r="P1479" i="22" a="1"/>
  <c r="P1479" i="22" l="1"/>
  <c r="AC1479" i="22"/>
  <c r="B1480" i="22" l="1"/>
  <c r="I1480" i="22"/>
  <c r="R1479" i="22"/>
  <c r="S1479" i="22" s="1"/>
  <c r="K1479" i="22" s="1"/>
  <c r="X1479" i="22" l="1"/>
  <c r="Y1479" i="22" s="1"/>
  <c r="H1480" i="22"/>
  <c r="AG1479" i="22" l="1"/>
  <c r="F1480" i="22" l="1"/>
  <c r="AK1479" i="22"/>
  <c r="G1480" i="22" s="1"/>
  <c r="T1480" i="22" a="1"/>
  <c r="T1480" i="22" l="1"/>
  <c r="Q1480" i="22" l="1"/>
  <c r="U1480" i="22"/>
  <c r="AE1480" i="22" s="1"/>
  <c r="D1481" i="22" s="1"/>
  <c r="AD1480" i="22"/>
  <c r="C1481" i="22" s="1"/>
  <c r="V1480" i="22"/>
  <c r="AF1480" i="22" s="1"/>
  <c r="E1481" i="22" s="1"/>
  <c r="W1480" i="22" a="1"/>
  <c r="W1480" i="22" l="1"/>
  <c r="P1480" i="22" a="1"/>
  <c r="P1480" i="22" l="1"/>
  <c r="AC1480" i="22"/>
  <c r="B1481" i="22" l="1"/>
  <c r="I1481" i="22"/>
  <c r="R1480" i="22"/>
  <c r="S1480" i="22" s="1"/>
  <c r="K1480" i="22" s="1"/>
  <c r="X1480" i="22" l="1"/>
  <c r="Y1480" i="22" s="1"/>
  <c r="H1481" i="22"/>
  <c r="AG1480" i="22" l="1"/>
  <c r="F1481" i="22" l="1"/>
  <c r="AK1480" i="22"/>
  <c r="G1481" i="22" s="1"/>
  <c r="T1481" i="22" a="1"/>
  <c r="T1481" i="22" l="1"/>
  <c r="Q1481" i="22" l="1"/>
  <c r="V1481" i="22"/>
  <c r="AF1481" i="22" s="1"/>
  <c r="E1482" i="22" s="1"/>
  <c r="AD1481" i="22"/>
  <c r="C1482" i="22" s="1"/>
  <c r="U1481" i="22"/>
  <c r="AE1481" i="22" s="1"/>
  <c r="D1482" i="22" s="1"/>
  <c r="W1481" i="22" a="1"/>
  <c r="W1481" i="22" l="1"/>
  <c r="P1481" i="22" a="1"/>
  <c r="P1481" i="22" l="1"/>
  <c r="AC1481" i="22"/>
  <c r="B1482" i="22" l="1"/>
  <c r="I1482" i="22"/>
  <c r="R1481" i="22"/>
  <c r="S1481" i="22" s="1"/>
  <c r="K1481" i="22" s="1"/>
  <c r="X1481" i="22" l="1"/>
  <c r="Y1481" i="22" s="1"/>
  <c r="H1482" i="22"/>
  <c r="AG1481" i="22" l="1"/>
  <c r="F1482" i="22" l="1"/>
  <c r="AK1481" i="22"/>
  <c r="G1482" i="22" s="1"/>
  <c r="T1482" i="22" a="1"/>
  <c r="T1482" i="22" l="1"/>
  <c r="Q1482" i="22" l="1"/>
  <c r="V1482" i="22"/>
  <c r="AF1482" i="22" s="1"/>
  <c r="E1483" i="22" s="1"/>
  <c r="AD1482" i="22"/>
  <c r="C1483" i="22" s="1"/>
  <c r="U1482" i="22"/>
  <c r="AE1482" i="22" s="1"/>
  <c r="D1483" i="22" s="1"/>
  <c r="W1482" i="22" a="1"/>
  <c r="W1482" i="22" l="1"/>
  <c r="P1482" i="22" a="1"/>
  <c r="P1482" i="22" l="1"/>
  <c r="AC1482" i="22"/>
  <c r="R1482" i="22" l="1"/>
  <c r="S1482" i="22" s="1"/>
  <c r="K1482" i="22" s="1"/>
  <c r="I1483" i="22"/>
  <c r="B1483" i="22"/>
  <c r="H1483" i="22" l="1"/>
  <c r="X1482" i="22"/>
  <c r="Y1482" i="22" s="1"/>
  <c r="AG1482" i="22" l="1"/>
  <c r="F1483" i="22" l="1"/>
  <c r="AK1482" i="22"/>
  <c r="G1483" i="22" s="1"/>
  <c r="T1483" i="22" a="1"/>
  <c r="T1483" i="22" l="1"/>
  <c r="Q1483" i="22" l="1"/>
  <c r="U1483" i="22"/>
  <c r="AE1483" i="22" s="1"/>
  <c r="D1484" i="22" s="1"/>
  <c r="AD1483" i="22"/>
  <c r="C1484" i="22" s="1"/>
  <c r="V1483" i="22"/>
  <c r="AF1483" i="22" s="1"/>
  <c r="E1484" i="22" s="1"/>
  <c r="W1483" i="22" a="1"/>
  <c r="W1483" i="22" l="1"/>
  <c r="P1483" i="22" a="1"/>
  <c r="P1483" i="22" l="1"/>
  <c r="AC1483" i="22"/>
  <c r="R1483" i="22" l="1"/>
  <c r="S1483" i="22" s="1"/>
  <c r="K1483" i="22" s="1"/>
  <c r="I1484" i="22"/>
  <c r="B1484" i="22"/>
  <c r="H1484" i="22" l="1"/>
  <c r="X1483" i="22"/>
  <c r="Y1483" i="22" s="1"/>
  <c r="AG1483" i="22" l="1"/>
  <c r="F1484" i="22" l="1"/>
  <c r="AK1483" i="22"/>
  <c r="G1484" i="22" s="1"/>
  <c r="T1484" i="22" a="1"/>
  <c r="T1484" i="22" l="1"/>
  <c r="Q1484" i="22" l="1"/>
  <c r="U1484" i="22"/>
  <c r="AE1484" i="22" s="1"/>
  <c r="D1485" i="22" s="1"/>
  <c r="AD1484" i="22"/>
  <c r="C1485" i="22" s="1"/>
  <c r="V1484" i="22"/>
  <c r="AF1484" i="22" s="1"/>
  <c r="E1485" i="22" s="1"/>
  <c r="W1484" i="22" a="1"/>
  <c r="W1484" i="22" l="1"/>
  <c r="P1484" i="22" a="1"/>
  <c r="P1484" i="22" l="1"/>
  <c r="AC1484" i="22"/>
  <c r="B1485" i="22" l="1"/>
  <c r="R1484" i="22"/>
  <c r="S1484" i="22" s="1"/>
  <c r="K1484" i="22" s="1"/>
  <c r="I1485" i="22"/>
  <c r="X1484" i="22" l="1"/>
  <c r="Y1484" i="22" s="1"/>
  <c r="H1485" i="22"/>
  <c r="AG1484" i="22" l="1"/>
  <c r="F1485" i="22" l="1"/>
  <c r="AK1484" i="22"/>
  <c r="G1485" i="22" s="1"/>
  <c r="T1485" i="22" a="1"/>
  <c r="T1485" i="22" l="1"/>
  <c r="Q1485" i="22" l="1"/>
  <c r="U1485" i="22"/>
  <c r="AE1485" i="22" s="1"/>
  <c r="D1486" i="22" s="1"/>
  <c r="AD1485" i="22"/>
  <c r="C1486" i="22" s="1"/>
  <c r="V1485" i="22"/>
  <c r="AF1485" i="22" s="1"/>
  <c r="E1486" i="22" s="1"/>
  <c r="W1485" i="22" a="1"/>
  <c r="W1485" i="22" l="1"/>
  <c r="P1485" i="22" a="1"/>
  <c r="P1485" i="22" l="1"/>
  <c r="AC1485" i="22"/>
  <c r="B1486" i="22" l="1"/>
  <c r="I1486" i="22"/>
  <c r="R1485" i="22"/>
  <c r="S1485" i="22" s="1"/>
  <c r="K1485" i="22" s="1"/>
  <c r="X1485" i="22" l="1"/>
  <c r="Y1485" i="22" s="1"/>
  <c r="H1486" i="22"/>
  <c r="AG1485" i="22" l="1"/>
  <c r="F1486" i="22" l="1"/>
  <c r="AK1485" i="22"/>
  <c r="G1486" i="22" s="1"/>
  <c r="T1486" i="22" a="1"/>
  <c r="T1486" i="22" l="1"/>
  <c r="Q1486" i="22" l="1"/>
  <c r="V1486" i="22"/>
  <c r="AF1486" i="22" s="1"/>
  <c r="E1487" i="22" s="1"/>
  <c r="AD1486" i="22"/>
  <c r="C1487" i="22" s="1"/>
  <c r="U1486" i="22"/>
  <c r="AE1486" i="22" s="1"/>
  <c r="D1487" i="22" s="1"/>
  <c r="W1486" i="22" a="1"/>
  <c r="W1486" i="22" l="1"/>
  <c r="P1486" i="22" a="1"/>
  <c r="P1486" i="22" l="1"/>
  <c r="AC1486" i="22"/>
  <c r="I1487" i="22" l="1"/>
  <c r="H1487" i="22" s="1"/>
  <c r="R1486" i="22"/>
  <c r="S1486" i="22" s="1"/>
  <c r="K1486" i="22" s="1"/>
  <c r="B1487" i="22"/>
  <c r="X1486" i="22" l="1"/>
  <c r="Y1486" i="22" s="1"/>
  <c r="AG1486" i="22" l="1"/>
  <c r="F1487" i="22" l="1"/>
  <c r="AK1486" i="22"/>
  <c r="G1487" i="22" s="1"/>
  <c r="T1487" i="22" a="1"/>
  <c r="T1487" i="22" l="1"/>
  <c r="Q1487" i="22" l="1"/>
  <c r="AD1487" i="22"/>
  <c r="C1488" i="22" s="1"/>
  <c r="U1487" i="22"/>
  <c r="AE1487" i="22" s="1"/>
  <c r="D1488" i="22" s="1"/>
  <c r="V1487" i="22"/>
  <c r="AF1487" i="22" s="1"/>
  <c r="E1488" i="22" s="1"/>
  <c r="W1487" i="22" a="1"/>
  <c r="W1487" i="22" l="1"/>
  <c r="P1487" i="22" a="1"/>
  <c r="P1487" i="22" l="1"/>
  <c r="AC1487" i="22"/>
  <c r="B1488" i="22" l="1"/>
  <c r="I1488" i="22"/>
  <c r="R1487" i="22"/>
  <c r="S1487" i="22" s="1"/>
  <c r="K1487" i="22" s="1"/>
  <c r="H1488" i="22" l="1"/>
  <c r="X1487" i="22"/>
  <c r="Y1487" i="22" s="1"/>
  <c r="AG1487" i="22" l="1"/>
  <c r="F1488" i="22" l="1"/>
  <c r="AK1487" i="22"/>
  <c r="G1488" i="22" s="1"/>
  <c r="T1488" i="22" a="1"/>
  <c r="T1488" i="22" l="1"/>
  <c r="Q1488" i="22" l="1"/>
  <c r="V1488" i="22"/>
  <c r="AF1488" i="22" s="1"/>
  <c r="E1489" i="22" s="1"/>
  <c r="U1488" i="22"/>
  <c r="AE1488" i="22" s="1"/>
  <c r="D1489" i="22" s="1"/>
  <c r="AD1488" i="22"/>
  <c r="C1489" i="22" s="1"/>
  <c r="W1488" i="22" a="1"/>
  <c r="W1488" i="22" l="1"/>
  <c r="P1488" i="22" a="1"/>
  <c r="P1488" i="22" l="1"/>
  <c r="AC1488" i="22"/>
  <c r="I1489" i="22" l="1"/>
  <c r="R1488" i="22"/>
  <c r="S1488" i="22" s="1"/>
  <c r="K1488" i="22" s="1"/>
  <c r="B1489" i="22"/>
  <c r="H1489" i="22" l="1"/>
  <c r="X1488" i="22"/>
  <c r="Y1488" i="22" s="1"/>
  <c r="AG1488" i="22" l="1"/>
  <c r="AK1488" i="22" s="1"/>
  <c r="G1489" i="22" s="1"/>
  <c r="T1489" i="22" a="1"/>
  <c r="F1489" i="22" l="1"/>
  <c r="T1489" i="22"/>
  <c r="Q1489" i="22" l="1"/>
  <c r="U1489" i="22"/>
  <c r="AE1489" i="22" s="1"/>
  <c r="D1490" i="22" s="1"/>
  <c r="V1489" i="22"/>
  <c r="AF1489" i="22" s="1"/>
  <c r="E1490" i="22" s="1"/>
  <c r="AD1489" i="22"/>
  <c r="C1490" i="22" s="1"/>
  <c r="W1489" i="22" a="1"/>
  <c r="W1489" i="22" l="1"/>
  <c r="P1489" i="22" a="1"/>
  <c r="P1489" i="22" l="1"/>
  <c r="AC1489" i="22"/>
  <c r="B1490" i="22" l="1"/>
  <c r="R1489" i="22"/>
  <c r="S1489" i="22" s="1"/>
  <c r="K1489" i="22" s="1"/>
  <c r="I1490" i="22"/>
  <c r="X1489" i="22" l="1"/>
  <c r="Y1489" i="22" s="1"/>
  <c r="H1490" i="22"/>
  <c r="AG1489" i="22" l="1"/>
  <c r="F1490" i="22" l="1"/>
  <c r="AK1489" i="22"/>
  <c r="G1490" i="22" s="1"/>
  <c r="T1490" i="22" a="1"/>
  <c r="T1490" i="22" l="1"/>
  <c r="Q1490" i="22" l="1"/>
  <c r="V1490" i="22"/>
  <c r="AF1490" i="22" s="1"/>
  <c r="E1491" i="22" s="1"/>
  <c r="AD1490" i="22"/>
  <c r="C1491" i="22" s="1"/>
  <c r="U1490" i="22"/>
  <c r="AE1490" i="22" s="1"/>
  <c r="D1491" i="22" s="1"/>
  <c r="W1490" i="22" a="1"/>
  <c r="W1490" i="22" l="1"/>
  <c r="P1490" i="22" a="1"/>
  <c r="P1490" i="22" l="1"/>
  <c r="AC1490" i="22"/>
  <c r="B1491" i="22" l="1"/>
  <c r="R1490" i="22"/>
  <c r="S1490" i="22" s="1"/>
  <c r="K1490" i="22" s="1"/>
  <c r="I1491" i="22"/>
  <c r="H1491" i="22" l="1"/>
  <c r="X1490" i="22"/>
  <c r="Y1490" i="22" s="1"/>
  <c r="AG1490" i="22" l="1"/>
  <c r="F1491" i="22" l="1"/>
  <c r="AK1490" i="22"/>
  <c r="G1491" i="22" s="1"/>
  <c r="T1491" i="22" a="1"/>
  <c r="T1491" i="22" l="1"/>
  <c r="Q1491" i="22" l="1"/>
  <c r="V1491" i="22"/>
  <c r="AF1491" i="22" s="1"/>
  <c r="E1492" i="22" s="1"/>
  <c r="AD1491" i="22"/>
  <c r="C1492" i="22" s="1"/>
  <c r="U1491" i="22"/>
  <c r="AE1491" i="22" s="1"/>
  <c r="D1492" i="22" s="1"/>
  <c r="W1491" i="22" a="1"/>
  <c r="W1491" i="22" l="1"/>
  <c r="P1491" i="22" a="1"/>
  <c r="P1491" i="22" l="1"/>
  <c r="AC1491" i="22"/>
  <c r="B1492" i="22" l="1"/>
  <c r="I1492" i="22"/>
  <c r="R1491" i="22"/>
  <c r="S1491" i="22" s="1"/>
  <c r="K1491" i="22" s="1"/>
  <c r="X1491" i="22" l="1"/>
  <c r="Y1491" i="22" s="1"/>
  <c r="H1492" i="22"/>
  <c r="AG1491" i="22" l="1"/>
  <c r="F1492" i="22" l="1"/>
  <c r="AK1491" i="22"/>
  <c r="G1492" i="22" s="1"/>
  <c r="T1492" i="22" a="1"/>
  <c r="T1492" i="22" l="1"/>
  <c r="Q1492" i="22" l="1"/>
  <c r="U1492" i="22"/>
  <c r="AE1492" i="22" s="1"/>
  <c r="D1493" i="22" s="1"/>
  <c r="AD1492" i="22"/>
  <c r="C1493" i="22" s="1"/>
  <c r="V1492" i="22"/>
  <c r="AF1492" i="22" s="1"/>
  <c r="E1493" i="22" s="1"/>
  <c r="W1492" i="22" a="1"/>
  <c r="W1492" i="22" l="1"/>
  <c r="P1492" i="22" a="1"/>
  <c r="P1492" i="22" l="1"/>
  <c r="AC1492" i="22"/>
  <c r="B1493" i="22" l="1"/>
  <c r="I1493" i="22"/>
  <c r="R1492" i="22"/>
  <c r="S1492" i="22" s="1"/>
  <c r="K1492" i="22" s="1"/>
  <c r="X1492" i="22" l="1"/>
  <c r="Y1492" i="22" s="1"/>
  <c r="H1493" i="22"/>
  <c r="AG1492" i="22" l="1"/>
  <c r="F1493" i="22" l="1"/>
  <c r="AK1492" i="22"/>
  <c r="G1493" i="22" s="1"/>
  <c r="T1493" i="22" a="1"/>
  <c r="T1493" i="22" l="1"/>
  <c r="Q1493" i="22" l="1"/>
  <c r="V1493" i="22"/>
  <c r="AF1493" i="22" s="1"/>
  <c r="E1494" i="22" s="1"/>
  <c r="AD1493" i="22"/>
  <c r="C1494" i="22" s="1"/>
  <c r="U1493" i="22"/>
  <c r="AE1493" i="22" s="1"/>
  <c r="D1494" i="22" s="1"/>
  <c r="W1493" i="22" a="1"/>
  <c r="W1493" i="22" l="1"/>
  <c r="P1493" i="22" a="1"/>
  <c r="P1493" i="22" l="1"/>
  <c r="AC1493" i="22"/>
  <c r="I1494" i="22" l="1"/>
  <c r="R1493" i="22"/>
  <c r="S1493" i="22" s="1"/>
  <c r="K1493" i="22" s="1"/>
  <c r="B1494" i="22"/>
  <c r="X1493" i="22" l="1"/>
  <c r="Y1493" i="22" s="1"/>
  <c r="H1494" i="22"/>
  <c r="AG1493" i="22" l="1"/>
  <c r="F1494" i="22" l="1"/>
  <c r="AK1493" i="22"/>
  <c r="G1494" i="22" s="1"/>
  <c r="T1494" i="22" a="1"/>
  <c r="T1494" i="22" l="1"/>
  <c r="Q1494" i="22" l="1"/>
  <c r="U1494" i="22"/>
  <c r="AE1494" i="22" s="1"/>
  <c r="D1495" i="22" s="1"/>
  <c r="V1494" i="22"/>
  <c r="AF1494" i="22" s="1"/>
  <c r="E1495" i="22" s="1"/>
  <c r="AD1494" i="22"/>
  <c r="C1495" i="22" s="1"/>
  <c r="W1494" i="22" a="1"/>
  <c r="W1494" i="22" l="1"/>
  <c r="P1494" i="22" a="1"/>
  <c r="P1494" i="22" l="1"/>
  <c r="AC1494" i="22"/>
  <c r="B1495" i="22" l="1"/>
  <c r="I1495" i="22"/>
  <c r="R1494" i="22"/>
  <c r="S1494" i="22" s="1"/>
  <c r="K1494" i="22" s="1"/>
  <c r="H1495" i="22" l="1"/>
  <c r="X1494" i="22"/>
  <c r="Y1494" i="22" s="1"/>
  <c r="AG1494" i="22" l="1"/>
  <c r="F1495" i="22" l="1"/>
  <c r="AK1494" i="22"/>
  <c r="G1495" i="22" s="1"/>
  <c r="T1495" i="22" a="1"/>
  <c r="T1495" i="22" l="1"/>
  <c r="Q1495" i="22" l="1"/>
  <c r="U1495" i="22"/>
  <c r="AE1495" i="22" s="1"/>
  <c r="D1496" i="22" s="1"/>
  <c r="AD1495" i="22"/>
  <c r="C1496" i="22" s="1"/>
  <c r="V1495" i="22"/>
  <c r="AF1495" i="22" s="1"/>
  <c r="E1496" i="22" s="1"/>
  <c r="W1495" i="22" a="1"/>
  <c r="W1495" i="22" l="1"/>
  <c r="P1495" i="22" a="1"/>
  <c r="P1495" i="22" l="1"/>
  <c r="AC1495" i="22"/>
  <c r="B1496" i="22" l="1"/>
  <c r="R1495" i="22"/>
  <c r="S1495" i="22" s="1"/>
  <c r="K1495" i="22" s="1"/>
  <c r="I1496" i="22"/>
  <c r="X1495" i="22" l="1"/>
  <c r="Y1495" i="22" s="1"/>
  <c r="H1496" i="22"/>
  <c r="AG1495" i="22" l="1"/>
  <c r="F1496" i="22" l="1"/>
  <c r="AK1495" i="22"/>
  <c r="G1496" i="22" s="1"/>
  <c r="T1496" i="22" a="1"/>
  <c r="T1496" i="22" l="1"/>
  <c r="Q1496" i="22" l="1"/>
  <c r="V1496" i="22"/>
  <c r="AF1496" i="22" s="1"/>
  <c r="E1497" i="22" s="1"/>
  <c r="AD1496" i="22"/>
  <c r="C1497" i="22" s="1"/>
  <c r="U1496" i="22"/>
  <c r="AE1496" i="22" s="1"/>
  <c r="D1497" i="22" s="1"/>
  <c r="W1496" i="22" a="1"/>
  <c r="W1496" i="22" l="1"/>
  <c r="P1496" i="22" a="1"/>
  <c r="P1496" i="22" l="1"/>
  <c r="AC1496" i="22"/>
  <c r="B1497" i="22" l="1"/>
  <c r="R1496" i="22"/>
  <c r="S1496" i="22" s="1"/>
  <c r="K1496" i="22" s="1"/>
  <c r="I1497" i="22"/>
  <c r="X1496" i="22" l="1"/>
  <c r="Y1496" i="22" s="1"/>
  <c r="H1497" i="22"/>
  <c r="AG1496" i="22" l="1"/>
  <c r="F1497" i="22" l="1"/>
  <c r="AK1496" i="22"/>
  <c r="G1497" i="22" s="1"/>
  <c r="T1497" i="22" a="1"/>
  <c r="T1497" i="22" l="1"/>
  <c r="Q1497" i="22" l="1"/>
  <c r="V1497" i="22"/>
  <c r="AF1497" i="22" s="1"/>
  <c r="E1498" i="22" s="1"/>
  <c r="AD1497" i="22"/>
  <c r="C1498" i="22" s="1"/>
  <c r="U1497" i="22"/>
  <c r="AE1497" i="22" s="1"/>
  <c r="D1498" i="22" s="1"/>
  <c r="W1497" i="22" a="1"/>
  <c r="W1497" i="22" l="1"/>
  <c r="P1497" i="22" a="1"/>
  <c r="P1497" i="22" l="1"/>
  <c r="AC1497" i="22"/>
  <c r="I1498" i="22" l="1"/>
  <c r="H1498" i="22" s="1"/>
  <c r="R1497" i="22"/>
  <c r="S1497" i="22" s="1"/>
  <c r="K1497" i="22" s="1"/>
  <c r="B1498" i="22"/>
  <c r="X1497" i="22" l="1"/>
  <c r="Y1497" i="22" s="1"/>
  <c r="AG1497" i="22" l="1"/>
  <c r="F1498" i="22" l="1"/>
  <c r="AK1497" i="22"/>
  <c r="G1498" i="22" s="1"/>
  <c r="T1498" i="22" a="1"/>
  <c r="T1498" i="22" l="1"/>
  <c r="Q1498" i="22" l="1"/>
  <c r="AD1498" i="22"/>
  <c r="C1499" i="22" s="1"/>
  <c r="V1498" i="22"/>
  <c r="AF1498" i="22" s="1"/>
  <c r="E1499" i="22" s="1"/>
  <c r="U1498" i="22"/>
  <c r="AE1498" i="22" s="1"/>
  <c r="D1499" i="22" s="1"/>
  <c r="W1498" i="22" a="1"/>
  <c r="W1498" i="22" l="1"/>
  <c r="P1498" i="22" a="1"/>
  <c r="P1498" i="22" l="1"/>
  <c r="AC1498" i="22"/>
  <c r="B1499" i="22" l="1"/>
  <c r="R1498" i="22"/>
  <c r="S1498" i="22" s="1"/>
  <c r="K1498" i="22" s="1"/>
  <c r="I1499" i="22"/>
  <c r="X1498" i="22" l="1"/>
  <c r="Y1498" i="22" s="1"/>
  <c r="H1499" i="22"/>
  <c r="AG1498" i="22" l="1"/>
  <c r="F1499" i="22" l="1"/>
  <c r="AK1498" i="22"/>
  <c r="G1499" i="22" s="1"/>
  <c r="T1499" i="22" a="1"/>
  <c r="T1499" i="22" l="1"/>
  <c r="Q1499" i="22" l="1"/>
  <c r="AD1499" i="22"/>
  <c r="C1500" i="22" s="1"/>
  <c r="U1499" i="22"/>
  <c r="AE1499" i="22" s="1"/>
  <c r="D1500" i="22" s="1"/>
  <c r="V1499" i="22"/>
  <c r="AF1499" i="22" s="1"/>
  <c r="E1500" i="22" s="1"/>
  <c r="W1499" i="22" a="1"/>
  <c r="W1499" i="22" l="1"/>
  <c r="P1499" i="22" a="1"/>
  <c r="P1499" i="22" l="1"/>
  <c r="AC1499" i="22"/>
  <c r="B1500" i="22" l="1"/>
  <c r="R1499" i="22"/>
  <c r="S1499" i="22" s="1"/>
  <c r="K1499" i="22" s="1"/>
  <c r="I1500" i="22"/>
  <c r="H1500" i="22" l="1"/>
  <c r="X1499" i="22"/>
  <c r="Y1499" i="22" s="1"/>
  <c r="AG1499" i="22" l="1"/>
  <c r="F1500" i="22" l="1"/>
  <c r="AK1499" i="22"/>
  <c r="G1500" i="22" s="1"/>
  <c r="T1500" i="22" a="1"/>
  <c r="T1500" i="22" l="1"/>
  <c r="Q1500" i="22" l="1"/>
  <c r="U1500" i="22"/>
  <c r="AE1500" i="22" s="1"/>
  <c r="D1501" i="22" s="1"/>
  <c r="V1500" i="22"/>
  <c r="AF1500" i="22" s="1"/>
  <c r="E1501" i="22" s="1"/>
  <c r="AD1500" i="22"/>
  <c r="C1501" i="22" s="1"/>
  <c r="W1500" i="22" a="1"/>
  <c r="W1500" i="22" l="1"/>
  <c r="P1500" i="22" a="1"/>
  <c r="P1500" i="22" l="1"/>
  <c r="AC1500" i="22"/>
  <c r="I1501" i="22" l="1"/>
  <c r="R1500" i="22"/>
  <c r="S1500" i="22" s="1"/>
  <c r="K1500" i="22" s="1"/>
  <c r="B1501" i="22"/>
  <c r="H1501" i="22" l="1"/>
  <c r="X1500" i="22"/>
  <c r="Y1500" i="22" s="1"/>
  <c r="AG1500" i="22" l="1"/>
  <c r="F1501" i="22" l="1"/>
  <c r="AK1500" i="22"/>
  <c r="G1501" i="22" s="1"/>
  <c r="T1501" i="22" a="1"/>
  <c r="T1501" i="22" l="1"/>
  <c r="Q1501" i="22" l="1"/>
  <c r="V1501" i="22"/>
  <c r="AF1501" i="22" s="1"/>
  <c r="E1502" i="22" s="1"/>
  <c r="U1501" i="22"/>
  <c r="AE1501" i="22" s="1"/>
  <c r="D1502" i="22" s="1"/>
  <c r="AD1501" i="22"/>
  <c r="C1502" i="22" s="1"/>
  <c r="W1501" i="22" a="1"/>
  <c r="W1501" i="22" l="1"/>
  <c r="P1501" i="22" a="1"/>
  <c r="P1501" i="22" l="1"/>
  <c r="AC1501" i="22"/>
  <c r="B1502" i="22" l="1"/>
  <c r="R1501" i="22"/>
  <c r="S1501" i="22" s="1"/>
  <c r="K1501" i="22" s="1"/>
  <c r="I1502" i="22"/>
  <c r="H1502" i="22" l="1"/>
  <c r="X1501" i="22"/>
  <c r="Y1501" i="22" s="1"/>
  <c r="AG1501" i="22" l="1"/>
  <c r="F1502" i="22" l="1"/>
  <c r="AK1501" i="22"/>
  <c r="G1502" i="22" s="1"/>
  <c r="T1502" i="22" a="1"/>
  <c r="T1502" i="22" l="1"/>
  <c r="Q1502" i="22" l="1"/>
  <c r="AD1502" i="22"/>
  <c r="C1503" i="22" s="1"/>
  <c r="U1502" i="22"/>
  <c r="AE1502" i="22" s="1"/>
  <c r="D1503" i="22" s="1"/>
  <c r="V1502" i="22"/>
  <c r="AF1502" i="22" s="1"/>
  <c r="E1503" i="22" s="1"/>
  <c r="W1502" i="22" a="1"/>
  <c r="W1502" i="22" l="1"/>
  <c r="P1502" i="22" a="1"/>
  <c r="P1502" i="22" l="1"/>
  <c r="AC1502" i="22"/>
  <c r="I1503" i="22" l="1"/>
  <c r="R1502" i="22"/>
  <c r="S1502" i="22" s="1"/>
  <c r="K1502" i="22" s="1"/>
  <c r="B1503" i="22"/>
  <c r="H1503" i="22" l="1"/>
  <c r="X1502" i="22"/>
  <c r="Y1502" i="22" s="1"/>
  <c r="AG1502" i="22" l="1"/>
  <c r="AK1502" i="22" s="1"/>
  <c r="G1503" i="22" s="1"/>
  <c r="T1503" i="22" a="1"/>
  <c r="F1503" i="22" l="1"/>
  <c r="T1503" i="22"/>
  <c r="Q1503" i="22" l="1"/>
  <c r="AD1503" i="22"/>
  <c r="C1504" i="22" s="1"/>
  <c r="V1503" i="22"/>
  <c r="AF1503" i="22" s="1"/>
  <c r="E1504" i="22" s="1"/>
  <c r="U1503" i="22"/>
  <c r="AE1503" i="22" s="1"/>
  <c r="D1504" i="22" s="1"/>
  <c r="W1503" i="22" a="1"/>
  <c r="W1503" i="22" l="1"/>
  <c r="P1503" i="22" a="1"/>
  <c r="P1503" i="22" l="1"/>
  <c r="AC1503" i="22"/>
  <c r="B1504" i="22" l="1"/>
  <c r="I1504" i="22"/>
  <c r="R1503" i="22"/>
  <c r="S1503" i="22" s="1"/>
  <c r="K1503" i="22" s="1"/>
  <c r="H1504" i="22" l="1"/>
  <c r="X1503" i="22"/>
  <c r="Y1503" i="22" s="1"/>
  <c r="AG1503" i="22" l="1"/>
  <c r="F1504" i="22" l="1"/>
  <c r="AK1503" i="22"/>
  <c r="G1504" i="22" s="1"/>
  <c r="T1504" i="22" a="1"/>
  <c r="T1504" i="22" l="1"/>
  <c r="Q1504" i="22" l="1"/>
  <c r="V1504" i="22"/>
  <c r="AF1504" i="22" s="1"/>
  <c r="E1505" i="22" s="1"/>
  <c r="AD1504" i="22"/>
  <c r="C1505" i="22" s="1"/>
  <c r="U1504" i="22"/>
  <c r="AE1504" i="22" s="1"/>
  <c r="D1505" i="22" s="1"/>
  <c r="W1504" i="22" a="1"/>
  <c r="W1504" i="22" l="1"/>
  <c r="P1504" i="22" a="1"/>
  <c r="P1504" i="22" l="1"/>
  <c r="AC1504" i="22"/>
  <c r="B1505" i="22" l="1"/>
  <c r="I1505" i="22"/>
  <c r="R1504" i="22"/>
  <c r="S1504" i="22" s="1"/>
  <c r="K1504" i="22" s="1"/>
  <c r="X1504" i="22" l="1"/>
  <c r="Y1504" i="22" s="1"/>
  <c r="H1505" i="22"/>
  <c r="AG1504" i="22" l="1"/>
  <c r="F1505" i="22" l="1"/>
  <c r="AK1504" i="22"/>
  <c r="G1505" i="22" s="1"/>
  <c r="T1505" i="22" a="1"/>
  <c r="T1505" i="22" l="1"/>
  <c r="Q1505" i="22" l="1"/>
  <c r="U1505" i="22"/>
  <c r="AE1505" i="22" s="1"/>
  <c r="D1506" i="22" s="1"/>
  <c r="AD1505" i="22"/>
  <c r="C1506" i="22" s="1"/>
  <c r="V1505" i="22"/>
  <c r="AF1505" i="22" s="1"/>
  <c r="E1506" i="22" s="1"/>
  <c r="W1505" i="22" a="1"/>
  <c r="W1505" i="22" l="1"/>
  <c r="P1505" i="22" a="1"/>
  <c r="P1505" i="22" l="1"/>
  <c r="AC1505" i="22"/>
  <c r="B1506" i="22" l="1"/>
  <c r="I1506" i="22"/>
  <c r="R1505" i="22"/>
  <c r="S1505" i="22" s="1"/>
  <c r="K1505" i="22" s="1"/>
  <c r="H1506" i="22" l="1"/>
  <c r="X1505" i="22"/>
  <c r="Y1505" i="22" s="1"/>
  <c r="AG1505" i="22" l="1"/>
  <c r="F1506" i="22" s="1"/>
  <c r="AK1505" i="22" l="1"/>
  <c r="G1506" i="22" s="1"/>
  <c r="T1506" i="22" a="1"/>
  <c r="T1506" i="22" l="1"/>
  <c r="Q1506" i="22"/>
  <c r="V1506" i="22"/>
  <c r="AF1506" i="22" s="1"/>
  <c r="E1507" i="22" s="1"/>
  <c r="U1506" i="22"/>
  <c r="AE1506" i="22" s="1"/>
  <c r="D1507" i="22" s="1"/>
  <c r="AD1506" i="22"/>
  <c r="C1507" i="22" s="1"/>
  <c r="W1506" i="22" a="1"/>
  <c r="W1506" i="22" l="1"/>
  <c r="P1506" i="22" a="1"/>
  <c r="P1506" i="22" l="1"/>
  <c r="AC1506" i="22"/>
  <c r="B1507" i="22" l="1"/>
  <c r="R1506" i="22"/>
  <c r="S1506" i="22" s="1"/>
  <c r="K1506" i="22" s="1"/>
  <c r="I1507" i="22"/>
  <c r="X1506" i="22" l="1"/>
  <c r="Y1506" i="22" s="1"/>
  <c r="H1507" i="22"/>
  <c r="AG1506" i="22" l="1"/>
  <c r="F1507" i="22" l="1"/>
  <c r="AK1506" i="22"/>
  <c r="G1507" i="22" s="1"/>
  <c r="T1507" i="22" a="1"/>
  <c r="T1507" i="22" l="1"/>
  <c r="Q1507" i="22" l="1"/>
  <c r="V1507" i="22"/>
  <c r="AF1507" i="22" s="1"/>
  <c r="E1508" i="22" s="1"/>
  <c r="AD1507" i="22"/>
  <c r="C1508" i="22" s="1"/>
  <c r="U1507" i="22"/>
  <c r="AE1507" i="22" s="1"/>
  <c r="D1508" i="22" s="1"/>
  <c r="W1507" i="22" a="1"/>
  <c r="W1507" i="22" l="1"/>
  <c r="P1507" i="22" a="1"/>
  <c r="P1507" i="22" l="1"/>
  <c r="AC1507" i="22"/>
  <c r="R1507" i="22" l="1"/>
  <c r="S1507" i="22" s="1"/>
  <c r="K1507" i="22" s="1"/>
  <c r="I1508" i="22"/>
  <c r="B1508" i="22"/>
  <c r="X1507" i="22" l="1"/>
  <c r="Y1507" i="22" s="1"/>
  <c r="H1508" i="22"/>
  <c r="AG1507" i="22" l="1"/>
  <c r="F1508" i="22" l="1"/>
  <c r="AK1507" i="22"/>
  <c r="G1508" i="22" s="1"/>
  <c r="T1508" i="22" a="1"/>
  <c r="T1508" i="22" l="1"/>
  <c r="Q1508" i="22" l="1"/>
  <c r="U1508" i="22"/>
  <c r="AE1508" i="22" s="1"/>
  <c r="D1509" i="22" s="1"/>
  <c r="AD1508" i="22"/>
  <c r="C1509" i="22" s="1"/>
  <c r="V1508" i="22"/>
  <c r="AF1508" i="22" s="1"/>
  <c r="E1509" i="22" s="1"/>
  <c r="W1508" i="22" a="1"/>
  <c r="W1508" i="22" l="1"/>
  <c r="P1508" i="22" a="1"/>
  <c r="P1508" i="22" l="1"/>
  <c r="AC1508" i="22"/>
  <c r="I1509" i="22" l="1"/>
  <c r="R1508" i="22"/>
  <c r="S1508" i="22" s="1"/>
  <c r="K1508" i="22" s="1"/>
  <c r="B1509" i="22"/>
  <c r="H1509" i="22" l="1"/>
  <c r="X1508" i="22"/>
  <c r="Y1508" i="22" s="1"/>
  <c r="AG1508" i="22" l="1"/>
  <c r="F1509" i="22" l="1"/>
  <c r="AK1508" i="22"/>
  <c r="G1509" i="22" s="1"/>
  <c r="T1509" i="22" a="1"/>
  <c r="T1509" i="22" l="1"/>
  <c r="Q1509" i="22" l="1"/>
  <c r="V1509" i="22"/>
  <c r="AF1509" i="22" s="1"/>
  <c r="E1510" i="22" s="1"/>
  <c r="U1509" i="22"/>
  <c r="AE1509" i="22" s="1"/>
  <c r="D1510" i="22" s="1"/>
  <c r="AD1509" i="22"/>
  <c r="C1510" i="22" s="1"/>
  <c r="W1509" i="22" a="1"/>
  <c r="W1509" i="22" l="1"/>
  <c r="P1509" i="22" a="1"/>
  <c r="P1509" i="22" l="1"/>
  <c r="AC1509" i="22"/>
  <c r="B1510" i="22" l="1"/>
  <c r="I1510" i="22"/>
  <c r="R1509" i="22"/>
  <c r="S1509" i="22" s="1"/>
  <c r="K1509" i="22" s="1"/>
  <c r="X1509" i="22" l="1"/>
  <c r="Y1509" i="22" s="1"/>
  <c r="H1510" i="22"/>
  <c r="AG1509" i="22" l="1"/>
  <c r="F1510" i="22" l="1"/>
  <c r="AK1509" i="22"/>
  <c r="G1510" i="22" s="1"/>
  <c r="T1510" i="22" a="1"/>
  <c r="T1510" i="22" l="1"/>
  <c r="Q1510" i="22" l="1"/>
  <c r="AD1510" i="22"/>
  <c r="C1511" i="22" s="1"/>
  <c r="U1510" i="22"/>
  <c r="AE1510" i="22" s="1"/>
  <c r="D1511" i="22" s="1"/>
  <c r="V1510" i="22"/>
  <c r="AF1510" i="22" s="1"/>
  <c r="E1511" i="22" s="1"/>
  <c r="W1510" i="22" a="1"/>
  <c r="W1510" i="22" l="1"/>
  <c r="P1510" i="22" a="1"/>
  <c r="P1510" i="22" l="1"/>
  <c r="AC1510" i="22"/>
  <c r="B1511" i="22" l="1"/>
  <c r="R1510" i="22"/>
  <c r="S1510" i="22" s="1"/>
  <c r="K1510" i="22" s="1"/>
  <c r="I1511" i="22"/>
  <c r="X1510" i="22" l="1"/>
  <c r="Y1510" i="22" s="1"/>
  <c r="H1511" i="22"/>
  <c r="AG1510" i="22" l="1"/>
  <c r="F1511" i="22" l="1"/>
  <c r="AK1510" i="22"/>
  <c r="G1511" i="22" s="1"/>
  <c r="T1511" i="22" a="1"/>
  <c r="T1511" i="22" l="1"/>
  <c r="Q1511" i="22" l="1"/>
  <c r="U1511" i="22"/>
  <c r="AE1511" i="22" s="1"/>
  <c r="D1512" i="22" s="1"/>
  <c r="AD1511" i="22"/>
  <c r="C1512" i="22" s="1"/>
  <c r="V1511" i="22"/>
  <c r="AF1511" i="22" s="1"/>
  <c r="E1512" i="22" s="1"/>
  <c r="W1511" i="22" a="1"/>
  <c r="W1511" i="22" l="1"/>
  <c r="P1511" i="22" a="1"/>
  <c r="P1511" i="22" l="1"/>
  <c r="AC1511" i="22"/>
  <c r="B1512" i="22" l="1"/>
  <c r="I1512" i="22"/>
  <c r="R1511" i="22"/>
  <c r="S1511" i="22" s="1"/>
  <c r="K1511" i="22" s="1"/>
  <c r="H1512" i="22" l="1"/>
  <c r="X1511" i="22"/>
  <c r="Y1511" i="22" s="1"/>
  <c r="AG1511" i="22" l="1"/>
  <c r="F1512" i="22" l="1"/>
  <c r="AK1511" i="22"/>
  <c r="G1512" i="22" s="1"/>
  <c r="T1512" i="22" a="1"/>
  <c r="T1512" i="22" l="1"/>
  <c r="Q1512" i="22" l="1"/>
  <c r="U1512" i="22"/>
  <c r="AE1512" i="22" s="1"/>
  <c r="D1513" i="22" s="1"/>
  <c r="AD1512" i="22"/>
  <c r="C1513" i="22" s="1"/>
  <c r="V1512" i="22"/>
  <c r="AF1512" i="22" s="1"/>
  <c r="E1513" i="22" s="1"/>
  <c r="W1512" i="22" a="1"/>
  <c r="W1512" i="22" l="1"/>
  <c r="P1512" i="22" a="1"/>
  <c r="P1512" i="22" l="1"/>
  <c r="AC1512" i="22"/>
  <c r="R1512" i="22" l="1"/>
  <c r="S1512" i="22" s="1"/>
  <c r="K1512" i="22" s="1"/>
  <c r="I1513" i="22"/>
  <c r="B1513" i="22"/>
  <c r="H1513" i="22" l="1"/>
  <c r="X1512" i="22"/>
  <c r="Y1512" i="22" s="1"/>
  <c r="AG1512" i="22" l="1"/>
  <c r="F1513" i="22" l="1"/>
  <c r="AK1512" i="22"/>
  <c r="G1513" i="22" s="1"/>
  <c r="T1513" i="22" a="1"/>
  <c r="T1513" i="22" l="1"/>
  <c r="Q1513" i="22" l="1"/>
  <c r="U1513" i="22"/>
  <c r="AE1513" i="22" s="1"/>
  <c r="D1514" i="22" s="1"/>
  <c r="V1513" i="22"/>
  <c r="AF1513" i="22" s="1"/>
  <c r="E1514" i="22" s="1"/>
  <c r="AD1513" i="22"/>
  <c r="C1514" i="22" s="1"/>
  <c r="W1513" i="22" a="1"/>
  <c r="W1513" i="22" l="1"/>
  <c r="P1513" i="22" a="1"/>
  <c r="P1513" i="22" l="1"/>
  <c r="AC1513" i="22"/>
  <c r="B1514" i="22" l="1"/>
  <c r="I1514" i="22"/>
  <c r="R1513" i="22"/>
  <c r="S1513" i="22" s="1"/>
  <c r="K1513" i="22" s="1"/>
  <c r="X1513" i="22" l="1"/>
  <c r="Y1513" i="22" s="1"/>
  <c r="H1514" i="22"/>
  <c r="AG1513" i="22" l="1"/>
  <c r="F1514" i="22" l="1"/>
  <c r="AK1513" i="22"/>
  <c r="G1514" i="22" s="1"/>
  <c r="T1514" i="22" a="1"/>
  <c r="T1514" i="22" l="1"/>
  <c r="Q1514" i="22" l="1"/>
  <c r="U1514" i="22"/>
  <c r="AE1514" i="22" s="1"/>
  <c r="D1515" i="22" s="1"/>
  <c r="V1514" i="22"/>
  <c r="AF1514" i="22" s="1"/>
  <c r="E1515" i="22" s="1"/>
  <c r="AD1514" i="22"/>
  <c r="C1515" i="22" s="1"/>
  <c r="W1514" i="22" a="1"/>
  <c r="W1514" i="22" l="1"/>
  <c r="P1514" i="22" a="1"/>
  <c r="P1514" i="22" l="1"/>
  <c r="AC1514" i="22"/>
  <c r="B1515" i="22" l="1"/>
  <c r="R1514" i="22"/>
  <c r="S1514" i="22" s="1"/>
  <c r="K1514" i="22" s="1"/>
  <c r="I1515" i="22"/>
  <c r="X1514" i="22" l="1"/>
  <c r="Y1514" i="22" s="1"/>
  <c r="H1515" i="22"/>
  <c r="AG1514" i="22" l="1"/>
  <c r="F1515" i="22" l="1"/>
  <c r="AK1514" i="22"/>
  <c r="G1515" i="22" s="1"/>
  <c r="T1515" i="22" a="1"/>
  <c r="T1515" i="22" l="1"/>
  <c r="Q1515" i="22" l="1"/>
  <c r="U1515" i="22"/>
  <c r="AE1515" i="22" s="1"/>
  <c r="D1516" i="22" s="1"/>
  <c r="V1515" i="22"/>
  <c r="AF1515" i="22" s="1"/>
  <c r="E1516" i="22" s="1"/>
  <c r="AD1515" i="22"/>
  <c r="C1516" i="22" s="1"/>
  <c r="W1515" i="22" a="1"/>
  <c r="W1515" i="22" l="1"/>
  <c r="P1515" i="22" a="1"/>
  <c r="P1515" i="22" l="1"/>
  <c r="AC1515" i="22"/>
  <c r="B1516" i="22" l="1"/>
  <c r="R1515" i="22"/>
  <c r="S1515" i="22" s="1"/>
  <c r="K1515" i="22" s="1"/>
  <c r="I1516" i="22"/>
  <c r="X1515" i="22" l="1"/>
  <c r="Y1515" i="22" s="1"/>
  <c r="H1516" i="22"/>
  <c r="AG1515" i="22" l="1"/>
  <c r="F1516" i="22" l="1"/>
  <c r="AK1515" i="22"/>
  <c r="G1516" i="22" s="1"/>
  <c r="T1516" i="22" a="1"/>
  <c r="T1516" i="22" l="1"/>
  <c r="Q1516" i="22" l="1"/>
  <c r="V1516" i="22"/>
  <c r="AF1516" i="22" s="1"/>
  <c r="E1517" i="22" s="1"/>
  <c r="AD1516" i="22"/>
  <c r="C1517" i="22" s="1"/>
  <c r="U1516" i="22"/>
  <c r="AE1516" i="22" s="1"/>
  <c r="D1517" i="22" s="1"/>
  <c r="W1516" i="22" a="1"/>
  <c r="W1516" i="22" l="1"/>
  <c r="P1516" i="22" a="1"/>
  <c r="P1516" i="22" l="1"/>
  <c r="AC1516" i="22"/>
  <c r="I1517" i="22" l="1"/>
  <c r="R1516" i="22"/>
  <c r="S1516" i="22" s="1"/>
  <c r="K1516" i="22" s="1"/>
  <c r="B1517" i="22"/>
  <c r="H1517" i="22" l="1"/>
  <c r="X1516" i="22"/>
  <c r="Y1516" i="22" s="1"/>
  <c r="AG1516" i="22" l="1"/>
  <c r="F1517" i="22" l="1"/>
  <c r="AK1516" i="22"/>
  <c r="G1517" i="22" s="1"/>
  <c r="T1517" i="22" a="1"/>
  <c r="T1517" i="22" l="1"/>
  <c r="Q1517" i="22" l="1"/>
  <c r="U1517" i="22"/>
  <c r="AE1517" i="22" s="1"/>
  <c r="D1518" i="22" s="1"/>
  <c r="V1517" i="22"/>
  <c r="AF1517" i="22" s="1"/>
  <c r="E1518" i="22" s="1"/>
  <c r="AD1517" i="22"/>
  <c r="C1518" i="22" s="1"/>
  <c r="W1517" i="22" a="1"/>
  <c r="W1517" i="22" l="1"/>
  <c r="P1517" i="22" a="1"/>
  <c r="P1517" i="22" l="1"/>
  <c r="AC1517" i="22"/>
  <c r="I1518" i="22" l="1"/>
  <c r="H1518" i="22" s="1"/>
  <c r="R1517" i="22"/>
  <c r="S1517" i="22" s="1"/>
  <c r="K1517" i="22" s="1"/>
  <c r="B1518" i="22"/>
  <c r="X1517" i="22" l="1"/>
  <c r="Y1517" i="22" s="1"/>
  <c r="AG1517" i="22" l="1"/>
  <c r="F1518" i="22" l="1"/>
  <c r="AK1517" i="22"/>
  <c r="G1518" i="22" s="1"/>
  <c r="T1518" i="22" a="1"/>
  <c r="T1518" i="22" l="1"/>
  <c r="Q1518" i="22" l="1"/>
  <c r="AD1518" i="22"/>
  <c r="C1519" i="22" s="1"/>
  <c r="U1518" i="22"/>
  <c r="AE1518" i="22" s="1"/>
  <c r="D1519" i="22" s="1"/>
  <c r="V1518" i="22"/>
  <c r="AF1518" i="22" s="1"/>
  <c r="E1519" i="22" s="1"/>
  <c r="W1518" i="22" a="1"/>
  <c r="W1518" i="22" l="1"/>
  <c r="P1518" i="22" a="1"/>
  <c r="P1518" i="22" l="1"/>
  <c r="AC1518" i="22"/>
  <c r="B1519" i="22" l="1"/>
  <c r="I1519" i="22"/>
  <c r="R1518" i="22"/>
  <c r="S1518" i="22" s="1"/>
  <c r="K1518" i="22" s="1"/>
  <c r="X1518" i="22" l="1"/>
  <c r="Y1518" i="22" s="1"/>
  <c r="H1519" i="22"/>
  <c r="AG1518" i="22" l="1"/>
  <c r="F1519" i="22" l="1"/>
  <c r="AK1518" i="22"/>
  <c r="G1519" i="22" s="1"/>
  <c r="T1519" i="22" a="1"/>
  <c r="T1519" i="22" l="1"/>
  <c r="Q1519" i="22" l="1"/>
  <c r="U1519" i="22"/>
  <c r="AE1519" i="22" s="1"/>
  <c r="D1520" i="22" s="1"/>
  <c r="V1519" i="22"/>
  <c r="AF1519" i="22" s="1"/>
  <c r="E1520" i="22" s="1"/>
  <c r="AD1519" i="22"/>
  <c r="C1520" i="22" s="1"/>
  <c r="W1519" i="22" a="1"/>
  <c r="W1519" i="22" l="1"/>
  <c r="P1519" i="22" a="1"/>
  <c r="P1519" i="22" l="1"/>
  <c r="AC1519" i="22"/>
  <c r="B1520" i="22" l="1"/>
  <c r="R1519" i="22"/>
  <c r="S1519" i="22" s="1"/>
  <c r="K1519" i="22" s="1"/>
  <c r="I1520" i="22"/>
  <c r="X1519" i="22" l="1"/>
  <c r="Y1519" i="22" s="1"/>
  <c r="H1520" i="22"/>
  <c r="AG1519" i="22" l="1"/>
  <c r="F1520" i="22" l="1"/>
  <c r="AK1519" i="22"/>
  <c r="G1520" i="22" s="1"/>
  <c r="T1520" i="22" a="1"/>
  <c r="T1520" i="22" l="1"/>
  <c r="Q1520" i="22" l="1"/>
  <c r="U1520" i="22"/>
  <c r="AE1520" i="22" s="1"/>
  <c r="D1521" i="22" s="1"/>
  <c r="V1520" i="22"/>
  <c r="AF1520" i="22" s="1"/>
  <c r="E1521" i="22" s="1"/>
  <c r="AD1520" i="22"/>
  <c r="C1521" i="22" s="1"/>
  <c r="W1520" i="22" a="1"/>
  <c r="W1520" i="22" l="1"/>
  <c r="P1520" i="22" a="1"/>
  <c r="P1520" i="22" l="1"/>
  <c r="AC1520" i="22"/>
  <c r="B1521" i="22" l="1"/>
  <c r="R1520" i="22"/>
  <c r="S1520" i="22" s="1"/>
  <c r="K1520" i="22" s="1"/>
  <c r="I1521" i="22"/>
  <c r="X1520" i="22" l="1"/>
  <c r="Y1520" i="22" s="1"/>
  <c r="H1521" i="22"/>
  <c r="AG1520" i="22" l="1"/>
  <c r="F1521" i="22" l="1"/>
  <c r="AK1520" i="22"/>
  <c r="G1521" i="22" s="1"/>
  <c r="T1521" i="22" a="1"/>
  <c r="T1521" i="22" l="1"/>
  <c r="Q1521" i="22" l="1"/>
  <c r="AD1521" i="22"/>
  <c r="C1522" i="22" s="1"/>
  <c r="U1521" i="22"/>
  <c r="AE1521" i="22" s="1"/>
  <c r="D1522" i="22" s="1"/>
  <c r="V1521" i="22"/>
  <c r="AF1521" i="22" s="1"/>
  <c r="E1522" i="22" s="1"/>
  <c r="W1521" i="22" a="1"/>
  <c r="W1521" i="22" l="1"/>
  <c r="P1521" i="22" a="1"/>
  <c r="P1521" i="22" l="1"/>
  <c r="AC1521" i="22"/>
  <c r="B1522" i="22" l="1"/>
  <c r="I1522" i="22"/>
  <c r="H1522" i="22" s="1"/>
  <c r="R1521" i="22"/>
  <c r="S1521" i="22" s="1"/>
  <c r="K1521" i="22" s="1"/>
  <c r="X1521" i="22" l="1"/>
  <c r="Y1521" i="22" s="1"/>
  <c r="AG1521" i="22" l="1"/>
  <c r="F1522" i="22" l="1"/>
  <c r="AK1521" i="22"/>
  <c r="G1522" i="22" s="1"/>
  <c r="T1522" i="22" a="1"/>
  <c r="T1522" i="22" l="1"/>
  <c r="Q1522" i="22" l="1"/>
  <c r="AD1522" i="22"/>
  <c r="C1523" i="22" s="1"/>
  <c r="U1522" i="22"/>
  <c r="AE1522" i="22" s="1"/>
  <c r="D1523" i="22" s="1"/>
  <c r="V1522" i="22"/>
  <c r="AF1522" i="22" s="1"/>
  <c r="E1523" i="22" s="1"/>
  <c r="W1522" i="22" a="1"/>
  <c r="W1522" i="22" l="1"/>
  <c r="P1522" i="22" a="1"/>
  <c r="P1522" i="22" l="1"/>
  <c r="AC1522" i="22"/>
  <c r="B1523" i="22" l="1"/>
  <c r="I1523" i="22"/>
  <c r="R1522" i="22"/>
  <c r="S1522" i="22" s="1"/>
  <c r="K1522" i="22" s="1"/>
  <c r="X1522" i="22" l="1"/>
  <c r="Y1522" i="22" s="1"/>
  <c r="H1523" i="22"/>
  <c r="AG1522" i="22" l="1"/>
  <c r="F1523" i="22" l="1"/>
  <c r="AK1522" i="22"/>
  <c r="G1523" i="22" s="1"/>
  <c r="T1523" i="22" a="1"/>
  <c r="T1523" i="22" l="1"/>
  <c r="Q1523" i="22" l="1"/>
  <c r="V1523" i="22"/>
  <c r="AF1523" i="22" s="1"/>
  <c r="E1524" i="22" s="1"/>
  <c r="U1523" i="22"/>
  <c r="AE1523" i="22" s="1"/>
  <c r="D1524" i="22" s="1"/>
  <c r="AD1523" i="22"/>
  <c r="C1524" i="22" s="1"/>
  <c r="W1523" i="22" a="1"/>
  <c r="W1523" i="22" l="1"/>
  <c r="P1523" i="22" a="1"/>
  <c r="P1523" i="22" l="1"/>
  <c r="AC1523" i="22"/>
  <c r="B1524" i="22" l="1"/>
  <c r="R1523" i="22"/>
  <c r="S1523" i="22" s="1"/>
  <c r="K1523" i="22" s="1"/>
  <c r="I1524" i="22"/>
  <c r="X1523" i="22" l="1"/>
  <c r="Y1523" i="22" s="1"/>
  <c r="H1524" i="22"/>
  <c r="AG1523" i="22" l="1"/>
  <c r="F1524" i="22" l="1"/>
  <c r="AK1523" i="22"/>
  <c r="G1524" i="22" s="1"/>
  <c r="T1524" i="22" a="1"/>
  <c r="T1524" i="22" l="1"/>
  <c r="Q1524" i="22" l="1"/>
  <c r="AD1524" i="22"/>
  <c r="C1525" i="22" s="1"/>
  <c r="V1524" i="22"/>
  <c r="AF1524" i="22" s="1"/>
  <c r="E1525" i="22" s="1"/>
  <c r="U1524" i="22"/>
  <c r="AE1524" i="22" s="1"/>
  <c r="D1525" i="22" s="1"/>
  <c r="W1524" i="22" a="1"/>
  <c r="W1524" i="22" l="1"/>
  <c r="P1524" i="22" a="1"/>
  <c r="P1524" i="22" l="1"/>
  <c r="AC1524" i="22"/>
  <c r="B1525" i="22" l="1"/>
  <c r="I1525" i="22"/>
  <c r="R1524" i="22"/>
  <c r="S1524" i="22" s="1"/>
  <c r="K1524" i="22" s="1"/>
  <c r="X1524" i="22" l="1"/>
  <c r="Y1524" i="22" s="1"/>
  <c r="H1525" i="22"/>
  <c r="AG1524" i="22" l="1"/>
  <c r="F1525" i="22" s="1"/>
  <c r="AK1524" i="22" l="1"/>
  <c r="G1525" i="22" s="1"/>
  <c r="T1525" i="22" a="1"/>
  <c r="T1525" i="22" l="1"/>
  <c r="Q1525" i="22"/>
  <c r="V1525" i="22"/>
  <c r="AF1525" i="22" s="1"/>
  <c r="E1526" i="22" s="1"/>
  <c r="AD1525" i="22"/>
  <c r="C1526" i="22" s="1"/>
  <c r="U1525" i="22"/>
  <c r="AE1525" i="22" s="1"/>
  <c r="D1526" i="22" s="1"/>
  <c r="W1525" i="22" a="1"/>
  <c r="W1525" i="22" l="1"/>
  <c r="P1525" i="22" a="1"/>
  <c r="P1525" i="22" l="1"/>
  <c r="AC1525" i="22"/>
  <c r="B1526" i="22" l="1"/>
  <c r="R1525" i="22"/>
  <c r="S1525" i="22" s="1"/>
  <c r="K1525" i="22" s="1"/>
  <c r="I1526" i="22"/>
  <c r="X1525" i="22" l="1"/>
  <c r="Y1525" i="22" s="1"/>
  <c r="H1526" i="22"/>
  <c r="AG1525" i="22" l="1"/>
  <c r="F1526" i="22" l="1"/>
  <c r="AK1525" i="22"/>
  <c r="G1526" i="22" s="1"/>
  <c r="T1526" i="22" a="1"/>
  <c r="T1526" i="22" l="1"/>
  <c r="Q1526" i="22" l="1"/>
  <c r="V1526" i="22"/>
  <c r="AF1526" i="22" s="1"/>
  <c r="E1527" i="22" s="1"/>
  <c r="AD1526" i="22"/>
  <c r="C1527" i="22" s="1"/>
  <c r="U1526" i="22"/>
  <c r="AE1526" i="22" s="1"/>
  <c r="D1527" i="22" s="1"/>
  <c r="W1526" i="22" a="1"/>
  <c r="W1526" i="22" l="1"/>
  <c r="P1526" i="22" a="1"/>
  <c r="P1526" i="22" l="1"/>
  <c r="AC1526" i="22"/>
  <c r="B1527" i="22" l="1"/>
  <c r="R1526" i="22"/>
  <c r="S1526" i="22" s="1"/>
  <c r="K1526" i="22" s="1"/>
  <c r="I1527" i="22"/>
  <c r="X1526" i="22" l="1"/>
  <c r="Y1526" i="22" s="1"/>
  <c r="H1527" i="22"/>
  <c r="AG1526" i="22" l="1"/>
  <c r="F1527" i="22" l="1"/>
  <c r="AK1526" i="22"/>
  <c r="G1527" i="22" s="1"/>
  <c r="T1527" i="22" a="1"/>
  <c r="T1527" i="22" l="1"/>
  <c r="Q1527" i="22" l="1"/>
  <c r="AD1527" i="22"/>
  <c r="C1528" i="22" s="1"/>
  <c r="V1527" i="22"/>
  <c r="AF1527" i="22" s="1"/>
  <c r="E1528" i="22" s="1"/>
  <c r="U1527" i="22"/>
  <c r="AE1527" i="22" s="1"/>
  <c r="D1528" i="22" s="1"/>
  <c r="W1527" i="22" a="1"/>
  <c r="W1527" i="22" l="1"/>
  <c r="P1527" i="22" a="1"/>
  <c r="P1527" i="22" l="1"/>
  <c r="AC1527" i="22"/>
  <c r="R1527" i="22" l="1"/>
  <c r="S1527" i="22" s="1"/>
  <c r="K1527" i="22" s="1"/>
  <c r="I1528" i="22"/>
  <c r="B1528" i="22"/>
  <c r="H1528" i="22" l="1"/>
  <c r="X1527" i="22"/>
  <c r="Y1527" i="22" s="1"/>
  <c r="AG1527" i="22" l="1"/>
  <c r="AK1527" i="22" s="1"/>
  <c r="G1528" i="22" s="1"/>
  <c r="T1528" i="22" a="1"/>
  <c r="F1528" i="22" l="1"/>
  <c r="T1528" i="22"/>
  <c r="Q1528" i="22" l="1"/>
  <c r="V1528" i="22"/>
  <c r="AF1528" i="22" s="1"/>
  <c r="E1529" i="22" s="1"/>
  <c r="U1528" i="22"/>
  <c r="AE1528" i="22" s="1"/>
  <c r="D1529" i="22" s="1"/>
  <c r="AD1528" i="22"/>
  <c r="C1529" i="22" s="1"/>
  <c r="W1528" i="22" a="1"/>
  <c r="W1528" i="22" l="1"/>
  <c r="P1528" i="22" a="1"/>
  <c r="P1528" i="22" l="1"/>
  <c r="AC1528" i="22"/>
  <c r="B1529" i="22" l="1"/>
  <c r="R1528" i="22"/>
  <c r="S1528" i="22" s="1"/>
  <c r="K1528" i="22" s="1"/>
  <c r="I1529" i="22"/>
  <c r="X1528" i="22" l="1"/>
  <c r="Y1528" i="22" s="1"/>
  <c r="H1529" i="22"/>
  <c r="AG1528" i="22" l="1"/>
  <c r="F1529" i="22" l="1"/>
  <c r="AK1528" i="22"/>
  <c r="G1529" i="22" s="1"/>
  <c r="T1529" i="22" a="1"/>
  <c r="T1529" i="22" l="1"/>
  <c r="Q1529" i="22" l="1"/>
  <c r="U1529" i="22"/>
  <c r="AE1529" i="22" s="1"/>
  <c r="D1530" i="22" s="1"/>
  <c r="V1529" i="22"/>
  <c r="AF1529" i="22" s="1"/>
  <c r="E1530" i="22" s="1"/>
  <c r="AD1529" i="22"/>
  <c r="C1530" i="22" s="1"/>
  <c r="W1529" i="22" a="1"/>
  <c r="W1529" i="22" l="1"/>
  <c r="P1529" i="22" a="1"/>
  <c r="P1529" i="22" l="1"/>
  <c r="AC1529" i="22"/>
  <c r="B1530" i="22" l="1"/>
  <c r="R1529" i="22"/>
  <c r="S1529" i="22" s="1"/>
  <c r="K1529" i="22" s="1"/>
  <c r="I1530" i="22"/>
  <c r="X1529" i="22" l="1"/>
  <c r="Y1529" i="22" s="1"/>
  <c r="H1530" i="22"/>
  <c r="AG1529" i="22" l="1"/>
  <c r="F1530" i="22" l="1"/>
  <c r="AK1529" i="22"/>
  <c r="G1530" i="22" s="1"/>
  <c r="T1530" i="22" a="1"/>
  <c r="T1530" i="22" l="1"/>
  <c r="Q1530" i="22" l="1"/>
  <c r="U1530" i="22"/>
  <c r="AE1530" i="22" s="1"/>
  <c r="D1531" i="22" s="1"/>
  <c r="V1530" i="22"/>
  <c r="AF1530" i="22" s="1"/>
  <c r="E1531" i="22" s="1"/>
  <c r="AD1530" i="22"/>
  <c r="C1531" i="22" s="1"/>
  <c r="W1530" i="22" a="1"/>
  <c r="W1530" i="22" l="1"/>
  <c r="P1530" i="22" a="1"/>
  <c r="P1530" i="22" l="1"/>
  <c r="AC1530" i="22"/>
  <c r="B1531" i="22" l="1"/>
  <c r="R1530" i="22"/>
  <c r="S1530" i="22" s="1"/>
  <c r="K1530" i="22" s="1"/>
  <c r="I1531" i="22"/>
  <c r="X1530" i="22" l="1"/>
  <c r="Y1530" i="22" s="1"/>
  <c r="H1531" i="22"/>
  <c r="AG1530" i="22" l="1"/>
  <c r="F1531" i="22" l="1"/>
  <c r="AK1530" i="22"/>
  <c r="G1531" i="22" s="1"/>
  <c r="T1531" i="22" a="1"/>
  <c r="T1531" i="22" l="1"/>
  <c r="Q1531" i="22" l="1"/>
  <c r="AD1531" i="22"/>
  <c r="C1532" i="22" s="1"/>
  <c r="U1531" i="22"/>
  <c r="AE1531" i="22" s="1"/>
  <c r="D1532" i="22" s="1"/>
  <c r="V1531" i="22"/>
  <c r="AF1531" i="22" s="1"/>
  <c r="E1532" i="22" s="1"/>
  <c r="W1531" i="22" a="1"/>
  <c r="W1531" i="22" l="1"/>
  <c r="P1531" i="22" a="1"/>
  <c r="P1531" i="22" l="1"/>
  <c r="AC1531" i="22"/>
  <c r="B1532" i="22" l="1"/>
  <c r="R1531" i="22"/>
  <c r="S1531" i="22" s="1"/>
  <c r="K1531" i="22" s="1"/>
  <c r="I1532" i="22"/>
  <c r="H1532" i="22" l="1"/>
  <c r="X1531" i="22"/>
  <c r="Y1531" i="22" s="1"/>
  <c r="AG1531" i="22" l="1"/>
  <c r="F1532" i="22" l="1"/>
  <c r="AK1531" i="22"/>
  <c r="G1532" i="22" s="1"/>
  <c r="T1532" i="22" a="1"/>
  <c r="T1532" i="22" l="1"/>
  <c r="Q1532" i="22" l="1"/>
  <c r="V1532" i="22"/>
  <c r="AF1532" i="22" s="1"/>
  <c r="E1533" i="22" s="1"/>
  <c r="U1532" i="22"/>
  <c r="AE1532" i="22" s="1"/>
  <c r="D1533" i="22" s="1"/>
  <c r="AD1532" i="22"/>
  <c r="C1533" i="22" s="1"/>
  <c r="W1532" i="22" a="1"/>
  <c r="W1532" i="22" l="1"/>
  <c r="P1532" i="22" a="1"/>
  <c r="P1532" i="22" l="1"/>
  <c r="AC1532" i="22"/>
  <c r="B1533" i="22" l="1"/>
  <c r="I1533" i="22"/>
  <c r="R1532" i="22"/>
  <c r="S1532" i="22" s="1"/>
  <c r="K1532" i="22" s="1"/>
  <c r="H1533" i="22" l="1"/>
  <c r="X1532" i="22"/>
  <c r="Y1532" i="22" s="1"/>
  <c r="AG1532" i="22" l="1"/>
  <c r="AK1532" i="22" s="1"/>
  <c r="G1533" i="22" s="1"/>
  <c r="T1533" i="22" a="1"/>
  <c r="F1533" i="22" l="1"/>
  <c r="T1533" i="22"/>
  <c r="Q1533" i="22" l="1"/>
  <c r="U1533" i="22"/>
  <c r="AE1533" i="22" s="1"/>
  <c r="D1534" i="22" s="1"/>
  <c r="V1533" i="22"/>
  <c r="AF1533" i="22" s="1"/>
  <c r="E1534" i="22" s="1"/>
  <c r="AD1533" i="22"/>
  <c r="C1534" i="22" s="1"/>
  <c r="W1533" i="22" a="1"/>
  <c r="W1533" i="22" l="1"/>
  <c r="P1533" i="22" a="1"/>
  <c r="P1533" i="22" l="1"/>
  <c r="AC1533" i="22"/>
  <c r="B1534" i="22" l="1"/>
  <c r="I1534" i="22"/>
  <c r="R1533" i="22"/>
  <c r="S1533" i="22" s="1"/>
  <c r="K1533" i="22" s="1"/>
  <c r="X1533" i="22" l="1"/>
  <c r="Y1533" i="22" s="1"/>
  <c r="H1534" i="22"/>
  <c r="AG1533" i="22" l="1"/>
  <c r="F1534" i="22" l="1"/>
  <c r="AK1533" i="22"/>
  <c r="G1534" i="22" s="1"/>
  <c r="T1534" i="22" a="1"/>
  <c r="T1534" i="22" l="1"/>
  <c r="Q1534" i="22" l="1"/>
  <c r="AD1534" i="22"/>
  <c r="C1535" i="22" s="1"/>
  <c r="U1534" i="22"/>
  <c r="AE1534" i="22" s="1"/>
  <c r="D1535" i="22" s="1"/>
  <c r="V1534" i="22"/>
  <c r="AF1534" i="22" s="1"/>
  <c r="E1535" i="22" s="1"/>
  <c r="W1534" i="22" a="1"/>
  <c r="W1534" i="22" l="1"/>
  <c r="P1534" i="22" a="1"/>
  <c r="P1534" i="22" l="1"/>
  <c r="AC1534" i="22"/>
  <c r="B1535" i="22" l="1"/>
  <c r="I1535" i="22"/>
  <c r="R1534" i="22"/>
  <c r="S1534" i="22" s="1"/>
  <c r="K1534" i="22" s="1"/>
  <c r="H1535" i="22" l="1"/>
  <c r="X1534" i="22"/>
  <c r="Y1534" i="22" s="1"/>
  <c r="AG1534" i="22" l="1"/>
  <c r="F1535" i="22" l="1"/>
  <c r="AK1534" i="22"/>
  <c r="G1535" i="22" s="1"/>
  <c r="T1535" i="22" a="1"/>
  <c r="T1535" i="22" l="1"/>
  <c r="Q1535" i="22" l="1"/>
  <c r="AD1535" i="22"/>
  <c r="C1536" i="22" s="1"/>
  <c r="V1535" i="22"/>
  <c r="AF1535" i="22" s="1"/>
  <c r="E1536" i="22" s="1"/>
  <c r="U1535" i="22"/>
  <c r="AE1535" i="22" s="1"/>
  <c r="D1536" i="22" s="1"/>
  <c r="W1535" i="22" a="1"/>
  <c r="W1535" i="22" l="1"/>
  <c r="P1535" i="22" a="1"/>
  <c r="P1535" i="22" l="1"/>
  <c r="AC1535" i="22"/>
  <c r="B1536" i="22" l="1"/>
  <c r="I1536" i="22"/>
  <c r="R1535" i="22"/>
  <c r="S1535" i="22" s="1"/>
  <c r="K1535" i="22" s="1"/>
  <c r="H1536" i="22" l="1"/>
  <c r="X1535" i="22"/>
  <c r="Y1535" i="22" s="1"/>
  <c r="AG1535" i="22" l="1"/>
  <c r="F1536" i="22" l="1"/>
  <c r="AK1535" i="22"/>
  <c r="G1536" i="22" s="1"/>
  <c r="T1536" i="22" a="1"/>
  <c r="T1536" i="22" l="1"/>
  <c r="Q1536" i="22" l="1"/>
  <c r="V1536" i="22"/>
  <c r="AF1536" i="22" s="1"/>
  <c r="E1537" i="22" s="1"/>
  <c r="AD1536" i="22"/>
  <c r="C1537" i="22" s="1"/>
  <c r="U1536" i="22"/>
  <c r="AE1536" i="22" s="1"/>
  <c r="D1537" i="22" s="1"/>
  <c r="W1536" i="22" a="1"/>
  <c r="W1536" i="22" l="1"/>
  <c r="P1536" i="22" a="1"/>
  <c r="P1536" i="22" l="1"/>
  <c r="AC1536" i="22"/>
  <c r="B1537" i="22" l="1"/>
  <c r="I1537" i="22"/>
  <c r="H1537" i="22" s="1"/>
  <c r="R1536" i="22"/>
  <c r="S1536" i="22" s="1"/>
  <c r="K1536" i="22" s="1"/>
  <c r="X1536" i="22" l="1"/>
  <c r="Y1536" i="22" s="1"/>
  <c r="AG1536" i="22" l="1"/>
  <c r="F1537" i="22" l="1"/>
  <c r="AK1536" i="22"/>
  <c r="G1537" i="22" s="1"/>
  <c r="T1537" i="22" a="1"/>
  <c r="T1537" i="22" l="1"/>
  <c r="Q1537" i="22" l="1"/>
  <c r="AD1537" i="22"/>
  <c r="C1538" i="22" s="1"/>
  <c r="U1537" i="22"/>
  <c r="AE1537" i="22" s="1"/>
  <c r="D1538" i="22" s="1"/>
  <c r="V1537" i="22"/>
  <c r="AF1537" i="22" s="1"/>
  <c r="E1538" i="22" s="1"/>
  <c r="W1537" i="22" a="1"/>
  <c r="W1537" i="22" l="1"/>
  <c r="P1537" i="22" a="1"/>
  <c r="P1537" i="22" l="1"/>
  <c r="AC1537" i="22"/>
  <c r="B1538" i="22" l="1"/>
  <c r="I1538" i="22"/>
  <c r="R1537" i="22"/>
  <c r="S1537" i="22" s="1"/>
  <c r="K1537" i="22" s="1"/>
  <c r="H1538" i="22" l="1"/>
  <c r="X1537" i="22"/>
  <c r="Y1537" i="22" s="1"/>
  <c r="AG1537" i="22" l="1"/>
  <c r="F1538" i="22" l="1"/>
  <c r="AK1537" i="22"/>
  <c r="G1538" i="22" s="1"/>
  <c r="T1538" i="22" a="1"/>
  <c r="T1538" i="22" l="1"/>
  <c r="Q1538" i="22" l="1"/>
  <c r="V1538" i="22"/>
  <c r="AF1538" i="22" s="1"/>
  <c r="E1539" i="22" s="1"/>
  <c r="U1538" i="22"/>
  <c r="AE1538" i="22" s="1"/>
  <c r="D1539" i="22" s="1"/>
  <c r="AD1538" i="22"/>
  <c r="C1539" i="22" s="1"/>
  <c r="W1538" i="22" a="1"/>
  <c r="W1538" i="22" l="1"/>
  <c r="P1538" i="22" a="1"/>
  <c r="P1538" i="22" l="1"/>
  <c r="AC1538" i="22"/>
  <c r="I1539" i="22" l="1"/>
  <c r="R1538" i="22"/>
  <c r="S1538" i="22" s="1"/>
  <c r="K1538" i="22" s="1"/>
  <c r="B1539" i="22"/>
  <c r="H1539" i="22" l="1"/>
  <c r="X1538" i="22"/>
  <c r="Y1538" i="22" s="1"/>
  <c r="AG1538" i="22" l="1"/>
  <c r="F1539" i="22" l="1"/>
  <c r="AK1538" i="22"/>
  <c r="G1539" i="22" s="1"/>
  <c r="T1539" i="22" a="1"/>
  <c r="T1539" i="22" l="1"/>
  <c r="Q1539" i="22" l="1"/>
  <c r="U1539" i="22"/>
  <c r="AE1539" i="22" s="1"/>
  <c r="D1540" i="22" s="1"/>
  <c r="AD1539" i="22"/>
  <c r="C1540" i="22" s="1"/>
  <c r="V1539" i="22"/>
  <c r="AF1539" i="22" s="1"/>
  <c r="E1540" i="22" s="1"/>
  <c r="W1539" i="22" a="1"/>
  <c r="W1539" i="22" l="1"/>
  <c r="P1539" i="22" a="1"/>
  <c r="P1539" i="22" l="1"/>
  <c r="AC1539" i="22"/>
  <c r="B1540" i="22" l="1"/>
  <c r="I1540" i="22"/>
  <c r="R1539" i="22"/>
  <c r="S1539" i="22" s="1"/>
  <c r="K1539" i="22" s="1"/>
  <c r="X1539" i="22" l="1"/>
  <c r="Y1539" i="22" s="1"/>
  <c r="H1540" i="22"/>
  <c r="AG1539" i="22" l="1"/>
  <c r="F1540" i="22" l="1"/>
  <c r="AK1539" i="22"/>
  <c r="G1540" i="22" s="1"/>
  <c r="T1540" i="22" a="1"/>
  <c r="T1540" i="22" l="1"/>
  <c r="Q1540" i="22" l="1"/>
  <c r="AD1540" i="22"/>
  <c r="C1541" i="22" s="1"/>
  <c r="V1540" i="22"/>
  <c r="AF1540" i="22" s="1"/>
  <c r="E1541" i="22" s="1"/>
  <c r="U1540" i="22"/>
  <c r="AE1540" i="22" s="1"/>
  <c r="D1541" i="22" s="1"/>
  <c r="W1540" i="22" a="1"/>
  <c r="W1540" i="22" l="1"/>
  <c r="P1540" i="22" a="1"/>
  <c r="P1540" i="22" l="1"/>
  <c r="AC1540" i="22"/>
  <c r="B1541" i="22" l="1"/>
  <c r="I1541" i="22"/>
  <c r="R1540" i="22"/>
  <c r="S1540" i="22" s="1"/>
  <c r="K1540" i="22" s="1"/>
  <c r="H1541" i="22" l="1"/>
  <c r="X1540" i="22"/>
  <c r="Y1540" i="22" s="1"/>
  <c r="AG1540" i="22" l="1"/>
  <c r="F1541" i="22" l="1"/>
  <c r="AK1540" i="22"/>
  <c r="G1541" i="22" s="1"/>
  <c r="T1541" i="22" a="1"/>
  <c r="T1541" i="22" l="1"/>
  <c r="Q1541" i="22" l="1"/>
  <c r="U1541" i="22"/>
  <c r="AE1541" i="22" s="1"/>
  <c r="D1542" i="22" s="1"/>
  <c r="V1541" i="22"/>
  <c r="AF1541" i="22" s="1"/>
  <c r="E1542" i="22" s="1"/>
  <c r="AD1541" i="22"/>
  <c r="C1542" i="22" s="1"/>
  <c r="W1541" i="22" a="1"/>
  <c r="W1541" i="22" l="1"/>
  <c r="P1541" i="22" a="1"/>
  <c r="P1541" i="22" l="1"/>
  <c r="AC1541" i="22"/>
  <c r="B1542" i="22" l="1"/>
  <c r="I1542" i="22"/>
  <c r="R1541" i="22"/>
  <c r="S1541" i="22" s="1"/>
  <c r="K1541" i="22" s="1"/>
  <c r="X1541" i="22" l="1"/>
  <c r="Y1541" i="22" s="1"/>
  <c r="H1542" i="22"/>
  <c r="AG1541" i="22" l="1"/>
  <c r="F1542" i="22" l="1"/>
  <c r="AK1541" i="22"/>
  <c r="G1542" i="22" s="1"/>
  <c r="T1542" i="22" a="1"/>
  <c r="T1542" i="22" l="1"/>
  <c r="Q1542" i="22" l="1"/>
  <c r="U1542" i="22"/>
  <c r="AE1542" i="22" s="1"/>
  <c r="D1543" i="22" s="1"/>
  <c r="V1542" i="22"/>
  <c r="AF1542" i="22" s="1"/>
  <c r="E1543" i="22" s="1"/>
  <c r="AD1542" i="22"/>
  <c r="C1543" i="22" s="1"/>
  <c r="W1542" i="22" a="1"/>
  <c r="W1542" i="22" l="1"/>
  <c r="P1542" i="22" a="1"/>
  <c r="P1542" i="22" l="1"/>
  <c r="AC1542" i="22"/>
  <c r="B1543" i="22" l="1"/>
  <c r="I1543" i="22"/>
  <c r="R1542" i="22"/>
  <c r="S1542" i="22" s="1"/>
  <c r="K1542" i="22" s="1"/>
  <c r="H1543" i="22" l="1"/>
  <c r="X1542" i="22"/>
  <c r="Y1542" i="22" s="1"/>
  <c r="AG1542" i="22" l="1"/>
  <c r="F1543" i="22" s="1"/>
  <c r="AK1542" i="22" l="1"/>
  <c r="G1543" i="22" s="1"/>
  <c r="T1543" i="22" a="1"/>
  <c r="T1543" i="22" l="1"/>
  <c r="Q1543" i="22"/>
  <c r="U1543" i="22"/>
  <c r="AE1543" i="22" s="1"/>
  <c r="D1544" i="22" s="1"/>
  <c r="V1543" i="22"/>
  <c r="AF1543" i="22" s="1"/>
  <c r="E1544" i="22" s="1"/>
  <c r="AD1543" i="22"/>
  <c r="C1544" i="22" s="1"/>
  <c r="W1543" i="22" a="1"/>
  <c r="W1543" i="22" l="1"/>
  <c r="P1543" i="22" a="1"/>
  <c r="P1543" i="22" l="1"/>
  <c r="AC1543" i="22"/>
  <c r="B1544" i="22" l="1"/>
  <c r="I1544" i="22"/>
  <c r="R1543" i="22"/>
  <c r="S1543" i="22" s="1"/>
  <c r="K1543" i="22" s="1"/>
  <c r="H1544" i="22" l="1"/>
  <c r="X1543" i="22"/>
  <c r="Y1543" i="22" s="1"/>
  <c r="AG1543" i="22" l="1"/>
  <c r="F1544" i="22" l="1"/>
  <c r="AK1543" i="22"/>
  <c r="G1544" i="22" s="1"/>
  <c r="T1544" i="22" a="1"/>
  <c r="T1544" i="22" l="1"/>
  <c r="Q1544" i="22" l="1"/>
  <c r="V1544" i="22"/>
  <c r="AF1544" i="22" s="1"/>
  <c r="E1545" i="22" s="1"/>
  <c r="U1544" i="22"/>
  <c r="AE1544" i="22" s="1"/>
  <c r="D1545" i="22" s="1"/>
  <c r="AD1544" i="22"/>
  <c r="C1545" i="22" s="1"/>
  <c r="W1544" i="22" a="1"/>
  <c r="W1544" i="22" l="1"/>
  <c r="P1544" i="22" a="1"/>
  <c r="P1544" i="22" l="1"/>
  <c r="AC1544" i="22"/>
  <c r="B1545" i="22" l="1"/>
  <c r="I1545" i="22"/>
  <c r="R1544" i="22"/>
  <c r="S1544" i="22" s="1"/>
  <c r="K1544" i="22" s="1"/>
  <c r="X1544" i="22" l="1"/>
  <c r="Y1544" i="22" s="1"/>
  <c r="H1545" i="22"/>
  <c r="AG1544" i="22" l="1"/>
  <c r="F1545" i="22" l="1"/>
  <c r="AK1544" i="22"/>
  <c r="G1545" i="22" s="1"/>
  <c r="T1545" i="22" a="1"/>
  <c r="T1545" i="22" l="1"/>
  <c r="Q1545" i="22" l="1"/>
  <c r="V1545" i="22"/>
  <c r="AF1545" i="22" s="1"/>
  <c r="E1546" i="22" s="1"/>
  <c r="U1545" i="22"/>
  <c r="AE1545" i="22" s="1"/>
  <c r="D1546" i="22" s="1"/>
  <c r="AD1545" i="22"/>
  <c r="C1546" i="22" s="1"/>
  <c r="W1545" i="22" a="1"/>
  <c r="W1545" i="22" l="1"/>
  <c r="P1545" i="22" a="1"/>
  <c r="P1545" i="22" l="1"/>
  <c r="AC1545" i="22"/>
  <c r="B1546" i="22" l="1"/>
  <c r="I1546" i="22"/>
  <c r="R1545" i="22"/>
  <c r="S1545" i="22" s="1"/>
  <c r="K1545" i="22" s="1"/>
  <c r="H1546" i="22" l="1"/>
  <c r="X1545" i="22"/>
  <c r="Y1545" i="22" s="1"/>
  <c r="AG1545" i="22" l="1"/>
  <c r="F1546" i="22" l="1"/>
  <c r="AK1545" i="22"/>
  <c r="G1546" i="22" s="1"/>
  <c r="T1546" i="22" a="1"/>
  <c r="T1546" i="22" l="1"/>
  <c r="Q1546" i="22" l="1"/>
  <c r="U1546" i="22"/>
  <c r="AE1546" i="22" s="1"/>
  <c r="D1547" i="22" s="1"/>
  <c r="V1546" i="22"/>
  <c r="AF1546" i="22" s="1"/>
  <c r="E1547" i="22" s="1"/>
  <c r="AD1546" i="22"/>
  <c r="C1547" i="22" s="1"/>
  <c r="W1546" i="22" a="1"/>
  <c r="W1546" i="22" l="1"/>
  <c r="P1546" i="22" a="1"/>
  <c r="P1546" i="22" l="1"/>
  <c r="AC1546" i="22"/>
  <c r="B1547" i="22" l="1"/>
  <c r="R1546" i="22"/>
  <c r="S1546" i="22" s="1"/>
  <c r="K1546" i="22" s="1"/>
  <c r="I1547" i="22"/>
  <c r="H1547" i="22" l="1"/>
  <c r="X1546" i="22"/>
  <c r="Y1546" i="22" s="1"/>
  <c r="AG1546" i="22" l="1"/>
  <c r="AK1546" i="22" s="1"/>
  <c r="G1547" i="22" s="1"/>
  <c r="T1547" i="22" a="1"/>
  <c r="F1547" i="22" l="1"/>
  <c r="T1547" i="22"/>
  <c r="Q1547" i="22" l="1"/>
  <c r="AD1547" i="22"/>
  <c r="C1548" i="22" s="1"/>
  <c r="V1547" i="22"/>
  <c r="AF1547" i="22" s="1"/>
  <c r="E1548" i="22" s="1"/>
  <c r="U1547" i="22"/>
  <c r="AE1547" i="22" s="1"/>
  <c r="D1548" i="22" s="1"/>
  <c r="W1547" i="22" a="1"/>
  <c r="W1547" i="22" l="1"/>
  <c r="P1547" i="22" a="1"/>
  <c r="P1547" i="22" l="1"/>
  <c r="AC1547" i="22"/>
  <c r="B1548" i="22" l="1"/>
  <c r="R1547" i="22"/>
  <c r="S1547" i="22" s="1"/>
  <c r="K1547" i="22" s="1"/>
  <c r="I1548" i="22"/>
  <c r="X1547" i="22" l="1"/>
  <c r="Y1547" i="22" s="1"/>
  <c r="H1548" i="22"/>
  <c r="AG1547" i="22" l="1"/>
  <c r="F1548" i="22" l="1"/>
  <c r="AK1547" i="22"/>
  <c r="G1548" i="22" s="1"/>
  <c r="T1548" i="22" a="1"/>
  <c r="T1548" i="22" l="1"/>
  <c r="Q1548" i="22" l="1"/>
  <c r="V1548" i="22"/>
  <c r="AF1548" i="22" s="1"/>
  <c r="E1549" i="22" s="1"/>
  <c r="U1548" i="22"/>
  <c r="AE1548" i="22" s="1"/>
  <c r="D1549" i="22" s="1"/>
  <c r="AD1548" i="22"/>
  <c r="C1549" i="22" s="1"/>
  <c r="W1548" i="22" a="1"/>
  <c r="W1548" i="22" l="1"/>
  <c r="P1548" i="22" a="1"/>
  <c r="P1548" i="22" l="1"/>
  <c r="AC1548" i="22"/>
  <c r="B1549" i="22" l="1"/>
  <c r="R1548" i="22"/>
  <c r="S1548" i="22" s="1"/>
  <c r="K1548" i="22" s="1"/>
  <c r="I1549" i="22"/>
  <c r="H1549" i="22" l="1"/>
  <c r="X1548" i="22"/>
  <c r="Y1548" i="22" s="1"/>
  <c r="AG1548" i="22" l="1"/>
  <c r="F1549" i="22" l="1"/>
  <c r="AK1548" i="22"/>
  <c r="G1549" i="22" s="1"/>
  <c r="T1549" i="22" a="1"/>
  <c r="T1549" i="22" l="1"/>
  <c r="Q1549" i="22" l="1"/>
  <c r="V1549" i="22"/>
  <c r="AF1549" i="22" s="1"/>
  <c r="E1550" i="22" s="1"/>
  <c r="U1549" i="22"/>
  <c r="AE1549" i="22" s="1"/>
  <c r="D1550" i="22" s="1"/>
  <c r="AD1549" i="22"/>
  <c r="C1550" i="22" s="1"/>
  <c r="W1549" i="22" a="1"/>
  <c r="W1549" i="22" l="1"/>
  <c r="P1549" i="22" a="1"/>
  <c r="P1549" i="22" l="1"/>
  <c r="AC1549" i="22"/>
  <c r="B1550" i="22" l="1"/>
  <c r="I1550" i="22"/>
  <c r="R1549" i="22"/>
  <c r="S1549" i="22" s="1"/>
  <c r="K1549" i="22" s="1"/>
  <c r="H1550" i="22" l="1"/>
  <c r="X1549" i="22"/>
  <c r="Y1549" i="22" s="1"/>
  <c r="AG1549" i="22" l="1"/>
  <c r="F1550" i="22" s="1"/>
  <c r="AK1549" i="22" l="1"/>
  <c r="G1550" i="22" s="1"/>
  <c r="T1550" i="22" a="1"/>
  <c r="T1550" i="22" l="1"/>
  <c r="Q1550" i="22"/>
  <c r="AD1550" i="22"/>
  <c r="C1551" i="22" s="1"/>
  <c r="U1550" i="22"/>
  <c r="AE1550" i="22" s="1"/>
  <c r="D1551" i="22" s="1"/>
  <c r="V1550" i="22"/>
  <c r="AF1550" i="22" s="1"/>
  <c r="E1551" i="22" s="1"/>
  <c r="W1550" i="22" a="1"/>
  <c r="W1550" i="22" l="1"/>
  <c r="P1550" i="22" a="1"/>
  <c r="P1550" i="22" l="1"/>
  <c r="AC1550" i="22"/>
  <c r="B1551" i="22" l="1"/>
  <c r="I1551" i="22"/>
  <c r="R1550" i="22"/>
  <c r="S1550" i="22" s="1"/>
  <c r="K1550" i="22" s="1"/>
  <c r="X1550" i="22" l="1"/>
  <c r="Y1550" i="22" s="1"/>
  <c r="H1551" i="22"/>
  <c r="AG1550" i="22" l="1"/>
  <c r="F1551" i="22" l="1"/>
  <c r="AK1550" i="22"/>
  <c r="G1551" i="22" s="1"/>
  <c r="T1551" i="22" a="1"/>
  <c r="T1551" i="22" l="1"/>
  <c r="Q1551" i="22" l="1"/>
  <c r="U1551" i="22"/>
  <c r="AE1551" i="22" s="1"/>
  <c r="D1552" i="22" s="1"/>
  <c r="AD1551" i="22"/>
  <c r="C1552" i="22" s="1"/>
  <c r="V1551" i="22"/>
  <c r="AF1551" i="22" s="1"/>
  <c r="E1552" i="22" s="1"/>
  <c r="W1551" i="22" a="1"/>
  <c r="W1551" i="22" l="1"/>
  <c r="P1551" i="22" a="1"/>
  <c r="P1551" i="22" l="1"/>
  <c r="AC1551" i="22"/>
  <c r="I1552" i="22" l="1"/>
  <c r="R1551" i="22"/>
  <c r="S1551" i="22" s="1"/>
  <c r="K1551" i="22" s="1"/>
  <c r="B1552" i="22"/>
  <c r="X1551" i="22" l="1"/>
  <c r="Y1551" i="22" s="1"/>
  <c r="H1552" i="22"/>
  <c r="AG1551" i="22" l="1"/>
  <c r="F1552" i="22" l="1"/>
  <c r="AK1551" i="22"/>
  <c r="G1552" i="22" s="1"/>
  <c r="T1552" i="22" a="1"/>
  <c r="T1552" i="22" l="1"/>
  <c r="Q1552" i="22" l="1"/>
  <c r="U1552" i="22"/>
  <c r="AE1552" i="22" s="1"/>
  <c r="D1553" i="22" s="1"/>
  <c r="AD1552" i="22"/>
  <c r="C1553" i="22" s="1"/>
  <c r="V1552" i="22"/>
  <c r="AF1552" i="22" s="1"/>
  <c r="E1553" i="22" s="1"/>
  <c r="W1552" i="22" a="1"/>
  <c r="W1552" i="22" l="1"/>
  <c r="P1552" i="22" a="1"/>
  <c r="P1552" i="22" l="1"/>
  <c r="AC1552" i="22"/>
  <c r="B1553" i="22" l="1"/>
  <c r="I1553" i="22"/>
  <c r="R1552" i="22"/>
  <c r="S1552" i="22" s="1"/>
  <c r="K1552" i="22" s="1"/>
  <c r="X1552" i="22" l="1"/>
  <c r="Y1552" i="22" s="1"/>
  <c r="H1553" i="22"/>
  <c r="AG1552" i="22" l="1"/>
  <c r="F1553" i="22" l="1"/>
  <c r="AK1552" i="22"/>
  <c r="G1553" i="22" s="1"/>
  <c r="T1553" i="22" a="1"/>
  <c r="T1553" i="22" l="1"/>
  <c r="Q1553" i="22" l="1"/>
  <c r="V1553" i="22"/>
  <c r="AF1553" i="22" s="1"/>
  <c r="E1554" i="22" s="1"/>
  <c r="AD1553" i="22"/>
  <c r="C1554" i="22" s="1"/>
  <c r="U1553" i="22"/>
  <c r="AE1553" i="22" s="1"/>
  <c r="D1554" i="22" s="1"/>
  <c r="W1553" i="22" a="1"/>
  <c r="W1553" i="22" l="1"/>
  <c r="P1553" i="22" a="1"/>
  <c r="P1553" i="22" l="1"/>
  <c r="AC1553" i="22"/>
  <c r="B1554" i="22" l="1"/>
  <c r="R1553" i="22"/>
  <c r="S1553" i="22" s="1"/>
  <c r="K1553" i="22" s="1"/>
  <c r="I1554" i="22"/>
  <c r="H1554" i="22" l="1"/>
  <c r="X1553" i="22"/>
  <c r="Y1553" i="22" s="1"/>
  <c r="AG1553" i="22" l="1"/>
  <c r="F1554" i="22" l="1"/>
  <c r="AK1553" i="22"/>
  <c r="G1554" i="22" s="1"/>
  <c r="T1554" i="22" a="1"/>
  <c r="T1554" i="22" l="1"/>
  <c r="Q1554" i="22" l="1"/>
  <c r="AD1554" i="22"/>
  <c r="C1555" i="22" s="1"/>
  <c r="U1554" i="22"/>
  <c r="AE1554" i="22" s="1"/>
  <c r="D1555" i="22" s="1"/>
  <c r="V1554" i="22"/>
  <c r="AF1554" i="22" s="1"/>
  <c r="E1555" i="22" s="1"/>
  <c r="W1554" i="22" a="1"/>
  <c r="W1554" i="22" l="1"/>
  <c r="P1554" i="22" a="1"/>
  <c r="P1554" i="22" l="1"/>
  <c r="AC1554" i="22"/>
  <c r="B1555" i="22" l="1"/>
  <c r="R1554" i="22"/>
  <c r="S1554" i="22" s="1"/>
  <c r="K1554" i="22" s="1"/>
  <c r="I1555" i="22"/>
  <c r="X1554" i="22" l="1"/>
  <c r="Y1554" i="22" s="1"/>
  <c r="H1555" i="22"/>
  <c r="AG1554" i="22" l="1"/>
  <c r="F1555" i="22" l="1"/>
  <c r="AK1554" i="22"/>
  <c r="G1555" i="22" s="1"/>
  <c r="T1555" i="22" a="1"/>
  <c r="T1555" i="22" l="1"/>
  <c r="Q1555" i="22" l="1"/>
  <c r="U1555" i="22"/>
  <c r="AE1555" i="22" s="1"/>
  <c r="D1556" i="22" s="1"/>
  <c r="AD1555" i="22"/>
  <c r="C1556" i="22" s="1"/>
  <c r="V1555" i="22"/>
  <c r="AF1555" i="22" s="1"/>
  <c r="E1556" i="22" s="1"/>
  <c r="W1555" i="22" a="1"/>
  <c r="W1555" i="22" l="1"/>
  <c r="P1555" i="22" a="1"/>
  <c r="P1555" i="22" l="1"/>
  <c r="AC1555" i="22"/>
  <c r="B1556" i="22" l="1"/>
  <c r="I1556" i="22"/>
  <c r="R1555" i="22"/>
  <c r="S1555" i="22" s="1"/>
  <c r="K1555" i="22" s="1"/>
  <c r="X1555" i="22" l="1"/>
  <c r="Y1555" i="22" s="1"/>
  <c r="H1556" i="22"/>
  <c r="AG1555" i="22" l="1"/>
  <c r="F1556" i="22" l="1"/>
  <c r="AK1555" i="22"/>
  <c r="G1556" i="22" s="1"/>
  <c r="T1556" i="22" a="1"/>
  <c r="T1556" i="22" l="1"/>
  <c r="Q1556" i="22" l="1"/>
  <c r="AD1556" i="22"/>
  <c r="C1557" i="22" s="1"/>
  <c r="U1556" i="22"/>
  <c r="AE1556" i="22" s="1"/>
  <c r="D1557" i="22" s="1"/>
  <c r="V1556" i="22"/>
  <c r="AF1556" i="22" s="1"/>
  <c r="E1557" i="22" s="1"/>
  <c r="W1556" i="22" a="1"/>
  <c r="W1556" i="22" l="1"/>
  <c r="P1556" i="22" a="1"/>
  <c r="P1556" i="22" l="1"/>
  <c r="AC1556" i="22"/>
  <c r="B1557" i="22" l="1"/>
  <c r="I1557" i="22"/>
  <c r="R1556" i="22"/>
  <c r="S1556" i="22" s="1"/>
  <c r="K1556" i="22" s="1"/>
  <c r="H1557" i="22" l="1"/>
  <c r="X1556" i="22"/>
  <c r="Y1556" i="22" s="1"/>
  <c r="AG1556" i="22" l="1"/>
  <c r="F1557" i="22" s="1"/>
  <c r="AK1556" i="22" l="1"/>
  <c r="G1557" i="22" s="1"/>
  <c r="T1557" i="22" a="1"/>
  <c r="T1557" i="22" l="1"/>
  <c r="Q1557" i="22"/>
  <c r="V1557" i="22"/>
  <c r="AF1557" i="22" s="1"/>
  <c r="E1558" i="22" s="1"/>
  <c r="U1557" i="22"/>
  <c r="AE1557" i="22" s="1"/>
  <c r="D1558" i="22" s="1"/>
  <c r="AD1557" i="22"/>
  <c r="C1558" i="22" s="1"/>
  <c r="W1557" i="22" a="1"/>
  <c r="W1557" i="22" l="1"/>
  <c r="P1557" i="22" a="1"/>
  <c r="P1557" i="22" l="1"/>
  <c r="AC1557" i="22"/>
  <c r="B1558" i="22" l="1"/>
  <c r="I1558" i="22"/>
  <c r="R1557" i="22"/>
  <c r="S1557" i="22" s="1"/>
  <c r="K1557" i="22" s="1"/>
  <c r="X1557" i="22" l="1"/>
  <c r="Y1557" i="22" s="1"/>
  <c r="H1558" i="22"/>
  <c r="AG1557" i="22" l="1"/>
  <c r="F1558" i="22" l="1"/>
  <c r="AK1557" i="22"/>
  <c r="G1558" i="22" s="1"/>
  <c r="T1558" i="22" a="1"/>
  <c r="T1558" i="22" l="1"/>
  <c r="Q1558" i="22" l="1"/>
  <c r="U1558" i="22"/>
  <c r="AE1558" i="22" s="1"/>
  <c r="D1559" i="22" s="1"/>
  <c r="V1558" i="22"/>
  <c r="AF1558" i="22" s="1"/>
  <c r="E1559" i="22" s="1"/>
  <c r="AD1558" i="22"/>
  <c r="C1559" i="22" s="1"/>
  <c r="W1558" i="22" a="1"/>
  <c r="W1558" i="22" l="1"/>
  <c r="P1558" i="22" a="1"/>
  <c r="P1558" i="22" l="1"/>
  <c r="AC1558" i="22"/>
  <c r="B1559" i="22" l="1"/>
  <c r="R1558" i="22"/>
  <c r="S1558" i="22" s="1"/>
  <c r="K1558" i="22" s="1"/>
  <c r="I1559" i="22"/>
  <c r="X1558" i="22" l="1"/>
  <c r="Y1558" i="22" s="1"/>
  <c r="H1559" i="22"/>
  <c r="AG1558" i="22" l="1"/>
  <c r="F1559" i="22" l="1"/>
  <c r="AK1558" i="22"/>
  <c r="G1559" i="22" s="1"/>
  <c r="T1559" i="22" a="1"/>
  <c r="T1559" i="22" l="1"/>
  <c r="Q1559" i="22" l="1"/>
  <c r="U1559" i="22"/>
  <c r="AE1559" i="22" s="1"/>
  <c r="D1560" i="22" s="1"/>
  <c r="V1559" i="22"/>
  <c r="AF1559" i="22" s="1"/>
  <c r="E1560" i="22" s="1"/>
  <c r="AD1559" i="22"/>
  <c r="C1560" i="22" s="1"/>
  <c r="W1559" i="22" a="1"/>
  <c r="W1559" i="22" l="1"/>
  <c r="P1559" i="22" a="1"/>
  <c r="P1559" i="22" l="1"/>
  <c r="AC1559" i="22"/>
  <c r="B1560" i="22" l="1"/>
  <c r="R1559" i="22"/>
  <c r="S1559" i="22" s="1"/>
  <c r="K1559" i="22" s="1"/>
  <c r="I1560" i="22"/>
  <c r="X1559" i="22" l="1"/>
  <c r="Y1559" i="22" s="1"/>
  <c r="H1560" i="22"/>
  <c r="AG1559" i="22" l="1"/>
  <c r="F1560" i="22" l="1"/>
  <c r="AK1559" i="22"/>
  <c r="G1560" i="22" s="1"/>
  <c r="T1560" i="22" a="1"/>
  <c r="T1560" i="22" l="1"/>
  <c r="Q1560" i="22" l="1"/>
  <c r="U1560" i="22"/>
  <c r="AE1560" i="22" s="1"/>
  <c r="D1561" i="22" s="1"/>
  <c r="V1560" i="22"/>
  <c r="AF1560" i="22" s="1"/>
  <c r="E1561" i="22" s="1"/>
  <c r="AD1560" i="22"/>
  <c r="C1561" i="22" s="1"/>
  <c r="W1560" i="22" a="1"/>
  <c r="W1560" i="22" l="1"/>
  <c r="P1560" i="22" a="1"/>
  <c r="P1560" i="22" l="1"/>
  <c r="AC1560" i="22"/>
  <c r="B1561" i="22" l="1"/>
  <c r="R1560" i="22"/>
  <c r="S1560" i="22" s="1"/>
  <c r="K1560" i="22" s="1"/>
  <c r="I1561" i="22"/>
  <c r="X1560" i="22" l="1"/>
  <c r="Y1560" i="22" s="1"/>
  <c r="H1561" i="22"/>
  <c r="AG1560" i="22" l="1"/>
  <c r="F1561" i="22" l="1"/>
  <c r="AK1560" i="22"/>
  <c r="G1561" i="22" s="1"/>
  <c r="T1561" i="22" a="1"/>
  <c r="T1561" i="22" l="1"/>
  <c r="Q1561" i="22" l="1"/>
  <c r="V1561" i="22"/>
  <c r="AF1561" i="22" s="1"/>
  <c r="E1562" i="22" s="1"/>
  <c r="AD1561" i="22"/>
  <c r="C1562" i="22" s="1"/>
  <c r="U1561" i="22"/>
  <c r="AE1561" i="22" s="1"/>
  <c r="D1562" i="22" s="1"/>
  <c r="W1561" i="22" a="1"/>
  <c r="W1561" i="22" l="1"/>
  <c r="P1561" i="22" a="1"/>
  <c r="P1561" i="22" l="1"/>
  <c r="AC1561" i="22"/>
  <c r="I1562" i="22" l="1"/>
  <c r="R1561" i="22"/>
  <c r="S1561" i="22" s="1"/>
  <c r="K1561" i="22" s="1"/>
  <c r="B1562" i="22"/>
  <c r="H1562" i="22" l="1"/>
  <c r="X1561" i="22"/>
  <c r="Y1561" i="22" s="1"/>
  <c r="AG1561" i="22" l="1"/>
  <c r="F1562" i="22" l="1"/>
  <c r="AK1561" i="22"/>
  <c r="G1562" i="22" s="1"/>
  <c r="T1562" i="22" a="1"/>
  <c r="T1562" i="22" l="1"/>
  <c r="Q1562" i="22" l="1"/>
  <c r="V1562" i="22"/>
  <c r="AF1562" i="22" s="1"/>
  <c r="E1563" i="22" s="1"/>
  <c r="U1562" i="22"/>
  <c r="AE1562" i="22" s="1"/>
  <c r="D1563" i="22" s="1"/>
  <c r="AD1562" i="22"/>
  <c r="C1563" i="22" s="1"/>
  <c r="W1562" i="22" a="1"/>
  <c r="W1562" i="22" l="1"/>
  <c r="P1562" i="22" a="1"/>
  <c r="P1562" i="22" l="1"/>
  <c r="AC1562" i="22"/>
  <c r="B1563" i="22" l="1"/>
  <c r="R1562" i="22"/>
  <c r="S1562" i="22" s="1"/>
  <c r="K1562" i="22" s="1"/>
  <c r="I1563" i="22"/>
  <c r="X1562" i="22" l="1"/>
  <c r="Y1562" i="22" s="1"/>
  <c r="H1563" i="22"/>
  <c r="AG1562" i="22" l="1"/>
  <c r="F1563" i="22" l="1"/>
  <c r="AK1562" i="22"/>
  <c r="G1563" i="22" s="1"/>
  <c r="T1563" i="22" a="1"/>
  <c r="T1563" i="22" l="1"/>
  <c r="Q1563" i="22" l="1"/>
  <c r="V1563" i="22"/>
  <c r="AF1563" i="22" s="1"/>
  <c r="E1564" i="22" s="1"/>
  <c r="AD1563" i="22"/>
  <c r="C1564" i="22" s="1"/>
  <c r="U1563" i="22"/>
  <c r="AE1563" i="22" s="1"/>
  <c r="D1564" i="22" s="1"/>
  <c r="W1563" i="22" a="1"/>
  <c r="W1563" i="22" l="1"/>
  <c r="P1563" i="22" a="1"/>
  <c r="P1563" i="22" l="1"/>
  <c r="AC1563" i="22"/>
  <c r="B1564" i="22" l="1"/>
  <c r="I1564" i="22"/>
  <c r="R1563" i="22"/>
  <c r="S1563" i="22" s="1"/>
  <c r="K1563" i="22" s="1"/>
  <c r="H1564" i="22" l="1"/>
  <c r="X1563" i="22"/>
  <c r="Y1563" i="22" s="1"/>
  <c r="AG1563" i="22" l="1"/>
  <c r="F1564" i="22" l="1"/>
  <c r="AK1563" i="22"/>
  <c r="G1564" i="22" s="1"/>
  <c r="T1564" i="22" a="1"/>
  <c r="T1564" i="22" l="1"/>
  <c r="Q1564" i="22" l="1"/>
  <c r="V1564" i="22"/>
  <c r="AF1564" i="22" s="1"/>
  <c r="E1565" i="22" s="1"/>
  <c r="AD1564" i="22"/>
  <c r="C1565" i="22" s="1"/>
  <c r="U1564" i="22"/>
  <c r="AE1564" i="22" s="1"/>
  <c r="D1565" i="22" s="1"/>
  <c r="W1564" i="22" a="1"/>
  <c r="W1564" i="22" l="1"/>
  <c r="P1564" i="22" a="1"/>
  <c r="P1564" i="22" l="1"/>
  <c r="AC1564" i="22"/>
  <c r="B1565" i="22" l="1"/>
  <c r="R1564" i="22"/>
  <c r="S1564" i="22" s="1"/>
  <c r="K1564" i="22" s="1"/>
  <c r="I1565" i="22"/>
  <c r="X1564" i="22" l="1"/>
  <c r="Y1564" i="22" s="1"/>
  <c r="H1565" i="22"/>
  <c r="AG1564" i="22" l="1"/>
  <c r="F1565" i="22" l="1"/>
  <c r="AK1564" i="22"/>
  <c r="G1565" i="22" s="1"/>
  <c r="T1565" i="22" a="1"/>
  <c r="T1565" i="22" l="1"/>
  <c r="Q1565" i="22" l="1"/>
  <c r="AD1565" i="22"/>
  <c r="C1566" i="22" s="1"/>
  <c r="U1565" i="22"/>
  <c r="AE1565" i="22" s="1"/>
  <c r="D1566" i="22" s="1"/>
  <c r="V1565" i="22"/>
  <c r="AF1565" i="22" s="1"/>
  <c r="E1566" i="22" s="1"/>
  <c r="W1565" i="22" a="1"/>
  <c r="W1565" i="22" l="1"/>
  <c r="P1565" i="22" a="1"/>
  <c r="P1565" i="22" l="1"/>
  <c r="AC1565" i="22"/>
  <c r="B1566" i="22" l="1"/>
  <c r="I1566" i="22"/>
  <c r="R1565" i="22"/>
  <c r="S1565" i="22" s="1"/>
  <c r="K1565" i="22" s="1"/>
  <c r="X1565" i="22" l="1"/>
  <c r="Y1565" i="22" s="1"/>
  <c r="H1566" i="22"/>
  <c r="AG1565" i="22" l="1"/>
  <c r="F1566" i="22" l="1"/>
  <c r="AK1565" i="22"/>
  <c r="G1566" i="22" s="1"/>
  <c r="T1566" i="22" a="1"/>
  <c r="T1566" i="22" l="1"/>
  <c r="Q1566" i="22" l="1"/>
  <c r="AD1566" i="22"/>
  <c r="C1567" i="22" s="1"/>
  <c r="U1566" i="22"/>
  <c r="AE1566" i="22" s="1"/>
  <c r="D1567" i="22" s="1"/>
  <c r="V1566" i="22"/>
  <c r="AF1566" i="22" s="1"/>
  <c r="E1567" i="22" s="1"/>
  <c r="W1566" i="22" a="1"/>
  <c r="W1566" i="22" l="1"/>
  <c r="P1566" i="22" a="1"/>
  <c r="P1566" i="22" l="1"/>
  <c r="AC1566" i="22"/>
  <c r="B1567" i="22" l="1"/>
  <c r="I1567" i="22"/>
  <c r="R1566" i="22"/>
  <c r="S1566" i="22" s="1"/>
  <c r="K1566" i="22" s="1"/>
  <c r="H1567" i="22" l="1"/>
  <c r="X1566" i="22"/>
  <c r="Y1566" i="22" s="1"/>
  <c r="AG1566" i="22" l="1"/>
  <c r="F1567" i="22" s="1"/>
  <c r="AK1566" i="22" l="1"/>
  <c r="G1567" i="22" s="1"/>
  <c r="T1567" i="22" a="1"/>
  <c r="T1567" i="22" l="1"/>
  <c r="Q1567" i="22"/>
  <c r="AD1567" i="22"/>
  <c r="C1568" i="22" s="1"/>
  <c r="V1567" i="22"/>
  <c r="AF1567" i="22" s="1"/>
  <c r="E1568" i="22" s="1"/>
  <c r="U1567" i="22"/>
  <c r="AE1567" i="22" s="1"/>
  <c r="D1568" i="22" s="1"/>
  <c r="W1567" i="22" a="1"/>
  <c r="W1567" i="22" l="1"/>
  <c r="P1567" i="22" a="1"/>
  <c r="P1567" i="22" l="1"/>
  <c r="AC1567" i="22"/>
  <c r="B1568" i="22" l="1"/>
  <c r="I1568" i="22"/>
  <c r="R1567" i="22"/>
  <c r="S1567" i="22" s="1"/>
  <c r="K1567" i="22" s="1"/>
  <c r="X1567" i="22" l="1"/>
  <c r="Y1567" i="22" s="1"/>
  <c r="H1568" i="22"/>
  <c r="AG1567" i="22" l="1"/>
  <c r="F1568" i="22" l="1"/>
  <c r="AK1567" i="22"/>
  <c r="G1568" i="22" s="1"/>
  <c r="T1568" i="22" a="1"/>
  <c r="T1568" i="22" l="1"/>
  <c r="Q1568" i="22" l="1"/>
  <c r="V1568" i="22"/>
  <c r="AF1568" i="22" s="1"/>
  <c r="E1569" i="22" s="1"/>
  <c r="AD1568" i="22"/>
  <c r="C1569" i="22" s="1"/>
  <c r="U1568" i="22"/>
  <c r="AE1568" i="22" s="1"/>
  <c r="D1569" i="22" s="1"/>
  <c r="W1568" i="22" a="1"/>
  <c r="W1568" i="22" l="1"/>
  <c r="P1568" i="22" a="1"/>
  <c r="P1568" i="22" l="1"/>
  <c r="AC1568" i="22"/>
  <c r="R1568" i="22" l="1"/>
  <c r="S1568" i="22" s="1"/>
  <c r="K1568" i="22" s="1"/>
  <c r="I1569" i="22"/>
  <c r="H1569" i="22" s="1"/>
  <c r="B1569" i="22"/>
  <c r="X1568" i="22" l="1"/>
  <c r="Y1568" i="22" s="1"/>
  <c r="AG1568" i="22" l="1"/>
  <c r="F1569" i="22" l="1"/>
  <c r="AK1568" i="22"/>
  <c r="G1569" i="22" s="1"/>
  <c r="T1569" i="22" a="1"/>
  <c r="T1569" i="22" l="1"/>
  <c r="Q1569" i="22" l="1"/>
  <c r="AD1569" i="22"/>
  <c r="C1570" i="22" s="1"/>
  <c r="U1569" i="22"/>
  <c r="AE1569" i="22" s="1"/>
  <c r="D1570" i="22" s="1"/>
  <c r="V1569" i="22"/>
  <c r="AF1569" i="22" s="1"/>
  <c r="E1570" i="22" s="1"/>
  <c r="W1569" i="22" a="1"/>
  <c r="W1569" i="22" l="1"/>
  <c r="P1569" i="22" a="1"/>
  <c r="P1569" i="22" l="1"/>
  <c r="AC1569" i="22"/>
  <c r="B1570" i="22" l="1"/>
  <c r="I1570" i="22"/>
  <c r="R1569" i="22"/>
  <c r="S1569" i="22" s="1"/>
  <c r="K1569" i="22" s="1"/>
  <c r="X1569" i="22" l="1"/>
  <c r="Y1569" i="22" s="1"/>
  <c r="H1570" i="22"/>
  <c r="AG1569" i="22" l="1"/>
  <c r="F1570" i="22" l="1"/>
  <c r="AK1569" i="22"/>
  <c r="G1570" i="22" s="1"/>
  <c r="T1570" i="22" a="1"/>
  <c r="T1570" i="22" l="1"/>
  <c r="Q1570" i="22" l="1"/>
  <c r="U1570" i="22"/>
  <c r="AE1570" i="22" s="1"/>
  <c r="D1571" i="22" s="1"/>
  <c r="V1570" i="22"/>
  <c r="AF1570" i="22" s="1"/>
  <c r="E1571" i="22" s="1"/>
  <c r="AD1570" i="22"/>
  <c r="C1571" i="22" s="1"/>
  <c r="W1570" i="22" a="1"/>
  <c r="W1570" i="22" l="1"/>
  <c r="P1570" i="22" a="1"/>
  <c r="P1570" i="22" l="1"/>
  <c r="AC1570" i="22"/>
  <c r="B1571" i="22" l="1"/>
  <c r="R1570" i="22"/>
  <c r="S1570" i="22" s="1"/>
  <c r="K1570" i="22" s="1"/>
  <c r="I1571" i="22"/>
  <c r="X1570" i="22" l="1"/>
  <c r="Y1570" i="22" s="1"/>
  <c r="H1571" i="22"/>
  <c r="AG1570" i="22" l="1"/>
  <c r="F1571" i="22" l="1"/>
  <c r="AK1570" i="22"/>
  <c r="G1571" i="22" s="1"/>
  <c r="T1571" i="22" a="1"/>
  <c r="T1571" i="22" l="1"/>
  <c r="Q1571" i="22" l="1"/>
  <c r="AD1571" i="22"/>
  <c r="V1571" i="22"/>
  <c r="AF1571" i="22" s="1"/>
  <c r="U1571" i="22"/>
  <c r="AE1571" i="22" s="1"/>
  <c r="W1571" i="22" a="1"/>
  <c r="W1571" i="22" l="1"/>
  <c r="P1571" i="22" a="1"/>
  <c r="P1571" i="22" l="1"/>
  <c r="R1571" i="22" s="1"/>
  <c r="S1571" i="22" s="1"/>
  <c r="K1571" i="22" s="1"/>
  <c r="X1571" i="22" s="1"/>
  <c r="Y1571" i="22" s="1"/>
  <c r="AC1571" i="22"/>
  <c r="AG1571" i="22" l="1"/>
  <c r="AK1571" i="2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<sst xmlns="http://schemas.openxmlformats.org/spreadsheetml/2006/main" count="121" uniqueCount="98">
  <si>
    <t>Дата платежа</t>
  </si>
  <si>
    <t>Остаток ОД на начало периода</t>
  </si>
  <si>
    <t>Остаток процентов на начало периода</t>
  </si>
  <si>
    <t>Остаток прочих комиссий на начало периода</t>
  </si>
  <si>
    <t>Итого остаток на начало периода</t>
  </si>
  <si>
    <t>Полученный платеж</t>
  </si>
  <si>
    <t>Просроченный платеж</t>
  </si>
  <si>
    <t>Неустойка на начало периода</t>
  </si>
  <si>
    <t>Неустойка за период</t>
  </si>
  <si>
    <t>Проценты за период</t>
  </si>
  <si>
    <t>Полученный платёж по процентам</t>
  </si>
  <si>
    <t>Полученный платёж по ОД</t>
  </si>
  <si>
    <t>Полученный платёж по неустойке</t>
  </si>
  <si>
    <t>Остаток ОД на конец периода</t>
  </si>
  <si>
    <t>Остаток процентов на конец периода</t>
  </si>
  <si>
    <t>Остаток прочих комиссий на конец периода</t>
  </si>
  <si>
    <t>Неустойка на конец периода</t>
  </si>
  <si>
    <t>Итого остаток на конец периода</t>
  </si>
  <si>
    <t>Клиент</t>
  </si>
  <si>
    <t>Номер договора</t>
  </si>
  <si>
    <t>Дата выдачи</t>
  </si>
  <si>
    <t>Дата погашения по графику</t>
  </si>
  <si>
    <t>Сумма</t>
  </si>
  <si>
    <t>Номер транша</t>
  </si>
  <si>
    <t>Процент неустойки</t>
  </si>
  <si>
    <t>Комиссия за период</t>
  </si>
  <si>
    <t>Платеж ОД по графику</t>
  </si>
  <si>
    <t>Платеж процентов и комиссий по графику</t>
  </si>
  <si>
    <t>Полученный платёж по прочим комиссиям</t>
  </si>
  <si>
    <t>Кол-во дней просрочки</t>
  </si>
  <si>
    <t>Переплата</t>
  </si>
  <si>
    <t>Списание неустойки</t>
  </si>
  <si>
    <t>Нерабочие</t>
  </si>
  <si>
    <t>№</t>
  </si>
  <si>
    <t>Кол-во дней</t>
  </si>
  <si>
    <t>Возврат основной суммы долга</t>
  </si>
  <si>
    <t>Возврат начисленных %</t>
  </si>
  <si>
    <t>Ежемесячный платеж по кредиту</t>
  </si>
  <si>
    <t>остаток ссудной задолженности после платежа</t>
  </si>
  <si>
    <t>Дата с учетом нерабочих дней</t>
  </si>
  <si>
    <t>ПО ДОГОВОРУ</t>
  </si>
  <si>
    <t>Комиссия за рестракт</t>
  </si>
  <si>
    <t>4.1</t>
  </si>
  <si>
    <t>4.2</t>
  </si>
  <si>
    <t>4.3</t>
  </si>
  <si>
    <t>Увеличение срока возврата ОД</t>
  </si>
  <si>
    <t>Снижение % ставки</t>
  </si>
  <si>
    <t>Увеличение суммы ОД</t>
  </si>
  <si>
    <t>Изменение графика:</t>
  </si>
  <si>
    <t>изменение всего графика/мировое соглашение</t>
  </si>
  <si>
    <t>отсрочка ОД</t>
  </si>
  <si>
    <t>изменение только %</t>
  </si>
  <si>
    <t>Изменение алгоритма расчета</t>
  </si>
  <si>
    <t>Другое</t>
  </si>
  <si>
    <t>Вид рестракта</t>
  </si>
  <si>
    <t>Дата погашения новая</t>
  </si>
  <si>
    <t>Вид реструктуризаций</t>
  </si>
  <si>
    <t>Дата реструктуризации</t>
  </si>
  <si>
    <t>Код2</t>
  </si>
  <si>
    <t>Код реструктуризации</t>
  </si>
  <si>
    <t>Срок начало</t>
  </si>
  <si>
    <t>Срок конец</t>
  </si>
  <si>
    <t>Списание процентов</t>
  </si>
  <si>
    <t>Рестракт</t>
  </si>
  <si>
    <t>РЕСТРАКТЫ</t>
  </si>
  <si>
    <t>УСЛОВИЯ РЕСТРАКТА</t>
  </si>
  <si>
    <t>Характеристика</t>
  </si>
  <si>
    <t>Значение</t>
  </si>
  <si>
    <t>Выдача ОД за период</t>
  </si>
  <si>
    <t>Key</t>
  </si>
  <si>
    <t>Номер рестракта</t>
  </si>
  <si>
    <t>остаток задолженности на начало периода</t>
  </si>
  <si>
    <t>Тип графика</t>
  </si>
  <si>
    <t>Уменьшение срока возврата ОД</t>
  </si>
  <si>
    <t>Частичное досрочное погашение</t>
  </si>
  <si>
    <t>Уменьшение суммы займа</t>
  </si>
  <si>
    <t/>
  </si>
  <si>
    <t>Процентная ставка по договору_1</t>
  </si>
  <si>
    <t>Проценты на просроченный платеж по ОД за период</t>
  </si>
  <si>
    <t>Списание процентов на просроченный платеж по ОД</t>
  </si>
  <si>
    <t>Цель досрочного погашения (ОД/"")</t>
  </si>
  <si>
    <t>Остаток процентов на просроченный ОД на начало периода</t>
  </si>
  <si>
    <t>Остаток процентов на просроченный ОД на конец периода</t>
  </si>
  <si>
    <t>ГРАФИК И ПОЛУЧЕННЫЕ ПЛАТЕЖИ</t>
  </si>
  <si>
    <t>Просроченный платеж по ОД</t>
  </si>
  <si>
    <t>Просроченный платеж по процентам</t>
  </si>
  <si>
    <t>БЛОК ПРОСРОЧКИ</t>
  </si>
  <si>
    <t>Полученный платёж по процентам на просроченный ОД</t>
  </si>
  <si>
    <t>НАЧИСЛЕНИЯ И ВЫДАЧИ ЗА ПЕРИОД</t>
  </si>
  <si>
    <t>РАСПРЕДЕЛЕНИЕ ПЛАТЕЖЕЙ</t>
  </si>
  <si>
    <t>Дата платежа из графика</t>
  </si>
  <si>
    <t>ВСПОМОГАТЕЛЬНЫЙ БЛОК</t>
  </si>
  <si>
    <t>ОСТАТКИ НА КОНЕЦ ПЕРИОДА</t>
  </si>
  <si>
    <t>ОСТАТКИ НА НАЧАЛО ПЕРИОДА</t>
  </si>
  <si>
    <t>Досрочное погашение (да/"")</t>
  </si>
  <si>
    <t>ZS/2020/021/00</t>
  </si>
  <si>
    <t>7705810688</t>
  </si>
  <si>
    <t>Анна - 51 ООО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</si>
</sst>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р.&quot;"/>
    <numFmt numFmtId="165" formatCode="#,##0;#,##0;"/>
  </numFmts>
  <fonts count="27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</font>
    <font>
      <sz val="10"/>
      <name val="Arial"/>
      <family val="2"/>
      <charset val="204"/>
    </font>
    <font>
      <b/>
      <sz val="10"/>
      <color theme="0"/>
      <name val="Arial"/>
      <family val="2"/>
      <charset val="204"/>
    </font>
    <font>
      <sz val="10"/>
      <color indexed="8"/>
      <name val="Arial"/>
      <family val="2"/>
      <charset val="204"/>
    </font>
    <font>
      <b/>
      <sz val="10"/>
      <name val="Arial"/>
      <family val="2"/>
      <charset val="204"/>
    </font>
    <font>
      <i/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b/>
      <sz val="9"/>
      <name val="Arial"/>
      <family val="2"/>
      <charset val="204"/>
    </font>
    <font>
      <b/>
      <sz val="9"/>
      <color theme="0" tint="-0.34998626667073579"/>
      <name val="Arial"/>
      <family val="2"/>
      <charset val="204"/>
    </font>
    <font>
      <sz val="10"/>
      <color theme="0" tint="-0.34998626667073579"/>
      <name val="Arial"/>
      <family val="2"/>
      <charset val="204"/>
    </font>
    <font>
      <sz val="10"/>
      <color theme="1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10"/>
      <color rgb="FF0070C0"/>
      <name val="Arial"/>
      <family val="2"/>
    </font>
    <font>
      <b/>
      <sz val="10"/>
      <color rgb="FF0000FF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8"/>
      <color rgb="FFC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theme="3" tint="-0.2499465926084170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ck">
        <color theme="3" tint="-0.24994659260841701"/>
      </right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theme="3" tint="-0.24994659260841701"/>
      </left>
      <right/>
      <top style="thick">
        <color theme="3" tint="-0.24994659260841701"/>
      </top>
      <bottom/>
      <diagonal/>
    </border>
    <border>
      <left/>
      <right/>
      <top style="thick">
        <color theme="3" tint="-0.24994659260841701"/>
      </top>
      <bottom/>
      <diagonal/>
    </border>
    <border>
      <left/>
      <right style="thick">
        <color theme="3" tint="-0.24994659260841701"/>
      </right>
      <top style="thick">
        <color theme="3" tint="-0.24994659260841701"/>
      </top>
      <bottom/>
      <diagonal/>
    </border>
    <border>
      <left style="thick">
        <color theme="3" tint="-0.24994659260841701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ck">
        <color theme="3" tint="-0.24994659260841701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ck">
        <color theme="3" tint="-0.24994659260841701"/>
      </right>
      <top/>
      <bottom style="thin">
        <color theme="0" tint="-0.34998626667073579"/>
      </bottom>
      <diagonal/>
    </border>
  </borders>
  <cellStyleXfs count="3">
    <xf numFmtId="0" fontId="0" fillId="0" borderId="0"/>
    <xf numFmtId="9" fontId="7" fillId="0" borderId="0" applyFont="0" applyFill="0" applyBorder="0" applyAlignment="0" applyProtection="0"/>
    <xf numFmtId="0" fontId="10" fillId="0" borderId="0"/>
  </cellStyleXfs>
  <cellXfs count="140">
    <xf numFmtId="0" fontId="0" fillId="0" borderId="0" xfId="0"/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horizontal="right"/>
    </xf>
    <xf numFmtId="0" fontId="8" fillId="0" borderId="0" xfId="0" applyFont="1" applyBorder="1" applyAlignment="1">
      <alignment horizontal="center" vertical="center" wrapText="1"/>
    </xf>
    <xf numFmtId="0" fontId="8" fillId="0" borderId="0" xfId="0" applyFont="1" applyBorder="1"/>
    <xf numFmtId="0" fontId="8" fillId="0" borderId="0" xfId="0" applyFont="1" applyBorder="1" applyAlignment="1">
      <alignment horizontal="center" vertical="center"/>
    </xf>
    <xf numFmtId="14" fontId="8" fillId="0" borderId="0" xfId="0" applyNumberFormat="1" applyFont="1" applyBorder="1" applyAlignment="1">
      <alignment horizontal="right" vertical="center" wrapText="1"/>
    </xf>
    <xf numFmtId="0" fontId="8" fillId="0" borderId="0" xfId="0" applyFont="1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14" fontId="8" fillId="0" borderId="0" xfId="0" applyNumberFormat="1" applyFont="1" applyBorder="1" applyAlignment="1">
      <alignment horizontal="right" vertical="center"/>
    </xf>
    <xf numFmtId="14" fontId="8" fillId="0" borderId="0" xfId="0" applyNumberFormat="1" applyFont="1" applyBorder="1" applyAlignment="1">
      <alignment horizontal="center"/>
    </xf>
    <xf numFmtId="14" fontId="8" fillId="0" borderId="0" xfId="0" applyNumberFormat="1" applyFont="1" applyBorder="1" applyAlignment="1">
      <alignment horizontal="center" vertical="center"/>
    </xf>
    <xf numFmtId="14" fontId="8" fillId="0" borderId="0" xfId="0" applyNumberFormat="1" applyFont="1" applyBorder="1" applyAlignment="1">
      <alignment horizontal="right"/>
    </xf>
    <xf numFmtId="0" fontId="8" fillId="0" borderId="0" xfId="0" applyFont="1" applyBorder="1" applyAlignment="1">
      <alignment vertical="center"/>
    </xf>
    <xf numFmtId="0" fontId="11" fillId="3" borderId="0" xfId="0" applyFont="1" applyFill="1"/>
    <xf numFmtId="3" fontId="11" fillId="3" borderId="0" xfId="0" applyNumberFormat="1" applyFont="1" applyFill="1"/>
    <xf numFmtId="3" fontId="8" fillId="0" borderId="0" xfId="0" applyNumberFormat="1" applyFont="1"/>
    <xf numFmtId="14" fontId="11" fillId="3" borderId="0" xfId="0" applyNumberFormat="1" applyFont="1" applyFill="1"/>
    <xf numFmtId="0" fontId="8" fillId="0" borderId="0" xfId="0" applyFont="1" applyBorder="1" applyAlignment="1">
      <alignment horizontal="left"/>
    </xf>
    <xf numFmtId="14" fontId="8" fillId="0" borderId="0" xfId="0" applyNumberFormat="1" applyFont="1" applyBorder="1" applyAlignment="1">
      <alignment horizontal="left"/>
    </xf>
    <xf numFmtId="0" fontId="8" fillId="0" borderId="0" xfId="0" applyFont="1" applyBorder="1" applyAlignment="1">
      <alignment horizontal="right"/>
    </xf>
    <xf numFmtId="16" fontId="14" fillId="0" borderId="0" xfId="0" quotePrefix="1" applyNumberFormat="1" applyFont="1" applyBorder="1" applyAlignment="1">
      <alignment horizontal="right"/>
    </xf>
    <xf numFmtId="0" fontId="14" fillId="0" borderId="0" xfId="0" applyFont="1" applyBorder="1" applyAlignment="1">
      <alignment horizontal="left" indent="2"/>
    </xf>
    <xf numFmtId="0" fontId="14" fillId="0" borderId="0" xfId="0" quotePrefix="1" applyFont="1" applyBorder="1" applyAlignment="1">
      <alignment horizontal="right"/>
    </xf>
    <xf numFmtId="0" fontId="11" fillId="3" borderId="0" xfId="0" applyFont="1" applyFill="1" applyAlignment="1">
      <alignment horizontal="right"/>
    </xf>
    <xf numFmtId="14" fontId="8" fillId="2" borderId="0" xfId="0" applyNumberFormat="1" applyFont="1" applyFill="1" applyBorder="1" applyAlignment="1">
      <alignment horizontal="right" vertical="center"/>
    </xf>
    <xf numFmtId="0" fontId="16" fillId="2" borderId="0" xfId="0" applyFont="1" applyFill="1" applyBorder="1" applyAlignment="1">
      <alignment horizontal="center" vertical="center" wrapText="1"/>
    </xf>
    <xf numFmtId="0" fontId="16" fillId="2" borderId="0" xfId="2" applyFont="1" applyFill="1" applyBorder="1" applyAlignment="1" applyProtection="1">
      <alignment horizontal="left" vertical="center" wrapText="1"/>
      <protection locked="0"/>
    </xf>
    <xf numFmtId="0" fontId="16" fillId="2" borderId="0" xfId="2" applyFont="1" applyFill="1" applyBorder="1" applyAlignment="1" applyProtection="1">
      <alignment horizontal="center" vertical="center" wrapText="1"/>
      <protection hidden="1"/>
    </xf>
    <xf numFmtId="0" fontId="16" fillId="2" borderId="0" xfId="2" applyFont="1" applyFill="1" applyBorder="1" applyAlignment="1" applyProtection="1">
      <alignment horizontal="right" vertical="center" wrapText="1"/>
      <protection hidden="1"/>
    </xf>
    <xf numFmtId="4" fontId="16" fillId="2" borderId="0" xfId="2" applyNumberFormat="1" applyFont="1" applyFill="1" applyBorder="1" applyAlignment="1" applyProtection="1">
      <alignment horizontal="center" vertical="center" wrapText="1"/>
      <protection hidden="1"/>
    </xf>
    <xf numFmtId="0" fontId="15" fillId="0" borderId="0" xfId="0" applyFont="1"/>
    <xf numFmtId="14" fontId="10" fillId="0" borderId="0" xfId="2" applyNumberFormat="1" applyFont="1" applyFill="1" applyAlignment="1" applyProtection="1">
      <alignment horizontal="right"/>
      <protection hidden="1"/>
    </xf>
    <xf numFmtId="14" fontId="13" fillId="0" borderId="0" xfId="2" applyNumberFormat="1" applyFont="1" applyFill="1" applyAlignment="1" applyProtection="1">
      <alignment horizontal="right"/>
      <protection hidden="1"/>
    </xf>
    <xf numFmtId="0" fontId="12" fillId="0" borderId="0" xfId="0" applyFont="1" applyFill="1" applyBorder="1"/>
    <xf numFmtId="164" fontId="12" fillId="0" borderId="0" xfId="0" applyNumberFormat="1" applyFont="1" applyFill="1" applyBorder="1"/>
    <xf numFmtId="14" fontId="6" fillId="2" borderId="0" xfId="0" applyNumberFormat="1" applyFont="1" applyFill="1" applyBorder="1" applyAlignment="1">
      <alignment horizontal="right" vertical="center"/>
    </xf>
    <xf numFmtId="0" fontId="6" fillId="0" borderId="0" xfId="0" applyFont="1"/>
    <xf numFmtId="0" fontId="6" fillId="0" borderId="0" xfId="0" applyFont="1" applyAlignment="1">
      <alignment horizontal="right"/>
    </xf>
    <xf numFmtId="0" fontId="17" fillId="2" borderId="0" xfId="0" applyFont="1" applyFill="1" applyBorder="1" applyAlignment="1">
      <alignment horizontal="center" vertical="center" wrapText="1"/>
    </xf>
    <xf numFmtId="0" fontId="18" fillId="0" borderId="0" xfId="0" applyFont="1"/>
    <xf numFmtId="0" fontId="19" fillId="0" borderId="0" xfId="0" applyFont="1"/>
    <xf numFmtId="4" fontId="19" fillId="0" borderId="0" xfId="0" applyNumberFormat="1" applyFont="1"/>
    <xf numFmtId="4" fontId="19" fillId="0" borderId="0" xfId="0" applyNumberFormat="1" applyFont="1" applyAlignment="1">
      <alignment horizontal="right"/>
    </xf>
    <xf numFmtId="4" fontId="19" fillId="0" borderId="0" xfId="0" applyNumberFormat="1" applyFont="1" applyFill="1"/>
    <xf numFmtId="0" fontId="19" fillId="0" borderId="0" xfId="0" applyFont="1" applyAlignment="1">
      <alignment horizontal="right"/>
    </xf>
    <xf numFmtId="14" fontId="19" fillId="0" borderId="0" xfId="0" applyNumberFormat="1" applyFont="1" applyAlignment="1">
      <alignment horizontal="right"/>
    </xf>
    <xf numFmtId="0" fontId="19" fillId="0" borderId="0" xfId="0" quotePrefix="1" applyFont="1"/>
    <xf numFmtId="10" fontId="20" fillId="0" borderId="0" xfId="1" applyNumberFormat="1" applyFont="1" applyAlignment="1">
      <alignment horizontal="right"/>
    </xf>
    <xf numFmtId="14" fontId="19" fillId="0" borderId="0" xfId="0" applyNumberFormat="1" applyFont="1"/>
    <xf numFmtId="0" fontId="21" fillId="0" borderId="3" xfId="0" applyFont="1" applyBorder="1" applyAlignment="1">
      <alignment horizontal="center" wrapText="1"/>
    </xf>
    <xf numFmtId="0" fontId="21" fillId="0" borderId="4" xfId="0" applyFont="1" applyBorder="1" applyAlignment="1">
      <alignment horizontal="center" wrapText="1"/>
    </xf>
    <xf numFmtId="4" fontId="21" fillId="0" borderId="4" xfId="0" applyNumberFormat="1" applyFont="1" applyBorder="1" applyAlignment="1">
      <alignment horizontal="center" wrapText="1"/>
    </xf>
    <xf numFmtId="0" fontId="21" fillId="0" borderId="0" xfId="0" applyFont="1" applyAlignment="1">
      <alignment horizontal="center" vertical="center" wrapText="1"/>
    </xf>
    <xf numFmtId="4" fontId="19" fillId="0" borderId="1" xfId="0" applyNumberFormat="1" applyFont="1" applyBorder="1"/>
    <xf numFmtId="4" fontId="19" fillId="0" borderId="1" xfId="0" applyNumberFormat="1" applyFont="1" applyBorder="1" applyAlignment="1">
      <alignment horizontal="right"/>
    </xf>
    <xf numFmtId="0" fontId="19" fillId="0" borderId="1" xfId="0" applyFont="1" applyBorder="1"/>
    <xf numFmtId="10" fontId="19" fillId="0" borderId="0" xfId="1" applyNumberFormat="1" applyFont="1"/>
    <xf numFmtId="4" fontId="19" fillId="0" borderId="0" xfId="1" applyNumberFormat="1" applyFont="1"/>
    <xf numFmtId="0" fontId="5" fillId="0" borderId="0" xfId="0" applyFont="1"/>
    <xf numFmtId="0" fontId="5" fillId="0" borderId="0" xfId="0" applyFont="1" applyBorder="1" applyAlignment="1">
      <alignment horizontal="left"/>
    </xf>
    <xf numFmtId="1" fontId="10" fillId="0" borderId="0" xfId="2" applyNumberFormat="1" applyFont="1" applyFill="1" applyAlignment="1" applyProtection="1">
      <alignment horizontal="center"/>
      <protection hidden="1"/>
    </xf>
    <xf numFmtId="164" fontId="12" fillId="4" borderId="0" xfId="0" applyNumberFormat="1" applyFont="1" applyFill="1"/>
    <xf numFmtId="0" fontId="12" fillId="0" borderId="0" xfId="0" applyFont="1"/>
    <xf numFmtId="14" fontId="10" fillId="0" borderId="0" xfId="2" applyNumberFormat="1" applyAlignment="1" applyProtection="1">
      <alignment horizontal="right"/>
      <protection hidden="1"/>
    </xf>
    <xf numFmtId="14" fontId="13" fillId="0" borderId="0" xfId="2" applyNumberFormat="1" applyFont="1" applyAlignment="1" applyProtection="1">
      <alignment horizontal="right"/>
      <protection hidden="1"/>
    </xf>
    <xf numFmtId="164" fontId="12" fillId="0" borderId="0" xfId="0" applyNumberFormat="1" applyFont="1"/>
    <xf numFmtId="0" fontId="12" fillId="0" borderId="0" xfId="0" applyFont="1" applyAlignment="1">
      <alignment horizontal="right"/>
    </xf>
    <xf numFmtId="14" fontId="4" fillId="0" borderId="0" xfId="0" applyNumberFormat="1" applyFont="1" applyFill="1" applyBorder="1" applyAlignment="1">
      <alignment horizontal="right" vertical="center"/>
    </xf>
    <xf numFmtId="14" fontId="3" fillId="2" borderId="0" xfId="0" applyNumberFormat="1" applyFont="1" applyFill="1" applyBorder="1" applyAlignment="1">
      <alignment horizontal="right" vertical="center"/>
    </xf>
    <xf numFmtId="0" fontId="8" fillId="0" borderId="0" xfId="0" applyFont="1" applyAlignment="1"/>
    <xf numFmtId="0" fontId="16" fillId="2" borderId="0" xfId="0" applyFont="1" applyFill="1" applyBorder="1" applyAlignment="1">
      <alignment horizontal="center" vertical="center"/>
    </xf>
    <xf numFmtId="0" fontId="16" fillId="2" borderId="0" xfId="2" applyFont="1" applyFill="1" applyBorder="1" applyAlignment="1" applyProtection="1">
      <alignment horizontal="left" vertical="center"/>
      <protection locked="0"/>
    </xf>
    <xf numFmtId="0" fontId="16" fillId="2" borderId="0" xfId="2" applyFont="1" applyFill="1" applyBorder="1" applyAlignment="1" applyProtection="1">
      <alignment horizontal="center" vertical="center"/>
      <protection hidden="1"/>
    </xf>
    <xf numFmtId="0" fontId="16" fillId="2" borderId="0" xfId="2" applyFont="1" applyFill="1" applyBorder="1" applyAlignment="1" applyProtection="1">
      <alignment horizontal="right" vertical="center"/>
      <protection hidden="1"/>
    </xf>
    <xf numFmtId="4" fontId="16" fillId="2" borderId="0" xfId="2" applyNumberFormat="1" applyFont="1" applyFill="1" applyBorder="1" applyAlignment="1" applyProtection="1">
      <alignment horizontal="center" vertical="center"/>
      <protection hidden="1"/>
    </xf>
    <xf numFmtId="0" fontId="23" fillId="0" borderId="0" xfId="0" applyFont="1"/>
    <xf numFmtId="14" fontId="2" fillId="2" borderId="0" xfId="0" applyNumberFormat="1" applyFont="1" applyFill="1" applyBorder="1" applyAlignment="1">
      <alignment horizontal="right" vertical="center"/>
    </xf>
    <xf numFmtId="0" fontId="12" fillId="4" borderId="0" xfId="0" applyFont="1" applyFill="1" applyAlignment="1">
      <alignment horizontal="right"/>
    </xf>
    <xf numFmtId="14" fontId="10" fillId="4" borderId="0" xfId="2" applyNumberFormat="1" applyFill="1" applyAlignment="1" applyProtection="1">
      <alignment horizontal="right"/>
      <protection hidden="1"/>
    </xf>
    <xf numFmtId="14" fontId="13" fillId="4" borderId="0" xfId="2" applyNumberFormat="1" applyFont="1" applyFill="1" applyAlignment="1" applyProtection="1">
      <alignment horizontal="right"/>
      <protection hidden="1"/>
    </xf>
    <xf numFmtId="1" fontId="10" fillId="4" borderId="0" xfId="2" applyNumberFormat="1" applyFill="1" applyAlignment="1" applyProtection="1">
      <alignment horizontal="center"/>
      <protection hidden="1"/>
    </xf>
    <xf numFmtId="164" fontId="12" fillId="4" borderId="0" xfId="0" applyNumberFormat="1" applyFont="1" applyFill="1" applyAlignment="1">
      <alignment horizontal="right" vertical="center"/>
    </xf>
    <xf numFmtId="1" fontId="10" fillId="0" borderId="0" xfId="2" applyNumberFormat="1" applyAlignment="1" applyProtection="1">
      <alignment horizontal="center"/>
      <protection hidden="1"/>
    </xf>
    <xf numFmtId="164" fontId="12" fillId="0" borderId="0" xfId="0" applyNumberFormat="1" applyFont="1" applyAlignment="1">
      <alignment horizontal="right" vertical="center"/>
    </xf>
    <xf numFmtId="0" fontId="12" fillId="0" borderId="0" xfId="0" applyFont="1" applyAlignment="1">
      <alignment horizontal="right" vertical="center"/>
    </xf>
    <xf numFmtId="164" fontId="12" fillId="0" borderId="0" xfId="2" applyNumberFormat="1" applyFont="1" applyAlignment="1" applyProtection="1">
      <alignment horizontal="right" vertical="center" wrapText="1"/>
      <protection hidden="1"/>
    </xf>
    <xf numFmtId="164" fontId="12" fillId="0" borderId="0" xfId="0" applyNumberFormat="1" applyFont="1" applyAlignment="1">
      <alignment vertical="center"/>
    </xf>
    <xf numFmtId="10" fontId="23" fillId="0" borderId="0" xfId="1" applyNumberFormat="1" applyFont="1"/>
    <xf numFmtId="14" fontId="23" fillId="0" borderId="0" xfId="0" applyNumberFormat="1" applyFont="1"/>
    <xf numFmtId="1" fontId="10" fillId="0" borderId="0" xfId="2" applyNumberFormat="1" applyAlignment="1" applyProtection="1">
      <alignment horizontal="right"/>
      <protection hidden="1"/>
    </xf>
    <xf numFmtId="14" fontId="1" fillId="0" borderId="0" xfId="0" applyNumberFormat="1" applyFont="1"/>
    <xf numFmtId="10" fontId="1" fillId="0" borderId="0" xfId="0" applyNumberFormat="1" applyFont="1"/>
    <xf numFmtId="0" fontId="1" fillId="0" borderId="0" xfId="0" applyFont="1"/>
    <xf numFmtId="0" fontId="21" fillId="0" borderId="5" xfId="0" applyFont="1" applyBorder="1" applyAlignment="1">
      <alignment horizontal="center" wrapText="1"/>
    </xf>
    <xf numFmtId="14" fontId="22" fillId="0" borderId="6" xfId="0" applyNumberFormat="1" applyFont="1" applyBorder="1"/>
    <xf numFmtId="14" fontId="19" fillId="0" borderId="6" xfId="0" applyNumberFormat="1" applyFont="1" applyBorder="1"/>
    <xf numFmtId="4" fontId="21" fillId="0" borderId="3" xfId="0" applyNumberFormat="1" applyFont="1" applyBorder="1" applyAlignment="1">
      <alignment horizontal="center" wrapText="1"/>
    </xf>
    <xf numFmtId="4" fontId="19" fillId="0" borderId="2" xfId="0" applyNumberFormat="1" applyFont="1" applyBorder="1"/>
    <xf numFmtId="4" fontId="19" fillId="0" borderId="7" xfId="0" applyNumberFormat="1" applyFont="1" applyBorder="1"/>
    <xf numFmtId="4" fontId="19" fillId="0" borderId="8" xfId="0" applyNumberFormat="1" applyFont="1" applyBorder="1"/>
    <xf numFmtId="0" fontId="19" fillId="0" borderId="9" xfId="0" applyFont="1" applyBorder="1"/>
    <xf numFmtId="0" fontId="19" fillId="0" borderId="10" xfId="0" applyFont="1" applyBorder="1"/>
    <xf numFmtId="0" fontId="19" fillId="0" borderId="11" xfId="0" applyFont="1" applyBorder="1"/>
    <xf numFmtId="4" fontId="21" fillId="0" borderId="12" xfId="0" applyNumberFormat="1" applyFont="1" applyBorder="1" applyAlignment="1">
      <alignment horizontal="center" wrapText="1"/>
    </xf>
    <xf numFmtId="4" fontId="21" fillId="0" borderId="13" xfId="0" applyNumberFormat="1" applyFont="1" applyBorder="1" applyAlignment="1">
      <alignment horizontal="center" wrapText="1"/>
    </xf>
    <xf numFmtId="0" fontId="24" fillId="5" borderId="9" xfId="0" applyFont="1" applyFill="1" applyBorder="1"/>
    <xf numFmtId="0" fontId="24" fillId="5" borderId="10" xfId="0" applyFont="1" applyFill="1" applyBorder="1" applyAlignment="1">
      <alignment horizontal="left" indent="1"/>
    </xf>
    <xf numFmtId="0" fontId="24" fillId="5" borderId="10" xfId="0" applyFont="1" applyFill="1" applyBorder="1"/>
    <xf numFmtId="0" fontId="24" fillId="5" borderId="11" xfId="0" applyFont="1" applyFill="1" applyBorder="1"/>
    <xf numFmtId="4" fontId="19" fillId="0" borderId="9" xfId="0" applyNumberFormat="1" applyFont="1" applyBorder="1"/>
    <xf numFmtId="0" fontId="21" fillId="0" borderId="14" xfId="0" applyFont="1" applyBorder="1" applyAlignment="1">
      <alignment horizontal="center" wrapText="1"/>
    </xf>
    <xf numFmtId="4" fontId="19" fillId="0" borderId="7" xfId="0" applyNumberFormat="1" applyFont="1" applyBorder="1" applyAlignment="1">
      <alignment horizontal="right"/>
    </xf>
    <xf numFmtId="3" fontId="25" fillId="5" borderId="10" xfId="0" applyNumberFormat="1" applyFont="1" applyFill="1" applyBorder="1" applyAlignment="1">
      <alignment horizontal="right"/>
    </xf>
    <xf numFmtId="3" fontId="25" fillId="5" borderId="11" xfId="0" applyNumberFormat="1" applyFont="1" applyFill="1" applyBorder="1" applyAlignment="1">
      <alignment horizontal="right"/>
    </xf>
    <xf numFmtId="3" fontId="24" fillId="5" borderId="9" xfId="0" applyNumberFormat="1" applyFont="1" applyFill="1" applyBorder="1" applyAlignment="1">
      <alignment horizontal="left" indent="4"/>
    </xf>
    <xf numFmtId="3" fontId="19" fillId="0" borderId="9" xfId="0" applyNumberFormat="1" applyFont="1" applyBorder="1"/>
    <xf numFmtId="3" fontId="19" fillId="0" borderId="10" xfId="0" applyNumberFormat="1" applyFont="1" applyBorder="1"/>
    <xf numFmtId="0" fontId="21" fillId="0" borderId="12" xfId="0" applyFont="1" applyBorder="1" applyAlignment="1">
      <alignment horizontal="center" wrapText="1"/>
    </xf>
    <xf numFmtId="3" fontId="19" fillId="0" borderId="8" xfId="0" applyNumberFormat="1" applyFont="1" applyBorder="1"/>
    <xf numFmtId="3" fontId="9" fillId="0" borderId="10" xfId="0" applyNumberFormat="1" applyFont="1" applyBorder="1" applyAlignment="1">
      <alignment horizontal="left" indent="5"/>
    </xf>
    <xf numFmtId="4" fontId="19" fillId="0" borderId="6" xfId="0" applyNumberFormat="1" applyFont="1" applyBorder="1"/>
    <xf numFmtId="4" fontId="9" fillId="0" borderId="10" xfId="0" applyNumberFormat="1" applyFont="1" applyBorder="1" applyAlignment="1">
      <alignment horizontal="left" indent="4"/>
    </xf>
    <xf numFmtId="0" fontId="19" fillId="5" borderId="9" xfId="0" applyFont="1" applyFill="1" applyBorder="1"/>
    <xf numFmtId="0" fontId="19" fillId="5" borderId="10" xfId="0" applyFont="1" applyFill="1" applyBorder="1"/>
    <xf numFmtId="0" fontId="19" fillId="5" borderId="11" xfId="0" applyFont="1" applyFill="1" applyBorder="1"/>
    <xf numFmtId="0" fontId="9" fillId="0" borderId="10" xfId="0" applyFont="1" applyBorder="1" applyAlignment="1">
      <alignment horizontal="center"/>
    </xf>
    <xf numFmtId="0" fontId="26" fillId="0" borderId="0" xfId="0" applyFont="1" applyAlignment="1">
      <alignment horizontal="center"/>
    </xf>
    <xf numFmtId="165" fontId="19" fillId="0" borderId="6" xfId="0" applyNumberFormat="1" applyFont="1" applyBorder="1"/>
    <xf numFmtId="0" fontId="24" fillId="5" borderId="10" xfId="0" applyFont="1" applyFill="1" applyBorder="1" applyAlignment="1">
      <alignment horizontal="center"/>
    </xf>
    <xf numFmtId="0" fontId="24" fillId="5" borderId="10" xfId="0" applyFont="1" applyFill="1" applyBorder="1" applyAlignment="1">
      <alignment horizontal="left"/>
    </xf>
    <xf numFmtId="0" fontId="24" fillId="5" borderId="10" xfId="0" applyFont="1" applyFill="1" applyBorder="1" applyAlignment="1">
      <alignment horizontal="left" indent="10"/>
    </xf>
    <xf numFmtId="1" fontId="19" fillId="0" borderId="7" xfId="0" applyNumberFormat="1" applyFont="1" applyBorder="1"/>
    <xf numFmtId="0" fontId="19" fillId="0" borderId="6" xfId="0" applyFont="1" applyBorder="1"/>
    <xf numFmtId="4" fontId="20" fillId="0" borderId="1" xfId="0" applyNumberFormat="1" applyFont="1" applyFill="1" applyBorder="1"/>
    <xf numFmtId="0" fontId="12" fillId="0" borderId="0" xfId="0" applyFont="1" applyFill="1"/>
    <xf numFmtId="164" fontId="12" fillId="0" borderId="0" xfId="0" applyNumberFormat="1" applyFont="1" applyFill="1"/>
    <xf numFmtId="1" fontId="12" fillId="0" borderId="0" xfId="2" applyNumberFormat="1" applyFont="1" applyFill="1" applyAlignment="1" applyProtection="1">
      <protection hidden="1"/>
    </xf>
    <xf numFmtId="1" fontId="12" fillId="0" borderId="0" xfId="2" applyNumberFormat="1" applyFont="1" applyFill="1" applyAlignment="1" applyProtection="1">
      <alignment horizontal="center"/>
      <protection hidden="1"/>
    </xf>
  </cellXfs>
  <cellStyles count="3">
    <cellStyle name="Обычный" xfId="0" builtinId="0"/>
    <cellStyle name="Обычный_Приложение 21 Аннуитет расчет" xfId="2" xr:uid="{527484C9-5671-44A9-8BF9-5A16BED1302A}"/>
    <cellStyle name="Процентный" xfId="1" builtinId="5"/>
  </cellStyles>
  <dxfs count="87"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none"/>
      </font>
      <alignment horizontal="left" vertical="bottom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none"/>
      </font>
      <numFmt numFmtId="19" formatCode="dd/mm/yy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#,##0;#,##0;"/>
      <border diagonalUp="0" diagonalDown="0" outline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border diagonalUp="0" diagonalDown="0">
        <left style="thick">
          <color theme="3" tint="-0.24994659260841701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" formatCode="0"/>
      <border diagonalUp="0" diagonalDown="0" outline="0">
        <left style="thick">
          <color theme="3" tint="-0.24994659260841701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border diagonalUp="0" diagonalDown="0" outline="0">
        <left style="thin">
          <color theme="0" tint="-0.34998626667073579"/>
        </left>
        <right style="thick">
          <color theme="3" tint="-0.24994659260841701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border diagonalUp="0" diagonalDown="0">
        <left style="thick">
          <color theme="3" tint="-0.24994659260841701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" formatCode="#,##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border diagonalUp="0" diagonalDown="0">
        <left style="thick">
          <color theme="3" tint="-0.24994659260841701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ck">
          <color theme="4" tint="-0.499984740745262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>
        <left style="thick">
          <color theme="3" tint="-0.24994659260841701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border diagonalUp="0" diagonalDown="0">
        <left style="thick">
          <color theme="3" tint="-0.24994659260841701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border diagonalUp="0" diagonalDown="0">
        <left style="thin">
          <color theme="0" tint="-0.34998626667073579"/>
        </left>
        <right style="thick">
          <color theme="3" tint="-0.24994659260841701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border diagonalUp="0" diagonalDown="0">
        <left style="thick">
          <color theme="3" tint="-0.24994659260841701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border outline="0">
        <top style="thin">
          <color rgb="FFA6A6A6"/>
        </top>
      </border>
    </dxf>
    <dxf>
      <border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border outline="0"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charset val="204"/>
        <scheme val="none"/>
      </font>
      <numFmt numFmtId="164" formatCode="#,##0.00&quot;р.&quot;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charset val="204"/>
        <scheme val="none"/>
      </font>
      <numFmt numFmtId="164" formatCode="#,##0.00&quot;р.&quot;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charset val="204"/>
        <scheme val="none"/>
      </font>
      <numFmt numFmtId="164" formatCode="#,##0.00&quot;р.&quot;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charset val="204"/>
        <scheme val="none"/>
      </font>
      <numFmt numFmtId="164" formatCode="#,##0.00&quot;р.&quot;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charset val="204"/>
        <scheme val="none"/>
      </font>
      <numFmt numFmtId="164" formatCode="#,##0.00&quot;р.&quot;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none"/>
      </font>
      <numFmt numFmtId="19" formatCode="dd/mm/yyyy"/>
      <fill>
        <patternFill patternType="solid">
          <fgColor indexed="64"/>
          <bgColor theme="4" tint="0.79998168889431442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charset val="204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 tint="-0.34998626667073579"/>
        <name val="Arial"/>
        <family val="2"/>
        <charset val="204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charset val="204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charset val="204"/>
        <scheme val="none"/>
      </font>
      <numFmt numFmtId="164" formatCode="#,##0.00&quot;р.&quot;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charset val="204"/>
        <scheme val="none"/>
      </font>
      <numFmt numFmtId="164" formatCode="#,##0.00&quot;р.&quot;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charset val="204"/>
        <scheme val="none"/>
      </font>
      <numFmt numFmtId="164" formatCode="#,##0.00&quot;р.&quot;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charset val="204"/>
        <scheme val="none"/>
      </font>
      <numFmt numFmtId="164" formatCode="#,##0.00&quot;р.&quot;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charset val="204"/>
        <scheme val="none"/>
      </font>
      <numFmt numFmtId="164" formatCode="#,##0.00&quot;р.&quot;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none"/>
      </font>
      <numFmt numFmtId="19" formatCode="dd/mm/yyyy"/>
      <fill>
        <patternFill patternType="solid">
          <fgColor indexed="64"/>
          <bgColor theme="4" tint="0.79998168889431442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charset val="204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charset val="204"/>
        <scheme val="none"/>
      </font>
      <numFmt numFmtId="164" formatCode="#,##0.00&quot;р.&quot;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charset val="204"/>
        <scheme val="none"/>
      </font>
      <numFmt numFmtId="164" formatCode="#,##0.00&quot;р.&quot;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charset val="204"/>
        <scheme val="none"/>
      </font>
      <numFmt numFmtId="164" formatCode="#,##0.00&quot;р.&quot;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charset val="204"/>
        <scheme val="none"/>
      </font>
      <numFmt numFmtId="164" formatCode="#,##0.00&quot;р.&quot;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charset val="204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none"/>
      </font>
      <numFmt numFmtId="19" formatCode="dd/mm/yyyy"/>
      <fill>
        <patternFill patternType="solid">
          <fgColor indexed="64"/>
          <bgColor theme="4" tint="0.7999816888943144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charset val="204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charset val="204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1"/>
    </dxf>
  </dxfs>
  <tableStyles count="0" defaultTableStyle="TableStyleMedium2" defaultPivotStyle="PivotStyleLight16"/>
  <colors>
    <mruColors>
      <color rgb="FF0000FF"/>
      <color rgb="FFB9B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D9CA3A9-DB11-4FB9-A770-AE22F29DA43D}" name="График" displayName="График" ref="A2:I123" totalsRowShown="0" headerRowDxfId="86" dataDxfId="85" headerRowCellStyle="Обычный_Приложение 21 Аннуитет расчет">
  <autoFilter ref="A2:I123" xr:uid="{BF9172FC-EC33-4EC5-8763-9892A94324C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F0AE8CAF-F5FF-4CD0-A63F-16884A4D997F}" name="Дата с учетом нерабочих дней" dataDxfId="84"/>
    <tableColumn id="2" xr3:uid="{EF77F623-547D-432D-9BC9-228901335710}" name="№" dataDxfId="83"/>
    <tableColumn id="3" xr3:uid="{58A50FA9-A6AD-47F2-834D-14C5ECFFAB2B}" name="Срок начало" dataDxfId="82" dataCellStyle="Обычный_Приложение 21 Аннуитет расчет"/>
    <tableColumn id="4" xr3:uid="{A2B4FA32-EA33-475C-BC18-69B95B77C0EC}" name="Срок конец" dataDxfId="81" dataCellStyle="Обычный_Приложение 21 Аннуитет расчет"/>
    <tableColumn id="5" xr3:uid="{B090BF61-6372-4CEC-A512-DDE8C24D85F6}" name="Кол-во дней" dataDxfId="80" dataCellStyle="Обычный_Приложение 21 Аннуитет расчет"/>
    <tableColumn id="8" xr3:uid="{09BE6380-BDC7-402B-A372-0DAE4891D5F9}" name="Возврат основной суммы долга" dataDxfId="79"/>
    <tableColumn id="9" xr3:uid="{745C5998-1AEB-4A27-9010-BFDD8F07DD44}" name="Возврат начисленных %" dataDxfId="78"/>
    <tableColumn id="10" xr3:uid="{79B8AA59-40BB-499D-BBA4-FAC0362D072A}" name="Ежемесячный платеж по кредиту" dataDxfId="77"/>
    <tableColumn id="11" xr3:uid="{11914C04-6020-4A46-9E52-D5C6E435BD4D}" name="остаток ссудной задолженности после платежа" dataDxfId="7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FB577A2-1D48-4AAD-B073-1B2D530B89E4}" name="Рестракт1" displayName="Рестракт1" ref="K2:T117" totalsRowShown="0" headerRowDxfId="75" headerRowCellStyle="Обычный_Приложение 21 Аннуитет расчет">
  <autoFilter ref="K2:T117" xr:uid="{35896E3E-A9C2-4437-9B0E-26ECF9C2F38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CD3A95E4-2E63-4BDB-BD6C-E0D595D983AB}" name="Дата с учетом нерабочих дней" dataDxfId="74">
      <calculatedColumnFormula>(IF((WEEKDAY(N3,16)&lt;3)+(COUNTIF(Нерабочие[],N3)&gt;0),WORKDAY(N3,1,Нерабочие[]),N3))</calculatedColumnFormula>
    </tableColumn>
    <tableColumn id="2" xr3:uid="{96A43079-4B00-4120-B5EC-00FD23A6196A}" name="№" dataDxfId="73"/>
    <tableColumn id="3" xr3:uid="{7373D18E-E90E-43BD-9AD5-BA32DCB7D9DE}" name="Срок начало" dataDxfId="72" dataCellStyle="Обычный_Приложение 21 Аннуитет расчет"/>
    <tableColumn id="4" xr3:uid="{01AB492E-C05A-426A-B490-EAEDB18D30BD}" name="Срок конец" dataDxfId="71" dataCellStyle="Обычный_Приложение 21 Аннуитет расчет"/>
    <tableColumn id="5" xr3:uid="{CE0F527C-F005-4310-BC01-A44E191C5E41}" name="Кол-во дней" dataDxfId="70" dataCellStyle="Обычный_Приложение 21 Аннуитет расчет"/>
    <tableColumn id="6" xr3:uid="{B223EF12-EB39-43CF-BC20-6D3D5554911A}" name="Возврат основной суммы долга" dataDxfId="69"/>
    <tableColumn id="7" xr3:uid="{99DAB3A6-F1F8-4FA9-9B7A-221AAA6B440D}" name="Возврат начисленных %" dataDxfId="68" dataCellStyle="Обычный_Приложение 21 Аннуитет расчет"/>
    <tableColumn id="8" xr3:uid="{7EDD157C-52E2-4C63-BC0E-E7D4B49970A6}" name="Ежемесячный платеж по кредиту" dataDxfId="67"/>
    <tableColumn id="9" xr3:uid="{A20A3DB2-222D-4549-B9E5-1A1D8617F96D}" name="остаток задолженности на начало периода" dataDxfId="66"/>
    <tableColumn id="10" xr3:uid="{0F72ADD8-0080-4F4C-9AB7-464D54A898BB}" name="Комиссия за рестракт" dataDxfId="6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AAF0B5A-B0CB-437F-8E9B-11DF5689BAD0}" name="УслРестрактов" displayName="УслРестрактов" ref="V2:Y14" totalsRowShown="0" headerRowDxfId="64" dataDxfId="63">
  <autoFilter ref="V2:Y14" xr:uid="{933028E9-EF7E-405B-AB41-7B5786B0596B}">
    <filterColumn colId="0" hiddenButton="1"/>
    <filterColumn colId="1" hiddenButton="1"/>
    <filterColumn colId="2" hiddenButton="1"/>
    <filterColumn colId="3" hiddenButton="1"/>
  </autoFilter>
  <tableColumns count="4">
    <tableColumn id="4" xr3:uid="{4B85A165-E79B-447A-8FF1-7820D789E7E1}" name="Key" dataDxfId="62">
      <calculatedColumnFormula>УслРестрактов[[#This Row],[Номер рестракта]]&amp;УслРестрактов[[#This Row],[Характеристика]]</calculatedColumnFormula>
    </tableColumn>
    <tableColumn id="3" xr3:uid="{38B9B3C4-F042-4CDC-99F7-9C4F8A198FCF}" name="Номер рестракта" dataDxfId="61"/>
    <tableColumn id="1" xr3:uid="{2B3CD6E2-2F05-478E-AC8B-1DEE6E6E96A1}" name="Характеристика" dataDxfId="60"/>
    <tableColumn id="2" xr3:uid="{56C883EA-D3D1-40A9-B18C-8907FF60EBAC}" name="Значение" dataDxfId="5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16B73CA-16E6-4300-8D71-54C92990F270}" name="Рестракт2" displayName="Рестракт2" ref="K119:T213" totalsRowShown="0" headerRowDxfId="58" headerRowCellStyle="Обычный_Приложение 21 Аннуитет расчет">
  <autoFilter ref="K119:T213" xr:uid="{DE607CB8-42A1-47C6-9362-FF0437A2F06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A5CA4AFD-40BC-47BB-826E-147FC31EA7C5}" name="Дата с учетом нерабочих дней" dataDxfId="57">
      <calculatedColumnFormula>(IF((WEEKDAY(N120,16)&lt;3)+(COUNTIF(Нерабочие[],N120)&gt;0),WORKDAY(N120,1,Нерабочие[]),N120))</calculatedColumnFormula>
    </tableColumn>
    <tableColumn id="2" xr3:uid="{F1698B27-4E80-472E-90CC-5A193A1596EA}" name="№" dataDxfId="56"/>
    <tableColumn id="3" xr3:uid="{B7A72139-B3EC-4B10-9CC6-124EE84C0A77}" name="Срок начало" dataDxfId="55" dataCellStyle="Обычный_Приложение 21 Аннуитет расчет"/>
    <tableColumn id="4" xr3:uid="{7C8639EF-49D8-442A-8C67-B11AA0060B41}" name="Срок конец" dataDxfId="54" dataCellStyle="Обычный_Приложение 21 Аннуитет расчет"/>
    <tableColumn id="5" xr3:uid="{5E5FE515-B7E0-4082-82F8-754ABFB80754}" name="Кол-во дней" dataDxfId="53" dataCellStyle="Обычный_Приложение 21 Аннуитет расчет"/>
    <tableColumn id="6" xr3:uid="{ECD4CF8C-458A-450B-B521-8A5D34A51F2A}" name="Возврат основной суммы долга" dataDxfId="52"/>
    <tableColumn id="7" xr3:uid="{A19A017E-FF36-4ECF-9103-4F26C9B0CE87}" name="Возврат начисленных %" dataDxfId="51" dataCellStyle="Обычный_Приложение 21 Аннуитет расчет"/>
    <tableColumn id="8" xr3:uid="{3435BDA0-5BDE-43A2-B27D-15096215E9D8}" name="Ежемесячный платеж по кредиту" dataDxfId="50"/>
    <tableColumn id="9" xr3:uid="{6A4A285C-5C9D-4426-BA71-7D86C558AC6F}" name="остаток задолженности на начало периода" dataDxfId="49"/>
    <tableColumn id="10" xr3:uid="{6EACD5D6-8876-46EB-A016-3ED92609B4C9}" name="Комиссия за рестракт" dataDxfId="4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48E4E64-9777-4879-9B36-FB024ECA9879}" name="Первоначальный" displayName="Первоначальный" ref="A11:AL1571" totalsRowShown="0" headerRowDxfId="47" dataDxfId="45" headerRowBorderDxfId="46" tableBorderDxfId="44" totalsRowBorderDxfId="43">
  <autoFilter ref="A11:AL1571" xr:uid="{DAB671CB-BAA2-48C5-BEAB-9AE5F2C8BFA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</autoFilter>
  <tableColumns count="38">
    <tableColumn id="1" xr3:uid="{5FEB995F-83E1-4509-B0B9-54EE02DEA4E5}" name="Дата платежа" dataDxfId="42">
      <calculatedColumnFormula>A11+1</calculatedColumnFormula>
    </tableColumn>
    <tableColumn id="2" xr3:uid="{E6F30797-6FBF-4A89-9002-2C701F807E9A}" name="Остаток ОД на начало периода" dataDxfId="41">
      <calculatedColumnFormula>AC11</calculatedColumnFormula>
    </tableColumn>
    <tableColumn id="3" xr3:uid="{827D5728-502F-42F3-B843-EB7AE85EC2C3}" name="Остаток процентов на начало периода" dataDxfId="40">
      <calculatedColumnFormula>AD11+AI11</calculatedColumnFormula>
    </tableColumn>
    <tableColumn id="27" xr3:uid="{831E7F58-EB72-45C6-AB91-C453820CE5D5}" name="Остаток процентов на просроченный ОД на начало периода" dataDxfId="39"/>
    <tableColumn id="5" xr3:uid="{8FF7AE59-05EA-4E4E-9F44-4B6769036317}" name="Остаток прочих комиссий на начало периода" dataDxfId="38">
      <calculatedColumnFormula>AF11</calculatedColumnFormula>
    </tableColumn>
    <tableColumn id="6" xr3:uid="{D4C405F2-185B-4FF8-9CBA-06A46729E3F2}" name="Неустойка на начало периода" dataDxfId="37">
      <calculatedColumnFormula>AG11+AH11</calculatedColumnFormula>
    </tableColumn>
    <tableColumn id="7" xr3:uid="{4FDC1832-60FA-4104-9979-58C96D9E0BBF}" name="Итого остаток на начало периода" dataDxfId="36">
      <calculatedColumnFormula>AK11</calculatedColumnFormula>
    </tableColumn>
    <tableColumn id="8" xr3:uid="{024424DC-5C7E-4645-90A6-BCFB086ABFF3}" name="Проценты за период" dataDxfId="35">
      <calculatedColumnFormula>ROUND(IF(VLOOKUP($A12,$A$1:$C$8,3,1)=#REF!,0,$B12*VLOOKUP($A12,$A$1:$B$8,2,1)/(365+IF(MOD(YEAR($A12),4),0,1)*($A12-$A11))),2)</calculatedColumnFormula>
    </tableColumn>
    <tableColumn id="4" xr3:uid="{4A757578-C037-48E3-A234-0474C1123289}" name="Проценты на просроченный платеж по ОД за период" dataDxfId="34">
      <calculatedColumnFormula>ROUND(P11*VLOOKUP($A12,$A$1:$B$10,2,1)/(365+IF(MOD(YEAR($A12),4),0,1)*($A12-$A11)),2)</calculatedColumnFormula>
    </tableColumn>
    <tableColumn id="9" xr3:uid="{76B9A35C-8C90-4685-8DC1-C704C44824E8}" name="Комиссия за период" dataDxfId="33"/>
    <tableColumn id="10" xr3:uid="{8EAC68AC-6C4D-4E72-804A-463F0CEF35AA}" name="Неустойка за период" dataDxfId="32">
      <calculatedColumnFormula>IF(S12&lt;&gt;0,P12*$B$7,0)</calculatedColumnFormula>
    </tableColumn>
    <tableColumn id="39" xr3:uid="{75F984BB-7676-4546-ACA3-40F1E9766D15}" name="Выдача ОД за период" dataDxfId="31"/>
    <tableColumn id="11" xr3:uid="{76F2D44B-5F75-4833-A469-659CA25D786A}" name="Платеж ОД по графику" dataDxfId="30">
      <calculatedColumnFormula>SUMIFS(График[Возврат основной суммы долга],График[Дата с учетом нерабочих дней],$A12)</calculatedColumnFormula>
    </tableColumn>
    <tableColumn id="12" xr3:uid="{B15E7BD6-61DE-4CD4-A916-12DB4C53B010}" name="Платеж процентов и комиссий по графику" dataDxfId="29">
      <calculatedColumnFormula>SUMIFS(График[Возврат начисленных %],График[Дата с учетом нерабочих дней],$A12)</calculatedColumnFormula>
    </tableColumn>
    <tableColumn id="13" xr3:uid="{9E36360D-0E07-4007-A1FB-6DCD89D0807F}" name="Полученный платеж" dataDxfId="28"/>
    <tableColumn id="14" xr3:uid="{348326EB-E303-4E03-849D-BF79C06974D8}" name="Просроченный платеж по ОД" dataDxfId="27">
      <calculatedColumnFormula array="1">IF(AA11="Да",0,SUM(INDIRECT("M"&amp;(MAX(("Да"=AA11:AA$12)*ROW(AA11:AA$12)+1,ROW($P$12))&amp;":M"&amp;(ROW()))))-SUM(INDIRECT("W"&amp;(MAX(("Да"=AA11:AA$12)*ROW(AA11:AA$12)+1,ROW($P$12))&amp;":W"&amp;(ROW())))))</calculatedColumnFormula>
    </tableColumn>
    <tableColumn id="37" xr3:uid="{CD42CE36-C902-4246-90C5-A038AE953AB5}" name="Просроченный платеж по процентам" dataDxfId="26">
      <calculatedColumnFormula>SUM($N12:N$13)-SUM($T12:T$13)</calculatedColumnFormula>
    </tableColumn>
    <tableColumn id="36" xr3:uid="{FE494C2E-5C32-4FBC-970C-3C996D5AC509}" name="Просроченный платеж" dataDxfId="25">
      <calculatedColumnFormula>Первоначальный[[#This Row],[Просроченный платеж по ОД]]+Первоначальный[[#This Row],[Просроченный платеж по процентам]]</calculatedColumnFormula>
    </tableColumn>
    <tableColumn id="15" xr3:uid="{77D3A6D7-BB37-43EF-B942-650CAF402509}" name="Кол-во дней просрочки" dataDxfId="24">
      <calculatedColumnFormula>IF(P12&lt;1,0,S11+1)</calculatedColumnFormula>
    </tableColumn>
    <tableColumn id="17" xr3:uid="{A339124E-70D2-457A-AF36-EF5FC43EFEAF}" name="Полученный платёж по процентам" dataDxfId="23">
      <calculatedColumnFormula array="1">IF(
AND(TYPE(VLOOKUP(1,$Z$12:Z12,1,0))=16,Первоначальный[[#This Row],[Досрочное погашение (да/"")]]=""),0,
_xlfn.IFS(
AND(S11=0,Первоначальный[[#This Row],[Дата платежа из графика]]=""),0,
AND(S11=0,Первоначальный[[#This Row],[Дата платежа из графика]]=1,MAX((0&lt;&gt;S11:S$12)*ROW(S11:S$12),ROW($S$12))&gt;MAX((1=Z11:Z$12)*ROW(Z11:Z$12),ROW($T$12)),TYPE(VLOOKUP("Да",(INDIRECT("AA"&amp;(MAX((1=Z11:Z$12)*ROW(Z11:Z$12),ROW($T$12))&amp;":AA"&amp;(ROW()-1)))),1,0))=16),MIN(LOOKUP(,-1/($Z$12:Z12=1),$C$12:C12)+LOOKUP(,-1/($Z$12:Z12=1),$H$12:H12),Первоначальный[[#This Row],[Полученный платеж]]+Y11),
AND(S11=0,Первоначальный[[#This Row],[Дата платежа из графика]]=1),MIN(LOOKUP(,-1/($Z$12:Z12=1),$C$12:C12)+LOOKUP(,-1/($Z$12:Z12=1),$H$12:H12)-IF(Z11=1,0,SUM(INDIRECT("T"&amp;(MAX((1=Z11:Z$12)*ROW(Z11:Z$12)+1,ROW($T$12))&amp;":T"&amp;(ROW()-1))))),Первоначальный[[#This Row],[Полученный платеж]]+Y11),
AND(S11&gt;0,MAX((1=S11:S$12)*ROW(S11:S$12),ROW($S$12))&gt;MAX((1=Z11:Z$12)*ROW(Z11:Z$12),ROW($T$12)),TYPE(VLOOKUP("Да",(INDIRECT("AA"&amp;(MAX((1=Z11:Z$12)*ROW(Z11:Z$12),ROW($T$12))&amp;":AA"&amp;(ROW()-1)))),1,0))=16),MIN(LOOKUP(,-1/($Z$12:Z12=1),$C$12:C12)+LOOKUP(,-1/($Z$12:Z12=1),$H$12:H12)-SUM(INDIRECT("T"&amp;(MAX((1=Z11:Z$12)*ROW(Z11:Z$12),ROW($T$12))&amp;":T"&amp;(ROW()-1)))),Первоначальный[[#This Row],[Полученный платеж]]+Y11),
S11&gt;0,MIN(LOOKUP(,-1/($Z$12:Z12=1),$C$12:C12)+LOOKUP(,-1/($Z$12:Z12=1),$H$12:H12)-IF(Z11=1,0,SUM(INDIRECT("T"&amp;(MAX((1=Z11:Z$12)*ROW(Z11:Z$12)+1,ROW($T$12))&amp;":T"&amp;(ROW()-1))))),Первоначальный[[#This Row],[Полученный платеж]]+Y11)
)
)</calculatedColumnFormula>
    </tableColumn>
    <tableColumn id="38" xr3:uid="{17DF8159-A365-4DBF-9F2D-F468BC3881A8}" name="Полученный платёж по процентам на просроченный ОД" dataDxfId="22">
      <calculatedColumnFormula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платеж]]+Y11-Первоначальный[[#This Row],[Полученный платёж по процентам]])</calculatedColumnFormula>
    </tableColumn>
    <tableColumn id="18" xr3:uid="{165553E1-0CDF-4638-BBD2-01B156F8E38D}" name="Полученный платёж по прочим комиссиям" dataDxfId="21">
      <calculatedColumnFormula>MAX(MIN(SUM(O12,Y11)-SUM(T12:T12),SUM(E12,J12)),0)</calculatedColumnFormula>
    </tableColumn>
    <tableColumn id="19" xr3:uid="{770919DF-FF46-4057-A4C3-1BD0176FC531}" name="Полученный платёж по ОД" dataDxfId="20">
      <calculatedColumnFormula array="1">_xlfn.IFS(
AND(TYPE(VLOOKUP(1,$Z$12:Z12,1,0))=16,Первоначальный[[#This Row],[Досрочное погашение (да/"")]]=""),0,
AND(S11=0,Первоначальный[[#This Row],[Дата платежа из графика]]=""),0,
AND(S11=0,Первоначальный[[#This Row],[Досрочное погашение (да/"")]]=""),MIN(Первоначальный[[#This Row],[Полученный платеж]]+Y11-SUM(Первоначальный[[#This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комиссиям]]),VLOOKUP(LOOKUP(,-1/($Z$12:Z12=1),$A$12:A12),Рестракт2[[Срок конец]:[Возврат основной суммы долга]],3,0)),
Первоначальный[[#This Row],[Досрочное погашение (да/"")]]="Да",MIN(Первоначальный[[#This Row],[Полученный платеж]]+Y11-SUM(Первоначальный[[#This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S11&gt;0,MIN(Первоначальный[[#This Row],[Полученный платеж]]+Y11-SUM(Первоначальный[[#This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комиссиям]]),SUM(INDIRECT("M"&amp;(MAX((1=S11:S$12)*ROW(S11:S$12),ROW($W$12))&amp;":M"&amp;(ROW()))))-SUM(INDIRECT("W"&amp;(MAX((1=S11:S$12)*ROW(S11:S$12),ROW($W$12))&amp;":W"&amp;(ROW()-1)))))
)</calculatedColumnFormula>
    </tableColumn>
    <tableColumn id="20" xr3:uid="{CF42947F-F08D-4F74-B1B2-D8A5518AE121}" name="Полученный платёж по неустойке" dataDxfId="19">
      <calculatedColumnFormula>MAX(MIN(SUM(O12,Y11)-SUM(T12:W12),SUM(F12,K12)),0)</calculatedColumnFormula>
    </tableColumn>
    <tableColumn id="21" xr3:uid="{556D6002-3CDE-4A7B-97DE-69BC6EA72CAE}" name="Переплата" dataDxfId="18">
      <calculatedColumnFormula>Y11+O12-SUM(T12:X12)</calculatedColumnFormula>
    </tableColumn>
    <tableColumn id="22" xr3:uid="{6DE2D5E5-E2D0-41EF-A8DC-6169B9D06E74}" name="Дата платежа из графика" dataDxfId="17">
      <calculatedColumnFormula>IF(TYPE((VLOOKUP(Первоначальный[[#This Row],[Дата платежа]],График[Срок конец],1,0)))=16,"",1)</calculatedColumnFormula>
    </tableColumn>
    <tableColumn id="23" xr3:uid="{E13E4892-B562-41F0-9E24-8E713B0432C6}" name="Досрочное погашение (да/&quot;&quot;)" dataDxfId="16"/>
    <tableColumn id="24" xr3:uid="{B14919D9-1042-4064-8760-9CD57B002C8D}" name="Цель досрочного погашения (ОД/&quot;&quot;)" dataDxfId="15"/>
    <tableColumn id="25" xr3:uid="{8A2264FE-9C70-438B-AEEF-4D5ECA595845}" name="Остаток ОД на конец периода" dataDxfId="14">
      <calculatedColumnFormula>B12-W12</calculatedColumnFormula>
    </tableColumn>
    <tableColumn id="26" xr3:uid="{EB14F7F7-076F-4C15-A0F5-C7343F378DB9}" name="Остаток процентов на конец периода" dataDxfId="13">
      <calculatedColumnFormula>C12+H12-T12</calculatedColumnFormula>
    </tableColumn>
    <tableColumn id="35" xr3:uid="{A51C1A5D-4294-47BC-8548-53C5598C7ADD}" name="Остаток процентов на просроченный ОД на конец периода" dataDxfId="12">
      <calculatedColumnFormula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calculatedColumnFormula>
    </tableColumn>
    <tableColumn id="28" xr3:uid="{F6C40D86-B706-463D-8939-672981EAAE92}" name="Остаток прочих комиссий на конец периода" dataDxfId="11">
      <calculatedColumnFormula>E12+J12-V12</calculatedColumnFormula>
    </tableColumn>
    <tableColumn id="29" xr3:uid="{EDF68E05-6C07-461A-8A13-7BCBC653F26D}" name="Неустойка на конец периода" dataDxfId="10">
      <calculatedColumnFormula>F12+K12-X12</calculatedColumnFormula>
    </tableColumn>
    <tableColumn id="30" xr3:uid="{4BAB396D-E497-4829-9ACD-9EB19024F0C7}" name="Списание неустойки" dataDxfId="9"/>
    <tableColumn id="31" xr3:uid="{79269F26-DB42-41B5-8F2C-ECFD5DCDB155}" name="Списание процентов" dataDxfId="8"/>
    <tableColumn id="16" xr3:uid="{1D2DFF74-14D4-4122-BBA3-F714A760A1CA}" name="Списание процентов на просроченный платеж по ОД" dataDxfId="7"/>
    <tableColumn id="32" xr3:uid="{342816A5-D375-4422-BD01-56EA80073306}" name="Итого остаток на конец периода" dataDxfId="6">
      <calculatedColumnFormula>SUM(AC12:AI12)</calculatedColumnFormula>
    </tableColumn>
    <tableColumn id="33" xr3:uid="{55D37658-CCA8-4794-9EAA-0615ADF5DEBB}" name="Рестракт" dataDxfId="5">
      <calculatedColumnFormula array="1">MAX((УслРестрактов[Характеристика]="Дата реструктуризации")*(УслРестрактов[Значение]=Первоначальный!$A12),0)</calculatedColumnFormula>
    </tableColumn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53A6C4-C9B4-409C-88CA-2C5886659933}" name="Нерабочие" displayName="Нерабочие" ref="A1:A85" totalsRowShown="0" headerRowDxfId="4" dataDxfId="3">
  <autoFilter ref="A1:A85" xr:uid="{A34FBBAD-BDD8-4B8B-8103-AC51A5B6F72D}"/>
  <tableColumns count="1">
    <tableColumn id="1" xr3:uid="{2710AF23-2D3C-46D8-94CC-056FC0E3080B}" name="Нерабочие" dataDxfId="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29B2CD-E517-41A0-95BE-C54577B875F8}" name="Рестракты" displayName="Рестракты" ref="C1:D13" totalsRowShown="0" headerRowDxfId="1">
  <autoFilter ref="C1:D13" xr:uid="{8CF093F0-B686-4D11-BC59-52284FE713DF}">
    <filterColumn colId="0" hiddenButton="1"/>
    <filterColumn colId="1" hiddenButton="1"/>
  </autoFilter>
  <tableColumns count="2">
    <tableColumn id="2" xr3:uid="{00F1ABDB-DD13-4D3E-8717-232EAF0DFF6E}" name="Вид рестракта" dataDxfId="0"/>
    <tableColumn id="3" xr3:uid="{34BB5CFD-0207-47D2-B4F5-325DB219E883}" name="Код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C4234-7FEF-445F-BD82-A62E1EC7A04C}">
  <dimension ref="A1:Y213"/>
  <sheetViews>
    <sheetView zoomScale="70" zoomScaleNormal="70" workbookViewId="0">
      <pane ySplit="2" topLeftCell="A3" activePane="bottomLeft" state="frozen"/>
      <selection pane="bottomLeft" activeCell="G22" sqref="G22"/>
    </sheetView>
  </sheetViews>
  <sheetFormatPr defaultColWidth="9.08984375" defaultRowHeight="12.5" x14ac:dyDescent="0.25"/>
  <cols>
    <col min="1" max="1" width="15.54296875" style="1" customWidth="1"/>
    <col min="2" max="2" width="6.453125" style="1" bestFit="1" customWidth="1"/>
    <col min="3" max="3" width="11.08984375" style="1" customWidth="1"/>
    <col min="4" max="4" width="11.08984375" style="3" customWidth="1"/>
    <col min="5" max="5" width="9" style="1" customWidth="1"/>
    <col min="6" max="8" width="16" style="1" customWidth="1"/>
    <col min="9" max="9" width="16.6328125" style="1" customWidth="1"/>
    <col min="10" max="10" width="4.36328125" style="1" customWidth="1"/>
    <col min="11" max="11" width="16.453125" style="1" customWidth="1"/>
    <col min="12" max="12" width="4.36328125" style="1" customWidth="1"/>
    <col min="13" max="14" width="12" style="1" customWidth="1"/>
    <col min="15" max="15" width="8.54296875" style="3" customWidth="1"/>
    <col min="16" max="16" width="14.453125" style="1" customWidth="1"/>
    <col min="17" max="18" width="15.54296875" style="1" customWidth="1"/>
    <col min="19" max="19" width="16.6328125" style="1" customWidth="1"/>
    <col min="20" max="20" width="12.453125" style="17" bestFit="1" customWidth="1"/>
    <col min="21" max="21" width="4.36328125" style="1" customWidth="1"/>
    <col min="22" max="22" width="5.90625" style="1" customWidth="1"/>
    <col min="23" max="23" width="11" style="1" customWidth="1"/>
    <col min="24" max="24" width="27" style="1" customWidth="1"/>
    <col min="25" max="25" width="31.453125" style="1" bestFit="1" customWidth="1"/>
    <col min="26" max="16384" width="9.08984375" style="1"/>
  </cols>
  <sheetData>
    <row r="1" spans="1:25" ht="13" x14ac:dyDescent="0.3">
      <c r="A1" s="15" t="s">
        <v>40</v>
      </c>
      <c r="B1" s="15"/>
      <c r="C1" s="15"/>
      <c r="D1" s="25"/>
      <c r="E1" s="15"/>
      <c r="F1" s="15"/>
      <c r="G1" s="15"/>
      <c r="H1" s="15"/>
      <c r="I1" s="15"/>
      <c r="K1" s="15" t="s">
        <v>64</v>
      </c>
      <c r="L1" s="15"/>
      <c r="M1" s="18"/>
      <c r="N1" s="15"/>
      <c r="O1" s="25"/>
      <c r="P1" s="15"/>
      <c r="Q1" s="15"/>
      <c r="R1" s="15"/>
      <c r="S1" s="15"/>
      <c r="T1" s="16"/>
      <c r="V1" s="15" t="s">
        <v>65</v>
      </c>
      <c r="W1" s="15"/>
      <c r="X1" s="15"/>
      <c r="Y1" s="15"/>
    </row>
    <row r="2" spans="1:25" s="32" customFormat="1" ht="34.5" x14ac:dyDescent="0.25">
      <c r="A2" s="27" t="s">
        <v>39</v>
      </c>
      <c r="B2" s="28" t="s">
        <v>33</v>
      </c>
      <c r="C2" s="29" t="s">
        <v>60</v>
      </c>
      <c r="D2" s="30" t="s">
        <v>61</v>
      </c>
      <c r="E2" s="29" t="s">
        <v>34</v>
      </c>
      <c r="F2" s="31" t="s">
        <v>35</v>
      </c>
      <c r="G2" s="29" t="s">
        <v>36</v>
      </c>
      <c r="H2" s="29" t="s">
        <v>37</v>
      </c>
      <c r="I2" s="29" t="s">
        <v>38</v>
      </c>
      <c r="K2" s="27" t="s">
        <v>39</v>
      </c>
      <c r="L2" s="28" t="s">
        <v>33</v>
      </c>
      <c r="M2" s="29" t="s">
        <v>60</v>
      </c>
      <c r="N2" s="30" t="s">
        <v>61</v>
      </c>
      <c r="O2" s="29" t="s">
        <v>34</v>
      </c>
      <c r="P2" s="29" t="s">
        <v>35</v>
      </c>
      <c r="Q2" s="29" t="s">
        <v>36</v>
      </c>
      <c r="R2" s="31" t="s">
        <v>37</v>
      </c>
      <c r="S2" s="29" t="s">
        <v>71</v>
      </c>
      <c r="T2" s="29" t="s">
        <v>41</v>
      </c>
      <c r="V2" s="40" t="s">
        <v>69</v>
      </c>
      <c r="W2" s="27" t="s">
        <v>70</v>
      </c>
      <c r="X2" s="27" t="s">
        <v>66</v>
      </c>
      <c r="Y2" s="27" t="s">
        <v>67</v>
      </c>
    </row>
    <row r="3" spans="1:25" ht="13" x14ac:dyDescent="0.3">
      <c r="A3" s="26">
        <f>(IF((WEEKDAY(D3,16)&lt;3)+(COUNTIF(Нерабочие[],D3)&gt;0),WORKDAY(D3,1,Нерабочие[]),D3))</f>
        <v>44159</v>
      </c>
      <c r="B3" s="64">
        <v>0</v>
      </c>
      <c r="C3" s="65">
        <v>44144</v>
      </c>
      <c r="D3" s="66">
        <v>44159</v>
      </c>
      <c r="E3" s="64">
        <v>15</v>
      </c>
      <c r="F3" s="67"/>
      <c r="G3" s="67">
        <v>1223.3606557377047</v>
      </c>
      <c r="H3" s="67"/>
      <c r="I3" s="67">
        <v>150000</v>
      </c>
      <c r="K3" s="26">
        <f>(IF((WEEKDAY(N3,16)&lt;3)+(COUNTIF(Нерабочие[],N3)&gt;0),WORKDAY(N3,1,Нерабочие[]),N3))</f>
        <v>2</v>
      </c>
      <c r="L3" s="79"/>
      <c r="M3" s="80"/>
      <c r="N3" s="81"/>
      <c r="O3" s="82"/>
      <c r="P3" s="83"/>
      <c r="Q3" s="83"/>
      <c r="R3" s="83"/>
      <c r="S3" s="83"/>
      <c r="T3" s="63"/>
      <c r="V3" s="41" t="str">
        <f>УслРестрактов[[#This Row],[Номер рестракта]]&amp;УслРестрактов[[#This Row],[Характеристика]]</f>
        <v>1Дата реструктуризации</v>
      </c>
      <c r="W3" s="38">
        <v>1</v>
      </c>
      <c r="X3" s="1" t="s">
        <v>57</v>
      </c>
      <c r="Y3" s="92"/>
    </row>
    <row r="4" spans="1:25" ht="13" x14ac:dyDescent="0.3">
      <c r="A4" s="26">
        <f>(IF((WEEKDAY(D4,16)&lt;3)+(COUNTIF(Нерабочие[],D4)&gt;0),WORKDAY(D4,1,Нерабочие[]),D4))</f>
        <v>44174</v>
      </c>
      <c r="B4" s="64">
        <v>1</v>
      </c>
      <c r="C4" s="65">
        <v>44144</v>
      </c>
      <c r="D4" s="66">
        <v>44174</v>
      </c>
      <c r="E4" s="64">
        <v>30</v>
      </c>
      <c r="F4" s="67">
        <v>0</v>
      </c>
      <c r="G4" s="67">
        <v>1223.3599999999999</v>
      </c>
      <c r="H4" s="67">
        <v>1223.3599999999999</v>
      </c>
      <c r="I4" s="67">
        <v>150000</v>
      </c>
      <c r="K4" s="26">
        <f>(IF((WEEKDAY(N4,16)&lt;3)+(COUNTIF(Нерабочие[],N4)&gt;0),WORKDAY(N4,1,Нерабочие[]),N4))</f>
        <v>2</v>
      </c>
      <c r="L4" s="79"/>
      <c r="M4" s="80"/>
      <c r="N4" s="81"/>
      <c r="O4" s="82"/>
      <c r="P4" s="83"/>
      <c r="Q4" s="83"/>
      <c r="R4" s="83"/>
      <c r="S4" s="83"/>
      <c r="T4" s="63"/>
      <c r="V4" s="41" t="str">
        <f>УслРестрактов[[#This Row],[Номер рестракта]]&amp;УслРестрактов[[#This Row],[Характеристика]]</f>
        <v>1Дата погашения новая</v>
      </c>
      <c r="W4" s="38">
        <v>1</v>
      </c>
      <c r="X4" s="1" t="s">
        <v>55</v>
      </c>
      <c r="Y4" s="92"/>
    </row>
    <row r="5" spans="1:25" ht="13" x14ac:dyDescent="0.3">
      <c r="A5" s="26">
        <f>(IF((WEEKDAY(D5,16)&lt;3)+(COUNTIF(Нерабочие[],D5)&gt;0),WORKDAY(D5,1,Нерабочие[]),D5))</f>
        <v>44207</v>
      </c>
      <c r="B5" s="64">
        <v>2</v>
      </c>
      <c r="C5" s="65">
        <v>44174</v>
      </c>
      <c r="D5" s="66">
        <v>44205</v>
      </c>
      <c r="E5" s="64">
        <v>31</v>
      </c>
      <c r="F5" s="67">
        <v>366.71000000000004</v>
      </c>
      <c r="G5" s="67">
        <v>2530.29</v>
      </c>
      <c r="H5" s="67">
        <v>2897</v>
      </c>
      <c r="I5" s="67">
        <v>149633.29</v>
      </c>
      <c r="K5" s="26">
        <f>(IF((WEEKDAY(N5,16)&lt;3)+(COUNTIF(Нерабочие[],N5)&gt;0),WORKDAY(N5,1,Нерабочие[]),N5))</f>
        <v>2</v>
      </c>
      <c r="L5" s="68"/>
      <c r="M5" s="65"/>
      <c r="N5" s="66"/>
      <c r="O5" s="84"/>
      <c r="P5" s="85"/>
      <c r="Q5" s="85"/>
      <c r="R5" s="85"/>
      <c r="S5" s="85"/>
      <c r="T5" s="67"/>
      <c r="V5" s="41" t="str">
        <f>УслРестрактов[[#This Row],[Номер рестракта]]&amp;УслРестрактов[[#This Row],[Характеристика]]</f>
        <v>1Процентная ставка новая 1</v>
      </c>
      <c r="W5" s="38">
        <v>1</v>
      </c>
      <c r="X5" s="38" t="str">
        <f>"Процентная ставка новая "&amp;УслРестрактов[[#This Row],[Номер рестракта]]</f>
        <v>Процентная ставка новая 1</v>
      </c>
      <c r="Y5" s="93"/>
    </row>
    <row r="6" spans="1:25" ht="13" x14ac:dyDescent="0.3">
      <c r="A6" s="26">
        <f>(IF((WEEKDAY(D6,16)&lt;3)+(COUNTIF(Нерабочие[],D6)&gt;0),WORKDAY(D6,1,Нерабочие[]),D6))</f>
        <v>44236</v>
      </c>
      <c r="B6" s="64">
        <v>3</v>
      </c>
      <c r="C6" s="65">
        <v>44205</v>
      </c>
      <c r="D6" s="66">
        <v>44236</v>
      </c>
      <c r="E6" s="64">
        <v>31</v>
      </c>
      <c r="F6" s="67">
        <v>367.98999999999978</v>
      </c>
      <c r="G6" s="67">
        <v>2529.0100000000002</v>
      </c>
      <c r="H6" s="67">
        <v>2897</v>
      </c>
      <c r="I6" s="67">
        <v>149265.30000000002</v>
      </c>
      <c r="K6" s="26">
        <f>(IF((WEEKDAY(N6,16)&lt;3)+(COUNTIF(Нерабочие[],N6)&gt;0),WORKDAY(N6,1,Нерабочие[]),N6))</f>
        <v>2</v>
      </c>
      <c r="L6" s="68"/>
      <c r="M6" s="65"/>
      <c r="N6" s="66"/>
      <c r="O6" s="84"/>
      <c r="P6" s="85"/>
      <c r="Q6" s="85"/>
      <c r="R6" s="85"/>
      <c r="S6" s="85"/>
      <c r="T6" s="67"/>
      <c r="V6" s="41" t="str">
        <f>УслРестрактов[[#This Row],[Номер рестракта]]&amp;УслРестрактов[[#This Row],[Характеристика]]</f>
        <v>1Тип графика</v>
      </c>
      <c r="W6" s="38">
        <v>1</v>
      </c>
      <c r="X6" s="60" t="s">
        <v>72</v>
      </c>
      <c r="Y6" s="93"/>
    </row>
    <row r="7" spans="1:25" ht="13" x14ac:dyDescent="0.3">
      <c r="A7" s="26">
        <f>(IF((WEEKDAY(D7,16)&lt;3)+(COUNTIF(Нерабочие[],D7)&gt;0),WORKDAY(D7,1,Нерабочие[]),D7))</f>
        <v>44264</v>
      </c>
      <c r="B7" s="64">
        <v>4</v>
      </c>
      <c r="C7" s="65">
        <v>44236</v>
      </c>
      <c r="D7" s="66">
        <v>44264</v>
      </c>
      <c r="E7" s="64">
        <v>28</v>
      </c>
      <c r="F7" s="67">
        <v>618.34999999999991</v>
      </c>
      <c r="G7" s="67">
        <v>2278.65</v>
      </c>
      <c r="H7" s="67">
        <v>2897</v>
      </c>
      <c r="I7" s="67">
        <v>148646.95000000001</v>
      </c>
      <c r="K7" s="26">
        <f>(IF((WEEKDAY(N7,16)&lt;3)+(COUNTIF(Нерабочие[],N7)&gt;0),WORKDAY(N7,1,Нерабочие[]),N7))</f>
        <v>2</v>
      </c>
      <c r="L7" s="68"/>
      <c r="M7" s="65"/>
      <c r="N7" s="66"/>
      <c r="O7" s="84"/>
      <c r="P7" s="85"/>
      <c r="Q7" s="85"/>
      <c r="R7" s="85"/>
      <c r="S7" s="85"/>
      <c r="T7" s="67"/>
      <c r="V7" s="41" t="str">
        <f>УслРестрактов[[#This Row],[Номер рестракта]]&amp;УслРестрактов[[#This Row],[Характеристика]]</f>
        <v>1Вид реструктуризаций</v>
      </c>
      <c r="W7" s="38">
        <v>1</v>
      </c>
      <c r="X7" s="1" t="s">
        <v>56</v>
      </c>
      <c r="Y7" s="94"/>
    </row>
    <row r="8" spans="1:25" ht="13" x14ac:dyDescent="0.3">
      <c r="A8" s="26">
        <f>(IF((WEEKDAY(D8,16)&lt;3)+(COUNTIF(Нерабочие[],D8)&gt;0),WORKDAY(D8,1,Нерабочие[]),D8))</f>
        <v>44295</v>
      </c>
      <c r="B8" s="64">
        <v>5</v>
      </c>
      <c r="C8" s="65">
        <v>44264</v>
      </c>
      <c r="D8" s="66">
        <v>44295</v>
      </c>
      <c r="E8" s="64">
        <v>31</v>
      </c>
      <c r="F8" s="67">
        <v>384.65999999999985</v>
      </c>
      <c r="G8" s="67">
        <v>2512.34</v>
      </c>
      <c r="H8" s="67">
        <v>2897</v>
      </c>
      <c r="I8" s="67">
        <v>148262.29</v>
      </c>
      <c r="K8" s="26">
        <f>(IF((WEEKDAY(N8,16)&lt;3)+(COUNTIF(Нерабочие[],N8)&gt;0),WORKDAY(N8,1,Нерабочие[]),N8))</f>
        <v>2</v>
      </c>
      <c r="L8" s="68"/>
      <c r="M8" s="65"/>
      <c r="N8" s="66"/>
      <c r="O8" s="84"/>
      <c r="P8" s="85"/>
      <c r="Q8" s="85"/>
      <c r="R8" s="85"/>
      <c r="S8" s="85"/>
      <c r="T8" s="67"/>
      <c r="V8" s="41" t="str">
        <f>УслРестрактов[[#This Row],[Номер рестракта]]&amp;УслРестрактов[[#This Row],[Характеристика]]</f>
        <v>1Код реструктуризации</v>
      </c>
      <c r="W8" s="38">
        <v>1</v>
      </c>
      <c r="X8" s="1" t="s">
        <v>59</v>
      </c>
      <c r="Y8" s="3"/>
    </row>
    <row r="9" spans="1:25" ht="13" x14ac:dyDescent="0.3">
      <c r="A9" s="26">
        <f>(IF((WEEKDAY(D9,16)&lt;3)+(COUNTIF(Нерабочие[],D9)&gt;0),WORKDAY(D9,1,Нерабочие[]),D9))</f>
        <v>44326</v>
      </c>
      <c r="B9" s="64">
        <v>6</v>
      </c>
      <c r="C9" s="65">
        <v>44295</v>
      </c>
      <c r="D9" s="66">
        <v>44325</v>
      </c>
      <c r="E9" s="64">
        <v>30</v>
      </c>
      <c r="F9" s="67">
        <v>472</v>
      </c>
      <c r="G9" s="67">
        <v>2425</v>
      </c>
      <c r="H9" s="67">
        <v>2897</v>
      </c>
      <c r="I9" s="67">
        <v>147790.29</v>
      </c>
      <c r="K9" s="26">
        <f>(IF((WEEKDAY(N9,16)&lt;3)+(COUNTIF(Нерабочие[],N9)&gt;0),WORKDAY(N9,1,Нерабочие[]),N9))</f>
        <v>2</v>
      </c>
      <c r="L9" s="68"/>
      <c r="M9" s="65"/>
      <c r="N9" s="66"/>
      <c r="O9" s="84"/>
      <c r="P9" s="85"/>
      <c r="Q9" s="85"/>
      <c r="R9" s="85"/>
      <c r="S9" s="85"/>
      <c r="T9" s="67"/>
      <c r="V9" s="41" t="str">
        <f>УслРестрактов[[#This Row],[Номер рестракта]]&amp;УслРестрактов[[#This Row],[Характеристика]]</f>
        <v>2Дата реструктуризации</v>
      </c>
      <c r="W9" s="38">
        <v>2</v>
      </c>
      <c r="X9" s="38" t="s">
        <v>57</v>
      </c>
      <c r="Y9" s="92"/>
    </row>
    <row r="10" spans="1:25" ht="13" x14ac:dyDescent="0.3">
      <c r="A10" s="26">
        <f>(IF((WEEKDAY(D10,16)&lt;3)+(COUNTIF(Нерабочие[],D10)&gt;0),WORKDAY(D10,1,Нерабочие[]),D10))</f>
        <v>44356</v>
      </c>
      <c r="B10" s="64">
        <v>7</v>
      </c>
      <c r="C10" s="65">
        <v>44325</v>
      </c>
      <c r="D10" s="66">
        <v>44356</v>
      </c>
      <c r="E10" s="64">
        <v>31</v>
      </c>
      <c r="F10" s="67">
        <v>399.13999999999987</v>
      </c>
      <c r="G10" s="67">
        <v>2497.86</v>
      </c>
      <c r="H10" s="67">
        <v>2897</v>
      </c>
      <c r="I10" s="67">
        <v>147391.15</v>
      </c>
      <c r="K10" s="26">
        <f>(IF((WEEKDAY(N10,16)&lt;3)+(COUNTIF(Нерабочие[],N10)&gt;0),WORKDAY(N10,1,Нерабочие[]),N10))</f>
        <v>2</v>
      </c>
      <c r="L10" s="68"/>
      <c r="M10" s="65"/>
      <c r="N10" s="66"/>
      <c r="O10" s="84"/>
      <c r="P10" s="85"/>
      <c r="Q10" s="85"/>
      <c r="R10" s="85"/>
      <c r="S10" s="85"/>
      <c r="T10" s="67"/>
      <c r="V10" s="41" t="str">
        <f>УслРестрактов[[#This Row],[Номер рестракта]]&amp;УслРестрактов[[#This Row],[Характеристика]]</f>
        <v>2Дата погашения новая</v>
      </c>
      <c r="W10" s="38">
        <v>2</v>
      </c>
      <c r="X10" s="38" t="s">
        <v>55</v>
      </c>
      <c r="Y10" s="92"/>
    </row>
    <row r="11" spans="1:25" ht="13" x14ac:dyDescent="0.3">
      <c r="A11" s="26">
        <f>(IF((WEEKDAY(D11,16)&lt;3)+(COUNTIF(Нерабочие[],D11)&gt;0),WORKDAY(D11,1,Нерабочие[]),D11))</f>
        <v>44386</v>
      </c>
      <c r="B11" s="64">
        <v>8</v>
      </c>
      <c r="C11" s="65">
        <v>44356</v>
      </c>
      <c r="D11" s="66">
        <v>44386</v>
      </c>
      <c r="E11" s="64">
        <v>30</v>
      </c>
      <c r="F11" s="67">
        <v>486.25</v>
      </c>
      <c r="G11" s="67">
        <v>2410.75</v>
      </c>
      <c r="H11" s="67">
        <v>2897</v>
      </c>
      <c r="I11" s="67">
        <v>146904.9</v>
      </c>
      <c r="K11" s="26">
        <f>(IF((WEEKDAY(N11,16)&lt;3)+(COUNTIF(Нерабочие[],N11)&gt;0),WORKDAY(N11,1,Нерабочие[]),N11))</f>
        <v>2</v>
      </c>
      <c r="L11" s="68"/>
      <c r="M11" s="65"/>
      <c r="N11" s="66"/>
      <c r="O11" s="84"/>
      <c r="P11" s="86"/>
      <c r="Q11" s="85"/>
      <c r="R11" s="85"/>
      <c r="S11" s="85"/>
      <c r="T11" s="64"/>
      <c r="V11" s="41" t="str">
        <f>УслРестрактов[[#This Row],[Номер рестракта]]&amp;УслРестрактов[[#This Row],[Характеристика]]</f>
        <v>2Процентная ставка новая 2</v>
      </c>
      <c r="W11" s="38">
        <v>2</v>
      </c>
      <c r="X11" s="38" t="str">
        <f>"Процентная ставка новая "&amp;УслРестрактов[[#This Row],[Номер рестракта]]</f>
        <v>Процентная ставка новая 2</v>
      </c>
      <c r="Y11" s="93"/>
    </row>
    <row r="12" spans="1:25" ht="13" x14ac:dyDescent="0.3">
      <c r="A12" s="26">
        <f>(IF((WEEKDAY(D12,16)&lt;3)+(COUNTIF(Нерабочие[],D12)&gt;0),WORKDAY(D12,1,Нерабочие[]),D12))</f>
        <v>44417</v>
      </c>
      <c r="B12" s="64">
        <v>9</v>
      </c>
      <c r="C12" s="65">
        <v>44386</v>
      </c>
      <c r="D12" s="66">
        <v>44417</v>
      </c>
      <c r="E12" s="64">
        <v>31</v>
      </c>
      <c r="F12" s="67">
        <v>414.11000000000013</v>
      </c>
      <c r="G12" s="67">
        <v>2482.89</v>
      </c>
      <c r="H12" s="67">
        <v>2897</v>
      </c>
      <c r="I12" s="67">
        <v>146490.79</v>
      </c>
      <c r="K12" s="37">
        <f>(IF((WEEKDAY(N12,16)&lt;3)+(COUNTIF(Нерабочие[],N12)&gt;0),WORKDAY(N12,1,Нерабочие[]),N12))</f>
        <v>2</v>
      </c>
      <c r="L12" s="68"/>
      <c r="M12" s="65"/>
      <c r="N12" s="66"/>
      <c r="O12" s="84"/>
      <c r="P12" s="85"/>
      <c r="Q12" s="87"/>
      <c r="R12" s="85"/>
      <c r="S12" s="85"/>
      <c r="T12" s="88"/>
      <c r="V12" s="41" t="str">
        <f>УслРестрактов[[#This Row],[Номер рестракта]]&amp;УслРестрактов[[#This Row],[Характеристика]]</f>
        <v>2Тип графика</v>
      </c>
      <c r="W12" s="38">
        <v>2</v>
      </c>
      <c r="X12" s="60" t="s">
        <v>72</v>
      </c>
      <c r="Y12" s="93"/>
    </row>
    <row r="13" spans="1:25" ht="13" x14ac:dyDescent="0.3">
      <c r="A13" s="26">
        <f>(IF((WEEKDAY(D13,16)&lt;3)+(COUNTIF(Нерабочие[],D13)&gt;0),WORKDAY(D13,1,Нерабочие[]),D13))</f>
        <v>44448</v>
      </c>
      <c r="B13" s="64">
        <v>10</v>
      </c>
      <c r="C13" s="65">
        <v>44417</v>
      </c>
      <c r="D13" s="66">
        <v>44448</v>
      </c>
      <c r="E13" s="64">
        <v>31</v>
      </c>
      <c r="F13" s="67">
        <v>421.09999999999991</v>
      </c>
      <c r="G13" s="67">
        <v>2475.9</v>
      </c>
      <c r="H13" s="67">
        <v>2897</v>
      </c>
      <c r="I13" s="67">
        <v>146069.69</v>
      </c>
      <c r="K13" s="37">
        <f>(IF((WEEKDAY(N13,16)&lt;3)+(COUNTIF(Нерабочие[],N13)&gt;0),WORKDAY(N13,1,Нерабочие[]),N13))</f>
        <v>2</v>
      </c>
      <c r="L13" s="68"/>
      <c r="M13" s="65"/>
      <c r="N13" s="66"/>
      <c r="O13" s="84"/>
      <c r="P13" s="85"/>
      <c r="Q13" s="87"/>
      <c r="R13" s="85"/>
      <c r="S13" s="85"/>
      <c r="T13" s="88"/>
      <c r="V13" s="41" t="str">
        <f>УслРестрактов[[#This Row],[Номер рестракта]]&amp;УслРестрактов[[#This Row],[Характеристика]]</f>
        <v>2Вид реструктуризаций</v>
      </c>
      <c r="W13" s="38">
        <v>2</v>
      </c>
      <c r="X13" s="38" t="s">
        <v>56</v>
      </c>
      <c r="Y13" s="94"/>
    </row>
    <row r="14" spans="1:25" ht="13" x14ac:dyDescent="0.3">
      <c r="A14" s="26">
        <f>(IF((WEEKDAY(D14,16)&lt;3)+(COUNTIF(Нерабочие[],D14)&gt;0),WORKDAY(D14,1,Нерабочие[]),D14))</f>
        <v>44480</v>
      </c>
      <c r="B14" s="64">
        <v>11</v>
      </c>
      <c r="C14" s="65">
        <v>44448</v>
      </c>
      <c r="D14" s="66">
        <v>44478</v>
      </c>
      <c r="E14" s="64">
        <v>30</v>
      </c>
      <c r="F14" s="67">
        <v>507.86000000000013</v>
      </c>
      <c r="G14" s="67">
        <v>2389.14</v>
      </c>
      <c r="H14" s="67">
        <v>2897</v>
      </c>
      <c r="I14" s="67">
        <v>145561.83000000002</v>
      </c>
      <c r="K14" s="37">
        <f>(IF((WEEKDAY(N14,16)&lt;3)+(COUNTIF(Нерабочие[],N14)&gt;0),WORKDAY(N14,1,Нерабочие[]),N14))</f>
        <v>2</v>
      </c>
      <c r="L14" s="68"/>
      <c r="M14" s="65"/>
      <c r="N14" s="66"/>
      <c r="O14" s="84"/>
      <c r="P14" s="85"/>
      <c r="Q14" s="87"/>
      <c r="R14" s="85"/>
      <c r="S14" s="85"/>
      <c r="T14" s="88"/>
      <c r="V14" s="41" t="str">
        <f>УслРестрактов[[#This Row],[Номер рестракта]]&amp;УслРестрактов[[#This Row],[Характеристика]]</f>
        <v>2Код реструктуризации</v>
      </c>
      <c r="W14" s="38">
        <v>2</v>
      </c>
      <c r="X14" s="38" t="s">
        <v>59</v>
      </c>
      <c r="Y14" s="39">
        <f>IFERROR(VLOOKUP(График!Y13,Рестракты[],2,0),0)</f>
        <v>0</v>
      </c>
    </row>
    <row r="15" spans="1:25" ht="13" x14ac:dyDescent="0.3">
      <c r="A15" s="26">
        <f>(IF((WEEKDAY(D15,16)&lt;3)+(COUNTIF(Нерабочие[],D15)&gt;0),WORKDAY(D15,1,Нерабочие[]),D15))</f>
        <v>44509</v>
      </c>
      <c r="B15" s="64">
        <v>12</v>
      </c>
      <c r="C15" s="65">
        <v>44478</v>
      </c>
      <c r="D15" s="66">
        <v>44509</v>
      </c>
      <c r="E15" s="64">
        <v>31</v>
      </c>
      <c r="F15" s="67">
        <v>436.80999999999995</v>
      </c>
      <c r="G15" s="67">
        <v>2460.19</v>
      </c>
      <c r="H15" s="67">
        <v>2897</v>
      </c>
      <c r="I15" s="67">
        <v>145125.02000000002</v>
      </c>
      <c r="K15" s="37">
        <f>(IF((WEEKDAY(N15,16)&lt;3)+(COUNTIF(Нерабочие[],N15)&gt;0),WORKDAY(N15,1,Нерабочие[]),N15))</f>
        <v>2</v>
      </c>
      <c r="L15" s="68"/>
      <c r="M15" s="65"/>
      <c r="N15" s="66"/>
      <c r="O15" s="84"/>
      <c r="P15" s="85"/>
      <c r="Q15" s="87"/>
      <c r="R15" s="85"/>
      <c r="S15" s="85"/>
      <c r="T15" s="88"/>
    </row>
    <row r="16" spans="1:25" ht="13" x14ac:dyDescent="0.3">
      <c r="A16" s="26">
        <f>(IF((WEEKDAY(D16,16)&lt;3)+(COUNTIF(Нерабочие[],D16)&gt;0),WORKDAY(D16,1,Нерабочие[]),D16))</f>
        <v>44539</v>
      </c>
      <c r="B16" s="64">
        <v>13</v>
      </c>
      <c r="C16" s="65">
        <v>44509</v>
      </c>
      <c r="D16" s="66">
        <v>44539</v>
      </c>
      <c r="E16" s="64">
        <v>30</v>
      </c>
      <c r="F16" s="67">
        <v>523.30999999999995</v>
      </c>
      <c r="G16" s="67">
        <v>2373.69</v>
      </c>
      <c r="H16" s="67">
        <v>2897</v>
      </c>
      <c r="I16" s="67">
        <v>144601.71000000002</v>
      </c>
      <c r="K16" s="37">
        <f>(IF((WEEKDAY(N16,16)&lt;3)+(COUNTIF(Нерабочие[],N16)&gt;0),WORKDAY(N16,1,Нерабочие[]),N16))</f>
        <v>2</v>
      </c>
      <c r="L16" s="68"/>
      <c r="M16" s="65"/>
      <c r="N16" s="66"/>
      <c r="O16" s="84"/>
      <c r="P16" s="85"/>
      <c r="Q16" s="87"/>
      <c r="R16" s="85"/>
      <c r="S16" s="85"/>
      <c r="T16" s="88"/>
    </row>
    <row r="17" spans="1:25" ht="13" x14ac:dyDescent="0.3">
      <c r="A17" s="26">
        <f>(IF((WEEKDAY(D17,16)&lt;3)+(COUNTIF(Нерабочие[],D17)&gt;0),WORKDAY(D17,1,Нерабочие[]),D17))</f>
        <v>44571</v>
      </c>
      <c r="B17" s="64">
        <v>14</v>
      </c>
      <c r="C17" s="65">
        <v>44539</v>
      </c>
      <c r="D17" s="66">
        <v>44570</v>
      </c>
      <c r="E17" s="64">
        <v>31</v>
      </c>
      <c r="F17" s="67">
        <v>453.0300000000002</v>
      </c>
      <c r="G17" s="67">
        <v>2443.9699999999998</v>
      </c>
      <c r="H17" s="67">
        <v>2897</v>
      </c>
      <c r="I17" s="67">
        <v>144148.68000000002</v>
      </c>
      <c r="K17" s="37">
        <f>(IF((WEEKDAY(N17,16)&lt;3)+(COUNTIF(Нерабочие[],N17)&gt;0),WORKDAY(N17,1,Нерабочие[]),N17))</f>
        <v>2</v>
      </c>
      <c r="L17" s="68"/>
      <c r="M17" s="65"/>
      <c r="N17" s="66"/>
      <c r="O17" s="84"/>
      <c r="P17" s="85"/>
      <c r="Q17" s="87"/>
      <c r="R17" s="85"/>
      <c r="S17" s="85"/>
      <c r="T17" s="88"/>
    </row>
    <row r="18" spans="1:25" ht="13" x14ac:dyDescent="0.3">
      <c r="A18" s="26">
        <f>(IF((WEEKDAY(D18,16)&lt;3)+(COUNTIF(Нерабочие[],D18)&gt;0),WORKDAY(D18,1,Нерабочие[]),D18))</f>
        <v>44601</v>
      </c>
      <c r="B18" s="64">
        <v>15</v>
      </c>
      <c r="C18" s="65">
        <v>44570</v>
      </c>
      <c r="D18" s="66">
        <v>44601</v>
      </c>
      <c r="E18" s="64">
        <v>31</v>
      </c>
      <c r="F18" s="67">
        <v>460.69000000000005</v>
      </c>
      <c r="G18" s="67">
        <v>2436.31</v>
      </c>
      <c r="H18" s="67">
        <v>2897</v>
      </c>
      <c r="I18" s="67">
        <v>143687.99000000002</v>
      </c>
      <c r="K18" s="37">
        <f>(IF((WEEKDAY(N18,16)&lt;3)+(COUNTIF(Нерабочие[],N18)&gt;0),WORKDAY(N18,1,Нерабочие[]),N18))</f>
        <v>2</v>
      </c>
      <c r="L18" s="68"/>
      <c r="M18" s="65"/>
      <c r="N18" s="66"/>
      <c r="O18" s="84"/>
      <c r="P18" s="85"/>
      <c r="Q18" s="87"/>
      <c r="R18" s="85"/>
      <c r="S18" s="85"/>
      <c r="T18" s="88"/>
    </row>
    <row r="19" spans="1:25" ht="13" x14ac:dyDescent="0.3">
      <c r="A19" s="26">
        <f>(IF((WEEKDAY(D19,16)&lt;3)+(COUNTIF(Нерабочие[],D19)&gt;0),WORKDAY(D19,1,Нерабочие[]),D19))</f>
        <v>44629</v>
      </c>
      <c r="B19" s="64">
        <v>16</v>
      </c>
      <c r="C19" s="65">
        <v>44601</v>
      </c>
      <c r="D19" s="66">
        <v>44629</v>
      </c>
      <c r="E19" s="64">
        <v>28</v>
      </c>
      <c r="F19" s="67">
        <v>703.48999999999978</v>
      </c>
      <c r="G19" s="67">
        <v>2193.5100000000002</v>
      </c>
      <c r="H19" s="67">
        <v>2897</v>
      </c>
      <c r="I19" s="67">
        <v>142984.50000000003</v>
      </c>
      <c r="K19" s="37">
        <f>(IF((WEEKDAY(N19,16)&lt;3)+(COUNTIF(Нерабочие[],N19)&gt;0),WORKDAY(N19,1,Нерабочие[]),N19))</f>
        <v>2</v>
      </c>
      <c r="L19" s="68"/>
      <c r="M19" s="65"/>
      <c r="N19" s="66"/>
      <c r="O19" s="84"/>
      <c r="P19" s="85"/>
      <c r="Q19" s="87"/>
      <c r="R19" s="85"/>
      <c r="S19" s="85"/>
      <c r="T19" s="88"/>
    </row>
    <row r="20" spans="1:25" ht="13" x14ac:dyDescent="0.3">
      <c r="A20" s="26">
        <f>(IF((WEEKDAY(D20,16)&lt;3)+(COUNTIF(Нерабочие[],D20)&gt;0),WORKDAY(D20,1,Нерабочие[]),D20))</f>
        <v>44662</v>
      </c>
      <c r="B20" s="64">
        <v>17</v>
      </c>
      <c r="C20" s="65">
        <v>44629</v>
      </c>
      <c r="D20" s="66">
        <v>44660</v>
      </c>
      <c r="E20" s="64">
        <v>31</v>
      </c>
      <c r="F20" s="67">
        <v>480.36999999999989</v>
      </c>
      <c r="G20" s="67">
        <v>2416.63</v>
      </c>
      <c r="H20" s="67">
        <v>2897</v>
      </c>
      <c r="I20" s="67">
        <v>142504.13000000003</v>
      </c>
      <c r="K20" s="37">
        <f>(IF((WEEKDAY(N20,16)&lt;3)+(COUNTIF(Нерабочие[],N20)&gt;0),WORKDAY(N20,1,Нерабочие[]),N20))</f>
        <v>2</v>
      </c>
      <c r="L20" s="68"/>
      <c r="M20" s="65"/>
      <c r="N20" s="66"/>
      <c r="O20" s="84"/>
      <c r="P20" s="85"/>
      <c r="Q20" s="87"/>
      <c r="R20" s="85"/>
      <c r="S20" s="85"/>
      <c r="T20" s="88"/>
    </row>
    <row r="21" spans="1:25" ht="13" x14ac:dyDescent="0.3">
      <c r="A21" s="26">
        <f>(IF((WEEKDAY(D21,16)&lt;3)+(COUNTIF(Нерабочие[],D21)&gt;0),WORKDAY(D21,1,Нерабочие[]),D21))</f>
        <v>44690</v>
      </c>
      <c r="B21" s="64">
        <v>18</v>
      </c>
      <c r="C21" s="65">
        <v>44660</v>
      </c>
      <c r="D21" s="66">
        <v>44690</v>
      </c>
      <c r="E21" s="64">
        <v>30</v>
      </c>
      <c r="F21" s="67">
        <v>566.17999999999984</v>
      </c>
      <c r="G21" s="67">
        <v>2330.8200000000002</v>
      </c>
      <c r="H21" s="67">
        <v>2897</v>
      </c>
      <c r="I21" s="67">
        <v>141937.95000000004</v>
      </c>
      <c r="K21" s="37">
        <f>(IF((WEEKDAY(N21,16)&lt;3)+(COUNTIF(Нерабочие[],N21)&gt;0),WORKDAY(N21,1,Нерабочие[]),N21))</f>
        <v>2</v>
      </c>
      <c r="L21" s="68"/>
      <c r="M21" s="65"/>
      <c r="N21" s="66"/>
      <c r="O21" s="84"/>
      <c r="P21" s="85"/>
      <c r="Q21" s="87"/>
      <c r="R21" s="85"/>
      <c r="S21" s="85"/>
      <c r="T21" s="88"/>
    </row>
    <row r="22" spans="1:25" ht="13" x14ac:dyDescent="0.3">
      <c r="A22" s="26">
        <f>(IF((WEEKDAY(D22,16)&lt;3)+(COUNTIF(Нерабочие[],D22)&gt;0),WORKDAY(D22,1,Нерабочие[]),D22))</f>
        <v>44721</v>
      </c>
      <c r="B22" s="64">
        <v>19</v>
      </c>
      <c r="C22" s="65">
        <v>44690</v>
      </c>
      <c r="D22" s="66">
        <v>44721</v>
      </c>
      <c r="E22" s="64">
        <v>31</v>
      </c>
      <c r="F22" s="67">
        <v>498.05000000000018</v>
      </c>
      <c r="G22" s="67">
        <v>2398.9499999999998</v>
      </c>
      <c r="H22" s="67">
        <v>2897</v>
      </c>
      <c r="I22" s="67">
        <v>141439.90000000005</v>
      </c>
      <c r="K22" s="37">
        <f>(IF((WEEKDAY(N22,16)&lt;3)+(COUNTIF(Нерабочие[],N22)&gt;0),WORKDAY(N22,1,Нерабочие[]),N22))</f>
        <v>2</v>
      </c>
      <c r="L22" s="68"/>
      <c r="M22" s="65"/>
      <c r="N22" s="66"/>
      <c r="O22" s="84"/>
      <c r="P22" s="85"/>
      <c r="Q22" s="87"/>
      <c r="R22" s="85"/>
      <c r="S22" s="85"/>
      <c r="T22" s="88"/>
    </row>
    <row r="23" spans="1:25" ht="13" x14ac:dyDescent="0.3">
      <c r="A23" s="26">
        <f>(IF((WEEKDAY(D23,16)&lt;3)+(COUNTIF(Нерабочие[],D23)&gt;0),WORKDAY(D23,1,Нерабочие[]),D23))</f>
        <v>44753</v>
      </c>
      <c r="B23" s="64">
        <v>20</v>
      </c>
      <c r="C23" s="65">
        <v>44721</v>
      </c>
      <c r="D23" s="66">
        <v>44751</v>
      </c>
      <c r="E23" s="64">
        <v>30</v>
      </c>
      <c r="F23" s="67">
        <v>583.59000000000015</v>
      </c>
      <c r="G23" s="67">
        <v>2313.41</v>
      </c>
      <c r="H23" s="67">
        <v>2897</v>
      </c>
      <c r="I23" s="67">
        <v>140856.31000000006</v>
      </c>
      <c r="K23" s="37">
        <f>(IF((WEEKDAY(N23,16)&lt;3)+(COUNTIF(Нерабочие[],N23)&gt;0),WORKDAY(N23,1,Нерабочие[]),N23))</f>
        <v>2</v>
      </c>
      <c r="L23" s="68"/>
      <c r="M23" s="65"/>
      <c r="N23" s="66"/>
      <c r="O23" s="84"/>
      <c r="P23" s="85"/>
      <c r="Q23" s="87"/>
      <c r="R23" s="85"/>
      <c r="S23" s="85"/>
      <c r="T23" s="88"/>
    </row>
    <row r="24" spans="1:25" ht="13" x14ac:dyDescent="0.3">
      <c r="A24" s="26">
        <f>(IF((WEEKDAY(D24,16)&lt;3)+(COUNTIF(Нерабочие[],D24)&gt;0),WORKDAY(D24,1,Нерабочие[]),D24))</f>
        <v>44782</v>
      </c>
      <c r="B24" s="64">
        <v>21</v>
      </c>
      <c r="C24" s="65">
        <v>44751</v>
      </c>
      <c r="D24" s="66">
        <v>44782</v>
      </c>
      <c r="E24" s="64">
        <v>31</v>
      </c>
      <c r="F24" s="67">
        <v>516.34000000000015</v>
      </c>
      <c r="G24" s="67">
        <v>2380.66</v>
      </c>
      <c r="H24" s="67">
        <v>2897</v>
      </c>
      <c r="I24" s="67">
        <v>140339.97000000006</v>
      </c>
      <c r="K24" s="37">
        <f>(IF((WEEKDAY(N24,16)&lt;3)+(COUNTIF(Нерабочие[],N24)&gt;0),WORKDAY(N24,1,Нерабочие[]),N24))</f>
        <v>2</v>
      </c>
      <c r="L24" s="68"/>
      <c r="M24" s="65"/>
      <c r="N24" s="66"/>
      <c r="O24" s="84"/>
      <c r="P24" s="85"/>
      <c r="Q24" s="87"/>
      <c r="R24" s="85"/>
      <c r="S24" s="85"/>
      <c r="T24" s="88"/>
    </row>
    <row r="25" spans="1:25" ht="13" x14ac:dyDescent="0.3">
      <c r="A25" s="26">
        <f>(IF((WEEKDAY(D25,16)&lt;3)+(COUNTIF(Нерабочие[],D25)&gt;0),WORKDAY(D25,1,Нерабочие[]),D25))</f>
        <v>44813</v>
      </c>
      <c r="B25" s="64">
        <v>22</v>
      </c>
      <c r="C25" s="65">
        <v>44782</v>
      </c>
      <c r="D25" s="66">
        <v>44813</v>
      </c>
      <c r="E25" s="64">
        <v>31</v>
      </c>
      <c r="F25" s="67">
        <v>525.05999999999995</v>
      </c>
      <c r="G25" s="67">
        <v>2371.94</v>
      </c>
      <c r="H25" s="67">
        <v>2897</v>
      </c>
      <c r="I25" s="67">
        <v>139814.91000000006</v>
      </c>
      <c r="K25" s="37">
        <f>(IF((WEEKDAY(N25,16)&lt;3)+(COUNTIF(Нерабочие[],N25)&gt;0),WORKDAY(N25,1,Нерабочие[]),N25))</f>
        <v>2</v>
      </c>
      <c r="L25" s="68"/>
      <c r="M25" s="65"/>
      <c r="N25" s="66"/>
      <c r="O25" s="84"/>
      <c r="P25" s="85"/>
      <c r="Q25" s="87"/>
      <c r="R25" s="85"/>
      <c r="S25" s="85"/>
      <c r="T25" s="88"/>
    </row>
    <row r="26" spans="1:25" ht="13" x14ac:dyDescent="0.3">
      <c r="A26" s="26">
        <f>(IF((WEEKDAY(D26,16)&lt;3)+(COUNTIF(Нерабочие[],D26)&gt;0),WORKDAY(D26,1,Нерабочие[]),D26))</f>
        <v>44844</v>
      </c>
      <c r="B26" s="64">
        <v>23</v>
      </c>
      <c r="C26" s="65">
        <v>44813</v>
      </c>
      <c r="D26" s="66">
        <v>44843</v>
      </c>
      <c r="E26" s="64">
        <v>30</v>
      </c>
      <c r="F26" s="67">
        <v>610.15999999999985</v>
      </c>
      <c r="G26" s="67">
        <v>2286.84</v>
      </c>
      <c r="H26" s="67">
        <v>2897</v>
      </c>
      <c r="I26" s="67">
        <v>139204.75000000006</v>
      </c>
      <c r="K26" s="37">
        <f>(IF((WEEKDAY(N26,16)&lt;3)+(COUNTIF(Нерабочие[],N26)&gt;0),WORKDAY(N26,1,Нерабочие[]),N26))</f>
        <v>2</v>
      </c>
      <c r="L26" s="68"/>
      <c r="M26" s="65"/>
      <c r="N26" s="66"/>
      <c r="O26" s="84"/>
      <c r="P26" s="85"/>
      <c r="Q26" s="87"/>
      <c r="R26" s="85"/>
      <c r="S26" s="85"/>
      <c r="T26" s="88"/>
    </row>
    <row r="27" spans="1:25" ht="13" x14ac:dyDescent="0.3">
      <c r="A27" s="26">
        <f>(IF((WEEKDAY(D27,16)&lt;3)+(COUNTIF(Нерабочие[],D27)&gt;0),WORKDAY(D27,1,Нерабочие[]),D27))</f>
        <v>44874</v>
      </c>
      <c r="B27" s="64">
        <v>24</v>
      </c>
      <c r="C27" s="65">
        <v>44843</v>
      </c>
      <c r="D27" s="66">
        <v>44874</v>
      </c>
      <c r="E27" s="64">
        <v>31</v>
      </c>
      <c r="F27" s="67">
        <v>544.25</v>
      </c>
      <c r="G27" s="67">
        <v>2352.75</v>
      </c>
      <c r="H27" s="67">
        <v>2897</v>
      </c>
      <c r="I27" s="67">
        <v>138660.50000000006</v>
      </c>
      <c r="K27" s="37">
        <f>(IF((WEEKDAY(N27,16)&lt;3)+(COUNTIF(Нерабочие[],N27)&gt;0),WORKDAY(N27,1,Нерабочие[]),N27))</f>
        <v>2</v>
      </c>
      <c r="L27" s="68"/>
      <c r="M27" s="65"/>
      <c r="N27" s="66"/>
      <c r="O27" s="84"/>
      <c r="P27" s="85"/>
      <c r="Q27" s="87"/>
      <c r="R27" s="85"/>
      <c r="S27" s="85"/>
      <c r="T27" s="88"/>
    </row>
    <row r="28" spans="1:25" ht="13" x14ac:dyDescent="0.3">
      <c r="A28" s="26">
        <f>(IF((WEEKDAY(D28,16)&lt;3)+(COUNTIF(Нерабочие[],D28)&gt;0),WORKDAY(D28,1,Нерабочие[]),D28))</f>
        <v>44904</v>
      </c>
      <c r="B28" s="64">
        <v>25</v>
      </c>
      <c r="C28" s="65">
        <v>44874</v>
      </c>
      <c r="D28" s="66">
        <v>44904</v>
      </c>
      <c r="E28" s="64">
        <v>30</v>
      </c>
      <c r="F28" s="67">
        <v>629.05000000000018</v>
      </c>
      <c r="G28" s="67">
        <v>2267.9499999999998</v>
      </c>
      <c r="H28" s="67">
        <v>2897</v>
      </c>
      <c r="I28" s="67">
        <v>138031.45000000007</v>
      </c>
      <c r="K28" s="37">
        <f>(IF((WEEKDAY(N28,16)&lt;3)+(COUNTIF(Нерабочие[],N28)&gt;0),WORKDAY(N28,1,Нерабочие[]),N28))</f>
        <v>2</v>
      </c>
      <c r="L28" s="68"/>
      <c r="M28" s="65"/>
      <c r="N28" s="66"/>
      <c r="O28" s="84"/>
      <c r="P28" s="85"/>
      <c r="Q28" s="87"/>
      <c r="R28" s="85"/>
      <c r="S28" s="85"/>
      <c r="T28" s="88"/>
    </row>
    <row r="29" spans="1:25" ht="13" x14ac:dyDescent="0.3">
      <c r="A29" s="26">
        <f>(IF((WEEKDAY(D29,16)&lt;3)+(COUNTIF(Нерабочие[],D29)&gt;0),WORKDAY(D29,1,Нерабочие[]),D29))</f>
        <v>44935</v>
      </c>
      <c r="B29" s="64">
        <v>26</v>
      </c>
      <c r="C29" s="65">
        <v>44904</v>
      </c>
      <c r="D29" s="66">
        <v>44935</v>
      </c>
      <c r="E29" s="64">
        <v>31</v>
      </c>
      <c r="F29" s="67">
        <v>564.07999999999993</v>
      </c>
      <c r="G29" s="67">
        <v>2332.92</v>
      </c>
      <c r="H29" s="67">
        <v>2897</v>
      </c>
      <c r="I29" s="67">
        <v>137467.37000000008</v>
      </c>
      <c r="K29" s="37">
        <f>(IF((WEEKDAY(N29,16)&lt;3)+(COUNTIF(Нерабочие[],N29)&gt;0),WORKDAY(N29,1,Нерабочие[]),N29))</f>
        <v>2</v>
      </c>
      <c r="L29" s="68"/>
      <c r="M29" s="65"/>
      <c r="N29" s="66"/>
      <c r="O29" s="84"/>
      <c r="P29" s="85"/>
      <c r="Q29" s="87"/>
      <c r="R29" s="85"/>
      <c r="S29" s="85"/>
      <c r="T29" s="88"/>
    </row>
    <row r="30" spans="1:25" ht="13" x14ac:dyDescent="0.3">
      <c r="A30" s="26">
        <f>(IF((WEEKDAY(D30,16)&lt;3)+(COUNTIF(Нерабочие[],D30)&gt;0),WORKDAY(D30,1,Нерабочие[]),D30))</f>
        <v>44966</v>
      </c>
      <c r="B30" s="64">
        <v>27</v>
      </c>
      <c r="C30" s="65">
        <v>44935</v>
      </c>
      <c r="D30" s="66">
        <v>44966</v>
      </c>
      <c r="E30" s="64">
        <v>31</v>
      </c>
      <c r="F30" s="67">
        <v>573.61000000000013</v>
      </c>
      <c r="G30" s="67">
        <v>2323.39</v>
      </c>
      <c r="H30" s="67">
        <v>2897</v>
      </c>
      <c r="I30" s="67">
        <v>136893.7600000001</v>
      </c>
      <c r="K30" s="78">
        <f>(IF((WEEKDAY(N30,16)&lt;3)+(COUNTIF(Нерабочие[],N30)&gt;0),WORKDAY(N30,1,Нерабочие[]),N30))</f>
        <v>2</v>
      </c>
      <c r="L30" s="68"/>
      <c r="M30" s="65"/>
      <c r="N30" s="66"/>
      <c r="O30" s="84"/>
      <c r="P30" s="85"/>
      <c r="Q30" s="87"/>
      <c r="R30" s="85"/>
      <c r="S30" s="85"/>
      <c r="T30" s="88"/>
    </row>
    <row r="31" spans="1:25" s="71" customFormat="1" ht="13" x14ac:dyDescent="0.3">
      <c r="A31" s="26">
        <f>(IF((WEEKDAY(D31,16)&lt;3)+(COUNTIF(Нерабочие[],D31)&gt;0),WORKDAY(D31,1,Нерабочие[]),D31))</f>
        <v>44994</v>
      </c>
      <c r="B31" s="64">
        <v>28</v>
      </c>
      <c r="C31" s="65">
        <v>44966</v>
      </c>
      <c r="D31" s="66">
        <v>44994</v>
      </c>
      <c r="E31" s="64">
        <v>28</v>
      </c>
      <c r="F31" s="67">
        <v>807.21</v>
      </c>
      <c r="G31" s="67">
        <v>2089.79</v>
      </c>
      <c r="H31" s="67">
        <v>2897</v>
      </c>
      <c r="I31" s="67">
        <v>136086.5500000001</v>
      </c>
      <c r="K31" s="78">
        <f>(IF((WEEKDAY(N31,16)&lt;3)+(COUNTIF(Нерабочие[],N31)&gt;0),WORKDAY(N31,1,Нерабочие[]),N31))</f>
        <v>2</v>
      </c>
      <c r="L31" s="68"/>
      <c r="M31" s="65"/>
      <c r="N31" s="66"/>
      <c r="O31" s="84"/>
      <c r="P31" s="85"/>
      <c r="Q31" s="87"/>
      <c r="R31" s="85"/>
      <c r="S31" s="85"/>
      <c r="T31" s="88"/>
      <c r="V31" s="1"/>
      <c r="W31" s="1"/>
      <c r="X31" s="1"/>
      <c r="Y31" s="1"/>
    </row>
    <row r="32" spans="1:25" ht="13" x14ac:dyDescent="0.3">
      <c r="A32" s="26">
        <f>(IF((WEEKDAY(D32,16)&lt;3)+(COUNTIF(Нерабочие[],D32)&gt;0),WORKDAY(D32,1,Нерабочие[]),D32))</f>
        <v>45026</v>
      </c>
      <c r="B32" s="64">
        <v>29</v>
      </c>
      <c r="C32" s="65">
        <v>44994</v>
      </c>
      <c r="D32" s="66">
        <v>45025</v>
      </c>
      <c r="E32" s="64">
        <v>31</v>
      </c>
      <c r="F32" s="67">
        <v>596.94999999999982</v>
      </c>
      <c r="G32" s="67">
        <v>2300.0500000000002</v>
      </c>
      <c r="H32" s="67">
        <v>2897</v>
      </c>
      <c r="I32" s="67">
        <v>135489.60000000009</v>
      </c>
      <c r="K32" s="78">
        <f>(IF((WEEKDAY(N32,16)&lt;3)+(COUNTIF(Нерабочие[],N32)&gt;0),WORKDAY(N32,1,Нерабочие[]),N32))</f>
        <v>2</v>
      </c>
      <c r="L32" s="68"/>
      <c r="M32" s="65"/>
      <c r="N32" s="66"/>
      <c r="O32" s="84"/>
      <c r="P32" s="85"/>
      <c r="Q32" s="87"/>
      <c r="R32" s="85"/>
      <c r="S32" s="85"/>
      <c r="T32" s="88"/>
    </row>
    <row r="33" spans="1:20" ht="13" x14ac:dyDescent="0.3">
      <c r="A33" s="26">
        <f>(IF((WEEKDAY(D33,16)&lt;3)+(COUNTIF(Нерабочие[],D33)&gt;0),WORKDAY(D33,1,Нерабочие[]),D33))</f>
        <v>45055</v>
      </c>
      <c r="B33" s="64">
        <v>30</v>
      </c>
      <c r="C33" s="65">
        <v>45025</v>
      </c>
      <c r="D33" s="66">
        <v>45055</v>
      </c>
      <c r="E33" s="64">
        <v>30</v>
      </c>
      <c r="F33" s="67">
        <v>680.90999999999985</v>
      </c>
      <c r="G33" s="67">
        <v>2216.09</v>
      </c>
      <c r="H33" s="67">
        <v>2897</v>
      </c>
      <c r="I33" s="67">
        <v>134808.69000000009</v>
      </c>
      <c r="K33" s="78">
        <f>(IF((WEEKDAY(N33,16)&lt;3)+(COUNTIF(Нерабочие[],N33)&gt;0),WORKDAY(N33,1,Нерабочие[]),N33))</f>
        <v>2</v>
      </c>
      <c r="L33" s="68"/>
      <c r="M33" s="65"/>
      <c r="N33" s="66"/>
      <c r="O33" s="84"/>
      <c r="P33" s="85"/>
      <c r="Q33" s="87"/>
      <c r="R33" s="85"/>
      <c r="S33" s="85"/>
      <c r="T33" s="88"/>
    </row>
    <row r="34" spans="1:20" ht="13" x14ac:dyDescent="0.3">
      <c r="A34" s="26">
        <f>(IF((WEEKDAY(D34,16)&lt;3)+(COUNTIF(Нерабочие[],D34)&gt;0),WORKDAY(D34,1,Нерабочие[]),D34))</f>
        <v>45086</v>
      </c>
      <c r="B34" s="64">
        <v>31</v>
      </c>
      <c r="C34" s="65">
        <v>45055</v>
      </c>
      <c r="D34" s="66">
        <v>45086</v>
      </c>
      <c r="E34" s="64">
        <v>31</v>
      </c>
      <c r="F34" s="67">
        <v>618.55000000000018</v>
      </c>
      <c r="G34" s="67">
        <v>2278.4499999999998</v>
      </c>
      <c r="H34" s="67">
        <v>2897</v>
      </c>
      <c r="I34" s="67">
        <v>134190.1400000001</v>
      </c>
      <c r="K34" s="78">
        <f>(IF((WEEKDAY(N34,16)&lt;3)+(COUNTIF(Нерабочие[],N34)&gt;0),WORKDAY(N34,1,Нерабочие[]),N34))</f>
        <v>2</v>
      </c>
      <c r="L34" s="68"/>
      <c r="M34" s="65"/>
      <c r="N34" s="66"/>
      <c r="O34" s="84"/>
      <c r="P34" s="85"/>
      <c r="Q34" s="87"/>
      <c r="R34" s="85"/>
      <c r="S34" s="85"/>
      <c r="T34" s="88"/>
    </row>
    <row r="35" spans="1:20" ht="13" x14ac:dyDescent="0.3">
      <c r="A35" s="26">
        <f>(IF((WEEKDAY(D35,16)&lt;3)+(COUNTIF(Нерабочие[],D35)&gt;0),WORKDAY(D35,1,Нерабочие[]),D35))</f>
        <v>45117</v>
      </c>
      <c r="B35" s="64">
        <v>32</v>
      </c>
      <c r="C35" s="65">
        <v>45086</v>
      </c>
      <c r="D35" s="66">
        <v>45116</v>
      </c>
      <c r="E35" s="64">
        <v>30</v>
      </c>
      <c r="F35" s="67">
        <v>702.15999999999985</v>
      </c>
      <c r="G35" s="67">
        <v>2194.84</v>
      </c>
      <c r="H35" s="67">
        <v>2897</v>
      </c>
      <c r="I35" s="67">
        <v>133487.9800000001</v>
      </c>
      <c r="K35" s="78">
        <f>(IF((WEEKDAY(N35,16)&lt;3)+(COUNTIF(Нерабочие[],N35)&gt;0),WORKDAY(N35,1,Нерабочие[]),N35))</f>
        <v>2</v>
      </c>
      <c r="L35" s="68"/>
      <c r="M35" s="65"/>
      <c r="N35" s="66"/>
      <c r="O35" s="84"/>
      <c r="P35" s="85"/>
      <c r="Q35" s="87"/>
      <c r="R35" s="85"/>
      <c r="S35" s="85"/>
      <c r="T35" s="88"/>
    </row>
    <row r="36" spans="1:20" ht="13" x14ac:dyDescent="0.3">
      <c r="A36" s="26">
        <f>(IF((WEEKDAY(D36,16)&lt;3)+(COUNTIF(Нерабочие[],D36)&gt;0),WORKDAY(D36,1,Нерабочие[]),D36))</f>
        <v>45147</v>
      </c>
      <c r="B36" s="64">
        <v>33</v>
      </c>
      <c r="C36" s="65">
        <v>45116</v>
      </c>
      <c r="D36" s="66">
        <v>45147</v>
      </c>
      <c r="E36" s="64">
        <v>31</v>
      </c>
      <c r="F36" s="67">
        <v>640.86999999999989</v>
      </c>
      <c r="G36" s="67">
        <v>2256.13</v>
      </c>
      <c r="H36" s="67">
        <v>2897</v>
      </c>
      <c r="I36" s="67">
        <v>132847.1100000001</v>
      </c>
      <c r="K36" s="78">
        <f>(IF((WEEKDAY(N36,16)&lt;3)+(COUNTIF(Нерабочие[],N36)&gt;0),WORKDAY(N36,1,Нерабочие[]),N36))</f>
        <v>2</v>
      </c>
      <c r="L36" s="68"/>
      <c r="M36" s="65"/>
      <c r="N36" s="66"/>
      <c r="O36" s="84"/>
      <c r="P36" s="85"/>
      <c r="Q36" s="87"/>
      <c r="R36" s="85"/>
      <c r="S36" s="85"/>
      <c r="T36" s="88"/>
    </row>
    <row r="37" spans="1:20" ht="13" x14ac:dyDescent="0.3">
      <c r="A37" s="26">
        <f>(IF((WEEKDAY(D37,16)&lt;3)+(COUNTIF(Нерабочие[],D37)&gt;0),WORKDAY(D37,1,Нерабочие[]),D37))</f>
        <v>45180</v>
      </c>
      <c r="B37" s="64">
        <v>34</v>
      </c>
      <c r="C37" s="65">
        <v>45147</v>
      </c>
      <c r="D37" s="66">
        <v>45178</v>
      </c>
      <c r="E37" s="64">
        <v>31</v>
      </c>
      <c r="F37" s="67">
        <v>651.69999999999982</v>
      </c>
      <c r="G37" s="67">
        <v>2245.3000000000002</v>
      </c>
      <c r="H37" s="67">
        <v>2897</v>
      </c>
      <c r="I37" s="67">
        <v>132195.41000000009</v>
      </c>
      <c r="K37" s="78">
        <f>(IF((WEEKDAY(N37,16)&lt;3)+(COUNTIF(Нерабочие[],N37)&gt;0),WORKDAY(N37,1,Нерабочие[]),N37))</f>
        <v>2</v>
      </c>
      <c r="L37" s="68"/>
      <c r="M37" s="65"/>
      <c r="N37" s="66"/>
      <c r="O37" s="84"/>
      <c r="P37" s="85"/>
      <c r="Q37" s="87"/>
      <c r="R37" s="85"/>
      <c r="S37" s="85"/>
      <c r="T37" s="88"/>
    </row>
    <row r="38" spans="1:20" ht="13" x14ac:dyDescent="0.3">
      <c r="A38" s="26">
        <f>(IF((WEEKDAY(D38,16)&lt;3)+(COUNTIF(Нерабочие[],D38)&gt;0),WORKDAY(D38,1,Нерабочие[]),D38))</f>
        <v>45208</v>
      </c>
      <c r="B38" s="64">
        <v>35</v>
      </c>
      <c r="C38" s="65">
        <v>45178</v>
      </c>
      <c r="D38" s="66">
        <v>45208</v>
      </c>
      <c r="E38" s="64">
        <v>30</v>
      </c>
      <c r="F38" s="67">
        <v>734.79</v>
      </c>
      <c r="G38" s="67">
        <v>2162.21</v>
      </c>
      <c r="H38" s="67">
        <v>2897</v>
      </c>
      <c r="I38" s="67">
        <v>131460.62000000008</v>
      </c>
      <c r="K38" s="78">
        <f>(IF((WEEKDAY(N38,16)&lt;3)+(COUNTIF(Нерабочие[],N38)&gt;0),WORKDAY(N38,1,Нерабочие[]),N38))</f>
        <v>2</v>
      </c>
      <c r="L38" s="68"/>
      <c r="M38" s="65"/>
      <c r="N38" s="66"/>
      <c r="O38" s="84"/>
      <c r="P38" s="85"/>
      <c r="Q38" s="87"/>
      <c r="R38" s="85"/>
      <c r="S38" s="85"/>
      <c r="T38" s="88"/>
    </row>
    <row r="39" spans="1:20" ht="13" x14ac:dyDescent="0.3">
      <c r="A39" s="26">
        <f>(IF((WEEKDAY(D39,16)&lt;3)+(COUNTIF(Нерабочие[],D39)&gt;0),WORKDAY(D39,1,Нерабочие[]),D39))</f>
        <v>45239</v>
      </c>
      <c r="B39" s="64">
        <v>36</v>
      </c>
      <c r="C39" s="65">
        <v>45208</v>
      </c>
      <c r="D39" s="66">
        <v>45239</v>
      </c>
      <c r="E39" s="64">
        <v>31</v>
      </c>
      <c r="F39" s="67">
        <v>675.13999999999987</v>
      </c>
      <c r="G39" s="67">
        <v>2221.86</v>
      </c>
      <c r="H39" s="67">
        <v>2897</v>
      </c>
      <c r="I39" s="67">
        <v>130785.48000000008</v>
      </c>
      <c r="K39" s="78">
        <f>(IF((WEEKDAY(N39,16)&lt;3)+(COUNTIF(Нерабочие[],N39)&gt;0),WORKDAY(N39,1,Нерабочие[]),N39))</f>
        <v>2</v>
      </c>
      <c r="L39" s="68"/>
      <c r="M39" s="65"/>
      <c r="N39" s="66"/>
      <c r="O39" s="84"/>
      <c r="P39" s="85"/>
      <c r="Q39" s="87"/>
      <c r="R39" s="85"/>
      <c r="S39" s="85"/>
      <c r="T39" s="88"/>
    </row>
    <row r="40" spans="1:20" ht="13" x14ac:dyDescent="0.3">
      <c r="A40" s="26">
        <f>(IF((WEEKDAY(D40,16)&lt;3)+(COUNTIF(Нерабочие[],D40)&gt;0),WORKDAY(D40,1,Нерабочие[]),D40))</f>
        <v>45271</v>
      </c>
      <c r="B40" s="64">
        <v>37</v>
      </c>
      <c r="C40" s="65">
        <v>45239</v>
      </c>
      <c r="D40" s="66">
        <v>45269</v>
      </c>
      <c r="E40" s="64">
        <v>30</v>
      </c>
      <c r="F40" s="67">
        <v>757.84999999999991</v>
      </c>
      <c r="G40" s="67">
        <v>2139.15</v>
      </c>
      <c r="H40" s="67">
        <v>2897</v>
      </c>
      <c r="I40" s="67">
        <v>130027.63000000008</v>
      </c>
      <c r="K40" s="78">
        <f>(IF((WEEKDAY(N40,16)&lt;3)+(COUNTIF(Нерабочие[],N40)&gt;0),WORKDAY(N40,1,Нерабочие[]),N40))</f>
        <v>2</v>
      </c>
      <c r="L40" s="68"/>
      <c r="M40" s="65"/>
      <c r="N40" s="66"/>
      <c r="O40" s="84"/>
      <c r="P40" s="85"/>
      <c r="Q40" s="87"/>
      <c r="R40" s="85"/>
      <c r="S40" s="85"/>
      <c r="T40" s="88"/>
    </row>
    <row r="41" spans="1:20" ht="13" x14ac:dyDescent="0.3">
      <c r="A41" s="26">
        <f>(IF((WEEKDAY(D41,16)&lt;3)+(COUNTIF(Нерабочие[],D41)&gt;0),WORKDAY(D41,1,Нерабочие[]),D41))</f>
        <v>45300</v>
      </c>
      <c r="B41" s="64">
        <v>38</v>
      </c>
      <c r="C41" s="65">
        <v>45269</v>
      </c>
      <c r="D41" s="66">
        <v>45300</v>
      </c>
      <c r="E41" s="64">
        <v>31</v>
      </c>
      <c r="F41" s="67">
        <v>701.09999999999991</v>
      </c>
      <c r="G41" s="67">
        <v>2195.9</v>
      </c>
      <c r="H41" s="67">
        <v>2897</v>
      </c>
      <c r="I41" s="67">
        <v>129326.53000000007</v>
      </c>
      <c r="K41" s="78">
        <f>(IF((WEEKDAY(N41,16)&lt;3)+(COUNTIF(Нерабочие[],N41)&gt;0),WORKDAY(N41,1,Нерабочие[]),N41))</f>
        <v>2</v>
      </c>
      <c r="L41" s="68"/>
      <c r="M41" s="65"/>
      <c r="N41" s="66"/>
      <c r="O41" s="84"/>
      <c r="P41" s="85"/>
      <c r="Q41" s="87"/>
      <c r="R41" s="85"/>
      <c r="S41" s="85"/>
      <c r="T41" s="88"/>
    </row>
    <row r="42" spans="1:20" ht="13" x14ac:dyDescent="0.3">
      <c r="A42" s="26">
        <f>(IF((WEEKDAY(D42,16)&lt;3)+(COUNTIF(Нерабочие[],D42)&gt;0),WORKDAY(D42,1,Нерабочие[]),D42))</f>
        <v>45331</v>
      </c>
      <c r="B42" s="64">
        <v>39</v>
      </c>
      <c r="C42" s="65">
        <v>45300</v>
      </c>
      <c r="D42" s="66">
        <v>45331</v>
      </c>
      <c r="E42" s="64">
        <v>31</v>
      </c>
      <c r="F42" s="67">
        <v>717.17999999999984</v>
      </c>
      <c r="G42" s="67">
        <v>2179.8200000000002</v>
      </c>
      <c r="H42" s="67">
        <v>2897</v>
      </c>
      <c r="I42" s="67">
        <v>128609.35000000008</v>
      </c>
      <c r="K42" s="78">
        <f>(IF((WEEKDAY(N42,16)&lt;3)+(COUNTIF(Нерабочие[],N42)&gt;0),WORKDAY(N42,1,Нерабочие[]),N42))</f>
        <v>2</v>
      </c>
      <c r="L42" s="68"/>
      <c r="M42" s="65"/>
      <c r="N42" s="66"/>
      <c r="O42" s="84"/>
      <c r="P42" s="85"/>
      <c r="Q42" s="87"/>
      <c r="R42" s="85"/>
      <c r="S42" s="85"/>
      <c r="T42" s="88"/>
    </row>
    <row r="43" spans="1:20" ht="13" x14ac:dyDescent="0.3">
      <c r="A43" s="26">
        <f>(IF((WEEKDAY(D43,16)&lt;3)+(COUNTIF(Нерабочие[],D43)&gt;0),WORKDAY(D43,1,Нерабочие[]),D43))</f>
        <v>45362</v>
      </c>
      <c r="B43" s="64">
        <v>40</v>
      </c>
      <c r="C43" s="65">
        <v>45331</v>
      </c>
      <c r="D43" s="66">
        <v>45360</v>
      </c>
      <c r="E43" s="64">
        <v>29</v>
      </c>
      <c r="F43" s="67">
        <v>869.11999999999989</v>
      </c>
      <c r="G43" s="67">
        <v>2027.88</v>
      </c>
      <c r="H43" s="67">
        <v>2897</v>
      </c>
      <c r="I43" s="67">
        <v>127740.23000000008</v>
      </c>
      <c r="K43" s="78">
        <f>(IF((WEEKDAY(N43,16)&lt;3)+(COUNTIF(Нерабочие[],N43)&gt;0),WORKDAY(N43,1,Нерабочие[]),N43))</f>
        <v>2</v>
      </c>
      <c r="L43" s="68"/>
      <c r="M43" s="65"/>
      <c r="N43" s="66"/>
      <c r="O43" s="84"/>
      <c r="P43" s="85"/>
      <c r="Q43" s="87"/>
      <c r="R43" s="85"/>
      <c r="S43" s="85"/>
      <c r="T43" s="88"/>
    </row>
    <row r="44" spans="1:20" ht="13" x14ac:dyDescent="0.3">
      <c r="A44" s="26">
        <f>(IF((WEEKDAY(D44,16)&lt;3)+(COUNTIF(Нерабочие[],D44)&gt;0),WORKDAY(D44,1,Нерабочие[]),D44))</f>
        <v>45391</v>
      </c>
      <c r="B44" s="64">
        <v>41</v>
      </c>
      <c r="C44" s="65">
        <v>45360</v>
      </c>
      <c r="D44" s="66">
        <v>45391</v>
      </c>
      <c r="E44" s="64">
        <v>31</v>
      </c>
      <c r="F44" s="67">
        <v>743.90999999999985</v>
      </c>
      <c r="G44" s="67">
        <v>2153.09</v>
      </c>
      <c r="H44" s="67">
        <v>2897</v>
      </c>
      <c r="I44" s="67">
        <v>126996.32000000008</v>
      </c>
      <c r="K44" s="78">
        <f>(IF((WEEKDAY(N44,16)&lt;3)+(COUNTIF(Нерабочие[],N44)&gt;0),WORKDAY(N44,1,Нерабочие[]),N44))</f>
        <v>2</v>
      </c>
      <c r="L44" s="68"/>
      <c r="M44" s="65"/>
      <c r="N44" s="66"/>
      <c r="O44" s="84"/>
      <c r="P44" s="85"/>
      <c r="Q44" s="87"/>
      <c r="R44" s="85"/>
      <c r="S44" s="85"/>
      <c r="T44" s="88"/>
    </row>
    <row r="45" spans="1:20" ht="13" x14ac:dyDescent="0.3">
      <c r="A45" s="26">
        <f>(IF((WEEKDAY(D45,16)&lt;3)+(COUNTIF(Нерабочие[],D45)&gt;0),WORKDAY(D45,1,Нерабочие[]),D45))</f>
        <v>45421</v>
      </c>
      <c r="B45" s="64">
        <v>42</v>
      </c>
      <c r="C45" s="65">
        <v>45391</v>
      </c>
      <c r="D45" s="66">
        <v>45421</v>
      </c>
      <c r="E45" s="64">
        <v>30</v>
      </c>
      <c r="F45" s="67">
        <v>825.5</v>
      </c>
      <c r="G45" s="67">
        <v>2071.5</v>
      </c>
      <c r="H45" s="67">
        <v>2897</v>
      </c>
      <c r="I45" s="67">
        <v>126170.82000000008</v>
      </c>
      <c r="K45" s="78">
        <f>(IF((WEEKDAY(N45,16)&lt;3)+(COUNTIF(Нерабочие[],N45)&gt;0),WORKDAY(N45,1,Нерабочие[]),N45))</f>
        <v>2</v>
      </c>
      <c r="L45" s="68"/>
      <c r="M45" s="65"/>
      <c r="N45" s="66"/>
      <c r="O45" s="84"/>
      <c r="P45" s="85"/>
      <c r="Q45" s="87"/>
      <c r="R45" s="85"/>
      <c r="S45" s="85"/>
      <c r="T45" s="88"/>
    </row>
    <row r="46" spans="1:20" ht="13" x14ac:dyDescent="0.3">
      <c r="A46" s="26">
        <f>(IF((WEEKDAY(D46,16)&lt;3)+(COUNTIF(Нерабочие[],D46)&gt;0),WORKDAY(D46,1,Нерабочие[]),D46))</f>
        <v>45453</v>
      </c>
      <c r="B46" s="64">
        <v>43</v>
      </c>
      <c r="C46" s="65">
        <v>45421</v>
      </c>
      <c r="D46" s="66">
        <v>45452</v>
      </c>
      <c r="E46" s="64">
        <v>31</v>
      </c>
      <c r="F46" s="67">
        <v>770.36999999999989</v>
      </c>
      <c r="G46" s="67">
        <v>2126.63</v>
      </c>
      <c r="H46" s="67">
        <v>2897</v>
      </c>
      <c r="I46" s="67">
        <v>125400.45000000008</v>
      </c>
      <c r="K46" s="78">
        <f>(IF((WEEKDAY(N46,16)&lt;3)+(COUNTIF(Нерабочие[],N46)&gt;0),WORKDAY(N46,1,Нерабочие[]),N46))</f>
        <v>2</v>
      </c>
      <c r="L46" s="68"/>
      <c r="M46" s="65"/>
      <c r="N46" s="66"/>
      <c r="O46" s="84"/>
      <c r="P46" s="85"/>
      <c r="Q46" s="87"/>
      <c r="R46" s="85"/>
      <c r="S46" s="85"/>
      <c r="T46" s="88"/>
    </row>
    <row r="47" spans="1:20" ht="13" x14ac:dyDescent="0.3">
      <c r="A47" s="26">
        <f>(IF((WEEKDAY(D47,16)&lt;3)+(COUNTIF(Нерабочие[],D47)&gt;0),WORKDAY(D47,1,Нерабочие[]),D47))</f>
        <v>45482</v>
      </c>
      <c r="B47" s="64">
        <v>44</v>
      </c>
      <c r="C47" s="65">
        <v>45452</v>
      </c>
      <c r="D47" s="66">
        <v>45482</v>
      </c>
      <c r="E47" s="64">
        <v>30</v>
      </c>
      <c r="F47" s="67">
        <v>851.53</v>
      </c>
      <c r="G47" s="67">
        <v>2045.47</v>
      </c>
      <c r="H47" s="67">
        <v>2897</v>
      </c>
      <c r="I47" s="67">
        <v>124548.92000000009</v>
      </c>
      <c r="K47" s="78">
        <f>(IF((WEEKDAY(N47,16)&lt;3)+(COUNTIF(Нерабочие[],N47)&gt;0),WORKDAY(N47,1,Нерабочие[]),N47))</f>
        <v>2</v>
      </c>
      <c r="L47" s="68"/>
      <c r="M47" s="65"/>
      <c r="N47" s="66"/>
      <c r="O47" s="84"/>
      <c r="P47" s="85"/>
      <c r="Q47" s="87"/>
      <c r="R47" s="85"/>
      <c r="S47" s="85"/>
      <c r="T47" s="88"/>
    </row>
    <row r="48" spans="1:20" ht="13" x14ac:dyDescent="0.3">
      <c r="A48" s="26">
        <f>(IF((WEEKDAY(D48,16)&lt;3)+(COUNTIF(Нерабочие[],D48)&gt;0),WORKDAY(D48,1,Нерабочие[]),D48))</f>
        <v>45513</v>
      </c>
      <c r="B48" s="64">
        <v>45</v>
      </c>
      <c r="C48" s="65">
        <v>45482</v>
      </c>
      <c r="D48" s="66">
        <v>45513</v>
      </c>
      <c r="E48" s="64">
        <v>31</v>
      </c>
      <c r="F48" s="67">
        <v>797.69999999999982</v>
      </c>
      <c r="G48" s="67">
        <v>2099.3000000000002</v>
      </c>
      <c r="H48" s="67">
        <v>2897</v>
      </c>
      <c r="I48" s="67">
        <v>123751.22000000009</v>
      </c>
      <c r="K48" s="78">
        <f>(IF((WEEKDAY(N48,16)&lt;3)+(COUNTIF(Нерабочие[],N48)&gt;0),WORKDAY(N48,1,Нерабочие[]),N48))</f>
        <v>2</v>
      </c>
      <c r="L48" s="68"/>
      <c r="M48" s="65"/>
      <c r="N48" s="66"/>
      <c r="O48" s="84"/>
      <c r="P48" s="85"/>
      <c r="Q48" s="87"/>
      <c r="R48" s="85"/>
      <c r="S48" s="85"/>
      <c r="T48" s="88"/>
    </row>
    <row r="49" spans="1:20" ht="13" x14ac:dyDescent="0.3">
      <c r="A49" s="26">
        <f>(IF((WEEKDAY(D49,16)&lt;3)+(COUNTIF(Нерабочие[],D49)&gt;0),WORKDAY(D49,1,Нерабочие[]),D49))</f>
        <v>45544</v>
      </c>
      <c r="B49" s="64">
        <v>46</v>
      </c>
      <c r="C49" s="65">
        <v>45513</v>
      </c>
      <c r="D49" s="66">
        <v>45544</v>
      </c>
      <c r="E49" s="64">
        <v>31</v>
      </c>
      <c r="F49" s="67">
        <v>811.15000000000009</v>
      </c>
      <c r="G49" s="67">
        <v>2085.85</v>
      </c>
      <c r="H49" s="67">
        <v>2897</v>
      </c>
      <c r="I49" s="67">
        <v>122940.07000000009</v>
      </c>
      <c r="K49" s="78">
        <f>(IF((WEEKDAY(N49,16)&lt;3)+(COUNTIF(Нерабочие[],N49)&gt;0),WORKDAY(N49,1,Нерабочие[]),N49))</f>
        <v>2</v>
      </c>
      <c r="L49" s="68"/>
      <c r="M49" s="65"/>
      <c r="N49" s="66"/>
      <c r="O49" s="84"/>
      <c r="P49" s="85"/>
      <c r="Q49" s="87"/>
      <c r="R49" s="85"/>
      <c r="S49" s="85"/>
      <c r="T49" s="88"/>
    </row>
    <row r="50" spans="1:20" ht="13" x14ac:dyDescent="0.3">
      <c r="A50" s="26">
        <f>(IF((WEEKDAY(D50,16)&lt;3)+(COUNTIF(Нерабочие[],D50)&gt;0),WORKDAY(D50,1,Нерабочие[]),D50))</f>
        <v>45574</v>
      </c>
      <c r="B50" s="64">
        <v>47</v>
      </c>
      <c r="C50" s="65">
        <v>45544</v>
      </c>
      <c r="D50" s="66">
        <v>45574</v>
      </c>
      <c r="E50" s="64">
        <v>30</v>
      </c>
      <c r="F50" s="67">
        <v>891.67000000000007</v>
      </c>
      <c r="G50" s="67">
        <v>2005.33</v>
      </c>
      <c r="H50" s="67">
        <v>2897</v>
      </c>
      <c r="I50" s="67">
        <v>122048.4000000001</v>
      </c>
      <c r="K50" s="78">
        <f>(IF((WEEKDAY(N50,16)&lt;3)+(COUNTIF(Нерабочие[],N50)&gt;0),WORKDAY(N50,1,Нерабочие[]),N50))</f>
        <v>2</v>
      </c>
      <c r="L50" s="68"/>
      <c r="M50" s="65"/>
      <c r="N50" s="66"/>
      <c r="O50" s="84"/>
      <c r="P50" s="85"/>
      <c r="Q50" s="87"/>
      <c r="R50" s="85"/>
      <c r="S50" s="85"/>
      <c r="T50" s="88"/>
    </row>
    <row r="51" spans="1:20" ht="13" x14ac:dyDescent="0.3">
      <c r="A51" s="26">
        <f>(IF((WEEKDAY(D51,16)&lt;3)+(COUNTIF(Нерабочие[],D51)&gt;0),WORKDAY(D51,1,Нерабочие[]),D51))</f>
        <v>45607</v>
      </c>
      <c r="B51" s="64">
        <v>48</v>
      </c>
      <c r="C51" s="65">
        <v>45574</v>
      </c>
      <c r="D51" s="66">
        <v>45605</v>
      </c>
      <c r="E51" s="64">
        <v>31</v>
      </c>
      <c r="F51" s="67">
        <v>839.84999999999991</v>
      </c>
      <c r="G51" s="67">
        <v>2057.15</v>
      </c>
      <c r="H51" s="67">
        <v>2897</v>
      </c>
      <c r="I51" s="67">
        <v>121208.55000000009</v>
      </c>
      <c r="K51" s="78">
        <f>(IF((WEEKDAY(N51,16)&lt;3)+(COUNTIF(Нерабочие[],N51)&gt;0),WORKDAY(N51,1,Нерабочие[]),N51))</f>
        <v>2</v>
      </c>
      <c r="L51" s="68"/>
      <c r="M51" s="65"/>
      <c r="N51" s="66"/>
      <c r="O51" s="84"/>
      <c r="P51" s="85"/>
      <c r="Q51" s="87"/>
      <c r="R51" s="85"/>
      <c r="S51" s="85"/>
      <c r="T51" s="88"/>
    </row>
    <row r="52" spans="1:20" ht="13" x14ac:dyDescent="0.3">
      <c r="A52" s="26">
        <f>(IF((WEEKDAY(D52,16)&lt;3)+(COUNTIF(Нерабочие[],D52)&gt;0),WORKDAY(D52,1,Нерабочие[]),D52))</f>
        <v>45635</v>
      </c>
      <c r="B52" s="64">
        <v>49</v>
      </c>
      <c r="C52" s="65">
        <v>45605</v>
      </c>
      <c r="D52" s="66">
        <v>45635</v>
      </c>
      <c r="E52" s="64">
        <v>30</v>
      </c>
      <c r="F52" s="67">
        <v>919.91000000000008</v>
      </c>
      <c r="G52" s="67">
        <v>1977.09</v>
      </c>
      <c r="H52" s="67">
        <v>2897</v>
      </c>
      <c r="I52" s="67">
        <v>120288.64000000009</v>
      </c>
      <c r="K52" s="78">
        <f>(IF((WEEKDAY(N52,16)&lt;3)+(COUNTIF(Нерабочие[],N52)&gt;0),WORKDAY(N52,1,Нерабочие[]),N52))</f>
        <v>2</v>
      </c>
      <c r="L52" s="68"/>
      <c r="M52" s="65"/>
      <c r="N52" s="66"/>
      <c r="O52" s="84"/>
      <c r="P52" s="85"/>
      <c r="Q52" s="87"/>
      <c r="R52" s="85"/>
      <c r="S52" s="85"/>
      <c r="T52" s="88"/>
    </row>
    <row r="53" spans="1:20" ht="13" x14ac:dyDescent="0.3">
      <c r="A53" s="26">
        <f>(IF((WEEKDAY(D53,16)&lt;3)+(COUNTIF(Нерабочие[],D53)&gt;0),WORKDAY(D53,1,Нерабочие[]),D53))</f>
        <v>45666</v>
      </c>
      <c r="B53" s="64">
        <v>50</v>
      </c>
      <c r="C53" s="65">
        <v>45635</v>
      </c>
      <c r="D53" s="66">
        <v>45666</v>
      </c>
      <c r="E53" s="64">
        <v>31</v>
      </c>
      <c r="F53" s="67">
        <v>867.90000000000009</v>
      </c>
      <c r="G53" s="67">
        <v>2029.1</v>
      </c>
      <c r="H53" s="67">
        <v>2897</v>
      </c>
      <c r="I53" s="67">
        <v>119420.74000000009</v>
      </c>
      <c r="K53" s="78">
        <f>(IF((WEEKDAY(N53,16)&lt;3)+(COUNTIF(Нерабочие[],N53)&gt;0),WORKDAY(N53,1,Нерабочие[]),N53))</f>
        <v>2</v>
      </c>
      <c r="L53" s="68"/>
      <c r="M53" s="65"/>
      <c r="N53" s="66"/>
      <c r="O53" s="84"/>
      <c r="P53" s="85"/>
      <c r="Q53" s="87"/>
      <c r="R53" s="85"/>
      <c r="S53" s="85"/>
      <c r="T53" s="88"/>
    </row>
    <row r="54" spans="1:20" ht="13" x14ac:dyDescent="0.3">
      <c r="A54" s="26">
        <f>(IF((WEEKDAY(D54,16)&lt;3)+(COUNTIF(Нерабочие[],D54)&gt;0),WORKDAY(D54,1,Нерабочие[]),D54))</f>
        <v>45698</v>
      </c>
      <c r="B54" s="64">
        <v>51</v>
      </c>
      <c r="C54" s="65">
        <v>45666</v>
      </c>
      <c r="D54" s="66">
        <v>45697</v>
      </c>
      <c r="E54" s="64">
        <v>31</v>
      </c>
      <c r="F54" s="67">
        <v>878.63000000000011</v>
      </c>
      <c r="G54" s="67">
        <v>2018.37</v>
      </c>
      <c r="H54" s="67">
        <v>2897</v>
      </c>
      <c r="I54" s="67">
        <v>118542.11000000009</v>
      </c>
      <c r="K54" s="78">
        <f>(IF((WEEKDAY(N54,16)&lt;3)+(COUNTIF(Нерабочие[],N54)&gt;0),WORKDAY(N54,1,Нерабочие[]),N54))</f>
        <v>2</v>
      </c>
      <c r="L54" s="68"/>
      <c r="M54" s="65"/>
      <c r="N54" s="66"/>
      <c r="O54" s="84"/>
      <c r="P54" s="85"/>
      <c r="Q54" s="87"/>
      <c r="R54" s="85"/>
      <c r="S54" s="85"/>
      <c r="T54" s="88"/>
    </row>
    <row r="55" spans="1:20" ht="13" x14ac:dyDescent="0.3">
      <c r="A55" s="26">
        <f>(IF((WEEKDAY(D55,16)&lt;3)+(COUNTIF(Нерабочие[],D55)&gt;0),WORKDAY(D55,1,Нерабочие[]),D55))</f>
        <v>45726</v>
      </c>
      <c r="B55" s="64">
        <v>52</v>
      </c>
      <c r="C55" s="65">
        <v>45697</v>
      </c>
      <c r="D55" s="66">
        <v>45725</v>
      </c>
      <c r="E55" s="64">
        <v>28</v>
      </c>
      <c r="F55" s="67">
        <v>1087.3699999999999</v>
      </c>
      <c r="G55" s="67">
        <v>1809.63</v>
      </c>
      <c r="H55" s="67">
        <v>2897</v>
      </c>
      <c r="I55" s="67">
        <v>117454.74000000009</v>
      </c>
      <c r="K55" s="78">
        <f>(IF((WEEKDAY(N55,16)&lt;3)+(COUNTIF(Нерабочие[],N55)&gt;0),WORKDAY(N55,1,Нерабочие[]),N55))</f>
        <v>2</v>
      </c>
      <c r="L55" s="68"/>
      <c r="M55" s="65"/>
      <c r="N55" s="66"/>
      <c r="O55" s="84"/>
      <c r="P55" s="85"/>
      <c r="Q55" s="87"/>
      <c r="R55" s="85"/>
      <c r="S55" s="85"/>
      <c r="T55" s="88"/>
    </row>
    <row r="56" spans="1:20" ht="13" x14ac:dyDescent="0.3">
      <c r="A56" s="26">
        <f>(IF((WEEKDAY(D56,16)&lt;3)+(COUNTIF(Нерабочие[],D56)&gt;0),WORKDAY(D56,1,Нерабочие[]),D56))</f>
        <v>45756</v>
      </c>
      <c r="B56" s="64">
        <v>53</v>
      </c>
      <c r="C56" s="65">
        <v>45725</v>
      </c>
      <c r="D56" s="66">
        <v>45756</v>
      </c>
      <c r="E56" s="64">
        <v>31</v>
      </c>
      <c r="F56" s="67">
        <v>911.84999999999991</v>
      </c>
      <c r="G56" s="67">
        <v>1985.15</v>
      </c>
      <c r="H56" s="67">
        <v>2897</v>
      </c>
      <c r="I56" s="67">
        <v>116542.89000000009</v>
      </c>
      <c r="K56" s="78">
        <f>(IF((WEEKDAY(N56,16)&lt;3)+(COUNTIF(Нерабочие[],N56)&gt;0),WORKDAY(N56,1,Нерабочие[]),N56))</f>
        <v>2</v>
      </c>
      <c r="L56" s="68"/>
      <c r="M56" s="65"/>
      <c r="N56" s="66"/>
      <c r="O56" s="84"/>
      <c r="P56" s="85"/>
      <c r="Q56" s="87"/>
      <c r="R56" s="85"/>
      <c r="S56" s="85"/>
      <c r="T56" s="88"/>
    </row>
    <row r="57" spans="1:20" ht="13" x14ac:dyDescent="0.3">
      <c r="A57" s="26">
        <f>(IF((WEEKDAY(D57,16)&lt;3)+(COUNTIF(Нерабочие[],D57)&gt;0),WORKDAY(D57,1,Нерабочие[]),D57))</f>
        <v>45786</v>
      </c>
      <c r="B57" s="64">
        <v>54</v>
      </c>
      <c r="C57" s="65">
        <v>45756</v>
      </c>
      <c r="D57" s="66">
        <v>45786</v>
      </c>
      <c r="E57" s="64">
        <v>30</v>
      </c>
      <c r="F57" s="67">
        <v>990.81</v>
      </c>
      <c r="G57" s="67">
        <v>1906.19</v>
      </c>
      <c r="H57" s="67">
        <v>2897</v>
      </c>
      <c r="I57" s="67">
        <v>115552.08000000009</v>
      </c>
      <c r="K57" s="78">
        <f>(IF((WEEKDAY(N57,16)&lt;3)+(COUNTIF(Нерабочие[],N57)&gt;0),WORKDAY(N57,1,Нерабочие[]),N57))</f>
        <v>2</v>
      </c>
      <c r="L57" s="68"/>
      <c r="M57" s="65"/>
      <c r="N57" s="66"/>
      <c r="O57" s="84"/>
      <c r="P57" s="85"/>
      <c r="Q57" s="87"/>
      <c r="R57" s="85"/>
      <c r="S57" s="85"/>
      <c r="T57" s="88"/>
    </row>
    <row r="58" spans="1:20" ht="13" x14ac:dyDescent="0.3">
      <c r="A58" s="26">
        <f>(IF((WEEKDAY(D58,16)&lt;3)+(COUNTIF(Нерабочие[],D58)&gt;0),WORKDAY(D58,1,Нерабочие[]),D58))</f>
        <v>45817</v>
      </c>
      <c r="B58" s="64">
        <v>55</v>
      </c>
      <c r="C58" s="65">
        <v>45786</v>
      </c>
      <c r="D58" s="66">
        <v>45817</v>
      </c>
      <c r="E58" s="64">
        <v>31</v>
      </c>
      <c r="F58" s="67">
        <v>944.01</v>
      </c>
      <c r="G58" s="67">
        <v>1952.99</v>
      </c>
      <c r="H58" s="67">
        <v>2897</v>
      </c>
      <c r="I58" s="67">
        <v>114608.07000000009</v>
      </c>
      <c r="K58" s="78">
        <f>(IF((WEEKDAY(N58,16)&lt;3)+(COUNTIF(Нерабочие[],N58)&gt;0),WORKDAY(N58,1,Нерабочие[]),N58))</f>
        <v>2</v>
      </c>
      <c r="L58" s="68"/>
      <c r="M58" s="65"/>
      <c r="N58" s="66"/>
      <c r="O58" s="84"/>
      <c r="P58" s="85"/>
      <c r="Q58" s="87"/>
      <c r="R58" s="85"/>
      <c r="S58" s="85"/>
      <c r="T58" s="88"/>
    </row>
    <row r="59" spans="1:20" ht="13" x14ac:dyDescent="0.3">
      <c r="A59" s="26">
        <f>(IF((WEEKDAY(D59,16)&lt;3)+(COUNTIF(Нерабочие[],D59)&gt;0),WORKDAY(D59,1,Нерабочие[]),D59))</f>
        <v>45847</v>
      </c>
      <c r="B59" s="64">
        <v>56</v>
      </c>
      <c r="C59" s="65">
        <v>45817</v>
      </c>
      <c r="D59" s="66">
        <v>45847</v>
      </c>
      <c r="E59" s="64">
        <v>30</v>
      </c>
      <c r="F59" s="67">
        <v>1022.45</v>
      </c>
      <c r="G59" s="67">
        <v>1874.55</v>
      </c>
      <c r="H59" s="67">
        <v>2897</v>
      </c>
      <c r="I59" s="67">
        <v>113585.6200000001</v>
      </c>
      <c r="K59" s="78">
        <f>(IF((WEEKDAY(N59,16)&lt;3)+(COUNTIF(Нерабочие[],N59)&gt;0),WORKDAY(N59,1,Нерабочие[]),N59))</f>
        <v>2</v>
      </c>
      <c r="L59" s="68"/>
      <c r="M59" s="65"/>
      <c r="N59" s="66"/>
      <c r="O59" s="84"/>
      <c r="P59" s="85"/>
      <c r="Q59" s="87"/>
      <c r="R59" s="85"/>
      <c r="S59" s="85"/>
      <c r="T59" s="88"/>
    </row>
    <row r="60" spans="1:20" ht="13" x14ac:dyDescent="0.3">
      <c r="A60" s="26">
        <f>(IF((WEEKDAY(D60,16)&lt;3)+(COUNTIF(Нерабочие[],D60)&gt;0),WORKDAY(D60,1,Нерабочие[]),D60))</f>
        <v>45880</v>
      </c>
      <c r="B60" s="64">
        <v>57</v>
      </c>
      <c r="C60" s="65">
        <v>45847</v>
      </c>
      <c r="D60" s="66">
        <v>45878</v>
      </c>
      <c r="E60" s="64">
        <v>31</v>
      </c>
      <c r="F60" s="67">
        <v>977.25</v>
      </c>
      <c r="G60" s="67">
        <v>1919.75</v>
      </c>
      <c r="H60" s="67">
        <v>2897</v>
      </c>
      <c r="I60" s="67">
        <v>112608.3700000001</v>
      </c>
      <c r="K60" s="78">
        <f>(IF((WEEKDAY(N60,16)&lt;3)+(COUNTIF(Нерабочие[],N60)&gt;0),WORKDAY(N60,1,Нерабочие[]),N60))</f>
        <v>2</v>
      </c>
      <c r="L60" s="68"/>
      <c r="M60" s="65"/>
      <c r="N60" s="66"/>
      <c r="O60" s="84"/>
      <c r="P60" s="85"/>
      <c r="Q60" s="87"/>
      <c r="R60" s="85"/>
      <c r="S60" s="85"/>
      <c r="T60" s="88"/>
    </row>
    <row r="61" spans="1:20" ht="13" x14ac:dyDescent="0.3">
      <c r="A61" s="26">
        <f>(IF((WEEKDAY(D61,16)&lt;3)+(COUNTIF(Нерабочие[],D61)&gt;0),WORKDAY(D61,1,Нерабочие[]),D61))</f>
        <v>45909</v>
      </c>
      <c r="B61" s="64">
        <v>58</v>
      </c>
      <c r="C61" s="65">
        <v>45878</v>
      </c>
      <c r="D61" s="66">
        <v>45909</v>
      </c>
      <c r="E61" s="64">
        <v>31</v>
      </c>
      <c r="F61" s="67">
        <v>993.76</v>
      </c>
      <c r="G61" s="67">
        <v>1903.24</v>
      </c>
      <c r="H61" s="67">
        <v>2897</v>
      </c>
      <c r="I61" s="67">
        <v>111614.6100000001</v>
      </c>
      <c r="K61" s="78">
        <f>(IF((WEEKDAY(N61,16)&lt;3)+(COUNTIF(Нерабочие[],N61)&gt;0),WORKDAY(N61,1,Нерабочие[]),N61))</f>
        <v>2</v>
      </c>
      <c r="L61" s="68"/>
      <c r="M61" s="65"/>
      <c r="N61" s="66"/>
      <c r="O61" s="84"/>
      <c r="P61" s="85"/>
      <c r="Q61" s="87"/>
      <c r="R61" s="85"/>
      <c r="S61" s="85"/>
      <c r="T61" s="88"/>
    </row>
    <row r="62" spans="1:20" ht="13" x14ac:dyDescent="0.3">
      <c r="A62" s="26">
        <f>(IF((WEEKDAY(D62,16)&lt;3)+(COUNTIF(Нерабочие[],D62)&gt;0),WORKDAY(D62,1,Нерабочие[]),D62))</f>
        <v>45939</v>
      </c>
      <c r="B62" s="64">
        <v>59</v>
      </c>
      <c r="C62" s="65">
        <v>45909</v>
      </c>
      <c r="D62" s="66">
        <v>45939</v>
      </c>
      <c r="E62" s="64">
        <v>30</v>
      </c>
      <c r="F62" s="67">
        <v>1071.4100000000001</v>
      </c>
      <c r="G62" s="67">
        <v>1825.59</v>
      </c>
      <c r="H62" s="67">
        <v>2897</v>
      </c>
      <c r="I62" s="67">
        <v>110543.2000000001</v>
      </c>
      <c r="K62" s="78">
        <f>(IF((WEEKDAY(N62,16)&lt;3)+(COUNTIF(Нерабочие[],N62)&gt;0),WORKDAY(N62,1,Нерабочие[]),N62))</f>
        <v>2</v>
      </c>
      <c r="L62" s="68"/>
      <c r="M62" s="65"/>
      <c r="N62" s="66"/>
      <c r="O62" s="84"/>
      <c r="P62" s="85"/>
      <c r="Q62" s="87"/>
      <c r="R62" s="85"/>
      <c r="S62" s="85"/>
      <c r="T62" s="88"/>
    </row>
    <row r="63" spans="1:20" ht="13" x14ac:dyDescent="0.3">
      <c r="A63" s="26">
        <f>(IF((WEEKDAY(D63,16)&lt;3)+(COUNTIF(Нерабочие[],D63)&gt;0),WORKDAY(D63,1,Нерабочие[]),D63))</f>
        <v>45971</v>
      </c>
      <c r="B63" s="64">
        <v>60</v>
      </c>
      <c r="C63" s="65">
        <v>45939</v>
      </c>
      <c r="D63" s="66">
        <v>45970</v>
      </c>
      <c r="E63" s="91">
        <v>31</v>
      </c>
      <c r="F63" s="67">
        <v>1028.67</v>
      </c>
      <c r="G63" s="67">
        <v>1868.33</v>
      </c>
      <c r="H63" s="67">
        <v>2897</v>
      </c>
      <c r="I63" s="67">
        <v>109514.5300000001</v>
      </c>
      <c r="K63" s="78">
        <f>(IF((WEEKDAY(N63,16)&lt;3)+(COUNTIF(Нерабочие[],N63)&gt;0),WORKDAY(N63,1,Нерабочие[]),N63))</f>
        <v>2</v>
      </c>
      <c r="L63" s="68"/>
      <c r="M63" s="65"/>
      <c r="N63" s="66"/>
      <c r="O63" s="84"/>
      <c r="P63" s="85"/>
      <c r="Q63" s="87"/>
      <c r="R63" s="85"/>
      <c r="S63" s="85"/>
      <c r="T63" s="88"/>
    </row>
    <row r="64" spans="1:20" ht="13" x14ac:dyDescent="0.3">
      <c r="A64" s="26">
        <f>(IF((WEEKDAY(D64,16)&lt;3)+(COUNTIF(Нерабочие[],D64)&gt;0),WORKDAY(D64,1,Нерабочие[]),D64))</f>
        <v>46000</v>
      </c>
      <c r="B64" s="64">
        <v>61</v>
      </c>
      <c r="C64" s="65">
        <v>45970</v>
      </c>
      <c r="D64" s="66">
        <v>46000</v>
      </c>
      <c r="E64" s="91">
        <v>30</v>
      </c>
      <c r="F64" s="67">
        <v>1105.76</v>
      </c>
      <c r="G64" s="67">
        <v>1791.24</v>
      </c>
      <c r="H64" s="67">
        <v>2897</v>
      </c>
      <c r="I64" s="67">
        <v>108408.77000000011</v>
      </c>
      <c r="K64" s="78">
        <f>(IF((WEEKDAY(N64,16)&lt;3)+(COUNTIF(Нерабочие[],N64)&gt;0),WORKDAY(N64,1,Нерабочие[]),N64))</f>
        <v>2</v>
      </c>
      <c r="L64" s="68"/>
      <c r="M64" s="65"/>
      <c r="N64" s="66"/>
      <c r="O64" s="84"/>
      <c r="P64" s="85"/>
      <c r="Q64" s="87"/>
      <c r="R64" s="85"/>
      <c r="S64" s="85"/>
      <c r="T64" s="88"/>
    </row>
    <row r="65" spans="1:20" ht="13" x14ac:dyDescent="0.3">
      <c r="A65" s="26">
        <f>(IF((WEEKDAY(D65,16)&lt;3)+(COUNTIF(Нерабочие[],D65)&gt;0),WORKDAY(D65,1,Нерабочие[]),D65))</f>
        <v>46031</v>
      </c>
      <c r="B65" s="64">
        <v>62</v>
      </c>
      <c r="C65" s="65">
        <v>46000</v>
      </c>
      <c r="D65" s="66">
        <v>46031</v>
      </c>
      <c r="E65" s="91">
        <v>31</v>
      </c>
      <c r="F65" s="67">
        <v>1064.74</v>
      </c>
      <c r="G65" s="67">
        <v>1832.26</v>
      </c>
      <c r="H65" s="67">
        <v>2897</v>
      </c>
      <c r="I65" s="67">
        <v>107344.0300000001</v>
      </c>
      <c r="K65" s="78">
        <f>(IF((WEEKDAY(N65,16)&lt;3)+(COUNTIF(Нерабочие[],N65)&gt;0),WORKDAY(N65,1,Нерабочие[]),N65))</f>
        <v>2</v>
      </c>
      <c r="L65" s="68"/>
      <c r="M65" s="65"/>
      <c r="N65" s="66"/>
      <c r="O65" s="84"/>
      <c r="P65" s="85"/>
      <c r="Q65" s="87"/>
      <c r="R65" s="85"/>
      <c r="S65" s="85"/>
      <c r="T65" s="88"/>
    </row>
    <row r="66" spans="1:20" ht="13" x14ac:dyDescent="0.3">
      <c r="A66" s="26">
        <f>(IF((WEEKDAY(D66,16)&lt;3)+(COUNTIF(Нерабочие[],D66)&gt;0),WORKDAY(D66,1,Нерабочие[]),D66))</f>
        <v>46062</v>
      </c>
      <c r="B66" s="64">
        <v>63</v>
      </c>
      <c r="C66" s="65">
        <v>46031</v>
      </c>
      <c r="D66" s="66">
        <v>46062</v>
      </c>
      <c r="E66" s="91">
        <v>31</v>
      </c>
      <c r="F66" s="67">
        <v>1082.74</v>
      </c>
      <c r="G66" s="67">
        <v>1814.26</v>
      </c>
      <c r="H66" s="67">
        <v>2897</v>
      </c>
      <c r="I66" s="67">
        <v>106261.2900000001</v>
      </c>
      <c r="K66" s="78">
        <f>(IF((WEEKDAY(N66,16)&lt;3)+(COUNTIF(Нерабочие[],N66)&gt;0),WORKDAY(N66,1,Нерабочие[]),N66))</f>
        <v>2</v>
      </c>
      <c r="L66" s="68"/>
      <c r="M66" s="65"/>
      <c r="N66" s="66"/>
      <c r="O66" s="84"/>
      <c r="P66" s="85"/>
      <c r="Q66" s="87"/>
      <c r="R66" s="85"/>
      <c r="S66" s="85"/>
      <c r="T66" s="88"/>
    </row>
    <row r="67" spans="1:20" ht="13" x14ac:dyDescent="0.3">
      <c r="A67" s="26">
        <f>(IF((WEEKDAY(D67,16)&lt;3)+(COUNTIF(Нерабочие[],D67)&gt;0),WORKDAY(D67,1,Нерабочие[]),D67))</f>
        <v>46090</v>
      </c>
      <c r="B67" s="64">
        <v>64</v>
      </c>
      <c r="C67" s="65">
        <v>46062</v>
      </c>
      <c r="D67" s="66">
        <v>46090</v>
      </c>
      <c r="E67" s="91">
        <v>28</v>
      </c>
      <c r="F67" s="67">
        <v>1274.8399999999999</v>
      </c>
      <c r="G67" s="67">
        <v>1622.16</v>
      </c>
      <c r="H67" s="67">
        <v>2897</v>
      </c>
      <c r="I67" s="67">
        <v>104986.4500000001</v>
      </c>
      <c r="K67" s="78">
        <f>(IF((WEEKDAY(N67,16)&lt;3)+(COUNTIF(Нерабочие[],N67)&gt;0),WORKDAY(N67,1,Нерабочие[]),N67))</f>
        <v>2</v>
      </c>
      <c r="L67" s="68"/>
      <c r="M67" s="65"/>
      <c r="N67" s="66"/>
      <c r="O67" s="84"/>
      <c r="P67" s="85"/>
      <c r="Q67" s="87"/>
      <c r="R67" s="85"/>
      <c r="S67" s="85"/>
      <c r="T67" s="88"/>
    </row>
    <row r="68" spans="1:20" ht="13" x14ac:dyDescent="0.3">
      <c r="A68" s="26">
        <f>(IF((WEEKDAY(D68,16)&lt;3)+(COUNTIF(Нерабочие[],D68)&gt;0),WORKDAY(D68,1,Нерабочие[]),D68))</f>
        <v>46121</v>
      </c>
      <c r="B68" s="64">
        <v>65</v>
      </c>
      <c r="C68" s="65">
        <v>46090</v>
      </c>
      <c r="D68" s="66">
        <v>46121</v>
      </c>
      <c r="E68" s="91">
        <v>31</v>
      </c>
      <c r="F68" s="67">
        <v>1122.5899999999999</v>
      </c>
      <c r="G68" s="67">
        <v>1774.41</v>
      </c>
      <c r="H68" s="67">
        <v>2897</v>
      </c>
      <c r="I68" s="67">
        <v>103863.8600000001</v>
      </c>
      <c r="K68" s="78">
        <f>(IF((WEEKDAY(N68,16)&lt;3)+(COUNTIF(Нерабочие[],N68)&gt;0),WORKDAY(N68,1,Нерабочие[]),N68))</f>
        <v>2</v>
      </c>
      <c r="L68" s="68"/>
      <c r="M68" s="65"/>
      <c r="N68" s="66"/>
      <c r="O68" s="84"/>
      <c r="P68" s="85"/>
      <c r="Q68" s="87"/>
      <c r="R68" s="85"/>
      <c r="S68" s="85"/>
      <c r="T68" s="88"/>
    </row>
    <row r="69" spans="1:20" ht="13" x14ac:dyDescent="0.3">
      <c r="A69" s="26">
        <f>(IF((WEEKDAY(D69,16)&lt;3)+(COUNTIF(Нерабочие[],D69)&gt;0),WORKDAY(D69,1,Нерабочие[]),D69))</f>
        <v>46153</v>
      </c>
      <c r="B69" s="64">
        <v>66</v>
      </c>
      <c r="C69" s="65">
        <v>46121</v>
      </c>
      <c r="D69" s="66">
        <v>46151</v>
      </c>
      <c r="E69" s="91">
        <v>30</v>
      </c>
      <c r="F69" s="67">
        <v>1198.19</v>
      </c>
      <c r="G69" s="67">
        <v>1698.81</v>
      </c>
      <c r="H69" s="67">
        <v>2897</v>
      </c>
      <c r="I69" s="67">
        <v>102665.6700000001</v>
      </c>
      <c r="K69" s="78">
        <f>(IF((WEEKDAY(N69,16)&lt;3)+(COUNTIF(Нерабочие[],N69)&gt;0),WORKDAY(N69,1,Нерабочие[]),N69))</f>
        <v>2</v>
      </c>
      <c r="L69" s="68"/>
      <c r="M69" s="65"/>
      <c r="N69" s="66"/>
      <c r="O69" s="84"/>
      <c r="P69" s="85"/>
      <c r="Q69" s="87"/>
      <c r="R69" s="85"/>
      <c r="S69" s="85"/>
      <c r="T69" s="88"/>
    </row>
    <row r="70" spans="1:20" ht="13" x14ac:dyDescent="0.3">
      <c r="A70" s="26">
        <f>(IF((WEEKDAY(D70,16)&lt;3)+(COUNTIF(Нерабочие[],D70)&gt;0),WORKDAY(D70,1,Нерабочие[]),D70))</f>
        <v>46182</v>
      </c>
      <c r="B70" s="64">
        <v>67</v>
      </c>
      <c r="C70" s="65">
        <v>46151</v>
      </c>
      <c r="D70" s="66">
        <v>46182</v>
      </c>
      <c r="E70" s="91">
        <v>31</v>
      </c>
      <c r="F70" s="67">
        <v>1161.81</v>
      </c>
      <c r="G70" s="67">
        <v>1735.19</v>
      </c>
      <c r="H70" s="67">
        <v>2897</v>
      </c>
      <c r="I70" s="67">
        <v>101503.8600000001</v>
      </c>
      <c r="K70" s="78">
        <f>(IF((WEEKDAY(N70,16)&lt;3)+(COUNTIF(Нерабочие[],N70)&gt;0),WORKDAY(N70,1,Нерабочие[]),N70))</f>
        <v>2</v>
      </c>
      <c r="L70" s="68"/>
      <c r="M70" s="65"/>
      <c r="N70" s="66"/>
      <c r="O70" s="84"/>
      <c r="P70" s="85"/>
      <c r="Q70" s="87"/>
      <c r="R70" s="85"/>
      <c r="S70" s="85"/>
      <c r="T70" s="88"/>
    </row>
    <row r="71" spans="1:20" ht="13" x14ac:dyDescent="0.3">
      <c r="A71" s="26">
        <f>(IF((WEEKDAY(D71,16)&lt;3)+(COUNTIF(Нерабочие[],D71)&gt;0),WORKDAY(D71,1,Нерабочие[]),D71))</f>
        <v>46212</v>
      </c>
      <c r="B71" s="64">
        <v>68</v>
      </c>
      <c r="C71" s="65">
        <v>46182</v>
      </c>
      <c r="D71" s="66">
        <v>46212</v>
      </c>
      <c r="E71" s="91">
        <v>30</v>
      </c>
      <c r="F71" s="67">
        <v>1236.79</v>
      </c>
      <c r="G71" s="67">
        <v>1660.21</v>
      </c>
      <c r="H71" s="67">
        <v>2897</v>
      </c>
      <c r="I71" s="67">
        <v>100267.07000000011</v>
      </c>
      <c r="K71" s="78">
        <f>(IF((WEEKDAY(N71,16)&lt;3)+(COUNTIF(Нерабочие[],N71)&gt;0),WORKDAY(N71,1,Нерабочие[]),N71))</f>
        <v>2</v>
      </c>
      <c r="L71" s="68"/>
      <c r="M71" s="65"/>
      <c r="N71" s="66"/>
      <c r="O71" s="84"/>
      <c r="P71" s="85"/>
      <c r="Q71" s="87"/>
      <c r="R71" s="85"/>
      <c r="S71" s="85"/>
      <c r="T71" s="88"/>
    </row>
    <row r="72" spans="1:20" ht="13" x14ac:dyDescent="0.3">
      <c r="A72" s="26">
        <f>(IF((WEEKDAY(D72,16)&lt;3)+(COUNTIF(Нерабочие[],D72)&gt;0),WORKDAY(D72,1,Нерабочие[]),D72))</f>
        <v>46244</v>
      </c>
      <c r="B72" s="64">
        <v>69</v>
      </c>
      <c r="C72" s="65">
        <v>46212</v>
      </c>
      <c r="D72" s="66">
        <v>46243</v>
      </c>
      <c r="E72" s="91">
        <v>31</v>
      </c>
      <c r="F72" s="67">
        <v>1202.3499999999999</v>
      </c>
      <c r="G72" s="67">
        <v>1694.65</v>
      </c>
      <c r="H72" s="67">
        <v>2897</v>
      </c>
      <c r="I72" s="67">
        <v>99064.720000000103</v>
      </c>
      <c r="K72" s="78">
        <f>(IF((WEEKDAY(N72,16)&lt;3)+(COUNTIF(Нерабочие[],N72)&gt;0),WORKDAY(N72,1,Нерабочие[]),N72))</f>
        <v>2</v>
      </c>
      <c r="L72" s="68"/>
      <c r="M72" s="65"/>
      <c r="N72" s="66"/>
      <c r="O72" s="84"/>
      <c r="P72" s="85"/>
      <c r="Q72" s="87"/>
      <c r="R72" s="85"/>
      <c r="S72" s="85"/>
      <c r="T72" s="88"/>
    </row>
    <row r="73" spans="1:20" ht="13" x14ac:dyDescent="0.3">
      <c r="A73" s="26">
        <f>(IF((WEEKDAY(D73,16)&lt;3)+(COUNTIF(Нерабочие[],D73)&gt;0),WORKDAY(D73,1,Нерабочие[]),D73))</f>
        <v>46274</v>
      </c>
      <c r="B73" s="64">
        <v>70</v>
      </c>
      <c r="C73" s="65">
        <v>46243</v>
      </c>
      <c r="D73" s="66">
        <v>46274</v>
      </c>
      <c r="E73" s="91">
        <v>31</v>
      </c>
      <c r="F73" s="67">
        <v>1222.67</v>
      </c>
      <c r="G73" s="67">
        <v>1674.33</v>
      </c>
      <c r="H73" s="67">
        <v>2897</v>
      </c>
      <c r="I73" s="67">
        <v>97842.050000000105</v>
      </c>
      <c r="K73" s="78">
        <f>(IF((WEEKDAY(N73,16)&lt;3)+(COUNTIF(Нерабочие[],N73)&gt;0),WORKDAY(N73,1,Нерабочие[]),N73))</f>
        <v>2</v>
      </c>
      <c r="L73" s="68"/>
      <c r="M73" s="65"/>
      <c r="N73" s="66"/>
      <c r="O73" s="84"/>
      <c r="P73" s="85"/>
      <c r="Q73" s="87"/>
      <c r="R73" s="85"/>
      <c r="S73" s="85"/>
      <c r="T73" s="88"/>
    </row>
    <row r="74" spans="1:20" ht="13" x14ac:dyDescent="0.3">
      <c r="A74" s="26">
        <f>(IF((WEEKDAY(D74,16)&lt;3)+(COUNTIF(Нерабочие[],D74)&gt;0),WORKDAY(D74,1,Нерабочие[]),D74))</f>
        <v>46304</v>
      </c>
      <c r="B74" s="64">
        <v>71</v>
      </c>
      <c r="C74" s="65">
        <v>46274</v>
      </c>
      <c r="D74" s="66">
        <v>46304</v>
      </c>
      <c r="E74" s="91">
        <v>30</v>
      </c>
      <c r="F74" s="67">
        <v>1296.68</v>
      </c>
      <c r="G74" s="67">
        <v>1600.32</v>
      </c>
      <c r="H74" s="67">
        <v>2897</v>
      </c>
      <c r="I74" s="67">
        <v>96545.370000000112</v>
      </c>
      <c r="K74" s="78">
        <f>(IF((WEEKDAY(N74,16)&lt;3)+(COUNTIF(Нерабочие[],N74)&gt;0),WORKDAY(N74,1,Нерабочие[]),N74))</f>
        <v>2</v>
      </c>
      <c r="L74" s="68"/>
      <c r="M74" s="65"/>
      <c r="N74" s="66"/>
      <c r="O74" s="84"/>
      <c r="P74" s="85"/>
      <c r="Q74" s="87"/>
      <c r="R74" s="85"/>
      <c r="S74" s="85"/>
      <c r="T74" s="88"/>
    </row>
    <row r="75" spans="1:20" ht="13" x14ac:dyDescent="0.3">
      <c r="A75" s="26">
        <f>(IF((WEEKDAY(D75,16)&lt;3)+(COUNTIF(Нерабочие[],D75)&gt;0),WORKDAY(D75,1,Нерабочие[]),D75))</f>
        <v>46335</v>
      </c>
      <c r="B75" s="64">
        <v>72</v>
      </c>
      <c r="C75" s="65">
        <v>46304</v>
      </c>
      <c r="D75" s="66">
        <v>46335</v>
      </c>
      <c r="E75" s="91">
        <v>31</v>
      </c>
      <c r="F75" s="67">
        <v>1265.25</v>
      </c>
      <c r="G75" s="67">
        <v>1631.75</v>
      </c>
      <c r="H75" s="67">
        <v>2897</v>
      </c>
      <c r="I75" s="67">
        <v>95280.120000000112</v>
      </c>
      <c r="K75" s="78">
        <f>(IF((WEEKDAY(N75,16)&lt;3)+(COUNTIF(Нерабочие[],N75)&gt;0),WORKDAY(N75,1,Нерабочие[]),N75))</f>
        <v>2</v>
      </c>
      <c r="L75" s="68"/>
      <c r="M75" s="65"/>
      <c r="N75" s="66"/>
      <c r="O75" s="84"/>
      <c r="P75" s="85"/>
      <c r="Q75" s="87"/>
      <c r="R75" s="85"/>
      <c r="S75" s="85"/>
      <c r="T75" s="88"/>
    </row>
    <row r="76" spans="1:20" ht="13" x14ac:dyDescent="0.3">
      <c r="A76" s="26">
        <f>(IF((WEEKDAY(D76,16)&lt;3)+(COUNTIF(Нерабочие[],D76)&gt;0),WORKDAY(D76,1,Нерабочие[]),D76))</f>
        <v>46365</v>
      </c>
      <c r="B76" s="64">
        <v>73</v>
      </c>
      <c r="C76" s="65">
        <v>46335</v>
      </c>
      <c r="D76" s="66">
        <v>46365</v>
      </c>
      <c r="E76" s="91">
        <v>30</v>
      </c>
      <c r="F76" s="67">
        <v>1338.58</v>
      </c>
      <c r="G76" s="67">
        <v>1558.42</v>
      </c>
      <c r="H76" s="67">
        <v>2897</v>
      </c>
      <c r="I76" s="67">
        <v>93941.54000000011</v>
      </c>
      <c r="K76" s="78">
        <f>(IF((WEEKDAY(N76,16)&lt;3)+(COUNTIF(Нерабочие[],N76)&gt;0),WORKDAY(N76,1,Нерабочие[]),N76))</f>
        <v>2</v>
      </c>
      <c r="L76" s="68"/>
      <c r="M76" s="65"/>
      <c r="N76" s="66"/>
      <c r="O76" s="84"/>
      <c r="P76" s="85"/>
      <c r="Q76" s="87"/>
      <c r="R76" s="85"/>
      <c r="S76" s="85"/>
      <c r="T76" s="88"/>
    </row>
    <row r="77" spans="1:20" ht="13" x14ac:dyDescent="0.3">
      <c r="A77" s="26">
        <f>(IF((WEEKDAY(D77,16)&lt;3)+(COUNTIF(Нерабочие[],D77)&gt;0),WORKDAY(D77,1,Нерабочие[]),D77))</f>
        <v>46398</v>
      </c>
      <c r="B77" s="64">
        <v>74</v>
      </c>
      <c r="C77" s="65">
        <v>46365</v>
      </c>
      <c r="D77" s="66">
        <v>46396</v>
      </c>
      <c r="E77" s="91">
        <v>31</v>
      </c>
      <c r="F77" s="67">
        <v>1309.26</v>
      </c>
      <c r="G77" s="67">
        <v>1587.74</v>
      </c>
      <c r="H77" s="67">
        <v>2897</v>
      </c>
      <c r="I77" s="67">
        <v>92632.280000000115</v>
      </c>
      <c r="K77" s="78">
        <f>(IF((WEEKDAY(N77,16)&lt;3)+(COUNTIF(Нерабочие[],N77)&gt;0),WORKDAY(N77,1,Нерабочие[]),N77))</f>
        <v>2</v>
      </c>
      <c r="L77" s="68"/>
      <c r="M77" s="65"/>
      <c r="N77" s="66"/>
      <c r="O77" s="84"/>
      <c r="P77" s="85"/>
      <c r="Q77" s="87"/>
      <c r="R77" s="85"/>
      <c r="S77" s="85"/>
      <c r="T77" s="88"/>
    </row>
    <row r="78" spans="1:20" ht="13" x14ac:dyDescent="0.3">
      <c r="A78" s="26">
        <f>(IF((WEEKDAY(D78,16)&lt;3)+(COUNTIF(Нерабочие[],D78)&gt;0),WORKDAY(D78,1,Нерабочие[]),D78))</f>
        <v>46427</v>
      </c>
      <c r="B78" s="64">
        <v>75</v>
      </c>
      <c r="C78" s="65">
        <v>46396</v>
      </c>
      <c r="D78" s="66">
        <v>46427</v>
      </c>
      <c r="E78" s="91">
        <v>31</v>
      </c>
      <c r="F78" s="67">
        <v>1331.39</v>
      </c>
      <c r="G78" s="67">
        <v>1565.61</v>
      </c>
      <c r="H78" s="67">
        <v>2897</v>
      </c>
      <c r="I78" s="67">
        <v>91300.890000000116</v>
      </c>
      <c r="K78" s="78">
        <f>(IF((WEEKDAY(N78,16)&lt;3)+(COUNTIF(Нерабочие[],N78)&gt;0),WORKDAY(N78,1,Нерабочие[]),N78))</f>
        <v>2</v>
      </c>
      <c r="L78" s="68"/>
      <c r="M78" s="65"/>
      <c r="N78" s="66"/>
      <c r="O78" s="84"/>
      <c r="P78" s="85"/>
      <c r="Q78" s="87"/>
      <c r="R78" s="85"/>
      <c r="S78" s="85"/>
      <c r="T78" s="88"/>
    </row>
    <row r="79" spans="1:20" ht="13" x14ac:dyDescent="0.3">
      <c r="A79" s="26">
        <f>(IF((WEEKDAY(D79,16)&lt;3)+(COUNTIF(Нерабочие[],D79)&gt;0),WORKDAY(D79,1,Нерабочие[]),D79))</f>
        <v>46455</v>
      </c>
      <c r="B79" s="64">
        <v>76</v>
      </c>
      <c r="C79" s="65">
        <v>46427</v>
      </c>
      <c r="D79" s="66">
        <v>46455</v>
      </c>
      <c r="E79" s="91">
        <v>28</v>
      </c>
      <c r="F79" s="67">
        <v>1503.22</v>
      </c>
      <c r="G79" s="67">
        <v>1393.78</v>
      </c>
      <c r="H79" s="67">
        <v>2897</v>
      </c>
      <c r="I79" s="67">
        <v>89797.670000000115</v>
      </c>
      <c r="K79" s="78">
        <f>(IF((WEEKDAY(N79,16)&lt;3)+(COUNTIF(Нерабочие[],N79)&gt;0),WORKDAY(N79,1,Нерабочие[]),N79))</f>
        <v>2</v>
      </c>
      <c r="L79" s="68"/>
      <c r="M79" s="65"/>
      <c r="N79" s="66"/>
      <c r="O79" s="84"/>
      <c r="P79" s="85"/>
      <c r="Q79" s="87"/>
      <c r="R79" s="85"/>
      <c r="S79" s="85"/>
      <c r="T79" s="88"/>
    </row>
    <row r="80" spans="1:20" ht="13" x14ac:dyDescent="0.3">
      <c r="A80" s="26">
        <f>(IF((WEEKDAY(D80,16)&lt;3)+(COUNTIF(Нерабочие[],D80)&gt;0),WORKDAY(D80,1,Нерабочие[]),D80))</f>
        <v>46486</v>
      </c>
      <c r="B80" s="64">
        <v>77</v>
      </c>
      <c r="C80" s="65">
        <v>46455</v>
      </c>
      <c r="D80" s="66">
        <v>46486</v>
      </c>
      <c r="E80" s="91">
        <v>31</v>
      </c>
      <c r="F80" s="67">
        <v>1379.3</v>
      </c>
      <c r="G80" s="67">
        <v>1517.7</v>
      </c>
      <c r="H80" s="67">
        <v>2897</v>
      </c>
      <c r="I80" s="67">
        <v>88418.370000000112</v>
      </c>
      <c r="K80" s="78">
        <f>(IF((WEEKDAY(N80,16)&lt;3)+(COUNTIF(Нерабочие[],N80)&gt;0),WORKDAY(N80,1,Нерабочие[]),N80))</f>
        <v>2</v>
      </c>
      <c r="L80" s="68"/>
      <c r="M80" s="65"/>
      <c r="N80" s="66"/>
      <c r="O80" s="84"/>
      <c r="P80" s="85"/>
      <c r="Q80" s="87"/>
      <c r="R80" s="85"/>
      <c r="S80" s="85"/>
      <c r="T80" s="88"/>
    </row>
    <row r="81" spans="1:20" ht="13" x14ac:dyDescent="0.3">
      <c r="A81" s="26">
        <f>(IF((WEEKDAY(D81,16)&lt;3)+(COUNTIF(Нерабочие[],D81)&gt;0),WORKDAY(D81,1,Нерабочие[]),D81))</f>
        <v>46517</v>
      </c>
      <c r="B81" s="64">
        <v>78</v>
      </c>
      <c r="C81" s="65">
        <v>46486</v>
      </c>
      <c r="D81" s="66">
        <v>46516</v>
      </c>
      <c r="E81" s="91">
        <v>30</v>
      </c>
      <c r="F81" s="67">
        <v>1450.81</v>
      </c>
      <c r="G81" s="67">
        <v>1446.19</v>
      </c>
      <c r="H81" s="67">
        <v>2897</v>
      </c>
      <c r="I81" s="67">
        <v>86967.560000000114</v>
      </c>
      <c r="K81" s="78">
        <f>(IF((WEEKDAY(N81,16)&lt;3)+(COUNTIF(Нерабочие[],N81)&gt;0),WORKDAY(N81,1,Нерабочие[]),N81))</f>
        <v>2</v>
      </c>
      <c r="L81" s="68"/>
      <c r="M81" s="65"/>
      <c r="N81" s="66"/>
      <c r="O81" s="84"/>
      <c r="P81" s="85"/>
      <c r="Q81" s="87"/>
      <c r="R81" s="85"/>
      <c r="S81" s="85"/>
      <c r="T81" s="88"/>
    </row>
    <row r="82" spans="1:20" ht="13" x14ac:dyDescent="0.3">
      <c r="A82" s="26">
        <f>(IF((WEEKDAY(D82,16)&lt;3)+(COUNTIF(Нерабочие[],D82)&gt;0),WORKDAY(D82,1,Нерабочие[]),D82))</f>
        <v>46547</v>
      </c>
      <c r="B82" s="64">
        <v>79</v>
      </c>
      <c r="C82" s="65">
        <v>46516</v>
      </c>
      <c r="D82" s="66">
        <v>46547</v>
      </c>
      <c r="E82" s="91">
        <v>31</v>
      </c>
      <c r="F82" s="67">
        <v>1427.13</v>
      </c>
      <c r="G82" s="67">
        <v>1469.87</v>
      </c>
      <c r="H82" s="67">
        <v>2897</v>
      </c>
      <c r="I82" s="67">
        <v>85540.430000000109</v>
      </c>
      <c r="K82" s="78">
        <f>(IF((WEEKDAY(N82,16)&lt;3)+(COUNTIF(Нерабочие[],N82)&gt;0),WORKDAY(N82,1,Нерабочие[]),N82))</f>
        <v>2</v>
      </c>
      <c r="L82" s="68"/>
      <c r="M82" s="65"/>
      <c r="N82" s="66"/>
      <c r="O82" s="84"/>
      <c r="P82" s="85"/>
      <c r="Q82" s="87"/>
      <c r="R82" s="85"/>
      <c r="S82" s="85"/>
      <c r="T82" s="88"/>
    </row>
    <row r="83" spans="1:20" ht="13" x14ac:dyDescent="0.3">
      <c r="A83" s="26">
        <f>(IF((WEEKDAY(D83,16)&lt;3)+(COUNTIF(Нерабочие[],D83)&gt;0),WORKDAY(D83,1,Нерабочие[]),D83))</f>
        <v>46577</v>
      </c>
      <c r="B83" s="64">
        <v>80</v>
      </c>
      <c r="C83" s="65">
        <v>46547</v>
      </c>
      <c r="D83" s="66">
        <v>46577</v>
      </c>
      <c r="E83" s="91">
        <v>30</v>
      </c>
      <c r="F83" s="67">
        <v>1497.89</v>
      </c>
      <c r="G83" s="67">
        <v>1399.11</v>
      </c>
      <c r="H83" s="67">
        <v>2897</v>
      </c>
      <c r="I83" s="67">
        <v>84042.54000000011</v>
      </c>
      <c r="K83" s="78">
        <f>(IF((WEEKDAY(N83,16)&lt;3)+(COUNTIF(Нерабочие[],N83)&gt;0),WORKDAY(N83,1,Нерабочие[]),N83))</f>
        <v>2</v>
      </c>
      <c r="L83" s="68"/>
      <c r="M83" s="65"/>
      <c r="N83" s="66"/>
      <c r="O83" s="84"/>
      <c r="P83" s="85"/>
      <c r="Q83" s="87"/>
      <c r="R83" s="85"/>
      <c r="S83" s="85"/>
      <c r="T83" s="88"/>
    </row>
    <row r="84" spans="1:20" ht="13" x14ac:dyDescent="0.3">
      <c r="A84" s="26">
        <f>(IF((WEEKDAY(D84,16)&lt;3)+(COUNTIF(Нерабочие[],D84)&gt;0),WORKDAY(D84,1,Нерабочие[]),D84))</f>
        <v>46608</v>
      </c>
      <c r="B84" s="64">
        <v>81</v>
      </c>
      <c r="C84" s="65">
        <v>46577</v>
      </c>
      <c r="D84" s="66">
        <v>46608</v>
      </c>
      <c r="E84" s="91">
        <v>31</v>
      </c>
      <c r="F84" s="67">
        <v>1476.57</v>
      </c>
      <c r="G84" s="67">
        <v>1420.43</v>
      </c>
      <c r="H84" s="67">
        <v>2897</v>
      </c>
      <c r="I84" s="67">
        <v>82565.970000000103</v>
      </c>
      <c r="K84" s="78">
        <f>(IF((WEEKDAY(N84,16)&lt;3)+(COUNTIF(Нерабочие[],N84)&gt;0),WORKDAY(N84,1,Нерабочие[]),N84))</f>
        <v>2</v>
      </c>
      <c r="L84" s="68"/>
      <c r="M84" s="65"/>
      <c r="N84" s="66"/>
      <c r="O84" s="84"/>
      <c r="P84" s="85"/>
      <c r="Q84" s="87"/>
      <c r="R84" s="85"/>
      <c r="S84" s="85"/>
      <c r="T84" s="88"/>
    </row>
    <row r="85" spans="1:20" ht="13" x14ac:dyDescent="0.3">
      <c r="A85" s="26">
        <f>(IF((WEEKDAY(D85,16)&lt;3)+(COUNTIF(Нерабочие[],D85)&gt;0),WORKDAY(D85,1,Нерабочие[]),D85))</f>
        <v>46639</v>
      </c>
      <c r="B85" s="64">
        <v>82</v>
      </c>
      <c r="C85" s="65">
        <v>46608</v>
      </c>
      <c r="D85" s="66">
        <v>46639</v>
      </c>
      <c r="E85" s="91">
        <v>31</v>
      </c>
      <c r="F85" s="67">
        <v>1501.52</v>
      </c>
      <c r="G85" s="67">
        <v>1395.48</v>
      </c>
      <c r="H85" s="67">
        <v>2897</v>
      </c>
      <c r="I85" s="67">
        <v>81064.450000000099</v>
      </c>
      <c r="K85" s="78">
        <f>(IF((WEEKDAY(N85,16)&lt;3)+(COUNTIF(Нерабочие[],N85)&gt;0),WORKDAY(N85,1,Нерабочие[]),N85))</f>
        <v>2</v>
      </c>
      <c r="L85" s="68"/>
      <c r="M85" s="65"/>
      <c r="N85" s="66"/>
      <c r="O85" s="84"/>
      <c r="P85" s="85"/>
      <c r="Q85" s="87"/>
      <c r="R85" s="85"/>
      <c r="S85" s="85"/>
      <c r="T85" s="88"/>
    </row>
    <row r="86" spans="1:20" ht="13" x14ac:dyDescent="0.3">
      <c r="A86" s="26">
        <f>(IF((WEEKDAY(D86,16)&lt;3)+(COUNTIF(Нерабочие[],D86)&gt;0),WORKDAY(D86,1,Нерабочие[]),D86))</f>
        <v>46671</v>
      </c>
      <c r="B86" s="64">
        <v>83</v>
      </c>
      <c r="C86" s="65">
        <v>46639</v>
      </c>
      <c r="D86" s="66">
        <v>46669</v>
      </c>
      <c r="E86" s="91">
        <v>30</v>
      </c>
      <c r="F86" s="67">
        <v>1571.1</v>
      </c>
      <c r="G86" s="67">
        <v>1325.9</v>
      </c>
      <c r="H86" s="67">
        <v>2897</v>
      </c>
      <c r="I86" s="67">
        <v>79493.350000000093</v>
      </c>
      <c r="K86" s="78">
        <f>(IF((WEEKDAY(N86,16)&lt;3)+(COUNTIF(Нерабочие[],N86)&gt;0),WORKDAY(N86,1,Нерабочие[]),N86))</f>
        <v>2</v>
      </c>
      <c r="L86" s="68"/>
      <c r="M86" s="65"/>
      <c r="N86" s="66"/>
      <c r="O86" s="84"/>
      <c r="P86" s="85"/>
      <c r="Q86" s="87"/>
      <c r="R86" s="85"/>
      <c r="S86" s="85"/>
      <c r="T86" s="88"/>
    </row>
    <row r="87" spans="1:20" ht="13" x14ac:dyDescent="0.3">
      <c r="A87" s="26">
        <f>(IF((WEEKDAY(D87,16)&lt;3)+(COUNTIF(Нерабочие[],D87)&gt;0),WORKDAY(D87,1,Нерабочие[]),D87))</f>
        <v>46700</v>
      </c>
      <c r="B87" s="64">
        <v>84</v>
      </c>
      <c r="C87" s="65">
        <v>46669</v>
      </c>
      <c r="D87" s="66">
        <v>46700</v>
      </c>
      <c r="E87" s="91">
        <v>31</v>
      </c>
      <c r="F87" s="67">
        <v>1553.45</v>
      </c>
      <c r="G87" s="67">
        <v>1343.55</v>
      </c>
      <c r="H87" s="67">
        <v>2897</v>
      </c>
      <c r="I87" s="67">
        <v>77939.900000000096</v>
      </c>
      <c r="K87" s="78">
        <f>(IF((WEEKDAY(N87,16)&lt;3)+(COUNTIF(Нерабочие[],N87)&gt;0),WORKDAY(N87,1,Нерабочие[]),N87))</f>
        <v>2</v>
      </c>
      <c r="L87" s="68"/>
      <c r="M87" s="65"/>
      <c r="N87" s="66"/>
      <c r="O87" s="84"/>
      <c r="P87" s="85"/>
      <c r="Q87" s="87"/>
      <c r="R87" s="85"/>
      <c r="S87" s="85"/>
      <c r="T87" s="88"/>
    </row>
    <row r="88" spans="1:20" ht="13" x14ac:dyDescent="0.3">
      <c r="A88" s="26">
        <f>(IF((WEEKDAY(D88,16)&lt;3)+(COUNTIF(Нерабочие[],D88)&gt;0),WORKDAY(D88,1,Нерабочие[]),D88))</f>
        <v>46730</v>
      </c>
      <c r="B88" s="64">
        <v>85</v>
      </c>
      <c r="C88" s="65">
        <v>46700</v>
      </c>
      <c r="D88" s="66">
        <v>46730</v>
      </c>
      <c r="E88" s="91">
        <v>30</v>
      </c>
      <c r="F88" s="67">
        <v>1622.2</v>
      </c>
      <c r="G88" s="67">
        <v>1274.8</v>
      </c>
      <c r="H88" s="67">
        <v>2897</v>
      </c>
      <c r="I88" s="67">
        <v>76317.700000000099</v>
      </c>
      <c r="K88" s="78">
        <f>(IF((WEEKDAY(N88,16)&lt;3)+(COUNTIF(Нерабочие[],N88)&gt;0),WORKDAY(N88,1,Нерабочие[]),N88))</f>
        <v>2</v>
      </c>
      <c r="L88" s="68"/>
      <c r="M88" s="65"/>
      <c r="N88" s="66"/>
      <c r="O88" s="84"/>
      <c r="P88" s="85"/>
      <c r="Q88" s="87"/>
      <c r="R88" s="85"/>
      <c r="S88" s="85"/>
      <c r="T88" s="88"/>
    </row>
    <row r="89" spans="1:20" ht="13" x14ac:dyDescent="0.3">
      <c r="A89" s="26">
        <f>(IF((WEEKDAY(D89,16)&lt;3)+(COUNTIF(Нерабочие[],D89)&gt;0),WORKDAY(D89,1,Нерабочие[]),D89))</f>
        <v>46762</v>
      </c>
      <c r="B89" s="64">
        <v>86</v>
      </c>
      <c r="C89" s="65">
        <v>46730</v>
      </c>
      <c r="D89" s="66">
        <v>46761</v>
      </c>
      <c r="E89" s="91">
        <v>31</v>
      </c>
      <c r="F89" s="67">
        <v>1608.15</v>
      </c>
      <c r="G89" s="67">
        <v>1288.8499999999999</v>
      </c>
      <c r="H89" s="67">
        <v>2897</v>
      </c>
      <c r="I89" s="67">
        <v>74709.550000000105</v>
      </c>
      <c r="K89" s="78">
        <f>(IF((WEEKDAY(N89,16)&lt;3)+(COUNTIF(Нерабочие[],N89)&gt;0),WORKDAY(N89,1,Нерабочие[]),N89))</f>
        <v>2</v>
      </c>
      <c r="L89" s="68"/>
      <c r="M89" s="65"/>
      <c r="N89" s="66"/>
      <c r="O89" s="84"/>
      <c r="P89" s="85"/>
      <c r="Q89" s="87"/>
      <c r="R89" s="85"/>
      <c r="S89" s="85"/>
      <c r="T89" s="88"/>
    </row>
    <row r="90" spans="1:20" ht="13" x14ac:dyDescent="0.3">
      <c r="A90" s="26">
        <f>(IF((WEEKDAY(D90,16)&lt;3)+(COUNTIF(Нерабочие[],D90)&gt;0),WORKDAY(D90,1,Нерабочие[]),D90))</f>
        <v>46792</v>
      </c>
      <c r="B90" s="64">
        <v>87</v>
      </c>
      <c r="C90" s="65">
        <v>46761</v>
      </c>
      <c r="D90" s="66">
        <v>46792</v>
      </c>
      <c r="E90" s="91">
        <v>31</v>
      </c>
      <c r="F90" s="67">
        <v>1637.76</v>
      </c>
      <c r="G90" s="67">
        <v>1259.24</v>
      </c>
      <c r="H90" s="67">
        <v>2897</v>
      </c>
      <c r="I90" s="67">
        <v>73071.79000000011</v>
      </c>
      <c r="K90" s="78">
        <f>(IF((WEEKDAY(N90,16)&lt;3)+(COUNTIF(Нерабочие[],N90)&gt;0),WORKDAY(N90,1,Нерабочие[]),N90))</f>
        <v>2</v>
      </c>
      <c r="L90" s="68"/>
      <c r="M90" s="65"/>
      <c r="N90" s="66"/>
      <c r="O90" s="84"/>
      <c r="P90" s="85"/>
      <c r="Q90" s="87"/>
      <c r="R90" s="85"/>
      <c r="S90" s="85"/>
      <c r="T90" s="88"/>
    </row>
    <row r="91" spans="1:20" ht="13" x14ac:dyDescent="0.3">
      <c r="A91" s="26">
        <f>(IF((WEEKDAY(D91,16)&lt;3)+(COUNTIF(Нерабочие[],D91)&gt;0),WORKDAY(D91,1,Нерабочие[]),D91))</f>
        <v>46821</v>
      </c>
      <c r="B91" s="64">
        <v>88</v>
      </c>
      <c r="C91" s="65">
        <v>46792</v>
      </c>
      <c r="D91" s="66">
        <v>46821</v>
      </c>
      <c r="E91" s="91">
        <v>29</v>
      </c>
      <c r="F91" s="67">
        <v>1744.82</v>
      </c>
      <c r="G91" s="67">
        <v>1152.18</v>
      </c>
      <c r="H91" s="67">
        <v>2897</v>
      </c>
      <c r="I91" s="67">
        <v>71326.970000000103</v>
      </c>
      <c r="K91" s="78">
        <f>(IF((WEEKDAY(N91,16)&lt;3)+(COUNTIF(Нерабочие[],N91)&gt;0),WORKDAY(N91,1,Нерабочие[]),N91))</f>
        <v>2</v>
      </c>
      <c r="L91" s="68"/>
      <c r="M91" s="65"/>
      <c r="N91" s="66"/>
      <c r="O91" s="84"/>
      <c r="P91" s="85"/>
      <c r="Q91" s="87"/>
      <c r="R91" s="85"/>
      <c r="S91" s="85"/>
      <c r="T91" s="88"/>
    </row>
    <row r="92" spans="1:20" ht="13" x14ac:dyDescent="0.3">
      <c r="A92" s="26">
        <f>(IF((WEEKDAY(D92,16)&lt;3)+(COUNTIF(Нерабочие[],D92)&gt;0),WORKDAY(D92,1,Нерабочие[]),D92))</f>
        <v>46853</v>
      </c>
      <c r="B92" s="64">
        <v>89</v>
      </c>
      <c r="C92" s="65">
        <v>46821</v>
      </c>
      <c r="D92" s="66">
        <v>46852</v>
      </c>
      <c r="E92" s="91">
        <v>31</v>
      </c>
      <c r="F92" s="67">
        <v>1694.77</v>
      </c>
      <c r="G92" s="67">
        <v>1202.23</v>
      </c>
      <c r="H92" s="67">
        <v>2897</v>
      </c>
      <c r="I92" s="67">
        <v>69632.200000000099</v>
      </c>
      <c r="K92" s="78">
        <f>(IF((WEEKDAY(N92,16)&lt;3)+(COUNTIF(Нерабочие[],N92)&gt;0),WORKDAY(N92,1,Нерабочие[]),N92))</f>
        <v>2</v>
      </c>
      <c r="L92" s="68"/>
      <c r="M92" s="65"/>
      <c r="N92" s="66"/>
      <c r="O92" s="84"/>
      <c r="P92" s="85"/>
      <c r="Q92" s="87"/>
      <c r="R92" s="85"/>
      <c r="S92" s="85"/>
      <c r="T92" s="88"/>
    </row>
    <row r="93" spans="1:20" ht="13" x14ac:dyDescent="0.3">
      <c r="A93" s="26">
        <f>(IF((WEEKDAY(D93,16)&lt;3)+(COUNTIF(Нерабочие[],D93)&gt;0),WORKDAY(D93,1,Нерабочие[]),D93))</f>
        <v>46882</v>
      </c>
      <c r="B93" s="64">
        <v>90</v>
      </c>
      <c r="C93" s="65">
        <v>46852</v>
      </c>
      <c r="D93" s="66">
        <v>46882</v>
      </c>
      <c r="E93" s="91">
        <v>30</v>
      </c>
      <c r="F93" s="67">
        <v>1761.2</v>
      </c>
      <c r="G93" s="67">
        <v>1135.8</v>
      </c>
      <c r="H93" s="67">
        <v>2897</v>
      </c>
      <c r="I93" s="67">
        <v>67871.000000000102</v>
      </c>
      <c r="K93" s="78">
        <f>(IF((WEEKDAY(N93,16)&lt;3)+(COUNTIF(Нерабочие[],N93)&gt;0),WORKDAY(N93,1,Нерабочие[]),N93))</f>
        <v>2</v>
      </c>
      <c r="L93" s="68"/>
      <c r="M93" s="65"/>
      <c r="N93" s="66"/>
      <c r="O93" s="84"/>
      <c r="P93" s="85"/>
      <c r="Q93" s="87"/>
      <c r="R93" s="85"/>
      <c r="S93" s="85"/>
      <c r="T93" s="88"/>
    </row>
    <row r="94" spans="1:20" ht="13" x14ac:dyDescent="0.3">
      <c r="A94" s="26">
        <f>(IF((WEEKDAY(D94,16)&lt;3)+(COUNTIF(Нерабочие[],D94)&gt;0),WORKDAY(D94,1,Нерабочие[]),D94))</f>
        <v>46913</v>
      </c>
      <c r="B94" s="64">
        <v>91</v>
      </c>
      <c r="C94" s="65">
        <v>46882</v>
      </c>
      <c r="D94" s="66">
        <v>46913</v>
      </c>
      <c r="E94" s="91">
        <v>31</v>
      </c>
      <c r="F94" s="67">
        <v>1753.02</v>
      </c>
      <c r="G94" s="67">
        <v>1143.98</v>
      </c>
      <c r="H94" s="67">
        <v>2897</v>
      </c>
      <c r="I94" s="67">
        <v>66117.980000000098</v>
      </c>
      <c r="K94" s="78">
        <f>(IF((WEEKDAY(N94,16)&lt;3)+(COUNTIF(Нерабочие[],N94)&gt;0),WORKDAY(N94,1,Нерабочие[]),N94))</f>
        <v>2</v>
      </c>
      <c r="L94" s="68"/>
      <c r="M94" s="65"/>
      <c r="N94" s="66"/>
      <c r="O94" s="84"/>
      <c r="P94" s="85"/>
      <c r="Q94" s="87"/>
      <c r="R94" s="85"/>
      <c r="S94" s="85"/>
      <c r="T94" s="88"/>
    </row>
    <row r="95" spans="1:20" ht="13" x14ac:dyDescent="0.3">
      <c r="A95" s="26">
        <f>(IF((WEEKDAY(D95,16)&lt;3)+(COUNTIF(Нерабочие[],D95)&gt;0),WORKDAY(D95,1,Нерабочие[]),D95))</f>
        <v>46944</v>
      </c>
      <c r="B95" s="64">
        <v>92</v>
      </c>
      <c r="C95" s="65">
        <v>46913</v>
      </c>
      <c r="D95" s="66">
        <v>46943</v>
      </c>
      <c r="E95" s="91">
        <v>30</v>
      </c>
      <c r="F95" s="67">
        <v>1818.52</v>
      </c>
      <c r="G95" s="67">
        <v>1078.48</v>
      </c>
      <c r="H95" s="67">
        <v>2897</v>
      </c>
      <c r="I95" s="67">
        <v>64299.460000000101</v>
      </c>
      <c r="K95" s="78">
        <f>(IF((WEEKDAY(N95,16)&lt;3)+(COUNTIF(Нерабочие[],N95)&gt;0),WORKDAY(N95,1,Нерабочие[]),N95))</f>
        <v>2</v>
      </c>
      <c r="L95" s="68"/>
      <c r="M95" s="65"/>
      <c r="N95" s="66"/>
      <c r="O95" s="84"/>
      <c r="P95" s="85"/>
      <c r="Q95" s="87"/>
      <c r="R95" s="85"/>
      <c r="S95" s="85"/>
      <c r="T95" s="88"/>
    </row>
    <row r="96" spans="1:20" ht="13" x14ac:dyDescent="0.3">
      <c r="A96" s="26">
        <f>(IF((WEEKDAY(D96,16)&lt;3)+(COUNTIF(Нерабочие[],D96)&gt;0),WORKDAY(D96,1,Нерабочие[]),D96))</f>
        <v>46974</v>
      </c>
      <c r="B96" s="64">
        <v>93</v>
      </c>
      <c r="C96" s="65">
        <v>46943</v>
      </c>
      <c r="D96" s="66">
        <v>46974</v>
      </c>
      <c r="E96" s="91">
        <v>31</v>
      </c>
      <c r="F96" s="67">
        <v>1813.22</v>
      </c>
      <c r="G96" s="67">
        <v>1083.78</v>
      </c>
      <c r="H96" s="67">
        <v>2897</v>
      </c>
      <c r="I96" s="67">
        <v>62486.2400000001</v>
      </c>
      <c r="K96" s="78">
        <f>(IF((WEEKDAY(N96,16)&lt;3)+(COUNTIF(Нерабочие[],N96)&gt;0),WORKDAY(N96,1,Нерабочие[]),N96))</f>
        <v>2</v>
      </c>
      <c r="L96" s="68"/>
      <c r="M96" s="65"/>
      <c r="N96" s="66"/>
      <c r="O96" s="84"/>
      <c r="P96" s="85"/>
      <c r="Q96" s="87"/>
      <c r="R96" s="85"/>
      <c r="S96" s="85"/>
      <c r="T96" s="88"/>
    </row>
    <row r="97" spans="1:20" ht="13" x14ac:dyDescent="0.3">
      <c r="A97" s="26">
        <f>(IF((WEEKDAY(D97,16)&lt;3)+(COUNTIF(Нерабочие[],D97)&gt;0),WORKDAY(D97,1,Нерабочие[]),D97))</f>
        <v>47007</v>
      </c>
      <c r="B97" s="64">
        <v>94</v>
      </c>
      <c r="C97" s="65">
        <v>46974</v>
      </c>
      <c r="D97" s="66">
        <v>47005</v>
      </c>
      <c r="E97" s="91">
        <v>31</v>
      </c>
      <c r="F97" s="67">
        <v>1843.78</v>
      </c>
      <c r="G97" s="67">
        <v>1053.22</v>
      </c>
      <c r="H97" s="67">
        <v>2897</v>
      </c>
      <c r="I97" s="67">
        <v>60642.460000000101</v>
      </c>
      <c r="K97" s="78">
        <f>(IF((WEEKDAY(N97,16)&lt;3)+(COUNTIF(Нерабочие[],N97)&gt;0),WORKDAY(N97,1,Нерабочие[]),N97))</f>
        <v>2</v>
      </c>
      <c r="L97" s="68"/>
      <c r="M97" s="65"/>
      <c r="N97" s="66"/>
      <c r="O97" s="84"/>
      <c r="P97" s="85"/>
      <c r="Q97" s="87"/>
      <c r="R97" s="85"/>
      <c r="S97" s="85"/>
      <c r="T97" s="88"/>
    </row>
    <row r="98" spans="1:20" ht="13" x14ac:dyDescent="0.3">
      <c r="A98" s="26">
        <f>(IF((WEEKDAY(D98,16)&lt;3)+(COUNTIF(Нерабочие[],D98)&gt;0),WORKDAY(D98,1,Нерабочие[]),D98))</f>
        <v>47035</v>
      </c>
      <c r="B98" s="64">
        <v>95</v>
      </c>
      <c r="C98" s="65">
        <v>47005</v>
      </c>
      <c r="D98" s="66">
        <v>47035</v>
      </c>
      <c r="E98" s="91">
        <v>30</v>
      </c>
      <c r="F98" s="67">
        <v>1907.83</v>
      </c>
      <c r="G98" s="67">
        <v>989.17</v>
      </c>
      <c r="H98" s="67">
        <v>2897</v>
      </c>
      <c r="I98" s="67">
        <v>58734.630000000099</v>
      </c>
      <c r="K98" s="78">
        <f>(IF((WEEKDAY(N98,16)&lt;3)+(COUNTIF(Нерабочие[],N98)&gt;0),WORKDAY(N98,1,Нерабочие[]),N98))</f>
        <v>2</v>
      </c>
      <c r="L98" s="68"/>
      <c r="M98" s="65"/>
      <c r="N98" s="66"/>
      <c r="O98" s="84"/>
      <c r="P98" s="85"/>
      <c r="Q98" s="87"/>
      <c r="R98" s="85"/>
      <c r="S98" s="85"/>
      <c r="T98" s="88"/>
    </row>
    <row r="99" spans="1:20" ht="13" x14ac:dyDescent="0.3">
      <c r="A99" s="26">
        <f>(IF((WEEKDAY(D99,16)&lt;3)+(COUNTIF(Нерабочие[],D99)&gt;0),WORKDAY(D99,1,Нерабочие[]),D99))</f>
        <v>47066</v>
      </c>
      <c r="B99" s="64">
        <v>96</v>
      </c>
      <c r="C99" s="65">
        <v>47035</v>
      </c>
      <c r="D99" s="66">
        <v>47066</v>
      </c>
      <c r="E99" s="91">
        <v>31</v>
      </c>
      <c r="F99" s="67">
        <v>1907.02</v>
      </c>
      <c r="G99" s="67">
        <v>989.98</v>
      </c>
      <c r="H99" s="67">
        <v>2897</v>
      </c>
      <c r="I99" s="67">
        <v>56827.610000000102</v>
      </c>
      <c r="K99" s="78">
        <f>(IF((WEEKDAY(N99,16)&lt;3)+(COUNTIF(Нерабочие[],N99)&gt;0),WORKDAY(N99,1,Нерабочие[]),N99))</f>
        <v>2</v>
      </c>
      <c r="L99" s="68"/>
      <c r="M99" s="65"/>
      <c r="N99" s="66"/>
      <c r="O99" s="84"/>
      <c r="P99" s="85"/>
      <c r="Q99" s="87"/>
      <c r="R99" s="85"/>
      <c r="S99" s="85"/>
      <c r="T99" s="88"/>
    </row>
    <row r="100" spans="1:20" ht="13" x14ac:dyDescent="0.3">
      <c r="A100" s="26">
        <f>(IF((WEEKDAY(D100,16)&lt;3)+(COUNTIF(Нерабочие[],D100)&gt;0),WORKDAY(D100,1,Нерабочие[]),D100))</f>
        <v>47098</v>
      </c>
      <c r="B100" s="64">
        <v>97</v>
      </c>
      <c r="C100" s="65">
        <v>47066</v>
      </c>
      <c r="D100" s="66">
        <v>47096</v>
      </c>
      <c r="E100" s="91">
        <v>30</v>
      </c>
      <c r="F100" s="67">
        <v>1970.06</v>
      </c>
      <c r="G100" s="67">
        <v>926.94</v>
      </c>
      <c r="H100" s="67">
        <v>2897</v>
      </c>
      <c r="I100" s="67">
        <v>54857.550000000105</v>
      </c>
      <c r="K100" s="78">
        <f>(IF((WEEKDAY(N100,16)&lt;3)+(COUNTIF(Нерабочие[],N100)&gt;0),WORKDAY(N100,1,Нерабочие[]),N100))</f>
        <v>2</v>
      </c>
      <c r="L100" s="68"/>
      <c r="M100" s="65"/>
      <c r="N100" s="66"/>
      <c r="O100" s="84"/>
      <c r="P100" s="85"/>
      <c r="Q100" s="87"/>
      <c r="R100" s="85"/>
      <c r="S100" s="85"/>
      <c r="T100" s="88"/>
    </row>
    <row r="101" spans="1:20" ht="13" x14ac:dyDescent="0.3">
      <c r="A101" s="26">
        <f>(IF((WEEKDAY(D101,16)&lt;3)+(COUNTIF(Нерабочие[],D101)&gt;0),WORKDAY(D101,1,Нерабочие[]),D101))</f>
        <v>47127</v>
      </c>
      <c r="B101" s="64">
        <v>98</v>
      </c>
      <c r="C101" s="65">
        <v>47096</v>
      </c>
      <c r="D101" s="66">
        <v>47127</v>
      </c>
      <c r="E101" s="91">
        <v>31</v>
      </c>
      <c r="F101" s="67">
        <v>1971.63</v>
      </c>
      <c r="G101" s="67">
        <v>925.37</v>
      </c>
      <c r="H101" s="67">
        <v>2897</v>
      </c>
      <c r="I101" s="67">
        <v>52885.920000000107</v>
      </c>
      <c r="K101" s="78">
        <f>(IF((WEEKDAY(N101,16)&lt;3)+(COUNTIF(Нерабочие[],N101)&gt;0),WORKDAY(N101,1,Нерабочие[]),N101))</f>
        <v>2</v>
      </c>
      <c r="L101" s="68"/>
      <c r="M101" s="65"/>
      <c r="N101" s="66"/>
      <c r="O101" s="84"/>
      <c r="P101" s="85"/>
      <c r="Q101" s="87"/>
      <c r="R101" s="85"/>
      <c r="S101" s="85"/>
      <c r="T101" s="88"/>
    </row>
    <row r="102" spans="1:20" ht="13" x14ac:dyDescent="0.3">
      <c r="A102" s="26">
        <f>(IF((WEEKDAY(D102,16)&lt;3)+(COUNTIF(Нерабочие[],D102)&gt;0),WORKDAY(D102,1,Нерабочие[]),D102))</f>
        <v>47158</v>
      </c>
      <c r="B102" s="64">
        <v>99</v>
      </c>
      <c r="C102" s="65">
        <v>47127</v>
      </c>
      <c r="D102" s="66">
        <v>47158</v>
      </c>
      <c r="E102" s="91">
        <v>31</v>
      </c>
      <c r="F102" s="67">
        <v>2003.1599999999999</v>
      </c>
      <c r="G102" s="67">
        <v>893.84</v>
      </c>
      <c r="H102" s="67">
        <v>2897</v>
      </c>
      <c r="I102" s="67">
        <v>50882.760000000111</v>
      </c>
      <c r="K102" s="78">
        <f>(IF((WEEKDAY(N102,16)&lt;3)+(COUNTIF(Нерабочие[],N102)&gt;0),WORKDAY(N102,1,Нерабочие[]),N102))</f>
        <v>2</v>
      </c>
      <c r="L102" s="68"/>
      <c r="M102" s="65"/>
      <c r="N102" s="66"/>
      <c r="O102" s="84"/>
      <c r="P102" s="85"/>
      <c r="Q102" s="87"/>
      <c r="R102" s="85"/>
      <c r="S102" s="85"/>
      <c r="T102" s="88"/>
    </row>
    <row r="103" spans="1:20" ht="13" x14ac:dyDescent="0.3">
      <c r="A103" s="26">
        <f>(IF((WEEKDAY(D103,16)&lt;3)+(COUNTIF(Нерабочие[],D103)&gt;0),WORKDAY(D103,1,Нерабочие[]),D103))</f>
        <v>47186</v>
      </c>
      <c r="B103" s="64">
        <v>100</v>
      </c>
      <c r="C103" s="65">
        <v>47158</v>
      </c>
      <c r="D103" s="66">
        <v>47186</v>
      </c>
      <c r="E103" s="91">
        <v>28</v>
      </c>
      <c r="F103" s="67">
        <v>2120.2399999999998</v>
      </c>
      <c r="G103" s="67">
        <v>776.76</v>
      </c>
      <c r="H103" s="67">
        <v>2897</v>
      </c>
      <c r="I103" s="67">
        <v>48762.520000000113</v>
      </c>
      <c r="K103" s="78">
        <f>(IF((WEEKDAY(N103,16)&lt;3)+(COUNTIF(Нерабочие[],N103)&gt;0),WORKDAY(N103,1,Нерабочие[]),N103))</f>
        <v>2</v>
      </c>
      <c r="L103" s="68"/>
      <c r="M103" s="65"/>
      <c r="N103" s="66"/>
      <c r="O103" s="84"/>
      <c r="P103" s="85"/>
      <c r="Q103" s="87"/>
      <c r="R103" s="85"/>
      <c r="S103" s="85"/>
      <c r="T103" s="88"/>
    </row>
    <row r="104" spans="1:20" ht="13" x14ac:dyDescent="0.3">
      <c r="A104" s="26">
        <f>(IF((WEEKDAY(D104,16)&lt;3)+(COUNTIF(Нерабочие[],D104)&gt;0),WORKDAY(D104,1,Нерабочие[]),D104))</f>
        <v>47217</v>
      </c>
      <c r="B104" s="64">
        <v>101</v>
      </c>
      <c r="C104" s="65">
        <v>47186</v>
      </c>
      <c r="D104" s="66">
        <v>47217</v>
      </c>
      <c r="E104" s="91">
        <v>31</v>
      </c>
      <c r="F104" s="67">
        <v>2072.85</v>
      </c>
      <c r="G104" s="67">
        <v>824.15</v>
      </c>
      <c r="H104" s="67">
        <v>2897</v>
      </c>
      <c r="I104" s="67">
        <v>46689.670000000115</v>
      </c>
      <c r="K104" s="78">
        <f>(IF((WEEKDAY(N104,16)&lt;3)+(COUNTIF(Нерабочие[],N104)&gt;0),WORKDAY(N104,1,Нерабочие[]),N104))</f>
        <v>2</v>
      </c>
      <c r="L104" s="68"/>
      <c r="M104" s="65"/>
      <c r="N104" s="66"/>
      <c r="O104" s="84"/>
      <c r="P104" s="85"/>
      <c r="Q104" s="87"/>
      <c r="R104" s="85"/>
      <c r="S104" s="85"/>
      <c r="T104" s="88"/>
    </row>
    <row r="105" spans="1:20" ht="13" x14ac:dyDescent="0.3">
      <c r="A105" s="26">
        <f>(IF((WEEKDAY(D105,16)&lt;3)+(COUNTIF(Нерабочие[],D105)&gt;0),WORKDAY(D105,1,Нерабочие[]),D105))</f>
        <v>47247</v>
      </c>
      <c r="B105" s="64">
        <v>102</v>
      </c>
      <c r="C105" s="65">
        <v>47217</v>
      </c>
      <c r="D105" s="66">
        <v>47247</v>
      </c>
      <c r="E105" s="91">
        <v>30</v>
      </c>
      <c r="F105" s="67">
        <v>2133.34</v>
      </c>
      <c r="G105" s="67">
        <v>763.66</v>
      </c>
      <c r="H105" s="67">
        <v>2897</v>
      </c>
      <c r="I105" s="67">
        <v>44556.330000000118</v>
      </c>
      <c r="K105" s="78">
        <f>(IF((WEEKDAY(N105,16)&lt;3)+(COUNTIF(Нерабочие[],N105)&gt;0),WORKDAY(N105,1,Нерабочие[]),N105))</f>
        <v>2</v>
      </c>
      <c r="L105" s="68"/>
      <c r="M105" s="65"/>
      <c r="N105" s="66"/>
      <c r="O105" s="84"/>
      <c r="P105" s="85"/>
      <c r="Q105" s="87"/>
      <c r="R105" s="85"/>
      <c r="S105" s="85"/>
      <c r="T105" s="88"/>
    </row>
    <row r="106" spans="1:20" ht="13" x14ac:dyDescent="0.3">
      <c r="A106" s="26">
        <f>(IF((WEEKDAY(D106,16)&lt;3)+(COUNTIF(Нерабочие[],D106)&gt;0),WORKDAY(D106,1,Нерабочие[]),D106))</f>
        <v>47280</v>
      </c>
      <c r="B106" s="64">
        <v>103</v>
      </c>
      <c r="C106" s="65">
        <v>47247</v>
      </c>
      <c r="D106" s="66">
        <v>47278</v>
      </c>
      <c r="E106" s="91">
        <v>31</v>
      </c>
      <c r="F106" s="67">
        <v>2143.94</v>
      </c>
      <c r="G106" s="67">
        <v>753.06</v>
      </c>
      <c r="H106" s="67">
        <v>2897</v>
      </c>
      <c r="I106" s="67">
        <v>42412.390000000116</v>
      </c>
      <c r="K106" s="78">
        <f>(IF((WEEKDAY(N106,16)&lt;3)+(COUNTIF(Нерабочие[],N106)&gt;0),WORKDAY(N106,1,Нерабочие[]),N106))</f>
        <v>2</v>
      </c>
      <c r="L106" s="68"/>
      <c r="M106" s="65"/>
      <c r="N106" s="66"/>
      <c r="O106" s="84"/>
      <c r="P106" s="85"/>
      <c r="Q106" s="87"/>
      <c r="R106" s="85"/>
      <c r="S106" s="85"/>
      <c r="T106" s="88"/>
    </row>
    <row r="107" spans="1:20" ht="13" x14ac:dyDescent="0.3">
      <c r="A107" s="26">
        <f>(IF((WEEKDAY(D107,16)&lt;3)+(COUNTIF(Нерабочие[],D107)&gt;0),WORKDAY(D107,1,Нерабочие[]),D107))</f>
        <v>47308</v>
      </c>
      <c r="B107" s="64">
        <v>104</v>
      </c>
      <c r="C107" s="65">
        <v>47278</v>
      </c>
      <c r="D107" s="66">
        <v>47308</v>
      </c>
      <c r="E107" s="91">
        <v>30</v>
      </c>
      <c r="F107" s="67">
        <v>2203.3000000000002</v>
      </c>
      <c r="G107" s="67">
        <v>693.7</v>
      </c>
      <c r="H107" s="67">
        <v>2897</v>
      </c>
      <c r="I107" s="67">
        <v>40209.090000000113</v>
      </c>
      <c r="K107" s="78">
        <f>(IF((WEEKDAY(N107,16)&lt;3)+(COUNTIF(Нерабочие[],N107)&gt;0),WORKDAY(N107,1,Нерабочие[]),N107))</f>
        <v>2</v>
      </c>
      <c r="L107" s="68"/>
      <c r="M107" s="65"/>
      <c r="N107" s="66"/>
      <c r="O107" s="84"/>
      <c r="P107" s="85"/>
      <c r="Q107" s="87"/>
      <c r="R107" s="85"/>
      <c r="S107" s="85"/>
      <c r="T107" s="88"/>
    </row>
    <row r="108" spans="1:20" ht="13" x14ac:dyDescent="0.3">
      <c r="A108" s="26">
        <f>(IF((WEEKDAY(D108,16)&lt;3)+(COUNTIF(Нерабочие[],D108)&gt;0),WORKDAY(D108,1,Нерабочие[]),D108))</f>
        <v>47339</v>
      </c>
      <c r="B108" s="64">
        <v>105</v>
      </c>
      <c r="C108" s="65">
        <v>47308</v>
      </c>
      <c r="D108" s="66">
        <v>47339</v>
      </c>
      <c r="E108" s="91">
        <v>31</v>
      </c>
      <c r="F108" s="67">
        <v>2217.41</v>
      </c>
      <c r="G108" s="67">
        <v>679.59</v>
      </c>
      <c r="H108" s="67">
        <v>2897</v>
      </c>
      <c r="I108" s="67">
        <v>37991.680000000109</v>
      </c>
      <c r="K108" s="78">
        <f>(IF((WEEKDAY(N108,16)&lt;3)+(COUNTIF(Нерабочие[],N108)&gt;0),WORKDAY(N108,1,Нерабочие[]),N108))</f>
        <v>2</v>
      </c>
      <c r="L108" s="68"/>
      <c r="M108" s="65"/>
      <c r="N108" s="66"/>
      <c r="O108" s="84"/>
      <c r="P108" s="85"/>
      <c r="Q108" s="87"/>
      <c r="R108" s="85"/>
      <c r="S108" s="85"/>
      <c r="T108" s="88"/>
    </row>
    <row r="109" spans="1:20" ht="13" x14ac:dyDescent="0.3">
      <c r="A109" s="26">
        <f>(IF((WEEKDAY(D109,16)&lt;3)+(COUNTIF(Нерабочие[],D109)&gt;0),WORKDAY(D109,1,Нерабочие[]),D109))</f>
        <v>47371</v>
      </c>
      <c r="B109" s="64">
        <v>106</v>
      </c>
      <c r="C109" s="65">
        <v>47339</v>
      </c>
      <c r="D109" s="66">
        <v>47370</v>
      </c>
      <c r="E109" s="91">
        <v>31</v>
      </c>
      <c r="F109" s="67">
        <v>2254.89</v>
      </c>
      <c r="G109" s="67">
        <v>642.11</v>
      </c>
      <c r="H109" s="67">
        <v>2897</v>
      </c>
      <c r="I109" s="67">
        <v>35736.79000000011</v>
      </c>
      <c r="K109" s="78">
        <f>(IF((WEEKDAY(N109,16)&lt;3)+(COUNTIF(Нерабочие[],N109)&gt;0),WORKDAY(N109,1,Нерабочие[]),N109))</f>
        <v>2</v>
      </c>
      <c r="L109" s="68"/>
      <c r="M109" s="65"/>
      <c r="N109" s="66"/>
      <c r="O109" s="84"/>
      <c r="P109" s="85"/>
      <c r="Q109" s="87"/>
      <c r="R109" s="85"/>
      <c r="S109" s="85"/>
      <c r="T109" s="88"/>
    </row>
    <row r="110" spans="1:20" ht="13" x14ac:dyDescent="0.3">
      <c r="A110" s="26">
        <f>(IF((WEEKDAY(D110,16)&lt;3)+(COUNTIF(Нерабочие[],D110)&gt;0),WORKDAY(D110,1,Нерабочие[]),D110))</f>
        <v>47400</v>
      </c>
      <c r="B110" s="64">
        <v>107</v>
      </c>
      <c r="C110" s="65">
        <v>47370</v>
      </c>
      <c r="D110" s="66">
        <v>47400</v>
      </c>
      <c r="E110" s="91">
        <v>30</v>
      </c>
      <c r="F110" s="67">
        <v>2312.48</v>
      </c>
      <c r="G110" s="67">
        <v>584.52</v>
      </c>
      <c r="H110" s="67">
        <v>2897</v>
      </c>
      <c r="I110" s="67">
        <v>33424.310000000107</v>
      </c>
      <c r="K110" s="78">
        <f>(IF((WEEKDAY(N110,16)&lt;3)+(COUNTIF(Нерабочие[],N110)&gt;0),WORKDAY(N110,1,Нерабочие[]),N110))</f>
        <v>2</v>
      </c>
      <c r="L110" s="68"/>
      <c r="M110" s="65"/>
      <c r="N110" s="66"/>
      <c r="O110" s="84"/>
      <c r="P110" s="85"/>
      <c r="Q110" s="87"/>
      <c r="R110" s="85"/>
      <c r="S110" s="85"/>
      <c r="T110" s="88"/>
    </row>
    <row r="111" spans="1:20" ht="13" x14ac:dyDescent="0.3">
      <c r="A111" s="26">
        <f>(IF((WEEKDAY(D111,16)&lt;3)+(COUNTIF(Нерабочие[],D111)&gt;0),WORKDAY(D111,1,Нерабочие[]),D111))</f>
        <v>47431</v>
      </c>
      <c r="B111" s="64">
        <v>108</v>
      </c>
      <c r="C111" s="65">
        <v>47400</v>
      </c>
      <c r="D111" s="66">
        <v>47431</v>
      </c>
      <c r="E111" s="91">
        <v>31</v>
      </c>
      <c r="F111" s="67">
        <v>2332.08</v>
      </c>
      <c r="G111" s="67">
        <v>564.91999999999996</v>
      </c>
      <c r="H111" s="67">
        <v>2897</v>
      </c>
      <c r="I111" s="67">
        <v>31092.230000000105</v>
      </c>
      <c r="K111" s="78">
        <f>(IF((WEEKDAY(N111,16)&lt;3)+(COUNTIF(Нерабочие[],N111)&gt;0),WORKDAY(N111,1,Нерабочие[]),N111))</f>
        <v>2</v>
      </c>
      <c r="L111" s="68"/>
      <c r="M111" s="65"/>
      <c r="N111" s="66"/>
      <c r="O111" s="84"/>
      <c r="P111" s="85"/>
      <c r="Q111" s="87"/>
      <c r="R111" s="85"/>
      <c r="S111" s="85"/>
      <c r="T111" s="88"/>
    </row>
    <row r="112" spans="1:20" ht="13" x14ac:dyDescent="0.3">
      <c r="A112" s="26">
        <f>(IF((WEEKDAY(D112,16)&lt;3)+(COUNTIF(Нерабочие[],D112)&gt;0),WORKDAY(D112,1,Нерабочие[]),D112))</f>
        <v>47462</v>
      </c>
      <c r="B112" s="64">
        <v>109</v>
      </c>
      <c r="C112" s="65">
        <v>47431</v>
      </c>
      <c r="D112" s="66">
        <v>47461</v>
      </c>
      <c r="E112" s="91">
        <v>30</v>
      </c>
      <c r="F112" s="67">
        <v>2388.4499999999998</v>
      </c>
      <c r="G112" s="67">
        <v>508.55</v>
      </c>
      <c r="H112" s="67">
        <v>2897</v>
      </c>
      <c r="I112" s="67">
        <v>28703.780000000104</v>
      </c>
      <c r="K112" s="78">
        <f>(IF((WEEKDAY(N112,16)&lt;3)+(COUNTIF(Нерабочие[],N112)&gt;0),WORKDAY(N112,1,Нерабочие[]),N112))</f>
        <v>2</v>
      </c>
      <c r="L112" s="68"/>
      <c r="M112" s="65"/>
      <c r="N112" s="66"/>
      <c r="O112" s="84"/>
      <c r="P112" s="85"/>
      <c r="Q112" s="87"/>
      <c r="R112" s="85"/>
      <c r="S112" s="85"/>
      <c r="T112" s="88"/>
    </row>
    <row r="113" spans="1:20" ht="13" x14ac:dyDescent="0.3">
      <c r="A113" s="26">
        <f>(IF((WEEKDAY(D113,16)&lt;3)+(COUNTIF(Нерабочие[],D113)&gt;0),WORKDAY(D113,1,Нерабочие[]),D113))</f>
        <v>47492</v>
      </c>
      <c r="B113" s="64">
        <v>110</v>
      </c>
      <c r="C113" s="65">
        <v>47461</v>
      </c>
      <c r="D113" s="66">
        <v>47492</v>
      </c>
      <c r="E113" s="91">
        <v>31</v>
      </c>
      <c r="F113" s="67">
        <v>2411.87</v>
      </c>
      <c r="G113" s="67">
        <v>485.13</v>
      </c>
      <c r="H113" s="67">
        <v>2897</v>
      </c>
      <c r="I113" s="67">
        <v>26291.910000000105</v>
      </c>
      <c r="K113" s="78">
        <f>(IF((WEEKDAY(N113,16)&lt;3)+(COUNTIF(Нерабочие[],N113)&gt;0),WORKDAY(N113,1,Нерабочие[]),N113))</f>
        <v>2</v>
      </c>
      <c r="L113" s="68"/>
      <c r="M113" s="65"/>
      <c r="N113" s="66"/>
      <c r="O113" s="84"/>
      <c r="P113" s="85"/>
      <c r="Q113" s="87"/>
      <c r="R113" s="85"/>
      <c r="S113" s="85"/>
      <c r="T113" s="88"/>
    </row>
    <row r="114" spans="1:20" ht="13" x14ac:dyDescent="0.3">
      <c r="A114" s="26">
        <f>(IF((WEEKDAY(D114,16)&lt;3)+(COUNTIF(Нерабочие[],D114)&gt;0),WORKDAY(D114,1,Нерабочие[]),D114))</f>
        <v>47525</v>
      </c>
      <c r="B114" s="64">
        <v>111</v>
      </c>
      <c r="C114" s="65">
        <v>47492</v>
      </c>
      <c r="D114" s="66">
        <v>47523</v>
      </c>
      <c r="E114" s="91">
        <v>31</v>
      </c>
      <c r="F114" s="67">
        <v>2452.63</v>
      </c>
      <c r="G114" s="67">
        <v>444.37</v>
      </c>
      <c r="H114" s="67">
        <v>2897</v>
      </c>
      <c r="I114" s="67">
        <v>23839.280000000104</v>
      </c>
      <c r="K114" s="78">
        <f>(IF((WEEKDAY(N114,16)&lt;3)+(COUNTIF(Нерабочие[],N114)&gt;0),WORKDAY(N114,1,Нерабочие[]),N114))</f>
        <v>2</v>
      </c>
      <c r="L114" s="68"/>
      <c r="M114" s="65"/>
      <c r="N114" s="66"/>
      <c r="O114" s="84"/>
      <c r="P114" s="85"/>
      <c r="Q114" s="87"/>
      <c r="R114" s="85"/>
      <c r="S114" s="85"/>
      <c r="T114" s="88"/>
    </row>
    <row r="115" spans="1:20" ht="13" x14ac:dyDescent="0.3">
      <c r="A115" s="26">
        <f>(IF((WEEKDAY(D115,16)&lt;3)+(COUNTIF(Нерабочие[],D115)&gt;0),WORKDAY(D115,1,Нерабочие[]),D115))</f>
        <v>47553</v>
      </c>
      <c r="B115" s="64">
        <v>112</v>
      </c>
      <c r="C115" s="65">
        <v>47523</v>
      </c>
      <c r="D115" s="66">
        <v>47551</v>
      </c>
      <c r="E115" s="91">
        <v>28</v>
      </c>
      <c r="F115" s="67">
        <v>2533.08</v>
      </c>
      <c r="G115" s="67">
        <v>363.92</v>
      </c>
      <c r="H115" s="67">
        <v>2897</v>
      </c>
      <c r="I115" s="67">
        <v>21306.200000000106</v>
      </c>
      <c r="K115" s="78">
        <f>(IF((WEEKDAY(N115,16)&lt;3)+(COUNTIF(Нерабочие[],N115)&gt;0),WORKDAY(N115,1,Нерабочие[]),N115))</f>
        <v>2</v>
      </c>
      <c r="L115" s="68"/>
      <c r="M115" s="65"/>
      <c r="N115" s="66"/>
      <c r="O115" s="84"/>
      <c r="P115" s="85"/>
      <c r="Q115" s="87"/>
      <c r="R115" s="85"/>
      <c r="S115" s="85"/>
      <c r="T115" s="88"/>
    </row>
    <row r="116" spans="1:20" ht="13" x14ac:dyDescent="0.3">
      <c r="A116" s="26">
        <f>(IF((WEEKDAY(D116,16)&lt;3)+(COUNTIF(Нерабочие[],D116)&gt;0),WORKDAY(D116,1,Нерабочие[]),D116))</f>
        <v>47582</v>
      </c>
      <c r="B116" s="136">
        <v>113</v>
      </c>
      <c r="C116" s="33">
        <v>47551</v>
      </c>
      <c r="D116" s="34">
        <v>47582</v>
      </c>
      <c r="E116" s="138">
        <v>31</v>
      </c>
      <c r="F116" s="137">
        <v>2536.9</v>
      </c>
      <c r="G116" s="137">
        <v>360.1</v>
      </c>
      <c r="H116" s="137">
        <v>2897</v>
      </c>
      <c r="I116" s="137">
        <v>18769.300000000105</v>
      </c>
      <c r="K116" s="78">
        <f>(IF((WEEKDAY(N116,16)&lt;3)+(COUNTIF(Нерабочие[],N116)&gt;0),WORKDAY(N116,1,Нерабочие[]),N116))</f>
        <v>2</v>
      </c>
      <c r="L116" s="68"/>
      <c r="M116" s="65"/>
      <c r="N116" s="66"/>
      <c r="O116" s="84"/>
      <c r="P116" s="85"/>
      <c r="Q116" s="87"/>
      <c r="R116" s="85"/>
      <c r="S116" s="85"/>
      <c r="T116" s="88"/>
    </row>
    <row r="117" spans="1:20" ht="13" x14ac:dyDescent="0.3">
      <c r="A117" s="26">
        <f>(IF((WEEKDAY(D117,16)&lt;3)+(COUNTIF(Нерабочие[],D117)&gt;0),WORKDAY(D117,1,Нерабочие[]),D117))</f>
        <v>47612</v>
      </c>
      <c r="B117" s="136">
        <v>114</v>
      </c>
      <c r="C117" s="33">
        <v>47582</v>
      </c>
      <c r="D117" s="34">
        <v>47612</v>
      </c>
      <c r="E117" s="138">
        <v>30</v>
      </c>
      <c r="F117" s="137">
        <v>2590.0100000000002</v>
      </c>
      <c r="G117" s="137">
        <v>306.99</v>
      </c>
      <c r="H117" s="137">
        <v>2897</v>
      </c>
      <c r="I117" s="137">
        <v>16179.290000000105</v>
      </c>
      <c r="K117" s="78">
        <f>(IF((WEEKDAY(N117,16)&lt;3)+(COUNTIF(Нерабочие[],N117)&gt;0),WORKDAY(N117,1,Нерабочие[]),N117))</f>
        <v>2</v>
      </c>
      <c r="L117" s="68"/>
      <c r="M117" s="65"/>
      <c r="N117" s="66"/>
      <c r="O117" s="84"/>
      <c r="P117" s="85"/>
      <c r="Q117" s="87"/>
      <c r="R117" s="85"/>
      <c r="S117" s="85"/>
      <c r="T117" s="88"/>
    </row>
    <row r="118" spans="1:20" ht="13" x14ac:dyDescent="0.3">
      <c r="A118" s="26">
        <f>(IF((WEEKDAY(D118,16)&lt;3)+(COUNTIF(Нерабочие[],D118)&gt;0),WORKDAY(D118,1,Нерабочие[]),D118))</f>
        <v>47644</v>
      </c>
      <c r="B118" s="136">
        <v>115</v>
      </c>
      <c r="C118" s="33">
        <v>47612</v>
      </c>
      <c r="D118" s="34">
        <v>47643</v>
      </c>
      <c r="E118" s="138">
        <v>31</v>
      </c>
      <c r="F118" s="137">
        <v>2623.55</v>
      </c>
      <c r="G118" s="137">
        <v>273.45</v>
      </c>
      <c r="H118" s="137">
        <v>2897</v>
      </c>
      <c r="I118" s="137">
        <v>13555.740000000103</v>
      </c>
    </row>
    <row r="119" spans="1:20" ht="13" x14ac:dyDescent="0.3">
      <c r="A119" s="26">
        <f>(IF((WEEKDAY(D119,16)&lt;3)+(COUNTIF(Нерабочие[],D119)&gt;0),WORKDAY(D119,1,Нерабочие[]),D119))</f>
        <v>47673</v>
      </c>
      <c r="B119" s="136">
        <v>116</v>
      </c>
      <c r="C119" s="33">
        <v>47643</v>
      </c>
      <c r="D119" s="34">
        <v>47673</v>
      </c>
      <c r="E119" s="138">
        <v>30</v>
      </c>
      <c r="F119" s="137">
        <v>2675.28</v>
      </c>
      <c r="G119" s="137">
        <v>221.72</v>
      </c>
      <c r="H119" s="137">
        <v>2897</v>
      </c>
      <c r="I119" s="137">
        <v>10880.460000000103</v>
      </c>
      <c r="K119" s="72" t="s">
        <v>39</v>
      </c>
      <c r="L119" s="73" t="s">
        <v>33</v>
      </c>
      <c r="M119" s="74" t="s">
        <v>60</v>
      </c>
      <c r="N119" s="75" t="s">
        <v>61</v>
      </c>
      <c r="O119" s="74" t="s">
        <v>34</v>
      </c>
      <c r="P119" s="74" t="s">
        <v>35</v>
      </c>
      <c r="Q119" s="74" t="s">
        <v>36</v>
      </c>
      <c r="R119" s="76" t="s">
        <v>37</v>
      </c>
      <c r="S119" s="74" t="s">
        <v>71</v>
      </c>
      <c r="T119" s="74" t="s">
        <v>41</v>
      </c>
    </row>
    <row r="120" spans="1:20" ht="13" x14ac:dyDescent="0.3">
      <c r="A120" s="26">
        <f>(IF((WEEKDAY(D120,16)&lt;3)+(COUNTIF(Нерабочие[],D120)&gt;0),WORKDAY(D120,1,Нерабочие[]),D120))</f>
        <v>47704</v>
      </c>
      <c r="B120" s="136">
        <v>117</v>
      </c>
      <c r="C120" s="33">
        <v>47673</v>
      </c>
      <c r="D120" s="34">
        <v>47704</v>
      </c>
      <c r="E120" s="138">
        <v>31</v>
      </c>
      <c r="F120" s="137">
        <v>2713.11</v>
      </c>
      <c r="G120" s="137">
        <v>183.89</v>
      </c>
      <c r="H120" s="137">
        <v>2897</v>
      </c>
      <c r="I120" s="137">
        <v>8167.3500000001022</v>
      </c>
      <c r="K120" s="26">
        <f>(IF((WEEKDAY(N120,16)&lt;3)+(COUNTIF(Нерабочие[],N120)&gt;0),WORKDAY(N120,1,Нерабочие[]),N120))</f>
        <v>2</v>
      </c>
      <c r="L120" s="79"/>
      <c r="M120" s="80"/>
      <c r="N120" s="81"/>
      <c r="O120" s="82"/>
      <c r="P120" s="83"/>
      <c r="Q120" s="83"/>
      <c r="R120" s="83"/>
      <c r="S120" s="83"/>
      <c r="T120" s="63"/>
    </row>
    <row r="121" spans="1:20" ht="13" x14ac:dyDescent="0.3">
      <c r="A121" s="26">
        <f>(IF((WEEKDAY(D121,16)&lt;3)+(COUNTIF(Нерабочие[],D121)&gt;0),WORKDAY(D121,1,Нерабочие[]),D121))</f>
        <v>47735</v>
      </c>
      <c r="B121" s="136">
        <v>118</v>
      </c>
      <c r="C121" s="33">
        <v>47704</v>
      </c>
      <c r="D121" s="34">
        <v>47735</v>
      </c>
      <c r="E121" s="138">
        <v>31</v>
      </c>
      <c r="F121" s="137">
        <v>2758.96</v>
      </c>
      <c r="G121" s="137">
        <v>138.04</v>
      </c>
      <c r="H121" s="137">
        <v>2897</v>
      </c>
      <c r="I121" s="137">
        <v>5408.3900000001022</v>
      </c>
      <c r="K121" s="26">
        <f>(IF((WEEKDAY(N121,16)&lt;3)+(COUNTIF(Нерабочие[],N121)&gt;0),WORKDAY(N121,1,Нерабочие[]),N121))</f>
        <v>2</v>
      </c>
      <c r="L121" s="79"/>
      <c r="M121" s="80"/>
      <c r="N121" s="81"/>
      <c r="O121" s="82"/>
      <c r="P121" s="83"/>
      <c r="Q121" s="83"/>
      <c r="R121" s="83"/>
      <c r="S121" s="83"/>
      <c r="T121" s="63"/>
    </row>
    <row r="122" spans="1:20" ht="13" x14ac:dyDescent="0.3">
      <c r="A122" s="26">
        <f>(IF((WEEKDAY(D122,16)&lt;3)+(COUNTIF(Нерабочие[],D122)&gt;0),WORKDAY(D122,1,Нерабочие[]),D122))</f>
        <v>47765</v>
      </c>
      <c r="B122" s="136">
        <v>119</v>
      </c>
      <c r="C122" s="33">
        <v>47735</v>
      </c>
      <c r="D122" s="34">
        <v>47765</v>
      </c>
      <c r="E122" s="138">
        <v>30</v>
      </c>
      <c r="F122" s="137">
        <v>2808.54</v>
      </c>
      <c r="G122" s="137">
        <v>88.46</v>
      </c>
      <c r="H122" s="137">
        <v>2897</v>
      </c>
      <c r="I122" s="137">
        <v>2599.8500000001022</v>
      </c>
      <c r="K122" s="26">
        <f>(IF((WEEKDAY(N122,16)&lt;3)+(COUNTIF(Нерабочие[],N122)&gt;0),WORKDAY(N122,1,Нерабочие[]),N122))</f>
        <v>2</v>
      </c>
      <c r="L122" s="68"/>
      <c r="M122" s="65"/>
      <c r="N122" s="66"/>
      <c r="O122" s="84"/>
      <c r="P122" s="85"/>
      <c r="Q122" s="85"/>
      <c r="R122" s="85"/>
      <c r="S122" s="85"/>
      <c r="T122" s="67"/>
    </row>
    <row r="123" spans="1:20" ht="13" x14ac:dyDescent="0.3">
      <c r="A123" s="26">
        <f>(IF((WEEKDAY(D123,16)&lt;3)+(COUNTIF(Нерабочие[],D123)&gt;0),WORKDAY(D123,1,Нерабочие[]),D123))</f>
        <v>47798</v>
      </c>
      <c r="B123" s="136">
        <v>120</v>
      </c>
      <c r="C123" s="33">
        <v>47765</v>
      </c>
      <c r="D123" s="34">
        <v>47796</v>
      </c>
      <c r="E123" s="139">
        <v>31</v>
      </c>
      <c r="F123" s="137">
        <v>2599.8500000001022</v>
      </c>
      <c r="G123" s="137">
        <v>43.94</v>
      </c>
      <c r="H123" s="137">
        <v>2643.7900000001023</v>
      </c>
      <c r="I123" s="137">
        <v>0</v>
      </c>
      <c r="K123" s="26">
        <f>(IF((WEEKDAY(N123,16)&lt;3)+(COUNTIF(Нерабочие[],N123)&gt;0),WORKDAY(N123,1,Нерабочие[]),N123))</f>
        <v>2</v>
      </c>
      <c r="L123" s="68"/>
      <c r="M123" s="65"/>
      <c r="N123" s="66"/>
      <c r="O123" s="84"/>
      <c r="P123" s="85"/>
      <c r="Q123" s="85"/>
      <c r="R123" s="85"/>
      <c r="S123" s="85"/>
      <c r="T123" s="67"/>
    </row>
    <row r="124" spans="1:20" ht="13" x14ac:dyDescent="0.3">
      <c r="A124" s="69"/>
      <c r="B124" s="35"/>
      <c r="C124" s="33"/>
      <c r="D124" s="34"/>
      <c r="E124" s="62"/>
      <c r="F124" s="36"/>
      <c r="G124" s="36"/>
      <c r="H124" s="36"/>
      <c r="I124" s="36" t="s">
        <v>76</v>
      </c>
      <c r="K124" s="26">
        <f>(IF((WEEKDAY(N124,16)&lt;3)+(COUNTIF(Нерабочие[],N124)&gt;0),WORKDAY(N124,1,Нерабочие[]),N124))</f>
        <v>2</v>
      </c>
      <c r="L124" s="68"/>
      <c r="M124" s="65"/>
      <c r="N124" s="66"/>
      <c r="O124" s="84"/>
      <c r="P124" s="85"/>
      <c r="Q124" s="85"/>
      <c r="R124" s="85"/>
      <c r="S124" s="85"/>
      <c r="T124" s="67"/>
    </row>
    <row r="125" spans="1:20" ht="13" x14ac:dyDescent="0.3">
      <c r="A125" s="71"/>
      <c r="B125" s="71"/>
      <c r="C125" s="71"/>
      <c r="E125" s="71"/>
      <c r="F125" s="71"/>
      <c r="G125" s="71"/>
      <c r="H125" s="71"/>
      <c r="I125" s="71"/>
      <c r="K125" s="26">
        <f>(IF((WEEKDAY(N125,16)&lt;3)+(COUNTIF(Нерабочие[],N125)&gt;0),WORKDAY(N125,1,Нерабочие[]),N125))</f>
        <v>2</v>
      </c>
      <c r="L125" s="68"/>
      <c r="M125" s="65"/>
      <c r="N125" s="66"/>
      <c r="O125" s="84"/>
      <c r="P125" s="85"/>
      <c r="Q125" s="85"/>
      <c r="R125" s="85"/>
      <c r="S125" s="85"/>
      <c r="T125" s="67"/>
    </row>
    <row r="126" spans="1:20" ht="13" x14ac:dyDescent="0.3">
      <c r="K126" s="26">
        <f>(IF((WEEKDAY(N126,16)&lt;3)+(COUNTIF(Нерабочие[],N126)&gt;0),WORKDAY(N126,1,Нерабочие[]),N126))</f>
        <v>2</v>
      </c>
      <c r="L126" s="68"/>
      <c r="M126" s="65"/>
      <c r="N126" s="66"/>
      <c r="O126" s="84"/>
      <c r="P126" s="85"/>
      <c r="Q126" s="85"/>
      <c r="R126" s="85"/>
      <c r="S126" s="85"/>
      <c r="T126" s="67"/>
    </row>
    <row r="127" spans="1:20" ht="13" x14ac:dyDescent="0.3">
      <c r="K127" s="26">
        <f>(IF((WEEKDAY(N127,16)&lt;3)+(COUNTIF(Нерабочие[],N127)&gt;0),WORKDAY(N127,1,Нерабочие[]),N127))</f>
        <v>2</v>
      </c>
      <c r="L127" s="68"/>
      <c r="M127" s="65"/>
      <c r="N127" s="66"/>
      <c r="O127" s="84"/>
      <c r="P127" s="85"/>
      <c r="Q127" s="85"/>
      <c r="R127" s="85"/>
      <c r="S127" s="85"/>
      <c r="T127" s="67"/>
    </row>
    <row r="128" spans="1:20" ht="13" x14ac:dyDescent="0.3">
      <c r="K128" s="26">
        <f>(IF((WEEKDAY(N128,16)&lt;3)+(COUNTIF(Нерабочие[],N128)&gt;0),WORKDAY(N128,1,Нерабочие[]),N128))</f>
        <v>2</v>
      </c>
      <c r="L128" s="68"/>
      <c r="M128" s="65"/>
      <c r="N128" s="66"/>
      <c r="O128" s="84"/>
      <c r="P128" s="86"/>
      <c r="Q128" s="85"/>
      <c r="R128" s="85"/>
      <c r="S128" s="85"/>
      <c r="T128" s="64"/>
    </row>
    <row r="129" spans="11:20" ht="13" x14ac:dyDescent="0.3">
      <c r="K129" s="37">
        <f>(IF((WEEKDAY(N129,16)&lt;3)+(COUNTIF(Нерабочие[],N129)&gt;0),WORKDAY(N129,1,Нерабочие[]),N129))</f>
        <v>2</v>
      </c>
      <c r="L129" s="68"/>
      <c r="M129" s="65"/>
      <c r="N129" s="66"/>
      <c r="O129" s="84"/>
      <c r="P129" s="85"/>
      <c r="Q129" s="87"/>
      <c r="R129" s="85"/>
      <c r="S129" s="85"/>
      <c r="T129" s="88"/>
    </row>
    <row r="130" spans="11:20" ht="13" x14ac:dyDescent="0.3">
      <c r="K130" s="37">
        <f>(IF((WEEKDAY(N130,16)&lt;3)+(COUNTIF(Нерабочие[],N130)&gt;0),WORKDAY(N130,1,Нерабочие[]),N130))</f>
        <v>2</v>
      </c>
      <c r="L130" s="68"/>
      <c r="M130" s="65"/>
      <c r="N130" s="66"/>
      <c r="O130" s="84"/>
      <c r="P130" s="85"/>
      <c r="Q130" s="87"/>
      <c r="R130" s="85"/>
      <c r="S130" s="85"/>
      <c r="T130" s="88"/>
    </row>
    <row r="131" spans="11:20" ht="13" x14ac:dyDescent="0.3">
      <c r="K131" s="37">
        <f>(IF((WEEKDAY(N131,16)&lt;3)+(COUNTIF(Нерабочие[],N131)&gt;0),WORKDAY(N131,1,Нерабочие[]),N131))</f>
        <v>2</v>
      </c>
      <c r="L131" s="68"/>
      <c r="M131" s="65"/>
      <c r="N131" s="66"/>
      <c r="O131" s="84"/>
      <c r="P131" s="85"/>
      <c r="Q131" s="87"/>
      <c r="R131" s="85"/>
      <c r="S131" s="85"/>
      <c r="T131" s="88"/>
    </row>
    <row r="132" spans="11:20" ht="13" x14ac:dyDescent="0.3">
      <c r="K132" s="37">
        <f>(IF((WEEKDAY(N132,16)&lt;3)+(COUNTIF(Нерабочие[],N132)&gt;0),WORKDAY(N132,1,Нерабочие[]),N132))</f>
        <v>2</v>
      </c>
      <c r="L132" s="68"/>
      <c r="M132" s="65"/>
      <c r="N132" s="66"/>
      <c r="O132" s="84"/>
      <c r="P132" s="85"/>
      <c r="Q132" s="87"/>
      <c r="R132" s="85"/>
      <c r="S132" s="85"/>
      <c r="T132" s="88"/>
    </row>
    <row r="133" spans="11:20" ht="13" x14ac:dyDescent="0.3">
      <c r="K133" s="37">
        <f>(IF((WEEKDAY(N133,16)&lt;3)+(COUNTIF(Нерабочие[],N133)&gt;0),WORKDAY(N133,1,Нерабочие[]),N133))</f>
        <v>2</v>
      </c>
      <c r="L133" s="68"/>
      <c r="M133" s="65"/>
      <c r="N133" s="66"/>
      <c r="O133" s="84"/>
      <c r="P133" s="85"/>
      <c r="Q133" s="87"/>
      <c r="R133" s="85"/>
      <c r="S133" s="85"/>
      <c r="T133" s="88"/>
    </row>
    <row r="134" spans="11:20" ht="13" x14ac:dyDescent="0.3">
      <c r="K134" s="37">
        <f>(IF((WEEKDAY(N134,16)&lt;3)+(COUNTIF(Нерабочие[],N134)&gt;0),WORKDAY(N134,1,Нерабочие[]),N134))</f>
        <v>2</v>
      </c>
      <c r="L134" s="68"/>
      <c r="M134" s="65"/>
      <c r="N134" s="66"/>
      <c r="O134" s="84"/>
      <c r="P134" s="85"/>
      <c r="Q134" s="87"/>
      <c r="R134" s="85"/>
      <c r="S134" s="85"/>
      <c r="T134" s="88"/>
    </row>
    <row r="135" spans="11:20" ht="13" x14ac:dyDescent="0.3">
      <c r="K135" s="37">
        <f>(IF((WEEKDAY(N135,16)&lt;3)+(COUNTIF(Нерабочие[],N135)&gt;0),WORKDAY(N135,1,Нерабочие[]),N135))</f>
        <v>2</v>
      </c>
      <c r="L135" s="68"/>
      <c r="M135" s="65"/>
      <c r="N135" s="66"/>
      <c r="O135" s="84"/>
      <c r="P135" s="85"/>
      <c r="Q135" s="87"/>
      <c r="R135" s="85"/>
      <c r="S135" s="85"/>
      <c r="T135" s="88"/>
    </row>
    <row r="136" spans="11:20" ht="13" x14ac:dyDescent="0.3">
      <c r="K136" s="37">
        <f>(IF((WEEKDAY(N136,16)&lt;3)+(COUNTIF(Нерабочие[],N136)&gt;0),WORKDAY(N136,1,Нерабочие[]),N136))</f>
        <v>2</v>
      </c>
      <c r="L136" s="68"/>
      <c r="M136" s="65"/>
      <c r="N136" s="66"/>
      <c r="O136" s="84"/>
      <c r="P136" s="85"/>
      <c r="Q136" s="87"/>
      <c r="R136" s="85"/>
      <c r="S136" s="85"/>
      <c r="T136" s="88"/>
    </row>
    <row r="137" spans="11:20" ht="13" x14ac:dyDescent="0.3">
      <c r="K137" s="37">
        <f>(IF((WEEKDAY(N137,16)&lt;3)+(COUNTIF(Нерабочие[],N137)&gt;0),WORKDAY(N137,1,Нерабочие[]),N137))</f>
        <v>2</v>
      </c>
      <c r="L137" s="68"/>
      <c r="M137" s="65"/>
      <c r="N137" s="66"/>
      <c r="O137" s="84"/>
      <c r="P137" s="85"/>
      <c r="Q137" s="87"/>
      <c r="R137" s="85"/>
      <c r="S137" s="85"/>
      <c r="T137" s="88"/>
    </row>
    <row r="138" spans="11:20" ht="13" x14ac:dyDescent="0.3">
      <c r="K138" s="37">
        <f>(IF((WEEKDAY(N138,16)&lt;3)+(COUNTIF(Нерабочие[],N138)&gt;0),WORKDAY(N138,1,Нерабочие[]),N138))</f>
        <v>2</v>
      </c>
      <c r="L138" s="68"/>
      <c r="M138" s="65"/>
      <c r="N138" s="66"/>
      <c r="O138" s="84"/>
      <c r="P138" s="85"/>
      <c r="Q138" s="87"/>
      <c r="R138" s="85"/>
      <c r="S138" s="85"/>
      <c r="T138" s="88"/>
    </row>
    <row r="139" spans="11:20" ht="13" x14ac:dyDescent="0.3">
      <c r="K139" s="37">
        <f>(IF((WEEKDAY(N139,16)&lt;3)+(COUNTIF(Нерабочие[],N139)&gt;0),WORKDAY(N139,1,Нерабочие[]),N139))</f>
        <v>2</v>
      </c>
      <c r="L139" s="68"/>
      <c r="M139" s="65"/>
      <c r="N139" s="66"/>
      <c r="O139" s="84"/>
      <c r="P139" s="85"/>
      <c r="Q139" s="87"/>
      <c r="R139" s="85"/>
      <c r="S139" s="85"/>
      <c r="T139" s="88"/>
    </row>
    <row r="140" spans="11:20" ht="13" x14ac:dyDescent="0.3">
      <c r="K140" s="37">
        <f>(IF((WEEKDAY(N140,16)&lt;3)+(COUNTIF(Нерабочие[],N140)&gt;0),WORKDAY(N140,1,Нерабочие[]),N140))</f>
        <v>2</v>
      </c>
      <c r="L140" s="68"/>
      <c r="M140" s="65"/>
      <c r="N140" s="66"/>
      <c r="O140" s="84"/>
      <c r="P140" s="85"/>
      <c r="Q140" s="87"/>
      <c r="R140" s="85"/>
      <c r="S140" s="85"/>
      <c r="T140" s="88"/>
    </row>
    <row r="141" spans="11:20" ht="13" x14ac:dyDescent="0.3">
      <c r="K141" s="37">
        <f>(IF((WEEKDAY(N141,16)&lt;3)+(COUNTIF(Нерабочие[],N141)&gt;0),WORKDAY(N141,1,Нерабочие[]),N141))</f>
        <v>2</v>
      </c>
      <c r="L141" s="68"/>
      <c r="M141" s="65"/>
      <c r="N141" s="66"/>
      <c r="O141" s="84"/>
      <c r="P141" s="85"/>
      <c r="Q141" s="87"/>
      <c r="R141" s="85"/>
      <c r="S141" s="85"/>
      <c r="T141" s="88"/>
    </row>
    <row r="142" spans="11:20" ht="13" x14ac:dyDescent="0.3">
      <c r="K142" s="37">
        <f>(IF((WEEKDAY(N142,16)&lt;3)+(COUNTIF(Нерабочие[],N142)&gt;0),WORKDAY(N142,1,Нерабочие[]),N142))</f>
        <v>2</v>
      </c>
      <c r="L142" s="68"/>
      <c r="M142" s="65"/>
      <c r="N142" s="66"/>
      <c r="O142" s="84"/>
      <c r="P142" s="85"/>
      <c r="Q142" s="87"/>
      <c r="R142" s="85"/>
      <c r="S142" s="85"/>
      <c r="T142" s="88"/>
    </row>
    <row r="143" spans="11:20" ht="13" x14ac:dyDescent="0.3">
      <c r="K143" s="37">
        <f>(IF((WEEKDAY(N143,16)&lt;3)+(COUNTIF(Нерабочие[],N143)&gt;0),WORKDAY(N143,1,Нерабочие[]),N143))</f>
        <v>2</v>
      </c>
      <c r="L143" s="68"/>
      <c r="M143" s="65"/>
      <c r="N143" s="66"/>
      <c r="O143" s="84"/>
      <c r="P143" s="85"/>
      <c r="Q143" s="87"/>
      <c r="R143" s="85"/>
      <c r="S143" s="85"/>
      <c r="T143" s="88"/>
    </row>
    <row r="144" spans="11:20" ht="13" x14ac:dyDescent="0.3">
      <c r="K144" s="37">
        <f>(IF((WEEKDAY(N144,16)&lt;3)+(COUNTIF(Нерабочие[],N144)&gt;0),WORKDAY(N144,1,Нерабочие[]),N144))</f>
        <v>2</v>
      </c>
      <c r="L144" s="68"/>
      <c r="M144" s="65"/>
      <c r="N144" s="66"/>
      <c r="O144" s="84"/>
      <c r="P144" s="85"/>
      <c r="Q144" s="87"/>
      <c r="R144" s="85"/>
      <c r="S144" s="85"/>
      <c r="T144" s="88"/>
    </row>
    <row r="145" spans="11:20" ht="13" x14ac:dyDescent="0.3">
      <c r="K145" s="37">
        <f>(IF((WEEKDAY(N145,16)&lt;3)+(COUNTIF(Нерабочие[],N145)&gt;0),WORKDAY(N145,1,Нерабочие[]),N145))</f>
        <v>2</v>
      </c>
      <c r="L145" s="68"/>
      <c r="M145" s="65"/>
      <c r="N145" s="66"/>
      <c r="O145" s="84"/>
      <c r="P145" s="85"/>
      <c r="Q145" s="87"/>
      <c r="R145" s="85"/>
      <c r="S145" s="85"/>
      <c r="T145" s="88"/>
    </row>
    <row r="146" spans="11:20" ht="13" x14ac:dyDescent="0.3">
      <c r="K146" s="37">
        <f>(IF((WEEKDAY(N146,16)&lt;3)+(COUNTIF(Нерабочие[],N146)&gt;0),WORKDAY(N146,1,Нерабочие[]),N146))</f>
        <v>2</v>
      </c>
      <c r="L146" s="68"/>
      <c r="M146" s="65"/>
      <c r="N146" s="66"/>
      <c r="O146" s="84"/>
      <c r="P146" s="85"/>
      <c r="Q146" s="87"/>
      <c r="R146" s="85"/>
      <c r="S146" s="85"/>
      <c r="T146" s="88"/>
    </row>
    <row r="147" spans="11:20" ht="13" x14ac:dyDescent="0.3">
      <c r="K147" s="70">
        <f>(IF((WEEKDAY(N147,16)&lt;3)+(COUNTIF(Нерабочие[],N147)&gt;0),WORKDAY(N147,1,Нерабочие[]),N147))</f>
        <v>2</v>
      </c>
      <c r="L147" s="68"/>
      <c r="M147" s="65"/>
      <c r="N147" s="66"/>
      <c r="O147" s="84"/>
      <c r="P147" s="85"/>
      <c r="Q147" s="87"/>
      <c r="R147" s="85"/>
      <c r="S147" s="85"/>
      <c r="T147" s="88"/>
    </row>
    <row r="148" spans="11:20" ht="13" x14ac:dyDescent="0.3">
      <c r="K148" s="78">
        <f>(IF((WEEKDAY(N148,16)&lt;3)+(COUNTIF(Нерабочие[],N148)&gt;0),WORKDAY(N148,1,Нерабочие[]),N148))</f>
        <v>2</v>
      </c>
      <c r="L148" s="68"/>
      <c r="M148" s="65"/>
      <c r="N148" s="66"/>
      <c r="O148" s="84"/>
      <c r="P148" s="85"/>
      <c r="Q148" s="87"/>
      <c r="R148" s="85"/>
      <c r="S148" s="85"/>
      <c r="T148" s="88"/>
    </row>
    <row r="149" spans="11:20" ht="13" x14ac:dyDescent="0.3">
      <c r="K149" s="78">
        <f>(IF((WEEKDAY(N149,16)&lt;3)+(COUNTIF(Нерабочие[],N149)&gt;0),WORKDAY(N149,1,Нерабочие[]),N149))</f>
        <v>2</v>
      </c>
      <c r="L149" s="68"/>
      <c r="M149" s="65"/>
      <c r="N149" s="66"/>
      <c r="O149" s="84"/>
      <c r="P149" s="85"/>
      <c r="Q149" s="87"/>
      <c r="R149" s="85"/>
      <c r="S149" s="85"/>
      <c r="T149" s="88"/>
    </row>
    <row r="150" spans="11:20" ht="13" x14ac:dyDescent="0.3">
      <c r="K150" s="78">
        <f>(IF((WEEKDAY(N150,16)&lt;3)+(COUNTIF(Нерабочие[],N150)&gt;0),WORKDAY(N150,1,Нерабочие[]),N150))</f>
        <v>2</v>
      </c>
      <c r="L150" s="68"/>
      <c r="M150" s="65"/>
      <c r="N150" s="66"/>
      <c r="O150" s="84"/>
      <c r="P150" s="85"/>
      <c r="Q150" s="87"/>
      <c r="R150" s="85"/>
      <c r="S150" s="85"/>
      <c r="T150" s="88"/>
    </row>
    <row r="151" spans="11:20" ht="13" x14ac:dyDescent="0.3">
      <c r="K151" s="78">
        <f>(IF((WEEKDAY(N151,16)&lt;3)+(COUNTIF(Нерабочие[],N151)&gt;0),WORKDAY(N151,1,Нерабочие[]),N151))</f>
        <v>2</v>
      </c>
      <c r="L151" s="68"/>
      <c r="M151" s="65"/>
      <c r="N151" s="66"/>
      <c r="O151" s="84"/>
      <c r="P151" s="85"/>
      <c r="Q151" s="87"/>
      <c r="R151" s="85"/>
      <c r="S151" s="85"/>
      <c r="T151" s="88"/>
    </row>
    <row r="152" spans="11:20" ht="13" x14ac:dyDescent="0.3">
      <c r="K152" s="78">
        <f>(IF((WEEKDAY(N152,16)&lt;3)+(COUNTIF(Нерабочие[],N152)&gt;0),WORKDAY(N152,1,Нерабочие[]),N152))</f>
        <v>2</v>
      </c>
      <c r="L152" s="68"/>
      <c r="M152" s="65"/>
      <c r="N152" s="66"/>
      <c r="O152" s="84"/>
      <c r="P152" s="85"/>
      <c r="Q152" s="87"/>
      <c r="R152" s="85"/>
      <c r="S152" s="85"/>
      <c r="T152" s="88"/>
    </row>
    <row r="153" spans="11:20" ht="13" x14ac:dyDescent="0.3">
      <c r="K153" s="78">
        <f>(IF((WEEKDAY(N153,16)&lt;3)+(COUNTIF(Нерабочие[],N153)&gt;0),WORKDAY(N153,1,Нерабочие[]),N153))</f>
        <v>2</v>
      </c>
      <c r="L153" s="68"/>
      <c r="M153" s="65"/>
      <c r="N153" s="66"/>
      <c r="O153" s="84"/>
      <c r="P153" s="85"/>
      <c r="Q153" s="87"/>
      <c r="R153" s="85"/>
      <c r="S153" s="85"/>
      <c r="T153" s="88"/>
    </row>
    <row r="154" spans="11:20" ht="13" x14ac:dyDescent="0.3">
      <c r="K154" s="78">
        <f>(IF((WEEKDAY(N154,16)&lt;3)+(COUNTIF(Нерабочие[],N154)&gt;0),WORKDAY(N154,1,Нерабочие[]),N154))</f>
        <v>2</v>
      </c>
      <c r="L154" s="68"/>
      <c r="M154" s="65"/>
      <c r="N154" s="66"/>
      <c r="O154" s="84"/>
      <c r="P154" s="85"/>
      <c r="Q154" s="87"/>
      <c r="R154" s="85"/>
      <c r="S154" s="85"/>
      <c r="T154" s="88"/>
    </row>
    <row r="155" spans="11:20" ht="13" x14ac:dyDescent="0.3">
      <c r="K155" s="78">
        <f>(IF((WEEKDAY(N155,16)&lt;3)+(COUNTIF(Нерабочие[],N155)&gt;0),WORKDAY(N155,1,Нерабочие[]),N155))</f>
        <v>2</v>
      </c>
      <c r="L155" s="68"/>
      <c r="M155" s="65"/>
      <c r="N155" s="66"/>
      <c r="O155" s="84"/>
      <c r="P155" s="85"/>
      <c r="Q155" s="87"/>
      <c r="R155" s="85"/>
      <c r="S155" s="85"/>
      <c r="T155" s="88"/>
    </row>
    <row r="156" spans="11:20" ht="13" x14ac:dyDescent="0.3">
      <c r="K156" s="78">
        <f>(IF((WEEKDAY(N156,16)&lt;3)+(COUNTIF(Нерабочие[],N156)&gt;0),WORKDAY(N156,1,Нерабочие[]),N156))</f>
        <v>2</v>
      </c>
      <c r="L156" s="68"/>
      <c r="M156" s="65"/>
      <c r="N156" s="66"/>
      <c r="O156" s="84"/>
      <c r="P156" s="85"/>
      <c r="Q156" s="87"/>
      <c r="R156" s="85"/>
      <c r="S156" s="85"/>
      <c r="T156" s="88"/>
    </row>
    <row r="157" spans="11:20" ht="13" x14ac:dyDescent="0.3">
      <c r="K157" s="78">
        <f>(IF((WEEKDAY(N157,16)&lt;3)+(COUNTIF(Нерабочие[],N157)&gt;0),WORKDAY(N157,1,Нерабочие[]),N157))</f>
        <v>2</v>
      </c>
      <c r="L157" s="68"/>
      <c r="M157" s="65"/>
      <c r="N157" s="66"/>
      <c r="O157" s="84"/>
      <c r="P157" s="85"/>
      <c r="Q157" s="87"/>
      <c r="R157" s="85"/>
      <c r="S157" s="85"/>
      <c r="T157" s="88"/>
    </row>
    <row r="158" spans="11:20" ht="13" x14ac:dyDescent="0.3">
      <c r="K158" s="78">
        <f>(IF((WEEKDAY(N158,16)&lt;3)+(COUNTIF(Нерабочие[],N158)&gt;0),WORKDAY(N158,1,Нерабочие[]),N158))</f>
        <v>2</v>
      </c>
      <c r="L158" s="68"/>
      <c r="M158" s="65"/>
      <c r="N158" s="66"/>
      <c r="O158" s="84"/>
      <c r="P158" s="85"/>
      <c r="Q158" s="87"/>
      <c r="R158" s="85"/>
      <c r="S158" s="85"/>
      <c r="T158" s="88"/>
    </row>
    <row r="159" spans="11:20" ht="13" x14ac:dyDescent="0.3">
      <c r="K159" s="78">
        <f>(IF((WEEKDAY(N159,16)&lt;3)+(COUNTIF(Нерабочие[],N159)&gt;0),WORKDAY(N159,1,Нерабочие[]),N159))</f>
        <v>2</v>
      </c>
      <c r="L159" s="68"/>
      <c r="M159" s="65"/>
      <c r="N159" s="66"/>
      <c r="O159" s="84"/>
      <c r="P159" s="85"/>
      <c r="Q159" s="87"/>
      <c r="R159" s="85"/>
      <c r="S159" s="85"/>
      <c r="T159" s="88"/>
    </row>
    <row r="160" spans="11:20" ht="13" x14ac:dyDescent="0.3">
      <c r="K160" s="78">
        <f>(IF((WEEKDAY(N160,16)&lt;3)+(COUNTIF(Нерабочие[],N160)&gt;0),WORKDAY(N160,1,Нерабочие[]),N160))</f>
        <v>2</v>
      </c>
      <c r="L160" s="68"/>
      <c r="M160" s="65"/>
      <c r="N160" s="66"/>
      <c r="O160" s="84"/>
      <c r="P160" s="85"/>
      <c r="Q160" s="87"/>
      <c r="R160" s="85"/>
      <c r="S160" s="85"/>
      <c r="T160" s="88"/>
    </row>
    <row r="161" spans="11:20" ht="13" x14ac:dyDescent="0.3">
      <c r="K161" s="78">
        <f>(IF((WEEKDAY(N161,16)&lt;3)+(COUNTIF(Нерабочие[],N161)&gt;0),WORKDAY(N161,1,Нерабочие[]),N161))</f>
        <v>2</v>
      </c>
      <c r="L161" s="68"/>
      <c r="M161" s="65"/>
      <c r="N161" s="66"/>
      <c r="O161" s="84"/>
      <c r="P161" s="85"/>
      <c r="Q161" s="87"/>
      <c r="R161" s="85"/>
      <c r="S161" s="85"/>
      <c r="T161" s="88"/>
    </row>
    <row r="162" spans="11:20" ht="13" x14ac:dyDescent="0.3">
      <c r="K162" s="78">
        <f>(IF((WEEKDAY(N162,16)&lt;3)+(COUNTIF(Нерабочие[],N162)&gt;0),WORKDAY(N162,1,Нерабочие[]),N162))</f>
        <v>2</v>
      </c>
      <c r="L162" s="68"/>
      <c r="M162" s="65"/>
      <c r="N162" s="66"/>
      <c r="O162" s="84"/>
      <c r="P162" s="85"/>
      <c r="Q162" s="87"/>
      <c r="R162" s="85"/>
      <c r="S162" s="85"/>
      <c r="T162" s="88"/>
    </row>
    <row r="163" spans="11:20" ht="13" x14ac:dyDescent="0.3">
      <c r="K163" s="78">
        <f>(IF((WEEKDAY(N163,16)&lt;3)+(COUNTIF(Нерабочие[],N163)&gt;0),WORKDAY(N163,1,Нерабочие[]),N163))</f>
        <v>2</v>
      </c>
      <c r="L163" s="68"/>
      <c r="M163" s="65"/>
      <c r="N163" s="66"/>
      <c r="O163" s="84"/>
      <c r="P163" s="85"/>
      <c r="Q163" s="87"/>
      <c r="R163" s="85"/>
      <c r="S163" s="85"/>
      <c r="T163" s="88"/>
    </row>
    <row r="164" spans="11:20" ht="13" x14ac:dyDescent="0.3">
      <c r="K164" s="78">
        <f>(IF((WEEKDAY(N164,16)&lt;3)+(COUNTIF(Нерабочие[],N164)&gt;0),WORKDAY(N164,1,Нерабочие[]),N164))</f>
        <v>2</v>
      </c>
      <c r="L164" s="68"/>
      <c r="M164" s="65"/>
      <c r="N164" s="66"/>
      <c r="O164" s="84"/>
      <c r="P164" s="85"/>
      <c r="Q164" s="87"/>
      <c r="R164" s="85"/>
      <c r="S164" s="85"/>
      <c r="T164" s="88"/>
    </row>
    <row r="165" spans="11:20" ht="13" x14ac:dyDescent="0.3">
      <c r="K165" s="78">
        <f>(IF((WEEKDAY(N165,16)&lt;3)+(COUNTIF(Нерабочие[],N165)&gt;0),WORKDAY(N165,1,Нерабочие[]),N165))</f>
        <v>2</v>
      </c>
      <c r="L165" s="68"/>
      <c r="M165" s="65"/>
      <c r="N165" s="66"/>
      <c r="O165" s="84"/>
      <c r="P165" s="85"/>
      <c r="Q165" s="87"/>
      <c r="R165" s="85"/>
      <c r="S165" s="85"/>
      <c r="T165" s="88"/>
    </row>
    <row r="166" spans="11:20" ht="13" x14ac:dyDescent="0.3">
      <c r="K166" s="78">
        <f>(IF((WEEKDAY(N166,16)&lt;3)+(COUNTIF(Нерабочие[],N166)&gt;0),WORKDAY(N166,1,Нерабочие[]),N166))</f>
        <v>2</v>
      </c>
      <c r="L166" s="68"/>
      <c r="M166" s="65"/>
      <c r="N166" s="66"/>
      <c r="O166" s="84"/>
      <c r="P166" s="85"/>
      <c r="Q166" s="87"/>
      <c r="R166" s="85"/>
      <c r="S166" s="85"/>
      <c r="T166" s="88"/>
    </row>
    <row r="167" spans="11:20" ht="13" x14ac:dyDescent="0.3">
      <c r="K167" s="78">
        <f>(IF((WEEKDAY(N167,16)&lt;3)+(COUNTIF(Нерабочие[],N167)&gt;0),WORKDAY(N167,1,Нерабочие[]),N167))</f>
        <v>2</v>
      </c>
      <c r="L167" s="68"/>
      <c r="M167" s="65"/>
      <c r="N167" s="66"/>
      <c r="O167" s="84"/>
      <c r="P167" s="85"/>
      <c r="Q167" s="87"/>
      <c r="R167" s="85"/>
      <c r="S167" s="85"/>
      <c r="T167" s="88"/>
    </row>
    <row r="168" spans="11:20" ht="13" x14ac:dyDescent="0.3">
      <c r="K168" s="78">
        <f>(IF((WEEKDAY(N168,16)&lt;3)+(COUNTIF(Нерабочие[],N168)&gt;0),WORKDAY(N168,1,Нерабочие[]),N168))</f>
        <v>2</v>
      </c>
      <c r="L168" s="68"/>
      <c r="M168" s="65"/>
      <c r="N168" s="66"/>
      <c r="O168" s="84"/>
      <c r="P168" s="85"/>
      <c r="Q168" s="87"/>
      <c r="R168" s="85"/>
      <c r="S168" s="85"/>
      <c r="T168" s="88"/>
    </row>
    <row r="169" spans="11:20" ht="13" x14ac:dyDescent="0.3">
      <c r="K169" s="78">
        <f>(IF((WEEKDAY(N169,16)&lt;3)+(COUNTIF(Нерабочие[],N169)&gt;0),WORKDAY(N169,1,Нерабочие[]),N169))</f>
        <v>2</v>
      </c>
      <c r="L169" s="68"/>
      <c r="M169" s="65"/>
      <c r="N169" s="66"/>
      <c r="O169" s="84"/>
      <c r="P169" s="85"/>
      <c r="Q169" s="87"/>
      <c r="R169" s="85"/>
      <c r="S169" s="85"/>
      <c r="T169" s="88"/>
    </row>
    <row r="170" spans="11:20" ht="13" x14ac:dyDescent="0.3">
      <c r="K170" s="78">
        <f>(IF((WEEKDAY(N170,16)&lt;3)+(COUNTIF(Нерабочие[],N170)&gt;0),WORKDAY(N170,1,Нерабочие[]),N170))</f>
        <v>2</v>
      </c>
      <c r="L170" s="68"/>
      <c r="M170" s="65"/>
      <c r="N170" s="66"/>
      <c r="O170" s="84"/>
      <c r="P170" s="85"/>
      <c r="Q170" s="87"/>
      <c r="R170" s="85"/>
      <c r="S170" s="85"/>
      <c r="T170" s="88"/>
    </row>
    <row r="171" spans="11:20" ht="13" x14ac:dyDescent="0.3">
      <c r="K171" s="78">
        <f>(IF((WEEKDAY(N171,16)&lt;3)+(COUNTIF(Нерабочие[],N171)&gt;0),WORKDAY(N171,1,Нерабочие[]),N171))</f>
        <v>2</v>
      </c>
      <c r="L171" s="68"/>
      <c r="M171" s="65"/>
      <c r="N171" s="66"/>
      <c r="O171" s="84"/>
      <c r="P171" s="85"/>
      <c r="Q171" s="87"/>
      <c r="R171" s="85"/>
      <c r="S171" s="85"/>
      <c r="T171" s="88"/>
    </row>
    <row r="172" spans="11:20" ht="13" x14ac:dyDescent="0.3">
      <c r="K172" s="78">
        <f>(IF((WEEKDAY(N172,16)&lt;3)+(COUNTIF(Нерабочие[],N172)&gt;0),WORKDAY(N172,1,Нерабочие[]),N172))</f>
        <v>2</v>
      </c>
      <c r="L172" s="68"/>
      <c r="M172" s="65"/>
      <c r="N172" s="66"/>
      <c r="O172" s="84"/>
      <c r="P172" s="85"/>
      <c r="Q172" s="87"/>
      <c r="R172" s="85"/>
      <c r="S172" s="85"/>
      <c r="T172" s="88"/>
    </row>
    <row r="173" spans="11:20" ht="13" x14ac:dyDescent="0.3">
      <c r="K173" s="78">
        <f>(IF((WEEKDAY(N173,16)&lt;3)+(COUNTIF(Нерабочие[],N173)&gt;0),WORKDAY(N173,1,Нерабочие[]),N173))</f>
        <v>2</v>
      </c>
      <c r="L173" s="68"/>
      <c r="M173" s="65"/>
      <c r="N173" s="66"/>
      <c r="O173" s="84"/>
      <c r="P173" s="85"/>
      <c r="Q173" s="87"/>
      <c r="R173" s="85"/>
      <c r="S173" s="85"/>
      <c r="T173" s="88"/>
    </row>
    <row r="174" spans="11:20" ht="13" x14ac:dyDescent="0.3">
      <c r="K174" s="78">
        <f>(IF((WEEKDAY(N174,16)&lt;3)+(COUNTIF(Нерабочие[],N174)&gt;0),WORKDAY(N174,1,Нерабочие[]),N174))</f>
        <v>2</v>
      </c>
      <c r="L174" s="68"/>
      <c r="M174" s="65"/>
      <c r="N174" s="66"/>
      <c r="O174" s="84"/>
      <c r="P174" s="85"/>
      <c r="Q174" s="87"/>
      <c r="R174" s="85"/>
      <c r="S174" s="85"/>
      <c r="T174" s="88"/>
    </row>
    <row r="175" spans="11:20" ht="13" x14ac:dyDescent="0.3">
      <c r="K175" s="78">
        <f>(IF((WEEKDAY(N175,16)&lt;3)+(COUNTIF(Нерабочие[],N175)&gt;0),WORKDAY(N175,1,Нерабочие[]),N175))</f>
        <v>2</v>
      </c>
      <c r="L175" s="68"/>
      <c r="M175" s="65"/>
      <c r="N175" s="66"/>
      <c r="O175" s="84"/>
      <c r="P175" s="85"/>
      <c r="Q175" s="87"/>
      <c r="R175" s="85"/>
      <c r="S175" s="85"/>
      <c r="T175" s="88"/>
    </row>
    <row r="176" spans="11:20" ht="13" x14ac:dyDescent="0.3">
      <c r="K176" s="78">
        <f>(IF((WEEKDAY(N176,16)&lt;3)+(COUNTIF(Нерабочие[],N176)&gt;0),WORKDAY(N176,1,Нерабочие[]),N176))</f>
        <v>2</v>
      </c>
      <c r="L176" s="68"/>
      <c r="M176" s="65"/>
      <c r="N176" s="66"/>
      <c r="O176" s="84"/>
      <c r="P176" s="85"/>
      <c r="Q176" s="87"/>
      <c r="R176" s="85"/>
      <c r="S176" s="85"/>
      <c r="T176" s="88"/>
    </row>
    <row r="177" spans="11:20" ht="13" x14ac:dyDescent="0.3">
      <c r="K177" s="78">
        <f>(IF((WEEKDAY(N177,16)&lt;3)+(COUNTIF(Нерабочие[],N177)&gt;0),WORKDAY(N177,1,Нерабочие[]),N177))</f>
        <v>2</v>
      </c>
      <c r="L177" s="68"/>
      <c r="M177" s="65"/>
      <c r="N177" s="66"/>
      <c r="O177" s="84"/>
      <c r="P177" s="85"/>
      <c r="Q177" s="87"/>
      <c r="R177" s="85"/>
      <c r="S177" s="85"/>
      <c r="T177" s="88"/>
    </row>
    <row r="178" spans="11:20" ht="13" x14ac:dyDescent="0.3">
      <c r="K178" s="78">
        <f>(IF((WEEKDAY(N178,16)&lt;3)+(COUNTIF(Нерабочие[],N178)&gt;0),WORKDAY(N178,1,Нерабочие[]),N178))</f>
        <v>2</v>
      </c>
      <c r="L178" s="68"/>
      <c r="M178" s="65"/>
      <c r="N178" s="66"/>
      <c r="O178" s="84"/>
      <c r="P178" s="85"/>
      <c r="Q178" s="87"/>
      <c r="R178" s="85"/>
      <c r="S178" s="85"/>
      <c r="T178" s="88"/>
    </row>
    <row r="179" spans="11:20" ht="13" x14ac:dyDescent="0.3">
      <c r="K179" s="78">
        <f>(IF((WEEKDAY(N179,16)&lt;3)+(COUNTIF(Нерабочие[],N179)&gt;0),WORKDAY(N179,1,Нерабочие[]),N179))</f>
        <v>2</v>
      </c>
      <c r="L179" s="68"/>
      <c r="M179" s="65"/>
      <c r="N179" s="66"/>
      <c r="O179" s="84"/>
      <c r="P179" s="85"/>
      <c r="Q179" s="87"/>
      <c r="R179" s="85"/>
      <c r="S179" s="85"/>
      <c r="T179" s="88"/>
    </row>
    <row r="180" spans="11:20" ht="13" x14ac:dyDescent="0.3">
      <c r="K180" s="78">
        <f>(IF((WEEKDAY(N180,16)&lt;3)+(COUNTIF(Нерабочие[],N180)&gt;0),WORKDAY(N180,1,Нерабочие[]),N180))</f>
        <v>2</v>
      </c>
      <c r="L180" s="68"/>
      <c r="M180" s="65"/>
      <c r="N180" s="66"/>
      <c r="O180" s="84"/>
      <c r="P180" s="85"/>
      <c r="Q180" s="87"/>
      <c r="R180" s="85"/>
      <c r="S180" s="85"/>
      <c r="T180" s="88"/>
    </row>
    <row r="181" spans="11:20" ht="13" x14ac:dyDescent="0.3">
      <c r="K181" s="78">
        <f>(IF((WEEKDAY(N181,16)&lt;3)+(COUNTIF(Нерабочие[],N181)&gt;0),WORKDAY(N181,1,Нерабочие[]),N181))</f>
        <v>2</v>
      </c>
      <c r="L181" s="68"/>
      <c r="M181" s="65"/>
      <c r="N181" s="66"/>
      <c r="O181" s="84"/>
      <c r="P181" s="85"/>
      <c r="Q181" s="87"/>
      <c r="R181" s="85"/>
      <c r="S181" s="85"/>
      <c r="T181" s="88"/>
    </row>
    <row r="182" spans="11:20" ht="13" x14ac:dyDescent="0.3">
      <c r="K182" s="78">
        <f>(IF((WEEKDAY(N182,16)&lt;3)+(COUNTIF(Нерабочие[],N182)&gt;0),WORKDAY(N182,1,Нерабочие[]),N182))</f>
        <v>2</v>
      </c>
      <c r="L182" s="68"/>
      <c r="M182" s="65"/>
      <c r="N182" s="66"/>
      <c r="O182" s="84"/>
      <c r="P182" s="85"/>
      <c r="Q182" s="87"/>
      <c r="R182" s="85"/>
      <c r="S182" s="85"/>
      <c r="T182" s="88"/>
    </row>
    <row r="183" spans="11:20" ht="13" x14ac:dyDescent="0.3">
      <c r="K183" s="78">
        <f>(IF((WEEKDAY(N183,16)&lt;3)+(COUNTIF(Нерабочие[],N183)&gt;0),WORKDAY(N183,1,Нерабочие[]),N183))</f>
        <v>2</v>
      </c>
      <c r="L183" s="68"/>
      <c r="M183" s="65"/>
      <c r="N183" s="66"/>
      <c r="O183" s="84"/>
      <c r="P183" s="85"/>
      <c r="Q183" s="87"/>
      <c r="R183" s="85"/>
      <c r="S183" s="85"/>
      <c r="T183" s="88"/>
    </row>
    <row r="184" spans="11:20" ht="13" x14ac:dyDescent="0.3">
      <c r="K184" s="78">
        <f>(IF((WEEKDAY(N184,16)&lt;3)+(COUNTIF(Нерабочие[],N184)&gt;0),WORKDAY(N184,1,Нерабочие[]),N184))</f>
        <v>2</v>
      </c>
      <c r="L184" s="68"/>
      <c r="M184" s="65"/>
      <c r="N184" s="66"/>
      <c r="O184" s="84"/>
      <c r="P184" s="85"/>
      <c r="Q184" s="87"/>
      <c r="R184" s="85"/>
      <c r="S184" s="85"/>
      <c r="T184" s="88"/>
    </row>
    <row r="185" spans="11:20" ht="13" x14ac:dyDescent="0.3">
      <c r="K185" s="78">
        <f>(IF((WEEKDAY(N185,16)&lt;3)+(COUNTIF(Нерабочие[],N185)&gt;0),WORKDAY(N185,1,Нерабочие[]),N185))</f>
        <v>2</v>
      </c>
      <c r="L185" s="68"/>
      <c r="M185" s="65"/>
      <c r="N185" s="66"/>
      <c r="O185" s="84"/>
      <c r="P185" s="85"/>
      <c r="Q185" s="87"/>
      <c r="R185" s="85"/>
      <c r="S185" s="85"/>
      <c r="T185" s="88"/>
    </row>
    <row r="186" spans="11:20" ht="13" x14ac:dyDescent="0.3">
      <c r="K186" s="78">
        <f>(IF((WEEKDAY(N186,16)&lt;3)+(COUNTIF(Нерабочие[],N186)&gt;0),WORKDAY(N186,1,Нерабочие[]),N186))</f>
        <v>2</v>
      </c>
      <c r="L186" s="68"/>
      <c r="M186" s="65"/>
      <c r="N186" s="66"/>
      <c r="O186" s="84"/>
      <c r="P186" s="85"/>
      <c r="Q186" s="87"/>
      <c r="R186" s="85"/>
      <c r="S186" s="85"/>
      <c r="T186" s="88"/>
    </row>
    <row r="187" spans="11:20" ht="13" x14ac:dyDescent="0.3">
      <c r="K187" s="78">
        <f>(IF((WEEKDAY(N187,16)&lt;3)+(COUNTIF(Нерабочие[],N187)&gt;0),WORKDAY(N187,1,Нерабочие[]),N187))</f>
        <v>2</v>
      </c>
      <c r="L187" s="68"/>
      <c r="M187" s="65"/>
      <c r="N187" s="66"/>
      <c r="O187" s="84"/>
      <c r="P187" s="85"/>
      <c r="Q187" s="87"/>
      <c r="R187" s="85"/>
      <c r="S187" s="85"/>
      <c r="T187" s="88"/>
    </row>
    <row r="188" spans="11:20" ht="13" x14ac:dyDescent="0.3">
      <c r="K188" s="78">
        <f>(IF((WEEKDAY(N188,16)&lt;3)+(COUNTIF(Нерабочие[],N188)&gt;0),WORKDAY(N188,1,Нерабочие[]),N188))</f>
        <v>2</v>
      </c>
      <c r="L188" s="68"/>
      <c r="M188" s="65"/>
      <c r="N188" s="66"/>
      <c r="O188" s="84"/>
      <c r="P188" s="85"/>
      <c r="Q188" s="87"/>
      <c r="R188" s="85"/>
      <c r="S188" s="85"/>
      <c r="T188" s="88"/>
    </row>
    <row r="189" spans="11:20" ht="13" x14ac:dyDescent="0.3">
      <c r="K189" s="78">
        <f>(IF((WEEKDAY(N189,16)&lt;3)+(COUNTIF(Нерабочие[],N189)&gt;0),WORKDAY(N189,1,Нерабочие[]),N189))</f>
        <v>2</v>
      </c>
      <c r="L189" s="68"/>
      <c r="M189" s="65"/>
      <c r="N189" s="66"/>
      <c r="O189" s="84"/>
      <c r="P189" s="85"/>
      <c r="Q189" s="87"/>
      <c r="R189" s="85"/>
      <c r="S189" s="85"/>
      <c r="T189" s="88"/>
    </row>
    <row r="190" spans="11:20" ht="13" x14ac:dyDescent="0.3">
      <c r="K190" s="78">
        <f>(IF((WEEKDAY(N190,16)&lt;3)+(COUNTIF(Нерабочие[],N190)&gt;0),WORKDAY(N190,1,Нерабочие[]),N190))</f>
        <v>2</v>
      </c>
      <c r="L190" s="68"/>
      <c r="M190" s="65"/>
      <c r="N190" s="66"/>
      <c r="O190" s="84"/>
      <c r="P190" s="85"/>
      <c r="Q190" s="87"/>
      <c r="R190" s="85"/>
      <c r="S190" s="85"/>
      <c r="T190" s="88"/>
    </row>
    <row r="191" spans="11:20" ht="13" x14ac:dyDescent="0.3">
      <c r="K191" s="78">
        <f>(IF((WEEKDAY(N191,16)&lt;3)+(COUNTIF(Нерабочие[],N191)&gt;0),WORKDAY(N191,1,Нерабочие[]),N191))</f>
        <v>2</v>
      </c>
      <c r="L191" s="68"/>
      <c r="M191" s="65"/>
      <c r="N191" s="66"/>
      <c r="O191" s="84"/>
      <c r="P191" s="85"/>
      <c r="Q191" s="87"/>
      <c r="R191" s="85"/>
      <c r="S191" s="85"/>
      <c r="T191" s="88"/>
    </row>
    <row r="192" spans="11:20" ht="13" x14ac:dyDescent="0.3">
      <c r="K192" s="78">
        <f>(IF((WEEKDAY(N192,16)&lt;3)+(COUNTIF(Нерабочие[],N192)&gt;0),WORKDAY(N192,1,Нерабочие[]),N192))</f>
        <v>2</v>
      </c>
      <c r="L192" s="68"/>
      <c r="M192" s="65"/>
      <c r="N192" s="66"/>
      <c r="O192" s="84"/>
      <c r="P192" s="85"/>
      <c r="Q192" s="87"/>
      <c r="R192" s="85"/>
      <c r="S192" s="85"/>
      <c r="T192" s="88"/>
    </row>
    <row r="193" spans="11:20" ht="13" x14ac:dyDescent="0.3">
      <c r="K193" s="78">
        <f>(IF((WEEKDAY(N193,16)&lt;3)+(COUNTIF(Нерабочие[],N193)&gt;0),WORKDAY(N193,1,Нерабочие[]),N193))</f>
        <v>2</v>
      </c>
      <c r="L193" s="68"/>
      <c r="M193" s="65"/>
      <c r="N193" s="66"/>
      <c r="O193" s="84"/>
      <c r="P193" s="85"/>
      <c r="Q193" s="87"/>
      <c r="R193" s="85"/>
      <c r="S193" s="85"/>
      <c r="T193" s="88"/>
    </row>
    <row r="194" spans="11:20" ht="13" x14ac:dyDescent="0.3">
      <c r="K194" s="78">
        <f>(IF((WEEKDAY(N194,16)&lt;3)+(COUNTIF(Нерабочие[],N194)&gt;0),WORKDAY(N194,1,Нерабочие[]),N194))</f>
        <v>2</v>
      </c>
      <c r="L194" s="68"/>
      <c r="M194" s="65"/>
      <c r="N194" s="66"/>
      <c r="O194" s="84"/>
      <c r="P194" s="85"/>
      <c r="Q194" s="87"/>
      <c r="R194" s="85"/>
      <c r="S194" s="85"/>
      <c r="T194" s="88"/>
    </row>
    <row r="195" spans="11:20" ht="13" x14ac:dyDescent="0.3">
      <c r="K195" s="78">
        <f>(IF((WEEKDAY(N195,16)&lt;3)+(COUNTIF(Нерабочие[],N195)&gt;0),WORKDAY(N195,1,Нерабочие[]),N195))</f>
        <v>2</v>
      </c>
      <c r="L195" s="68"/>
      <c r="M195" s="65"/>
      <c r="N195" s="66"/>
      <c r="O195" s="84"/>
      <c r="P195" s="85"/>
      <c r="Q195" s="87"/>
      <c r="R195" s="85"/>
      <c r="S195" s="85"/>
      <c r="T195" s="88"/>
    </row>
    <row r="196" spans="11:20" ht="13" x14ac:dyDescent="0.3">
      <c r="K196" s="78">
        <f>(IF((WEEKDAY(N196,16)&lt;3)+(COUNTIF(Нерабочие[],N196)&gt;0),WORKDAY(N196,1,Нерабочие[]),N196))</f>
        <v>2</v>
      </c>
      <c r="L196" s="68"/>
      <c r="M196" s="65"/>
      <c r="N196" s="66"/>
      <c r="O196" s="84"/>
      <c r="P196" s="85"/>
      <c r="Q196" s="87"/>
      <c r="R196" s="85"/>
      <c r="S196" s="85"/>
      <c r="T196" s="88"/>
    </row>
    <row r="197" spans="11:20" ht="13" x14ac:dyDescent="0.3">
      <c r="K197" s="78">
        <f>(IF((WEEKDAY(N197,16)&lt;3)+(COUNTIF(Нерабочие[],N197)&gt;0),WORKDAY(N197,1,Нерабочие[]),N197))</f>
        <v>2</v>
      </c>
      <c r="L197" s="68"/>
      <c r="M197" s="65"/>
      <c r="N197" s="66"/>
      <c r="O197" s="84"/>
      <c r="P197" s="85"/>
      <c r="Q197" s="87"/>
      <c r="R197" s="85"/>
      <c r="S197" s="85"/>
      <c r="T197" s="88"/>
    </row>
    <row r="198" spans="11:20" ht="13" x14ac:dyDescent="0.3">
      <c r="K198" s="78">
        <f>(IF((WEEKDAY(N198,16)&lt;3)+(COUNTIF(Нерабочие[],N198)&gt;0),WORKDAY(N198,1,Нерабочие[]),N198))</f>
        <v>2</v>
      </c>
      <c r="L198" s="68"/>
      <c r="M198" s="65"/>
      <c r="N198" s="66"/>
      <c r="O198" s="84"/>
      <c r="P198" s="85"/>
      <c r="Q198" s="87"/>
      <c r="R198" s="85"/>
      <c r="S198" s="85"/>
      <c r="T198" s="88"/>
    </row>
    <row r="199" spans="11:20" ht="13" x14ac:dyDescent="0.3">
      <c r="K199" s="78">
        <f>(IF((WEEKDAY(N199,16)&lt;3)+(COUNTIF(Нерабочие[],N199)&gt;0),WORKDAY(N199,1,Нерабочие[]),N199))</f>
        <v>2</v>
      </c>
      <c r="L199" s="68"/>
      <c r="M199" s="65"/>
      <c r="N199" s="66"/>
      <c r="O199" s="84"/>
      <c r="P199" s="85"/>
      <c r="Q199" s="87"/>
      <c r="R199" s="85"/>
      <c r="S199" s="85"/>
      <c r="T199" s="88"/>
    </row>
    <row r="200" spans="11:20" ht="13" x14ac:dyDescent="0.3">
      <c r="K200" s="78">
        <f>(IF((WEEKDAY(N200,16)&lt;3)+(COUNTIF(Нерабочие[],N200)&gt;0),WORKDAY(N200,1,Нерабочие[]),N200))</f>
        <v>2</v>
      </c>
      <c r="L200" s="68"/>
      <c r="M200" s="65"/>
      <c r="N200" s="66"/>
      <c r="O200" s="84"/>
      <c r="P200" s="85"/>
      <c r="Q200" s="87"/>
      <c r="R200" s="85"/>
      <c r="S200" s="85"/>
      <c r="T200" s="88"/>
    </row>
    <row r="201" spans="11:20" ht="13" x14ac:dyDescent="0.3">
      <c r="K201" s="78">
        <f>(IF((WEEKDAY(N201,16)&lt;3)+(COUNTIF(Нерабочие[],N201)&gt;0),WORKDAY(N201,1,Нерабочие[]),N201))</f>
        <v>2</v>
      </c>
      <c r="L201" s="68"/>
      <c r="M201" s="65"/>
      <c r="N201" s="66"/>
      <c r="O201" s="84"/>
      <c r="P201" s="85"/>
      <c r="Q201" s="87"/>
      <c r="R201" s="85"/>
      <c r="S201" s="85"/>
      <c r="T201" s="88"/>
    </row>
    <row r="202" spans="11:20" ht="13" x14ac:dyDescent="0.3">
      <c r="K202" s="78">
        <f>(IF((WEEKDAY(N202,16)&lt;3)+(COUNTIF(Нерабочие[],N202)&gt;0),WORKDAY(N202,1,Нерабочие[]),N202))</f>
        <v>2</v>
      </c>
      <c r="L202" s="68"/>
      <c r="M202" s="65"/>
      <c r="N202" s="66"/>
      <c r="O202" s="84"/>
      <c r="P202" s="85"/>
      <c r="Q202" s="87"/>
      <c r="R202" s="85"/>
      <c r="S202" s="85"/>
      <c r="T202" s="88"/>
    </row>
    <row r="203" spans="11:20" ht="13" x14ac:dyDescent="0.3">
      <c r="K203" s="78">
        <f>(IF((WEEKDAY(N203,16)&lt;3)+(COUNTIF(Нерабочие[],N203)&gt;0),WORKDAY(N203,1,Нерабочие[]),N203))</f>
        <v>2</v>
      </c>
      <c r="L203" s="68"/>
      <c r="M203" s="65"/>
      <c r="N203" s="66"/>
      <c r="O203" s="84"/>
      <c r="P203" s="85"/>
      <c r="Q203" s="87"/>
      <c r="R203" s="85"/>
      <c r="S203" s="85"/>
      <c r="T203" s="88"/>
    </row>
    <row r="204" spans="11:20" ht="13" x14ac:dyDescent="0.3">
      <c r="K204" s="78">
        <f>(IF((WEEKDAY(N204,16)&lt;3)+(COUNTIF(Нерабочие[],N204)&gt;0),WORKDAY(N204,1,Нерабочие[]),N204))</f>
        <v>2</v>
      </c>
      <c r="L204" s="68"/>
      <c r="M204" s="65"/>
      <c r="N204" s="66"/>
      <c r="O204" s="84"/>
      <c r="P204" s="85"/>
      <c r="Q204" s="87"/>
      <c r="R204" s="85"/>
      <c r="S204" s="85"/>
      <c r="T204" s="88"/>
    </row>
    <row r="205" spans="11:20" ht="13" x14ac:dyDescent="0.3">
      <c r="K205" s="78">
        <f>(IF((WEEKDAY(N205,16)&lt;3)+(COUNTIF(Нерабочие[],N205)&gt;0),WORKDAY(N205,1,Нерабочие[]),N205))</f>
        <v>2</v>
      </c>
      <c r="L205" s="68"/>
      <c r="M205" s="65"/>
      <c r="N205" s="66"/>
      <c r="O205" s="84"/>
      <c r="P205" s="85"/>
      <c r="Q205" s="87"/>
      <c r="R205" s="85"/>
      <c r="S205" s="85"/>
      <c r="T205" s="88"/>
    </row>
    <row r="206" spans="11:20" ht="13" x14ac:dyDescent="0.3">
      <c r="K206" s="78">
        <f>(IF((WEEKDAY(N206,16)&lt;3)+(COUNTIF(Нерабочие[],N206)&gt;0),WORKDAY(N206,1,Нерабочие[]),N206))</f>
        <v>2</v>
      </c>
      <c r="L206" s="68"/>
      <c r="M206" s="65"/>
      <c r="N206" s="66"/>
      <c r="O206" s="84"/>
      <c r="P206" s="85"/>
      <c r="Q206" s="87"/>
      <c r="R206" s="85"/>
      <c r="S206" s="85"/>
      <c r="T206" s="88"/>
    </row>
    <row r="207" spans="11:20" ht="13" x14ac:dyDescent="0.3">
      <c r="K207" s="78">
        <f>(IF((WEEKDAY(N207,16)&lt;3)+(COUNTIF(Нерабочие[],N207)&gt;0),WORKDAY(N207,1,Нерабочие[]),N207))</f>
        <v>2</v>
      </c>
      <c r="L207" s="68"/>
      <c r="M207" s="65"/>
      <c r="N207" s="66"/>
      <c r="O207" s="84"/>
      <c r="P207" s="85"/>
      <c r="Q207" s="87"/>
      <c r="R207" s="85"/>
      <c r="S207" s="85"/>
      <c r="T207" s="88"/>
    </row>
    <row r="208" spans="11:20" ht="13" x14ac:dyDescent="0.3">
      <c r="K208" s="78">
        <f>(IF((WEEKDAY(N208,16)&lt;3)+(COUNTIF(Нерабочие[],N208)&gt;0),WORKDAY(N208,1,Нерабочие[]),N208))</f>
        <v>2</v>
      </c>
      <c r="L208" s="68"/>
      <c r="M208" s="65"/>
      <c r="N208" s="66"/>
      <c r="O208" s="84"/>
      <c r="P208" s="85"/>
      <c r="Q208" s="87"/>
      <c r="R208" s="85"/>
      <c r="S208" s="85"/>
      <c r="T208" s="88"/>
    </row>
    <row r="209" spans="11:20" ht="13" x14ac:dyDescent="0.3">
      <c r="K209" s="78">
        <f>(IF((WEEKDAY(N209,16)&lt;3)+(COUNTIF(Нерабочие[],N209)&gt;0),WORKDAY(N209,1,Нерабочие[]),N209))</f>
        <v>2</v>
      </c>
      <c r="L209" s="68"/>
      <c r="M209" s="65"/>
      <c r="N209" s="66"/>
      <c r="O209" s="84"/>
      <c r="P209" s="85"/>
      <c r="Q209" s="87"/>
      <c r="R209" s="85"/>
      <c r="S209" s="85"/>
      <c r="T209" s="88"/>
    </row>
    <row r="210" spans="11:20" ht="13" x14ac:dyDescent="0.3">
      <c r="K210" s="78">
        <f>(IF((WEEKDAY(N210,16)&lt;3)+(COUNTIF(Нерабочие[],N210)&gt;0),WORKDAY(N210,1,Нерабочие[]),N210))</f>
        <v>2</v>
      </c>
      <c r="L210" s="68"/>
      <c r="M210" s="65"/>
      <c r="N210" s="66"/>
      <c r="O210" s="84"/>
      <c r="P210" s="85"/>
      <c r="Q210" s="87"/>
      <c r="R210" s="85"/>
      <c r="S210" s="85"/>
      <c r="T210" s="88"/>
    </row>
    <row r="211" spans="11:20" ht="13" x14ac:dyDescent="0.3">
      <c r="K211" s="78">
        <f>(IF((WEEKDAY(N211,16)&lt;3)+(COUNTIF(Нерабочие[],N211)&gt;0),WORKDAY(N211,1,Нерабочие[]),N211))</f>
        <v>2</v>
      </c>
      <c r="L211" s="68"/>
      <c r="M211" s="65"/>
      <c r="N211" s="66"/>
      <c r="O211" s="84"/>
      <c r="P211" s="85"/>
      <c r="Q211" s="87"/>
      <c r="R211" s="85"/>
      <c r="S211" s="85"/>
      <c r="T211" s="88"/>
    </row>
    <row r="212" spans="11:20" ht="13" x14ac:dyDescent="0.3">
      <c r="K212" s="78">
        <f>(IF((WEEKDAY(N212,16)&lt;3)+(COUNTIF(Нерабочие[],N212)&gt;0),WORKDAY(N212,1,Нерабочие[]),N212))</f>
        <v>2</v>
      </c>
      <c r="L212" s="68"/>
      <c r="M212" s="65"/>
      <c r="N212" s="66"/>
      <c r="O212" s="84"/>
      <c r="P212" s="85"/>
      <c r="Q212" s="87"/>
      <c r="R212" s="85"/>
      <c r="S212" s="85"/>
      <c r="T212" s="88"/>
    </row>
    <row r="213" spans="11:20" ht="13" x14ac:dyDescent="0.3">
      <c r="K213" s="78">
        <f>(IF((WEEKDAY(N213,16)&lt;3)+(COUNTIF(Нерабочие[],N213)&gt;0),WORKDAY(N213,1,Нерабочие[]),N213))</f>
        <v>2</v>
      </c>
      <c r="L213" s="68"/>
      <c r="M213" s="65"/>
      <c r="N213" s="66"/>
      <c r="O213" s="84"/>
      <c r="P213" s="85"/>
      <c r="Q213" s="87"/>
      <c r="R213" s="85"/>
      <c r="S213" s="85"/>
      <c r="T213" s="88"/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6BD50-E225-4A8F-82F7-4D4F2934EA13}">
  <dimension ref="A1:AL1571"/>
  <sheetViews>
    <sheetView showGridLines="0" tabSelected="1" zoomScale="80" zoomScaleNormal="80" workbookViewId="0">
      <pane xSplit="1" ySplit="11" topLeftCell="B69" activePane="bottomRight" state="frozen"/>
      <selection pane="topRight" activeCell="B1" sqref="B1"/>
      <selection pane="bottomLeft" activeCell="A12" sqref="A12"/>
      <selection pane="bottomRight" activeCell="O93" sqref="O93"/>
    </sheetView>
  </sheetViews>
  <sheetFormatPr defaultColWidth="8.6328125" defaultRowHeight="12.5" x14ac:dyDescent="0.25"/>
  <cols>
    <col min="1" max="1" width="26.54296875" style="42" customWidth="1"/>
    <col min="2" max="7" width="15.08984375" style="42" customWidth="1"/>
    <col min="8" max="9" width="15.08984375" style="43" customWidth="1"/>
    <col min="10" max="12" width="15.08984375" style="42" customWidth="1"/>
    <col min="13" max="14" width="15.08984375" style="44" customWidth="1"/>
    <col min="15" max="15" width="15.08984375" style="45" customWidth="1"/>
    <col min="16" max="18" width="15.6328125" style="42" customWidth="1"/>
    <col min="19" max="38" width="15.08984375" style="42" customWidth="1"/>
    <col min="39" max="16384" width="8.6328125" style="42"/>
  </cols>
  <sheetData>
    <row r="1" spans="1:38" ht="13" x14ac:dyDescent="0.3">
      <c r="A1" s="2" t="s">
        <v>19</v>
      </c>
      <c r="B1" s="77" t="s">
        <v>95</v>
      </c>
      <c r="C1" s="43"/>
      <c r="D1" s="43"/>
      <c r="E1" s="58"/>
      <c r="F1" s="59"/>
    </row>
    <row r="2" spans="1:38" ht="13" x14ac:dyDescent="0.3">
      <c r="A2" s="2" t="s">
        <v>23</v>
      </c>
      <c r="B2" s="2"/>
      <c r="C2" s="43"/>
      <c r="D2" s="43"/>
      <c r="E2" s="58"/>
      <c r="F2" s="59"/>
    </row>
    <row r="3" spans="1:38" x14ac:dyDescent="0.25">
      <c r="A3" s="42" t="s">
        <v>18</v>
      </c>
      <c r="B3" s="46" t="s">
        <v>96</v>
      </c>
      <c r="C3" s="42" t="s">
        <v>97</v>
      </c>
      <c r="E3" s="58"/>
      <c r="F3" s="59"/>
    </row>
    <row r="4" spans="1:38" x14ac:dyDescent="0.25">
      <c r="A4" s="42" t="s">
        <v>20</v>
      </c>
      <c r="B4" s="47">
        <v>44144</v>
      </c>
      <c r="C4" s="43"/>
      <c r="D4" s="43"/>
      <c r="E4" s="58"/>
      <c r="F4" s="59"/>
    </row>
    <row r="5" spans="1:38" x14ac:dyDescent="0.25">
      <c r="A5" s="42" t="s">
        <v>21</v>
      </c>
      <c r="B5" s="47">
        <v>47796</v>
      </c>
      <c r="C5" s="43"/>
      <c r="D5" s="43"/>
      <c r="E5" s="58"/>
      <c r="F5" s="59"/>
      <c r="P5" s="48"/>
      <c r="Q5" s="48"/>
      <c r="R5" s="48"/>
    </row>
    <row r="6" spans="1:38" x14ac:dyDescent="0.25">
      <c r="A6" s="42" t="s">
        <v>22</v>
      </c>
      <c r="B6" s="44">
        <v>2000000</v>
      </c>
      <c r="C6" s="43"/>
      <c r="D6" s="43"/>
      <c r="E6" s="58"/>
      <c r="F6" s="59"/>
      <c r="Z6" s="43"/>
    </row>
    <row r="7" spans="1:38" ht="13" x14ac:dyDescent="0.3">
      <c r="A7" s="42" t="s">
        <v>24</v>
      </c>
      <c r="B7" s="89">
        <v>5.0000000000000001E-3</v>
      </c>
      <c r="C7" s="43"/>
      <c r="D7" s="43"/>
      <c r="E7" s="58"/>
      <c r="F7" s="59"/>
      <c r="S7" s="43"/>
    </row>
    <row r="8" spans="1:38" ht="15" customHeight="1" x14ac:dyDescent="0.3">
      <c r="A8" s="50">
        <f>B4</f>
        <v>44144</v>
      </c>
      <c r="B8" s="49">
        <v>0.19900000000000001</v>
      </c>
      <c r="C8" s="77" t="s">
        <v>77</v>
      </c>
      <c r="D8" s="77"/>
      <c r="E8" s="58"/>
      <c r="F8" s="59"/>
      <c r="P8" s="43"/>
      <c r="Q8" s="43"/>
      <c r="R8" s="43"/>
      <c r="T8" s="43"/>
      <c r="U8" s="43"/>
      <c r="V8" s="43"/>
      <c r="W8" s="43"/>
      <c r="X8" s="43"/>
    </row>
    <row r="9" spans="1:38" ht="15" customHeight="1" thickBot="1" x14ac:dyDescent="0.35">
      <c r="A9" s="90"/>
      <c r="B9" s="49"/>
      <c r="C9" s="77"/>
      <c r="D9" s="77"/>
      <c r="E9" s="58"/>
      <c r="F9" s="59"/>
      <c r="P9" s="43"/>
      <c r="Q9" s="43"/>
      <c r="R9" s="43"/>
      <c r="T9" s="43"/>
      <c r="U9" s="43"/>
      <c r="V9" s="43"/>
      <c r="W9" s="43"/>
      <c r="X9" s="43"/>
      <c r="AA9" s="128" t="str">
        <f>IF(COUNTA(AA12:AA1048576)&lt;&gt;0,"ЕСТЬ ДАННЫЕ","")</f>
        <v/>
      </c>
      <c r="AB9" s="128" t="str">
        <f>IF(COUNTA(AB12:AB1048576)&lt;&gt;0,"ЕСТЬ ДАННЫЕ","")</f>
        <v/>
      </c>
      <c r="AH9" s="128" t="str">
        <f>IF(COUNTA(AH12:AH1048576)&lt;&gt;0,"ЕСТЬ ДАННЫЕ","")</f>
        <v/>
      </c>
      <c r="AI9" s="128" t="str">
        <f>IF(COUNTA(AI12:AI1048576)&lt;&gt;0,"ЕСТЬ ДАННЫЕ","")</f>
        <v/>
      </c>
      <c r="AJ9" s="128" t="str">
        <f>IF(COUNTA(AJ12:AJ1048576)&lt;&gt;0,"ЕСТЬ ДАННЫЕ","")</f>
        <v/>
      </c>
    </row>
    <row r="10" spans="1:38" ht="13.5" thickTop="1" x14ac:dyDescent="0.3">
      <c r="B10" s="107"/>
      <c r="C10" s="132" t="s">
        <v>93</v>
      </c>
      <c r="D10" s="131"/>
      <c r="E10" s="108"/>
      <c r="F10" s="109"/>
      <c r="G10" s="110"/>
      <c r="H10" s="111"/>
      <c r="I10" s="123" t="s">
        <v>88</v>
      </c>
      <c r="J10" s="103"/>
      <c r="K10" s="103"/>
      <c r="L10" s="103"/>
      <c r="M10" s="116" t="s">
        <v>83</v>
      </c>
      <c r="N10" s="114"/>
      <c r="O10" s="115"/>
      <c r="P10" s="117"/>
      <c r="Q10" s="121" t="s">
        <v>86</v>
      </c>
      <c r="R10" s="118"/>
      <c r="S10" s="104"/>
      <c r="T10" s="124"/>
      <c r="U10" s="125"/>
      <c r="V10" s="109" t="s">
        <v>89</v>
      </c>
      <c r="W10" s="125"/>
      <c r="X10" s="125"/>
      <c r="Y10" s="126"/>
      <c r="Z10" s="102"/>
      <c r="AA10" s="127" t="s">
        <v>91</v>
      </c>
      <c r="AB10" s="103"/>
      <c r="AC10" s="107"/>
      <c r="AD10" s="125"/>
      <c r="AE10" s="125"/>
      <c r="AF10" s="125"/>
      <c r="AG10" s="130" t="s">
        <v>92</v>
      </c>
      <c r="AH10" s="125"/>
      <c r="AI10" s="125"/>
      <c r="AJ10" s="125"/>
      <c r="AK10" s="126"/>
    </row>
    <row r="11" spans="1:38" s="54" customFormat="1" ht="57.5" x14ac:dyDescent="0.25">
      <c r="A11" s="95" t="s">
        <v>0</v>
      </c>
      <c r="B11" s="105" t="s">
        <v>1</v>
      </c>
      <c r="C11" s="98" t="s">
        <v>2</v>
      </c>
      <c r="D11" s="98" t="s">
        <v>81</v>
      </c>
      <c r="E11" s="98" t="s">
        <v>3</v>
      </c>
      <c r="F11" s="98" t="s">
        <v>7</v>
      </c>
      <c r="G11" s="106" t="s">
        <v>4</v>
      </c>
      <c r="H11" s="105" t="s">
        <v>9</v>
      </c>
      <c r="I11" s="53" t="s">
        <v>78</v>
      </c>
      <c r="J11" s="52" t="s">
        <v>25</v>
      </c>
      <c r="K11" s="52" t="s">
        <v>8</v>
      </c>
      <c r="L11" s="52" t="s">
        <v>68</v>
      </c>
      <c r="M11" s="105" t="s">
        <v>26</v>
      </c>
      <c r="N11" s="52" t="s">
        <v>27</v>
      </c>
      <c r="O11" s="106" t="s">
        <v>5</v>
      </c>
      <c r="P11" s="119" t="s">
        <v>84</v>
      </c>
      <c r="Q11" s="51" t="s">
        <v>85</v>
      </c>
      <c r="R11" s="51" t="s">
        <v>6</v>
      </c>
      <c r="S11" s="112" t="s">
        <v>29</v>
      </c>
      <c r="T11" s="119" t="s">
        <v>10</v>
      </c>
      <c r="U11" s="51" t="s">
        <v>87</v>
      </c>
      <c r="V11" s="52" t="s">
        <v>28</v>
      </c>
      <c r="W11" s="52" t="s">
        <v>11</v>
      </c>
      <c r="X11" s="52" t="s">
        <v>12</v>
      </c>
      <c r="Y11" s="112" t="s">
        <v>30</v>
      </c>
      <c r="Z11" s="119" t="s">
        <v>90</v>
      </c>
      <c r="AA11" s="52" t="s">
        <v>94</v>
      </c>
      <c r="AB11" s="95" t="s">
        <v>80</v>
      </c>
      <c r="AC11" s="119" t="s">
        <v>13</v>
      </c>
      <c r="AD11" s="52" t="s">
        <v>14</v>
      </c>
      <c r="AE11" s="52" t="s">
        <v>82</v>
      </c>
      <c r="AF11" s="52" t="s">
        <v>15</v>
      </c>
      <c r="AG11" s="52" t="s">
        <v>16</v>
      </c>
      <c r="AH11" s="52" t="s">
        <v>31</v>
      </c>
      <c r="AI11" s="52" t="s">
        <v>62</v>
      </c>
      <c r="AJ11" s="52" t="s">
        <v>79</v>
      </c>
      <c r="AK11" s="112" t="s">
        <v>17</v>
      </c>
      <c r="AL11" s="95" t="s">
        <v>63</v>
      </c>
    </row>
    <row r="12" spans="1:38" x14ac:dyDescent="0.25">
      <c r="A12" s="96"/>
      <c r="B12" s="100"/>
      <c r="C12" s="55"/>
      <c r="D12" s="55"/>
      <c r="E12" s="55"/>
      <c r="F12" s="55"/>
      <c r="G12" s="101"/>
      <c r="H12" s="100"/>
      <c r="I12" s="55"/>
      <c r="J12" s="55"/>
      <c r="K12" s="55"/>
      <c r="L12" s="55"/>
      <c r="M12" s="113"/>
      <c r="N12" s="56"/>
      <c r="O12" s="101">
        <v>0</v>
      </c>
      <c r="P12" s="100"/>
      <c r="Q12" s="99"/>
      <c r="R12" s="99"/>
      <c r="S12" s="120"/>
      <c r="T12" s="100"/>
      <c r="U12" s="99"/>
      <c r="V12" s="55"/>
      <c r="W12" s="55"/>
      <c r="X12" s="55"/>
      <c r="Y12" s="101">
        <f>Первоначальный[[#This Row],[Полученный платеж]]</f>
        <v>0</v>
      </c>
      <c r="Z12" s="133" t="str">
        <f>IF(TYPE((VLOOKUP(Первоначальный[[#This Row],[Дата платежа]],График[Срок конец],1,0)))=16,"",1)</f>
        <v/>
      </c>
      <c r="AA12" s="57"/>
      <c r="AB12" s="134"/>
      <c r="AC12" s="100"/>
      <c r="AD12" s="55"/>
      <c r="AE12" s="55"/>
      <c r="AF12" s="55"/>
      <c r="AG12" s="55"/>
      <c r="AH12" s="55"/>
      <c r="AI12" s="55"/>
      <c r="AJ12" s="55"/>
      <c r="AK12" s="101"/>
      <c r="AL12" s="122"/>
    </row>
    <row r="13" spans="1:38" x14ac:dyDescent="0.25">
      <c r="A13" s="97">
        <f>$B$4</f>
        <v>44144</v>
      </c>
      <c r="B13" s="100"/>
      <c r="C13" s="55"/>
      <c r="D13" s="55"/>
      <c r="E13" s="135"/>
      <c r="F13" s="55"/>
      <c r="G13" s="101"/>
      <c r="H13" s="100"/>
      <c r="I13" s="55"/>
      <c r="J13" s="55"/>
      <c r="K13" s="55"/>
      <c r="L13" s="55">
        <v>150000</v>
      </c>
      <c r="M13" s="113">
        <f>SUMIFS(График[Возврат основной суммы долга],График[Дата с учетом нерабочих дней],$A13)</f>
        <v>0</v>
      </c>
      <c r="N13" s="56">
        <f>SUMIFS(График[Возврат начисленных %],График[Дата с учетом нерабочих дней],$A13)</f>
        <v>0</v>
      </c>
      <c r="O13" s="101">
        <v>0</v>
      </c>
      <c r="P13" s="100" cm="1">
        <f t="array" aca="1" ref="P13" ca="1">MAX(IF(AA12="Да",0,SUM(INDIRECT("M"&amp;(MAX(("Да"=AA$12:AA12)*ROW(AA$12:AA12)+1,ROW($P$12))&amp;":M"&amp;(ROW()))))-SUM(INDIRECT("W"&amp;(MAX(("Да"=AA$12:AA12)*ROW(AA$12:AA12)+1,ROW($P$12))&amp;":W"&amp;(ROW()))))),0)</f>
        <v>0</v>
      </c>
      <c r="Q13" s="99">
        <f ca="1">MAX(SUM($N$13:N13)-SUM($T$13:T13),0)</f>
        <v>0</v>
      </c>
      <c r="R13" s="99">
        <f ca="1">Первоначальный[[#This Row],[Просроченный платеж по ОД]]+Первоначальный[[#This Row],[Просроченный платеж по процентам]]</f>
        <v>0</v>
      </c>
      <c r="S13" s="120">
        <f ca="1">IF(Первоначальный[[#This Row],[Просроченный платеж]]&lt;1,0,S12+1)</f>
        <v>0</v>
      </c>
      <c r="T13" s="100" cm="1">
        <f t="array" aca="1" ref="T13" ca="1">IF(Первоначальный[[#This Row],[Итого остаток на начало периода]]&lt;1,0,
IF(
AND(TYPE(VLOOKUP(1,$Z$12:Z13,1,0))=16,Первоначальный[[#This Row],[Досрочное погашение (да/"")]]=""),0,
_xlfn.IFS(AND(S12=0,Первоначальный[[#This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платеж]]&lt;&gt;0),MIN(LOOKUP(,-1/($Z$12:Z13=1),$C$12:C13)+LOOKUP(,-1/($Z$12:Z13=1),$H$12:H13),Первоначальный[[#This Row],[Полученный платеж]]+Y12),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платеж]]+Y12,SUM(Первоначальный[[#This Row],[Остаток процентов на начало периода]],Первоначальный[[#This Row],[Проценты за период]])),
AND(S12=0,Первоначальный[[#This Row],[Дата платежа из графика]]=""),0,
AND(S12=0,Первоначальный[[#This Row],[Дата платежа из графика]]=1,MAX((0&lt;&gt;S$12:S12)*ROW(S$12:S12),ROW($S$12))&gt;=MAX((1=Z$12:Z12)*ROW(Z$12:Z12),ROW($T$12)),TYPE(VLOOKUP("Да",(INDIRECT("AA"&amp;(MAX((1=Z$12:Z12)*ROW(Z$12:Z12),ROW($T$12))&amp;":AA"&amp;(ROW()-1)))),1,0))=16),MIN(LOOKUP(,-1/($Z$12:Z13=1),$C$12:C13)+LOOKUP(,-1/($Z$12:Z13=1),$H$12:H13),Первоначальный[[#This Row],[Полученный платеж]]+Y12),
AND(S12=0,TYPE(VLOOKUP("Да",(INDIRECT("AA"&amp;(MAX((1=Z$12:Z12)*ROW(Z$12:Z12),ROW($T$12))&amp;":AA"&amp;(ROW()-1)))),1,0))&lt;&gt;16),MIN(LOOKUP(,-1/($Z$12:Z13=1),$C$12:C13)+LOOKUP(,-1/($Z$12:Z13=1),$H$12:H13)-IF(AA12="Да",0,SUM(INDIRECT("T"&amp;(MAX(("Да"=AA$12:AA12)*ROW(AA$12:AA12)+1,ROW($T$12))&amp;":T"&amp;(ROW()-1))))),Первоначальный[[#This Row],[Полученный платеж]]+Y12),
AND(S12=0,MAX((0&lt;&gt;N$12:N12)*ROW(N$12:N12),ROW($S$12))&gt;=MAX((1=Z$12:Z12)*ROW(Z$12:Z12),ROW($T$12))),MIN(LOOKUP(,-1/($Z$12:Z13=1),$C$12:C13)+LOOKUP(,-1/($Z$12:Z13=1),$H$12:H13)-IF(N12&lt;&gt;0,0,SUM(INDIRECT("T"&amp;(MAX((0&lt;&gt;N$12:N12)*ROW(N$12:N12)+1,ROW($T$12))&amp;":T"&amp;(ROW()-1))))),Первоначальный[[#This Row],[Полученный платеж]]+Y12),
AND(S12=0,Первоначальный[[#This Row],[Дата платежа из графика]]=1),MIN(LOOKUP(,-1/($Z$12:Z13=1),$C$12:C13)+LOOKUP(,-1/($Z$12:Z13=1),$H$12:H13)-IF(Z12=1,0,SUM(INDIRECT("T"&amp;(MAX((1=Z$12:Z12)*ROW(Z$12:Z12)+1,ROW($T$12))&amp;":T"&amp;(ROW()-1))))),Первоначальный[[#This Row],[Полученный платеж]]+Y12),
AND(Z12&gt;0,Первоначальный[[#This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платеж]]+Y12),
AND(S12&gt;0,MAX((0&lt;&gt;S$12:S12)*ROW(S$12:S12),ROW($S$12))&gt;=MAX((1=Z$12:Z12)*ROW(Z$12:Z12),ROW($T$12)),TYPE(VLOOKUP("Да",(INDIRECT("AA"&amp;(MAX((1=Z$12:Z12)*ROW(Z$12:Z12),ROW($T$12))&amp;":AA"&amp;(ROW()-1)))),1,0))=16),MIN(LOOKUP(,-1/($Z$12:Z13=1),$C$12:C13)+LOOKUP(,-1/($Z$12:Z13=1),$H$12:H13)-SUM(INDIRECT("T"&amp;(MAX((1=Z$12:Z12)*ROW(Z$12:Z12),ROW($T$12))&amp;":T"&amp;(ROW()-1)))),Первоначальный[[#This Row],[Полученный платеж]]+Y12),
S12&gt;0,MIN(LOOKUP(,-1/($Z$12:Z13=1),$C$12:C13)+LOOKUP(,-1/($Z$12:Z13=1),$H$12:H13)-IF(Z12=1,0,SUM(INDIRECT("T"&amp;(MAX((1=Z$12:Z12)*ROW(Z$12:Z12)+1,ROW($T$12))&amp;":T"&amp;(ROW()-1))))),Первоначальный[[#This Row],[Полученный платеж]]+Y12)
)
)
)</f>
        <v>0</v>
      </c>
      <c r="U1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платеж]]+Y12-Первоначальный[[#This Row],[Полученный платёж по процентам]])</f>
        <v>0</v>
      </c>
      <c r="V13" s="55">
        <f t="shared" ref="V13:V76" ca="1" si="0">MAX(MIN(SUM(O13,Y12)-SUM(T13:T13),SUM(E13,J13)),0)</f>
        <v>0</v>
      </c>
      <c r="W13" s="55" cm="1">
        <f t="array" aca="1" ref="W13" ca="1">IF(Первоначальный[[#This Row],[Итого остаток на начало периода]]&lt;1,0,
_xlfn.IFS(
AND(TYPE(VLOOKUP(1,$Z$12:Z13,1,0))=16,Первоначальный[[#This Row],[Досрочное погашение (да/"")]]=""),0,
AND(S12=0,Первоначальный[[#This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комиссиям]]),VLOOKUP(LOOKUP(,-1/($Z$12:Z13=1),$A$12:A13),График[[Срок конец]:[Возврат основной суммы долга]],3,0)),
AND(S12=0,Первоначальный[[#This Row],[Дата платежа из графика]]="",Первоначальный[[#This Row],[Досрочное погашение (да/"")]]&lt;&gt;"Да"),0,
AND(S12=0,Первоначальный[[#This Row],[Досрочное погашение (да/"")]]=""),MIN(Первоначальный[[#This Row],[Полученный платеж]]+Y12-SUM(Первоначальный[[#This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комиссиям]]),VLOOKUP(LOOKUP(,-1/($Z$12:Z13=1),$A$12:A13),График[[Срок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S12&gt;0,MIN(Первоначальный[[#This Row],[Полученный платеж]]+Y12-SUM(Первоначальный[[#This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комиссиям]]),SUM(INDIRECT("M"&amp;(MAX((1=S$12:S12)*ROW(S$12:S12),ROW($W$12))&amp;":M"&amp;(ROW()))))-SUM(INDIRECT("W"&amp;(MAX((1=S$12:S12)*ROW(S$12:S12),ROW($W$12))&amp;":W"&amp;(ROW()-1)))))
)
)</f>
        <v>0</v>
      </c>
      <c r="X13" s="55">
        <f t="shared" ref="X13:X76" ca="1" si="1">MAX(MIN(SUM(O13,Y12)-SUM(T13:W13),SUM(F13,K13)),0)</f>
        <v>0</v>
      </c>
      <c r="Y13" s="101">
        <f ca="1">ROUND(Y12+O13-SUM(T13:X13),2)</f>
        <v>0</v>
      </c>
      <c r="Z13" s="133" t="str">
        <f>IF(TYPE((VLOOKUP(Первоначальный[[#This Row],[Дата платежа]],График[Срок конец],1,0)))=16,"",1)</f>
        <v/>
      </c>
      <c r="AA13" s="57"/>
      <c r="AB13" s="134"/>
      <c r="AC1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150000</v>
      </c>
      <c r="AD1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0</v>
      </c>
      <c r="AE1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1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13" s="55"/>
      <c r="AI13" s="55"/>
      <c r="AJ13" s="55"/>
      <c r="AK13" s="101">
        <f ca="1">SUM(AC13:AJ13)</f>
        <v>150000</v>
      </c>
      <c r="AL13" s="129">
        <f t="array" ref="AL13">MAX((УслРестрактов[Характеристика]="Дата реструктуризации")*(УслРестрактов[Значение]=Первоначальный!$A13),0)</f>
        <v>0</v>
      </c>
    </row>
    <row r="14" spans="1:38" x14ac:dyDescent="0.25">
      <c r="A14" s="97">
        <f t="shared" ref="A14:A77" si="2">A13+1</f>
        <v>44145</v>
      </c>
      <c r="B14" s="100">
        <f t="shared" ref="B14:B77" ca="1" si="3">AC13</f>
        <v>150000</v>
      </c>
      <c r="C14" s="55">
        <f t="shared" ref="C14:D29" ca="1" si="4">AD13+AI13</f>
        <v>0</v>
      </c>
      <c r="D14" s="55">
        <f ca="1">AE13+AJ13</f>
        <v>0</v>
      </c>
      <c r="E14" s="55">
        <f t="shared" ref="E14:E77" ca="1" si="5">AF13</f>
        <v>0</v>
      </c>
      <c r="F14" s="55">
        <f t="shared" ref="F14:F77" ca="1" si="6">AG13+AH13</f>
        <v>0</v>
      </c>
      <c r="G14" s="101">
        <f t="shared" ref="G14:G77" ca="1" si="7">AK13</f>
        <v>150000</v>
      </c>
      <c r="H14" s="100">
        <f ca="1">ROUND($B14*VLOOKUP($A14,$A$1:$B$10,2,1)/(365+IF(MOD(YEAR($A14),4),0,1)*($A14-$A13)),2)-Первоначальный[[#This Row],[Проценты на просроченный платеж по ОД за период]]</f>
        <v>81.56</v>
      </c>
      <c r="I14" s="55">
        <f t="shared" ref="I14:I77" ca="1" si="8">ROUND(P13*VLOOKUP($A14,$A$1:$B$10,2,1)/(365+IF(MOD(YEAR($A14),4),0,1)*($A14-$A13)),2)</f>
        <v>0</v>
      </c>
      <c r="J14" s="55">
        <v>0</v>
      </c>
      <c r="K14" s="55">
        <f ca="1">IF(S14&lt;&gt;0,R14*$B$7,0)</f>
        <v>0</v>
      </c>
      <c r="L14" s="55">
        <v>0</v>
      </c>
      <c r="M14" s="113">
        <f>SUMIFS(График[Возврат основной суммы долга],График[Дата с учетом нерабочих дней],$A14)</f>
        <v>0</v>
      </c>
      <c r="N14" s="56">
        <f>SUMIFS(График[Возврат начисленных %],График[Дата с учетом нерабочих дней],$A14)</f>
        <v>0</v>
      </c>
      <c r="O14" s="101">
        <v>0</v>
      </c>
      <c r="P14" s="100" cm="1">
        <f t="array" aca="1" ref="P14" ca="1">MAX(IF(AA13="Да",0,SUM(INDIRECT("M"&amp;(MAX(("Да"=AA$12:AA13)*ROW(AA$12:AA13)+1,ROW($P$12))&amp;":M"&amp;(ROW()))))-SUM(INDIRECT("W"&amp;(MAX(("Да"=AA$12:AA13)*ROW(AA$12:AA13)+1,ROW($P$12))&amp;":W"&amp;(ROW()))))),0)</f>
        <v>0</v>
      </c>
      <c r="Q14" s="99">
        <f ca="1">MAX(SUM($N$13:N14)-SUM($T$13:T14),0)</f>
        <v>0</v>
      </c>
      <c r="R14" s="99">
        <f ca="1">Первоначальный[[#This Row],[Просроченный платеж по ОД]]+Первоначальный[[#This Row],[Просроченный платеж по процентам]]</f>
        <v>0</v>
      </c>
      <c r="S14" s="120">
        <f ca="1">IF(Первоначальный[[#This Row],[Просроченный платеж]]&lt;1,0,S13+1)</f>
        <v>0</v>
      </c>
      <c r="T14" s="100" cm="1">
        <f t="array" aca="1" ref="T14" ca="1">IF(Первоначальный[[#This Row],[Итого остаток на начало периода]]&lt;1,0,
IF(
AND(TYPE(VLOOKUP(1,$Z$12:Z14,1,0))=16,Первоначальный[[#This Row],[Досрочное погашение (да/"")]]=""),0,
_xlfn.IFS(AND(S13=0,Первоначальный[[#This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платеж]]&lt;&gt;0),MIN(LOOKUP(,-1/($Z$12:Z14=1),$C$12:C14)+LOOKUP(,-1/($Z$12:Z14=1),$H$12:H14),Первоначальный[[#This Row],[Полученный платеж]]+Y13),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платеж]]+Y13,SUM(Первоначальный[[#This Row],[Остаток процентов на начало периода]],Первоначальный[[#This Row],[Проценты за период]])),
AND(S13=0,Первоначальный[[#This Row],[Дата платежа из графика]]=""),0,
AND(S13=0,Первоначальный[[#This Row],[Дата платежа из графика]]=1,MAX((0&lt;&gt;S$12:S13)*ROW(S$12:S13),ROW($S$12))&gt;=MAX((1=Z$12:Z13)*ROW(Z$12:Z13),ROW($T$12)),TYPE(VLOOKUP("Да",(INDIRECT("AA"&amp;(MAX((1=Z$12:Z13)*ROW(Z$12:Z13),ROW($T$12))&amp;":AA"&amp;(ROW()-1)))),1,0))=16),MIN(LOOKUP(,-1/($Z$12:Z14=1),$C$12:C14)+LOOKUP(,-1/($Z$12:Z14=1),$H$12:H14),Первоначальный[[#This Row],[Полученный платеж]]+Y13),
AND(S13=0,TYPE(VLOOKUP("Да",(INDIRECT("AA"&amp;(MAX((1=Z$12:Z13)*ROW(Z$12:Z13),ROW($T$12))&amp;":AA"&amp;(ROW()-1)))),1,0))&lt;&gt;16),MIN(LOOKUP(,-1/($Z$12:Z14=1),$C$12:C14)+LOOKUP(,-1/($Z$12:Z14=1),$H$12:H14)-IF(AA13="Да",0,SUM(INDIRECT("T"&amp;(MAX(("Да"=AA$12:AA13)*ROW(AA$12:AA13)+1,ROW($T$12))&amp;":T"&amp;(ROW()-1))))),Первоначальный[[#This Row],[Полученный платеж]]+Y13),
AND(S13=0,MAX((0&lt;&gt;N$12:N13)*ROW(N$12:N13),ROW($S$12))&gt;=MAX((1=Z$12:Z13)*ROW(Z$12:Z13),ROW($T$12))),MIN(LOOKUP(,-1/($Z$12:Z14=1),$C$12:C14)+LOOKUP(,-1/($Z$12:Z14=1),$H$12:H14)-IF(N13&lt;&gt;0,0,SUM(INDIRECT("T"&amp;(MAX((0&lt;&gt;N$12:N13)*ROW(N$12:N13)+1,ROW($T$12))&amp;":T"&amp;(ROW()-1))))),Первоначальный[[#This Row],[Полученный платеж]]+Y13),
AND(S13=0,Первоначальный[[#This Row],[Дата платежа из графика]]=1),MIN(LOOKUP(,-1/($Z$12:Z14=1),$C$12:C14)+LOOKUP(,-1/($Z$12:Z14=1),$H$12:H14)-IF(Z13=1,0,SUM(INDIRECT("T"&amp;(MAX((1=Z$12:Z13)*ROW(Z$12:Z13)+1,ROW($T$12))&amp;":T"&amp;(ROW()-1))))),Первоначальный[[#This Row],[Полученный платеж]]+Y13),
AND(Z13&gt;0,Первоначальный[[#This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платеж]]+Y13),
AND(S13&gt;0,MAX((0&lt;&gt;S$12:S13)*ROW(S$12:S13),ROW($S$12))&gt;=MAX((1=Z$12:Z13)*ROW(Z$12:Z13),ROW($T$12)),TYPE(VLOOKUP("Да",(INDIRECT("AA"&amp;(MAX((1=Z$12:Z13)*ROW(Z$12:Z13),ROW($T$12))&amp;":AA"&amp;(ROW()-1)))),1,0))=16),MIN(LOOKUP(,-1/($Z$12:Z14=1),$C$12:C14)+LOOKUP(,-1/($Z$12:Z14=1),$H$12:H14)-SUM(INDIRECT("T"&amp;(MAX((1=Z$12:Z13)*ROW(Z$12:Z13),ROW($T$12))&amp;":T"&amp;(ROW()-1)))),Первоначальный[[#This Row],[Полученный платеж]]+Y13),
S13&gt;0,MIN(LOOKUP(,-1/($Z$12:Z14=1),$C$12:C14)+LOOKUP(,-1/($Z$12:Z14=1),$H$12:H14)-IF(Z13=1,0,SUM(INDIRECT("T"&amp;(MAX((1=Z$12:Z13)*ROW(Z$12:Z13)+1,ROW($T$12))&amp;":T"&amp;(ROW()-1))))),Первоначальный[[#This Row],[Полученный платеж]]+Y13)
)
)
)</f>
        <v>0</v>
      </c>
      <c r="U1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платеж]]+Y13-Первоначальный[[#This Row],[Полученный платёж по процентам]])</f>
        <v>0</v>
      </c>
      <c r="V14" s="55">
        <f t="shared" ca="1" si="0"/>
        <v>0</v>
      </c>
      <c r="W14" s="55" cm="1">
        <f t="array" aca="1" ref="W14" ca="1">IF(Первоначальный[[#This Row],[Итого остаток на начало периода]]&lt;1,0,
_xlfn.IFS(
AND(TYPE(VLOOKUP(1,$Z$12:Z14,1,0))=16,Первоначальный[[#This Row],[Досрочное погашение (да/"")]]=""),0,
AND(S13=0,Первоначальный[[#This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комиссиям]]),VLOOKUP(LOOKUP(,-1/($Z$12:Z14=1),$A$12:A14),График[[Срок конец]:[Возврат основной суммы долга]],3,0)),
AND(S13=0,Первоначальный[[#This Row],[Дата платежа из графика]]="",Первоначальный[[#This Row],[Досрочное погашение (да/"")]]&lt;&gt;"Да"),0,
AND(S13=0,Первоначальный[[#This Row],[Досрочное погашение (да/"")]]=""),MIN(Первоначальный[[#This Row],[Полученный платеж]]+Y13-SUM(Первоначальный[[#This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комиссиям]]),VLOOKUP(LOOKUP(,-1/($Z$12:Z14=1),$A$12:A14),График[[Срок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S13&gt;0,MIN(Первоначальный[[#This Row],[Полученный платеж]]+Y13-SUM(Первоначальный[[#This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комиссиям]]),SUM(INDIRECT("M"&amp;(MAX((1=S$12:S13)*ROW(S$12:S13),ROW($W$12))&amp;":M"&amp;(ROW()))))-SUM(INDIRECT("W"&amp;(MAX((1=S$12:S13)*ROW(S$12:S13),ROW($W$12))&amp;":W"&amp;(ROW()-1)))))
)
)</f>
        <v>0</v>
      </c>
      <c r="X14" s="55">
        <f t="shared" ca="1" si="1"/>
        <v>0</v>
      </c>
      <c r="Y14" s="101">
        <f t="shared" ref="Y14:Y77" ca="1" si="9">ROUND(Y13+O14-SUM(T14:X14),2)</f>
        <v>0</v>
      </c>
      <c r="Z14" s="133" t="str">
        <f>IF(TYPE((VLOOKUP(Первоначальный[[#This Row],[Дата платежа]],График[Срок конец],1,0)))=16,"",1)</f>
        <v/>
      </c>
      <c r="AA14" s="57"/>
      <c r="AB14" s="134"/>
      <c r="AC1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150000</v>
      </c>
      <c r="AD1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81.56</v>
      </c>
      <c r="AE1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1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14" s="55"/>
      <c r="AI14" s="55"/>
      <c r="AJ14" s="55"/>
      <c r="AK14" s="101">
        <f t="shared" ref="AK14:AK77" ca="1" si="10">SUM(AC14:AJ14)</f>
        <v>150081.56</v>
      </c>
      <c r="AL14" s="129">
        <f t="array" ref="AL14">MAX((УслРестрактов[Характеристика]="Дата реструктуризации")*(УслРестрактов[Значение]=Первоначальный!$A14),0)</f>
        <v>0</v>
      </c>
    </row>
    <row r="15" spans="1:38" x14ac:dyDescent="0.25">
      <c r="A15" s="97">
        <f t="shared" si="2"/>
        <v>44146</v>
      </c>
      <c r="B15" s="100">
        <f t="shared" ca="1" si="3"/>
        <v>150000</v>
      </c>
      <c r="C15" s="55">
        <f t="shared" ca="1" si="4"/>
        <v>81.56</v>
      </c>
      <c r="D15" s="55">
        <f t="shared" ca="1" si="4"/>
        <v>0</v>
      </c>
      <c r="E15" s="55">
        <f t="shared" ca="1" si="5"/>
        <v>0</v>
      </c>
      <c r="F15" s="55">
        <f t="shared" ca="1" si="6"/>
        <v>0</v>
      </c>
      <c r="G15" s="101">
        <f t="shared" ca="1" si="7"/>
        <v>150081.56</v>
      </c>
      <c r="H15" s="100">
        <f ca="1">ROUND($B15*VLOOKUP($A15,$A$1:$B$10,2,1)/(365+IF(MOD(YEAR($A15),4),0,1)*($A15-$A14)),2)-Первоначальный[[#This Row],[Проценты на просроченный платеж по ОД за период]]</f>
        <v>81.56</v>
      </c>
      <c r="I15" s="55">
        <f t="shared" ca="1" si="8"/>
        <v>0</v>
      </c>
      <c r="J15" s="55">
        <v>0</v>
      </c>
      <c r="K15" s="55">
        <f t="shared" ref="K15:K78" ca="1" si="11">IF(S15&lt;&gt;0,R15*$B$7,0)</f>
        <v>0</v>
      </c>
      <c r="L15" s="55">
        <v>0</v>
      </c>
      <c r="M15" s="113">
        <f>SUMIFS(График[Возврат основной суммы долга],График[Дата с учетом нерабочих дней],$A15)</f>
        <v>0</v>
      </c>
      <c r="N15" s="56">
        <f>SUMIFS(График[Возврат начисленных %],График[Дата с учетом нерабочих дней],$A15)</f>
        <v>0</v>
      </c>
      <c r="O15" s="101">
        <v>0</v>
      </c>
      <c r="P15" s="100" cm="1">
        <f t="array" aca="1" ref="P15" ca="1">MAX(IF(AA14="Да",0,SUM(INDIRECT("M"&amp;(MAX(("Да"=AA$12:AA14)*ROW(AA$12:AA14)+1,ROW($P$12))&amp;":M"&amp;(ROW()))))-SUM(INDIRECT("W"&amp;(MAX(("Да"=AA$12:AA14)*ROW(AA$12:AA14)+1,ROW($P$12))&amp;":W"&amp;(ROW()))))),0)</f>
        <v>0</v>
      </c>
      <c r="Q15" s="99">
        <f ca="1">MAX(SUM($N$13:N15)-SUM($T$13:T15),0)</f>
        <v>0</v>
      </c>
      <c r="R15" s="99">
        <f ca="1">Первоначальный[[#This Row],[Просроченный платеж по ОД]]+Первоначальный[[#This Row],[Просроченный платеж по процентам]]</f>
        <v>0</v>
      </c>
      <c r="S15" s="120">
        <f ca="1">IF(Первоначальный[[#This Row],[Просроченный платеж]]&lt;1,0,S14+1)</f>
        <v>0</v>
      </c>
      <c r="T15" s="100" cm="1">
        <f t="array" aca="1" ref="T15" ca="1">IF(Первоначальный[[#This Row],[Итого остаток на начало периода]]&lt;1,0,
IF(
AND(TYPE(VLOOKUP(1,$Z$12:Z15,1,0))=16,Первоначальный[[#This Row],[Досрочное погашение (да/"")]]=""),0,
_xlfn.IFS(AND(S14=0,Первоначальный[[#This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платеж]]&lt;&gt;0),MIN(LOOKUP(,-1/($Z$12:Z15=1),$C$12:C15)+LOOKUP(,-1/($Z$12:Z15=1),$H$12:H15),Первоначальный[[#This Row],[Полученный платеж]]+Y14),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платеж]]+Y14,SUM(Первоначальный[[#This Row],[Остаток процентов на начало периода]],Первоначальный[[#This Row],[Проценты за период]])),
AND(S14=0,Первоначальный[[#This Row],[Дата платежа из графика]]=""),0,
AND(S14=0,Первоначальный[[#This Row],[Дата платежа из графика]]=1,MAX((0&lt;&gt;S$12:S14)*ROW(S$12:S14),ROW($S$12))&gt;=MAX((1=Z$12:Z14)*ROW(Z$12:Z14),ROW($T$12)),TYPE(VLOOKUP("Да",(INDIRECT("AA"&amp;(MAX((1=Z$12:Z14)*ROW(Z$12:Z14),ROW($T$12))&amp;":AA"&amp;(ROW()-1)))),1,0))=16),MIN(LOOKUP(,-1/($Z$12:Z15=1),$C$12:C15)+LOOKUP(,-1/($Z$12:Z15=1),$H$12:H15),Первоначальный[[#This Row],[Полученный платеж]]+Y14),
AND(S14=0,TYPE(VLOOKUP("Да",(INDIRECT("AA"&amp;(MAX((1=Z$12:Z14)*ROW(Z$12:Z14),ROW($T$12))&amp;":AA"&amp;(ROW()-1)))),1,0))&lt;&gt;16),MIN(LOOKUP(,-1/($Z$12:Z15=1),$C$12:C15)+LOOKUP(,-1/($Z$12:Z15=1),$H$12:H15)-IF(AA14="Да",0,SUM(INDIRECT("T"&amp;(MAX(("Да"=AA$12:AA14)*ROW(AA$12:AA14)+1,ROW($T$12))&amp;":T"&amp;(ROW()-1))))),Первоначальный[[#This Row],[Полученный платеж]]+Y14),
AND(S14=0,MAX((0&lt;&gt;N$12:N14)*ROW(N$12:N14),ROW($S$12))&gt;=MAX((1=Z$12:Z14)*ROW(Z$12:Z14),ROW($T$12))),MIN(LOOKUP(,-1/($Z$12:Z15=1),$C$12:C15)+LOOKUP(,-1/($Z$12:Z15=1),$H$12:H15)-IF(N14&lt;&gt;0,0,SUM(INDIRECT("T"&amp;(MAX((0&lt;&gt;N$12:N14)*ROW(N$12:N14)+1,ROW($T$12))&amp;":T"&amp;(ROW()-1))))),Первоначальный[[#This Row],[Полученный платеж]]+Y14),
AND(S14=0,Первоначальный[[#This Row],[Дата платежа из графика]]=1),MIN(LOOKUP(,-1/($Z$12:Z15=1),$C$12:C15)+LOOKUP(,-1/($Z$12:Z15=1),$H$12:H15)-IF(Z14=1,0,SUM(INDIRECT("T"&amp;(MAX((1=Z$12:Z14)*ROW(Z$12:Z14)+1,ROW($T$12))&amp;":T"&amp;(ROW()-1))))),Первоначальный[[#This Row],[Полученный платеж]]+Y14),
AND(Z14&gt;0,Первоначальный[[#This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платеж]]+Y14),
AND(S14&gt;0,MAX((0&lt;&gt;S$12:S14)*ROW(S$12:S14),ROW($S$12))&gt;=MAX((1=Z$12:Z14)*ROW(Z$12:Z14),ROW($T$12)),TYPE(VLOOKUP("Да",(INDIRECT("AA"&amp;(MAX((1=Z$12:Z14)*ROW(Z$12:Z14),ROW($T$12))&amp;":AA"&amp;(ROW()-1)))),1,0))=16),MIN(LOOKUP(,-1/($Z$12:Z15=1),$C$12:C15)+LOOKUP(,-1/($Z$12:Z15=1),$H$12:H15)-SUM(INDIRECT("T"&amp;(MAX((1=Z$12:Z14)*ROW(Z$12:Z14),ROW($T$12))&amp;":T"&amp;(ROW()-1)))),Первоначальный[[#This Row],[Полученный платеж]]+Y14),
S14&gt;0,MIN(LOOKUP(,-1/($Z$12:Z15=1),$C$12:C15)+LOOKUP(,-1/($Z$12:Z15=1),$H$12:H15)-IF(Z14=1,0,SUM(INDIRECT("T"&amp;(MAX((1=Z$12:Z14)*ROW(Z$12:Z14)+1,ROW($T$12))&amp;":T"&amp;(ROW()-1))))),Первоначальный[[#This Row],[Полученный платеж]]+Y14)
)
)
)</f>
        <v>0</v>
      </c>
      <c r="U1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платеж]]+Y14-Первоначальный[[#This Row],[Полученный платёж по процентам]])</f>
        <v>0</v>
      </c>
      <c r="V15" s="55">
        <f t="shared" ca="1" si="0"/>
        <v>0</v>
      </c>
      <c r="W15" s="55" cm="1">
        <f t="array" aca="1" ref="W15" ca="1">IF(Первоначальный[[#This Row],[Итого остаток на начало периода]]&lt;1,0,
_xlfn.IFS(
AND(TYPE(VLOOKUP(1,$Z$12:Z15,1,0))=16,Первоначальный[[#This Row],[Досрочное погашение (да/"")]]=""),0,
AND(S14=0,Первоначальный[[#This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комиссиям]]),VLOOKUP(LOOKUP(,-1/($Z$12:Z15=1),$A$12:A15),График[[Срок конец]:[Возврат основной суммы долга]],3,0)),
AND(S14=0,Первоначальный[[#This Row],[Дата платежа из графика]]="",Первоначальный[[#This Row],[Досрочное погашение (да/"")]]&lt;&gt;"Да"),0,
AND(S14=0,Первоначальный[[#This Row],[Досрочное погашение (да/"")]]=""),MIN(Первоначальный[[#This Row],[Полученный платеж]]+Y14-SUM(Первоначальный[[#This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комиссиям]]),VLOOKUP(LOOKUP(,-1/($Z$12:Z15=1),$A$12:A15),График[[Срок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S14&gt;0,MIN(Первоначальный[[#This Row],[Полученный платеж]]+Y14-SUM(Первоначальный[[#This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комиссиям]]),SUM(INDIRECT("M"&amp;(MAX((1=S$12:S14)*ROW(S$12:S14),ROW($W$12))&amp;":M"&amp;(ROW()))))-SUM(INDIRECT("W"&amp;(MAX((1=S$12:S14)*ROW(S$12:S14),ROW($W$12))&amp;":W"&amp;(ROW()-1)))))
)
)</f>
        <v>0</v>
      </c>
      <c r="X15" s="55">
        <f t="shared" ca="1" si="1"/>
        <v>0</v>
      </c>
      <c r="Y15" s="101">
        <f t="shared" ca="1" si="9"/>
        <v>0</v>
      </c>
      <c r="Z15" s="133" t="str">
        <f>IF(TYPE((VLOOKUP(Первоначальный[[#This Row],[Дата платежа]],График[Срок конец],1,0)))=16,"",1)</f>
        <v/>
      </c>
      <c r="AA15" s="57"/>
      <c r="AB15" s="134"/>
      <c r="AC1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150000</v>
      </c>
      <c r="AD1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163.12</v>
      </c>
      <c r="AE1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1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15" s="55"/>
      <c r="AI15" s="55"/>
      <c r="AJ15" s="55"/>
      <c r="AK15" s="101">
        <f t="shared" ca="1" si="10"/>
        <v>150163.12</v>
      </c>
      <c r="AL15" s="129">
        <f t="array" ref="AL15">MAX((УслРестрактов[Характеристика]="Дата реструктуризации")*(УслРестрактов[Значение]=Первоначальный!$A15),0)</f>
        <v>0</v>
      </c>
    </row>
    <row r="16" spans="1:38" x14ac:dyDescent="0.25">
      <c r="A16" s="97">
        <f t="shared" si="2"/>
        <v>44147</v>
      </c>
      <c r="B16" s="100">
        <f t="shared" ca="1" si="3"/>
        <v>150000</v>
      </c>
      <c r="C16" s="55">
        <f t="shared" ca="1" si="4"/>
        <v>163.12</v>
      </c>
      <c r="D16" s="55">
        <f t="shared" ca="1" si="4"/>
        <v>0</v>
      </c>
      <c r="E16" s="55">
        <f t="shared" ca="1" si="5"/>
        <v>0</v>
      </c>
      <c r="F16" s="55">
        <f t="shared" ca="1" si="6"/>
        <v>0</v>
      </c>
      <c r="G16" s="101">
        <f t="shared" ca="1" si="7"/>
        <v>150163.12</v>
      </c>
      <c r="H16" s="100">
        <f ca="1">ROUND($B16*VLOOKUP($A16,$A$1:$B$10,2,1)/(365+IF(MOD(YEAR($A16),4),0,1)*($A16-$A15)),2)-Первоначальный[[#This Row],[Проценты на просроченный платеж по ОД за период]]</f>
        <v>81.56</v>
      </c>
      <c r="I16" s="55">
        <f t="shared" ca="1" si="8"/>
        <v>0</v>
      </c>
      <c r="J16" s="55">
        <v>0</v>
      </c>
      <c r="K16" s="55">
        <f t="shared" ca="1" si="11"/>
        <v>0</v>
      </c>
      <c r="L16" s="55">
        <v>0</v>
      </c>
      <c r="M16" s="113">
        <f>SUMIFS(График[Возврат основной суммы долга],График[Дата с учетом нерабочих дней],$A16)</f>
        <v>0</v>
      </c>
      <c r="N16" s="56">
        <f>SUMIFS(График[Возврат начисленных %],График[Дата с учетом нерабочих дней],$A16)</f>
        <v>0</v>
      </c>
      <c r="O16" s="101">
        <v>0</v>
      </c>
      <c r="P16" s="100" cm="1">
        <f t="array" aca="1" ref="P16" ca="1">MAX(IF(AA15="Да",0,SUM(INDIRECT("M"&amp;(MAX(("Да"=AA$12:AA15)*ROW(AA$12:AA15)+1,ROW($P$12))&amp;":M"&amp;(ROW()))))-SUM(INDIRECT("W"&amp;(MAX(("Да"=AA$12:AA15)*ROW(AA$12:AA15)+1,ROW($P$12))&amp;":W"&amp;(ROW()))))),0)</f>
        <v>0</v>
      </c>
      <c r="Q16" s="99">
        <f ca="1">MAX(SUM($N$13:N16)-SUM($T$13:T16),0)</f>
        <v>0</v>
      </c>
      <c r="R16" s="99">
        <f ca="1">Первоначальный[[#This Row],[Просроченный платеж по ОД]]+Первоначальный[[#This Row],[Просроченный платеж по процентам]]</f>
        <v>0</v>
      </c>
      <c r="S16" s="120">
        <f ca="1">IF(Первоначальный[[#This Row],[Просроченный платеж]]&lt;1,0,S15+1)</f>
        <v>0</v>
      </c>
      <c r="T16" s="100" cm="1">
        <f t="array" aca="1" ref="T16" ca="1">IF(Первоначальный[[#This Row],[Итого остаток на начало периода]]&lt;1,0,
IF(
AND(TYPE(VLOOKUP(1,$Z$12:Z16,1,0))=16,Первоначальный[[#This Row],[Досрочное погашение (да/"")]]=""),0,
_xlfn.IFS(AND(S15=0,Первоначальный[[#This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платеж]]&lt;&gt;0),MIN(LOOKUP(,-1/($Z$12:Z16=1),$C$12:C16)+LOOKUP(,-1/($Z$12:Z16=1),$H$12:H16),Первоначальный[[#This Row],[Полученный платеж]]+Y15),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платеж]]+Y15,SUM(Первоначальный[[#This Row],[Остаток процентов на начало периода]],Первоначальный[[#This Row],[Проценты за период]])),
AND(S15=0,Первоначальный[[#This Row],[Дата платежа из графика]]=""),0,
AND(S15=0,Первоначальный[[#This Row],[Дата платежа из графика]]=1,MAX((0&lt;&gt;S$12:S15)*ROW(S$12:S15),ROW($S$12))&gt;=MAX((1=Z$12:Z15)*ROW(Z$12:Z15),ROW($T$12)),TYPE(VLOOKUP("Да",(INDIRECT("AA"&amp;(MAX((1=Z$12:Z15)*ROW(Z$12:Z15),ROW($T$12))&amp;":AA"&amp;(ROW()-1)))),1,0))=16),MIN(LOOKUP(,-1/($Z$12:Z16=1),$C$12:C16)+LOOKUP(,-1/($Z$12:Z16=1),$H$12:H16),Первоначальный[[#This Row],[Полученный платеж]]+Y15),
AND(S15=0,TYPE(VLOOKUP("Да",(INDIRECT("AA"&amp;(MAX((1=Z$12:Z15)*ROW(Z$12:Z15),ROW($T$12))&amp;":AA"&amp;(ROW()-1)))),1,0))&lt;&gt;16),MIN(LOOKUP(,-1/($Z$12:Z16=1),$C$12:C16)+LOOKUP(,-1/($Z$12:Z16=1),$H$12:H16)-IF(AA15="Да",0,SUM(INDIRECT("T"&amp;(MAX(("Да"=AA$12:AA15)*ROW(AA$12:AA15)+1,ROW($T$12))&amp;":T"&amp;(ROW()-1))))),Первоначальный[[#This Row],[Полученный платеж]]+Y15),
AND(S15=0,MAX((0&lt;&gt;N$12:N15)*ROW(N$12:N15),ROW($S$12))&gt;=MAX((1=Z$12:Z15)*ROW(Z$12:Z15),ROW($T$12))),MIN(LOOKUP(,-1/($Z$12:Z16=1),$C$12:C16)+LOOKUP(,-1/($Z$12:Z16=1),$H$12:H16)-IF(N15&lt;&gt;0,0,SUM(INDIRECT("T"&amp;(MAX((0&lt;&gt;N$12:N15)*ROW(N$12:N15)+1,ROW($T$12))&amp;":T"&amp;(ROW()-1))))),Первоначальный[[#This Row],[Полученный платеж]]+Y15),
AND(S15=0,Первоначальный[[#This Row],[Дата платежа из графика]]=1),MIN(LOOKUP(,-1/($Z$12:Z16=1),$C$12:C16)+LOOKUP(,-1/($Z$12:Z16=1),$H$12:H16)-IF(Z15=1,0,SUM(INDIRECT("T"&amp;(MAX((1=Z$12:Z15)*ROW(Z$12:Z15)+1,ROW($T$12))&amp;":T"&amp;(ROW()-1))))),Первоначальный[[#This Row],[Полученный платеж]]+Y15),
AND(Z15&gt;0,Первоначальный[[#This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платеж]]+Y15),
AND(S15&gt;0,MAX((0&lt;&gt;S$12:S15)*ROW(S$12:S15),ROW($S$12))&gt;=MAX((1=Z$12:Z15)*ROW(Z$12:Z15),ROW($T$12)),TYPE(VLOOKUP("Да",(INDIRECT("AA"&amp;(MAX((1=Z$12:Z15)*ROW(Z$12:Z15),ROW($T$12))&amp;":AA"&amp;(ROW()-1)))),1,0))=16),MIN(LOOKUP(,-1/($Z$12:Z16=1),$C$12:C16)+LOOKUP(,-1/($Z$12:Z16=1),$H$12:H16)-SUM(INDIRECT("T"&amp;(MAX((1=Z$12:Z15)*ROW(Z$12:Z15),ROW($T$12))&amp;":T"&amp;(ROW()-1)))),Первоначальный[[#This Row],[Полученный платеж]]+Y15),
S15&gt;0,MIN(LOOKUP(,-1/($Z$12:Z16=1),$C$12:C16)+LOOKUP(,-1/($Z$12:Z16=1),$H$12:H16)-IF(Z15=1,0,SUM(INDIRECT("T"&amp;(MAX((1=Z$12:Z15)*ROW(Z$12:Z15)+1,ROW($T$12))&amp;":T"&amp;(ROW()-1))))),Первоначальный[[#This Row],[Полученный платеж]]+Y15)
)
)
)</f>
        <v>0</v>
      </c>
      <c r="U1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платеж]]+Y15-Первоначальный[[#This Row],[Полученный платёж по процентам]])</f>
        <v>0</v>
      </c>
      <c r="V16" s="55">
        <f t="shared" ca="1" si="0"/>
        <v>0</v>
      </c>
      <c r="W16" s="55" cm="1">
        <f t="array" aca="1" ref="W16" ca="1">IF(Первоначальный[[#This Row],[Итого остаток на начало периода]]&lt;1,0,
_xlfn.IFS(
AND(TYPE(VLOOKUP(1,$Z$12:Z16,1,0))=16,Первоначальный[[#This Row],[Досрочное погашение (да/"")]]=""),0,
AND(S15=0,Первоначальный[[#This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комиссиям]]),VLOOKUP(LOOKUP(,-1/($Z$12:Z16=1),$A$12:A16),График[[Срок конец]:[Возврат основной суммы долга]],3,0)),
AND(S15=0,Первоначальный[[#This Row],[Дата платежа из графика]]="",Первоначальный[[#This Row],[Досрочное погашение (да/"")]]&lt;&gt;"Да"),0,
AND(S15=0,Первоначальный[[#This Row],[Досрочное погашение (да/"")]]=""),MIN(Первоначальный[[#This Row],[Полученный платеж]]+Y15-SUM(Первоначальный[[#This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комиссиям]]),VLOOKUP(LOOKUP(,-1/($Z$12:Z16=1),$A$12:A16),График[[Срок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S15&gt;0,MIN(Первоначальный[[#This Row],[Полученный платеж]]+Y15-SUM(Первоначальный[[#This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комиссиям]]),SUM(INDIRECT("M"&amp;(MAX((1=S$12:S15)*ROW(S$12:S15),ROW($W$12))&amp;":M"&amp;(ROW()))))-SUM(INDIRECT("W"&amp;(MAX((1=S$12:S15)*ROW(S$12:S15),ROW($W$12))&amp;":W"&amp;(ROW()-1)))))
)
)</f>
        <v>0</v>
      </c>
      <c r="X16" s="55">
        <f t="shared" ca="1" si="1"/>
        <v>0</v>
      </c>
      <c r="Y16" s="101">
        <f t="shared" ca="1" si="9"/>
        <v>0</v>
      </c>
      <c r="Z16" s="133" t="str">
        <f>IF(TYPE((VLOOKUP(Первоначальный[[#This Row],[Дата платежа]],График[Срок конец],1,0)))=16,"",1)</f>
        <v/>
      </c>
      <c r="AA16" s="57"/>
      <c r="AB16" s="134"/>
      <c r="AC1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150000</v>
      </c>
      <c r="AD1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244.68</v>
      </c>
      <c r="AE1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1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16" s="55"/>
      <c r="AI16" s="55"/>
      <c r="AJ16" s="55"/>
      <c r="AK16" s="101">
        <f t="shared" ca="1" si="10"/>
        <v>150244.68</v>
      </c>
      <c r="AL16" s="129">
        <f t="array" ref="AL16">MAX((УслРестрактов[Характеристика]="Дата реструктуризации")*(УслРестрактов[Значение]=Первоначальный!$A16),0)</f>
        <v>0</v>
      </c>
    </row>
    <row r="17" spans="1:38" x14ac:dyDescent="0.25">
      <c r="A17" s="97">
        <f t="shared" si="2"/>
        <v>44148</v>
      </c>
      <c r="B17" s="100">
        <f t="shared" ca="1" si="3"/>
        <v>150000</v>
      </c>
      <c r="C17" s="55">
        <f t="shared" ca="1" si="4"/>
        <v>244.68</v>
      </c>
      <c r="D17" s="55">
        <f t="shared" ca="1" si="4"/>
        <v>0</v>
      </c>
      <c r="E17" s="55">
        <f t="shared" ca="1" si="5"/>
        <v>0</v>
      </c>
      <c r="F17" s="55">
        <f t="shared" ca="1" si="6"/>
        <v>0</v>
      </c>
      <c r="G17" s="101">
        <f t="shared" ca="1" si="7"/>
        <v>150244.68</v>
      </c>
      <c r="H17" s="100">
        <f ca="1">ROUND($B17*VLOOKUP($A17,$A$1:$B$10,2,1)/(365+IF(MOD(YEAR($A17),4),0,1)*($A17-$A16)),2)-Первоначальный[[#This Row],[Проценты на просроченный платеж по ОД за период]]</f>
        <v>81.56</v>
      </c>
      <c r="I17" s="55">
        <f t="shared" ca="1" si="8"/>
        <v>0</v>
      </c>
      <c r="J17" s="55">
        <v>0</v>
      </c>
      <c r="K17" s="55">
        <f t="shared" ca="1" si="11"/>
        <v>0</v>
      </c>
      <c r="L17" s="55">
        <v>0</v>
      </c>
      <c r="M17" s="113">
        <f>SUMIFS(График[Возврат основной суммы долга],График[Дата с учетом нерабочих дней],$A17)</f>
        <v>0</v>
      </c>
      <c r="N17" s="56">
        <f>SUMIFS(График[Возврат начисленных %],График[Дата с учетом нерабочих дней],$A17)</f>
        <v>0</v>
      </c>
      <c r="O17" s="101">
        <v>0</v>
      </c>
      <c r="P17" s="100" cm="1">
        <f t="array" aca="1" ref="P17" ca="1">MAX(IF(AA16="Да",0,SUM(INDIRECT("M"&amp;(MAX(("Да"=AA$12:AA16)*ROW(AA$12:AA16)+1,ROW($P$12))&amp;":M"&amp;(ROW()))))-SUM(INDIRECT("W"&amp;(MAX(("Да"=AA$12:AA16)*ROW(AA$12:AA16)+1,ROW($P$12))&amp;":W"&amp;(ROW()))))),0)</f>
        <v>0</v>
      </c>
      <c r="Q17" s="99">
        <f ca="1">MAX(SUM($N$13:N17)-SUM($T$13:T17),0)</f>
        <v>0</v>
      </c>
      <c r="R17" s="99">
        <f ca="1">Первоначальный[[#This Row],[Просроченный платеж по ОД]]+Первоначальный[[#This Row],[Просроченный платеж по процентам]]</f>
        <v>0</v>
      </c>
      <c r="S17" s="120">
        <f ca="1">IF(Первоначальный[[#This Row],[Просроченный платеж]]&lt;1,0,S16+1)</f>
        <v>0</v>
      </c>
      <c r="T17" s="100" cm="1">
        <f t="array" aca="1" ref="T17" ca="1">IF(Первоначальный[[#This Row],[Итого остаток на начало периода]]&lt;1,0,
IF(
AND(TYPE(VLOOKUP(1,$Z$12:Z17,1,0))=16,Первоначальный[[#This Row],[Досрочное погашение (да/"")]]=""),0,
_xlfn.IFS(AND(S16=0,Первоначальный[[#This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платеж]]&lt;&gt;0),MIN(LOOKUP(,-1/($Z$12:Z17=1),$C$12:C17)+LOOKUP(,-1/($Z$12:Z17=1),$H$12:H17),Первоначальный[[#This Row],[Полученный платеж]]+Y16),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платеж]]+Y16,SUM(Первоначальный[[#This Row],[Остаток процентов на начало периода]],Первоначальный[[#This Row],[Проценты за период]])),
AND(S16=0,Первоначальный[[#This Row],[Дата платежа из графика]]=""),0,
AND(S16=0,Первоначальный[[#This Row],[Дата платежа из графика]]=1,MAX((0&lt;&gt;S$12:S16)*ROW(S$12:S16),ROW($S$12))&gt;=MAX((1=Z$12:Z16)*ROW(Z$12:Z16),ROW($T$12)),TYPE(VLOOKUP("Да",(INDIRECT("AA"&amp;(MAX((1=Z$12:Z16)*ROW(Z$12:Z16),ROW($T$12))&amp;":AA"&amp;(ROW()-1)))),1,0))=16),MIN(LOOKUP(,-1/($Z$12:Z17=1),$C$12:C17)+LOOKUP(,-1/($Z$12:Z17=1),$H$12:H17),Первоначальный[[#This Row],[Полученный платеж]]+Y16),
AND(S16=0,TYPE(VLOOKUP("Да",(INDIRECT("AA"&amp;(MAX((1=Z$12:Z16)*ROW(Z$12:Z16),ROW($T$12))&amp;":AA"&amp;(ROW()-1)))),1,0))&lt;&gt;16),MIN(LOOKUP(,-1/($Z$12:Z17=1),$C$12:C17)+LOOKUP(,-1/($Z$12:Z17=1),$H$12:H17)-IF(AA16="Да",0,SUM(INDIRECT("T"&amp;(MAX(("Да"=AA$12:AA16)*ROW(AA$12:AA16)+1,ROW($T$12))&amp;":T"&amp;(ROW()-1))))),Первоначальный[[#This Row],[Полученный платеж]]+Y16),
AND(S16=0,MAX((0&lt;&gt;N$12:N16)*ROW(N$12:N16),ROW($S$12))&gt;=MAX((1=Z$12:Z16)*ROW(Z$12:Z16),ROW($T$12))),MIN(LOOKUP(,-1/($Z$12:Z17=1),$C$12:C17)+LOOKUP(,-1/($Z$12:Z17=1),$H$12:H17)-IF(N16&lt;&gt;0,0,SUM(INDIRECT("T"&amp;(MAX((0&lt;&gt;N$12:N16)*ROW(N$12:N16)+1,ROW($T$12))&amp;":T"&amp;(ROW()-1))))),Первоначальный[[#This Row],[Полученный платеж]]+Y16),
AND(S16=0,Первоначальный[[#This Row],[Дата платежа из графика]]=1),MIN(LOOKUP(,-1/($Z$12:Z17=1),$C$12:C17)+LOOKUP(,-1/($Z$12:Z17=1),$H$12:H17)-IF(Z16=1,0,SUM(INDIRECT("T"&amp;(MAX((1=Z$12:Z16)*ROW(Z$12:Z16)+1,ROW($T$12))&amp;":T"&amp;(ROW()-1))))),Первоначальный[[#This Row],[Полученный платеж]]+Y16),
AND(Z16&gt;0,Первоначальный[[#This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платеж]]+Y16),
AND(S16&gt;0,MAX((0&lt;&gt;S$12:S16)*ROW(S$12:S16),ROW($S$12))&gt;=MAX((1=Z$12:Z16)*ROW(Z$12:Z16),ROW($T$12)),TYPE(VLOOKUP("Да",(INDIRECT("AA"&amp;(MAX((1=Z$12:Z16)*ROW(Z$12:Z16),ROW($T$12))&amp;":AA"&amp;(ROW()-1)))),1,0))=16),MIN(LOOKUP(,-1/($Z$12:Z17=1),$C$12:C17)+LOOKUP(,-1/($Z$12:Z17=1),$H$12:H17)-SUM(INDIRECT("T"&amp;(MAX((1=Z$12:Z16)*ROW(Z$12:Z16),ROW($T$12))&amp;":T"&amp;(ROW()-1)))),Первоначальный[[#This Row],[Полученный платеж]]+Y16),
S16&gt;0,MIN(LOOKUP(,-1/($Z$12:Z17=1),$C$12:C17)+LOOKUP(,-1/($Z$12:Z17=1),$H$12:H17)-IF(Z16=1,0,SUM(INDIRECT("T"&amp;(MAX((1=Z$12:Z16)*ROW(Z$12:Z16)+1,ROW($T$12))&amp;":T"&amp;(ROW()-1))))),Первоначальный[[#This Row],[Полученный платеж]]+Y16)
)
)
)</f>
        <v>0</v>
      </c>
      <c r="U1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платеж]]+Y16-Первоначальный[[#This Row],[Полученный платёж по процентам]])</f>
        <v>0</v>
      </c>
      <c r="V17" s="55">
        <f t="shared" ca="1" si="0"/>
        <v>0</v>
      </c>
      <c r="W17" s="55" cm="1">
        <f t="array" aca="1" ref="W17" ca="1">IF(Первоначальный[[#This Row],[Итого остаток на начало периода]]&lt;1,0,
_xlfn.IFS(
AND(TYPE(VLOOKUP(1,$Z$12:Z17,1,0))=16,Первоначальный[[#This Row],[Досрочное погашение (да/"")]]=""),0,
AND(S16=0,Первоначальный[[#This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комиссиям]]),VLOOKUP(LOOKUP(,-1/($Z$12:Z17=1),$A$12:A17),График[[Срок конец]:[Возврат основной суммы долга]],3,0)),
AND(S16=0,Первоначальный[[#This Row],[Дата платежа из графика]]="",Первоначальный[[#This Row],[Досрочное погашение (да/"")]]&lt;&gt;"Да"),0,
AND(S16=0,Первоначальный[[#This Row],[Досрочное погашение (да/"")]]=""),MIN(Первоначальный[[#This Row],[Полученный платеж]]+Y16-SUM(Первоначальный[[#This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комиссиям]]),VLOOKUP(LOOKUP(,-1/($Z$12:Z17=1),$A$12:A17),График[[Срок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S16&gt;0,MIN(Первоначальный[[#This Row],[Полученный платеж]]+Y16-SUM(Первоначальный[[#This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комиссиям]]),SUM(INDIRECT("M"&amp;(MAX((1=S$12:S16)*ROW(S$12:S16),ROW($W$12))&amp;":M"&amp;(ROW()))))-SUM(INDIRECT("W"&amp;(MAX((1=S$12:S16)*ROW(S$12:S16),ROW($W$12))&amp;":W"&amp;(ROW()-1)))))
)
)</f>
        <v>0</v>
      </c>
      <c r="X17" s="55">
        <f t="shared" ca="1" si="1"/>
        <v>0</v>
      </c>
      <c r="Y17" s="101">
        <f t="shared" ca="1" si="9"/>
        <v>0</v>
      </c>
      <c r="Z17" s="133" t="str">
        <f>IF(TYPE((VLOOKUP(Первоначальный[[#This Row],[Дата платежа]],График[Срок конец],1,0)))=16,"",1)</f>
        <v/>
      </c>
      <c r="AA17" s="57"/>
      <c r="AB17" s="134"/>
      <c r="AC1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150000</v>
      </c>
      <c r="AD1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326.24</v>
      </c>
      <c r="AE1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1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17" s="55"/>
      <c r="AI17" s="55"/>
      <c r="AJ17" s="55"/>
      <c r="AK17" s="101">
        <f t="shared" ca="1" si="10"/>
        <v>150326.24</v>
      </c>
      <c r="AL17" s="129">
        <f t="array" ref="AL17">MAX((УслРестрактов[Характеристика]="Дата реструктуризации")*(УслРестрактов[Значение]=Первоначальный!$A17),0)</f>
        <v>0</v>
      </c>
    </row>
    <row r="18" spans="1:38" x14ac:dyDescent="0.25">
      <c r="A18" s="97">
        <f t="shared" si="2"/>
        <v>44149</v>
      </c>
      <c r="B18" s="100">
        <f t="shared" ca="1" si="3"/>
        <v>150000</v>
      </c>
      <c r="C18" s="55">
        <f t="shared" ca="1" si="4"/>
        <v>326.24</v>
      </c>
      <c r="D18" s="55">
        <f t="shared" ca="1" si="4"/>
        <v>0</v>
      </c>
      <c r="E18" s="55">
        <f t="shared" ca="1" si="5"/>
        <v>0</v>
      </c>
      <c r="F18" s="55">
        <f t="shared" ca="1" si="6"/>
        <v>0</v>
      </c>
      <c r="G18" s="101">
        <f t="shared" ca="1" si="7"/>
        <v>150326.24</v>
      </c>
      <c r="H18" s="100">
        <f ca="1">ROUND($B18*VLOOKUP($A18,$A$1:$B$10,2,1)/(365+IF(MOD(YEAR($A18),4),0,1)*($A18-$A17)),2)-Первоначальный[[#This Row],[Проценты на просроченный платеж по ОД за период]]</f>
        <v>81.56</v>
      </c>
      <c r="I18" s="55">
        <f t="shared" ca="1" si="8"/>
        <v>0</v>
      </c>
      <c r="J18" s="55">
        <v>0</v>
      </c>
      <c r="K18" s="55">
        <f t="shared" ca="1" si="11"/>
        <v>0</v>
      </c>
      <c r="L18" s="55">
        <v>0</v>
      </c>
      <c r="M18" s="113">
        <f>SUMIFS(График[Возврат основной суммы долга],График[Дата с учетом нерабочих дней],$A18)</f>
        <v>0</v>
      </c>
      <c r="N18" s="56">
        <f>SUMIFS(График[Возврат начисленных %],График[Дата с учетом нерабочих дней],$A18)</f>
        <v>0</v>
      </c>
      <c r="O18" s="101">
        <v>0</v>
      </c>
      <c r="P18" s="100" cm="1">
        <f t="array" aca="1" ref="P18" ca="1">MAX(IF(AA17="Да",0,SUM(INDIRECT("M"&amp;(MAX(("Да"=AA$12:AA17)*ROW(AA$12:AA17)+1,ROW($P$12))&amp;":M"&amp;(ROW()))))-SUM(INDIRECT("W"&amp;(MAX(("Да"=AA$12:AA17)*ROW(AA$12:AA17)+1,ROW($P$12))&amp;":W"&amp;(ROW()))))),0)</f>
        <v>0</v>
      </c>
      <c r="Q18" s="99">
        <f ca="1">MAX(SUM($N$13:N18)-SUM($T$13:T18),0)</f>
        <v>0</v>
      </c>
      <c r="R18" s="99">
        <f ca="1">Первоначальный[[#This Row],[Просроченный платеж по ОД]]+Первоначальный[[#This Row],[Просроченный платеж по процентам]]</f>
        <v>0</v>
      </c>
      <c r="S18" s="120">
        <f ca="1">IF(Первоначальный[[#This Row],[Просроченный платеж]]&lt;1,0,S17+1)</f>
        <v>0</v>
      </c>
      <c r="T18" s="100" cm="1">
        <f t="array" aca="1" ref="T18" ca="1">IF(Первоначальный[[#This Row],[Итого остаток на начало периода]]&lt;1,0,
IF(
AND(TYPE(VLOOKUP(1,$Z$12:Z18,1,0))=16,Первоначальный[[#This Row],[Досрочное погашение (да/"")]]=""),0,
_xlfn.IFS(AND(S17=0,Первоначальный[[#This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платеж]]&lt;&gt;0),MIN(LOOKUP(,-1/($Z$12:Z18=1),$C$12:C18)+LOOKUP(,-1/($Z$12:Z18=1),$H$12:H18),Первоначальный[[#This Row],[Полученный платеж]]+Y17),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платеж]]+Y17,SUM(Первоначальный[[#This Row],[Остаток процентов на начало периода]],Первоначальный[[#This Row],[Проценты за период]])),
AND(S17=0,Первоначальный[[#This Row],[Дата платежа из графика]]=""),0,
AND(S17=0,Первоначальный[[#This Row],[Дата платежа из графика]]=1,MAX((0&lt;&gt;S$12:S17)*ROW(S$12:S17),ROW($S$12))&gt;=MAX((1=Z$12:Z17)*ROW(Z$12:Z17),ROW($T$12)),TYPE(VLOOKUP("Да",(INDIRECT("AA"&amp;(MAX((1=Z$12:Z17)*ROW(Z$12:Z17),ROW($T$12))&amp;":AA"&amp;(ROW()-1)))),1,0))=16),MIN(LOOKUP(,-1/($Z$12:Z18=1),$C$12:C18)+LOOKUP(,-1/($Z$12:Z18=1),$H$12:H18),Первоначальный[[#This Row],[Полученный платеж]]+Y17),
AND(S17=0,TYPE(VLOOKUP("Да",(INDIRECT("AA"&amp;(MAX((1=Z$12:Z17)*ROW(Z$12:Z17),ROW($T$12))&amp;":AA"&amp;(ROW()-1)))),1,0))&lt;&gt;16),MIN(LOOKUP(,-1/($Z$12:Z18=1),$C$12:C18)+LOOKUP(,-1/($Z$12:Z18=1),$H$12:H18)-IF(AA17="Да",0,SUM(INDIRECT("T"&amp;(MAX(("Да"=AA$12:AA17)*ROW(AA$12:AA17)+1,ROW($T$12))&amp;":T"&amp;(ROW()-1))))),Первоначальный[[#This Row],[Полученный платеж]]+Y17),
AND(S17=0,MAX((0&lt;&gt;N$12:N17)*ROW(N$12:N17),ROW($S$12))&gt;=MAX((1=Z$12:Z17)*ROW(Z$12:Z17),ROW($T$12))),MIN(LOOKUP(,-1/($Z$12:Z18=1),$C$12:C18)+LOOKUP(,-1/($Z$12:Z18=1),$H$12:H18)-IF(N17&lt;&gt;0,0,SUM(INDIRECT("T"&amp;(MAX((0&lt;&gt;N$12:N17)*ROW(N$12:N17)+1,ROW($T$12))&amp;":T"&amp;(ROW()-1))))),Первоначальный[[#This Row],[Полученный платеж]]+Y17),
AND(S17=0,Первоначальный[[#This Row],[Дата платежа из графика]]=1),MIN(LOOKUP(,-1/($Z$12:Z18=1),$C$12:C18)+LOOKUP(,-1/($Z$12:Z18=1),$H$12:H18)-IF(Z17=1,0,SUM(INDIRECT("T"&amp;(MAX((1=Z$12:Z17)*ROW(Z$12:Z17)+1,ROW($T$12))&amp;":T"&amp;(ROW()-1))))),Первоначальный[[#This Row],[Полученный платеж]]+Y17),
AND(Z17&gt;0,Первоначальный[[#This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платеж]]+Y17),
AND(S17&gt;0,MAX((0&lt;&gt;S$12:S17)*ROW(S$12:S17),ROW($S$12))&gt;=MAX((1=Z$12:Z17)*ROW(Z$12:Z17),ROW($T$12)),TYPE(VLOOKUP("Да",(INDIRECT("AA"&amp;(MAX((1=Z$12:Z17)*ROW(Z$12:Z17),ROW($T$12))&amp;":AA"&amp;(ROW()-1)))),1,0))=16),MIN(LOOKUP(,-1/($Z$12:Z18=1),$C$12:C18)+LOOKUP(,-1/($Z$12:Z18=1),$H$12:H18)-SUM(INDIRECT("T"&amp;(MAX((1=Z$12:Z17)*ROW(Z$12:Z17),ROW($T$12))&amp;":T"&amp;(ROW()-1)))),Первоначальный[[#This Row],[Полученный платеж]]+Y17),
S17&gt;0,MIN(LOOKUP(,-1/($Z$12:Z18=1),$C$12:C18)+LOOKUP(,-1/($Z$12:Z18=1),$H$12:H18)-IF(Z17=1,0,SUM(INDIRECT("T"&amp;(MAX((1=Z$12:Z17)*ROW(Z$12:Z17)+1,ROW($T$12))&amp;":T"&amp;(ROW()-1))))),Первоначальный[[#This Row],[Полученный платеж]]+Y17)
)
)
)</f>
        <v>0</v>
      </c>
      <c r="U1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платеж]]+Y17-Первоначальный[[#This Row],[Полученный платёж по процентам]])</f>
        <v>0</v>
      </c>
      <c r="V18" s="55">
        <f t="shared" ca="1" si="0"/>
        <v>0</v>
      </c>
      <c r="W18" s="55" cm="1">
        <f t="array" aca="1" ref="W18" ca="1">IF(Первоначальный[[#This Row],[Итого остаток на начало периода]]&lt;1,0,
_xlfn.IFS(
AND(TYPE(VLOOKUP(1,$Z$12:Z18,1,0))=16,Первоначальный[[#This Row],[Досрочное погашение (да/"")]]=""),0,
AND(S17=0,Первоначальный[[#This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комиссиям]]),VLOOKUP(LOOKUP(,-1/($Z$12:Z18=1),$A$12:A18),График[[Срок конец]:[Возврат основной суммы долга]],3,0)),
AND(S17=0,Первоначальный[[#This Row],[Дата платежа из графика]]="",Первоначальный[[#This Row],[Досрочное погашение (да/"")]]&lt;&gt;"Да"),0,
AND(S17=0,Первоначальный[[#This Row],[Досрочное погашение (да/"")]]=""),MIN(Первоначальный[[#This Row],[Полученный платеж]]+Y17-SUM(Первоначальный[[#This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комиссиям]]),VLOOKUP(LOOKUP(,-1/($Z$12:Z18=1),$A$12:A18),График[[Срок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S17&gt;0,MIN(Первоначальный[[#This Row],[Полученный платеж]]+Y17-SUM(Первоначальный[[#This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комиссиям]]),SUM(INDIRECT("M"&amp;(MAX((1=S$12:S17)*ROW(S$12:S17),ROW($W$12))&amp;":M"&amp;(ROW()))))-SUM(INDIRECT("W"&amp;(MAX((1=S$12:S17)*ROW(S$12:S17),ROW($W$12))&amp;":W"&amp;(ROW()-1)))))
)
)</f>
        <v>0</v>
      </c>
      <c r="X18" s="55">
        <f t="shared" ca="1" si="1"/>
        <v>0</v>
      </c>
      <c r="Y18" s="101">
        <f t="shared" ca="1" si="9"/>
        <v>0</v>
      </c>
      <c r="Z18" s="133" t="str">
        <f>IF(TYPE((VLOOKUP(Первоначальный[[#This Row],[Дата платежа]],График[Срок конец],1,0)))=16,"",1)</f>
        <v/>
      </c>
      <c r="AA18" s="57"/>
      <c r="AB18" s="134"/>
      <c r="AC1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150000</v>
      </c>
      <c r="AD1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407.8</v>
      </c>
      <c r="AE1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1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18" s="55"/>
      <c r="AI18" s="55"/>
      <c r="AJ18" s="55"/>
      <c r="AK18" s="101">
        <f t="shared" ca="1" si="10"/>
        <v>150407.79999999999</v>
      </c>
      <c r="AL18" s="129">
        <f t="array" ref="AL18">MAX((УслРестрактов[Характеристика]="Дата реструктуризации")*(УслРестрактов[Значение]=Первоначальный!$A18),0)</f>
        <v>0</v>
      </c>
    </row>
    <row r="19" spans="1:38" x14ac:dyDescent="0.25">
      <c r="A19" s="97">
        <f t="shared" si="2"/>
        <v>44150</v>
      </c>
      <c r="B19" s="100">
        <f t="shared" ca="1" si="3"/>
        <v>150000</v>
      </c>
      <c r="C19" s="55">
        <f t="shared" ca="1" si="4"/>
        <v>407.8</v>
      </c>
      <c r="D19" s="55">
        <f t="shared" ca="1" si="4"/>
        <v>0</v>
      </c>
      <c r="E19" s="55">
        <f t="shared" ca="1" si="5"/>
        <v>0</v>
      </c>
      <c r="F19" s="55">
        <f t="shared" ca="1" si="6"/>
        <v>0</v>
      </c>
      <c r="G19" s="101">
        <f t="shared" ca="1" si="7"/>
        <v>150407.79999999999</v>
      </c>
      <c r="H19" s="100">
        <f ca="1">ROUND($B19*VLOOKUP($A19,$A$1:$B$10,2,1)/(365+IF(MOD(YEAR($A19),4),0,1)*($A19-$A18)),2)-Первоначальный[[#This Row],[Проценты на просроченный платеж по ОД за период]]</f>
        <v>81.56</v>
      </c>
      <c r="I19" s="55">
        <f t="shared" ca="1" si="8"/>
        <v>0</v>
      </c>
      <c r="J19" s="55">
        <v>0</v>
      </c>
      <c r="K19" s="55">
        <f t="shared" ca="1" si="11"/>
        <v>0</v>
      </c>
      <c r="L19" s="55">
        <v>0</v>
      </c>
      <c r="M19" s="113">
        <f>SUMIFS(График[Возврат основной суммы долга],График[Дата с учетом нерабочих дней],$A19)</f>
        <v>0</v>
      </c>
      <c r="N19" s="56">
        <f>SUMIFS(График[Возврат начисленных %],График[Дата с учетом нерабочих дней],$A19)</f>
        <v>0</v>
      </c>
      <c r="O19" s="101">
        <v>0</v>
      </c>
      <c r="P19" s="100" cm="1">
        <f t="array" aca="1" ref="P19" ca="1">MAX(IF(AA18="Да",0,SUM(INDIRECT("M"&amp;(MAX(("Да"=AA$12:AA18)*ROW(AA$12:AA18)+1,ROW($P$12))&amp;":M"&amp;(ROW()))))-SUM(INDIRECT("W"&amp;(MAX(("Да"=AA$12:AA18)*ROW(AA$12:AA18)+1,ROW($P$12))&amp;":W"&amp;(ROW()))))),0)</f>
        <v>0</v>
      </c>
      <c r="Q19" s="99">
        <f ca="1">MAX(SUM($N$13:N19)-SUM($T$13:T19),0)</f>
        <v>0</v>
      </c>
      <c r="R19" s="99">
        <f ca="1">Первоначальный[[#This Row],[Просроченный платеж по ОД]]+Первоначальный[[#This Row],[Просроченный платеж по процентам]]</f>
        <v>0</v>
      </c>
      <c r="S19" s="120">
        <f ca="1">IF(Первоначальный[[#This Row],[Просроченный платеж]]&lt;1,0,S18+1)</f>
        <v>0</v>
      </c>
      <c r="T19" s="100" cm="1">
        <f t="array" aca="1" ref="T19" ca="1">IF(Первоначальный[[#This Row],[Итого остаток на начало периода]]&lt;1,0,
IF(
AND(TYPE(VLOOKUP(1,$Z$12:Z19,1,0))=16,Первоначальный[[#This Row],[Досрочное погашение (да/"")]]=""),0,
_xlfn.IFS(AND(S18=0,Первоначальный[[#This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платеж]]&lt;&gt;0),MIN(LOOKUP(,-1/($Z$12:Z19=1),$C$12:C19)+LOOKUP(,-1/($Z$12:Z19=1),$H$12:H19),Первоначальный[[#This Row],[Полученный платеж]]+Y18),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платеж]]+Y18,SUM(Первоначальный[[#This Row],[Остаток процентов на начало периода]],Первоначальный[[#This Row],[Проценты за период]])),
AND(S18=0,Первоначальный[[#This Row],[Дата платежа из графика]]=""),0,
AND(S18=0,Первоначальный[[#This Row],[Дата платежа из графика]]=1,MAX((0&lt;&gt;S$12:S18)*ROW(S$12:S18),ROW($S$12))&gt;=MAX((1=Z$12:Z18)*ROW(Z$12:Z18),ROW($T$12)),TYPE(VLOOKUP("Да",(INDIRECT("AA"&amp;(MAX((1=Z$12:Z18)*ROW(Z$12:Z18),ROW($T$12))&amp;":AA"&amp;(ROW()-1)))),1,0))=16),MIN(LOOKUP(,-1/($Z$12:Z19=1),$C$12:C19)+LOOKUP(,-1/($Z$12:Z19=1),$H$12:H19),Первоначальный[[#This Row],[Полученный платеж]]+Y18),
AND(S18=0,TYPE(VLOOKUP("Да",(INDIRECT("AA"&amp;(MAX((1=Z$12:Z18)*ROW(Z$12:Z18),ROW($T$12))&amp;":AA"&amp;(ROW()-1)))),1,0))&lt;&gt;16),MIN(LOOKUP(,-1/($Z$12:Z19=1),$C$12:C19)+LOOKUP(,-1/($Z$12:Z19=1),$H$12:H19)-IF(AA18="Да",0,SUM(INDIRECT("T"&amp;(MAX(("Да"=AA$12:AA18)*ROW(AA$12:AA18)+1,ROW($T$12))&amp;":T"&amp;(ROW()-1))))),Первоначальный[[#This Row],[Полученный платеж]]+Y18),
AND(S18=0,MAX((0&lt;&gt;N$12:N18)*ROW(N$12:N18),ROW($S$12))&gt;=MAX((1=Z$12:Z18)*ROW(Z$12:Z18),ROW($T$12))),MIN(LOOKUP(,-1/($Z$12:Z19=1),$C$12:C19)+LOOKUP(,-1/($Z$12:Z19=1),$H$12:H19)-IF(N18&lt;&gt;0,0,SUM(INDIRECT("T"&amp;(MAX((0&lt;&gt;N$12:N18)*ROW(N$12:N18)+1,ROW($T$12))&amp;":T"&amp;(ROW()-1))))),Первоначальный[[#This Row],[Полученный платеж]]+Y18),
AND(S18=0,Первоначальный[[#This Row],[Дата платежа из графика]]=1),MIN(LOOKUP(,-1/($Z$12:Z19=1),$C$12:C19)+LOOKUP(,-1/($Z$12:Z19=1),$H$12:H19)-IF(Z18=1,0,SUM(INDIRECT("T"&amp;(MAX((1=Z$12:Z18)*ROW(Z$12:Z18)+1,ROW($T$12))&amp;":T"&amp;(ROW()-1))))),Первоначальный[[#This Row],[Полученный платеж]]+Y18),
AND(Z18&gt;0,Первоначальный[[#This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платеж]]+Y18),
AND(S18&gt;0,MAX((0&lt;&gt;S$12:S18)*ROW(S$12:S18),ROW($S$12))&gt;=MAX((1=Z$12:Z18)*ROW(Z$12:Z18),ROW($T$12)),TYPE(VLOOKUP("Да",(INDIRECT("AA"&amp;(MAX((1=Z$12:Z18)*ROW(Z$12:Z18),ROW($T$12))&amp;":AA"&amp;(ROW()-1)))),1,0))=16),MIN(LOOKUP(,-1/($Z$12:Z19=1),$C$12:C19)+LOOKUP(,-1/($Z$12:Z19=1),$H$12:H19)-SUM(INDIRECT("T"&amp;(MAX((1=Z$12:Z18)*ROW(Z$12:Z18),ROW($T$12))&amp;":T"&amp;(ROW()-1)))),Первоначальный[[#This Row],[Полученный платеж]]+Y18),
S18&gt;0,MIN(LOOKUP(,-1/($Z$12:Z19=1),$C$12:C19)+LOOKUP(,-1/($Z$12:Z19=1),$H$12:H19)-IF(Z18=1,0,SUM(INDIRECT("T"&amp;(MAX((1=Z$12:Z18)*ROW(Z$12:Z18)+1,ROW($T$12))&amp;":T"&amp;(ROW()-1))))),Первоначальный[[#This Row],[Полученный платеж]]+Y18)
)
)
)</f>
        <v>0</v>
      </c>
      <c r="U1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платеж]]+Y18-Первоначальный[[#This Row],[Полученный платёж по процентам]])</f>
        <v>0</v>
      </c>
      <c r="V19" s="55">
        <f t="shared" ca="1" si="0"/>
        <v>0</v>
      </c>
      <c r="W19" s="55" cm="1">
        <f t="array" aca="1" ref="W19" ca="1">IF(Первоначальный[[#This Row],[Итого остаток на начало периода]]&lt;1,0,
_xlfn.IFS(
AND(TYPE(VLOOKUP(1,$Z$12:Z19,1,0))=16,Первоначальный[[#This Row],[Досрочное погашение (да/"")]]=""),0,
AND(S18=0,Первоначальный[[#This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комиссиям]]),VLOOKUP(LOOKUP(,-1/($Z$12:Z19=1),$A$12:A19),График[[Срок конец]:[Возврат основной суммы долга]],3,0)),
AND(S18=0,Первоначальный[[#This Row],[Дата платежа из графика]]="",Первоначальный[[#This Row],[Досрочное погашение (да/"")]]&lt;&gt;"Да"),0,
AND(S18=0,Первоначальный[[#This Row],[Досрочное погашение (да/"")]]=""),MIN(Первоначальный[[#This Row],[Полученный платеж]]+Y18-SUM(Первоначальный[[#This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комиссиям]]),VLOOKUP(LOOKUP(,-1/($Z$12:Z19=1),$A$12:A19),График[[Срок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S18&gt;0,MIN(Первоначальный[[#This Row],[Полученный платеж]]+Y18-SUM(Первоначальный[[#This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комиссиям]]),SUM(INDIRECT("M"&amp;(MAX((1=S$12:S18)*ROW(S$12:S18),ROW($W$12))&amp;":M"&amp;(ROW()))))-SUM(INDIRECT("W"&amp;(MAX((1=S$12:S18)*ROW(S$12:S18),ROW($W$12))&amp;":W"&amp;(ROW()-1)))))
)
)</f>
        <v>0</v>
      </c>
      <c r="X19" s="55">
        <f t="shared" ca="1" si="1"/>
        <v>0</v>
      </c>
      <c r="Y19" s="101">
        <f t="shared" ca="1" si="9"/>
        <v>0</v>
      </c>
      <c r="Z19" s="133" t="str">
        <f>IF(TYPE((VLOOKUP(Первоначальный[[#This Row],[Дата платежа]],График[Срок конец],1,0)))=16,"",1)</f>
        <v/>
      </c>
      <c r="AA19" s="57"/>
      <c r="AB19" s="134"/>
      <c r="AC1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150000</v>
      </c>
      <c r="AD1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489.36</v>
      </c>
      <c r="AE1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1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19" s="55"/>
      <c r="AI19" s="55"/>
      <c r="AJ19" s="55"/>
      <c r="AK19" s="101">
        <f t="shared" ca="1" si="10"/>
        <v>150489.35999999999</v>
      </c>
      <c r="AL19" s="129">
        <f t="array" ref="AL19">MAX((УслРестрактов[Характеристика]="Дата реструктуризации")*(УслРестрактов[Значение]=Первоначальный!$A19),0)</f>
        <v>0</v>
      </c>
    </row>
    <row r="20" spans="1:38" x14ac:dyDescent="0.25">
      <c r="A20" s="97">
        <f t="shared" si="2"/>
        <v>44151</v>
      </c>
      <c r="B20" s="100">
        <f t="shared" ca="1" si="3"/>
        <v>150000</v>
      </c>
      <c r="C20" s="55">
        <f t="shared" ca="1" si="4"/>
        <v>489.36</v>
      </c>
      <c r="D20" s="55">
        <f t="shared" ca="1" si="4"/>
        <v>0</v>
      </c>
      <c r="E20" s="55">
        <f t="shared" ca="1" si="5"/>
        <v>0</v>
      </c>
      <c r="F20" s="55">
        <f t="shared" ca="1" si="6"/>
        <v>0</v>
      </c>
      <c r="G20" s="101">
        <f t="shared" ca="1" si="7"/>
        <v>150489.35999999999</v>
      </c>
      <c r="H20" s="100">
        <f ca="1">ROUND($B20*VLOOKUP($A20,$A$1:$B$10,2,1)/(365+IF(MOD(YEAR($A20),4),0,1)*($A20-$A19)),2)-Первоначальный[[#This Row],[Проценты на просроченный платеж по ОД за период]]</f>
        <v>81.56</v>
      </c>
      <c r="I20" s="55">
        <f t="shared" ca="1" si="8"/>
        <v>0</v>
      </c>
      <c r="J20" s="55">
        <v>0</v>
      </c>
      <c r="K20" s="55">
        <f t="shared" ca="1" si="11"/>
        <v>0</v>
      </c>
      <c r="L20" s="55">
        <v>0</v>
      </c>
      <c r="M20" s="113">
        <f>SUMIFS(График[Возврат основной суммы долга],График[Дата с учетом нерабочих дней],$A20)</f>
        <v>0</v>
      </c>
      <c r="N20" s="56">
        <f>SUMIFS(График[Возврат начисленных %],График[Дата с учетом нерабочих дней],$A20)</f>
        <v>0</v>
      </c>
      <c r="O20" s="101">
        <v>0</v>
      </c>
      <c r="P20" s="100" cm="1">
        <f t="array" aca="1" ref="P20" ca="1">MAX(IF(AA19="Да",0,SUM(INDIRECT("M"&amp;(MAX(("Да"=AA$12:AA19)*ROW(AA$12:AA19)+1,ROW($P$12))&amp;":M"&amp;(ROW()))))-SUM(INDIRECT("W"&amp;(MAX(("Да"=AA$12:AA19)*ROW(AA$12:AA19)+1,ROW($P$12))&amp;":W"&amp;(ROW()))))),0)</f>
        <v>0</v>
      </c>
      <c r="Q20" s="99">
        <f ca="1">MAX(SUM($N$13:N20)-SUM($T$13:T20),0)</f>
        <v>0</v>
      </c>
      <c r="R20" s="99">
        <f ca="1">Первоначальный[[#This Row],[Просроченный платеж по ОД]]+Первоначальный[[#This Row],[Просроченный платеж по процентам]]</f>
        <v>0</v>
      </c>
      <c r="S20" s="120">
        <f ca="1">IF(Первоначальный[[#This Row],[Просроченный платеж]]&lt;1,0,S19+1)</f>
        <v>0</v>
      </c>
      <c r="T20" s="100" cm="1">
        <f t="array" aca="1" ref="T20" ca="1">IF(Первоначальный[[#This Row],[Итого остаток на начало периода]]&lt;1,0,
IF(
AND(TYPE(VLOOKUP(1,$Z$12:Z20,1,0))=16,Первоначальный[[#This Row],[Досрочное погашение (да/"")]]=""),0,
_xlfn.IFS(AND(S19=0,Первоначальный[[#This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платеж]]&lt;&gt;0),MIN(LOOKUP(,-1/($Z$12:Z20=1),$C$12:C20)+LOOKUP(,-1/($Z$12:Z20=1),$H$12:H20),Первоначальный[[#This Row],[Полученный платеж]]+Y19),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платеж]]+Y19,SUM(Первоначальный[[#This Row],[Остаток процентов на начало периода]],Первоначальный[[#This Row],[Проценты за период]])),
AND(S19=0,Первоначальный[[#This Row],[Дата платежа из графика]]=""),0,
AND(S19=0,Первоначальный[[#This Row],[Дата платежа из графика]]=1,MAX((0&lt;&gt;S$12:S19)*ROW(S$12:S19),ROW($S$12))&gt;=MAX((1=Z$12:Z19)*ROW(Z$12:Z19),ROW($T$12)),TYPE(VLOOKUP("Да",(INDIRECT("AA"&amp;(MAX((1=Z$12:Z19)*ROW(Z$12:Z19),ROW($T$12))&amp;":AA"&amp;(ROW()-1)))),1,0))=16),MIN(LOOKUP(,-1/($Z$12:Z20=1),$C$12:C20)+LOOKUP(,-1/($Z$12:Z20=1),$H$12:H20),Первоначальный[[#This Row],[Полученный платеж]]+Y19),
AND(S19=0,TYPE(VLOOKUP("Да",(INDIRECT("AA"&amp;(MAX((1=Z$12:Z19)*ROW(Z$12:Z19),ROW($T$12))&amp;":AA"&amp;(ROW()-1)))),1,0))&lt;&gt;16),MIN(LOOKUP(,-1/($Z$12:Z20=1),$C$12:C20)+LOOKUP(,-1/($Z$12:Z20=1),$H$12:H20)-IF(AA19="Да",0,SUM(INDIRECT("T"&amp;(MAX(("Да"=AA$12:AA19)*ROW(AA$12:AA19)+1,ROW($T$12))&amp;":T"&amp;(ROW()-1))))),Первоначальный[[#This Row],[Полученный платеж]]+Y19),
AND(S19=0,MAX((0&lt;&gt;N$12:N19)*ROW(N$12:N19),ROW($S$12))&gt;=MAX((1=Z$12:Z19)*ROW(Z$12:Z19),ROW($T$12))),MIN(LOOKUP(,-1/($Z$12:Z20=1),$C$12:C20)+LOOKUP(,-1/($Z$12:Z20=1),$H$12:H20)-IF(N19&lt;&gt;0,0,SUM(INDIRECT("T"&amp;(MAX((0&lt;&gt;N$12:N19)*ROW(N$12:N19)+1,ROW($T$12))&amp;":T"&amp;(ROW()-1))))),Первоначальный[[#This Row],[Полученный платеж]]+Y19),
AND(S19=0,Первоначальный[[#This Row],[Дата платежа из графика]]=1),MIN(LOOKUP(,-1/($Z$12:Z20=1),$C$12:C20)+LOOKUP(,-1/($Z$12:Z20=1),$H$12:H20)-IF(Z19=1,0,SUM(INDIRECT("T"&amp;(MAX((1=Z$12:Z19)*ROW(Z$12:Z19)+1,ROW($T$12))&amp;":T"&amp;(ROW()-1))))),Первоначальный[[#This Row],[Полученный платеж]]+Y19),
AND(Z19&gt;0,Первоначальный[[#This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платеж]]+Y19),
AND(S19&gt;0,MAX((0&lt;&gt;S$12:S19)*ROW(S$12:S19),ROW($S$12))&gt;=MAX((1=Z$12:Z19)*ROW(Z$12:Z19),ROW($T$12)),TYPE(VLOOKUP("Да",(INDIRECT("AA"&amp;(MAX((1=Z$12:Z19)*ROW(Z$12:Z19),ROW($T$12))&amp;":AA"&amp;(ROW()-1)))),1,0))=16),MIN(LOOKUP(,-1/($Z$12:Z20=1),$C$12:C20)+LOOKUP(,-1/($Z$12:Z20=1),$H$12:H20)-SUM(INDIRECT("T"&amp;(MAX((1=Z$12:Z19)*ROW(Z$12:Z19),ROW($T$12))&amp;":T"&amp;(ROW()-1)))),Первоначальный[[#This Row],[Полученный платеж]]+Y19),
S19&gt;0,MIN(LOOKUP(,-1/($Z$12:Z20=1),$C$12:C20)+LOOKUP(,-1/($Z$12:Z20=1),$H$12:H20)-IF(Z19=1,0,SUM(INDIRECT("T"&amp;(MAX((1=Z$12:Z19)*ROW(Z$12:Z19)+1,ROW($T$12))&amp;":T"&amp;(ROW()-1))))),Первоначальный[[#This Row],[Полученный платеж]]+Y19)
)
)
)</f>
        <v>0</v>
      </c>
      <c r="U2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платеж]]+Y19-Первоначальный[[#This Row],[Полученный платёж по процентам]])</f>
        <v>0</v>
      </c>
      <c r="V20" s="55">
        <f t="shared" ca="1" si="0"/>
        <v>0</v>
      </c>
      <c r="W20" s="55" cm="1">
        <f t="array" aca="1" ref="W20" ca="1">IF(Первоначальный[[#This Row],[Итого остаток на начало периода]]&lt;1,0,
_xlfn.IFS(
AND(TYPE(VLOOKUP(1,$Z$12:Z20,1,0))=16,Первоначальный[[#This Row],[Досрочное погашение (да/"")]]=""),0,
AND(S19=0,Первоначальный[[#This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комиссиям]]),VLOOKUP(LOOKUP(,-1/($Z$12:Z20=1),$A$12:A20),График[[Срок конец]:[Возврат основной суммы долга]],3,0)),
AND(S19=0,Первоначальный[[#This Row],[Дата платежа из графика]]="",Первоначальный[[#This Row],[Досрочное погашение (да/"")]]&lt;&gt;"Да"),0,
AND(S19=0,Первоначальный[[#This Row],[Досрочное погашение (да/"")]]=""),MIN(Первоначальный[[#This Row],[Полученный платеж]]+Y19-SUM(Первоначальный[[#This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комиссиям]]),VLOOKUP(LOOKUP(,-1/($Z$12:Z20=1),$A$12:A20),График[[Срок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S19&gt;0,MIN(Первоначальный[[#This Row],[Полученный платеж]]+Y19-SUM(Первоначальный[[#This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комиссиям]]),SUM(INDIRECT("M"&amp;(MAX((1=S$12:S19)*ROW(S$12:S19),ROW($W$12))&amp;":M"&amp;(ROW()))))-SUM(INDIRECT("W"&amp;(MAX((1=S$12:S19)*ROW(S$12:S19),ROW($W$12))&amp;":W"&amp;(ROW()-1)))))
)
)</f>
        <v>0</v>
      </c>
      <c r="X20" s="55">
        <f t="shared" ca="1" si="1"/>
        <v>0</v>
      </c>
      <c r="Y20" s="101">
        <f t="shared" ca="1" si="9"/>
        <v>0</v>
      </c>
      <c r="Z20" s="133" t="str">
        <f>IF(TYPE((VLOOKUP(Первоначальный[[#This Row],[Дата платежа]],График[Срок конец],1,0)))=16,"",1)</f>
        <v/>
      </c>
      <c r="AA20" s="57"/>
      <c r="AB20" s="134"/>
      <c r="AC2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150000</v>
      </c>
      <c r="AD2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570.92000000000007</v>
      </c>
      <c r="AE2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2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20" s="55"/>
      <c r="AI20" s="55"/>
      <c r="AJ20" s="55"/>
      <c r="AK20" s="101">
        <f t="shared" ca="1" si="10"/>
        <v>150570.92000000001</v>
      </c>
      <c r="AL20" s="129">
        <f t="array" ref="AL20">MAX((УслРестрактов[Характеристика]="Дата реструктуризации")*(УслРестрактов[Значение]=Первоначальный!$A20),0)</f>
        <v>0</v>
      </c>
    </row>
    <row r="21" spans="1:38" x14ac:dyDescent="0.25">
      <c r="A21" s="97">
        <f t="shared" si="2"/>
        <v>44152</v>
      </c>
      <c r="B21" s="100">
        <f t="shared" ca="1" si="3"/>
        <v>150000</v>
      </c>
      <c r="C21" s="55">
        <f t="shared" ca="1" si="4"/>
        <v>570.92000000000007</v>
      </c>
      <c r="D21" s="55">
        <f t="shared" ca="1" si="4"/>
        <v>0</v>
      </c>
      <c r="E21" s="55">
        <f t="shared" ca="1" si="5"/>
        <v>0</v>
      </c>
      <c r="F21" s="55">
        <f t="shared" ca="1" si="6"/>
        <v>0</v>
      </c>
      <c r="G21" s="101">
        <f t="shared" ca="1" si="7"/>
        <v>150570.92000000001</v>
      </c>
      <c r="H21" s="100">
        <f ca="1">ROUND($B21*VLOOKUP($A21,$A$1:$B$10,2,1)/(365+IF(MOD(YEAR($A21),4),0,1)*($A21-$A20)),2)-Первоначальный[[#This Row],[Проценты на просроченный платеж по ОД за период]]</f>
        <v>81.56</v>
      </c>
      <c r="I21" s="55">
        <f t="shared" ca="1" si="8"/>
        <v>0</v>
      </c>
      <c r="J21" s="55">
        <v>0</v>
      </c>
      <c r="K21" s="55">
        <f t="shared" ca="1" si="11"/>
        <v>0</v>
      </c>
      <c r="L21" s="55">
        <v>0</v>
      </c>
      <c r="M21" s="113">
        <f>SUMIFS(График[Возврат основной суммы долга],График[Дата с учетом нерабочих дней],$A21)</f>
        <v>0</v>
      </c>
      <c r="N21" s="56">
        <f>SUMIFS(График[Возврат начисленных %],График[Дата с учетом нерабочих дней],$A21)</f>
        <v>0</v>
      </c>
      <c r="O21" s="101">
        <v>0</v>
      </c>
      <c r="P21" s="100" cm="1">
        <f t="array" aca="1" ref="P21" ca="1">MAX(IF(AA20="Да",0,SUM(INDIRECT("M"&amp;(MAX(("Да"=AA$12:AA20)*ROW(AA$12:AA20)+1,ROW($P$12))&amp;":M"&amp;(ROW()))))-SUM(INDIRECT("W"&amp;(MAX(("Да"=AA$12:AA20)*ROW(AA$12:AA20)+1,ROW($P$12))&amp;":W"&amp;(ROW()))))),0)</f>
        <v>0</v>
      </c>
      <c r="Q21" s="99">
        <f ca="1">MAX(SUM($N$13:N21)-SUM($T$13:T21),0)</f>
        <v>0</v>
      </c>
      <c r="R21" s="99">
        <f ca="1">Первоначальный[[#This Row],[Просроченный платеж по ОД]]+Первоначальный[[#This Row],[Просроченный платеж по процентам]]</f>
        <v>0</v>
      </c>
      <c r="S21" s="120">
        <f ca="1">IF(Первоначальный[[#This Row],[Просроченный платеж]]&lt;1,0,S20+1)</f>
        <v>0</v>
      </c>
      <c r="T21" s="100" cm="1">
        <f t="array" aca="1" ref="T21" ca="1">IF(Первоначальный[[#This Row],[Итого остаток на начало периода]]&lt;1,0,
IF(
AND(TYPE(VLOOKUP(1,$Z$12:Z21,1,0))=16,Первоначальный[[#This Row],[Досрочное погашение (да/"")]]=""),0,
_xlfn.IFS(AND(S20=0,Первоначальный[[#This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платеж]]&lt;&gt;0),MIN(LOOKUP(,-1/($Z$12:Z21=1),$C$12:C21)+LOOKUP(,-1/($Z$12:Z21=1),$H$12:H21),Первоначальный[[#This Row],[Полученный платеж]]+Y20),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платеж]]+Y20,SUM(Первоначальный[[#This Row],[Остаток процентов на начало периода]],Первоначальный[[#This Row],[Проценты за период]])),
AND(S20=0,Первоначальный[[#This Row],[Дата платежа из графика]]=""),0,
AND(S20=0,Первоначальный[[#This Row],[Дата платежа из графика]]=1,MAX((0&lt;&gt;S$12:S20)*ROW(S$12:S20),ROW($S$12))&gt;=MAX((1=Z$12:Z20)*ROW(Z$12:Z20),ROW($T$12)),TYPE(VLOOKUP("Да",(INDIRECT("AA"&amp;(MAX((1=Z$12:Z20)*ROW(Z$12:Z20),ROW($T$12))&amp;":AA"&amp;(ROW()-1)))),1,0))=16),MIN(LOOKUP(,-1/($Z$12:Z21=1),$C$12:C21)+LOOKUP(,-1/($Z$12:Z21=1),$H$12:H21),Первоначальный[[#This Row],[Полученный платеж]]+Y20),
AND(S20=0,TYPE(VLOOKUP("Да",(INDIRECT("AA"&amp;(MAX((1=Z$12:Z20)*ROW(Z$12:Z20),ROW($T$12))&amp;":AA"&amp;(ROW()-1)))),1,0))&lt;&gt;16),MIN(LOOKUP(,-1/($Z$12:Z21=1),$C$12:C21)+LOOKUP(,-1/($Z$12:Z21=1),$H$12:H21)-IF(AA20="Да",0,SUM(INDIRECT("T"&amp;(MAX(("Да"=AA$12:AA20)*ROW(AA$12:AA20)+1,ROW($T$12))&amp;":T"&amp;(ROW()-1))))),Первоначальный[[#This Row],[Полученный платеж]]+Y20),
AND(S20=0,MAX((0&lt;&gt;N$12:N20)*ROW(N$12:N20),ROW($S$12))&gt;=MAX((1=Z$12:Z20)*ROW(Z$12:Z20),ROW($T$12))),MIN(LOOKUP(,-1/($Z$12:Z21=1),$C$12:C21)+LOOKUP(,-1/($Z$12:Z21=1),$H$12:H21)-IF(N20&lt;&gt;0,0,SUM(INDIRECT("T"&amp;(MAX((0&lt;&gt;N$12:N20)*ROW(N$12:N20)+1,ROW($T$12))&amp;":T"&amp;(ROW()-1))))),Первоначальный[[#This Row],[Полученный платеж]]+Y20),
AND(S20=0,Первоначальный[[#This Row],[Дата платежа из графика]]=1),MIN(LOOKUP(,-1/($Z$12:Z21=1),$C$12:C21)+LOOKUP(,-1/($Z$12:Z21=1),$H$12:H21)-IF(Z20=1,0,SUM(INDIRECT("T"&amp;(MAX((1=Z$12:Z20)*ROW(Z$12:Z20)+1,ROW($T$12))&amp;":T"&amp;(ROW()-1))))),Первоначальный[[#This Row],[Полученный платеж]]+Y20),
AND(Z20&gt;0,Первоначальный[[#This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платеж]]+Y20),
AND(S20&gt;0,MAX((0&lt;&gt;S$12:S20)*ROW(S$12:S20),ROW($S$12))&gt;=MAX((1=Z$12:Z20)*ROW(Z$12:Z20),ROW($T$12)),TYPE(VLOOKUP("Да",(INDIRECT("AA"&amp;(MAX((1=Z$12:Z20)*ROW(Z$12:Z20),ROW($T$12))&amp;":AA"&amp;(ROW()-1)))),1,0))=16),MIN(LOOKUP(,-1/($Z$12:Z21=1),$C$12:C21)+LOOKUP(,-1/($Z$12:Z21=1),$H$12:H21)-SUM(INDIRECT("T"&amp;(MAX((1=Z$12:Z20)*ROW(Z$12:Z20),ROW($T$12))&amp;":T"&amp;(ROW()-1)))),Первоначальный[[#This Row],[Полученный платеж]]+Y20),
S20&gt;0,MIN(LOOKUP(,-1/($Z$12:Z21=1),$C$12:C21)+LOOKUP(,-1/($Z$12:Z21=1),$H$12:H21)-IF(Z20=1,0,SUM(INDIRECT("T"&amp;(MAX((1=Z$12:Z20)*ROW(Z$12:Z20)+1,ROW($T$12))&amp;":T"&amp;(ROW()-1))))),Первоначальный[[#This Row],[Полученный платеж]]+Y20)
)
)
)</f>
        <v>0</v>
      </c>
      <c r="U2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платеж]]+Y20-Первоначальный[[#This Row],[Полученный платёж по процентам]])</f>
        <v>0</v>
      </c>
      <c r="V21" s="55">
        <f t="shared" ca="1" si="0"/>
        <v>0</v>
      </c>
      <c r="W21" s="55" cm="1">
        <f t="array" aca="1" ref="W21" ca="1">IF(Первоначальный[[#This Row],[Итого остаток на начало периода]]&lt;1,0,
_xlfn.IFS(
AND(TYPE(VLOOKUP(1,$Z$12:Z21,1,0))=16,Первоначальный[[#This Row],[Досрочное погашение (да/"")]]=""),0,
AND(S20=0,Первоначальный[[#This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комиссиям]]),VLOOKUP(LOOKUP(,-1/($Z$12:Z21=1),$A$12:A21),График[[Срок конец]:[Возврат основной суммы долга]],3,0)),
AND(S20=0,Первоначальный[[#This Row],[Дата платежа из графика]]="",Первоначальный[[#This Row],[Досрочное погашение (да/"")]]&lt;&gt;"Да"),0,
AND(S20=0,Первоначальный[[#This Row],[Досрочное погашение (да/"")]]=""),MIN(Первоначальный[[#This Row],[Полученный платеж]]+Y20-SUM(Первоначальный[[#This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комиссиям]]),VLOOKUP(LOOKUP(,-1/($Z$12:Z21=1),$A$12:A21),График[[Срок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S20&gt;0,MIN(Первоначальный[[#This Row],[Полученный платеж]]+Y20-SUM(Первоначальный[[#This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комиссиям]]),SUM(INDIRECT("M"&amp;(MAX((1=S$12:S20)*ROW(S$12:S20),ROW($W$12))&amp;":M"&amp;(ROW()))))-SUM(INDIRECT("W"&amp;(MAX((1=S$12:S20)*ROW(S$12:S20),ROW($W$12))&amp;":W"&amp;(ROW()-1)))))
)
)</f>
        <v>0</v>
      </c>
      <c r="X21" s="55">
        <f t="shared" ca="1" si="1"/>
        <v>0</v>
      </c>
      <c r="Y21" s="101">
        <f t="shared" ca="1" si="9"/>
        <v>0</v>
      </c>
      <c r="Z21" s="133" t="str">
        <f>IF(TYPE((VLOOKUP(Первоначальный[[#This Row],[Дата платежа]],График[Срок конец],1,0)))=16,"",1)</f>
        <v/>
      </c>
      <c r="AA21" s="57"/>
      <c r="AB21" s="134"/>
      <c r="AC2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150000</v>
      </c>
      <c r="AD2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652.48</v>
      </c>
      <c r="AE2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2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21" s="55"/>
      <c r="AI21" s="55"/>
      <c r="AJ21" s="55"/>
      <c r="AK21" s="101">
        <f t="shared" ca="1" si="10"/>
        <v>150652.48000000001</v>
      </c>
      <c r="AL21" s="129">
        <f t="array" ref="AL21">MAX((УслРестрактов[Характеристика]="Дата реструктуризации")*(УслРестрактов[Значение]=Первоначальный!$A21),0)</f>
        <v>0</v>
      </c>
    </row>
    <row r="22" spans="1:38" x14ac:dyDescent="0.25">
      <c r="A22" s="97">
        <f t="shared" si="2"/>
        <v>44153</v>
      </c>
      <c r="B22" s="100">
        <f t="shared" ca="1" si="3"/>
        <v>150000</v>
      </c>
      <c r="C22" s="55">
        <f t="shared" ca="1" si="4"/>
        <v>652.48</v>
      </c>
      <c r="D22" s="55">
        <f t="shared" ca="1" si="4"/>
        <v>0</v>
      </c>
      <c r="E22" s="55">
        <f t="shared" ca="1" si="5"/>
        <v>0</v>
      </c>
      <c r="F22" s="55">
        <f t="shared" ca="1" si="6"/>
        <v>0</v>
      </c>
      <c r="G22" s="101">
        <f t="shared" ca="1" si="7"/>
        <v>150652.48000000001</v>
      </c>
      <c r="H22" s="100">
        <f ca="1">ROUND($B22*VLOOKUP($A22,$A$1:$B$10,2,1)/(365+IF(MOD(YEAR($A22),4),0,1)*($A22-$A21)),2)-Первоначальный[[#This Row],[Проценты на просроченный платеж по ОД за период]]</f>
        <v>81.56</v>
      </c>
      <c r="I22" s="55">
        <f t="shared" ca="1" si="8"/>
        <v>0</v>
      </c>
      <c r="J22" s="55">
        <v>0</v>
      </c>
      <c r="K22" s="55">
        <f t="shared" ca="1" si="11"/>
        <v>0</v>
      </c>
      <c r="L22" s="55">
        <v>0</v>
      </c>
      <c r="M22" s="113">
        <f>SUMIFS(График[Возврат основной суммы долга],График[Дата с учетом нерабочих дней],$A22)</f>
        <v>0</v>
      </c>
      <c r="N22" s="56">
        <f>SUMIFS(График[Возврат начисленных %],График[Дата с учетом нерабочих дней],$A22)</f>
        <v>0</v>
      </c>
      <c r="O22" s="101">
        <v>0</v>
      </c>
      <c r="P22" s="100" cm="1">
        <f t="array" aca="1" ref="P22" ca="1">MAX(IF(AA21="Да",0,SUM(INDIRECT("M"&amp;(MAX(("Да"=AA$12:AA21)*ROW(AA$12:AA21)+1,ROW($P$12))&amp;":M"&amp;(ROW()))))-SUM(INDIRECT("W"&amp;(MAX(("Да"=AA$12:AA21)*ROW(AA$12:AA21)+1,ROW($P$12))&amp;":W"&amp;(ROW()))))),0)</f>
        <v>0</v>
      </c>
      <c r="Q22" s="99">
        <f ca="1">MAX(SUM($N$13:N22)-SUM($T$13:T22),0)</f>
        <v>0</v>
      </c>
      <c r="R22" s="99">
        <f ca="1">Первоначальный[[#This Row],[Просроченный платеж по ОД]]+Первоначальный[[#This Row],[Просроченный платеж по процентам]]</f>
        <v>0</v>
      </c>
      <c r="S22" s="120">
        <f ca="1">IF(Первоначальный[[#This Row],[Просроченный платеж]]&lt;1,0,S21+1)</f>
        <v>0</v>
      </c>
      <c r="T22" s="100" cm="1">
        <f t="array" aca="1" ref="T22" ca="1">IF(Первоначальный[[#This Row],[Итого остаток на начало периода]]&lt;1,0,
IF(
AND(TYPE(VLOOKUP(1,$Z$12:Z22,1,0))=16,Первоначальный[[#This Row],[Досрочное погашение (да/"")]]=""),0,
_xlfn.IFS(AND(S21=0,Первоначальный[[#This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платеж]]&lt;&gt;0),MIN(LOOKUP(,-1/($Z$12:Z22=1),$C$12:C22)+LOOKUP(,-1/($Z$12:Z22=1),$H$12:H22),Первоначальный[[#This Row],[Полученный платеж]]+Y21),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платеж]]+Y21,SUM(Первоначальный[[#This Row],[Остаток процентов на начало периода]],Первоначальный[[#This Row],[Проценты за период]])),
AND(S21=0,Первоначальный[[#This Row],[Дата платежа из графика]]=""),0,
AND(S21=0,Первоначальный[[#This Row],[Дата платежа из графика]]=1,MAX((0&lt;&gt;S$12:S21)*ROW(S$12:S21),ROW($S$12))&gt;=MAX((1=Z$12:Z21)*ROW(Z$12:Z21),ROW($T$12)),TYPE(VLOOKUP("Да",(INDIRECT("AA"&amp;(MAX((1=Z$12:Z21)*ROW(Z$12:Z21),ROW($T$12))&amp;":AA"&amp;(ROW()-1)))),1,0))=16),MIN(LOOKUP(,-1/($Z$12:Z22=1),$C$12:C22)+LOOKUP(,-1/($Z$12:Z22=1),$H$12:H22),Первоначальный[[#This Row],[Полученный платеж]]+Y21),
AND(S21=0,TYPE(VLOOKUP("Да",(INDIRECT("AA"&amp;(MAX((1=Z$12:Z21)*ROW(Z$12:Z21),ROW($T$12))&amp;":AA"&amp;(ROW()-1)))),1,0))&lt;&gt;16),MIN(LOOKUP(,-1/($Z$12:Z22=1),$C$12:C22)+LOOKUP(,-1/($Z$12:Z22=1),$H$12:H22)-IF(AA21="Да",0,SUM(INDIRECT("T"&amp;(MAX(("Да"=AA$12:AA21)*ROW(AA$12:AA21)+1,ROW($T$12))&amp;":T"&amp;(ROW()-1))))),Первоначальный[[#This Row],[Полученный платеж]]+Y21),
AND(S21=0,MAX((0&lt;&gt;N$12:N21)*ROW(N$12:N21),ROW($S$12))&gt;=MAX((1=Z$12:Z21)*ROW(Z$12:Z21),ROW($T$12))),MIN(LOOKUP(,-1/($Z$12:Z22=1),$C$12:C22)+LOOKUP(,-1/($Z$12:Z22=1),$H$12:H22)-IF(N21&lt;&gt;0,0,SUM(INDIRECT("T"&amp;(MAX((0&lt;&gt;N$12:N21)*ROW(N$12:N21)+1,ROW($T$12))&amp;":T"&amp;(ROW()-1))))),Первоначальный[[#This Row],[Полученный платеж]]+Y21),
AND(S21=0,Первоначальный[[#This Row],[Дата платежа из графика]]=1),MIN(LOOKUP(,-1/($Z$12:Z22=1),$C$12:C22)+LOOKUP(,-1/($Z$12:Z22=1),$H$12:H22)-IF(Z21=1,0,SUM(INDIRECT("T"&amp;(MAX((1=Z$12:Z21)*ROW(Z$12:Z21)+1,ROW($T$12))&amp;":T"&amp;(ROW()-1))))),Первоначальный[[#This Row],[Полученный платеж]]+Y21),
AND(Z21&gt;0,Первоначальный[[#This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платеж]]+Y21),
AND(S21&gt;0,MAX((0&lt;&gt;S$12:S21)*ROW(S$12:S21),ROW($S$12))&gt;=MAX((1=Z$12:Z21)*ROW(Z$12:Z21),ROW($T$12)),TYPE(VLOOKUP("Да",(INDIRECT("AA"&amp;(MAX((1=Z$12:Z21)*ROW(Z$12:Z21),ROW($T$12))&amp;":AA"&amp;(ROW()-1)))),1,0))=16),MIN(LOOKUP(,-1/($Z$12:Z22=1),$C$12:C22)+LOOKUP(,-1/($Z$12:Z22=1),$H$12:H22)-SUM(INDIRECT("T"&amp;(MAX((1=Z$12:Z21)*ROW(Z$12:Z21),ROW($T$12))&amp;":T"&amp;(ROW()-1)))),Первоначальный[[#This Row],[Полученный платеж]]+Y21),
S21&gt;0,MIN(LOOKUP(,-1/($Z$12:Z22=1),$C$12:C22)+LOOKUP(,-1/($Z$12:Z22=1),$H$12:H22)-IF(Z21=1,0,SUM(INDIRECT("T"&amp;(MAX((1=Z$12:Z21)*ROW(Z$12:Z21)+1,ROW($T$12))&amp;":T"&amp;(ROW()-1))))),Первоначальный[[#This Row],[Полученный платеж]]+Y21)
)
)
)</f>
        <v>0</v>
      </c>
      <c r="U2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платеж]]+Y21-Первоначальный[[#This Row],[Полученный платёж по процентам]])</f>
        <v>0</v>
      </c>
      <c r="V22" s="55">
        <f t="shared" ca="1" si="0"/>
        <v>0</v>
      </c>
      <c r="W22" s="55" cm="1">
        <f t="array" aca="1" ref="W22" ca="1">IF(Первоначальный[[#This Row],[Итого остаток на начало периода]]&lt;1,0,
_xlfn.IFS(
AND(TYPE(VLOOKUP(1,$Z$12:Z22,1,0))=16,Первоначальный[[#This Row],[Досрочное погашение (да/"")]]=""),0,
AND(S21=0,Первоначальный[[#This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комиссиям]]),VLOOKUP(LOOKUP(,-1/($Z$12:Z22=1),$A$12:A22),График[[Срок конец]:[Возврат основной суммы долга]],3,0)),
AND(S21=0,Первоначальный[[#This Row],[Дата платежа из графика]]="",Первоначальный[[#This Row],[Досрочное погашение (да/"")]]&lt;&gt;"Да"),0,
AND(S21=0,Первоначальный[[#This Row],[Досрочное погашение (да/"")]]=""),MIN(Первоначальный[[#This Row],[Полученный платеж]]+Y21-SUM(Первоначальный[[#This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комиссиям]]),VLOOKUP(LOOKUP(,-1/($Z$12:Z22=1),$A$12:A22),График[[Срок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S21&gt;0,MIN(Первоначальный[[#This Row],[Полученный платеж]]+Y21-SUM(Первоначальный[[#This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комиссиям]]),SUM(INDIRECT("M"&amp;(MAX((1=S$12:S21)*ROW(S$12:S21),ROW($W$12))&amp;":M"&amp;(ROW()))))-SUM(INDIRECT("W"&amp;(MAX((1=S$12:S21)*ROW(S$12:S21),ROW($W$12))&amp;":W"&amp;(ROW()-1)))))
)
)</f>
        <v>0</v>
      </c>
      <c r="X22" s="55">
        <f t="shared" ca="1" si="1"/>
        <v>0</v>
      </c>
      <c r="Y22" s="101">
        <f t="shared" ca="1" si="9"/>
        <v>0</v>
      </c>
      <c r="Z22" s="133" t="str">
        <f>IF(TYPE((VLOOKUP(Первоначальный[[#This Row],[Дата платежа]],График[Срок конец],1,0)))=16,"",1)</f>
        <v/>
      </c>
      <c r="AA22" s="57"/>
      <c r="AB22" s="134"/>
      <c r="AC2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150000</v>
      </c>
      <c r="AD2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734.04</v>
      </c>
      <c r="AE2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2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22" s="55"/>
      <c r="AI22" s="55"/>
      <c r="AJ22" s="55"/>
      <c r="AK22" s="101">
        <f t="shared" ca="1" si="10"/>
        <v>150734.04</v>
      </c>
      <c r="AL22" s="129">
        <f t="array" ref="AL22">MAX((УслРестрактов[Характеристика]="Дата реструктуризации")*(УслРестрактов[Значение]=Первоначальный!$A22),0)</f>
        <v>0</v>
      </c>
    </row>
    <row r="23" spans="1:38" x14ac:dyDescent="0.25">
      <c r="A23" s="97">
        <f t="shared" si="2"/>
        <v>44154</v>
      </c>
      <c r="B23" s="100">
        <f t="shared" ca="1" si="3"/>
        <v>150000</v>
      </c>
      <c r="C23" s="55">
        <f t="shared" ca="1" si="4"/>
        <v>734.04</v>
      </c>
      <c r="D23" s="55">
        <f t="shared" ca="1" si="4"/>
        <v>0</v>
      </c>
      <c r="E23" s="55">
        <f t="shared" ca="1" si="5"/>
        <v>0</v>
      </c>
      <c r="F23" s="55">
        <f t="shared" ca="1" si="6"/>
        <v>0</v>
      </c>
      <c r="G23" s="101">
        <f t="shared" ca="1" si="7"/>
        <v>150734.04</v>
      </c>
      <c r="H23" s="100">
        <f ca="1">ROUND($B23*VLOOKUP($A23,$A$1:$B$10,2,1)/(365+IF(MOD(YEAR($A23),4),0,1)*($A23-$A22)),2)-Первоначальный[[#This Row],[Проценты на просроченный платеж по ОД за период]]</f>
        <v>81.56</v>
      </c>
      <c r="I23" s="55">
        <f t="shared" ca="1" si="8"/>
        <v>0</v>
      </c>
      <c r="J23" s="55">
        <v>0</v>
      </c>
      <c r="K23" s="55">
        <f t="shared" ca="1" si="11"/>
        <v>0</v>
      </c>
      <c r="L23" s="55">
        <v>0</v>
      </c>
      <c r="M23" s="113">
        <f>SUMIFS(График[Возврат основной суммы долга],График[Дата с учетом нерабочих дней],$A23)</f>
        <v>0</v>
      </c>
      <c r="N23" s="56">
        <f>SUMIFS(График[Возврат начисленных %],График[Дата с учетом нерабочих дней],$A23)</f>
        <v>0</v>
      </c>
      <c r="O23" s="101">
        <v>0</v>
      </c>
      <c r="P23" s="100" cm="1">
        <f t="array" aca="1" ref="P23" ca="1">MAX(IF(AA22="Да",0,SUM(INDIRECT("M"&amp;(MAX(("Да"=AA$12:AA22)*ROW(AA$12:AA22)+1,ROW($P$12))&amp;":M"&amp;(ROW()))))-SUM(INDIRECT("W"&amp;(MAX(("Да"=AA$12:AA22)*ROW(AA$12:AA22)+1,ROW($P$12))&amp;":W"&amp;(ROW()))))),0)</f>
        <v>0</v>
      </c>
      <c r="Q23" s="99">
        <f ca="1">MAX(SUM($N$13:N23)-SUM($T$13:T23),0)</f>
        <v>0</v>
      </c>
      <c r="R23" s="99">
        <f ca="1">Первоначальный[[#This Row],[Просроченный платеж по ОД]]+Первоначальный[[#This Row],[Просроченный платеж по процентам]]</f>
        <v>0</v>
      </c>
      <c r="S23" s="120">
        <f ca="1">IF(Первоначальный[[#This Row],[Просроченный платеж]]&lt;1,0,S22+1)</f>
        <v>0</v>
      </c>
      <c r="T23" s="100" cm="1">
        <f t="array" aca="1" ref="T23" ca="1">IF(Первоначальный[[#This Row],[Итого остаток на начало периода]]&lt;1,0,
IF(
AND(TYPE(VLOOKUP(1,$Z$12:Z23,1,0))=16,Первоначальный[[#This Row],[Досрочное погашение (да/"")]]=""),0,
_xlfn.IFS(AND(S22=0,Первоначальный[[#This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платеж]]&lt;&gt;0),MIN(LOOKUP(,-1/($Z$12:Z23=1),$C$12:C23)+LOOKUP(,-1/($Z$12:Z23=1),$H$12:H23),Первоначальный[[#This Row],[Полученный платеж]]+Y22),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платеж]]+Y22,SUM(Первоначальный[[#This Row],[Остаток процентов на начало периода]],Первоначальный[[#This Row],[Проценты за период]])),
AND(S22=0,Первоначальный[[#This Row],[Дата платежа из графика]]=""),0,
AND(S22=0,Первоначальный[[#This Row],[Дата платежа из графика]]=1,MAX((0&lt;&gt;S$12:S22)*ROW(S$12:S22),ROW($S$12))&gt;=MAX((1=Z$12:Z22)*ROW(Z$12:Z22),ROW($T$12)),TYPE(VLOOKUP("Да",(INDIRECT("AA"&amp;(MAX((1=Z$12:Z22)*ROW(Z$12:Z22),ROW($T$12))&amp;":AA"&amp;(ROW()-1)))),1,0))=16),MIN(LOOKUP(,-1/($Z$12:Z23=1),$C$12:C23)+LOOKUP(,-1/($Z$12:Z23=1),$H$12:H23),Первоначальный[[#This Row],[Полученный платеж]]+Y22),
AND(S22=0,TYPE(VLOOKUP("Да",(INDIRECT("AA"&amp;(MAX((1=Z$12:Z22)*ROW(Z$12:Z22),ROW($T$12))&amp;":AA"&amp;(ROW()-1)))),1,0))&lt;&gt;16),MIN(LOOKUP(,-1/($Z$12:Z23=1),$C$12:C23)+LOOKUP(,-1/($Z$12:Z23=1),$H$12:H23)-IF(AA22="Да",0,SUM(INDIRECT("T"&amp;(MAX(("Да"=AA$12:AA22)*ROW(AA$12:AA22)+1,ROW($T$12))&amp;":T"&amp;(ROW()-1))))),Первоначальный[[#This Row],[Полученный платеж]]+Y22),
AND(S22=0,MAX((0&lt;&gt;N$12:N22)*ROW(N$12:N22),ROW($S$12))&gt;=MAX((1=Z$12:Z22)*ROW(Z$12:Z22),ROW($T$12))),MIN(LOOKUP(,-1/($Z$12:Z23=1),$C$12:C23)+LOOKUP(,-1/($Z$12:Z23=1),$H$12:H23)-IF(N22&lt;&gt;0,0,SUM(INDIRECT("T"&amp;(MAX((0&lt;&gt;N$12:N22)*ROW(N$12:N22)+1,ROW($T$12))&amp;":T"&amp;(ROW()-1))))),Первоначальный[[#This Row],[Полученный платеж]]+Y22),
AND(S22=0,Первоначальный[[#This Row],[Дата платежа из графика]]=1),MIN(LOOKUP(,-1/($Z$12:Z23=1),$C$12:C23)+LOOKUP(,-1/($Z$12:Z23=1),$H$12:H23)-IF(Z22=1,0,SUM(INDIRECT("T"&amp;(MAX((1=Z$12:Z22)*ROW(Z$12:Z22)+1,ROW($T$12))&amp;":T"&amp;(ROW()-1))))),Первоначальный[[#This Row],[Полученный платеж]]+Y22),
AND(Z22&gt;0,Первоначальный[[#This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платеж]]+Y22),
AND(S22&gt;0,MAX((0&lt;&gt;S$12:S22)*ROW(S$12:S22),ROW($S$12))&gt;=MAX((1=Z$12:Z22)*ROW(Z$12:Z22),ROW($T$12)),TYPE(VLOOKUP("Да",(INDIRECT("AA"&amp;(MAX((1=Z$12:Z22)*ROW(Z$12:Z22),ROW($T$12))&amp;":AA"&amp;(ROW()-1)))),1,0))=16),MIN(LOOKUP(,-1/($Z$12:Z23=1),$C$12:C23)+LOOKUP(,-1/($Z$12:Z23=1),$H$12:H23)-SUM(INDIRECT("T"&amp;(MAX((1=Z$12:Z22)*ROW(Z$12:Z22),ROW($T$12))&amp;":T"&amp;(ROW()-1)))),Первоначальный[[#This Row],[Полученный платеж]]+Y22),
S22&gt;0,MIN(LOOKUP(,-1/($Z$12:Z23=1),$C$12:C23)+LOOKUP(,-1/($Z$12:Z23=1),$H$12:H23)-IF(Z22=1,0,SUM(INDIRECT("T"&amp;(MAX((1=Z$12:Z22)*ROW(Z$12:Z22)+1,ROW($T$12))&amp;":T"&amp;(ROW()-1))))),Первоначальный[[#This Row],[Полученный платеж]]+Y22)
)
)
)</f>
        <v>0</v>
      </c>
      <c r="U2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платеж]]+Y22-Первоначальный[[#This Row],[Полученный платёж по процентам]])</f>
        <v>0</v>
      </c>
      <c r="V23" s="55">
        <f t="shared" ca="1" si="0"/>
        <v>0</v>
      </c>
      <c r="W23" s="55" cm="1">
        <f t="array" aca="1" ref="W23" ca="1">IF(Первоначальный[[#This Row],[Итого остаток на начало периода]]&lt;1,0,
_xlfn.IFS(
AND(TYPE(VLOOKUP(1,$Z$12:Z23,1,0))=16,Первоначальный[[#This Row],[Досрочное погашение (да/"")]]=""),0,
AND(S22=0,Первоначальный[[#This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комиссиям]]),VLOOKUP(LOOKUP(,-1/($Z$12:Z23=1),$A$12:A23),График[[Срок конец]:[Возврат основной суммы долга]],3,0)),
AND(S22=0,Первоначальный[[#This Row],[Дата платежа из графика]]="",Первоначальный[[#This Row],[Досрочное погашение (да/"")]]&lt;&gt;"Да"),0,
AND(S22=0,Первоначальный[[#This Row],[Досрочное погашение (да/"")]]=""),MIN(Первоначальный[[#This Row],[Полученный платеж]]+Y22-SUM(Первоначальный[[#This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комиссиям]]),VLOOKUP(LOOKUP(,-1/($Z$12:Z23=1),$A$12:A23),График[[Срок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S22&gt;0,MIN(Первоначальный[[#This Row],[Полученный платеж]]+Y22-SUM(Первоначальный[[#This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комиссиям]]),SUM(INDIRECT("M"&amp;(MAX((1=S$12:S22)*ROW(S$12:S22),ROW($W$12))&amp;":M"&amp;(ROW()))))-SUM(INDIRECT("W"&amp;(MAX((1=S$12:S22)*ROW(S$12:S22),ROW($W$12))&amp;":W"&amp;(ROW()-1)))))
)
)</f>
        <v>0</v>
      </c>
      <c r="X23" s="55">
        <f t="shared" ca="1" si="1"/>
        <v>0</v>
      </c>
      <c r="Y23" s="101">
        <f t="shared" ca="1" si="9"/>
        <v>0</v>
      </c>
      <c r="Z23" s="133" t="str">
        <f>IF(TYPE((VLOOKUP(Первоначальный[[#This Row],[Дата платежа]],График[Срок конец],1,0)))=16,"",1)</f>
        <v/>
      </c>
      <c r="AA23" s="57"/>
      <c r="AB23" s="134"/>
      <c r="AC2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150000</v>
      </c>
      <c r="AD2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815.59999999999991</v>
      </c>
      <c r="AE2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2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23" s="55"/>
      <c r="AI23" s="55"/>
      <c r="AJ23" s="55"/>
      <c r="AK23" s="101">
        <f t="shared" ca="1" si="10"/>
        <v>150815.6</v>
      </c>
      <c r="AL23" s="129">
        <f t="array" ref="AL23">MAX((УслРестрактов[Характеристика]="Дата реструктуризации")*(УслРестрактов[Значение]=Первоначальный!$A23),0)</f>
        <v>0</v>
      </c>
    </row>
    <row r="24" spans="1:38" x14ac:dyDescent="0.25">
      <c r="A24" s="97">
        <f t="shared" si="2"/>
        <v>44155</v>
      </c>
      <c r="B24" s="100">
        <f t="shared" ca="1" si="3"/>
        <v>150000</v>
      </c>
      <c r="C24" s="55">
        <f t="shared" ca="1" si="4"/>
        <v>815.59999999999991</v>
      </c>
      <c r="D24" s="55">
        <f t="shared" ca="1" si="4"/>
        <v>0</v>
      </c>
      <c r="E24" s="55">
        <f t="shared" ca="1" si="5"/>
        <v>0</v>
      </c>
      <c r="F24" s="55">
        <f t="shared" ca="1" si="6"/>
        <v>0</v>
      </c>
      <c r="G24" s="101">
        <f t="shared" ca="1" si="7"/>
        <v>150815.6</v>
      </c>
      <c r="H24" s="100">
        <f ca="1">ROUND($B24*VLOOKUP($A24,$A$1:$B$10,2,1)/(365+IF(MOD(YEAR($A24),4),0,1)*($A24-$A23)),2)-Первоначальный[[#This Row],[Проценты на просроченный платеж по ОД за период]]</f>
        <v>81.56</v>
      </c>
      <c r="I24" s="55">
        <f t="shared" ca="1" si="8"/>
        <v>0</v>
      </c>
      <c r="J24" s="55">
        <v>0</v>
      </c>
      <c r="K24" s="55">
        <f t="shared" ca="1" si="11"/>
        <v>0</v>
      </c>
      <c r="L24" s="55">
        <v>0</v>
      </c>
      <c r="M24" s="113">
        <f>SUMIFS(График[Возврат основной суммы долга],График[Дата с учетом нерабочих дней],$A24)</f>
        <v>0</v>
      </c>
      <c r="N24" s="56">
        <f>SUMIFS(График[Возврат начисленных %],График[Дата с учетом нерабочих дней],$A24)</f>
        <v>0</v>
      </c>
      <c r="O24" s="101">
        <v>0</v>
      </c>
      <c r="P24" s="100" cm="1">
        <f t="array" aca="1" ref="P24" ca="1">MAX(IF(AA23="Да",0,SUM(INDIRECT("M"&amp;(MAX(("Да"=AA$12:AA23)*ROW(AA$12:AA23)+1,ROW($P$12))&amp;":M"&amp;(ROW()))))-SUM(INDIRECT("W"&amp;(MAX(("Да"=AA$12:AA23)*ROW(AA$12:AA23)+1,ROW($P$12))&amp;":W"&amp;(ROW()))))),0)</f>
        <v>0</v>
      </c>
      <c r="Q24" s="99">
        <f ca="1">MAX(SUM($N$13:N24)-SUM($T$13:T24),0)</f>
        <v>0</v>
      </c>
      <c r="R24" s="99">
        <f ca="1">Первоначальный[[#This Row],[Просроченный платеж по ОД]]+Первоначальный[[#This Row],[Просроченный платеж по процентам]]</f>
        <v>0</v>
      </c>
      <c r="S24" s="120">
        <f ca="1">IF(Первоначальный[[#This Row],[Просроченный платеж]]&lt;1,0,S23+1)</f>
        <v>0</v>
      </c>
      <c r="T24" s="100" cm="1">
        <f t="array" aca="1" ref="T24" ca="1">IF(Первоначальный[[#This Row],[Итого остаток на начало периода]]&lt;1,0,
IF(
AND(TYPE(VLOOKUP(1,$Z$12:Z24,1,0))=16,Первоначальный[[#This Row],[Досрочное погашение (да/"")]]=""),0,
_xlfn.IFS(AND(S23=0,Первоначальный[[#This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платеж]]&lt;&gt;0),MIN(LOOKUP(,-1/($Z$12:Z24=1),$C$12:C24)+LOOKUP(,-1/($Z$12:Z24=1),$H$12:H24),Первоначальный[[#This Row],[Полученный платеж]]+Y23),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платеж]]+Y23,SUM(Первоначальный[[#This Row],[Остаток процентов на начало периода]],Первоначальный[[#This Row],[Проценты за период]])),
AND(S23=0,Первоначальный[[#This Row],[Дата платежа из графика]]=""),0,
AND(S23=0,Первоначальный[[#This Row],[Дата платежа из графика]]=1,MAX((0&lt;&gt;S$12:S23)*ROW(S$12:S23),ROW($S$12))&gt;=MAX((1=Z$12:Z23)*ROW(Z$12:Z23),ROW($T$12)),TYPE(VLOOKUP("Да",(INDIRECT("AA"&amp;(MAX((1=Z$12:Z23)*ROW(Z$12:Z23),ROW($T$12))&amp;":AA"&amp;(ROW()-1)))),1,0))=16),MIN(LOOKUP(,-1/($Z$12:Z24=1),$C$12:C24)+LOOKUP(,-1/($Z$12:Z24=1),$H$12:H24),Первоначальный[[#This Row],[Полученный платеж]]+Y23),
AND(S23=0,TYPE(VLOOKUP("Да",(INDIRECT("AA"&amp;(MAX((1=Z$12:Z23)*ROW(Z$12:Z23),ROW($T$12))&amp;":AA"&amp;(ROW()-1)))),1,0))&lt;&gt;16),MIN(LOOKUP(,-1/($Z$12:Z24=1),$C$12:C24)+LOOKUP(,-1/($Z$12:Z24=1),$H$12:H24)-IF(AA23="Да",0,SUM(INDIRECT("T"&amp;(MAX(("Да"=AA$12:AA23)*ROW(AA$12:AA23)+1,ROW($T$12))&amp;":T"&amp;(ROW()-1))))),Первоначальный[[#This Row],[Полученный платеж]]+Y23),
AND(S23=0,MAX((0&lt;&gt;N$12:N23)*ROW(N$12:N23),ROW($S$12))&gt;=MAX((1=Z$12:Z23)*ROW(Z$12:Z23),ROW($T$12))),MIN(LOOKUP(,-1/($Z$12:Z24=1),$C$12:C24)+LOOKUP(,-1/($Z$12:Z24=1),$H$12:H24)-IF(N23&lt;&gt;0,0,SUM(INDIRECT("T"&amp;(MAX((0&lt;&gt;N$12:N23)*ROW(N$12:N23)+1,ROW($T$12))&amp;":T"&amp;(ROW()-1))))),Первоначальный[[#This Row],[Полученный платеж]]+Y23),
AND(S23=0,Первоначальный[[#This Row],[Дата платежа из графика]]=1),MIN(LOOKUP(,-1/($Z$12:Z24=1),$C$12:C24)+LOOKUP(,-1/($Z$12:Z24=1),$H$12:H24)-IF(Z23=1,0,SUM(INDIRECT("T"&amp;(MAX((1=Z$12:Z23)*ROW(Z$12:Z23)+1,ROW($T$12))&amp;":T"&amp;(ROW()-1))))),Первоначальный[[#This Row],[Полученный платеж]]+Y23),
AND(Z23&gt;0,Первоначальный[[#This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платеж]]+Y23),
AND(S23&gt;0,MAX((0&lt;&gt;S$12:S23)*ROW(S$12:S23),ROW($S$12))&gt;=MAX((1=Z$12:Z23)*ROW(Z$12:Z23),ROW($T$12)),TYPE(VLOOKUP("Да",(INDIRECT("AA"&amp;(MAX((1=Z$12:Z23)*ROW(Z$12:Z23),ROW($T$12))&amp;":AA"&amp;(ROW()-1)))),1,0))=16),MIN(LOOKUP(,-1/($Z$12:Z24=1),$C$12:C24)+LOOKUP(,-1/($Z$12:Z24=1),$H$12:H24)-SUM(INDIRECT("T"&amp;(MAX((1=Z$12:Z23)*ROW(Z$12:Z23),ROW($T$12))&amp;":T"&amp;(ROW()-1)))),Первоначальный[[#This Row],[Полученный платеж]]+Y23),
S23&gt;0,MIN(LOOKUP(,-1/($Z$12:Z24=1),$C$12:C24)+LOOKUP(,-1/($Z$12:Z24=1),$H$12:H24)-IF(Z23=1,0,SUM(INDIRECT("T"&amp;(MAX((1=Z$12:Z23)*ROW(Z$12:Z23)+1,ROW($T$12))&amp;":T"&amp;(ROW()-1))))),Первоначальный[[#This Row],[Полученный платеж]]+Y23)
)
)
)</f>
        <v>0</v>
      </c>
      <c r="U2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платеж]]+Y23-Первоначальный[[#This Row],[Полученный платёж по процентам]])</f>
        <v>0</v>
      </c>
      <c r="V24" s="55">
        <f t="shared" ca="1" si="0"/>
        <v>0</v>
      </c>
      <c r="W24" s="55" cm="1">
        <f t="array" aca="1" ref="W24" ca="1">IF(Первоначальный[[#This Row],[Итого остаток на начало периода]]&lt;1,0,
_xlfn.IFS(
AND(TYPE(VLOOKUP(1,$Z$12:Z24,1,0))=16,Первоначальный[[#This Row],[Досрочное погашение (да/"")]]=""),0,
AND(S23=0,Первоначальный[[#This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комиссиям]]),VLOOKUP(LOOKUP(,-1/($Z$12:Z24=1),$A$12:A24),График[[Срок конец]:[Возврат основной суммы долга]],3,0)),
AND(S23=0,Первоначальный[[#This Row],[Дата платежа из графика]]="",Первоначальный[[#This Row],[Досрочное погашение (да/"")]]&lt;&gt;"Да"),0,
AND(S23=0,Первоначальный[[#This Row],[Досрочное погашение (да/"")]]=""),MIN(Первоначальный[[#This Row],[Полученный платеж]]+Y23-SUM(Первоначальный[[#This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комиссиям]]),VLOOKUP(LOOKUP(,-1/($Z$12:Z24=1),$A$12:A24),График[[Срок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S23&gt;0,MIN(Первоначальный[[#This Row],[Полученный платеж]]+Y23-SUM(Первоначальный[[#This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комиссиям]]),SUM(INDIRECT("M"&amp;(MAX((1=S$12:S23)*ROW(S$12:S23),ROW($W$12))&amp;":M"&amp;(ROW()))))-SUM(INDIRECT("W"&amp;(MAX((1=S$12:S23)*ROW(S$12:S23),ROW($W$12))&amp;":W"&amp;(ROW()-1)))))
)
)</f>
        <v>0</v>
      </c>
      <c r="X24" s="55">
        <f t="shared" ca="1" si="1"/>
        <v>0</v>
      </c>
      <c r="Y24" s="101">
        <f t="shared" ca="1" si="9"/>
        <v>0</v>
      </c>
      <c r="Z24" s="133" t="str">
        <f>IF(TYPE((VLOOKUP(Первоначальный[[#This Row],[Дата платежа]],График[Срок конец],1,0)))=16,"",1)</f>
        <v/>
      </c>
      <c r="AA24" s="57"/>
      <c r="AB24" s="134"/>
      <c r="AC2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150000</v>
      </c>
      <c r="AD2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897.15999999999985</v>
      </c>
      <c r="AE2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2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24" s="55"/>
      <c r="AI24" s="55"/>
      <c r="AJ24" s="55"/>
      <c r="AK24" s="101">
        <f t="shared" ca="1" si="10"/>
        <v>150897.16</v>
      </c>
      <c r="AL24" s="129">
        <f t="array" ref="AL24">MAX((УслРестрактов[Характеристика]="Дата реструктуризации")*(УслРестрактов[Значение]=Первоначальный!$A24),0)</f>
        <v>0</v>
      </c>
    </row>
    <row r="25" spans="1:38" x14ac:dyDescent="0.25">
      <c r="A25" s="97">
        <f t="shared" si="2"/>
        <v>44156</v>
      </c>
      <c r="B25" s="100">
        <f t="shared" ca="1" si="3"/>
        <v>150000</v>
      </c>
      <c r="C25" s="55">
        <f t="shared" ca="1" si="4"/>
        <v>897.15999999999985</v>
      </c>
      <c r="D25" s="55">
        <f t="shared" ca="1" si="4"/>
        <v>0</v>
      </c>
      <c r="E25" s="55">
        <f t="shared" ca="1" si="5"/>
        <v>0</v>
      </c>
      <c r="F25" s="55">
        <f t="shared" ca="1" si="6"/>
        <v>0</v>
      </c>
      <c r="G25" s="101">
        <f t="shared" ca="1" si="7"/>
        <v>150897.16</v>
      </c>
      <c r="H25" s="100">
        <f ca="1">ROUND($B25*VLOOKUP($A25,$A$1:$B$10,2,1)/(365+IF(MOD(YEAR($A25),4),0,1)*($A25-$A24)),2)-Первоначальный[[#This Row],[Проценты на просроченный платеж по ОД за период]]</f>
        <v>81.56</v>
      </c>
      <c r="I25" s="55">
        <f t="shared" ca="1" si="8"/>
        <v>0</v>
      </c>
      <c r="J25" s="55">
        <v>0</v>
      </c>
      <c r="K25" s="55">
        <f t="shared" ca="1" si="11"/>
        <v>0</v>
      </c>
      <c r="L25" s="55">
        <v>0</v>
      </c>
      <c r="M25" s="113">
        <f>SUMIFS(График[Возврат основной суммы долга],График[Дата с учетом нерабочих дней],$A25)</f>
        <v>0</v>
      </c>
      <c r="N25" s="56">
        <f>SUMIFS(График[Возврат начисленных %],График[Дата с учетом нерабочих дней],$A25)</f>
        <v>0</v>
      </c>
      <c r="O25" s="101">
        <v>0</v>
      </c>
      <c r="P25" s="100" cm="1">
        <f t="array" aca="1" ref="P25" ca="1">MAX(IF(AA24="Да",0,SUM(INDIRECT("M"&amp;(MAX(("Да"=AA$12:AA24)*ROW(AA$12:AA24)+1,ROW($P$12))&amp;":M"&amp;(ROW()))))-SUM(INDIRECT("W"&amp;(MAX(("Да"=AA$12:AA24)*ROW(AA$12:AA24)+1,ROW($P$12))&amp;":W"&amp;(ROW()))))),0)</f>
        <v>0</v>
      </c>
      <c r="Q25" s="99">
        <f ca="1">MAX(SUM($N$13:N25)-SUM($T$13:T25),0)</f>
        <v>0</v>
      </c>
      <c r="R25" s="99">
        <f ca="1">Первоначальный[[#This Row],[Просроченный платеж по ОД]]+Первоначальный[[#This Row],[Просроченный платеж по процентам]]</f>
        <v>0</v>
      </c>
      <c r="S25" s="120">
        <f ca="1">IF(Первоначальный[[#This Row],[Просроченный платеж]]&lt;1,0,S24+1)</f>
        <v>0</v>
      </c>
      <c r="T25" s="100" cm="1">
        <f t="array" aca="1" ref="T25" ca="1">IF(Первоначальный[[#This Row],[Итого остаток на начало периода]]&lt;1,0,
IF(
AND(TYPE(VLOOKUP(1,$Z$12:Z25,1,0))=16,Первоначальный[[#This Row],[Досрочное погашение (да/"")]]=""),0,
_xlfn.IFS(AND(S24=0,Первоначальный[[#This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платеж]]&lt;&gt;0),MIN(LOOKUP(,-1/($Z$12:Z25=1),$C$12:C25)+LOOKUP(,-1/($Z$12:Z25=1),$H$12:H25),Первоначальный[[#This Row],[Полученный платеж]]+Y24),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платеж]]+Y24,SUM(Первоначальный[[#This Row],[Остаток процентов на начало периода]],Первоначальный[[#This Row],[Проценты за период]])),
AND(S24=0,Первоначальный[[#This Row],[Дата платежа из графика]]=""),0,
AND(S24=0,Первоначальный[[#This Row],[Дата платежа из графика]]=1,MAX((0&lt;&gt;S$12:S24)*ROW(S$12:S24),ROW($S$12))&gt;=MAX((1=Z$12:Z24)*ROW(Z$12:Z24),ROW($T$12)),TYPE(VLOOKUP("Да",(INDIRECT("AA"&amp;(MAX((1=Z$12:Z24)*ROW(Z$12:Z24),ROW($T$12))&amp;":AA"&amp;(ROW()-1)))),1,0))=16),MIN(LOOKUP(,-1/($Z$12:Z25=1),$C$12:C25)+LOOKUP(,-1/($Z$12:Z25=1),$H$12:H25),Первоначальный[[#This Row],[Полученный платеж]]+Y24),
AND(S24=0,TYPE(VLOOKUP("Да",(INDIRECT("AA"&amp;(MAX((1=Z$12:Z24)*ROW(Z$12:Z24),ROW($T$12))&amp;":AA"&amp;(ROW()-1)))),1,0))&lt;&gt;16),MIN(LOOKUP(,-1/($Z$12:Z25=1),$C$12:C25)+LOOKUP(,-1/($Z$12:Z25=1),$H$12:H25)-IF(AA24="Да",0,SUM(INDIRECT("T"&amp;(MAX(("Да"=AA$12:AA24)*ROW(AA$12:AA24)+1,ROW($T$12))&amp;":T"&amp;(ROW()-1))))),Первоначальный[[#This Row],[Полученный платеж]]+Y24),
AND(S24=0,MAX((0&lt;&gt;N$12:N24)*ROW(N$12:N24),ROW($S$12))&gt;=MAX((1=Z$12:Z24)*ROW(Z$12:Z24),ROW($T$12))),MIN(LOOKUP(,-1/($Z$12:Z25=1),$C$12:C25)+LOOKUP(,-1/($Z$12:Z25=1),$H$12:H25)-IF(N24&lt;&gt;0,0,SUM(INDIRECT("T"&amp;(MAX((0&lt;&gt;N$12:N24)*ROW(N$12:N24)+1,ROW($T$12))&amp;":T"&amp;(ROW()-1))))),Первоначальный[[#This Row],[Полученный платеж]]+Y24),
AND(S24=0,Первоначальный[[#This Row],[Дата платежа из графика]]=1),MIN(LOOKUP(,-1/($Z$12:Z25=1),$C$12:C25)+LOOKUP(,-1/($Z$12:Z25=1),$H$12:H25)-IF(Z24=1,0,SUM(INDIRECT("T"&amp;(MAX((1=Z$12:Z24)*ROW(Z$12:Z24)+1,ROW($T$12))&amp;":T"&amp;(ROW()-1))))),Первоначальный[[#This Row],[Полученный платеж]]+Y24),
AND(Z24&gt;0,Первоначальный[[#This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платеж]]+Y24),
AND(S24&gt;0,MAX((0&lt;&gt;S$12:S24)*ROW(S$12:S24),ROW($S$12))&gt;=MAX((1=Z$12:Z24)*ROW(Z$12:Z24),ROW($T$12)),TYPE(VLOOKUP("Да",(INDIRECT("AA"&amp;(MAX((1=Z$12:Z24)*ROW(Z$12:Z24),ROW($T$12))&amp;":AA"&amp;(ROW()-1)))),1,0))=16),MIN(LOOKUP(,-1/($Z$12:Z25=1),$C$12:C25)+LOOKUP(,-1/($Z$12:Z25=1),$H$12:H25)-SUM(INDIRECT("T"&amp;(MAX((1=Z$12:Z24)*ROW(Z$12:Z24),ROW($T$12))&amp;":T"&amp;(ROW()-1)))),Первоначальный[[#This Row],[Полученный платеж]]+Y24),
S24&gt;0,MIN(LOOKUP(,-1/($Z$12:Z25=1),$C$12:C25)+LOOKUP(,-1/($Z$12:Z25=1),$H$12:H25)-IF(Z24=1,0,SUM(INDIRECT("T"&amp;(MAX((1=Z$12:Z24)*ROW(Z$12:Z24)+1,ROW($T$12))&amp;":T"&amp;(ROW()-1))))),Первоначальный[[#This Row],[Полученный платеж]]+Y24)
)
)
)</f>
        <v>0</v>
      </c>
      <c r="U2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платеж]]+Y24-Первоначальный[[#This Row],[Полученный платёж по процентам]])</f>
        <v>0</v>
      </c>
      <c r="V25" s="55">
        <f t="shared" ca="1" si="0"/>
        <v>0</v>
      </c>
      <c r="W25" s="55" cm="1">
        <f t="array" aca="1" ref="W25" ca="1">IF(Первоначальный[[#This Row],[Итого остаток на начало периода]]&lt;1,0,
_xlfn.IFS(
AND(TYPE(VLOOKUP(1,$Z$12:Z25,1,0))=16,Первоначальный[[#This Row],[Досрочное погашение (да/"")]]=""),0,
AND(S24=0,Первоначальный[[#This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комиссиям]]),VLOOKUP(LOOKUP(,-1/($Z$12:Z25=1),$A$12:A25),График[[Срок конец]:[Возврат основной суммы долга]],3,0)),
AND(S24=0,Первоначальный[[#This Row],[Дата платежа из графика]]="",Первоначальный[[#This Row],[Досрочное погашение (да/"")]]&lt;&gt;"Да"),0,
AND(S24=0,Первоначальный[[#This Row],[Досрочное погашение (да/"")]]=""),MIN(Первоначальный[[#This Row],[Полученный платеж]]+Y24-SUM(Первоначальный[[#This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комиссиям]]),VLOOKUP(LOOKUP(,-1/($Z$12:Z25=1),$A$12:A25),График[[Срок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S24&gt;0,MIN(Первоначальный[[#This Row],[Полученный платеж]]+Y24-SUM(Первоначальный[[#This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комиссиям]]),SUM(INDIRECT("M"&amp;(MAX((1=S$12:S24)*ROW(S$12:S24),ROW($W$12))&amp;":M"&amp;(ROW()))))-SUM(INDIRECT("W"&amp;(MAX((1=S$12:S24)*ROW(S$12:S24),ROW($W$12))&amp;":W"&amp;(ROW()-1)))))
)
)</f>
        <v>0</v>
      </c>
      <c r="X25" s="55">
        <f t="shared" ca="1" si="1"/>
        <v>0</v>
      </c>
      <c r="Y25" s="101">
        <f t="shared" ca="1" si="9"/>
        <v>0</v>
      </c>
      <c r="Z25" s="133" t="str">
        <f>IF(TYPE((VLOOKUP(Первоначальный[[#This Row],[Дата платежа]],График[Срок конец],1,0)))=16,"",1)</f>
        <v/>
      </c>
      <c r="AA25" s="57"/>
      <c r="AB25" s="134"/>
      <c r="AC2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150000</v>
      </c>
      <c r="AD2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978.7199999999998</v>
      </c>
      <c r="AE2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2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25" s="55"/>
      <c r="AI25" s="55"/>
      <c r="AJ25" s="55"/>
      <c r="AK25" s="101">
        <f t="shared" ca="1" si="10"/>
        <v>150978.72</v>
      </c>
      <c r="AL25" s="129">
        <f t="array" ref="AL25">MAX((УслРестрактов[Характеристика]="Дата реструктуризации")*(УслРестрактов[Значение]=Первоначальный!$A25),0)</f>
        <v>0</v>
      </c>
    </row>
    <row r="26" spans="1:38" x14ac:dyDescent="0.25">
      <c r="A26" s="97">
        <f t="shared" si="2"/>
        <v>44157</v>
      </c>
      <c r="B26" s="100">
        <f t="shared" ca="1" si="3"/>
        <v>150000</v>
      </c>
      <c r="C26" s="55">
        <f t="shared" ca="1" si="4"/>
        <v>978.7199999999998</v>
      </c>
      <c r="D26" s="55">
        <f t="shared" ca="1" si="4"/>
        <v>0</v>
      </c>
      <c r="E26" s="55">
        <f t="shared" ca="1" si="5"/>
        <v>0</v>
      </c>
      <c r="F26" s="55">
        <f t="shared" ca="1" si="6"/>
        <v>0</v>
      </c>
      <c r="G26" s="101">
        <f t="shared" ca="1" si="7"/>
        <v>150978.72</v>
      </c>
      <c r="H26" s="100">
        <f ca="1">ROUND($B26*VLOOKUP($A26,$A$1:$B$10,2,1)/(365+IF(MOD(YEAR($A26),4),0,1)*($A26-$A25)),2)-Первоначальный[[#This Row],[Проценты на просроченный платеж по ОД за период]]</f>
        <v>81.56</v>
      </c>
      <c r="I26" s="55">
        <f t="shared" ca="1" si="8"/>
        <v>0</v>
      </c>
      <c r="J26" s="55">
        <v>0</v>
      </c>
      <c r="K26" s="55">
        <f t="shared" ca="1" si="11"/>
        <v>0</v>
      </c>
      <c r="L26" s="55">
        <v>0</v>
      </c>
      <c r="M26" s="113">
        <f>SUMIFS(График[Возврат основной суммы долга],График[Дата с учетом нерабочих дней],$A26)</f>
        <v>0</v>
      </c>
      <c r="N26" s="56">
        <f>SUMIFS(График[Возврат начисленных %],График[Дата с учетом нерабочих дней],$A26)</f>
        <v>0</v>
      </c>
      <c r="O26" s="101">
        <v>0</v>
      </c>
      <c r="P26" s="100" cm="1">
        <f t="array" aca="1" ref="P26" ca="1">MAX(IF(AA25="Да",0,SUM(INDIRECT("M"&amp;(MAX(("Да"=AA$12:AA25)*ROW(AA$12:AA25)+1,ROW($P$12))&amp;":M"&amp;(ROW()))))-SUM(INDIRECT("W"&amp;(MAX(("Да"=AA$12:AA25)*ROW(AA$12:AA25)+1,ROW($P$12))&amp;":W"&amp;(ROW()))))),0)</f>
        <v>0</v>
      </c>
      <c r="Q26" s="99">
        <f ca="1">MAX(SUM($N$13:N26)-SUM($T$13:T26),0)</f>
        <v>0</v>
      </c>
      <c r="R26" s="99">
        <f ca="1">Первоначальный[[#This Row],[Просроченный платеж по ОД]]+Первоначальный[[#This Row],[Просроченный платеж по процентам]]</f>
        <v>0</v>
      </c>
      <c r="S26" s="120">
        <f ca="1">IF(Первоначальный[[#This Row],[Просроченный платеж]]&lt;1,0,S25+1)</f>
        <v>0</v>
      </c>
      <c r="T26" s="100" cm="1">
        <f t="array" aca="1" ref="T26" ca="1">IF(Первоначальный[[#This Row],[Итого остаток на начало периода]]&lt;1,0,
IF(
AND(TYPE(VLOOKUP(1,$Z$12:Z26,1,0))=16,Первоначальный[[#This Row],[Досрочное погашение (да/"")]]=""),0,
_xlfn.IFS(AND(S25=0,Первоначальный[[#This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платеж]]&lt;&gt;0),MIN(LOOKUP(,-1/($Z$12:Z26=1),$C$12:C26)+LOOKUP(,-1/($Z$12:Z26=1),$H$12:H26),Первоначальный[[#This Row],[Полученный платеж]]+Y25),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платеж]]+Y25,SUM(Первоначальный[[#This Row],[Остаток процентов на начало периода]],Первоначальный[[#This Row],[Проценты за период]])),
AND(S25=0,Первоначальный[[#This Row],[Дата платежа из графика]]=""),0,
AND(S25=0,Первоначальный[[#This Row],[Дата платежа из графика]]=1,MAX((0&lt;&gt;S$12:S25)*ROW(S$12:S25),ROW($S$12))&gt;=MAX((1=Z$12:Z25)*ROW(Z$12:Z25),ROW($T$12)),TYPE(VLOOKUP("Да",(INDIRECT("AA"&amp;(MAX((1=Z$12:Z25)*ROW(Z$12:Z25),ROW($T$12))&amp;":AA"&amp;(ROW()-1)))),1,0))=16),MIN(LOOKUP(,-1/($Z$12:Z26=1),$C$12:C26)+LOOKUP(,-1/($Z$12:Z26=1),$H$12:H26),Первоначальный[[#This Row],[Полученный платеж]]+Y25),
AND(S25=0,TYPE(VLOOKUP("Да",(INDIRECT("AA"&amp;(MAX((1=Z$12:Z25)*ROW(Z$12:Z25),ROW($T$12))&amp;":AA"&amp;(ROW()-1)))),1,0))&lt;&gt;16),MIN(LOOKUP(,-1/($Z$12:Z26=1),$C$12:C26)+LOOKUP(,-1/($Z$12:Z26=1),$H$12:H26)-IF(AA25="Да",0,SUM(INDIRECT("T"&amp;(MAX(("Да"=AA$12:AA25)*ROW(AA$12:AA25)+1,ROW($T$12))&amp;":T"&amp;(ROW()-1))))),Первоначальный[[#This Row],[Полученный платеж]]+Y25),
AND(S25=0,MAX((0&lt;&gt;N$12:N25)*ROW(N$12:N25),ROW($S$12))&gt;=MAX((1=Z$12:Z25)*ROW(Z$12:Z25),ROW($T$12))),MIN(LOOKUP(,-1/($Z$12:Z26=1),$C$12:C26)+LOOKUP(,-1/($Z$12:Z26=1),$H$12:H26)-IF(N25&lt;&gt;0,0,SUM(INDIRECT("T"&amp;(MAX((0&lt;&gt;N$12:N25)*ROW(N$12:N25)+1,ROW($T$12))&amp;":T"&amp;(ROW()-1))))),Первоначальный[[#This Row],[Полученный платеж]]+Y25),
AND(S25=0,Первоначальный[[#This Row],[Дата платежа из графика]]=1),MIN(LOOKUP(,-1/($Z$12:Z26=1),$C$12:C26)+LOOKUP(,-1/($Z$12:Z26=1),$H$12:H26)-IF(Z25=1,0,SUM(INDIRECT("T"&amp;(MAX((1=Z$12:Z25)*ROW(Z$12:Z25)+1,ROW($T$12))&amp;":T"&amp;(ROW()-1))))),Первоначальный[[#This Row],[Полученный платеж]]+Y25),
AND(Z25&gt;0,Первоначальный[[#This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платеж]]+Y25),
AND(S25&gt;0,MAX((0&lt;&gt;S$12:S25)*ROW(S$12:S25),ROW($S$12))&gt;=MAX((1=Z$12:Z25)*ROW(Z$12:Z25),ROW($T$12)),TYPE(VLOOKUP("Да",(INDIRECT("AA"&amp;(MAX((1=Z$12:Z25)*ROW(Z$12:Z25),ROW($T$12))&amp;":AA"&amp;(ROW()-1)))),1,0))=16),MIN(LOOKUP(,-1/($Z$12:Z26=1),$C$12:C26)+LOOKUP(,-1/($Z$12:Z26=1),$H$12:H26)-SUM(INDIRECT("T"&amp;(MAX((1=Z$12:Z25)*ROW(Z$12:Z25),ROW($T$12))&amp;":T"&amp;(ROW()-1)))),Первоначальный[[#This Row],[Полученный платеж]]+Y25),
S25&gt;0,MIN(LOOKUP(,-1/($Z$12:Z26=1),$C$12:C26)+LOOKUP(,-1/($Z$12:Z26=1),$H$12:H26)-IF(Z25=1,0,SUM(INDIRECT("T"&amp;(MAX((1=Z$12:Z25)*ROW(Z$12:Z25)+1,ROW($T$12))&amp;":T"&amp;(ROW()-1))))),Первоначальный[[#This Row],[Полученный платеж]]+Y25)
)
)
)</f>
        <v>0</v>
      </c>
      <c r="U2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платеж]]+Y25-Первоначальный[[#This Row],[Полученный платёж по процентам]])</f>
        <v>0</v>
      </c>
      <c r="V26" s="55">
        <f t="shared" ca="1" si="0"/>
        <v>0</v>
      </c>
      <c r="W26" s="55" cm="1">
        <f t="array" aca="1" ref="W26" ca="1">IF(Первоначальный[[#This Row],[Итого остаток на начало периода]]&lt;1,0,
_xlfn.IFS(
AND(TYPE(VLOOKUP(1,$Z$12:Z26,1,0))=16,Первоначальный[[#This Row],[Досрочное погашение (да/"")]]=""),0,
AND(S25=0,Первоначальный[[#This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комиссиям]]),VLOOKUP(LOOKUP(,-1/($Z$12:Z26=1),$A$12:A26),График[[Срок конец]:[Возврат основной суммы долга]],3,0)),
AND(S25=0,Первоначальный[[#This Row],[Дата платежа из графика]]="",Первоначальный[[#This Row],[Досрочное погашение (да/"")]]&lt;&gt;"Да"),0,
AND(S25=0,Первоначальный[[#This Row],[Досрочное погашение (да/"")]]=""),MIN(Первоначальный[[#This Row],[Полученный платеж]]+Y25-SUM(Первоначальный[[#This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комиссиям]]),VLOOKUP(LOOKUP(,-1/($Z$12:Z26=1),$A$12:A26),График[[Срок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S25&gt;0,MIN(Первоначальный[[#This Row],[Полученный платеж]]+Y25-SUM(Первоначальный[[#This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комиссиям]]),SUM(INDIRECT("M"&amp;(MAX((1=S$12:S25)*ROW(S$12:S25),ROW($W$12))&amp;":M"&amp;(ROW()))))-SUM(INDIRECT("W"&amp;(MAX((1=S$12:S25)*ROW(S$12:S25),ROW($W$12))&amp;":W"&amp;(ROW()-1)))))
)
)</f>
        <v>0</v>
      </c>
      <c r="X26" s="55">
        <f t="shared" ca="1" si="1"/>
        <v>0</v>
      </c>
      <c r="Y26" s="101">
        <f t="shared" ca="1" si="9"/>
        <v>0</v>
      </c>
      <c r="Z26" s="133" t="str">
        <f>IF(TYPE((VLOOKUP(Первоначальный[[#This Row],[Дата платежа]],График[Срок конец],1,0)))=16,"",1)</f>
        <v/>
      </c>
      <c r="AA26" s="57"/>
      <c r="AB26" s="134"/>
      <c r="AC2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150000</v>
      </c>
      <c r="AD2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1060.2799999999997</v>
      </c>
      <c r="AE2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2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26" s="55"/>
      <c r="AI26" s="55"/>
      <c r="AJ26" s="55"/>
      <c r="AK26" s="101">
        <f t="shared" ca="1" si="10"/>
        <v>151060.28</v>
      </c>
      <c r="AL26" s="129">
        <f t="array" ref="AL26">MAX((УслРестрактов[Характеристика]="Дата реструктуризации")*(УслРестрактов[Значение]=Первоначальный!$A26),0)</f>
        <v>0</v>
      </c>
    </row>
    <row r="27" spans="1:38" x14ac:dyDescent="0.25">
      <c r="A27" s="97">
        <f t="shared" si="2"/>
        <v>44158</v>
      </c>
      <c r="B27" s="100">
        <f t="shared" ca="1" si="3"/>
        <v>150000</v>
      </c>
      <c r="C27" s="55">
        <f t="shared" ca="1" si="4"/>
        <v>1060.2799999999997</v>
      </c>
      <c r="D27" s="55">
        <f t="shared" ca="1" si="4"/>
        <v>0</v>
      </c>
      <c r="E27" s="55">
        <f t="shared" ca="1" si="5"/>
        <v>0</v>
      </c>
      <c r="F27" s="55">
        <f t="shared" ca="1" si="6"/>
        <v>0</v>
      </c>
      <c r="G27" s="101">
        <f t="shared" ca="1" si="7"/>
        <v>151060.28</v>
      </c>
      <c r="H27" s="100">
        <f ca="1">ROUND($B27*VLOOKUP($A27,$A$1:$B$10,2,1)/(365+IF(MOD(YEAR($A27),4),0,1)*($A27-$A26)),2)-Первоначальный[[#This Row],[Проценты на просроченный платеж по ОД за период]]</f>
        <v>81.56</v>
      </c>
      <c r="I27" s="55">
        <f t="shared" ca="1" si="8"/>
        <v>0</v>
      </c>
      <c r="J27" s="55">
        <v>0</v>
      </c>
      <c r="K27" s="55">
        <f t="shared" ca="1" si="11"/>
        <v>0</v>
      </c>
      <c r="L27" s="55">
        <v>0</v>
      </c>
      <c r="M27" s="113">
        <f>SUMIFS(График[Возврат основной суммы долга],График[Дата с учетом нерабочих дней],$A27)</f>
        <v>0</v>
      </c>
      <c r="N27" s="56">
        <f>SUMIFS(График[Возврат начисленных %],График[Дата с учетом нерабочих дней],$A27)</f>
        <v>0</v>
      </c>
      <c r="O27" s="101">
        <v>0</v>
      </c>
      <c r="P27" s="100" cm="1">
        <f t="array" aca="1" ref="P27" ca="1">MAX(IF(AA26="Да",0,SUM(INDIRECT("M"&amp;(MAX(("Да"=AA$12:AA26)*ROW(AA$12:AA26)+1,ROW($P$12))&amp;":M"&amp;(ROW()))))-SUM(INDIRECT("W"&amp;(MAX(("Да"=AA$12:AA26)*ROW(AA$12:AA26)+1,ROW($P$12))&amp;":W"&amp;(ROW()))))),0)</f>
        <v>0</v>
      </c>
      <c r="Q27" s="99">
        <f ca="1">MAX(SUM($N$13:N27)-SUM($T$13:T27),0)</f>
        <v>0</v>
      </c>
      <c r="R27" s="99">
        <f ca="1">Первоначальный[[#This Row],[Просроченный платеж по ОД]]+Первоначальный[[#This Row],[Просроченный платеж по процентам]]</f>
        <v>0</v>
      </c>
      <c r="S27" s="120">
        <f ca="1">IF(Первоначальный[[#This Row],[Просроченный платеж]]&lt;1,0,S26+1)</f>
        <v>0</v>
      </c>
      <c r="T27" s="100" cm="1">
        <f t="array" aca="1" ref="T27" ca="1">IF(Первоначальный[[#This Row],[Итого остаток на начало периода]]&lt;1,0,
IF(
AND(TYPE(VLOOKUP(1,$Z$12:Z27,1,0))=16,Первоначальный[[#This Row],[Досрочное погашение (да/"")]]=""),0,
_xlfn.IFS(AND(S26=0,Первоначальный[[#This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платеж]]&lt;&gt;0),MIN(LOOKUP(,-1/($Z$12:Z27=1),$C$12:C27)+LOOKUP(,-1/($Z$12:Z27=1),$H$12:H27),Первоначальный[[#This Row],[Полученный платеж]]+Y26),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платеж]]+Y26,SUM(Первоначальный[[#This Row],[Остаток процентов на начало периода]],Первоначальный[[#This Row],[Проценты за период]])),
AND(S26=0,Первоначальный[[#This Row],[Дата платежа из графика]]=""),0,
AND(S26=0,Первоначальный[[#This Row],[Дата платежа из графика]]=1,MAX((0&lt;&gt;S$12:S26)*ROW(S$12:S26),ROW($S$12))&gt;=MAX((1=Z$12:Z26)*ROW(Z$12:Z26),ROW($T$12)),TYPE(VLOOKUP("Да",(INDIRECT("AA"&amp;(MAX((1=Z$12:Z26)*ROW(Z$12:Z26),ROW($T$12))&amp;":AA"&amp;(ROW()-1)))),1,0))=16),MIN(LOOKUP(,-1/($Z$12:Z27=1),$C$12:C27)+LOOKUP(,-1/($Z$12:Z27=1),$H$12:H27),Первоначальный[[#This Row],[Полученный платеж]]+Y26),
AND(S26=0,TYPE(VLOOKUP("Да",(INDIRECT("AA"&amp;(MAX((1=Z$12:Z26)*ROW(Z$12:Z26),ROW($T$12))&amp;":AA"&amp;(ROW()-1)))),1,0))&lt;&gt;16),MIN(LOOKUP(,-1/($Z$12:Z27=1),$C$12:C27)+LOOKUP(,-1/($Z$12:Z27=1),$H$12:H27)-IF(AA26="Да",0,SUM(INDIRECT("T"&amp;(MAX(("Да"=AA$12:AA26)*ROW(AA$12:AA26)+1,ROW($T$12))&amp;":T"&amp;(ROW()-1))))),Первоначальный[[#This Row],[Полученный платеж]]+Y26),
AND(S26=0,MAX((0&lt;&gt;N$12:N26)*ROW(N$12:N26),ROW($S$12))&gt;=MAX((1=Z$12:Z26)*ROW(Z$12:Z26),ROW($T$12))),MIN(LOOKUP(,-1/($Z$12:Z27=1),$C$12:C27)+LOOKUP(,-1/($Z$12:Z27=1),$H$12:H27)-IF(N26&lt;&gt;0,0,SUM(INDIRECT("T"&amp;(MAX((0&lt;&gt;N$12:N26)*ROW(N$12:N26)+1,ROW($T$12))&amp;":T"&amp;(ROW()-1))))),Первоначальный[[#This Row],[Полученный платеж]]+Y26),
AND(S26=0,Первоначальный[[#This Row],[Дата платежа из графика]]=1),MIN(LOOKUP(,-1/($Z$12:Z27=1),$C$12:C27)+LOOKUP(,-1/($Z$12:Z27=1),$H$12:H27)-IF(Z26=1,0,SUM(INDIRECT("T"&amp;(MAX((1=Z$12:Z26)*ROW(Z$12:Z26)+1,ROW($T$12))&amp;":T"&amp;(ROW()-1))))),Первоначальный[[#This Row],[Полученный платеж]]+Y26),
AND(Z26&gt;0,Первоначальный[[#This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платеж]]+Y26),
AND(S26&gt;0,MAX((0&lt;&gt;S$12:S26)*ROW(S$12:S26),ROW($S$12))&gt;=MAX((1=Z$12:Z26)*ROW(Z$12:Z26),ROW($T$12)),TYPE(VLOOKUP("Да",(INDIRECT("AA"&amp;(MAX((1=Z$12:Z26)*ROW(Z$12:Z26),ROW($T$12))&amp;":AA"&amp;(ROW()-1)))),1,0))=16),MIN(LOOKUP(,-1/($Z$12:Z27=1),$C$12:C27)+LOOKUP(,-1/($Z$12:Z27=1),$H$12:H27)-SUM(INDIRECT("T"&amp;(MAX((1=Z$12:Z26)*ROW(Z$12:Z26),ROW($T$12))&amp;":T"&amp;(ROW()-1)))),Первоначальный[[#This Row],[Полученный платеж]]+Y26),
S26&gt;0,MIN(LOOKUP(,-1/($Z$12:Z27=1),$C$12:C27)+LOOKUP(,-1/($Z$12:Z27=1),$H$12:H27)-IF(Z26=1,0,SUM(INDIRECT("T"&amp;(MAX((1=Z$12:Z26)*ROW(Z$12:Z26)+1,ROW($T$12))&amp;":T"&amp;(ROW()-1))))),Первоначальный[[#This Row],[Полученный платеж]]+Y26)
)
)
)</f>
        <v>0</v>
      </c>
      <c r="U2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платеж]]+Y26-Первоначальный[[#This Row],[Полученный платёж по процентам]])</f>
        <v>0</v>
      </c>
      <c r="V27" s="55">
        <f t="shared" ca="1" si="0"/>
        <v>0</v>
      </c>
      <c r="W27" s="55" cm="1">
        <f t="array" aca="1" ref="W27" ca="1">IF(Первоначальный[[#This Row],[Итого остаток на начало периода]]&lt;1,0,
_xlfn.IFS(
AND(TYPE(VLOOKUP(1,$Z$12:Z27,1,0))=16,Первоначальный[[#This Row],[Досрочное погашение (да/"")]]=""),0,
AND(S26=0,Первоначальный[[#This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комиссиям]]),VLOOKUP(LOOKUP(,-1/($Z$12:Z27=1),$A$12:A27),График[[Срок конец]:[Возврат основной суммы долга]],3,0)),
AND(S26=0,Первоначальный[[#This Row],[Дата платежа из графика]]="",Первоначальный[[#This Row],[Досрочное погашение (да/"")]]&lt;&gt;"Да"),0,
AND(S26=0,Первоначальный[[#This Row],[Досрочное погашение (да/"")]]=""),MIN(Первоначальный[[#This Row],[Полученный платеж]]+Y26-SUM(Первоначальный[[#This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комиссиям]]),VLOOKUP(LOOKUP(,-1/($Z$12:Z27=1),$A$12:A27),График[[Срок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S26&gt;0,MIN(Первоначальный[[#This Row],[Полученный платеж]]+Y26-SUM(Первоначальный[[#This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комиссиям]]),SUM(INDIRECT("M"&amp;(MAX((1=S$12:S26)*ROW(S$12:S26),ROW($W$12))&amp;":M"&amp;(ROW()))))-SUM(INDIRECT("W"&amp;(MAX((1=S$12:S26)*ROW(S$12:S26),ROW($W$12))&amp;":W"&amp;(ROW()-1)))))
)
)</f>
        <v>0</v>
      </c>
      <c r="X27" s="55">
        <f t="shared" ca="1" si="1"/>
        <v>0</v>
      </c>
      <c r="Y27" s="101">
        <f t="shared" ca="1" si="9"/>
        <v>0</v>
      </c>
      <c r="Z27" s="133" t="str">
        <f>IF(TYPE((VLOOKUP(Первоначальный[[#This Row],[Дата платежа]],График[Срок конец],1,0)))=16,"",1)</f>
        <v/>
      </c>
      <c r="AA27" s="57"/>
      <c r="AB27" s="134"/>
      <c r="AC2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150000</v>
      </c>
      <c r="AD2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1141.8399999999997</v>
      </c>
      <c r="AE2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2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27" s="55"/>
      <c r="AI27" s="55"/>
      <c r="AJ27" s="55"/>
      <c r="AK27" s="101">
        <f t="shared" ca="1" si="10"/>
        <v>151141.84</v>
      </c>
      <c r="AL27" s="129">
        <f t="array" ref="AL27">MAX((УслРестрактов[Характеристика]="Дата реструктуризации")*(УслРестрактов[Значение]=Первоначальный!$A27),0)</f>
        <v>0</v>
      </c>
    </row>
    <row r="28" spans="1:38" x14ac:dyDescent="0.25">
      <c r="A28" s="97">
        <f t="shared" si="2"/>
        <v>44159</v>
      </c>
      <c r="B28" s="100">
        <f t="shared" ca="1" si="3"/>
        <v>150000</v>
      </c>
      <c r="C28" s="55">
        <f t="shared" ca="1" si="4"/>
        <v>1141.8399999999997</v>
      </c>
      <c r="D28" s="55">
        <f t="shared" ca="1" si="4"/>
        <v>0</v>
      </c>
      <c r="E28" s="55">
        <f t="shared" ca="1" si="5"/>
        <v>0</v>
      </c>
      <c r="F28" s="55">
        <f t="shared" ca="1" si="6"/>
        <v>0</v>
      </c>
      <c r="G28" s="101">
        <f t="shared" ca="1" si="7"/>
        <v>151141.84</v>
      </c>
      <c r="H28" s="100">
        <f ca="1">ROUND($B28*VLOOKUP($A28,$A$1:$B$10,2,1)/(365+IF(MOD(YEAR($A28),4),0,1)*($A28-$A27)),2)-Первоначальный[[#This Row],[Проценты на просроченный платеж по ОД за период]]</f>
        <v>81.56</v>
      </c>
      <c r="I28" s="55">
        <f t="shared" ca="1" si="8"/>
        <v>0</v>
      </c>
      <c r="J28" s="55">
        <v>0</v>
      </c>
      <c r="K28" s="55">
        <f t="shared" ca="1" si="11"/>
        <v>0</v>
      </c>
      <c r="L28" s="55">
        <v>0</v>
      </c>
      <c r="M28" s="113">
        <f>SUMIFS(График[Возврат основной суммы долга],График[Дата с учетом нерабочих дней],$A28)</f>
        <v>0</v>
      </c>
      <c r="N28" s="56">
        <f>SUMIFS(График[Возврат начисленных %],График[Дата с учетом нерабочих дней],$A28)</f>
        <v>1223.3606557377047</v>
      </c>
      <c r="O28" s="101">
        <v>1223.3599999999999</v>
      </c>
      <c r="P28" s="100" cm="1">
        <f t="array" aca="1" ref="P28" ca="1">MAX(IF(AA27="Да",0,SUM(INDIRECT("M"&amp;(MAX(("Да"=AA$12:AA27)*ROW(AA$12:AA27)+1,ROW($P$12))&amp;":M"&amp;(ROW()))))-SUM(INDIRECT("W"&amp;(MAX(("Да"=AA$12:AA27)*ROW(AA$12:AA27)+1,ROW($P$12))&amp;":W"&amp;(ROW()))))),0)</f>
        <v>0</v>
      </c>
      <c r="Q28" s="99">
        <f ca="1">MAX(SUM($N$13:N28)-SUM($T$13:T28),0)</f>
        <v>6.5573770484661509E-4</v>
      </c>
      <c r="R28" s="99">
        <f ca="1">Первоначальный[[#This Row],[Просроченный платеж по ОД]]+Первоначальный[[#This Row],[Просроченный платеж по процентам]]</f>
        <v>6.5573770484661509E-4</v>
      </c>
      <c r="S28" s="120">
        <f ca="1">IF(Первоначальный[[#This Row],[Просроченный платеж]]&lt;1,0,S27+1)</f>
        <v>0</v>
      </c>
      <c r="T28" s="100" cm="1">
        <f t="array" aca="1" ref="T28" ca="1">IF(Первоначальный[[#This Row],[Итого остаток на начало периода]]&lt;1,0,
IF(
AND(TYPE(VLOOKUP(1,$Z$12:Z28,1,0))=16,Первоначальный[[#This Row],[Досрочное погашение (да/"")]]=""),0,
_xlfn.IFS(AND(S27=0,Первоначальный[[#This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платеж]]&lt;&gt;0),MIN(LOOKUP(,-1/($Z$12:Z28=1),$C$12:C28)+LOOKUP(,-1/($Z$12:Z28=1),$H$12:H28),Первоначальный[[#This Row],[Полученный платеж]]+Y27),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платеж]]+Y27,SUM(Первоначальный[[#This Row],[Остаток процентов на начало периода]],Первоначальный[[#This Row],[Проценты за период]])),
AND(S27=0,Первоначальный[[#This Row],[Дата платежа из графика]]=""),0,
AND(S27=0,Первоначальный[[#This Row],[Дата платежа из графика]]=1,MAX((0&lt;&gt;S$12:S27)*ROW(S$12:S27),ROW($S$12))&gt;=MAX((1=Z$12:Z27)*ROW(Z$12:Z27),ROW($T$12)),TYPE(VLOOKUP("Да",(INDIRECT("AA"&amp;(MAX((1=Z$12:Z27)*ROW(Z$12:Z27),ROW($T$12))&amp;":AA"&amp;(ROW()-1)))),1,0))=16),MIN(LOOKUP(,-1/($Z$12:Z28=1),$C$12:C28)+LOOKUP(,-1/($Z$12:Z28=1),$H$12:H28),Первоначальный[[#This Row],[Полученный платеж]]+Y27),
AND(S27=0,TYPE(VLOOKUP("Да",(INDIRECT("AA"&amp;(MAX((1=Z$12:Z27)*ROW(Z$12:Z27),ROW($T$12))&amp;":AA"&amp;(ROW()-1)))),1,0))&lt;&gt;16),MIN(LOOKUP(,-1/($Z$12:Z28=1),$C$12:C28)+LOOKUP(,-1/($Z$12:Z28=1),$H$12:H28)-IF(AA27="Да",0,SUM(INDIRECT("T"&amp;(MAX(("Да"=AA$12:AA27)*ROW(AA$12:AA27)+1,ROW($T$12))&amp;":T"&amp;(ROW()-1))))),Первоначальный[[#This Row],[Полученный платеж]]+Y27),
AND(S27=0,MAX((0&lt;&gt;N$12:N27)*ROW(N$12:N27),ROW($S$12))&gt;=MAX((1=Z$12:Z27)*ROW(Z$12:Z27),ROW($T$12))),MIN(LOOKUP(,-1/($Z$12:Z28=1),$C$12:C28)+LOOKUP(,-1/($Z$12:Z28=1),$H$12:H28)-IF(N27&lt;&gt;0,0,SUM(INDIRECT("T"&amp;(MAX((0&lt;&gt;N$12:N27)*ROW(N$12:N27)+1,ROW($T$12))&amp;":T"&amp;(ROW()-1))))),Первоначальный[[#This Row],[Полученный платеж]]+Y27),
AND(S27=0,Первоначальный[[#This Row],[Дата платежа из графика]]=1),MIN(LOOKUP(,-1/($Z$12:Z28=1),$C$12:C28)+LOOKUP(,-1/($Z$12:Z28=1),$H$12:H28)-IF(Z27=1,0,SUM(INDIRECT("T"&amp;(MAX((1=Z$12:Z27)*ROW(Z$12:Z27)+1,ROW($T$12))&amp;":T"&amp;(ROW()-1))))),Первоначальный[[#This Row],[Полученный платеж]]+Y27),
AND(Z27&gt;0,Первоначальный[[#This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платеж]]+Y27),
AND(S27&gt;0,MAX((0&lt;&gt;S$12:S27)*ROW(S$12:S27),ROW($S$12))&gt;=MAX((1=Z$12:Z27)*ROW(Z$12:Z27),ROW($T$12)),TYPE(VLOOKUP("Да",(INDIRECT("AA"&amp;(MAX((1=Z$12:Z27)*ROW(Z$12:Z27),ROW($T$12))&amp;":AA"&amp;(ROW()-1)))),1,0))=16),MIN(LOOKUP(,-1/($Z$12:Z28=1),$C$12:C28)+LOOKUP(,-1/($Z$12:Z28=1),$H$12:H28)-SUM(INDIRECT("T"&amp;(MAX((1=Z$12:Z27)*ROW(Z$12:Z27),ROW($T$12))&amp;":T"&amp;(ROW()-1)))),Первоначальный[[#This Row],[Полученный платеж]]+Y27),
S27&gt;0,MIN(LOOKUP(,-1/($Z$12:Z28=1),$C$12:C28)+LOOKUP(,-1/($Z$12:Z28=1),$H$12:H28)-IF(Z27=1,0,SUM(INDIRECT("T"&amp;(MAX((1=Z$12:Z27)*ROW(Z$12:Z27)+1,ROW($T$12))&amp;":T"&amp;(ROW()-1))))),Первоначальный[[#This Row],[Полученный платеж]]+Y27)
)
)
)</f>
        <v>1223.3599999999999</v>
      </c>
      <c r="U2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платеж]]+Y27-Первоначальный[[#This Row],[Полученный платёж по процентам]])</f>
        <v>0</v>
      </c>
      <c r="V28" s="55">
        <f t="shared" ca="1" si="0"/>
        <v>0</v>
      </c>
      <c r="W28" s="55" cm="1">
        <f t="array" aca="1" ref="W28" ca="1">IF(Первоначальный[[#This Row],[Итого остаток на начало периода]]&lt;1,0,
_xlfn.IFS(
AND(TYPE(VLOOKUP(1,$Z$12:Z28,1,0))=16,Первоначальный[[#This Row],[Досрочное погашение (да/"")]]=""),0,
AND(S27=0,Первоначальный[[#This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комиссиям]]),VLOOKUP(LOOKUP(,-1/($Z$12:Z28=1),$A$12:A28),График[[Срок конец]:[Возврат основной суммы долга]],3,0)),
AND(S27=0,Первоначальный[[#This Row],[Дата платежа из графика]]="",Первоначальный[[#This Row],[Досрочное погашение (да/"")]]&lt;&gt;"Да"),0,
AND(S27=0,Первоначальный[[#This Row],[Досрочное погашение (да/"")]]=""),MIN(Первоначальный[[#This Row],[Полученный платеж]]+Y27-SUM(Первоначальный[[#This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комиссиям]]),VLOOKUP(LOOKUP(,-1/($Z$12:Z28=1),$A$12:A28),График[[Срок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S27&gt;0,MIN(Первоначальный[[#This Row],[Полученный платеж]]+Y27-SUM(Первоначальный[[#This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комиссиям]]),SUM(INDIRECT("M"&amp;(MAX((1=S$12:S27)*ROW(S$12:S27),ROW($W$12))&amp;":M"&amp;(ROW()))))-SUM(INDIRECT("W"&amp;(MAX((1=S$12:S27)*ROW(S$12:S27),ROW($W$12))&amp;":W"&amp;(ROW()-1)))))
)
)</f>
        <v>0</v>
      </c>
      <c r="X28" s="55">
        <f t="shared" ca="1" si="1"/>
        <v>0</v>
      </c>
      <c r="Y28" s="101">
        <f t="shared" ca="1" si="9"/>
        <v>0</v>
      </c>
      <c r="Z28" s="133">
        <f>IF(TYPE((VLOOKUP(Первоначальный[[#This Row],[Дата платежа]],График[Срок конец],1,0)))=16,"",1)</f>
        <v>1</v>
      </c>
      <c r="AA28" s="57"/>
      <c r="AB28" s="134"/>
      <c r="AC2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150000</v>
      </c>
      <c r="AD2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3.9999999999736247E-2</v>
      </c>
      <c r="AE2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2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28" s="55"/>
      <c r="AI28" s="55"/>
      <c r="AJ28" s="55"/>
      <c r="AK28" s="101">
        <f t="shared" ca="1" si="10"/>
        <v>150000.04</v>
      </c>
      <c r="AL28" s="129">
        <f t="array" ref="AL28">MAX((УслРестрактов[Характеристика]="Дата реструктуризации")*(УслРестрактов[Значение]=Первоначальный!$A28),0)</f>
        <v>0</v>
      </c>
    </row>
    <row r="29" spans="1:38" x14ac:dyDescent="0.25">
      <c r="A29" s="97">
        <f t="shared" si="2"/>
        <v>44160</v>
      </c>
      <c r="B29" s="100">
        <f t="shared" ca="1" si="3"/>
        <v>150000</v>
      </c>
      <c r="C29" s="55">
        <f t="shared" ca="1" si="4"/>
        <v>3.9999999999736247E-2</v>
      </c>
      <c r="D29" s="55">
        <f t="shared" ca="1" si="4"/>
        <v>0</v>
      </c>
      <c r="E29" s="55">
        <f t="shared" ca="1" si="5"/>
        <v>0</v>
      </c>
      <c r="F29" s="55">
        <f t="shared" ca="1" si="6"/>
        <v>0</v>
      </c>
      <c r="G29" s="101">
        <f t="shared" ca="1" si="7"/>
        <v>150000.04</v>
      </c>
      <c r="H29" s="100">
        <f ca="1">ROUND($B29*VLOOKUP($A29,$A$1:$B$10,2,1)/(365+IF(MOD(YEAR($A29),4),0,1)*($A29-$A28)),2)-Первоначальный[[#This Row],[Проценты на просроченный платеж по ОД за период]]</f>
        <v>81.56</v>
      </c>
      <c r="I29" s="55">
        <f t="shared" ca="1" si="8"/>
        <v>0</v>
      </c>
      <c r="J29" s="55">
        <v>0</v>
      </c>
      <c r="K29" s="55">
        <f t="shared" ca="1" si="11"/>
        <v>0</v>
      </c>
      <c r="L29" s="55">
        <v>0</v>
      </c>
      <c r="M29" s="113">
        <f>SUMIFS(График[Возврат основной суммы долга],График[Дата с учетом нерабочих дней],$A29)</f>
        <v>0</v>
      </c>
      <c r="N29" s="56">
        <f>SUMIFS(График[Возврат начисленных %],График[Дата с учетом нерабочих дней],$A29)</f>
        <v>0</v>
      </c>
      <c r="O29" s="101">
        <v>0</v>
      </c>
      <c r="P29" s="100" cm="1">
        <f t="array" aca="1" ref="P29" ca="1">MAX(IF(AA28="Да",0,SUM(INDIRECT("M"&amp;(MAX(("Да"=AA$12:AA28)*ROW(AA$12:AA28)+1,ROW($P$12))&amp;":M"&amp;(ROW()))))-SUM(INDIRECT("W"&amp;(MAX(("Да"=AA$12:AA28)*ROW(AA$12:AA28)+1,ROW($P$12))&amp;":W"&amp;(ROW()))))),0)</f>
        <v>0</v>
      </c>
      <c r="Q29" s="99">
        <f ca="1">MAX(SUM($N$13:N29)-SUM($T$13:T29),0)</f>
        <v>6.5573770484661509E-4</v>
      </c>
      <c r="R29" s="99">
        <f ca="1">Первоначальный[[#This Row],[Просроченный платеж по ОД]]+Первоначальный[[#This Row],[Просроченный платеж по процентам]]</f>
        <v>6.5573770484661509E-4</v>
      </c>
      <c r="S29" s="120">
        <f ca="1">IF(Первоначальный[[#This Row],[Просроченный платеж]]&lt;1,0,S28+1)</f>
        <v>0</v>
      </c>
      <c r="T29" s="100" cm="1">
        <f t="array" aca="1" ref="T29" ca="1">IF(Первоначальный[[#This Row],[Итого остаток на начало периода]]&lt;1,0,
IF(
AND(TYPE(VLOOKUP(1,$Z$12:Z29,1,0))=16,Первоначальный[[#This Row],[Досрочное погашение (да/"")]]=""),0,
_xlfn.IFS(AND(S28=0,Первоначальный[[#This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платеж]]&lt;&gt;0),MIN(LOOKUP(,-1/($Z$12:Z29=1),$C$12:C29)+LOOKUP(,-1/($Z$12:Z29=1),$H$12:H29),Первоначальный[[#This Row],[Полученный платеж]]+Y28),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платеж]]+Y28,SUM(Первоначальный[[#This Row],[Остаток процентов на начало периода]],Первоначальный[[#This Row],[Проценты за период]])),
AND(S28=0,Первоначальный[[#This Row],[Дата платежа из графика]]=""),0,
AND(S28=0,Первоначальный[[#This Row],[Дата платежа из графика]]=1,MAX((0&lt;&gt;S$12:S28)*ROW(S$12:S28),ROW($S$12))&gt;=MAX((1=Z$12:Z28)*ROW(Z$12:Z28),ROW($T$12)),TYPE(VLOOKUP("Да",(INDIRECT("AA"&amp;(MAX((1=Z$12:Z28)*ROW(Z$12:Z28),ROW($T$12))&amp;":AA"&amp;(ROW()-1)))),1,0))=16),MIN(LOOKUP(,-1/($Z$12:Z29=1),$C$12:C29)+LOOKUP(,-1/($Z$12:Z29=1),$H$12:H29),Первоначальный[[#This Row],[Полученный платеж]]+Y28),
AND(S28=0,TYPE(VLOOKUP("Да",(INDIRECT("AA"&amp;(MAX((1=Z$12:Z28)*ROW(Z$12:Z28),ROW($T$12))&amp;":AA"&amp;(ROW()-1)))),1,0))&lt;&gt;16),MIN(LOOKUP(,-1/($Z$12:Z29=1),$C$12:C29)+LOOKUP(,-1/($Z$12:Z29=1),$H$12:H29)-IF(AA28="Да",0,SUM(INDIRECT("T"&amp;(MAX(("Да"=AA$12:AA28)*ROW(AA$12:AA28)+1,ROW($T$12))&amp;":T"&amp;(ROW()-1))))),Первоначальный[[#This Row],[Полученный платеж]]+Y28),
AND(S28=0,MAX((0&lt;&gt;N$12:N28)*ROW(N$12:N28),ROW($S$12))&gt;=MAX((1=Z$12:Z28)*ROW(Z$12:Z28),ROW($T$12))),MIN(LOOKUP(,-1/($Z$12:Z29=1),$C$12:C29)+LOOKUP(,-1/($Z$12:Z29=1),$H$12:H29)-IF(N28&lt;&gt;0,0,SUM(INDIRECT("T"&amp;(MAX((0&lt;&gt;N$12:N28)*ROW(N$12:N28)+1,ROW($T$12))&amp;":T"&amp;(ROW()-1))))),Первоначальный[[#This Row],[Полученный платеж]]+Y28),
AND(S28=0,Первоначальный[[#This Row],[Дата платежа из графика]]=1),MIN(LOOKUP(,-1/($Z$12:Z29=1),$C$12:C29)+LOOKUP(,-1/($Z$12:Z29=1),$H$12:H29)-IF(Z28=1,0,SUM(INDIRECT("T"&amp;(MAX((1=Z$12:Z28)*ROW(Z$12:Z28)+1,ROW($T$12))&amp;":T"&amp;(ROW()-1))))),Первоначальный[[#This Row],[Полученный платеж]]+Y28),
AND(Z28&gt;0,Первоначальный[[#This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платеж]]+Y28),
AND(S28&gt;0,MAX((0&lt;&gt;S$12:S28)*ROW(S$12:S28),ROW($S$12))&gt;=MAX((1=Z$12:Z28)*ROW(Z$12:Z28),ROW($T$12)),TYPE(VLOOKUP("Да",(INDIRECT("AA"&amp;(MAX((1=Z$12:Z28)*ROW(Z$12:Z28),ROW($T$12))&amp;":AA"&amp;(ROW()-1)))),1,0))=16),MIN(LOOKUP(,-1/($Z$12:Z29=1),$C$12:C29)+LOOKUP(,-1/($Z$12:Z29=1),$H$12:H29)-SUM(INDIRECT("T"&amp;(MAX((1=Z$12:Z28)*ROW(Z$12:Z28),ROW($T$12))&amp;":T"&amp;(ROW()-1)))),Первоначальный[[#This Row],[Полученный платеж]]+Y28),
S28&gt;0,MIN(LOOKUP(,-1/($Z$12:Z29=1),$C$12:C29)+LOOKUP(,-1/($Z$12:Z29=1),$H$12:H29)-IF(Z28=1,0,SUM(INDIRECT("T"&amp;(MAX((1=Z$12:Z28)*ROW(Z$12:Z28)+1,ROW($T$12))&amp;":T"&amp;(ROW()-1))))),Первоначальный[[#This Row],[Полученный платеж]]+Y28)
)
)
)</f>
        <v>0</v>
      </c>
      <c r="U2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платеж]]+Y28-Первоначальный[[#This Row],[Полученный платёж по процентам]])</f>
        <v>0</v>
      </c>
      <c r="V29" s="55">
        <f t="shared" ca="1" si="0"/>
        <v>0</v>
      </c>
      <c r="W29" s="55" cm="1">
        <f t="array" aca="1" ref="W29" ca="1">IF(Первоначальный[[#This Row],[Итого остаток на начало периода]]&lt;1,0,
_xlfn.IFS(
AND(TYPE(VLOOKUP(1,$Z$12:Z29,1,0))=16,Первоначальный[[#This Row],[Досрочное погашение (да/"")]]=""),0,
AND(S28=0,Первоначальный[[#This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комиссиям]]),VLOOKUP(LOOKUP(,-1/($Z$12:Z29=1),$A$12:A29),График[[Срок конец]:[Возврат основной суммы долга]],3,0)),
AND(S28=0,Первоначальный[[#This Row],[Дата платежа из графика]]="",Первоначальный[[#This Row],[Досрочное погашение (да/"")]]&lt;&gt;"Да"),0,
AND(S28=0,Первоначальный[[#This Row],[Досрочное погашение (да/"")]]=""),MIN(Первоначальный[[#This Row],[Полученный платеж]]+Y28-SUM(Первоначальный[[#This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комиссиям]]),VLOOKUP(LOOKUP(,-1/($Z$12:Z29=1),$A$12:A29),График[[Срок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S28&gt;0,MIN(Первоначальный[[#This Row],[Полученный платеж]]+Y28-SUM(Первоначальный[[#This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комиссиям]]),SUM(INDIRECT("M"&amp;(MAX((1=S$12:S28)*ROW(S$12:S28),ROW($W$12))&amp;":M"&amp;(ROW()))))-SUM(INDIRECT("W"&amp;(MAX((1=S$12:S28)*ROW(S$12:S28),ROW($W$12))&amp;":W"&amp;(ROW()-1)))))
)
)</f>
        <v>0</v>
      </c>
      <c r="X29" s="55">
        <f t="shared" ca="1" si="1"/>
        <v>0</v>
      </c>
      <c r="Y29" s="101">
        <f t="shared" ca="1" si="9"/>
        <v>0</v>
      </c>
      <c r="Z29" s="133" t="str">
        <f>IF(TYPE((VLOOKUP(Первоначальный[[#This Row],[Дата платежа]],График[Срок конец],1,0)))=16,"",1)</f>
        <v/>
      </c>
      <c r="AA29" s="57"/>
      <c r="AB29" s="134"/>
      <c r="AC2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150000</v>
      </c>
      <c r="AD2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81.599999999999739</v>
      </c>
      <c r="AE2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2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29" s="55"/>
      <c r="AI29" s="55"/>
      <c r="AJ29" s="55"/>
      <c r="AK29" s="101">
        <f t="shared" ca="1" si="10"/>
        <v>150081.60000000001</v>
      </c>
      <c r="AL29" s="129">
        <f t="array" ref="AL29">MAX((УслРестрактов[Характеристика]="Дата реструктуризации")*(УслРестрактов[Значение]=Первоначальный!$A29),0)</f>
        <v>0</v>
      </c>
    </row>
    <row r="30" spans="1:38" x14ac:dyDescent="0.25">
      <c r="A30" s="97">
        <f t="shared" si="2"/>
        <v>44161</v>
      </c>
      <c r="B30" s="100">
        <f t="shared" ca="1" si="3"/>
        <v>150000</v>
      </c>
      <c r="C30" s="55">
        <f t="shared" ref="C30:D92" ca="1" si="12">AD29+AI29</f>
        <v>81.599999999999739</v>
      </c>
      <c r="D30" s="55">
        <f t="shared" ca="1" si="12"/>
        <v>0</v>
      </c>
      <c r="E30" s="55">
        <f t="shared" ca="1" si="5"/>
        <v>0</v>
      </c>
      <c r="F30" s="55">
        <f t="shared" ca="1" si="6"/>
        <v>0</v>
      </c>
      <c r="G30" s="101">
        <f t="shared" ca="1" si="7"/>
        <v>150081.60000000001</v>
      </c>
      <c r="H30" s="100">
        <f ca="1">ROUND($B30*VLOOKUP($A30,$A$1:$B$10,2,1)/(365+IF(MOD(YEAR($A30),4),0,1)*($A30-$A29)),2)-Первоначальный[[#This Row],[Проценты на просроченный платеж по ОД за период]]</f>
        <v>81.56</v>
      </c>
      <c r="I30" s="55">
        <f t="shared" ca="1" si="8"/>
        <v>0</v>
      </c>
      <c r="J30" s="55">
        <v>0</v>
      </c>
      <c r="K30" s="55">
        <f t="shared" ca="1" si="11"/>
        <v>0</v>
      </c>
      <c r="L30" s="55">
        <v>0</v>
      </c>
      <c r="M30" s="113">
        <f>SUMIFS(График[Возврат основной суммы долга],График[Дата с учетом нерабочих дней],$A30)</f>
        <v>0</v>
      </c>
      <c r="N30" s="56">
        <f>SUMIFS(График[Возврат начисленных %],График[Дата с учетом нерабочих дней],$A30)</f>
        <v>0</v>
      </c>
      <c r="O30" s="101">
        <v>0</v>
      </c>
      <c r="P30" s="100" cm="1">
        <f t="array" aca="1" ref="P30" ca="1">MAX(IF(AA29="Да",0,SUM(INDIRECT("M"&amp;(MAX(("Да"=AA$12:AA29)*ROW(AA$12:AA29)+1,ROW($P$12))&amp;":M"&amp;(ROW()))))-SUM(INDIRECT("W"&amp;(MAX(("Да"=AA$12:AA29)*ROW(AA$12:AA29)+1,ROW($P$12))&amp;":W"&amp;(ROW()))))),0)</f>
        <v>0</v>
      </c>
      <c r="Q30" s="99">
        <f ca="1">MAX(SUM($N$13:N30)-SUM($T$13:T30),0)</f>
        <v>6.5573770484661509E-4</v>
      </c>
      <c r="R30" s="99">
        <f ca="1">Первоначальный[[#This Row],[Просроченный платеж по ОД]]+Первоначальный[[#This Row],[Просроченный платеж по процентам]]</f>
        <v>6.5573770484661509E-4</v>
      </c>
      <c r="S30" s="120">
        <f ca="1">IF(Первоначальный[[#This Row],[Просроченный платеж]]&lt;1,0,S29+1)</f>
        <v>0</v>
      </c>
      <c r="T30" s="100" cm="1">
        <f t="array" aca="1" ref="T30" ca="1">IF(Первоначальный[[#This Row],[Итого остаток на начало периода]]&lt;1,0,
IF(
AND(TYPE(VLOOKUP(1,$Z$12:Z30,1,0))=16,Первоначальный[[#This Row],[Досрочное погашение (да/"")]]=""),0,
_xlfn.IFS(AND(S29=0,Первоначальный[[#This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платеж]]&lt;&gt;0),MIN(LOOKUP(,-1/($Z$12:Z30=1),$C$12:C30)+LOOKUP(,-1/($Z$12:Z30=1),$H$12:H30),Первоначальный[[#This Row],[Полученный платеж]]+Y29),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платеж]]+Y29,SUM(Первоначальный[[#This Row],[Остаток процентов на начало периода]],Первоначальный[[#This Row],[Проценты за период]])),
AND(S29=0,Первоначальный[[#This Row],[Дата платежа из графика]]=""),0,
AND(S29=0,Первоначальный[[#This Row],[Дата платежа из графика]]=1,MAX((0&lt;&gt;S$12:S29)*ROW(S$12:S29),ROW($S$12))&gt;=MAX((1=Z$12:Z29)*ROW(Z$12:Z29),ROW($T$12)),TYPE(VLOOKUP("Да",(INDIRECT("AA"&amp;(MAX((1=Z$12:Z29)*ROW(Z$12:Z29),ROW($T$12))&amp;":AA"&amp;(ROW()-1)))),1,0))=16),MIN(LOOKUP(,-1/($Z$12:Z30=1),$C$12:C30)+LOOKUP(,-1/($Z$12:Z30=1),$H$12:H30),Первоначальный[[#This Row],[Полученный платеж]]+Y29),
AND(S29=0,TYPE(VLOOKUP("Да",(INDIRECT("AA"&amp;(MAX((1=Z$12:Z29)*ROW(Z$12:Z29),ROW($T$12))&amp;":AA"&amp;(ROW()-1)))),1,0))&lt;&gt;16),MIN(LOOKUP(,-1/($Z$12:Z30=1),$C$12:C30)+LOOKUP(,-1/($Z$12:Z30=1),$H$12:H30)-IF(AA29="Да",0,SUM(INDIRECT("T"&amp;(MAX(("Да"=AA$12:AA29)*ROW(AA$12:AA29)+1,ROW($T$12))&amp;":T"&amp;(ROW()-1))))),Первоначальный[[#This Row],[Полученный платеж]]+Y29),
AND(S29=0,MAX((0&lt;&gt;N$12:N29)*ROW(N$12:N29),ROW($S$12))&gt;=MAX((1=Z$12:Z29)*ROW(Z$12:Z29),ROW($T$12))),MIN(LOOKUP(,-1/($Z$12:Z30=1),$C$12:C30)+LOOKUP(,-1/($Z$12:Z30=1),$H$12:H30)-IF(N29&lt;&gt;0,0,SUM(INDIRECT("T"&amp;(MAX((0&lt;&gt;N$12:N29)*ROW(N$12:N29)+1,ROW($T$12))&amp;":T"&amp;(ROW()-1))))),Первоначальный[[#This Row],[Полученный платеж]]+Y29),
AND(S29=0,Первоначальный[[#This Row],[Дата платежа из графика]]=1),MIN(LOOKUP(,-1/($Z$12:Z30=1),$C$12:C30)+LOOKUP(,-1/($Z$12:Z30=1),$H$12:H30)-IF(Z29=1,0,SUM(INDIRECT("T"&amp;(MAX((1=Z$12:Z29)*ROW(Z$12:Z29)+1,ROW($T$12))&amp;":T"&amp;(ROW()-1))))),Первоначальный[[#This Row],[Полученный платеж]]+Y29),
AND(Z29&gt;0,Первоначальный[[#This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платеж]]+Y29),
AND(S29&gt;0,MAX((0&lt;&gt;S$12:S29)*ROW(S$12:S29),ROW($S$12))&gt;=MAX((1=Z$12:Z29)*ROW(Z$12:Z29),ROW($T$12)),TYPE(VLOOKUP("Да",(INDIRECT("AA"&amp;(MAX((1=Z$12:Z29)*ROW(Z$12:Z29),ROW($T$12))&amp;":AA"&amp;(ROW()-1)))),1,0))=16),MIN(LOOKUP(,-1/($Z$12:Z30=1),$C$12:C30)+LOOKUP(,-1/($Z$12:Z30=1),$H$12:H30)-SUM(INDIRECT("T"&amp;(MAX((1=Z$12:Z29)*ROW(Z$12:Z29),ROW($T$12))&amp;":T"&amp;(ROW()-1)))),Первоначальный[[#This Row],[Полученный платеж]]+Y29),
S29&gt;0,MIN(LOOKUP(,-1/($Z$12:Z30=1),$C$12:C30)+LOOKUP(,-1/($Z$12:Z30=1),$H$12:H30)-IF(Z29=1,0,SUM(INDIRECT("T"&amp;(MAX((1=Z$12:Z29)*ROW(Z$12:Z29)+1,ROW($T$12))&amp;":T"&amp;(ROW()-1))))),Первоначальный[[#This Row],[Полученный платеж]]+Y29)
)
)
)</f>
        <v>0</v>
      </c>
      <c r="U3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платеж]]+Y29-Первоначальный[[#This Row],[Полученный платёж по процентам]])</f>
        <v>0</v>
      </c>
      <c r="V30" s="55">
        <f t="shared" ca="1" si="0"/>
        <v>0</v>
      </c>
      <c r="W30" s="55" cm="1">
        <f t="array" aca="1" ref="W30" ca="1">IF(Первоначальный[[#This Row],[Итого остаток на начало периода]]&lt;1,0,
_xlfn.IFS(
AND(TYPE(VLOOKUP(1,$Z$12:Z30,1,0))=16,Первоначальный[[#This Row],[Досрочное погашение (да/"")]]=""),0,
AND(S29=0,Первоначальный[[#This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комиссиям]]),VLOOKUP(LOOKUP(,-1/($Z$12:Z30=1),$A$12:A30),График[[Срок конец]:[Возврат основной суммы долга]],3,0)),
AND(S29=0,Первоначальный[[#This Row],[Дата платежа из графика]]="",Первоначальный[[#This Row],[Досрочное погашение (да/"")]]&lt;&gt;"Да"),0,
AND(S29=0,Первоначальный[[#This Row],[Досрочное погашение (да/"")]]=""),MIN(Первоначальный[[#This Row],[Полученный платеж]]+Y29-SUM(Первоначальный[[#This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комиссиям]]),VLOOKUP(LOOKUP(,-1/($Z$12:Z30=1),$A$12:A30),График[[Срок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S29&gt;0,MIN(Первоначальный[[#This Row],[Полученный платеж]]+Y29-SUM(Первоначальный[[#This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комиссиям]]),SUM(INDIRECT("M"&amp;(MAX((1=S$12:S29)*ROW(S$12:S29),ROW($W$12))&amp;":M"&amp;(ROW()))))-SUM(INDIRECT("W"&amp;(MAX((1=S$12:S29)*ROW(S$12:S29),ROW($W$12))&amp;":W"&amp;(ROW()-1)))))
)
)</f>
        <v>0</v>
      </c>
      <c r="X30" s="55">
        <f t="shared" ca="1" si="1"/>
        <v>0</v>
      </c>
      <c r="Y30" s="101">
        <f t="shared" ca="1" si="9"/>
        <v>0</v>
      </c>
      <c r="Z30" s="133" t="str">
        <f>IF(TYPE((VLOOKUP(Первоначальный[[#This Row],[Дата платежа]],График[Срок конец],1,0)))=16,"",1)</f>
        <v/>
      </c>
      <c r="AA30" s="57"/>
      <c r="AB30" s="134"/>
      <c r="AC3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150000</v>
      </c>
      <c r="AD3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163.15999999999974</v>
      </c>
      <c r="AE3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3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30" s="55"/>
      <c r="AI30" s="55"/>
      <c r="AJ30" s="55"/>
      <c r="AK30" s="101">
        <f t="shared" ca="1" si="10"/>
        <v>150163.16</v>
      </c>
      <c r="AL30" s="129">
        <f t="array" ref="AL30">MAX((УслРестрактов[Характеристика]="Дата реструктуризации")*(УслРестрактов[Значение]=Первоначальный!$A30),0)</f>
        <v>0</v>
      </c>
    </row>
    <row r="31" spans="1:38" x14ac:dyDescent="0.25">
      <c r="A31" s="97">
        <f t="shared" si="2"/>
        <v>44162</v>
      </c>
      <c r="B31" s="100">
        <f t="shared" ca="1" si="3"/>
        <v>150000</v>
      </c>
      <c r="C31" s="55">
        <f t="shared" ca="1" si="12"/>
        <v>163.15999999999974</v>
      </c>
      <c r="D31" s="55">
        <f t="shared" ca="1" si="12"/>
        <v>0</v>
      </c>
      <c r="E31" s="55">
        <f t="shared" ca="1" si="5"/>
        <v>0</v>
      </c>
      <c r="F31" s="55">
        <f t="shared" ca="1" si="6"/>
        <v>0</v>
      </c>
      <c r="G31" s="101">
        <f t="shared" ca="1" si="7"/>
        <v>150163.16</v>
      </c>
      <c r="H31" s="100">
        <f ca="1">ROUND($B31*VLOOKUP($A31,$A$1:$B$10,2,1)/(365+IF(MOD(YEAR($A31),4),0,1)*($A31-$A30)),2)-Первоначальный[[#This Row],[Проценты на просроченный платеж по ОД за период]]</f>
        <v>81.56</v>
      </c>
      <c r="I31" s="55">
        <f t="shared" ca="1" si="8"/>
        <v>0</v>
      </c>
      <c r="J31" s="55">
        <v>0</v>
      </c>
      <c r="K31" s="55">
        <f t="shared" ca="1" si="11"/>
        <v>0</v>
      </c>
      <c r="L31" s="55">
        <v>0</v>
      </c>
      <c r="M31" s="113">
        <f>SUMIFS(График[Возврат основной суммы долга],График[Дата с учетом нерабочих дней],$A31)</f>
        <v>0</v>
      </c>
      <c r="N31" s="56">
        <f>SUMIFS(График[Возврат начисленных %],График[Дата с учетом нерабочих дней],$A31)</f>
        <v>0</v>
      </c>
      <c r="O31" s="101">
        <v>0</v>
      </c>
      <c r="P31" s="100" cm="1">
        <f t="array" aca="1" ref="P31" ca="1">MAX(IF(AA30="Да",0,SUM(INDIRECT("M"&amp;(MAX(("Да"=AA$12:AA30)*ROW(AA$12:AA30)+1,ROW($P$12))&amp;":M"&amp;(ROW()))))-SUM(INDIRECT("W"&amp;(MAX(("Да"=AA$12:AA30)*ROW(AA$12:AA30)+1,ROW($P$12))&amp;":W"&amp;(ROW()))))),0)</f>
        <v>0</v>
      </c>
      <c r="Q31" s="99">
        <f ca="1">MAX(SUM($N$13:N31)-SUM($T$13:T31),0)</f>
        <v>6.5573770484661509E-4</v>
      </c>
      <c r="R31" s="99">
        <f ca="1">Первоначальный[[#This Row],[Просроченный платеж по ОД]]+Первоначальный[[#This Row],[Просроченный платеж по процентам]]</f>
        <v>6.5573770484661509E-4</v>
      </c>
      <c r="S31" s="120">
        <f ca="1">IF(Первоначальный[[#This Row],[Просроченный платеж]]&lt;1,0,S30+1)</f>
        <v>0</v>
      </c>
      <c r="T31" s="100" cm="1">
        <f t="array" aca="1" ref="T31" ca="1">IF(Первоначальный[[#This Row],[Итого остаток на начало периода]]&lt;1,0,
IF(
AND(TYPE(VLOOKUP(1,$Z$12:Z31,1,0))=16,Первоначальный[[#This Row],[Досрочное погашение (да/"")]]=""),0,
_xlfn.IFS(AND(S30=0,Первоначальный[[#This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платеж]]&lt;&gt;0),MIN(LOOKUP(,-1/($Z$12:Z31=1),$C$12:C31)+LOOKUP(,-1/($Z$12:Z31=1),$H$12:H31),Первоначальный[[#This Row],[Полученный платеж]]+Y30),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платеж]]+Y30,SUM(Первоначальный[[#This Row],[Остаток процентов на начало периода]],Первоначальный[[#This Row],[Проценты за период]])),
AND(S30=0,Первоначальный[[#This Row],[Дата платежа из графика]]=""),0,
AND(S30=0,Первоначальный[[#This Row],[Дата платежа из графика]]=1,MAX((0&lt;&gt;S$12:S30)*ROW(S$12:S30),ROW($S$12))&gt;=MAX((1=Z$12:Z30)*ROW(Z$12:Z30),ROW($T$12)),TYPE(VLOOKUP("Да",(INDIRECT("AA"&amp;(MAX((1=Z$12:Z30)*ROW(Z$12:Z30),ROW($T$12))&amp;":AA"&amp;(ROW()-1)))),1,0))=16),MIN(LOOKUP(,-1/($Z$12:Z31=1),$C$12:C31)+LOOKUP(,-1/($Z$12:Z31=1),$H$12:H31),Первоначальный[[#This Row],[Полученный платеж]]+Y30),
AND(S30=0,TYPE(VLOOKUP("Да",(INDIRECT("AA"&amp;(MAX((1=Z$12:Z30)*ROW(Z$12:Z30),ROW($T$12))&amp;":AA"&amp;(ROW()-1)))),1,0))&lt;&gt;16),MIN(LOOKUP(,-1/($Z$12:Z31=1),$C$12:C31)+LOOKUP(,-1/($Z$12:Z31=1),$H$12:H31)-IF(AA30="Да",0,SUM(INDIRECT("T"&amp;(MAX(("Да"=AA$12:AA30)*ROW(AA$12:AA30)+1,ROW($T$12))&amp;":T"&amp;(ROW()-1))))),Первоначальный[[#This Row],[Полученный платеж]]+Y30),
AND(S30=0,MAX((0&lt;&gt;N$12:N30)*ROW(N$12:N30),ROW($S$12))&gt;=MAX((1=Z$12:Z30)*ROW(Z$12:Z30),ROW($T$12))),MIN(LOOKUP(,-1/($Z$12:Z31=1),$C$12:C31)+LOOKUP(,-1/($Z$12:Z31=1),$H$12:H31)-IF(N30&lt;&gt;0,0,SUM(INDIRECT("T"&amp;(MAX((0&lt;&gt;N$12:N30)*ROW(N$12:N30)+1,ROW($T$12))&amp;":T"&amp;(ROW()-1))))),Первоначальный[[#This Row],[Полученный платеж]]+Y30),
AND(S30=0,Первоначальный[[#This Row],[Дата платежа из графика]]=1),MIN(LOOKUP(,-1/($Z$12:Z31=1),$C$12:C31)+LOOKUP(,-1/($Z$12:Z31=1),$H$12:H31)-IF(Z30=1,0,SUM(INDIRECT("T"&amp;(MAX((1=Z$12:Z30)*ROW(Z$12:Z30)+1,ROW($T$12))&amp;":T"&amp;(ROW()-1))))),Первоначальный[[#This Row],[Полученный платеж]]+Y30),
AND(Z30&gt;0,Первоначальный[[#This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платеж]]+Y30),
AND(S30&gt;0,MAX((0&lt;&gt;S$12:S30)*ROW(S$12:S30),ROW($S$12))&gt;=MAX((1=Z$12:Z30)*ROW(Z$12:Z30),ROW($T$12)),TYPE(VLOOKUP("Да",(INDIRECT("AA"&amp;(MAX((1=Z$12:Z30)*ROW(Z$12:Z30),ROW($T$12))&amp;":AA"&amp;(ROW()-1)))),1,0))=16),MIN(LOOKUP(,-1/($Z$12:Z31=1),$C$12:C31)+LOOKUP(,-1/($Z$12:Z31=1),$H$12:H31)-SUM(INDIRECT("T"&amp;(MAX((1=Z$12:Z30)*ROW(Z$12:Z30),ROW($T$12))&amp;":T"&amp;(ROW()-1)))),Первоначальный[[#This Row],[Полученный платеж]]+Y30),
S30&gt;0,MIN(LOOKUP(,-1/($Z$12:Z31=1),$C$12:C31)+LOOKUP(,-1/($Z$12:Z31=1),$H$12:H31)-IF(Z30=1,0,SUM(INDIRECT("T"&amp;(MAX((1=Z$12:Z30)*ROW(Z$12:Z30)+1,ROW($T$12))&amp;":T"&amp;(ROW()-1))))),Первоначальный[[#This Row],[Полученный платеж]]+Y30)
)
)
)</f>
        <v>0</v>
      </c>
      <c r="U3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платеж]]+Y30-Первоначальный[[#This Row],[Полученный платёж по процентам]])</f>
        <v>0</v>
      </c>
      <c r="V31" s="55">
        <f t="shared" ca="1" si="0"/>
        <v>0</v>
      </c>
      <c r="W31" s="55" cm="1">
        <f t="array" aca="1" ref="W31" ca="1">IF(Первоначальный[[#This Row],[Итого остаток на начало периода]]&lt;1,0,
_xlfn.IFS(
AND(TYPE(VLOOKUP(1,$Z$12:Z31,1,0))=16,Первоначальный[[#This Row],[Досрочное погашение (да/"")]]=""),0,
AND(S30=0,Первоначальный[[#This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комиссиям]]),VLOOKUP(LOOKUP(,-1/($Z$12:Z31=1),$A$12:A31),График[[Срок конец]:[Возврат основной суммы долга]],3,0)),
AND(S30=0,Первоначальный[[#This Row],[Дата платежа из графика]]="",Первоначальный[[#This Row],[Досрочное погашение (да/"")]]&lt;&gt;"Да"),0,
AND(S30=0,Первоначальный[[#This Row],[Досрочное погашение (да/"")]]=""),MIN(Первоначальный[[#This Row],[Полученный платеж]]+Y30-SUM(Первоначальный[[#This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комиссиям]]),VLOOKUP(LOOKUP(,-1/($Z$12:Z31=1),$A$12:A31),График[[Срок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S30&gt;0,MIN(Первоначальный[[#This Row],[Полученный платеж]]+Y30-SUM(Первоначальный[[#This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комиссиям]]),SUM(INDIRECT("M"&amp;(MAX((1=S$12:S30)*ROW(S$12:S30),ROW($W$12))&amp;":M"&amp;(ROW()))))-SUM(INDIRECT("W"&amp;(MAX((1=S$12:S30)*ROW(S$12:S30),ROW($W$12))&amp;":W"&amp;(ROW()-1)))))
)
)</f>
        <v>0</v>
      </c>
      <c r="X31" s="55">
        <f t="shared" ca="1" si="1"/>
        <v>0</v>
      </c>
      <c r="Y31" s="101">
        <f t="shared" ca="1" si="9"/>
        <v>0</v>
      </c>
      <c r="Z31" s="133" t="str">
        <f>IF(TYPE((VLOOKUP(Первоначальный[[#This Row],[Дата платежа]],График[Срок конец],1,0)))=16,"",1)</f>
        <v/>
      </c>
      <c r="AA31" s="57"/>
      <c r="AB31" s="134"/>
      <c r="AC3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150000</v>
      </c>
      <c r="AD3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244.71999999999974</v>
      </c>
      <c r="AE3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3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31" s="55"/>
      <c r="AI31" s="55"/>
      <c r="AJ31" s="55"/>
      <c r="AK31" s="101">
        <f t="shared" ca="1" si="10"/>
        <v>150244.72</v>
      </c>
      <c r="AL31" s="129">
        <f t="array" ref="AL31">MAX((УслРестрактов[Характеристика]="Дата реструктуризации")*(УслРестрактов[Значение]=Первоначальный!$A31),0)</f>
        <v>0</v>
      </c>
    </row>
    <row r="32" spans="1:38" x14ac:dyDescent="0.25">
      <c r="A32" s="97">
        <f t="shared" si="2"/>
        <v>44163</v>
      </c>
      <c r="B32" s="100">
        <f t="shared" ca="1" si="3"/>
        <v>150000</v>
      </c>
      <c r="C32" s="55">
        <f t="shared" ca="1" si="12"/>
        <v>244.71999999999974</v>
      </c>
      <c r="D32" s="55">
        <f t="shared" ca="1" si="12"/>
        <v>0</v>
      </c>
      <c r="E32" s="55">
        <f t="shared" ca="1" si="5"/>
        <v>0</v>
      </c>
      <c r="F32" s="55">
        <f t="shared" ca="1" si="6"/>
        <v>0</v>
      </c>
      <c r="G32" s="101">
        <f t="shared" ca="1" si="7"/>
        <v>150244.72</v>
      </c>
      <c r="H32" s="100">
        <f ca="1">ROUND($B32*VLOOKUP($A32,$A$1:$B$10,2,1)/(365+IF(MOD(YEAR($A32),4),0,1)*($A32-$A31)),2)-Первоначальный[[#This Row],[Проценты на просроченный платеж по ОД за период]]</f>
        <v>81.56</v>
      </c>
      <c r="I32" s="55">
        <f t="shared" ca="1" si="8"/>
        <v>0</v>
      </c>
      <c r="J32" s="55">
        <v>0</v>
      </c>
      <c r="K32" s="55">
        <f t="shared" ca="1" si="11"/>
        <v>0</v>
      </c>
      <c r="L32" s="55">
        <v>0</v>
      </c>
      <c r="M32" s="113">
        <f>SUMIFS(График[Возврат основной суммы долга],График[Дата с учетом нерабочих дней],$A32)</f>
        <v>0</v>
      </c>
      <c r="N32" s="56">
        <f>SUMIFS(График[Возврат начисленных %],График[Дата с учетом нерабочих дней],$A32)</f>
        <v>0</v>
      </c>
      <c r="O32" s="101">
        <v>0</v>
      </c>
      <c r="P32" s="100" cm="1">
        <f t="array" aca="1" ref="P32" ca="1">MAX(IF(AA31="Да",0,SUM(INDIRECT("M"&amp;(MAX(("Да"=AA$12:AA31)*ROW(AA$12:AA31)+1,ROW($P$12))&amp;":M"&amp;(ROW()))))-SUM(INDIRECT("W"&amp;(MAX(("Да"=AA$12:AA31)*ROW(AA$12:AA31)+1,ROW($P$12))&amp;":W"&amp;(ROW()))))),0)</f>
        <v>0</v>
      </c>
      <c r="Q32" s="99">
        <f ca="1">MAX(SUM($N$13:N32)-SUM($T$13:T32),0)</f>
        <v>6.5573770484661509E-4</v>
      </c>
      <c r="R32" s="99">
        <f ca="1">Первоначальный[[#This Row],[Просроченный платеж по ОД]]+Первоначальный[[#This Row],[Просроченный платеж по процентам]]</f>
        <v>6.5573770484661509E-4</v>
      </c>
      <c r="S32" s="120">
        <f ca="1">IF(Первоначальный[[#This Row],[Просроченный платеж]]&lt;1,0,S31+1)</f>
        <v>0</v>
      </c>
      <c r="T32" s="100" cm="1">
        <f t="array" aca="1" ref="T32" ca="1">IF(Первоначальный[[#This Row],[Итого остаток на начало периода]]&lt;1,0,
IF(
AND(TYPE(VLOOKUP(1,$Z$12:Z32,1,0))=16,Первоначальный[[#This Row],[Досрочное погашение (да/"")]]=""),0,
_xlfn.IFS(AND(S31=0,Первоначальный[[#This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платеж]]&lt;&gt;0),MIN(LOOKUP(,-1/($Z$12:Z32=1),$C$12:C32)+LOOKUP(,-1/($Z$12:Z32=1),$H$12:H32),Первоначальный[[#This Row],[Полученный платеж]]+Y31),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платеж]]+Y31,SUM(Первоначальный[[#This Row],[Остаток процентов на начало периода]],Первоначальный[[#This Row],[Проценты за период]])),
AND(S31=0,Первоначальный[[#This Row],[Дата платежа из графика]]=""),0,
AND(S31=0,Первоначальный[[#This Row],[Дата платежа из графика]]=1,MAX((0&lt;&gt;S$12:S31)*ROW(S$12:S31),ROW($S$12))&gt;=MAX((1=Z$12:Z31)*ROW(Z$12:Z31),ROW($T$12)),TYPE(VLOOKUP("Да",(INDIRECT("AA"&amp;(MAX((1=Z$12:Z31)*ROW(Z$12:Z31),ROW($T$12))&amp;":AA"&amp;(ROW()-1)))),1,0))=16),MIN(LOOKUP(,-1/($Z$12:Z32=1),$C$12:C32)+LOOKUP(,-1/($Z$12:Z32=1),$H$12:H32),Первоначальный[[#This Row],[Полученный платеж]]+Y31),
AND(S31=0,TYPE(VLOOKUP("Да",(INDIRECT("AA"&amp;(MAX((1=Z$12:Z31)*ROW(Z$12:Z31),ROW($T$12))&amp;":AA"&amp;(ROW()-1)))),1,0))&lt;&gt;16),MIN(LOOKUP(,-1/($Z$12:Z32=1),$C$12:C32)+LOOKUP(,-1/($Z$12:Z32=1),$H$12:H32)-IF(AA31="Да",0,SUM(INDIRECT("T"&amp;(MAX(("Да"=AA$12:AA31)*ROW(AA$12:AA31)+1,ROW($T$12))&amp;":T"&amp;(ROW()-1))))),Первоначальный[[#This Row],[Полученный платеж]]+Y31),
AND(S31=0,MAX((0&lt;&gt;N$12:N31)*ROW(N$12:N31),ROW($S$12))&gt;=MAX((1=Z$12:Z31)*ROW(Z$12:Z31),ROW($T$12))),MIN(LOOKUP(,-1/($Z$12:Z32=1),$C$12:C32)+LOOKUP(,-1/($Z$12:Z32=1),$H$12:H32)-IF(N31&lt;&gt;0,0,SUM(INDIRECT("T"&amp;(MAX((0&lt;&gt;N$12:N31)*ROW(N$12:N31)+1,ROW($T$12))&amp;":T"&amp;(ROW()-1))))),Первоначальный[[#This Row],[Полученный платеж]]+Y31),
AND(S31=0,Первоначальный[[#This Row],[Дата платежа из графика]]=1),MIN(LOOKUP(,-1/($Z$12:Z32=1),$C$12:C32)+LOOKUP(,-1/($Z$12:Z32=1),$H$12:H32)-IF(Z31=1,0,SUM(INDIRECT("T"&amp;(MAX((1=Z$12:Z31)*ROW(Z$12:Z31)+1,ROW($T$12))&amp;":T"&amp;(ROW()-1))))),Первоначальный[[#This Row],[Полученный платеж]]+Y31),
AND(Z31&gt;0,Первоначальный[[#This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платеж]]+Y31),
AND(S31&gt;0,MAX((0&lt;&gt;S$12:S31)*ROW(S$12:S31),ROW($S$12))&gt;=MAX((1=Z$12:Z31)*ROW(Z$12:Z31),ROW($T$12)),TYPE(VLOOKUP("Да",(INDIRECT("AA"&amp;(MAX((1=Z$12:Z31)*ROW(Z$12:Z31),ROW($T$12))&amp;":AA"&amp;(ROW()-1)))),1,0))=16),MIN(LOOKUP(,-1/($Z$12:Z32=1),$C$12:C32)+LOOKUP(,-1/($Z$12:Z32=1),$H$12:H32)-SUM(INDIRECT("T"&amp;(MAX((1=Z$12:Z31)*ROW(Z$12:Z31),ROW($T$12))&amp;":T"&amp;(ROW()-1)))),Первоначальный[[#This Row],[Полученный платеж]]+Y31),
S31&gt;0,MIN(LOOKUP(,-1/($Z$12:Z32=1),$C$12:C32)+LOOKUP(,-1/($Z$12:Z32=1),$H$12:H32)-IF(Z31=1,0,SUM(INDIRECT("T"&amp;(MAX((1=Z$12:Z31)*ROW(Z$12:Z31)+1,ROW($T$12))&amp;":T"&amp;(ROW()-1))))),Первоначальный[[#This Row],[Полученный платеж]]+Y31)
)
)
)</f>
        <v>0</v>
      </c>
      <c r="U3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платеж]]+Y31-Первоначальный[[#This Row],[Полученный платёж по процентам]])</f>
        <v>0</v>
      </c>
      <c r="V32" s="55">
        <f t="shared" ca="1" si="0"/>
        <v>0</v>
      </c>
      <c r="W32" s="55" cm="1">
        <f t="array" aca="1" ref="W32" ca="1">IF(Первоначальный[[#This Row],[Итого остаток на начало периода]]&lt;1,0,
_xlfn.IFS(
AND(TYPE(VLOOKUP(1,$Z$12:Z32,1,0))=16,Первоначальный[[#This Row],[Досрочное погашение (да/"")]]=""),0,
AND(S31=0,Первоначальный[[#This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комиссиям]]),VLOOKUP(LOOKUP(,-1/($Z$12:Z32=1),$A$12:A32),График[[Срок конец]:[Возврат основной суммы долга]],3,0)),
AND(S31=0,Первоначальный[[#This Row],[Дата платежа из графика]]="",Первоначальный[[#This Row],[Досрочное погашение (да/"")]]&lt;&gt;"Да"),0,
AND(S31=0,Первоначальный[[#This Row],[Досрочное погашение (да/"")]]=""),MIN(Первоначальный[[#This Row],[Полученный платеж]]+Y31-SUM(Первоначальный[[#This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комиссиям]]),VLOOKUP(LOOKUP(,-1/($Z$12:Z32=1),$A$12:A32),График[[Срок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S31&gt;0,MIN(Первоначальный[[#This Row],[Полученный платеж]]+Y31-SUM(Первоначальный[[#This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комиссиям]]),SUM(INDIRECT("M"&amp;(MAX((1=S$12:S31)*ROW(S$12:S31),ROW($W$12))&amp;":M"&amp;(ROW()))))-SUM(INDIRECT("W"&amp;(MAX((1=S$12:S31)*ROW(S$12:S31),ROW($W$12))&amp;":W"&amp;(ROW()-1)))))
)
)</f>
        <v>0</v>
      </c>
      <c r="X32" s="55">
        <f t="shared" ca="1" si="1"/>
        <v>0</v>
      </c>
      <c r="Y32" s="101">
        <f t="shared" ca="1" si="9"/>
        <v>0</v>
      </c>
      <c r="Z32" s="133" t="str">
        <f>IF(TYPE((VLOOKUP(Первоначальный[[#This Row],[Дата платежа]],График[Срок конец],1,0)))=16,"",1)</f>
        <v/>
      </c>
      <c r="AA32" s="57"/>
      <c r="AB32" s="134"/>
      <c r="AC3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150000</v>
      </c>
      <c r="AD3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326.27999999999975</v>
      </c>
      <c r="AE3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3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32" s="55"/>
      <c r="AI32" s="55"/>
      <c r="AJ32" s="55"/>
      <c r="AK32" s="101">
        <f t="shared" ca="1" si="10"/>
        <v>150326.28</v>
      </c>
      <c r="AL32" s="129">
        <f t="array" ref="AL32">MAX((УслРестрактов[Характеристика]="Дата реструктуризации")*(УслРестрактов[Значение]=Первоначальный!$A32),0)</f>
        <v>0</v>
      </c>
    </row>
    <row r="33" spans="1:38" x14ac:dyDescent="0.25">
      <c r="A33" s="97">
        <f t="shared" si="2"/>
        <v>44164</v>
      </c>
      <c r="B33" s="100">
        <f t="shared" ca="1" si="3"/>
        <v>150000</v>
      </c>
      <c r="C33" s="55">
        <f t="shared" ca="1" si="12"/>
        <v>326.27999999999975</v>
      </c>
      <c r="D33" s="55">
        <f t="shared" ca="1" si="12"/>
        <v>0</v>
      </c>
      <c r="E33" s="55">
        <f t="shared" ca="1" si="5"/>
        <v>0</v>
      </c>
      <c r="F33" s="55">
        <f t="shared" ca="1" si="6"/>
        <v>0</v>
      </c>
      <c r="G33" s="101">
        <f t="shared" ca="1" si="7"/>
        <v>150326.28</v>
      </c>
      <c r="H33" s="100">
        <f ca="1">ROUND($B33*VLOOKUP($A33,$A$1:$B$10,2,1)/(365+IF(MOD(YEAR($A33),4),0,1)*($A33-$A32)),2)-Первоначальный[[#This Row],[Проценты на просроченный платеж по ОД за период]]</f>
        <v>81.56</v>
      </c>
      <c r="I33" s="55">
        <f t="shared" ca="1" si="8"/>
        <v>0</v>
      </c>
      <c r="J33" s="55">
        <v>0</v>
      </c>
      <c r="K33" s="55">
        <f t="shared" ca="1" si="11"/>
        <v>0</v>
      </c>
      <c r="L33" s="55">
        <v>0</v>
      </c>
      <c r="M33" s="113">
        <f>SUMIFS(График[Возврат основной суммы долга],График[Дата с учетом нерабочих дней],$A33)</f>
        <v>0</v>
      </c>
      <c r="N33" s="56">
        <f>SUMIFS(График[Возврат начисленных %],График[Дата с учетом нерабочих дней],$A33)</f>
        <v>0</v>
      </c>
      <c r="O33" s="101">
        <v>0</v>
      </c>
      <c r="P33" s="100" cm="1">
        <f t="array" aca="1" ref="P33" ca="1">MAX(IF(AA32="Да",0,SUM(INDIRECT("M"&amp;(MAX(("Да"=AA$12:AA32)*ROW(AA$12:AA32)+1,ROW($P$12))&amp;":M"&amp;(ROW()))))-SUM(INDIRECT("W"&amp;(MAX(("Да"=AA$12:AA32)*ROW(AA$12:AA32)+1,ROW($P$12))&amp;":W"&amp;(ROW()))))),0)</f>
        <v>0</v>
      </c>
      <c r="Q33" s="99">
        <f ca="1">MAX(SUM($N$13:N33)-SUM($T$13:T33),0)</f>
        <v>6.5573770484661509E-4</v>
      </c>
      <c r="R33" s="99">
        <f ca="1">Первоначальный[[#This Row],[Просроченный платеж по ОД]]+Первоначальный[[#This Row],[Просроченный платеж по процентам]]</f>
        <v>6.5573770484661509E-4</v>
      </c>
      <c r="S33" s="120">
        <f ca="1">IF(Первоначальный[[#This Row],[Просроченный платеж]]&lt;1,0,S32+1)</f>
        <v>0</v>
      </c>
      <c r="T33" s="100" cm="1">
        <f t="array" aca="1" ref="T33" ca="1">IF(Первоначальный[[#This Row],[Итого остаток на начало периода]]&lt;1,0,
IF(
AND(TYPE(VLOOKUP(1,$Z$12:Z33,1,0))=16,Первоначальный[[#This Row],[Досрочное погашение (да/"")]]=""),0,
_xlfn.IFS(AND(S32=0,Первоначальный[[#This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платеж]]&lt;&gt;0),MIN(LOOKUP(,-1/($Z$12:Z33=1),$C$12:C33)+LOOKUP(,-1/($Z$12:Z33=1),$H$12:H33),Первоначальный[[#This Row],[Полученный платеж]]+Y32),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платеж]]+Y32,SUM(Первоначальный[[#This Row],[Остаток процентов на начало периода]],Первоначальный[[#This Row],[Проценты за период]])),
AND(S32=0,Первоначальный[[#This Row],[Дата платежа из графика]]=""),0,
AND(S32=0,Первоначальный[[#This Row],[Дата платежа из графика]]=1,MAX((0&lt;&gt;S$12:S32)*ROW(S$12:S32),ROW($S$12))&gt;=MAX((1=Z$12:Z32)*ROW(Z$12:Z32),ROW($T$12)),TYPE(VLOOKUP("Да",(INDIRECT("AA"&amp;(MAX((1=Z$12:Z32)*ROW(Z$12:Z32),ROW($T$12))&amp;":AA"&amp;(ROW()-1)))),1,0))=16),MIN(LOOKUP(,-1/($Z$12:Z33=1),$C$12:C33)+LOOKUP(,-1/($Z$12:Z33=1),$H$12:H33),Первоначальный[[#This Row],[Полученный платеж]]+Y32),
AND(S32=0,TYPE(VLOOKUP("Да",(INDIRECT("AA"&amp;(MAX((1=Z$12:Z32)*ROW(Z$12:Z32),ROW($T$12))&amp;":AA"&amp;(ROW()-1)))),1,0))&lt;&gt;16),MIN(LOOKUP(,-1/($Z$12:Z33=1),$C$12:C33)+LOOKUP(,-1/($Z$12:Z33=1),$H$12:H33)-IF(AA32="Да",0,SUM(INDIRECT("T"&amp;(MAX(("Да"=AA$12:AA32)*ROW(AA$12:AA32)+1,ROW($T$12))&amp;":T"&amp;(ROW()-1))))),Первоначальный[[#This Row],[Полученный платеж]]+Y32),
AND(S32=0,MAX((0&lt;&gt;N$12:N32)*ROW(N$12:N32),ROW($S$12))&gt;=MAX((1=Z$12:Z32)*ROW(Z$12:Z32),ROW($T$12))),MIN(LOOKUP(,-1/($Z$12:Z33=1),$C$12:C33)+LOOKUP(,-1/($Z$12:Z33=1),$H$12:H33)-IF(N32&lt;&gt;0,0,SUM(INDIRECT("T"&amp;(MAX((0&lt;&gt;N$12:N32)*ROW(N$12:N32)+1,ROW($T$12))&amp;":T"&amp;(ROW()-1))))),Первоначальный[[#This Row],[Полученный платеж]]+Y32),
AND(S32=0,Первоначальный[[#This Row],[Дата платежа из графика]]=1),MIN(LOOKUP(,-1/($Z$12:Z33=1),$C$12:C33)+LOOKUP(,-1/($Z$12:Z33=1),$H$12:H33)-IF(Z32=1,0,SUM(INDIRECT("T"&amp;(MAX((1=Z$12:Z32)*ROW(Z$12:Z32)+1,ROW($T$12))&amp;":T"&amp;(ROW()-1))))),Первоначальный[[#This Row],[Полученный платеж]]+Y32),
AND(Z32&gt;0,Первоначальный[[#This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платеж]]+Y32),
AND(S32&gt;0,MAX((0&lt;&gt;S$12:S32)*ROW(S$12:S32),ROW($S$12))&gt;=MAX((1=Z$12:Z32)*ROW(Z$12:Z32),ROW($T$12)),TYPE(VLOOKUP("Да",(INDIRECT("AA"&amp;(MAX((1=Z$12:Z32)*ROW(Z$12:Z32),ROW($T$12))&amp;":AA"&amp;(ROW()-1)))),1,0))=16),MIN(LOOKUP(,-1/($Z$12:Z33=1),$C$12:C33)+LOOKUP(,-1/($Z$12:Z33=1),$H$12:H33)-SUM(INDIRECT("T"&amp;(MAX((1=Z$12:Z32)*ROW(Z$12:Z32),ROW($T$12))&amp;":T"&amp;(ROW()-1)))),Первоначальный[[#This Row],[Полученный платеж]]+Y32),
S32&gt;0,MIN(LOOKUP(,-1/($Z$12:Z33=1),$C$12:C33)+LOOKUP(,-1/($Z$12:Z33=1),$H$12:H33)-IF(Z32=1,0,SUM(INDIRECT("T"&amp;(MAX((1=Z$12:Z32)*ROW(Z$12:Z32)+1,ROW($T$12))&amp;":T"&amp;(ROW()-1))))),Первоначальный[[#This Row],[Полученный платеж]]+Y32)
)
)
)</f>
        <v>0</v>
      </c>
      <c r="U3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платеж]]+Y32-Первоначальный[[#This Row],[Полученный платёж по процентам]])</f>
        <v>0</v>
      </c>
      <c r="V33" s="55">
        <f t="shared" ca="1" si="0"/>
        <v>0</v>
      </c>
      <c r="W33" s="55" cm="1">
        <f t="array" aca="1" ref="W33" ca="1">IF(Первоначальный[[#This Row],[Итого остаток на начало периода]]&lt;1,0,
_xlfn.IFS(
AND(TYPE(VLOOKUP(1,$Z$12:Z33,1,0))=16,Первоначальный[[#This Row],[Досрочное погашение (да/"")]]=""),0,
AND(S32=0,Первоначальный[[#This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комиссиям]]),VLOOKUP(LOOKUP(,-1/($Z$12:Z33=1),$A$12:A33),График[[Срок конец]:[Возврат основной суммы долга]],3,0)),
AND(S32=0,Первоначальный[[#This Row],[Дата платежа из графика]]="",Первоначальный[[#This Row],[Досрочное погашение (да/"")]]&lt;&gt;"Да"),0,
AND(S32=0,Первоначальный[[#This Row],[Досрочное погашение (да/"")]]=""),MIN(Первоначальный[[#This Row],[Полученный платеж]]+Y32-SUM(Первоначальный[[#This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комиссиям]]),VLOOKUP(LOOKUP(,-1/($Z$12:Z33=1),$A$12:A33),График[[Срок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S32&gt;0,MIN(Первоначальный[[#This Row],[Полученный платеж]]+Y32-SUM(Первоначальный[[#This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комиссиям]]),SUM(INDIRECT("M"&amp;(MAX((1=S$12:S32)*ROW(S$12:S32),ROW($W$12))&amp;":M"&amp;(ROW()))))-SUM(INDIRECT("W"&amp;(MAX((1=S$12:S32)*ROW(S$12:S32),ROW($W$12))&amp;":W"&amp;(ROW()-1)))))
)
)</f>
        <v>0</v>
      </c>
      <c r="X33" s="55">
        <f t="shared" ca="1" si="1"/>
        <v>0</v>
      </c>
      <c r="Y33" s="101">
        <f t="shared" ca="1" si="9"/>
        <v>0</v>
      </c>
      <c r="Z33" s="133" t="str">
        <f>IF(TYPE((VLOOKUP(Первоначальный[[#This Row],[Дата платежа]],График[Срок конец],1,0)))=16,"",1)</f>
        <v/>
      </c>
      <c r="AA33" s="57"/>
      <c r="AB33" s="134"/>
      <c r="AC3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150000</v>
      </c>
      <c r="AD3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407.83999999999975</v>
      </c>
      <c r="AE3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3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33" s="55"/>
      <c r="AI33" s="55"/>
      <c r="AJ33" s="55"/>
      <c r="AK33" s="101">
        <f t="shared" ca="1" si="10"/>
        <v>150407.84</v>
      </c>
      <c r="AL33" s="129">
        <f t="array" ref="AL33">MAX((УслРестрактов[Характеристика]="Дата реструктуризации")*(УслРестрактов[Значение]=Первоначальный!$A33),0)</f>
        <v>0</v>
      </c>
    </row>
    <row r="34" spans="1:38" x14ac:dyDescent="0.25">
      <c r="A34" s="97">
        <f t="shared" si="2"/>
        <v>44165</v>
      </c>
      <c r="B34" s="100">
        <f t="shared" ca="1" si="3"/>
        <v>150000</v>
      </c>
      <c r="C34" s="55">
        <f t="shared" ca="1" si="12"/>
        <v>407.83999999999975</v>
      </c>
      <c r="D34" s="55">
        <f t="shared" ca="1" si="12"/>
        <v>0</v>
      </c>
      <c r="E34" s="55">
        <f t="shared" ca="1" si="5"/>
        <v>0</v>
      </c>
      <c r="F34" s="55">
        <f t="shared" ca="1" si="6"/>
        <v>0</v>
      </c>
      <c r="G34" s="101">
        <f t="shared" ca="1" si="7"/>
        <v>150407.84</v>
      </c>
      <c r="H34" s="100">
        <f ca="1">ROUND($B34*VLOOKUP($A34,$A$1:$B$10,2,1)/(365+IF(MOD(YEAR($A34),4),0,1)*($A34-$A33)),2)-Первоначальный[[#This Row],[Проценты на просроченный платеж по ОД за период]]</f>
        <v>81.56</v>
      </c>
      <c r="I34" s="55">
        <f t="shared" ca="1" si="8"/>
        <v>0</v>
      </c>
      <c r="J34" s="55">
        <v>0</v>
      </c>
      <c r="K34" s="55">
        <f t="shared" ca="1" si="11"/>
        <v>0</v>
      </c>
      <c r="L34" s="55">
        <v>0</v>
      </c>
      <c r="M34" s="113">
        <f>SUMIFS(График[Возврат основной суммы долга],График[Дата с учетом нерабочих дней],$A34)</f>
        <v>0</v>
      </c>
      <c r="N34" s="56">
        <f>SUMIFS(График[Возврат начисленных %],График[Дата с учетом нерабочих дней],$A34)</f>
        <v>0</v>
      </c>
      <c r="O34" s="101">
        <v>0</v>
      </c>
      <c r="P34" s="100" cm="1">
        <f t="array" aca="1" ref="P34" ca="1">MAX(IF(AA33="Да",0,SUM(INDIRECT("M"&amp;(MAX(("Да"=AA$12:AA33)*ROW(AA$12:AA33)+1,ROW($P$12))&amp;":M"&amp;(ROW()))))-SUM(INDIRECT("W"&amp;(MAX(("Да"=AA$12:AA33)*ROW(AA$12:AA33)+1,ROW($P$12))&amp;":W"&amp;(ROW()))))),0)</f>
        <v>0</v>
      </c>
      <c r="Q34" s="99">
        <f ca="1">MAX(SUM($N$13:N34)-SUM($T$13:T34),0)</f>
        <v>6.5573770484661509E-4</v>
      </c>
      <c r="R34" s="99">
        <f ca="1">Первоначальный[[#This Row],[Просроченный платеж по ОД]]+Первоначальный[[#This Row],[Просроченный платеж по процентам]]</f>
        <v>6.5573770484661509E-4</v>
      </c>
      <c r="S34" s="120">
        <f ca="1">IF(Первоначальный[[#This Row],[Просроченный платеж]]&lt;1,0,S33+1)</f>
        <v>0</v>
      </c>
      <c r="T34" s="100" cm="1">
        <f t="array" aca="1" ref="T34" ca="1">IF(Первоначальный[[#This Row],[Итого остаток на начало периода]]&lt;1,0,
IF(
AND(TYPE(VLOOKUP(1,$Z$12:Z34,1,0))=16,Первоначальный[[#This Row],[Досрочное погашение (да/"")]]=""),0,
_xlfn.IFS(AND(S33=0,Первоначальный[[#This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платеж]]&lt;&gt;0),MIN(LOOKUP(,-1/($Z$12:Z34=1),$C$12:C34)+LOOKUP(,-1/($Z$12:Z34=1),$H$12:H34),Первоначальный[[#This Row],[Полученный платеж]]+Y33),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платеж]]+Y33,SUM(Первоначальный[[#This Row],[Остаток процентов на начало периода]],Первоначальный[[#This Row],[Проценты за период]])),
AND(S33=0,Первоначальный[[#This Row],[Дата платежа из графика]]=""),0,
AND(S33=0,Первоначальный[[#This Row],[Дата платежа из графика]]=1,MAX((0&lt;&gt;S$12:S33)*ROW(S$12:S33),ROW($S$12))&gt;=MAX((1=Z$12:Z33)*ROW(Z$12:Z33),ROW($T$12)),TYPE(VLOOKUP("Да",(INDIRECT("AA"&amp;(MAX((1=Z$12:Z33)*ROW(Z$12:Z33),ROW($T$12))&amp;":AA"&amp;(ROW()-1)))),1,0))=16),MIN(LOOKUP(,-1/($Z$12:Z34=1),$C$12:C34)+LOOKUP(,-1/($Z$12:Z34=1),$H$12:H34),Первоначальный[[#This Row],[Полученный платеж]]+Y33),
AND(S33=0,TYPE(VLOOKUP("Да",(INDIRECT("AA"&amp;(MAX((1=Z$12:Z33)*ROW(Z$12:Z33),ROW($T$12))&amp;":AA"&amp;(ROW()-1)))),1,0))&lt;&gt;16),MIN(LOOKUP(,-1/($Z$12:Z34=1),$C$12:C34)+LOOKUP(,-1/($Z$12:Z34=1),$H$12:H34)-IF(AA33="Да",0,SUM(INDIRECT("T"&amp;(MAX(("Да"=AA$12:AA33)*ROW(AA$12:AA33)+1,ROW($T$12))&amp;":T"&amp;(ROW()-1))))),Первоначальный[[#This Row],[Полученный платеж]]+Y33),
AND(S33=0,MAX((0&lt;&gt;N$12:N33)*ROW(N$12:N33),ROW($S$12))&gt;=MAX((1=Z$12:Z33)*ROW(Z$12:Z33),ROW($T$12))),MIN(LOOKUP(,-1/($Z$12:Z34=1),$C$12:C34)+LOOKUP(,-1/($Z$12:Z34=1),$H$12:H34)-IF(N33&lt;&gt;0,0,SUM(INDIRECT("T"&amp;(MAX((0&lt;&gt;N$12:N33)*ROW(N$12:N33)+1,ROW($T$12))&amp;":T"&amp;(ROW()-1))))),Первоначальный[[#This Row],[Полученный платеж]]+Y33),
AND(S33=0,Первоначальный[[#This Row],[Дата платежа из графика]]=1),MIN(LOOKUP(,-1/($Z$12:Z34=1),$C$12:C34)+LOOKUP(,-1/($Z$12:Z34=1),$H$12:H34)-IF(Z33=1,0,SUM(INDIRECT("T"&amp;(MAX((1=Z$12:Z33)*ROW(Z$12:Z33)+1,ROW($T$12))&amp;":T"&amp;(ROW()-1))))),Первоначальный[[#This Row],[Полученный платеж]]+Y33),
AND(Z33&gt;0,Первоначальный[[#This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платеж]]+Y33),
AND(S33&gt;0,MAX((0&lt;&gt;S$12:S33)*ROW(S$12:S33),ROW($S$12))&gt;=MAX((1=Z$12:Z33)*ROW(Z$12:Z33),ROW($T$12)),TYPE(VLOOKUP("Да",(INDIRECT("AA"&amp;(MAX((1=Z$12:Z33)*ROW(Z$12:Z33),ROW($T$12))&amp;":AA"&amp;(ROW()-1)))),1,0))=16),MIN(LOOKUP(,-1/($Z$12:Z34=1),$C$12:C34)+LOOKUP(,-1/($Z$12:Z34=1),$H$12:H34)-SUM(INDIRECT("T"&amp;(MAX((1=Z$12:Z33)*ROW(Z$12:Z33),ROW($T$12))&amp;":T"&amp;(ROW()-1)))),Первоначальный[[#This Row],[Полученный платеж]]+Y33),
S33&gt;0,MIN(LOOKUP(,-1/($Z$12:Z34=1),$C$12:C34)+LOOKUP(,-1/($Z$12:Z34=1),$H$12:H34)-IF(Z33=1,0,SUM(INDIRECT("T"&amp;(MAX((1=Z$12:Z33)*ROW(Z$12:Z33)+1,ROW($T$12))&amp;":T"&amp;(ROW()-1))))),Первоначальный[[#This Row],[Полученный платеж]]+Y33)
)
)
)</f>
        <v>0</v>
      </c>
      <c r="U3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платеж]]+Y33-Первоначальный[[#This Row],[Полученный платёж по процентам]])</f>
        <v>0</v>
      </c>
      <c r="V34" s="55">
        <f t="shared" ca="1" si="0"/>
        <v>0</v>
      </c>
      <c r="W34" s="55" cm="1">
        <f t="array" aca="1" ref="W34" ca="1">IF(Первоначальный[[#This Row],[Итого остаток на начало периода]]&lt;1,0,
_xlfn.IFS(
AND(TYPE(VLOOKUP(1,$Z$12:Z34,1,0))=16,Первоначальный[[#This Row],[Досрочное погашение (да/"")]]=""),0,
AND(S33=0,Первоначальный[[#This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комиссиям]]),VLOOKUP(LOOKUP(,-1/($Z$12:Z34=1),$A$12:A34),График[[Срок конец]:[Возврат основной суммы долга]],3,0)),
AND(S33=0,Первоначальный[[#This Row],[Дата платежа из графика]]="",Первоначальный[[#This Row],[Досрочное погашение (да/"")]]&lt;&gt;"Да"),0,
AND(S33=0,Первоначальный[[#This Row],[Досрочное погашение (да/"")]]=""),MIN(Первоначальный[[#This Row],[Полученный платеж]]+Y33-SUM(Первоначальный[[#This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комиссиям]]),VLOOKUP(LOOKUP(,-1/($Z$12:Z34=1),$A$12:A34),График[[Срок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S33&gt;0,MIN(Первоначальный[[#This Row],[Полученный платеж]]+Y33-SUM(Первоначальный[[#This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комиссиям]]),SUM(INDIRECT("M"&amp;(MAX((1=S$12:S33)*ROW(S$12:S33),ROW($W$12))&amp;":M"&amp;(ROW()))))-SUM(INDIRECT("W"&amp;(MAX((1=S$12:S33)*ROW(S$12:S33),ROW($W$12))&amp;":W"&amp;(ROW()-1)))))
)
)</f>
        <v>0</v>
      </c>
      <c r="X34" s="55">
        <f t="shared" ca="1" si="1"/>
        <v>0</v>
      </c>
      <c r="Y34" s="101">
        <f t="shared" ca="1" si="9"/>
        <v>0</v>
      </c>
      <c r="Z34" s="133" t="str">
        <f>IF(TYPE((VLOOKUP(Первоначальный[[#This Row],[Дата платежа]],График[Срок конец],1,0)))=16,"",1)</f>
        <v/>
      </c>
      <c r="AA34" s="57"/>
      <c r="AB34" s="134"/>
      <c r="AC3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150000</v>
      </c>
      <c r="AD3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489.39999999999975</v>
      </c>
      <c r="AE3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3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34" s="55"/>
      <c r="AI34" s="55"/>
      <c r="AJ34" s="55"/>
      <c r="AK34" s="101">
        <f t="shared" ca="1" si="10"/>
        <v>150489.4</v>
      </c>
      <c r="AL34" s="129">
        <f t="array" ref="AL34">MAX((УслРестрактов[Характеристика]="Дата реструктуризации")*(УслРестрактов[Значение]=Первоначальный!$A34),0)</f>
        <v>0</v>
      </c>
    </row>
    <row r="35" spans="1:38" x14ac:dyDescent="0.25">
      <c r="A35" s="97">
        <f t="shared" si="2"/>
        <v>44166</v>
      </c>
      <c r="B35" s="100">
        <f t="shared" ca="1" si="3"/>
        <v>150000</v>
      </c>
      <c r="C35" s="55">
        <f t="shared" ca="1" si="12"/>
        <v>489.39999999999975</v>
      </c>
      <c r="D35" s="55">
        <f t="shared" ca="1" si="12"/>
        <v>0</v>
      </c>
      <c r="E35" s="55">
        <f t="shared" ca="1" si="5"/>
        <v>0</v>
      </c>
      <c r="F35" s="55">
        <f t="shared" ca="1" si="6"/>
        <v>0</v>
      </c>
      <c r="G35" s="101">
        <f t="shared" ca="1" si="7"/>
        <v>150489.4</v>
      </c>
      <c r="H35" s="100">
        <f ca="1">ROUND($B35*VLOOKUP($A35,$A$1:$B$10,2,1)/(365+IF(MOD(YEAR($A35),4),0,1)*($A35-$A34)),2)-Первоначальный[[#This Row],[Проценты на просроченный платеж по ОД за период]]</f>
        <v>81.56</v>
      </c>
      <c r="I35" s="55">
        <f t="shared" ca="1" si="8"/>
        <v>0</v>
      </c>
      <c r="J35" s="55">
        <v>0</v>
      </c>
      <c r="K35" s="55">
        <f t="shared" ca="1" si="11"/>
        <v>0</v>
      </c>
      <c r="L35" s="55">
        <v>0</v>
      </c>
      <c r="M35" s="113">
        <f>SUMIFS(График[Возврат основной суммы долга],График[Дата с учетом нерабочих дней],$A35)</f>
        <v>0</v>
      </c>
      <c r="N35" s="56">
        <f>SUMIFS(График[Возврат начисленных %],График[Дата с учетом нерабочих дней],$A35)</f>
        <v>0</v>
      </c>
      <c r="O35" s="101">
        <v>0</v>
      </c>
      <c r="P35" s="100" cm="1">
        <f t="array" aca="1" ref="P35" ca="1">MAX(IF(AA34="Да",0,SUM(INDIRECT("M"&amp;(MAX(("Да"=AA$12:AA34)*ROW(AA$12:AA34)+1,ROW($P$12))&amp;":M"&amp;(ROW()))))-SUM(INDIRECT("W"&amp;(MAX(("Да"=AA$12:AA34)*ROW(AA$12:AA34)+1,ROW($P$12))&amp;":W"&amp;(ROW()))))),0)</f>
        <v>0</v>
      </c>
      <c r="Q35" s="99">
        <f ca="1">MAX(SUM($N$13:N35)-SUM($T$13:T35),0)</f>
        <v>6.5573770484661509E-4</v>
      </c>
      <c r="R35" s="99">
        <f ca="1">Первоначальный[[#This Row],[Просроченный платеж по ОД]]+Первоначальный[[#This Row],[Просроченный платеж по процентам]]</f>
        <v>6.5573770484661509E-4</v>
      </c>
      <c r="S35" s="120">
        <f ca="1">IF(Первоначальный[[#This Row],[Просроченный платеж]]&lt;1,0,S34+1)</f>
        <v>0</v>
      </c>
      <c r="T35" s="100" cm="1">
        <f t="array" aca="1" ref="T35" ca="1">IF(Первоначальный[[#This Row],[Итого остаток на начало периода]]&lt;1,0,
IF(
AND(TYPE(VLOOKUP(1,$Z$12:Z35,1,0))=16,Первоначальный[[#This Row],[Досрочное погашение (да/"")]]=""),0,
_xlfn.IFS(AND(S34=0,Первоначальный[[#This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платеж]]&lt;&gt;0),MIN(LOOKUP(,-1/($Z$12:Z35=1),$C$12:C35)+LOOKUP(,-1/($Z$12:Z35=1),$H$12:H35),Первоначальный[[#This Row],[Полученный платеж]]+Y34),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платеж]]+Y34,SUM(Первоначальный[[#This Row],[Остаток процентов на начало периода]],Первоначальный[[#This Row],[Проценты за период]])),
AND(S34=0,Первоначальный[[#This Row],[Дата платежа из графика]]=""),0,
AND(S34=0,Первоначальный[[#This Row],[Дата платежа из графика]]=1,MAX((0&lt;&gt;S$12:S34)*ROW(S$12:S34),ROW($S$12))&gt;=MAX((1=Z$12:Z34)*ROW(Z$12:Z34),ROW($T$12)),TYPE(VLOOKUP("Да",(INDIRECT("AA"&amp;(MAX((1=Z$12:Z34)*ROW(Z$12:Z34),ROW($T$12))&amp;":AA"&amp;(ROW()-1)))),1,0))=16),MIN(LOOKUP(,-1/($Z$12:Z35=1),$C$12:C35)+LOOKUP(,-1/($Z$12:Z35=1),$H$12:H35),Первоначальный[[#This Row],[Полученный платеж]]+Y34),
AND(S34=0,TYPE(VLOOKUP("Да",(INDIRECT("AA"&amp;(MAX((1=Z$12:Z34)*ROW(Z$12:Z34),ROW($T$12))&amp;":AA"&amp;(ROW()-1)))),1,0))&lt;&gt;16),MIN(LOOKUP(,-1/($Z$12:Z35=1),$C$12:C35)+LOOKUP(,-1/($Z$12:Z35=1),$H$12:H35)-IF(AA34="Да",0,SUM(INDIRECT("T"&amp;(MAX(("Да"=AA$12:AA34)*ROW(AA$12:AA34)+1,ROW($T$12))&amp;":T"&amp;(ROW()-1))))),Первоначальный[[#This Row],[Полученный платеж]]+Y34),
AND(S34=0,MAX((0&lt;&gt;N$12:N34)*ROW(N$12:N34),ROW($S$12))&gt;=MAX((1=Z$12:Z34)*ROW(Z$12:Z34),ROW($T$12))),MIN(LOOKUP(,-1/($Z$12:Z35=1),$C$12:C35)+LOOKUP(,-1/($Z$12:Z35=1),$H$12:H35)-IF(N34&lt;&gt;0,0,SUM(INDIRECT("T"&amp;(MAX((0&lt;&gt;N$12:N34)*ROW(N$12:N34)+1,ROW($T$12))&amp;":T"&amp;(ROW()-1))))),Первоначальный[[#This Row],[Полученный платеж]]+Y34),
AND(S34=0,Первоначальный[[#This Row],[Дата платежа из графика]]=1),MIN(LOOKUP(,-1/($Z$12:Z35=1),$C$12:C35)+LOOKUP(,-1/($Z$12:Z35=1),$H$12:H35)-IF(Z34=1,0,SUM(INDIRECT("T"&amp;(MAX((1=Z$12:Z34)*ROW(Z$12:Z34)+1,ROW($T$12))&amp;":T"&amp;(ROW()-1))))),Первоначальный[[#This Row],[Полученный платеж]]+Y34),
AND(Z34&gt;0,Первоначальный[[#This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платеж]]+Y34),
AND(S34&gt;0,MAX((0&lt;&gt;S$12:S34)*ROW(S$12:S34),ROW($S$12))&gt;=MAX((1=Z$12:Z34)*ROW(Z$12:Z34),ROW($T$12)),TYPE(VLOOKUP("Да",(INDIRECT("AA"&amp;(MAX((1=Z$12:Z34)*ROW(Z$12:Z34),ROW($T$12))&amp;":AA"&amp;(ROW()-1)))),1,0))=16),MIN(LOOKUP(,-1/($Z$12:Z35=1),$C$12:C35)+LOOKUP(,-1/($Z$12:Z35=1),$H$12:H35)-SUM(INDIRECT("T"&amp;(MAX((1=Z$12:Z34)*ROW(Z$12:Z34),ROW($T$12))&amp;":T"&amp;(ROW()-1)))),Первоначальный[[#This Row],[Полученный платеж]]+Y34),
S34&gt;0,MIN(LOOKUP(,-1/($Z$12:Z35=1),$C$12:C35)+LOOKUP(,-1/($Z$12:Z35=1),$H$12:H35)-IF(Z34=1,0,SUM(INDIRECT("T"&amp;(MAX((1=Z$12:Z34)*ROW(Z$12:Z34)+1,ROW($T$12))&amp;":T"&amp;(ROW()-1))))),Первоначальный[[#This Row],[Полученный платеж]]+Y34)
)
)
)</f>
        <v>0</v>
      </c>
      <c r="U3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платеж]]+Y34-Первоначальный[[#This Row],[Полученный платёж по процентам]])</f>
        <v>0</v>
      </c>
      <c r="V35" s="55">
        <f t="shared" ca="1" si="0"/>
        <v>0</v>
      </c>
      <c r="W35" s="55" cm="1">
        <f t="array" aca="1" ref="W35" ca="1">IF(Первоначальный[[#This Row],[Итого остаток на начало периода]]&lt;1,0,
_xlfn.IFS(
AND(TYPE(VLOOKUP(1,$Z$12:Z35,1,0))=16,Первоначальный[[#This Row],[Досрочное погашение (да/"")]]=""),0,
AND(S34=0,Первоначальный[[#This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комиссиям]]),VLOOKUP(LOOKUP(,-1/($Z$12:Z35=1),$A$12:A35),График[[Срок конец]:[Возврат основной суммы долга]],3,0)),
AND(S34=0,Первоначальный[[#This Row],[Дата платежа из графика]]="",Первоначальный[[#This Row],[Досрочное погашение (да/"")]]&lt;&gt;"Да"),0,
AND(S34=0,Первоначальный[[#This Row],[Досрочное погашение (да/"")]]=""),MIN(Первоначальный[[#This Row],[Полученный платеж]]+Y34-SUM(Первоначальный[[#This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комиссиям]]),VLOOKUP(LOOKUP(,-1/($Z$12:Z35=1),$A$12:A35),График[[Срок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S34&gt;0,MIN(Первоначальный[[#This Row],[Полученный платеж]]+Y34-SUM(Первоначальный[[#This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комиссиям]]),SUM(INDIRECT("M"&amp;(MAX((1=S$12:S34)*ROW(S$12:S34),ROW($W$12))&amp;":M"&amp;(ROW()))))-SUM(INDIRECT("W"&amp;(MAX((1=S$12:S34)*ROW(S$12:S34),ROW($W$12))&amp;":W"&amp;(ROW()-1)))))
)
)</f>
        <v>0</v>
      </c>
      <c r="X35" s="55">
        <f t="shared" ca="1" si="1"/>
        <v>0</v>
      </c>
      <c r="Y35" s="101">
        <f t="shared" ca="1" si="9"/>
        <v>0</v>
      </c>
      <c r="Z35" s="133" t="str">
        <f>IF(TYPE((VLOOKUP(Первоначальный[[#This Row],[Дата платежа]],График[Срок конец],1,0)))=16,"",1)</f>
        <v/>
      </c>
      <c r="AA35" s="57"/>
      <c r="AB35" s="134"/>
      <c r="AC3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150000</v>
      </c>
      <c r="AD3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570.95999999999981</v>
      </c>
      <c r="AE3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3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35" s="55"/>
      <c r="AI35" s="55"/>
      <c r="AJ35" s="55"/>
      <c r="AK35" s="101">
        <f t="shared" ca="1" si="10"/>
        <v>150570.96</v>
      </c>
      <c r="AL35" s="129">
        <f t="array" ref="AL35">MAX((УслРестрактов[Характеристика]="Дата реструктуризации")*(УслРестрактов[Значение]=Первоначальный!$A35),0)</f>
        <v>0</v>
      </c>
    </row>
    <row r="36" spans="1:38" x14ac:dyDescent="0.25">
      <c r="A36" s="97">
        <f t="shared" si="2"/>
        <v>44167</v>
      </c>
      <c r="B36" s="100">
        <f t="shared" ca="1" si="3"/>
        <v>150000</v>
      </c>
      <c r="C36" s="55">
        <f t="shared" ca="1" si="12"/>
        <v>570.95999999999981</v>
      </c>
      <c r="D36" s="55">
        <f t="shared" ca="1" si="12"/>
        <v>0</v>
      </c>
      <c r="E36" s="55">
        <f t="shared" ca="1" si="5"/>
        <v>0</v>
      </c>
      <c r="F36" s="55">
        <f t="shared" ca="1" si="6"/>
        <v>0</v>
      </c>
      <c r="G36" s="101">
        <f t="shared" ca="1" si="7"/>
        <v>150570.96</v>
      </c>
      <c r="H36" s="100">
        <f ca="1">ROUND($B36*VLOOKUP($A36,$A$1:$B$10,2,1)/(365+IF(MOD(YEAR($A36),4),0,1)*($A36-$A35)),2)-Первоначальный[[#This Row],[Проценты на просроченный платеж по ОД за период]]</f>
        <v>81.56</v>
      </c>
      <c r="I36" s="55">
        <f t="shared" ca="1" si="8"/>
        <v>0</v>
      </c>
      <c r="J36" s="55">
        <v>0</v>
      </c>
      <c r="K36" s="55">
        <f t="shared" ca="1" si="11"/>
        <v>0</v>
      </c>
      <c r="L36" s="55">
        <v>0</v>
      </c>
      <c r="M36" s="113">
        <f>SUMIFS(График[Возврат основной суммы долга],График[Дата с учетом нерабочих дней],$A36)</f>
        <v>0</v>
      </c>
      <c r="N36" s="56">
        <f>SUMIFS(График[Возврат начисленных %],График[Дата с учетом нерабочих дней],$A36)</f>
        <v>0</v>
      </c>
      <c r="O36" s="101">
        <v>0</v>
      </c>
      <c r="P36" s="100" cm="1">
        <f t="array" aca="1" ref="P36" ca="1">MAX(IF(AA35="Да",0,SUM(INDIRECT("M"&amp;(MAX(("Да"=AA$12:AA35)*ROW(AA$12:AA35)+1,ROW($P$12))&amp;":M"&amp;(ROW()))))-SUM(INDIRECT("W"&amp;(MAX(("Да"=AA$12:AA35)*ROW(AA$12:AA35)+1,ROW($P$12))&amp;":W"&amp;(ROW()))))),0)</f>
        <v>0</v>
      </c>
      <c r="Q36" s="99">
        <f ca="1">MAX(SUM($N$13:N36)-SUM($T$13:T36),0)</f>
        <v>6.5573770484661509E-4</v>
      </c>
      <c r="R36" s="99">
        <f ca="1">Первоначальный[[#This Row],[Просроченный платеж по ОД]]+Первоначальный[[#This Row],[Просроченный платеж по процентам]]</f>
        <v>6.5573770484661509E-4</v>
      </c>
      <c r="S36" s="120">
        <f ca="1">IF(Первоначальный[[#This Row],[Просроченный платеж]]&lt;1,0,S35+1)</f>
        <v>0</v>
      </c>
      <c r="T36" s="100" cm="1">
        <f t="array" aca="1" ref="T36" ca="1">IF(Первоначальный[[#This Row],[Итого остаток на начало периода]]&lt;1,0,
IF(
AND(TYPE(VLOOKUP(1,$Z$12:Z36,1,0))=16,Первоначальный[[#This Row],[Досрочное погашение (да/"")]]=""),0,
_xlfn.IFS(AND(S35=0,Первоначальный[[#This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платеж]]&lt;&gt;0),MIN(LOOKUP(,-1/($Z$12:Z36=1),$C$12:C36)+LOOKUP(,-1/($Z$12:Z36=1),$H$12:H36),Первоначальный[[#This Row],[Полученный платеж]]+Y35),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платеж]]+Y35,SUM(Первоначальный[[#This Row],[Остаток процентов на начало периода]],Первоначальный[[#This Row],[Проценты за период]])),
AND(S35=0,Первоначальный[[#This Row],[Дата платежа из графика]]=""),0,
AND(S35=0,Первоначальный[[#This Row],[Дата платежа из графика]]=1,MAX((0&lt;&gt;S$12:S35)*ROW(S$12:S35),ROW($S$12))&gt;=MAX((1=Z$12:Z35)*ROW(Z$12:Z35),ROW($T$12)),TYPE(VLOOKUP("Да",(INDIRECT("AA"&amp;(MAX((1=Z$12:Z35)*ROW(Z$12:Z35),ROW($T$12))&amp;":AA"&amp;(ROW()-1)))),1,0))=16),MIN(LOOKUP(,-1/($Z$12:Z36=1),$C$12:C36)+LOOKUP(,-1/($Z$12:Z36=1),$H$12:H36),Первоначальный[[#This Row],[Полученный платеж]]+Y35),
AND(S35=0,TYPE(VLOOKUP("Да",(INDIRECT("AA"&amp;(MAX((1=Z$12:Z35)*ROW(Z$12:Z35),ROW($T$12))&amp;":AA"&amp;(ROW()-1)))),1,0))&lt;&gt;16),MIN(LOOKUP(,-1/($Z$12:Z36=1),$C$12:C36)+LOOKUP(,-1/($Z$12:Z36=1),$H$12:H36)-IF(AA35="Да",0,SUM(INDIRECT("T"&amp;(MAX(("Да"=AA$12:AA35)*ROW(AA$12:AA35)+1,ROW($T$12))&amp;":T"&amp;(ROW()-1))))),Первоначальный[[#This Row],[Полученный платеж]]+Y35),
AND(S35=0,MAX((0&lt;&gt;N$12:N35)*ROW(N$12:N35),ROW($S$12))&gt;=MAX((1=Z$12:Z35)*ROW(Z$12:Z35),ROW($T$12))),MIN(LOOKUP(,-1/($Z$12:Z36=1),$C$12:C36)+LOOKUP(,-1/($Z$12:Z36=1),$H$12:H36)-IF(N35&lt;&gt;0,0,SUM(INDIRECT("T"&amp;(MAX((0&lt;&gt;N$12:N35)*ROW(N$12:N35)+1,ROW($T$12))&amp;":T"&amp;(ROW()-1))))),Первоначальный[[#This Row],[Полученный платеж]]+Y35),
AND(S35=0,Первоначальный[[#This Row],[Дата платежа из графика]]=1),MIN(LOOKUP(,-1/($Z$12:Z36=1),$C$12:C36)+LOOKUP(,-1/($Z$12:Z36=1),$H$12:H36)-IF(Z35=1,0,SUM(INDIRECT("T"&amp;(MAX((1=Z$12:Z35)*ROW(Z$12:Z35)+1,ROW($T$12))&amp;":T"&amp;(ROW()-1))))),Первоначальный[[#This Row],[Полученный платеж]]+Y35),
AND(Z35&gt;0,Первоначальный[[#This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платеж]]+Y35),
AND(S35&gt;0,MAX((0&lt;&gt;S$12:S35)*ROW(S$12:S35),ROW($S$12))&gt;=MAX((1=Z$12:Z35)*ROW(Z$12:Z35),ROW($T$12)),TYPE(VLOOKUP("Да",(INDIRECT("AA"&amp;(MAX((1=Z$12:Z35)*ROW(Z$12:Z35),ROW($T$12))&amp;":AA"&amp;(ROW()-1)))),1,0))=16),MIN(LOOKUP(,-1/($Z$12:Z36=1),$C$12:C36)+LOOKUP(,-1/($Z$12:Z36=1),$H$12:H36)-SUM(INDIRECT("T"&amp;(MAX((1=Z$12:Z35)*ROW(Z$12:Z35),ROW($T$12))&amp;":T"&amp;(ROW()-1)))),Первоначальный[[#This Row],[Полученный платеж]]+Y35),
S35&gt;0,MIN(LOOKUP(,-1/($Z$12:Z36=1),$C$12:C36)+LOOKUP(,-1/($Z$12:Z36=1),$H$12:H36)-IF(Z35=1,0,SUM(INDIRECT("T"&amp;(MAX((1=Z$12:Z35)*ROW(Z$12:Z35)+1,ROW($T$12))&amp;":T"&amp;(ROW()-1))))),Первоначальный[[#This Row],[Полученный платеж]]+Y35)
)
)
)</f>
        <v>0</v>
      </c>
      <c r="U3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платеж]]+Y35-Первоначальный[[#This Row],[Полученный платёж по процентам]])</f>
        <v>0</v>
      </c>
      <c r="V36" s="55">
        <f t="shared" ca="1" si="0"/>
        <v>0</v>
      </c>
      <c r="W36" s="55" cm="1">
        <f t="array" aca="1" ref="W36" ca="1">IF(Первоначальный[[#This Row],[Итого остаток на начало периода]]&lt;1,0,
_xlfn.IFS(
AND(TYPE(VLOOKUP(1,$Z$12:Z36,1,0))=16,Первоначальный[[#This Row],[Досрочное погашение (да/"")]]=""),0,
AND(S35=0,Первоначальный[[#This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комиссиям]]),VLOOKUP(LOOKUP(,-1/($Z$12:Z36=1),$A$12:A36),График[[Срок конец]:[Возврат основной суммы долга]],3,0)),
AND(S35=0,Первоначальный[[#This Row],[Дата платежа из графика]]="",Первоначальный[[#This Row],[Досрочное погашение (да/"")]]&lt;&gt;"Да"),0,
AND(S35=0,Первоначальный[[#This Row],[Досрочное погашение (да/"")]]=""),MIN(Первоначальный[[#This Row],[Полученный платеж]]+Y35-SUM(Первоначальный[[#This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комиссиям]]),VLOOKUP(LOOKUP(,-1/($Z$12:Z36=1),$A$12:A36),График[[Срок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S35&gt;0,MIN(Первоначальный[[#This Row],[Полученный платеж]]+Y35-SUM(Первоначальный[[#This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комиссиям]]),SUM(INDIRECT("M"&amp;(MAX((1=S$12:S35)*ROW(S$12:S35),ROW($W$12))&amp;":M"&amp;(ROW()))))-SUM(INDIRECT("W"&amp;(MAX((1=S$12:S35)*ROW(S$12:S35),ROW($W$12))&amp;":W"&amp;(ROW()-1)))))
)
)</f>
        <v>0</v>
      </c>
      <c r="X36" s="55">
        <f t="shared" ca="1" si="1"/>
        <v>0</v>
      </c>
      <c r="Y36" s="101">
        <f t="shared" ca="1" si="9"/>
        <v>0</v>
      </c>
      <c r="Z36" s="133" t="str">
        <f>IF(TYPE((VLOOKUP(Первоначальный[[#This Row],[Дата платежа]],График[Срок конец],1,0)))=16,"",1)</f>
        <v/>
      </c>
      <c r="AA36" s="57"/>
      <c r="AB36" s="134"/>
      <c r="AC3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150000</v>
      </c>
      <c r="AD3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652.51999999999975</v>
      </c>
      <c r="AE3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3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36" s="55"/>
      <c r="AI36" s="55"/>
      <c r="AJ36" s="55"/>
      <c r="AK36" s="101">
        <f t="shared" ca="1" si="10"/>
        <v>150652.51999999999</v>
      </c>
      <c r="AL36" s="129">
        <f t="array" ref="AL36">MAX((УслРестрактов[Характеристика]="Дата реструктуризации")*(УслРестрактов[Значение]=Первоначальный!$A36),0)</f>
        <v>0</v>
      </c>
    </row>
    <row r="37" spans="1:38" x14ac:dyDescent="0.25">
      <c r="A37" s="97">
        <f t="shared" si="2"/>
        <v>44168</v>
      </c>
      <c r="B37" s="100">
        <f t="shared" ca="1" si="3"/>
        <v>150000</v>
      </c>
      <c r="C37" s="55">
        <f t="shared" ca="1" si="12"/>
        <v>652.51999999999975</v>
      </c>
      <c r="D37" s="55">
        <f t="shared" ca="1" si="12"/>
        <v>0</v>
      </c>
      <c r="E37" s="55">
        <f t="shared" ca="1" si="5"/>
        <v>0</v>
      </c>
      <c r="F37" s="55">
        <f t="shared" ca="1" si="6"/>
        <v>0</v>
      </c>
      <c r="G37" s="101">
        <f t="shared" ca="1" si="7"/>
        <v>150652.51999999999</v>
      </c>
      <c r="H37" s="100">
        <f ca="1">ROUND($B37*VLOOKUP($A37,$A$1:$B$10,2,1)/(365+IF(MOD(YEAR($A37),4),0,1)*($A37-$A36)),2)-Первоначальный[[#This Row],[Проценты на просроченный платеж по ОД за период]]</f>
        <v>81.56</v>
      </c>
      <c r="I37" s="55">
        <f t="shared" ca="1" si="8"/>
        <v>0</v>
      </c>
      <c r="J37" s="55">
        <v>0</v>
      </c>
      <c r="K37" s="55">
        <f t="shared" ca="1" si="11"/>
        <v>0</v>
      </c>
      <c r="L37" s="55">
        <v>0</v>
      </c>
      <c r="M37" s="113">
        <f>SUMIFS(График[Возврат основной суммы долга],График[Дата с учетом нерабочих дней],$A37)</f>
        <v>0</v>
      </c>
      <c r="N37" s="56">
        <f>SUMIFS(График[Возврат начисленных %],График[Дата с учетом нерабочих дней],$A37)</f>
        <v>0</v>
      </c>
      <c r="O37" s="101">
        <v>0</v>
      </c>
      <c r="P37" s="100" cm="1">
        <f t="array" aca="1" ref="P37" ca="1">MAX(IF(AA36="Да",0,SUM(INDIRECT("M"&amp;(MAX(("Да"=AA$12:AA36)*ROW(AA$12:AA36)+1,ROW($P$12))&amp;":M"&amp;(ROW()))))-SUM(INDIRECT("W"&amp;(MAX(("Да"=AA$12:AA36)*ROW(AA$12:AA36)+1,ROW($P$12))&amp;":W"&amp;(ROW()))))),0)</f>
        <v>0</v>
      </c>
      <c r="Q37" s="99">
        <f ca="1">MAX(SUM($N$13:N37)-SUM($T$13:T37),0)</f>
        <v>6.5573770484661509E-4</v>
      </c>
      <c r="R37" s="99">
        <f ca="1">Первоначальный[[#This Row],[Просроченный платеж по ОД]]+Первоначальный[[#This Row],[Просроченный платеж по процентам]]</f>
        <v>6.5573770484661509E-4</v>
      </c>
      <c r="S37" s="120">
        <f ca="1">IF(Первоначальный[[#This Row],[Просроченный платеж]]&lt;1,0,S36+1)</f>
        <v>0</v>
      </c>
      <c r="T37" s="100" cm="1">
        <f t="array" aca="1" ref="T37" ca="1">IF(Первоначальный[[#This Row],[Итого остаток на начало периода]]&lt;1,0,
IF(
AND(TYPE(VLOOKUP(1,$Z$12:Z37,1,0))=16,Первоначальный[[#This Row],[Досрочное погашение (да/"")]]=""),0,
_xlfn.IFS(AND(S36=0,Первоначальный[[#This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платеж]]&lt;&gt;0),MIN(LOOKUP(,-1/($Z$12:Z37=1),$C$12:C37)+LOOKUP(,-1/($Z$12:Z37=1),$H$12:H37),Первоначальный[[#This Row],[Полученный платеж]]+Y36),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платеж]]+Y36,SUM(Первоначальный[[#This Row],[Остаток процентов на начало периода]],Первоначальный[[#This Row],[Проценты за период]])),
AND(S36=0,Первоначальный[[#This Row],[Дата платежа из графика]]=""),0,
AND(S36=0,Первоначальный[[#This Row],[Дата платежа из графика]]=1,MAX((0&lt;&gt;S$12:S36)*ROW(S$12:S36),ROW($S$12))&gt;=MAX((1=Z$12:Z36)*ROW(Z$12:Z36),ROW($T$12)),TYPE(VLOOKUP("Да",(INDIRECT("AA"&amp;(MAX((1=Z$12:Z36)*ROW(Z$12:Z36),ROW($T$12))&amp;":AA"&amp;(ROW()-1)))),1,0))=16),MIN(LOOKUP(,-1/($Z$12:Z37=1),$C$12:C37)+LOOKUP(,-1/($Z$12:Z37=1),$H$12:H37),Первоначальный[[#This Row],[Полученный платеж]]+Y36),
AND(S36=0,TYPE(VLOOKUP("Да",(INDIRECT("AA"&amp;(MAX((1=Z$12:Z36)*ROW(Z$12:Z36),ROW($T$12))&amp;":AA"&amp;(ROW()-1)))),1,0))&lt;&gt;16),MIN(LOOKUP(,-1/($Z$12:Z37=1),$C$12:C37)+LOOKUP(,-1/($Z$12:Z37=1),$H$12:H37)-IF(AA36="Да",0,SUM(INDIRECT("T"&amp;(MAX(("Да"=AA$12:AA36)*ROW(AA$12:AA36)+1,ROW($T$12))&amp;":T"&amp;(ROW()-1))))),Первоначальный[[#This Row],[Полученный платеж]]+Y36),
AND(S36=0,MAX((0&lt;&gt;N$12:N36)*ROW(N$12:N36),ROW($S$12))&gt;=MAX((1=Z$12:Z36)*ROW(Z$12:Z36),ROW($T$12))),MIN(LOOKUP(,-1/($Z$12:Z37=1),$C$12:C37)+LOOKUP(,-1/($Z$12:Z37=1),$H$12:H37)-IF(N36&lt;&gt;0,0,SUM(INDIRECT("T"&amp;(MAX((0&lt;&gt;N$12:N36)*ROW(N$12:N36)+1,ROW($T$12))&amp;":T"&amp;(ROW()-1))))),Первоначальный[[#This Row],[Полученный платеж]]+Y36),
AND(S36=0,Первоначальный[[#This Row],[Дата платежа из графика]]=1),MIN(LOOKUP(,-1/($Z$12:Z37=1),$C$12:C37)+LOOKUP(,-1/($Z$12:Z37=1),$H$12:H37)-IF(Z36=1,0,SUM(INDIRECT("T"&amp;(MAX((1=Z$12:Z36)*ROW(Z$12:Z36)+1,ROW($T$12))&amp;":T"&amp;(ROW()-1))))),Первоначальный[[#This Row],[Полученный платеж]]+Y36),
AND(Z36&gt;0,Первоначальный[[#This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платеж]]+Y36),
AND(S36&gt;0,MAX((0&lt;&gt;S$12:S36)*ROW(S$12:S36),ROW($S$12))&gt;=MAX((1=Z$12:Z36)*ROW(Z$12:Z36),ROW($T$12)),TYPE(VLOOKUP("Да",(INDIRECT("AA"&amp;(MAX((1=Z$12:Z36)*ROW(Z$12:Z36),ROW($T$12))&amp;":AA"&amp;(ROW()-1)))),1,0))=16),MIN(LOOKUP(,-1/($Z$12:Z37=1),$C$12:C37)+LOOKUP(,-1/($Z$12:Z37=1),$H$12:H37)-SUM(INDIRECT("T"&amp;(MAX((1=Z$12:Z36)*ROW(Z$12:Z36),ROW($T$12))&amp;":T"&amp;(ROW()-1)))),Первоначальный[[#This Row],[Полученный платеж]]+Y36),
S36&gt;0,MIN(LOOKUP(,-1/($Z$12:Z37=1),$C$12:C37)+LOOKUP(,-1/($Z$12:Z37=1),$H$12:H37)-IF(Z36=1,0,SUM(INDIRECT("T"&amp;(MAX((1=Z$12:Z36)*ROW(Z$12:Z36)+1,ROW($T$12))&amp;":T"&amp;(ROW()-1))))),Первоначальный[[#This Row],[Полученный платеж]]+Y36)
)
)
)</f>
        <v>0</v>
      </c>
      <c r="U3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платеж]]+Y36-Первоначальный[[#This Row],[Полученный платёж по процентам]])</f>
        <v>0</v>
      </c>
      <c r="V37" s="55">
        <f t="shared" ca="1" si="0"/>
        <v>0</v>
      </c>
      <c r="W37" s="55" cm="1">
        <f t="array" aca="1" ref="W37" ca="1">IF(Первоначальный[[#This Row],[Итого остаток на начало периода]]&lt;1,0,
_xlfn.IFS(
AND(TYPE(VLOOKUP(1,$Z$12:Z37,1,0))=16,Первоначальный[[#This Row],[Досрочное погашение (да/"")]]=""),0,
AND(S36=0,Первоначальный[[#This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комиссиям]]),VLOOKUP(LOOKUP(,-1/($Z$12:Z37=1),$A$12:A37),График[[Срок конец]:[Возврат основной суммы долга]],3,0)),
AND(S36=0,Первоначальный[[#This Row],[Дата платежа из графика]]="",Первоначальный[[#This Row],[Досрочное погашение (да/"")]]&lt;&gt;"Да"),0,
AND(S36=0,Первоначальный[[#This Row],[Досрочное погашение (да/"")]]=""),MIN(Первоначальный[[#This Row],[Полученный платеж]]+Y36-SUM(Первоначальный[[#This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комиссиям]]),VLOOKUP(LOOKUP(,-1/($Z$12:Z37=1),$A$12:A37),График[[Срок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S36&gt;0,MIN(Первоначальный[[#This Row],[Полученный платеж]]+Y36-SUM(Первоначальный[[#This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комиссиям]]),SUM(INDIRECT("M"&amp;(MAX((1=S$12:S36)*ROW(S$12:S36),ROW($W$12))&amp;":M"&amp;(ROW()))))-SUM(INDIRECT("W"&amp;(MAX((1=S$12:S36)*ROW(S$12:S36),ROW($W$12))&amp;":W"&amp;(ROW()-1)))))
)
)</f>
        <v>0</v>
      </c>
      <c r="X37" s="55">
        <f t="shared" ca="1" si="1"/>
        <v>0</v>
      </c>
      <c r="Y37" s="101">
        <f t="shared" ca="1" si="9"/>
        <v>0</v>
      </c>
      <c r="Z37" s="133" t="str">
        <f>IF(TYPE((VLOOKUP(Первоначальный[[#This Row],[Дата платежа]],График[Срок конец],1,0)))=16,"",1)</f>
        <v/>
      </c>
      <c r="AA37" s="57"/>
      <c r="AB37" s="134"/>
      <c r="AC3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150000</v>
      </c>
      <c r="AD3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734.0799999999997</v>
      </c>
      <c r="AE3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3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37" s="55"/>
      <c r="AI37" s="55"/>
      <c r="AJ37" s="55"/>
      <c r="AK37" s="101">
        <f t="shared" ca="1" si="10"/>
        <v>150734.07999999999</v>
      </c>
      <c r="AL37" s="129">
        <f t="array" ref="AL37">MAX((УслРестрактов[Характеристика]="Дата реструктуризации")*(УслРестрактов[Значение]=Первоначальный!$A37),0)</f>
        <v>0</v>
      </c>
    </row>
    <row r="38" spans="1:38" x14ac:dyDescent="0.25">
      <c r="A38" s="97">
        <f t="shared" si="2"/>
        <v>44169</v>
      </c>
      <c r="B38" s="100">
        <f t="shared" ca="1" si="3"/>
        <v>150000</v>
      </c>
      <c r="C38" s="55">
        <f t="shared" ca="1" si="12"/>
        <v>734.0799999999997</v>
      </c>
      <c r="D38" s="55">
        <f t="shared" ca="1" si="12"/>
        <v>0</v>
      </c>
      <c r="E38" s="55">
        <f t="shared" ca="1" si="5"/>
        <v>0</v>
      </c>
      <c r="F38" s="55">
        <f t="shared" ca="1" si="6"/>
        <v>0</v>
      </c>
      <c r="G38" s="101">
        <f t="shared" ca="1" si="7"/>
        <v>150734.07999999999</v>
      </c>
      <c r="H38" s="100">
        <f ca="1">ROUND($B38*VLOOKUP($A38,$A$1:$B$10,2,1)/(365+IF(MOD(YEAR($A38),4),0,1)*($A38-$A37)),2)-Первоначальный[[#This Row],[Проценты на просроченный платеж по ОД за период]]</f>
        <v>81.56</v>
      </c>
      <c r="I38" s="55">
        <f t="shared" ca="1" si="8"/>
        <v>0</v>
      </c>
      <c r="J38" s="55">
        <v>0</v>
      </c>
      <c r="K38" s="55">
        <f t="shared" ca="1" si="11"/>
        <v>0</v>
      </c>
      <c r="L38" s="55">
        <v>0</v>
      </c>
      <c r="M38" s="113">
        <f>SUMIFS(График[Возврат основной суммы долга],График[Дата с учетом нерабочих дней],$A38)</f>
        <v>0</v>
      </c>
      <c r="N38" s="56">
        <f>SUMIFS(График[Возврат начисленных %],График[Дата с учетом нерабочих дней],$A38)</f>
        <v>0</v>
      </c>
      <c r="O38" s="101">
        <v>0</v>
      </c>
      <c r="P38" s="100" cm="1">
        <f t="array" aca="1" ref="P38" ca="1">MAX(IF(AA37="Да",0,SUM(INDIRECT("M"&amp;(MAX(("Да"=AA$12:AA37)*ROW(AA$12:AA37)+1,ROW($P$12))&amp;":M"&amp;(ROW()))))-SUM(INDIRECT("W"&amp;(MAX(("Да"=AA$12:AA37)*ROW(AA$12:AA37)+1,ROW($P$12))&amp;":W"&amp;(ROW()))))),0)</f>
        <v>0</v>
      </c>
      <c r="Q38" s="99">
        <f ca="1">MAX(SUM($N$13:N38)-SUM($T$13:T38),0)</f>
        <v>6.5573770484661509E-4</v>
      </c>
      <c r="R38" s="99">
        <f ca="1">Первоначальный[[#This Row],[Просроченный платеж по ОД]]+Первоначальный[[#This Row],[Просроченный платеж по процентам]]</f>
        <v>6.5573770484661509E-4</v>
      </c>
      <c r="S38" s="120">
        <f ca="1">IF(Первоначальный[[#This Row],[Просроченный платеж]]&lt;1,0,S37+1)</f>
        <v>0</v>
      </c>
      <c r="T38" s="100" cm="1">
        <f t="array" aca="1" ref="T38" ca="1">IF(Первоначальный[[#This Row],[Итого остаток на начало периода]]&lt;1,0,
IF(
AND(TYPE(VLOOKUP(1,$Z$12:Z38,1,0))=16,Первоначальный[[#This Row],[Досрочное погашение (да/"")]]=""),0,
_xlfn.IFS(AND(S37=0,Первоначальный[[#This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платеж]]&lt;&gt;0),MIN(LOOKUP(,-1/($Z$12:Z38=1),$C$12:C38)+LOOKUP(,-1/($Z$12:Z38=1),$H$12:H38),Первоначальный[[#This Row],[Полученный платеж]]+Y37),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платеж]]+Y37,SUM(Первоначальный[[#This Row],[Остаток процентов на начало периода]],Первоначальный[[#This Row],[Проценты за период]])),
AND(S37=0,Первоначальный[[#This Row],[Дата платежа из графика]]=""),0,
AND(S37=0,Первоначальный[[#This Row],[Дата платежа из графика]]=1,MAX((0&lt;&gt;S$12:S37)*ROW(S$12:S37),ROW($S$12))&gt;=MAX((1=Z$12:Z37)*ROW(Z$12:Z37),ROW($T$12)),TYPE(VLOOKUP("Да",(INDIRECT("AA"&amp;(MAX((1=Z$12:Z37)*ROW(Z$12:Z37),ROW($T$12))&amp;":AA"&amp;(ROW()-1)))),1,0))=16),MIN(LOOKUP(,-1/($Z$12:Z38=1),$C$12:C38)+LOOKUP(,-1/($Z$12:Z38=1),$H$12:H38),Первоначальный[[#This Row],[Полученный платеж]]+Y37),
AND(S37=0,TYPE(VLOOKUP("Да",(INDIRECT("AA"&amp;(MAX((1=Z$12:Z37)*ROW(Z$12:Z37),ROW($T$12))&amp;":AA"&amp;(ROW()-1)))),1,0))&lt;&gt;16),MIN(LOOKUP(,-1/($Z$12:Z38=1),$C$12:C38)+LOOKUP(,-1/($Z$12:Z38=1),$H$12:H38)-IF(AA37="Да",0,SUM(INDIRECT("T"&amp;(MAX(("Да"=AA$12:AA37)*ROW(AA$12:AA37)+1,ROW($T$12))&amp;":T"&amp;(ROW()-1))))),Первоначальный[[#This Row],[Полученный платеж]]+Y37),
AND(S37=0,MAX((0&lt;&gt;N$12:N37)*ROW(N$12:N37),ROW($S$12))&gt;=MAX((1=Z$12:Z37)*ROW(Z$12:Z37),ROW($T$12))),MIN(LOOKUP(,-1/($Z$12:Z38=1),$C$12:C38)+LOOKUP(,-1/($Z$12:Z38=1),$H$12:H38)-IF(N37&lt;&gt;0,0,SUM(INDIRECT("T"&amp;(MAX((0&lt;&gt;N$12:N37)*ROW(N$12:N37)+1,ROW($T$12))&amp;":T"&amp;(ROW()-1))))),Первоначальный[[#This Row],[Полученный платеж]]+Y37),
AND(S37=0,Первоначальный[[#This Row],[Дата платежа из графика]]=1),MIN(LOOKUP(,-1/($Z$12:Z38=1),$C$12:C38)+LOOKUP(,-1/($Z$12:Z38=1),$H$12:H38)-IF(Z37=1,0,SUM(INDIRECT("T"&amp;(MAX((1=Z$12:Z37)*ROW(Z$12:Z37)+1,ROW($T$12))&amp;":T"&amp;(ROW()-1))))),Первоначальный[[#This Row],[Полученный платеж]]+Y37),
AND(Z37&gt;0,Первоначальный[[#This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платеж]]+Y37),
AND(S37&gt;0,MAX((0&lt;&gt;S$12:S37)*ROW(S$12:S37),ROW($S$12))&gt;=MAX((1=Z$12:Z37)*ROW(Z$12:Z37),ROW($T$12)),TYPE(VLOOKUP("Да",(INDIRECT("AA"&amp;(MAX((1=Z$12:Z37)*ROW(Z$12:Z37),ROW($T$12))&amp;":AA"&amp;(ROW()-1)))),1,0))=16),MIN(LOOKUP(,-1/($Z$12:Z38=1),$C$12:C38)+LOOKUP(,-1/($Z$12:Z38=1),$H$12:H38)-SUM(INDIRECT("T"&amp;(MAX((1=Z$12:Z37)*ROW(Z$12:Z37),ROW($T$12))&amp;":T"&amp;(ROW()-1)))),Первоначальный[[#This Row],[Полученный платеж]]+Y37),
S37&gt;0,MIN(LOOKUP(,-1/($Z$12:Z38=1),$C$12:C38)+LOOKUP(,-1/($Z$12:Z38=1),$H$12:H38)-IF(Z37=1,0,SUM(INDIRECT("T"&amp;(MAX((1=Z$12:Z37)*ROW(Z$12:Z37)+1,ROW($T$12))&amp;":T"&amp;(ROW()-1))))),Первоначальный[[#This Row],[Полученный платеж]]+Y37)
)
)
)</f>
        <v>0</v>
      </c>
      <c r="U3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платеж]]+Y37-Первоначальный[[#This Row],[Полученный платёж по процентам]])</f>
        <v>0</v>
      </c>
      <c r="V38" s="55">
        <f t="shared" ca="1" si="0"/>
        <v>0</v>
      </c>
      <c r="W38" s="55" cm="1">
        <f t="array" aca="1" ref="W38" ca="1">IF(Первоначальный[[#This Row],[Итого остаток на начало периода]]&lt;1,0,
_xlfn.IFS(
AND(TYPE(VLOOKUP(1,$Z$12:Z38,1,0))=16,Первоначальный[[#This Row],[Досрочное погашение (да/"")]]=""),0,
AND(S37=0,Первоначальный[[#This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комиссиям]]),VLOOKUP(LOOKUP(,-1/($Z$12:Z38=1),$A$12:A38),График[[Срок конец]:[Возврат основной суммы долга]],3,0)),
AND(S37=0,Первоначальный[[#This Row],[Дата платежа из графика]]="",Первоначальный[[#This Row],[Досрочное погашение (да/"")]]&lt;&gt;"Да"),0,
AND(S37=0,Первоначальный[[#This Row],[Досрочное погашение (да/"")]]=""),MIN(Первоначальный[[#This Row],[Полученный платеж]]+Y37-SUM(Первоначальный[[#This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комиссиям]]),VLOOKUP(LOOKUP(,-1/($Z$12:Z38=1),$A$12:A38),График[[Срок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S37&gt;0,MIN(Первоначальный[[#This Row],[Полученный платеж]]+Y37-SUM(Первоначальный[[#This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комиссиям]]),SUM(INDIRECT("M"&amp;(MAX((1=S$12:S37)*ROW(S$12:S37),ROW($W$12))&amp;":M"&amp;(ROW()))))-SUM(INDIRECT("W"&amp;(MAX((1=S$12:S37)*ROW(S$12:S37),ROW($W$12))&amp;":W"&amp;(ROW()-1)))))
)
)</f>
        <v>0</v>
      </c>
      <c r="X38" s="55">
        <f t="shared" ca="1" si="1"/>
        <v>0</v>
      </c>
      <c r="Y38" s="101">
        <f t="shared" ca="1" si="9"/>
        <v>0</v>
      </c>
      <c r="Z38" s="133" t="str">
        <f>IF(TYPE((VLOOKUP(Первоначальный[[#This Row],[Дата платежа]],График[Срок конец],1,0)))=16,"",1)</f>
        <v/>
      </c>
      <c r="AA38" s="57"/>
      <c r="AB38" s="134"/>
      <c r="AC3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150000</v>
      </c>
      <c r="AD3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815.63999999999965</v>
      </c>
      <c r="AE3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3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38" s="55"/>
      <c r="AI38" s="55"/>
      <c r="AJ38" s="55"/>
      <c r="AK38" s="101">
        <f t="shared" ca="1" si="10"/>
        <v>150815.64000000001</v>
      </c>
      <c r="AL38" s="129">
        <f t="array" ref="AL38">MAX((УслРестрактов[Характеристика]="Дата реструктуризации")*(УслРестрактов[Значение]=Первоначальный!$A38),0)</f>
        <v>0</v>
      </c>
    </row>
    <row r="39" spans="1:38" x14ac:dyDescent="0.25">
      <c r="A39" s="97">
        <f t="shared" si="2"/>
        <v>44170</v>
      </c>
      <c r="B39" s="100">
        <f t="shared" ca="1" si="3"/>
        <v>150000</v>
      </c>
      <c r="C39" s="55">
        <f t="shared" ca="1" si="12"/>
        <v>815.63999999999965</v>
      </c>
      <c r="D39" s="55">
        <f t="shared" ca="1" si="12"/>
        <v>0</v>
      </c>
      <c r="E39" s="55">
        <f t="shared" ca="1" si="5"/>
        <v>0</v>
      </c>
      <c r="F39" s="55">
        <f t="shared" ca="1" si="6"/>
        <v>0</v>
      </c>
      <c r="G39" s="101">
        <f t="shared" ca="1" si="7"/>
        <v>150815.64000000001</v>
      </c>
      <c r="H39" s="100">
        <f ca="1">ROUND($B39*VLOOKUP($A39,$A$1:$B$10,2,1)/(365+IF(MOD(YEAR($A39),4),0,1)*($A39-$A38)),2)-Первоначальный[[#This Row],[Проценты на просроченный платеж по ОД за период]]</f>
        <v>81.56</v>
      </c>
      <c r="I39" s="55">
        <f t="shared" ca="1" si="8"/>
        <v>0</v>
      </c>
      <c r="J39" s="55">
        <v>0</v>
      </c>
      <c r="K39" s="55">
        <f t="shared" ca="1" si="11"/>
        <v>0</v>
      </c>
      <c r="L39" s="55">
        <v>0</v>
      </c>
      <c r="M39" s="113">
        <f>SUMIFS(График[Возврат основной суммы долга],График[Дата с учетом нерабочих дней],$A39)</f>
        <v>0</v>
      </c>
      <c r="N39" s="56">
        <f>SUMIFS(График[Возврат начисленных %],График[Дата с учетом нерабочих дней],$A39)</f>
        <v>0</v>
      </c>
      <c r="O39" s="101">
        <v>0</v>
      </c>
      <c r="P39" s="100" cm="1">
        <f t="array" aca="1" ref="P39" ca="1">MAX(IF(AA38="Да",0,SUM(INDIRECT("M"&amp;(MAX(("Да"=AA$12:AA38)*ROW(AA$12:AA38)+1,ROW($P$12))&amp;":M"&amp;(ROW()))))-SUM(INDIRECT("W"&amp;(MAX(("Да"=AA$12:AA38)*ROW(AA$12:AA38)+1,ROW($P$12))&amp;":W"&amp;(ROW()))))),0)</f>
        <v>0</v>
      </c>
      <c r="Q39" s="99">
        <f ca="1">MAX(SUM($N$13:N39)-SUM($T$13:T39),0)</f>
        <v>6.5573770484661509E-4</v>
      </c>
      <c r="R39" s="99">
        <f ca="1">Первоначальный[[#This Row],[Просроченный платеж по ОД]]+Первоначальный[[#This Row],[Просроченный платеж по процентам]]</f>
        <v>6.5573770484661509E-4</v>
      </c>
      <c r="S39" s="120">
        <f ca="1">IF(Первоначальный[[#This Row],[Просроченный платеж]]&lt;1,0,S38+1)</f>
        <v>0</v>
      </c>
      <c r="T39" s="100" cm="1">
        <f t="array" aca="1" ref="T39" ca="1">IF(Первоначальный[[#This Row],[Итого остаток на начало периода]]&lt;1,0,
IF(
AND(TYPE(VLOOKUP(1,$Z$12:Z39,1,0))=16,Первоначальный[[#This Row],[Досрочное погашение (да/"")]]=""),0,
_xlfn.IFS(AND(S38=0,Первоначальный[[#This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платеж]]&lt;&gt;0),MIN(LOOKUP(,-1/($Z$12:Z39=1),$C$12:C39)+LOOKUP(,-1/($Z$12:Z39=1),$H$12:H39),Первоначальный[[#This Row],[Полученный платеж]]+Y38),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платеж]]+Y38,SUM(Первоначальный[[#This Row],[Остаток процентов на начало периода]],Первоначальный[[#This Row],[Проценты за период]])),
AND(S38=0,Первоначальный[[#This Row],[Дата платежа из графика]]=""),0,
AND(S38=0,Первоначальный[[#This Row],[Дата платежа из графика]]=1,MAX((0&lt;&gt;S$12:S38)*ROW(S$12:S38),ROW($S$12))&gt;=MAX((1=Z$12:Z38)*ROW(Z$12:Z38),ROW($T$12)),TYPE(VLOOKUP("Да",(INDIRECT("AA"&amp;(MAX((1=Z$12:Z38)*ROW(Z$12:Z38),ROW($T$12))&amp;":AA"&amp;(ROW()-1)))),1,0))=16),MIN(LOOKUP(,-1/($Z$12:Z39=1),$C$12:C39)+LOOKUP(,-1/($Z$12:Z39=1),$H$12:H39),Первоначальный[[#This Row],[Полученный платеж]]+Y38),
AND(S38=0,TYPE(VLOOKUP("Да",(INDIRECT("AA"&amp;(MAX((1=Z$12:Z38)*ROW(Z$12:Z38),ROW($T$12))&amp;":AA"&amp;(ROW()-1)))),1,0))&lt;&gt;16),MIN(LOOKUP(,-1/($Z$12:Z39=1),$C$12:C39)+LOOKUP(,-1/($Z$12:Z39=1),$H$12:H39)-IF(AA38="Да",0,SUM(INDIRECT("T"&amp;(MAX(("Да"=AA$12:AA38)*ROW(AA$12:AA38)+1,ROW($T$12))&amp;":T"&amp;(ROW()-1))))),Первоначальный[[#This Row],[Полученный платеж]]+Y38),
AND(S38=0,MAX((0&lt;&gt;N$12:N38)*ROW(N$12:N38),ROW($S$12))&gt;=MAX((1=Z$12:Z38)*ROW(Z$12:Z38),ROW($T$12))),MIN(LOOKUP(,-1/($Z$12:Z39=1),$C$12:C39)+LOOKUP(,-1/($Z$12:Z39=1),$H$12:H39)-IF(N38&lt;&gt;0,0,SUM(INDIRECT("T"&amp;(MAX((0&lt;&gt;N$12:N38)*ROW(N$12:N38)+1,ROW($T$12))&amp;":T"&amp;(ROW()-1))))),Первоначальный[[#This Row],[Полученный платеж]]+Y38),
AND(S38=0,Первоначальный[[#This Row],[Дата платежа из графика]]=1),MIN(LOOKUP(,-1/($Z$12:Z39=1),$C$12:C39)+LOOKUP(,-1/($Z$12:Z39=1),$H$12:H39)-IF(Z38=1,0,SUM(INDIRECT("T"&amp;(MAX((1=Z$12:Z38)*ROW(Z$12:Z38)+1,ROW($T$12))&amp;":T"&amp;(ROW()-1))))),Первоначальный[[#This Row],[Полученный платеж]]+Y38),
AND(Z38&gt;0,Первоначальный[[#This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платеж]]+Y38),
AND(S38&gt;0,MAX((0&lt;&gt;S$12:S38)*ROW(S$12:S38),ROW($S$12))&gt;=MAX((1=Z$12:Z38)*ROW(Z$12:Z38),ROW($T$12)),TYPE(VLOOKUP("Да",(INDIRECT("AA"&amp;(MAX((1=Z$12:Z38)*ROW(Z$12:Z38),ROW($T$12))&amp;":AA"&amp;(ROW()-1)))),1,0))=16),MIN(LOOKUP(,-1/($Z$12:Z39=1),$C$12:C39)+LOOKUP(,-1/($Z$12:Z39=1),$H$12:H39)-SUM(INDIRECT("T"&amp;(MAX((1=Z$12:Z38)*ROW(Z$12:Z38),ROW($T$12))&amp;":T"&amp;(ROW()-1)))),Первоначальный[[#This Row],[Полученный платеж]]+Y38),
S38&gt;0,MIN(LOOKUP(,-1/($Z$12:Z39=1),$C$12:C39)+LOOKUP(,-1/($Z$12:Z39=1),$H$12:H39)-IF(Z38=1,0,SUM(INDIRECT("T"&amp;(MAX((1=Z$12:Z38)*ROW(Z$12:Z38)+1,ROW($T$12))&amp;":T"&amp;(ROW()-1))))),Первоначальный[[#This Row],[Полученный платеж]]+Y38)
)
)
)</f>
        <v>0</v>
      </c>
      <c r="U3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платеж]]+Y38-Первоначальный[[#This Row],[Полученный платёж по процентам]])</f>
        <v>0</v>
      </c>
      <c r="V39" s="55">
        <f t="shared" ca="1" si="0"/>
        <v>0</v>
      </c>
      <c r="W39" s="55" cm="1">
        <f t="array" aca="1" ref="W39" ca="1">IF(Первоначальный[[#This Row],[Итого остаток на начало периода]]&lt;1,0,
_xlfn.IFS(
AND(TYPE(VLOOKUP(1,$Z$12:Z39,1,0))=16,Первоначальный[[#This Row],[Досрочное погашение (да/"")]]=""),0,
AND(S38=0,Первоначальный[[#This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комиссиям]]),VLOOKUP(LOOKUP(,-1/($Z$12:Z39=1),$A$12:A39),График[[Срок конец]:[Возврат основной суммы долга]],3,0)),
AND(S38=0,Первоначальный[[#This Row],[Дата платежа из графика]]="",Первоначальный[[#This Row],[Досрочное погашение (да/"")]]&lt;&gt;"Да"),0,
AND(S38=0,Первоначальный[[#This Row],[Досрочное погашение (да/"")]]=""),MIN(Первоначальный[[#This Row],[Полученный платеж]]+Y38-SUM(Первоначальный[[#This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комиссиям]]),VLOOKUP(LOOKUP(,-1/($Z$12:Z39=1),$A$12:A39),График[[Срок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S38&gt;0,MIN(Первоначальный[[#This Row],[Полученный платеж]]+Y38-SUM(Первоначальный[[#This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комиссиям]]),SUM(INDIRECT("M"&amp;(MAX((1=S$12:S38)*ROW(S$12:S38),ROW($W$12))&amp;":M"&amp;(ROW()))))-SUM(INDIRECT("W"&amp;(MAX((1=S$12:S38)*ROW(S$12:S38),ROW($W$12))&amp;":W"&amp;(ROW()-1)))))
)
)</f>
        <v>0</v>
      </c>
      <c r="X39" s="55">
        <f t="shared" ca="1" si="1"/>
        <v>0</v>
      </c>
      <c r="Y39" s="101">
        <f t="shared" ca="1" si="9"/>
        <v>0</v>
      </c>
      <c r="Z39" s="133" t="str">
        <f>IF(TYPE((VLOOKUP(Первоначальный[[#This Row],[Дата платежа]],График[Срок конец],1,0)))=16,"",1)</f>
        <v/>
      </c>
      <c r="AA39" s="57"/>
      <c r="AB39" s="134"/>
      <c r="AC3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150000</v>
      </c>
      <c r="AD3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897.19999999999959</v>
      </c>
      <c r="AE3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3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39" s="55"/>
      <c r="AI39" s="55"/>
      <c r="AJ39" s="55"/>
      <c r="AK39" s="101">
        <f t="shared" ca="1" si="10"/>
        <v>150897.20000000001</v>
      </c>
      <c r="AL39" s="129">
        <f t="array" ref="AL39">MAX((УслРестрактов[Характеристика]="Дата реструктуризации")*(УслРестрактов[Значение]=Первоначальный!$A39),0)</f>
        <v>0</v>
      </c>
    </row>
    <row r="40" spans="1:38" x14ac:dyDescent="0.25">
      <c r="A40" s="97">
        <f t="shared" si="2"/>
        <v>44171</v>
      </c>
      <c r="B40" s="100">
        <f t="shared" ca="1" si="3"/>
        <v>150000</v>
      </c>
      <c r="C40" s="55">
        <f t="shared" ca="1" si="12"/>
        <v>897.19999999999959</v>
      </c>
      <c r="D40" s="55">
        <f t="shared" ca="1" si="12"/>
        <v>0</v>
      </c>
      <c r="E40" s="55">
        <f t="shared" ca="1" si="5"/>
        <v>0</v>
      </c>
      <c r="F40" s="55">
        <f t="shared" ca="1" si="6"/>
        <v>0</v>
      </c>
      <c r="G40" s="101">
        <f t="shared" ca="1" si="7"/>
        <v>150897.20000000001</v>
      </c>
      <c r="H40" s="100">
        <f ca="1">ROUND($B40*VLOOKUP($A40,$A$1:$B$10,2,1)/(365+IF(MOD(YEAR($A40),4),0,1)*($A40-$A39)),2)-Первоначальный[[#This Row],[Проценты на просроченный платеж по ОД за период]]</f>
        <v>81.56</v>
      </c>
      <c r="I40" s="55">
        <f t="shared" ca="1" si="8"/>
        <v>0</v>
      </c>
      <c r="J40" s="55">
        <v>0</v>
      </c>
      <c r="K40" s="55">
        <f t="shared" ca="1" si="11"/>
        <v>0</v>
      </c>
      <c r="L40" s="55">
        <v>0</v>
      </c>
      <c r="M40" s="113">
        <f>SUMIFS(График[Возврат основной суммы долга],График[Дата с учетом нерабочих дней],$A40)</f>
        <v>0</v>
      </c>
      <c r="N40" s="56">
        <f>SUMIFS(График[Возврат начисленных %],График[Дата с учетом нерабочих дней],$A40)</f>
        <v>0</v>
      </c>
      <c r="O40" s="101">
        <v>0</v>
      </c>
      <c r="P40" s="100" cm="1">
        <f t="array" aca="1" ref="P40" ca="1">MAX(IF(AA39="Да",0,SUM(INDIRECT("M"&amp;(MAX(("Да"=AA$12:AA39)*ROW(AA$12:AA39)+1,ROW($P$12))&amp;":M"&amp;(ROW()))))-SUM(INDIRECT("W"&amp;(MAX(("Да"=AA$12:AA39)*ROW(AA$12:AA39)+1,ROW($P$12))&amp;":W"&amp;(ROW()))))),0)</f>
        <v>0</v>
      </c>
      <c r="Q40" s="99">
        <f ca="1">MAX(SUM($N$13:N40)-SUM($T$13:T40),0)</f>
        <v>6.5573770484661509E-4</v>
      </c>
      <c r="R40" s="99">
        <f ca="1">Первоначальный[[#This Row],[Просроченный платеж по ОД]]+Первоначальный[[#This Row],[Просроченный платеж по процентам]]</f>
        <v>6.5573770484661509E-4</v>
      </c>
      <c r="S40" s="120">
        <f ca="1">IF(Первоначальный[[#This Row],[Просроченный платеж]]&lt;1,0,S39+1)</f>
        <v>0</v>
      </c>
      <c r="T40" s="100" cm="1">
        <f t="array" aca="1" ref="T40" ca="1">IF(Первоначальный[[#This Row],[Итого остаток на начало периода]]&lt;1,0,
IF(
AND(TYPE(VLOOKUP(1,$Z$12:Z40,1,0))=16,Первоначальный[[#This Row],[Досрочное погашение (да/"")]]=""),0,
_xlfn.IFS(AND(S39=0,Первоначальный[[#This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платеж]]&lt;&gt;0),MIN(LOOKUP(,-1/($Z$12:Z40=1),$C$12:C40)+LOOKUP(,-1/($Z$12:Z40=1),$H$12:H40),Первоначальный[[#This Row],[Полученный платеж]]+Y39),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платеж]]+Y39,SUM(Первоначальный[[#This Row],[Остаток процентов на начало периода]],Первоначальный[[#This Row],[Проценты за период]])),
AND(S39=0,Первоначальный[[#This Row],[Дата платежа из графика]]=""),0,
AND(S39=0,Первоначальный[[#This Row],[Дата платежа из графика]]=1,MAX((0&lt;&gt;S$12:S39)*ROW(S$12:S39),ROW($S$12))&gt;=MAX((1=Z$12:Z39)*ROW(Z$12:Z39),ROW($T$12)),TYPE(VLOOKUP("Да",(INDIRECT("AA"&amp;(MAX((1=Z$12:Z39)*ROW(Z$12:Z39),ROW($T$12))&amp;":AA"&amp;(ROW()-1)))),1,0))=16),MIN(LOOKUP(,-1/($Z$12:Z40=1),$C$12:C40)+LOOKUP(,-1/($Z$12:Z40=1),$H$12:H40),Первоначальный[[#This Row],[Полученный платеж]]+Y39),
AND(S39=0,TYPE(VLOOKUP("Да",(INDIRECT("AA"&amp;(MAX((1=Z$12:Z39)*ROW(Z$12:Z39),ROW($T$12))&amp;":AA"&amp;(ROW()-1)))),1,0))&lt;&gt;16),MIN(LOOKUP(,-1/($Z$12:Z40=1),$C$12:C40)+LOOKUP(,-1/($Z$12:Z40=1),$H$12:H40)-IF(AA39="Да",0,SUM(INDIRECT("T"&amp;(MAX(("Да"=AA$12:AA39)*ROW(AA$12:AA39)+1,ROW($T$12))&amp;":T"&amp;(ROW()-1))))),Первоначальный[[#This Row],[Полученный платеж]]+Y39),
AND(S39=0,MAX((0&lt;&gt;N$12:N39)*ROW(N$12:N39),ROW($S$12))&gt;=MAX((1=Z$12:Z39)*ROW(Z$12:Z39),ROW($T$12))),MIN(LOOKUP(,-1/($Z$12:Z40=1),$C$12:C40)+LOOKUP(,-1/($Z$12:Z40=1),$H$12:H40)-IF(N39&lt;&gt;0,0,SUM(INDIRECT("T"&amp;(MAX((0&lt;&gt;N$12:N39)*ROW(N$12:N39)+1,ROW($T$12))&amp;":T"&amp;(ROW()-1))))),Первоначальный[[#This Row],[Полученный платеж]]+Y39),
AND(S39=0,Первоначальный[[#This Row],[Дата платежа из графика]]=1),MIN(LOOKUP(,-1/($Z$12:Z40=1),$C$12:C40)+LOOKUP(,-1/($Z$12:Z40=1),$H$12:H40)-IF(Z39=1,0,SUM(INDIRECT("T"&amp;(MAX((1=Z$12:Z39)*ROW(Z$12:Z39)+1,ROW($T$12))&amp;":T"&amp;(ROW()-1))))),Первоначальный[[#This Row],[Полученный платеж]]+Y39),
AND(Z39&gt;0,Первоначальный[[#This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платеж]]+Y39),
AND(S39&gt;0,MAX((0&lt;&gt;S$12:S39)*ROW(S$12:S39),ROW($S$12))&gt;=MAX((1=Z$12:Z39)*ROW(Z$12:Z39),ROW($T$12)),TYPE(VLOOKUP("Да",(INDIRECT("AA"&amp;(MAX((1=Z$12:Z39)*ROW(Z$12:Z39),ROW($T$12))&amp;":AA"&amp;(ROW()-1)))),1,0))=16),MIN(LOOKUP(,-1/($Z$12:Z40=1),$C$12:C40)+LOOKUP(,-1/($Z$12:Z40=1),$H$12:H40)-SUM(INDIRECT("T"&amp;(MAX((1=Z$12:Z39)*ROW(Z$12:Z39),ROW($T$12))&amp;":T"&amp;(ROW()-1)))),Первоначальный[[#This Row],[Полученный платеж]]+Y39),
S39&gt;0,MIN(LOOKUP(,-1/($Z$12:Z40=1),$C$12:C40)+LOOKUP(,-1/($Z$12:Z40=1),$H$12:H40)-IF(Z39=1,0,SUM(INDIRECT("T"&amp;(MAX((1=Z$12:Z39)*ROW(Z$12:Z39)+1,ROW($T$12))&amp;":T"&amp;(ROW()-1))))),Первоначальный[[#This Row],[Полученный платеж]]+Y39)
)
)
)</f>
        <v>0</v>
      </c>
      <c r="U4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платеж]]+Y39-Первоначальный[[#This Row],[Полученный платёж по процентам]])</f>
        <v>0</v>
      </c>
      <c r="V40" s="55">
        <f t="shared" ca="1" si="0"/>
        <v>0</v>
      </c>
      <c r="W40" s="55" cm="1">
        <f t="array" aca="1" ref="W40" ca="1">IF(Первоначальный[[#This Row],[Итого остаток на начало периода]]&lt;1,0,
_xlfn.IFS(
AND(TYPE(VLOOKUP(1,$Z$12:Z40,1,0))=16,Первоначальный[[#This Row],[Досрочное погашение (да/"")]]=""),0,
AND(S39=0,Первоначальный[[#This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комиссиям]]),VLOOKUP(LOOKUP(,-1/($Z$12:Z40=1),$A$12:A40),График[[Срок конец]:[Возврат основной суммы долга]],3,0)),
AND(S39=0,Первоначальный[[#This Row],[Дата платежа из графика]]="",Первоначальный[[#This Row],[Досрочное погашение (да/"")]]&lt;&gt;"Да"),0,
AND(S39=0,Первоначальный[[#This Row],[Досрочное погашение (да/"")]]=""),MIN(Первоначальный[[#This Row],[Полученный платеж]]+Y39-SUM(Первоначальный[[#This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комиссиям]]),VLOOKUP(LOOKUP(,-1/($Z$12:Z40=1),$A$12:A40),График[[Срок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S39&gt;0,MIN(Первоначальный[[#This Row],[Полученный платеж]]+Y39-SUM(Первоначальный[[#This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комиссиям]]),SUM(INDIRECT("M"&amp;(MAX((1=S$12:S39)*ROW(S$12:S39),ROW($W$12))&amp;":M"&amp;(ROW()))))-SUM(INDIRECT("W"&amp;(MAX((1=S$12:S39)*ROW(S$12:S39),ROW($W$12))&amp;":W"&amp;(ROW()-1)))))
)
)</f>
        <v>0</v>
      </c>
      <c r="X40" s="55">
        <f t="shared" ca="1" si="1"/>
        <v>0</v>
      </c>
      <c r="Y40" s="101">
        <f t="shared" ca="1" si="9"/>
        <v>0</v>
      </c>
      <c r="Z40" s="133" t="str">
        <f>IF(TYPE((VLOOKUP(Первоначальный[[#This Row],[Дата платежа]],График[Срок конец],1,0)))=16,"",1)</f>
        <v/>
      </c>
      <c r="AA40" s="57"/>
      <c r="AB40" s="134"/>
      <c r="AC4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150000</v>
      </c>
      <c r="AD4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978.75999999999954</v>
      </c>
      <c r="AE4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4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40" s="55"/>
      <c r="AI40" s="55"/>
      <c r="AJ40" s="55"/>
      <c r="AK40" s="101">
        <f t="shared" ca="1" si="10"/>
        <v>150978.76</v>
      </c>
      <c r="AL40" s="129">
        <f t="array" ref="AL40">MAX((УслРестрактов[Характеристика]="Дата реструктуризации")*(УслРестрактов[Значение]=Первоначальный!$A40),0)</f>
        <v>0</v>
      </c>
    </row>
    <row r="41" spans="1:38" x14ac:dyDescent="0.25">
      <c r="A41" s="97">
        <f t="shared" si="2"/>
        <v>44172</v>
      </c>
      <c r="B41" s="100">
        <f t="shared" ca="1" si="3"/>
        <v>150000</v>
      </c>
      <c r="C41" s="55">
        <f t="shared" ca="1" si="12"/>
        <v>978.75999999999954</v>
      </c>
      <c r="D41" s="55">
        <f t="shared" ca="1" si="12"/>
        <v>0</v>
      </c>
      <c r="E41" s="55">
        <f t="shared" ca="1" si="5"/>
        <v>0</v>
      </c>
      <c r="F41" s="55">
        <f t="shared" ca="1" si="6"/>
        <v>0</v>
      </c>
      <c r="G41" s="101">
        <f t="shared" ca="1" si="7"/>
        <v>150978.76</v>
      </c>
      <c r="H41" s="100">
        <f ca="1">ROUND($B41*VLOOKUP($A41,$A$1:$B$10,2,1)/(365+IF(MOD(YEAR($A41),4),0,1)*($A41-$A40)),2)-Первоначальный[[#This Row],[Проценты на просроченный платеж по ОД за период]]</f>
        <v>81.56</v>
      </c>
      <c r="I41" s="55">
        <f t="shared" ca="1" si="8"/>
        <v>0</v>
      </c>
      <c r="J41" s="55">
        <v>0</v>
      </c>
      <c r="K41" s="55">
        <f t="shared" ca="1" si="11"/>
        <v>0</v>
      </c>
      <c r="L41" s="55">
        <v>0</v>
      </c>
      <c r="M41" s="113">
        <f>SUMIFS(График[Возврат основной суммы долга],График[Дата с учетом нерабочих дней],$A41)</f>
        <v>0</v>
      </c>
      <c r="N41" s="56">
        <f>SUMIFS(График[Возврат начисленных %],График[Дата с учетом нерабочих дней],$A41)</f>
        <v>0</v>
      </c>
      <c r="O41" s="101">
        <v>0</v>
      </c>
      <c r="P41" s="100" cm="1">
        <f t="array" aca="1" ref="P41" ca="1">MAX(IF(AA40="Да",0,SUM(INDIRECT("M"&amp;(MAX(("Да"=AA$12:AA40)*ROW(AA$12:AA40)+1,ROW($P$12))&amp;":M"&amp;(ROW()))))-SUM(INDIRECT("W"&amp;(MAX(("Да"=AA$12:AA40)*ROW(AA$12:AA40)+1,ROW($P$12))&amp;":W"&amp;(ROW()))))),0)</f>
        <v>0</v>
      </c>
      <c r="Q41" s="99">
        <f ca="1">MAX(SUM($N$13:N41)-SUM($T$13:T41),0)</f>
        <v>6.5573770484661509E-4</v>
      </c>
      <c r="R41" s="99">
        <f ca="1">Первоначальный[[#This Row],[Просроченный платеж по ОД]]+Первоначальный[[#This Row],[Просроченный платеж по процентам]]</f>
        <v>6.5573770484661509E-4</v>
      </c>
      <c r="S41" s="120">
        <f ca="1">IF(Первоначальный[[#This Row],[Просроченный платеж]]&lt;1,0,S40+1)</f>
        <v>0</v>
      </c>
      <c r="T41" s="100" cm="1">
        <f t="array" aca="1" ref="T41" ca="1">IF(Первоначальный[[#This Row],[Итого остаток на начало периода]]&lt;1,0,
IF(
AND(TYPE(VLOOKUP(1,$Z$12:Z41,1,0))=16,Первоначальный[[#This Row],[Досрочное погашение (да/"")]]=""),0,
_xlfn.IFS(AND(S40=0,Первоначальный[[#This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платеж]]&lt;&gt;0),MIN(LOOKUP(,-1/($Z$12:Z41=1),$C$12:C41)+LOOKUP(,-1/($Z$12:Z41=1),$H$12:H41),Первоначальный[[#This Row],[Полученный платеж]]+Y40),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платеж]]+Y40,SUM(Первоначальный[[#This Row],[Остаток процентов на начало периода]],Первоначальный[[#This Row],[Проценты за период]])),
AND(S40=0,Первоначальный[[#This Row],[Дата платежа из графика]]=""),0,
AND(S40=0,Первоначальный[[#This Row],[Дата платежа из графика]]=1,MAX((0&lt;&gt;S$12:S40)*ROW(S$12:S40),ROW($S$12))&gt;=MAX((1=Z$12:Z40)*ROW(Z$12:Z40),ROW($T$12)),TYPE(VLOOKUP("Да",(INDIRECT("AA"&amp;(MAX((1=Z$12:Z40)*ROW(Z$12:Z40),ROW($T$12))&amp;":AA"&amp;(ROW()-1)))),1,0))=16),MIN(LOOKUP(,-1/($Z$12:Z41=1),$C$12:C41)+LOOKUP(,-1/($Z$12:Z41=1),$H$12:H41),Первоначальный[[#This Row],[Полученный платеж]]+Y40),
AND(S40=0,TYPE(VLOOKUP("Да",(INDIRECT("AA"&amp;(MAX((1=Z$12:Z40)*ROW(Z$12:Z40),ROW($T$12))&amp;":AA"&amp;(ROW()-1)))),1,0))&lt;&gt;16),MIN(LOOKUP(,-1/($Z$12:Z41=1),$C$12:C41)+LOOKUP(,-1/($Z$12:Z41=1),$H$12:H41)-IF(AA40="Да",0,SUM(INDIRECT("T"&amp;(MAX(("Да"=AA$12:AA40)*ROW(AA$12:AA40)+1,ROW($T$12))&amp;":T"&amp;(ROW()-1))))),Первоначальный[[#This Row],[Полученный платеж]]+Y40),
AND(S40=0,MAX((0&lt;&gt;N$12:N40)*ROW(N$12:N40),ROW($S$12))&gt;=MAX((1=Z$12:Z40)*ROW(Z$12:Z40),ROW($T$12))),MIN(LOOKUP(,-1/($Z$12:Z41=1),$C$12:C41)+LOOKUP(,-1/($Z$12:Z41=1),$H$12:H41)-IF(N40&lt;&gt;0,0,SUM(INDIRECT("T"&amp;(MAX((0&lt;&gt;N$12:N40)*ROW(N$12:N40)+1,ROW($T$12))&amp;":T"&amp;(ROW()-1))))),Первоначальный[[#This Row],[Полученный платеж]]+Y40),
AND(S40=0,Первоначальный[[#This Row],[Дата платежа из графика]]=1),MIN(LOOKUP(,-1/($Z$12:Z41=1),$C$12:C41)+LOOKUP(,-1/($Z$12:Z41=1),$H$12:H41)-IF(Z40=1,0,SUM(INDIRECT("T"&amp;(MAX((1=Z$12:Z40)*ROW(Z$12:Z40)+1,ROW($T$12))&amp;":T"&amp;(ROW()-1))))),Первоначальный[[#This Row],[Полученный платеж]]+Y40),
AND(Z40&gt;0,Первоначальный[[#This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платеж]]+Y40),
AND(S40&gt;0,MAX((0&lt;&gt;S$12:S40)*ROW(S$12:S40),ROW($S$12))&gt;=MAX((1=Z$12:Z40)*ROW(Z$12:Z40),ROW($T$12)),TYPE(VLOOKUP("Да",(INDIRECT("AA"&amp;(MAX((1=Z$12:Z40)*ROW(Z$12:Z40),ROW($T$12))&amp;":AA"&amp;(ROW()-1)))),1,0))=16),MIN(LOOKUP(,-1/($Z$12:Z41=1),$C$12:C41)+LOOKUP(,-1/($Z$12:Z41=1),$H$12:H41)-SUM(INDIRECT("T"&amp;(MAX((1=Z$12:Z40)*ROW(Z$12:Z40),ROW($T$12))&amp;":T"&amp;(ROW()-1)))),Первоначальный[[#This Row],[Полученный платеж]]+Y40),
S40&gt;0,MIN(LOOKUP(,-1/($Z$12:Z41=1),$C$12:C41)+LOOKUP(,-1/($Z$12:Z41=1),$H$12:H41)-IF(Z40=1,0,SUM(INDIRECT("T"&amp;(MAX((1=Z$12:Z40)*ROW(Z$12:Z40)+1,ROW($T$12))&amp;":T"&amp;(ROW()-1))))),Первоначальный[[#This Row],[Полученный платеж]]+Y40)
)
)
)</f>
        <v>0</v>
      </c>
      <c r="U4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платеж]]+Y40-Первоначальный[[#This Row],[Полученный платёж по процентам]])</f>
        <v>0</v>
      </c>
      <c r="V41" s="55">
        <f t="shared" ca="1" si="0"/>
        <v>0</v>
      </c>
      <c r="W41" s="55" cm="1">
        <f t="array" aca="1" ref="W41" ca="1">IF(Первоначальный[[#This Row],[Итого остаток на начало периода]]&lt;1,0,
_xlfn.IFS(
AND(TYPE(VLOOKUP(1,$Z$12:Z41,1,0))=16,Первоначальный[[#This Row],[Досрочное погашение (да/"")]]=""),0,
AND(S40=0,Первоначальный[[#This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комиссиям]]),VLOOKUP(LOOKUP(,-1/($Z$12:Z41=1),$A$12:A41),График[[Срок конец]:[Возврат основной суммы долга]],3,0)),
AND(S40=0,Первоначальный[[#This Row],[Дата платежа из графика]]="",Первоначальный[[#This Row],[Досрочное погашение (да/"")]]&lt;&gt;"Да"),0,
AND(S40=0,Первоначальный[[#This Row],[Досрочное погашение (да/"")]]=""),MIN(Первоначальный[[#This Row],[Полученный платеж]]+Y40-SUM(Первоначальный[[#This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комиссиям]]),VLOOKUP(LOOKUP(,-1/($Z$12:Z41=1),$A$12:A41),График[[Срок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S40&gt;0,MIN(Первоначальный[[#This Row],[Полученный платеж]]+Y40-SUM(Первоначальный[[#This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комиссиям]]),SUM(INDIRECT("M"&amp;(MAX((1=S$12:S40)*ROW(S$12:S40),ROW($W$12))&amp;":M"&amp;(ROW()))))-SUM(INDIRECT("W"&amp;(MAX((1=S$12:S40)*ROW(S$12:S40),ROW($W$12))&amp;":W"&amp;(ROW()-1)))))
)
)</f>
        <v>0</v>
      </c>
      <c r="X41" s="55">
        <f t="shared" ca="1" si="1"/>
        <v>0</v>
      </c>
      <c r="Y41" s="101">
        <f t="shared" ca="1" si="9"/>
        <v>0</v>
      </c>
      <c r="Z41" s="133" t="str">
        <f>IF(TYPE((VLOOKUP(Первоначальный[[#This Row],[Дата платежа]],График[Срок конец],1,0)))=16,"",1)</f>
        <v/>
      </c>
      <c r="AA41" s="57"/>
      <c r="AB41" s="134"/>
      <c r="AC4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150000</v>
      </c>
      <c r="AD4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1060.3199999999995</v>
      </c>
      <c r="AE4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4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41" s="55"/>
      <c r="AI41" s="55"/>
      <c r="AJ41" s="55"/>
      <c r="AK41" s="101">
        <f t="shared" ca="1" si="10"/>
        <v>151060.32</v>
      </c>
      <c r="AL41" s="129">
        <f t="array" ref="AL41">MAX((УслРестрактов[Характеристика]="Дата реструктуризации")*(УслРестрактов[Значение]=Первоначальный!$A41),0)</f>
        <v>0</v>
      </c>
    </row>
    <row r="42" spans="1:38" x14ac:dyDescent="0.25">
      <c r="A42" s="97">
        <f t="shared" si="2"/>
        <v>44173</v>
      </c>
      <c r="B42" s="100">
        <f t="shared" ca="1" si="3"/>
        <v>150000</v>
      </c>
      <c r="C42" s="55">
        <f t="shared" ca="1" si="12"/>
        <v>1060.3199999999995</v>
      </c>
      <c r="D42" s="55">
        <f t="shared" ca="1" si="12"/>
        <v>0</v>
      </c>
      <c r="E42" s="55">
        <f t="shared" ca="1" si="5"/>
        <v>0</v>
      </c>
      <c r="F42" s="55">
        <f t="shared" ca="1" si="6"/>
        <v>0</v>
      </c>
      <c r="G42" s="101">
        <f t="shared" ca="1" si="7"/>
        <v>151060.32</v>
      </c>
      <c r="H42" s="100">
        <f ca="1">ROUND($B42*VLOOKUP($A42,$A$1:$B$10,2,1)/(365+IF(MOD(YEAR($A42),4),0,1)*($A42-$A41)),2)-Первоначальный[[#This Row],[Проценты на просроченный платеж по ОД за период]]</f>
        <v>81.56</v>
      </c>
      <c r="I42" s="55">
        <f t="shared" ca="1" si="8"/>
        <v>0</v>
      </c>
      <c r="J42" s="55">
        <v>0</v>
      </c>
      <c r="K42" s="55">
        <f t="shared" ca="1" si="11"/>
        <v>0</v>
      </c>
      <c r="L42" s="55">
        <v>0</v>
      </c>
      <c r="M42" s="113">
        <f>SUMIFS(График[Возврат основной суммы долга],График[Дата с учетом нерабочих дней],$A42)</f>
        <v>0</v>
      </c>
      <c r="N42" s="56">
        <f>SUMIFS(График[Возврат начисленных %],График[Дата с учетом нерабочих дней],$A42)</f>
        <v>0</v>
      </c>
      <c r="O42" s="101">
        <v>0</v>
      </c>
      <c r="P42" s="100" cm="1">
        <f t="array" aca="1" ref="P42" ca="1">MAX(IF(AA41="Да",0,SUM(INDIRECT("M"&amp;(MAX(("Да"=AA$12:AA41)*ROW(AA$12:AA41)+1,ROW($P$12))&amp;":M"&amp;(ROW()))))-SUM(INDIRECT("W"&amp;(MAX(("Да"=AA$12:AA41)*ROW(AA$12:AA41)+1,ROW($P$12))&amp;":W"&amp;(ROW()))))),0)</f>
        <v>0</v>
      </c>
      <c r="Q42" s="99">
        <f ca="1">MAX(SUM($N$13:N42)-SUM($T$13:T42),0)</f>
        <v>6.5573770484661509E-4</v>
      </c>
      <c r="R42" s="99">
        <f ca="1">Первоначальный[[#This Row],[Просроченный платеж по ОД]]+Первоначальный[[#This Row],[Просроченный платеж по процентам]]</f>
        <v>6.5573770484661509E-4</v>
      </c>
      <c r="S42" s="120">
        <f ca="1">IF(Первоначальный[[#This Row],[Просроченный платеж]]&lt;1,0,S41+1)</f>
        <v>0</v>
      </c>
      <c r="T42" s="100" cm="1">
        <f t="array" aca="1" ref="T42" ca="1">IF(Первоначальный[[#This Row],[Итого остаток на начало периода]]&lt;1,0,
IF(
AND(TYPE(VLOOKUP(1,$Z$12:Z42,1,0))=16,Первоначальный[[#This Row],[Досрочное погашение (да/"")]]=""),0,
_xlfn.IFS(AND(S41=0,Первоначальный[[#This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платеж]]&lt;&gt;0),MIN(LOOKUP(,-1/($Z$12:Z42=1),$C$12:C42)+LOOKUP(,-1/($Z$12:Z42=1),$H$12:H42),Первоначальный[[#This Row],[Полученный платеж]]+Y41),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платеж]]+Y41,SUM(Первоначальный[[#This Row],[Остаток процентов на начало периода]],Первоначальный[[#This Row],[Проценты за период]])),
AND(S41=0,Первоначальный[[#This Row],[Дата платежа из графика]]=""),0,
AND(S41=0,Первоначальный[[#This Row],[Дата платежа из графика]]=1,MAX((0&lt;&gt;S$12:S41)*ROW(S$12:S41),ROW($S$12))&gt;=MAX((1=Z$12:Z41)*ROW(Z$12:Z41),ROW($T$12)),TYPE(VLOOKUP("Да",(INDIRECT("AA"&amp;(MAX((1=Z$12:Z41)*ROW(Z$12:Z41),ROW($T$12))&amp;":AA"&amp;(ROW()-1)))),1,0))=16),MIN(LOOKUP(,-1/($Z$12:Z42=1),$C$12:C42)+LOOKUP(,-1/($Z$12:Z42=1),$H$12:H42),Первоначальный[[#This Row],[Полученный платеж]]+Y41),
AND(S41=0,TYPE(VLOOKUP("Да",(INDIRECT("AA"&amp;(MAX((1=Z$12:Z41)*ROW(Z$12:Z41),ROW($T$12))&amp;":AA"&amp;(ROW()-1)))),1,0))&lt;&gt;16),MIN(LOOKUP(,-1/($Z$12:Z42=1),$C$12:C42)+LOOKUP(,-1/($Z$12:Z42=1),$H$12:H42)-IF(AA41="Да",0,SUM(INDIRECT("T"&amp;(MAX(("Да"=AA$12:AA41)*ROW(AA$12:AA41)+1,ROW($T$12))&amp;":T"&amp;(ROW()-1))))),Первоначальный[[#This Row],[Полученный платеж]]+Y41),
AND(S41=0,MAX((0&lt;&gt;N$12:N41)*ROW(N$12:N41),ROW($S$12))&gt;=MAX((1=Z$12:Z41)*ROW(Z$12:Z41),ROW($T$12))),MIN(LOOKUP(,-1/($Z$12:Z42=1),$C$12:C42)+LOOKUP(,-1/($Z$12:Z42=1),$H$12:H42)-IF(N41&lt;&gt;0,0,SUM(INDIRECT("T"&amp;(MAX((0&lt;&gt;N$12:N41)*ROW(N$12:N41)+1,ROW($T$12))&amp;":T"&amp;(ROW()-1))))),Первоначальный[[#This Row],[Полученный платеж]]+Y41),
AND(S41=0,Первоначальный[[#This Row],[Дата платежа из графика]]=1),MIN(LOOKUP(,-1/($Z$12:Z42=1),$C$12:C42)+LOOKUP(,-1/($Z$12:Z42=1),$H$12:H42)-IF(Z41=1,0,SUM(INDIRECT("T"&amp;(MAX((1=Z$12:Z41)*ROW(Z$12:Z41)+1,ROW($T$12))&amp;":T"&amp;(ROW()-1))))),Первоначальный[[#This Row],[Полученный платеж]]+Y41),
AND(Z41&gt;0,Первоначальный[[#This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платеж]]+Y41),
AND(S41&gt;0,MAX((0&lt;&gt;S$12:S41)*ROW(S$12:S41),ROW($S$12))&gt;=MAX((1=Z$12:Z41)*ROW(Z$12:Z41),ROW($T$12)),TYPE(VLOOKUP("Да",(INDIRECT("AA"&amp;(MAX((1=Z$12:Z41)*ROW(Z$12:Z41),ROW($T$12))&amp;":AA"&amp;(ROW()-1)))),1,0))=16),MIN(LOOKUP(,-1/($Z$12:Z42=1),$C$12:C42)+LOOKUP(,-1/($Z$12:Z42=1),$H$12:H42)-SUM(INDIRECT("T"&amp;(MAX((1=Z$12:Z41)*ROW(Z$12:Z41),ROW($T$12))&amp;":T"&amp;(ROW()-1)))),Первоначальный[[#This Row],[Полученный платеж]]+Y41),
S41&gt;0,MIN(LOOKUP(,-1/($Z$12:Z42=1),$C$12:C42)+LOOKUP(,-1/($Z$12:Z42=1),$H$12:H42)-IF(Z41=1,0,SUM(INDIRECT("T"&amp;(MAX((1=Z$12:Z41)*ROW(Z$12:Z41)+1,ROW($T$12))&amp;":T"&amp;(ROW()-1))))),Первоначальный[[#This Row],[Полученный платеж]]+Y41)
)
)
)</f>
        <v>0</v>
      </c>
      <c r="U4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платеж]]+Y41-Первоначальный[[#This Row],[Полученный платёж по процентам]])</f>
        <v>0</v>
      </c>
      <c r="V42" s="55">
        <f t="shared" ca="1" si="0"/>
        <v>0</v>
      </c>
      <c r="W42" s="55" cm="1">
        <f t="array" aca="1" ref="W42" ca="1">IF(Первоначальный[[#This Row],[Итого остаток на начало периода]]&lt;1,0,
_xlfn.IFS(
AND(TYPE(VLOOKUP(1,$Z$12:Z42,1,0))=16,Первоначальный[[#This Row],[Досрочное погашение (да/"")]]=""),0,
AND(S41=0,Первоначальный[[#This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комиссиям]]),VLOOKUP(LOOKUP(,-1/($Z$12:Z42=1),$A$12:A42),График[[Срок конец]:[Возврат основной суммы долга]],3,0)),
AND(S41=0,Первоначальный[[#This Row],[Дата платежа из графика]]="",Первоначальный[[#This Row],[Досрочное погашение (да/"")]]&lt;&gt;"Да"),0,
AND(S41=0,Первоначальный[[#This Row],[Досрочное погашение (да/"")]]=""),MIN(Первоначальный[[#This Row],[Полученный платеж]]+Y41-SUM(Первоначальный[[#This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комиссиям]]),VLOOKUP(LOOKUP(,-1/($Z$12:Z42=1),$A$12:A42),График[[Срок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S41&gt;0,MIN(Первоначальный[[#This Row],[Полученный платеж]]+Y41-SUM(Первоначальный[[#This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комиссиям]]),SUM(INDIRECT("M"&amp;(MAX((1=S$12:S41)*ROW(S$12:S41),ROW($W$12))&amp;":M"&amp;(ROW()))))-SUM(INDIRECT("W"&amp;(MAX((1=S$12:S41)*ROW(S$12:S41),ROW($W$12))&amp;":W"&amp;(ROW()-1)))))
)
)</f>
        <v>0</v>
      </c>
      <c r="X42" s="55">
        <f t="shared" ca="1" si="1"/>
        <v>0</v>
      </c>
      <c r="Y42" s="101">
        <f t="shared" ca="1" si="9"/>
        <v>0</v>
      </c>
      <c r="Z42" s="133" t="str">
        <f>IF(TYPE((VLOOKUP(Первоначальный[[#This Row],[Дата платежа]],График[Срок конец],1,0)))=16,"",1)</f>
        <v/>
      </c>
      <c r="AA42" s="57"/>
      <c r="AB42" s="134"/>
      <c r="AC4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150000</v>
      </c>
      <c r="AD4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1141.8799999999994</v>
      </c>
      <c r="AE4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4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42" s="55"/>
      <c r="AI42" s="55"/>
      <c r="AJ42" s="55"/>
      <c r="AK42" s="101">
        <f t="shared" ca="1" si="10"/>
        <v>151141.88</v>
      </c>
      <c r="AL42" s="129">
        <f t="array" ref="AL42">MAX((УслРестрактов[Характеристика]="Дата реструктуризации")*(УслРестрактов[Значение]=Первоначальный!$A42),0)</f>
        <v>0</v>
      </c>
    </row>
    <row r="43" spans="1:38" x14ac:dyDescent="0.25">
      <c r="A43" s="97">
        <f t="shared" si="2"/>
        <v>44174</v>
      </c>
      <c r="B43" s="100">
        <f t="shared" ca="1" si="3"/>
        <v>150000</v>
      </c>
      <c r="C43" s="55">
        <f t="shared" ca="1" si="12"/>
        <v>1141.8799999999994</v>
      </c>
      <c r="D43" s="55">
        <f t="shared" ca="1" si="12"/>
        <v>0</v>
      </c>
      <c r="E43" s="55">
        <f t="shared" ca="1" si="5"/>
        <v>0</v>
      </c>
      <c r="F43" s="55">
        <f t="shared" ca="1" si="6"/>
        <v>0</v>
      </c>
      <c r="G43" s="101">
        <f t="shared" ca="1" si="7"/>
        <v>151141.88</v>
      </c>
      <c r="H43" s="100">
        <f ca="1">ROUND($B43*VLOOKUP($A43,$A$1:$B$10,2,1)/(365+IF(MOD(YEAR($A43),4),0,1)*($A43-$A42)),2)-Первоначальный[[#This Row],[Проценты на просроченный платеж по ОД за период]]</f>
        <v>81.56</v>
      </c>
      <c r="I43" s="55">
        <f t="shared" ca="1" si="8"/>
        <v>0</v>
      </c>
      <c r="J43" s="55">
        <v>0</v>
      </c>
      <c r="K43" s="55">
        <f t="shared" ca="1" si="11"/>
        <v>6.1168032786885247</v>
      </c>
      <c r="L43" s="55">
        <v>0</v>
      </c>
      <c r="M43" s="113">
        <f>SUMIFS(График[Возврат основной суммы долга],График[Дата с учетом нерабочих дней],$A43)</f>
        <v>0</v>
      </c>
      <c r="N43" s="56">
        <f>SUMIFS(График[Возврат начисленных %],График[Дата с учетом нерабочих дней],$A43)</f>
        <v>1223.3599999999999</v>
      </c>
      <c r="O43" s="101">
        <v>0</v>
      </c>
      <c r="P43" s="100" cm="1">
        <f t="array" aca="1" ref="P43" ca="1">MAX(IF(AA42="Да",0,SUM(INDIRECT("M"&amp;(MAX(("Да"=AA$12:AA42)*ROW(AA$12:AA42)+1,ROW($P$12))&amp;":M"&amp;(ROW()))))-SUM(INDIRECT("W"&amp;(MAX(("Да"=AA$12:AA42)*ROW(AA$12:AA42)+1,ROW($P$12))&amp;":W"&amp;(ROW()))))),0)</f>
        <v>0</v>
      </c>
      <c r="Q43" s="99">
        <f ca="1">MAX(SUM($N$13:N43)-SUM($T$13:T43),0)</f>
        <v>1223.360655737705</v>
      </c>
      <c r="R43" s="99">
        <f ca="1">Первоначальный[[#This Row],[Просроченный платеж по ОД]]+Первоначальный[[#This Row],[Просроченный платеж по процентам]]</f>
        <v>1223.360655737705</v>
      </c>
      <c r="S43" s="120">
        <f ca="1">IF(Первоначальный[[#This Row],[Просроченный платеж]]&lt;1,0,S42+1)</f>
        <v>1</v>
      </c>
      <c r="T43" s="100" cm="1">
        <f t="array" aca="1" ref="T43" ca="1">IF(Первоначальный[[#This Row],[Итого остаток на начало периода]]&lt;1,0,
IF(
AND(TYPE(VLOOKUP(1,$Z$12:Z43,1,0))=16,Первоначальный[[#This Row],[Досрочное погашение (да/"")]]=""),0,
_xlfn.IFS(AND(S42=0,Первоначальный[[#This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платеж]]&lt;&gt;0),MIN(LOOKUP(,-1/($Z$12:Z43=1),$C$12:C43)+LOOKUP(,-1/($Z$12:Z43=1),$H$12:H43),Первоначальный[[#This Row],[Полученный платеж]]+Y42),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платеж]]+Y42,SUM(Первоначальный[[#This Row],[Остаток процентов на начало периода]],Первоначальный[[#This Row],[Проценты за период]])),
AND(S42=0,Первоначальный[[#This Row],[Дата платежа из графика]]=""),0,
AND(S42=0,Первоначальный[[#This Row],[Дата платежа из графика]]=1,MAX((0&lt;&gt;S$12:S42)*ROW(S$12:S42),ROW($S$12))&gt;=MAX((1=Z$12:Z42)*ROW(Z$12:Z42),ROW($T$12)),TYPE(VLOOKUP("Да",(INDIRECT("AA"&amp;(MAX((1=Z$12:Z42)*ROW(Z$12:Z42),ROW($T$12))&amp;":AA"&amp;(ROW()-1)))),1,0))=16),MIN(LOOKUP(,-1/($Z$12:Z43=1),$C$12:C43)+LOOKUP(,-1/($Z$12:Z43=1),$H$12:H43),Первоначальный[[#This Row],[Полученный платеж]]+Y42),
AND(S42=0,TYPE(VLOOKUP("Да",(INDIRECT("AA"&amp;(MAX((1=Z$12:Z42)*ROW(Z$12:Z42),ROW($T$12))&amp;":AA"&amp;(ROW()-1)))),1,0))&lt;&gt;16),MIN(LOOKUP(,-1/($Z$12:Z43=1),$C$12:C43)+LOOKUP(,-1/($Z$12:Z43=1),$H$12:H43)-IF(AA42="Да",0,SUM(INDIRECT("T"&amp;(MAX(("Да"=AA$12:AA42)*ROW(AA$12:AA42)+1,ROW($T$12))&amp;":T"&amp;(ROW()-1))))),Первоначальный[[#This Row],[Полученный платеж]]+Y42),
AND(S42=0,MAX((0&lt;&gt;N$12:N42)*ROW(N$12:N42),ROW($S$12))&gt;=MAX((1=Z$12:Z42)*ROW(Z$12:Z42),ROW($T$12))),MIN(LOOKUP(,-1/($Z$12:Z43=1),$C$12:C43)+LOOKUP(,-1/($Z$12:Z43=1),$H$12:H43)-IF(N42&lt;&gt;0,0,SUM(INDIRECT("T"&amp;(MAX((0&lt;&gt;N$12:N42)*ROW(N$12:N42)+1,ROW($T$12))&amp;":T"&amp;(ROW()-1))))),Первоначальный[[#This Row],[Полученный платеж]]+Y42),
AND(S42=0,Первоначальный[[#This Row],[Дата платежа из графика]]=1),MIN(LOOKUP(,-1/($Z$12:Z43=1),$C$12:C43)+LOOKUP(,-1/($Z$12:Z43=1),$H$12:H43)-IF(Z42=1,0,SUM(INDIRECT("T"&amp;(MAX((1=Z$12:Z42)*ROW(Z$12:Z42)+1,ROW($T$12))&amp;":T"&amp;(ROW()-1))))),Первоначальный[[#This Row],[Полученный платеж]]+Y42),
AND(Z42&gt;0,Первоначальный[[#This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платеж]]+Y42),
AND(S42&gt;0,MAX((0&lt;&gt;S$12:S42)*ROW(S$12:S42),ROW($S$12))&gt;=MAX((1=Z$12:Z42)*ROW(Z$12:Z42),ROW($T$12)),TYPE(VLOOKUP("Да",(INDIRECT("AA"&amp;(MAX((1=Z$12:Z42)*ROW(Z$12:Z42),ROW($T$12))&amp;":AA"&amp;(ROW()-1)))),1,0))=16),MIN(LOOKUP(,-1/($Z$12:Z43=1),$C$12:C43)+LOOKUP(,-1/($Z$12:Z43=1),$H$12:H43)-SUM(INDIRECT("T"&amp;(MAX((1=Z$12:Z42)*ROW(Z$12:Z42),ROW($T$12))&amp;":T"&amp;(ROW()-1)))),Первоначальный[[#This Row],[Полученный платеж]]+Y42),
S42&gt;0,MIN(LOOKUP(,-1/($Z$12:Z43=1),$C$12:C43)+LOOKUP(,-1/($Z$12:Z43=1),$H$12:H43)-IF(Z42=1,0,SUM(INDIRECT("T"&amp;(MAX((1=Z$12:Z42)*ROW(Z$12:Z42)+1,ROW($T$12))&amp;":T"&amp;(ROW()-1))))),Первоначальный[[#This Row],[Полученный платеж]]+Y42)
)
)
)</f>
        <v>0</v>
      </c>
      <c r="U4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платеж]]+Y42-Первоначальный[[#This Row],[Полученный платёж по процентам]])</f>
        <v>0</v>
      </c>
      <c r="V43" s="55">
        <f t="shared" ca="1" si="0"/>
        <v>0</v>
      </c>
      <c r="W43" s="55" cm="1">
        <f t="array" aca="1" ref="W43" ca="1">IF(Первоначальный[[#This Row],[Итого остаток на начало периода]]&lt;1,0,
_xlfn.IFS(
AND(TYPE(VLOOKUP(1,$Z$12:Z43,1,0))=16,Первоначальный[[#This Row],[Досрочное погашение (да/"")]]=""),0,
AND(S42=0,Первоначальный[[#This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комиссиям]]),VLOOKUP(LOOKUP(,-1/($Z$12:Z43=1),$A$12:A43),График[[Срок конец]:[Возврат основной суммы долга]],3,0)),
AND(S42=0,Первоначальный[[#This Row],[Дата платежа из графика]]="",Первоначальный[[#This Row],[Досрочное погашение (да/"")]]&lt;&gt;"Да"),0,
AND(S42=0,Первоначальный[[#This Row],[Досрочное погашение (да/"")]]=""),MIN(Первоначальный[[#This Row],[Полученный платеж]]+Y42-SUM(Первоначальный[[#This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комиссиям]]),VLOOKUP(LOOKUP(,-1/($Z$12:Z43=1),$A$12:A43),График[[Срок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S42&gt;0,MIN(Первоначальный[[#This Row],[Полученный платеж]]+Y42-SUM(Первоначальный[[#This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комиссиям]]),SUM(INDIRECT("M"&amp;(MAX((1=S$12:S42)*ROW(S$12:S42),ROW($W$12))&amp;":M"&amp;(ROW()))))-SUM(INDIRECT("W"&amp;(MAX((1=S$12:S42)*ROW(S$12:S42),ROW($W$12))&amp;":W"&amp;(ROW()-1)))))
)
)</f>
        <v>0</v>
      </c>
      <c r="X43" s="55">
        <f t="shared" ca="1" si="1"/>
        <v>0</v>
      </c>
      <c r="Y43" s="101">
        <f t="shared" ca="1" si="9"/>
        <v>0</v>
      </c>
      <c r="Z43" s="133">
        <f>IF(TYPE((VLOOKUP(Первоначальный[[#This Row],[Дата платежа]],График[Срок конец],1,0)))=16,"",1)</f>
        <v>1</v>
      </c>
      <c r="AA43" s="57"/>
      <c r="AB43" s="134"/>
      <c r="AC4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150000</v>
      </c>
      <c r="AD4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1223.4399999999994</v>
      </c>
      <c r="AE4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4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6.1168032786885247</v>
      </c>
      <c r="AH43" s="55"/>
      <c r="AI43" s="55"/>
      <c r="AJ43" s="55"/>
      <c r="AK43" s="101">
        <f t="shared" ca="1" si="10"/>
        <v>151229.55680327868</v>
      </c>
      <c r="AL43" s="129">
        <f t="array" ref="AL43">MAX((УслРестрактов[Характеристика]="Дата реструктуризации")*(УслРестрактов[Значение]=Первоначальный!$A43),0)</f>
        <v>0</v>
      </c>
    </row>
    <row r="44" spans="1:38" x14ac:dyDescent="0.25">
      <c r="A44" s="97">
        <f t="shared" si="2"/>
        <v>44175</v>
      </c>
      <c r="B44" s="100">
        <f t="shared" ca="1" si="3"/>
        <v>150000</v>
      </c>
      <c r="C44" s="55">
        <f t="shared" ca="1" si="12"/>
        <v>1223.4399999999994</v>
      </c>
      <c r="D44" s="55">
        <f t="shared" ca="1" si="12"/>
        <v>0</v>
      </c>
      <c r="E44" s="55">
        <f t="shared" ca="1" si="5"/>
        <v>0</v>
      </c>
      <c r="F44" s="55">
        <f t="shared" ca="1" si="6"/>
        <v>6.1168032786885247</v>
      </c>
      <c r="G44" s="101">
        <f t="shared" ca="1" si="7"/>
        <v>151229.55680327868</v>
      </c>
      <c r="H44" s="100">
        <f ca="1">ROUND($B44*VLOOKUP($A44,$A$1:$B$10,2,1)/(365+IF(MOD(YEAR($A44),4),0,1)*($A44-$A43)),2)-Первоначальный[[#This Row],[Проценты на просроченный платеж по ОД за период]]</f>
        <v>81.56</v>
      </c>
      <c r="I44" s="55">
        <f t="shared" ca="1" si="8"/>
        <v>0</v>
      </c>
      <c r="J44" s="55">
        <v>0</v>
      </c>
      <c r="K44" s="55">
        <f t="shared" ca="1" si="11"/>
        <v>6.1168032786885247</v>
      </c>
      <c r="L44" s="55">
        <v>0</v>
      </c>
      <c r="M44" s="113">
        <f>SUMIFS(График[Возврат основной суммы долга],График[Дата с учетом нерабочих дней],$A44)</f>
        <v>0</v>
      </c>
      <c r="N44" s="56">
        <f>SUMIFS(График[Возврат начисленных %],График[Дата с учетом нерабочих дней],$A44)</f>
        <v>0</v>
      </c>
      <c r="O44" s="101">
        <v>0</v>
      </c>
      <c r="P44" s="100" cm="1">
        <f t="array" aca="1" ref="P44" ca="1">MAX(IF(AA43="Да",0,SUM(INDIRECT("M"&amp;(MAX(("Да"=AA$12:AA43)*ROW(AA$12:AA43)+1,ROW($P$12))&amp;":M"&amp;(ROW()))))-SUM(INDIRECT("W"&amp;(MAX(("Да"=AA$12:AA43)*ROW(AA$12:AA43)+1,ROW($P$12))&amp;":W"&amp;(ROW()))))),0)</f>
        <v>0</v>
      </c>
      <c r="Q44" s="99">
        <f ca="1">MAX(SUM($N$13:N44)-SUM($T$13:T44),0)</f>
        <v>1223.360655737705</v>
      </c>
      <c r="R44" s="99">
        <f ca="1">Первоначальный[[#This Row],[Просроченный платеж по ОД]]+Первоначальный[[#This Row],[Просроченный платеж по процентам]]</f>
        <v>1223.360655737705</v>
      </c>
      <c r="S44" s="120">
        <f ca="1">IF(Первоначальный[[#This Row],[Просроченный платеж]]&lt;1,0,S43+1)</f>
        <v>2</v>
      </c>
      <c r="T44" s="100" cm="1">
        <f t="array" aca="1" ref="T44" ca="1">IF(Первоначальный[[#This Row],[Итого остаток на начало периода]]&lt;1,0,
IF(
AND(TYPE(VLOOKUP(1,$Z$12:Z44,1,0))=16,Первоначальный[[#This Row],[Досрочное погашение (да/"")]]=""),0,
_xlfn.IFS(AND(S43=0,Первоначальный[[#This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платеж]]&lt;&gt;0),MIN(LOOKUP(,-1/($Z$12:Z44=1),$C$12:C44)+LOOKUP(,-1/($Z$12:Z44=1),$H$12:H44),Первоначальный[[#This Row],[Полученный платеж]]+Y43),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платеж]]+Y43,SUM(Первоначальный[[#This Row],[Остаток процентов на начало периода]],Первоначальный[[#This Row],[Проценты за период]])),
AND(S43=0,Первоначальный[[#This Row],[Дата платежа из графика]]=""),0,
AND(S43=0,Первоначальный[[#This Row],[Дата платежа из графика]]=1,MAX((0&lt;&gt;S$12:S43)*ROW(S$12:S43),ROW($S$12))&gt;=MAX((1=Z$12:Z43)*ROW(Z$12:Z43),ROW($T$12)),TYPE(VLOOKUP("Да",(INDIRECT("AA"&amp;(MAX((1=Z$12:Z43)*ROW(Z$12:Z43),ROW($T$12))&amp;":AA"&amp;(ROW()-1)))),1,0))=16),MIN(LOOKUP(,-1/($Z$12:Z44=1),$C$12:C44)+LOOKUP(,-1/($Z$12:Z44=1),$H$12:H44),Первоначальный[[#This Row],[Полученный платеж]]+Y43),
AND(S43=0,TYPE(VLOOKUP("Да",(INDIRECT("AA"&amp;(MAX((1=Z$12:Z43)*ROW(Z$12:Z43),ROW($T$12))&amp;":AA"&amp;(ROW()-1)))),1,0))&lt;&gt;16),MIN(LOOKUP(,-1/($Z$12:Z44=1),$C$12:C44)+LOOKUP(,-1/($Z$12:Z44=1),$H$12:H44)-IF(AA43="Да",0,SUM(INDIRECT("T"&amp;(MAX(("Да"=AA$12:AA43)*ROW(AA$12:AA43)+1,ROW($T$12))&amp;":T"&amp;(ROW()-1))))),Первоначальный[[#This Row],[Полученный платеж]]+Y43),
AND(S43=0,MAX((0&lt;&gt;N$12:N43)*ROW(N$12:N43),ROW($S$12))&gt;=MAX((1=Z$12:Z43)*ROW(Z$12:Z43),ROW($T$12))),MIN(LOOKUP(,-1/($Z$12:Z44=1),$C$12:C44)+LOOKUP(,-1/($Z$12:Z44=1),$H$12:H44)-IF(N43&lt;&gt;0,0,SUM(INDIRECT("T"&amp;(MAX((0&lt;&gt;N$12:N43)*ROW(N$12:N43)+1,ROW($T$12))&amp;":T"&amp;(ROW()-1))))),Первоначальный[[#This Row],[Полученный платеж]]+Y43),
AND(S43=0,Первоначальный[[#This Row],[Дата платежа из графика]]=1),MIN(LOOKUP(,-1/($Z$12:Z44=1),$C$12:C44)+LOOKUP(,-1/($Z$12:Z44=1),$H$12:H44)-IF(Z43=1,0,SUM(INDIRECT("T"&amp;(MAX((1=Z$12:Z43)*ROW(Z$12:Z43)+1,ROW($T$12))&amp;":T"&amp;(ROW()-1))))),Первоначальный[[#This Row],[Полученный платеж]]+Y43),
AND(Z43&gt;0,Первоначальный[[#This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платеж]]+Y43),
AND(S43&gt;0,MAX((0&lt;&gt;S$12:S43)*ROW(S$12:S43),ROW($S$12))&gt;=MAX((1=Z$12:Z43)*ROW(Z$12:Z43),ROW($T$12)),TYPE(VLOOKUP("Да",(INDIRECT("AA"&amp;(MAX((1=Z$12:Z43)*ROW(Z$12:Z43),ROW($T$12))&amp;":AA"&amp;(ROW()-1)))),1,0))=16),MIN(LOOKUP(,-1/($Z$12:Z44=1),$C$12:C44)+LOOKUP(,-1/($Z$12:Z44=1),$H$12:H44)-SUM(INDIRECT("T"&amp;(MAX((1=Z$12:Z43)*ROW(Z$12:Z43),ROW($T$12))&amp;":T"&amp;(ROW()-1)))),Первоначальный[[#This Row],[Полученный платеж]]+Y43),
S43&gt;0,MIN(LOOKUP(,-1/($Z$12:Z44=1),$C$12:C44)+LOOKUP(,-1/($Z$12:Z44=1),$H$12:H44)-IF(Z43=1,0,SUM(INDIRECT("T"&amp;(MAX((1=Z$12:Z43)*ROW(Z$12:Z43)+1,ROW($T$12))&amp;":T"&amp;(ROW()-1))))),Первоначальный[[#This Row],[Полученный платеж]]+Y43)
)
)
)</f>
        <v>0</v>
      </c>
      <c r="U4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платеж]]+Y43-Первоначальный[[#This Row],[Полученный платёж по процентам]])</f>
        <v>0</v>
      </c>
      <c r="V44" s="55">
        <f t="shared" ca="1" si="0"/>
        <v>0</v>
      </c>
      <c r="W44" s="55" cm="1">
        <f t="array" aca="1" ref="W44" ca="1">IF(Первоначальный[[#This Row],[Итого остаток на начало периода]]&lt;1,0,
_xlfn.IFS(
AND(TYPE(VLOOKUP(1,$Z$12:Z44,1,0))=16,Первоначальный[[#This Row],[Досрочное погашение (да/"")]]=""),0,
AND(S43=0,Первоначальный[[#This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комиссиям]]),VLOOKUP(LOOKUP(,-1/($Z$12:Z44=1),$A$12:A44),График[[Срок конец]:[Возврат основной суммы долга]],3,0)),
AND(S43=0,Первоначальный[[#This Row],[Дата платежа из графика]]="",Первоначальный[[#This Row],[Досрочное погашение (да/"")]]&lt;&gt;"Да"),0,
AND(S43=0,Первоначальный[[#This Row],[Досрочное погашение (да/"")]]=""),MIN(Первоначальный[[#This Row],[Полученный платеж]]+Y43-SUM(Первоначальный[[#This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комиссиям]]),VLOOKUP(LOOKUP(,-1/($Z$12:Z44=1),$A$12:A44),График[[Срок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S43&gt;0,MIN(Первоначальный[[#This Row],[Полученный платеж]]+Y43-SUM(Первоначальный[[#This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комиссиям]]),SUM(INDIRECT("M"&amp;(MAX((1=S$12:S43)*ROW(S$12:S43),ROW($W$12))&amp;":M"&amp;(ROW()))))-SUM(INDIRECT("W"&amp;(MAX((1=S$12:S43)*ROW(S$12:S43),ROW($W$12))&amp;":W"&amp;(ROW()-1)))))
)
)</f>
        <v>0</v>
      </c>
      <c r="X44" s="55">
        <f t="shared" ca="1" si="1"/>
        <v>0</v>
      </c>
      <c r="Y44" s="101">
        <f t="shared" ca="1" si="9"/>
        <v>0</v>
      </c>
      <c r="Z44" s="133" t="str">
        <f>IF(TYPE((VLOOKUP(Первоначальный[[#This Row],[Дата платежа]],График[Срок конец],1,0)))=16,"",1)</f>
        <v/>
      </c>
      <c r="AA44" s="57"/>
      <c r="AB44" s="134"/>
      <c r="AC4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150000</v>
      </c>
      <c r="AD4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1304.9999999999993</v>
      </c>
      <c r="AE4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4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12.233606557377049</v>
      </c>
      <c r="AH44" s="55"/>
      <c r="AI44" s="55"/>
      <c r="AJ44" s="55"/>
      <c r="AK44" s="101">
        <f t="shared" ca="1" si="10"/>
        <v>151317.23360655739</v>
      </c>
      <c r="AL44" s="129">
        <f t="array" ref="AL44">MAX((УслРестрактов[Характеристика]="Дата реструктуризации")*(УслРестрактов[Значение]=Первоначальный!$A44),0)</f>
        <v>0</v>
      </c>
    </row>
    <row r="45" spans="1:38" x14ac:dyDescent="0.25">
      <c r="A45" s="97">
        <f t="shared" si="2"/>
        <v>44176</v>
      </c>
      <c r="B45" s="100">
        <f t="shared" ca="1" si="3"/>
        <v>150000</v>
      </c>
      <c r="C45" s="55">
        <f t="shared" ca="1" si="12"/>
        <v>1304.9999999999993</v>
      </c>
      <c r="D45" s="55">
        <f t="shared" ca="1" si="12"/>
        <v>0</v>
      </c>
      <c r="E45" s="55">
        <f t="shared" ca="1" si="5"/>
        <v>0</v>
      </c>
      <c r="F45" s="55">
        <f t="shared" ca="1" si="6"/>
        <v>12.233606557377049</v>
      </c>
      <c r="G45" s="101">
        <f t="shared" ca="1" si="7"/>
        <v>151317.23360655739</v>
      </c>
      <c r="H45" s="100">
        <f ca="1">ROUND($B45*VLOOKUP($A45,$A$1:$B$10,2,1)/(365+IF(MOD(YEAR($A45),4),0,1)*($A45-$A44)),2)-Первоначальный[[#This Row],[Проценты на просроченный платеж по ОД за период]]</f>
        <v>81.56</v>
      </c>
      <c r="I45" s="55">
        <f t="shared" ca="1" si="8"/>
        <v>0</v>
      </c>
      <c r="J45" s="55">
        <v>0</v>
      </c>
      <c r="K45" s="55">
        <f t="shared" ca="1" si="11"/>
        <v>6.1168032786885247</v>
      </c>
      <c r="L45" s="55">
        <v>0</v>
      </c>
      <c r="M45" s="113">
        <f>SUMIFS(График[Возврат основной суммы долга],График[Дата с учетом нерабочих дней],$A45)</f>
        <v>0</v>
      </c>
      <c r="N45" s="56">
        <f>SUMIFS(График[Возврат начисленных %],График[Дата с учетом нерабочих дней],$A45)</f>
        <v>0</v>
      </c>
      <c r="O45" s="101">
        <v>0</v>
      </c>
      <c r="P45" s="100" cm="1">
        <f t="array" aca="1" ref="P45" ca="1">MAX(IF(AA44="Да",0,SUM(INDIRECT("M"&amp;(MAX(("Да"=AA$12:AA44)*ROW(AA$12:AA44)+1,ROW($P$12))&amp;":M"&amp;(ROW()))))-SUM(INDIRECT("W"&amp;(MAX(("Да"=AA$12:AA44)*ROW(AA$12:AA44)+1,ROW($P$12))&amp;":W"&amp;(ROW()))))),0)</f>
        <v>0</v>
      </c>
      <c r="Q45" s="99">
        <f ca="1">MAX(SUM($N$13:N45)-SUM($T$13:T45),0)</f>
        <v>1223.360655737705</v>
      </c>
      <c r="R45" s="99">
        <f ca="1">Первоначальный[[#This Row],[Просроченный платеж по ОД]]+Первоначальный[[#This Row],[Просроченный платеж по процентам]]</f>
        <v>1223.360655737705</v>
      </c>
      <c r="S45" s="120">
        <f ca="1">IF(Первоначальный[[#This Row],[Просроченный платеж]]&lt;1,0,S44+1)</f>
        <v>3</v>
      </c>
      <c r="T45" s="100" cm="1">
        <f t="array" aca="1" ref="T45" ca="1">IF(Первоначальный[[#This Row],[Итого остаток на начало периода]]&lt;1,0,
IF(
AND(TYPE(VLOOKUP(1,$Z$12:Z45,1,0))=16,Первоначальный[[#This Row],[Досрочное погашение (да/"")]]=""),0,
_xlfn.IFS(AND(S44=0,Первоначальный[[#This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платеж]]&lt;&gt;0),MIN(LOOKUP(,-1/($Z$12:Z45=1),$C$12:C45)+LOOKUP(,-1/($Z$12:Z45=1),$H$12:H45),Первоначальный[[#This Row],[Полученный платеж]]+Y44),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платеж]]+Y44,SUM(Первоначальный[[#This Row],[Остаток процентов на начало периода]],Первоначальный[[#This Row],[Проценты за период]])),
AND(S44=0,Первоначальный[[#This Row],[Дата платежа из графика]]=""),0,
AND(S44=0,Первоначальный[[#This Row],[Дата платежа из графика]]=1,MAX((0&lt;&gt;S$12:S44)*ROW(S$12:S44),ROW($S$12))&gt;=MAX((1=Z$12:Z44)*ROW(Z$12:Z44),ROW($T$12)),TYPE(VLOOKUP("Да",(INDIRECT("AA"&amp;(MAX((1=Z$12:Z44)*ROW(Z$12:Z44),ROW($T$12))&amp;":AA"&amp;(ROW()-1)))),1,0))=16),MIN(LOOKUP(,-1/($Z$12:Z45=1),$C$12:C45)+LOOKUP(,-1/($Z$12:Z45=1),$H$12:H45),Первоначальный[[#This Row],[Полученный платеж]]+Y44),
AND(S44=0,TYPE(VLOOKUP("Да",(INDIRECT("AA"&amp;(MAX((1=Z$12:Z44)*ROW(Z$12:Z44),ROW($T$12))&amp;":AA"&amp;(ROW()-1)))),1,0))&lt;&gt;16),MIN(LOOKUP(,-1/($Z$12:Z45=1),$C$12:C45)+LOOKUP(,-1/($Z$12:Z45=1),$H$12:H45)-IF(AA44="Да",0,SUM(INDIRECT("T"&amp;(MAX(("Да"=AA$12:AA44)*ROW(AA$12:AA44)+1,ROW($T$12))&amp;":T"&amp;(ROW()-1))))),Первоначальный[[#This Row],[Полученный платеж]]+Y44),
AND(S44=0,MAX((0&lt;&gt;N$12:N44)*ROW(N$12:N44),ROW($S$12))&gt;=MAX((1=Z$12:Z44)*ROW(Z$12:Z44),ROW($T$12))),MIN(LOOKUP(,-1/($Z$12:Z45=1),$C$12:C45)+LOOKUP(,-1/($Z$12:Z45=1),$H$12:H45)-IF(N44&lt;&gt;0,0,SUM(INDIRECT("T"&amp;(MAX((0&lt;&gt;N$12:N44)*ROW(N$12:N44)+1,ROW($T$12))&amp;":T"&amp;(ROW()-1))))),Первоначальный[[#This Row],[Полученный платеж]]+Y44),
AND(S44=0,Первоначальный[[#This Row],[Дата платежа из графика]]=1),MIN(LOOKUP(,-1/($Z$12:Z45=1),$C$12:C45)+LOOKUP(,-1/($Z$12:Z45=1),$H$12:H45)-IF(Z44=1,0,SUM(INDIRECT("T"&amp;(MAX((1=Z$12:Z44)*ROW(Z$12:Z44)+1,ROW($T$12))&amp;":T"&amp;(ROW()-1))))),Первоначальный[[#This Row],[Полученный платеж]]+Y44),
AND(Z44&gt;0,Первоначальный[[#This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платеж]]+Y44),
AND(S44&gt;0,MAX((0&lt;&gt;S$12:S44)*ROW(S$12:S44),ROW($S$12))&gt;=MAX((1=Z$12:Z44)*ROW(Z$12:Z44),ROW($T$12)),TYPE(VLOOKUP("Да",(INDIRECT("AA"&amp;(MAX((1=Z$12:Z44)*ROW(Z$12:Z44),ROW($T$12))&amp;":AA"&amp;(ROW()-1)))),1,0))=16),MIN(LOOKUP(,-1/($Z$12:Z45=1),$C$12:C45)+LOOKUP(,-1/($Z$12:Z45=1),$H$12:H45)-SUM(INDIRECT("T"&amp;(MAX((1=Z$12:Z44)*ROW(Z$12:Z44),ROW($T$12))&amp;":T"&amp;(ROW()-1)))),Первоначальный[[#This Row],[Полученный платеж]]+Y44),
S44&gt;0,MIN(LOOKUP(,-1/($Z$12:Z45=1),$C$12:C45)+LOOKUP(,-1/($Z$12:Z45=1),$H$12:H45)-IF(Z44=1,0,SUM(INDIRECT("T"&amp;(MAX((1=Z$12:Z44)*ROW(Z$12:Z44)+1,ROW($T$12))&amp;":T"&amp;(ROW()-1))))),Первоначальный[[#This Row],[Полученный платеж]]+Y44)
)
)
)</f>
        <v>0</v>
      </c>
      <c r="U4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платеж]]+Y44-Первоначальный[[#This Row],[Полученный платёж по процентам]])</f>
        <v>0</v>
      </c>
      <c r="V45" s="55">
        <f t="shared" ca="1" si="0"/>
        <v>0</v>
      </c>
      <c r="W45" s="55" cm="1">
        <f t="array" aca="1" ref="W45" ca="1">IF(Первоначальный[[#This Row],[Итого остаток на начало периода]]&lt;1,0,
_xlfn.IFS(
AND(TYPE(VLOOKUP(1,$Z$12:Z45,1,0))=16,Первоначальный[[#This Row],[Досрочное погашение (да/"")]]=""),0,
AND(S44=0,Первоначальный[[#This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комиссиям]]),VLOOKUP(LOOKUP(,-1/($Z$12:Z45=1),$A$12:A45),График[[Срок конец]:[Возврат основной суммы долга]],3,0)),
AND(S44=0,Первоначальный[[#This Row],[Дата платежа из графика]]="",Первоначальный[[#This Row],[Досрочное погашение (да/"")]]&lt;&gt;"Да"),0,
AND(S44=0,Первоначальный[[#This Row],[Досрочное погашение (да/"")]]=""),MIN(Первоначальный[[#This Row],[Полученный платеж]]+Y44-SUM(Первоначальный[[#This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комиссиям]]),VLOOKUP(LOOKUP(,-1/($Z$12:Z45=1),$A$12:A45),График[[Срок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S44&gt;0,MIN(Первоначальный[[#This Row],[Полученный платеж]]+Y44-SUM(Первоначальный[[#This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комиссиям]]),SUM(INDIRECT("M"&amp;(MAX((1=S$12:S44)*ROW(S$12:S44),ROW($W$12))&amp;":M"&amp;(ROW()))))-SUM(INDIRECT("W"&amp;(MAX((1=S$12:S44)*ROW(S$12:S44),ROW($W$12))&amp;":W"&amp;(ROW()-1)))))
)
)</f>
        <v>0</v>
      </c>
      <c r="X45" s="55">
        <f t="shared" ca="1" si="1"/>
        <v>0</v>
      </c>
      <c r="Y45" s="101">
        <f t="shared" ca="1" si="9"/>
        <v>0</v>
      </c>
      <c r="Z45" s="133" t="str">
        <f>IF(TYPE((VLOOKUP(Первоначальный[[#This Row],[Дата платежа]],График[Срок конец],1,0)))=16,"",1)</f>
        <v/>
      </c>
      <c r="AA45" s="57"/>
      <c r="AB45" s="134"/>
      <c r="AC4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150000</v>
      </c>
      <c r="AD4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1386.5599999999993</v>
      </c>
      <c r="AE4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4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18.350409836065573</v>
      </c>
      <c r="AH45" s="55"/>
      <c r="AI45" s="55"/>
      <c r="AJ45" s="55"/>
      <c r="AK45" s="101">
        <f t="shared" ca="1" si="10"/>
        <v>151404.91040983607</v>
      </c>
      <c r="AL45" s="129">
        <f t="array" ref="AL45">MAX((УслРестрактов[Характеристика]="Дата реструктуризации")*(УслРестрактов[Значение]=Первоначальный!$A45),0)</f>
        <v>0</v>
      </c>
    </row>
    <row r="46" spans="1:38" x14ac:dyDescent="0.25">
      <c r="A46" s="97">
        <f t="shared" si="2"/>
        <v>44177</v>
      </c>
      <c r="B46" s="100">
        <f t="shared" ca="1" si="3"/>
        <v>150000</v>
      </c>
      <c r="C46" s="55">
        <f t="shared" ca="1" si="12"/>
        <v>1386.5599999999993</v>
      </c>
      <c r="D46" s="55">
        <f t="shared" ca="1" si="12"/>
        <v>0</v>
      </c>
      <c r="E46" s="55">
        <f t="shared" ca="1" si="5"/>
        <v>0</v>
      </c>
      <c r="F46" s="55">
        <f t="shared" ca="1" si="6"/>
        <v>18.350409836065573</v>
      </c>
      <c r="G46" s="101">
        <f t="shared" ca="1" si="7"/>
        <v>151404.91040983607</v>
      </c>
      <c r="H46" s="100">
        <f ca="1">ROUND($B46*VLOOKUP($A46,$A$1:$B$10,2,1)/(365+IF(MOD(YEAR($A46),4),0,1)*($A46-$A45)),2)-Первоначальный[[#This Row],[Проценты на просроченный платеж по ОД за период]]</f>
        <v>81.56</v>
      </c>
      <c r="I46" s="55">
        <f t="shared" ca="1" si="8"/>
        <v>0</v>
      </c>
      <c r="J46" s="55">
        <v>0</v>
      </c>
      <c r="K46" s="55">
        <f t="shared" ca="1" si="11"/>
        <v>6.1168032786885247</v>
      </c>
      <c r="L46" s="55">
        <v>0</v>
      </c>
      <c r="M46" s="113">
        <f>SUMIFS(График[Возврат основной суммы долга],График[Дата с учетом нерабочих дней],$A46)</f>
        <v>0</v>
      </c>
      <c r="N46" s="56">
        <f>SUMIFS(График[Возврат начисленных %],График[Дата с учетом нерабочих дней],$A46)</f>
        <v>0</v>
      </c>
      <c r="O46" s="101">
        <v>0</v>
      </c>
      <c r="P46" s="100" cm="1">
        <f t="array" aca="1" ref="P46" ca="1">MAX(IF(AA45="Да",0,SUM(INDIRECT("M"&amp;(MAX(("Да"=AA$12:AA45)*ROW(AA$12:AA45)+1,ROW($P$12))&amp;":M"&amp;(ROW()))))-SUM(INDIRECT("W"&amp;(MAX(("Да"=AA$12:AA45)*ROW(AA$12:AA45)+1,ROW($P$12))&amp;":W"&amp;(ROW()))))),0)</f>
        <v>0</v>
      </c>
      <c r="Q46" s="99">
        <f ca="1">MAX(SUM($N$13:N46)-SUM($T$13:T46),0)</f>
        <v>1223.360655737705</v>
      </c>
      <c r="R46" s="99">
        <f ca="1">Первоначальный[[#This Row],[Просроченный платеж по ОД]]+Первоначальный[[#This Row],[Просроченный платеж по процентам]]</f>
        <v>1223.360655737705</v>
      </c>
      <c r="S46" s="120">
        <f ca="1">IF(Первоначальный[[#This Row],[Просроченный платеж]]&lt;1,0,S45+1)</f>
        <v>4</v>
      </c>
      <c r="T46" s="100" cm="1">
        <f t="array" aca="1" ref="T46" ca="1">IF(Первоначальный[[#This Row],[Итого остаток на начало периода]]&lt;1,0,
IF(
AND(TYPE(VLOOKUP(1,$Z$12:Z46,1,0))=16,Первоначальный[[#This Row],[Досрочное погашение (да/"")]]=""),0,
_xlfn.IFS(AND(S45=0,Первоначальный[[#This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платеж]]&lt;&gt;0),MIN(LOOKUP(,-1/($Z$12:Z46=1),$C$12:C46)+LOOKUP(,-1/($Z$12:Z46=1),$H$12:H46),Первоначальный[[#This Row],[Полученный платеж]]+Y45),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платеж]]+Y45,SUM(Первоначальный[[#This Row],[Остаток процентов на начало периода]],Первоначальный[[#This Row],[Проценты за период]])),
AND(S45=0,Первоначальный[[#This Row],[Дата платежа из графика]]=""),0,
AND(S45=0,Первоначальный[[#This Row],[Дата платежа из графика]]=1,MAX((0&lt;&gt;S$12:S45)*ROW(S$12:S45),ROW($S$12))&gt;=MAX((1=Z$12:Z45)*ROW(Z$12:Z45),ROW($T$12)),TYPE(VLOOKUP("Да",(INDIRECT("AA"&amp;(MAX((1=Z$12:Z45)*ROW(Z$12:Z45),ROW($T$12))&amp;":AA"&amp;(ROW()-1)))),1,0))=16),MIN(LOOKUP(,-1/($Z$12:Z46=1),$C$12:C46)+LOOKUP(,-1/($Z$12:Z46=1),$H$12:H46),Первоначальный[[#This Row],[Полученный платеж]]+Y45),
AND(S45=0,TYPE(VLOOKUP("Да",(INDIRECT("AA"&amp;(MAX((1=Z$12:Z45)*ROW(Z$12:Z45),ROW($T$12))&amp;":AA"&amp;(ROW()-1)))),1,0))&lt;&gt;16),MIN(LOOKUP(,-1/($Z$12:Z46=1),$C$12:C46)+LOOKUP(,-1/($Z$12:Z46=1),$H$12:H46)-IF(AA45="Да",0,SUM(INDIRECT("T"&amp;(MAX(("Да"=AA$12:AA45)*ROW(AA$12:AA45)+1,ROW($T$12))&amp;":T"&amp;(ROW()-1))))),Первоначальный[[#This Row],[Полученный платеж]]+Y45),
AND(S45=0,MAX((0&lt;&gt;N$12:N45)*ROW(N$12:N45),ROW($S$12))&gt;=MAX((1=Z$12:Z45)*ROW(Z$12:Z45),ROW($T$12))),MIN(LOOKUP(,-1/($Z$12:Z46=1),$C$12:C46)+LOOKUP(,-1/($Z$12:Z46=1),$H$12:H46)-IF(N45&lt;&gt;0,0,SUM(INDIRECT("T"&amp;(MAX((0&lt;&gt;N$12:N45)*ROW(N$12:N45)+1,ROW($T$12))&amp;":T"&amp;(ROW()-1))))),Первоначальный[[#This Row],[Полученный платеж]]+Y45),
AND(S45=0,Первоначальный[[#This Row],[Дата платежа из графика]]=1),MIN(LOOKUP(,-1/($Z$12:Z46=1),$C$12:C46)+LOOKUP(,-1/($Z$12:Z46=1),$H$12:H46)-IF(Z45=1,0,SUM(INDIRECT("T"&amp;(MAX((1=Z$12:Z45)*ROW(Z$12:Z45)+1,ROW($T$12))&amp;":T"&amp;(ROW()-1))))),Первоначальный[[#This Row],[Полученный платеж]]+Y45),
AND(Z45&gt;0,Первоначальный[[#This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платеж]]+Y45),
AND(S45&gt;0,MAX((0&lt;&gt;S$12:S45)*ROW(S$12:S45),ROW($S$12))&gt;=MAX((1=Z$12:Z45)*ROW(Z$12:Z45),ROW($T$12)),TYPE(VLOOKUP("Да",(INDIRECT("AA"&amp;(MAX((1=Z$12:Z45)*ROW(Z$12:Z45),ROW($T$12))&amp;":AA"&amp;(ROW()-1)))),1,0))=16),MIN(LOOKUP(,-1/($Z$12:Z46=1),$C$12:C46)+LOOKUP(,-1/($Z$12:Z46=1),$H$12:H46)-SUM(INDIRECT("T"&amp;(MAX((1=Z$12:Z45)*ROW(Z$12:Z45),ROW($T$12))&amp;":T"&amp;(ROW()-1)))),Первоначальный[[#This Row],[Полученный платеж]]+Y45),
S45&gt;0,MIN(LOOKUP(,-1/($Z$12:Z46=1),$C$12:C46)+LOOKUP(,-1/($Z$12:Z46=1),$H$12:H46)-IF(Z45=1,0,SUM(INDIRECT("T"&amp;(MAX((1=Z$12:Z45)*ROW(Z$12:Z45)+1,ROW($T$12))&amp;":T"&amp;(ROW()-1))))),Первоначальный[[#This Row],[Полученный платеж]]+Y45)
)
)
)</f>
        <v>0</v>
      </c>
      <c r="U4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платеж]]+Y45-Первоначальный[[#This Row],[Полученный платёж по процентам]])</f>
        <v>0</v>
      </c>
      <c r="V46" s="55">
        <f t="shared" ca="1" si="0"/>
        <v>0</v>
      </c>
      <c r="W46" s="55" cm="1">
        <f t="array" aca="1" ref="W46" ca="1">IF(Первоначальный[[#This Row],[Итого остаток на начало периода]]&lt;1,0,
_xlfn.IFS(
AND(TYPE(VLOOKUP(1,$Z$12:Z46,1,0))=16,Первоначальный[[#This Row],[Досрочное погашение (да/"")]]=""),0,
AND(S45=0,Первоначальный[[#This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комиссиям]]),VLOOKUP(LOOKUP(,-1/($Z$12:Z46=1),$A$12:A46),График[[Срок конец]:[Возврат основной суммы долга]],3,0)),
AND(S45=0,Первоначальный[[#This Row],[Дата платежа из графика]]="",Первоначальный[[#This Row],[Досрочное погашение (да/"")]]&lt;&gt;"Да"),0,
AND(S45=0,Первоначальный[[#This Row],[Досрочное погашение (да/"")]]=""),MIN(Первоначальный[[#This Row],[Полученный платеж]]+Y45-SUM(Первоначальный[[#This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комиссиям]]),VLOOKUP(LOOKUP(,-1/($Z$12:Z46=1),$A$12:A46),График[[Срок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S45&gt;0,MIN(Первоначальный[[#This Row],[Полученный платеж]]+Y45-SUM(Первоначальный[[#This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комиссиям]]),SUM(INDIRECT("M"&amp;(MAX((1=S$12:S45)*ROW(S$12:S45),ROW($W$12))&amp;":M"&amp;(ROW()))))-SUM(INDIRECT("W"&amp;(MAX((1=S$12:S45)*ROW(S$12:S45),ROW($W$12))&amp;":W"&amp;(ROW()-1)))))
)
)</f>
        <v>0</v>
      </c>
      <c r="X46" s="55">
        <f t="shared" ca="1" si="1"/>
        <v>0</v>
      </c>
      <c r="Y46" s="101">
        <f t="shared" ca="1" si="9"/>
        <v>0</v>
      </c>
      <c r="Z46" s="133" t="str">
        <f>IF(TYPE((VLOOKUP(Первоначальный[[#This Row],[Дата платежа]],График[Срок конец],1,0)))=16,"",1)</f>
        <v/>
      </c>
      <c r="AA46" s="57"/>
      <c r="AB46" s="134"/>
      <c r="AC4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150000</v>
      </c>
      <c r="AD4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1468.1199999999992</v>
      </c>
      <c r="AE4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4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24.467213114754099</v>
      </c>
      <c r="AH46" s="55"/>
      <c r="AI46" s="55"/>
      <c r="AJ46" s="55"/>
      <c r="AK46" s="101">
        <f t="shared" ca="1" si="10"/>
        <v>151492.58721311475</v>
      </c>
      <c r="AL46" s="129">
        <f t="array" ref="AL46">MAX((УслРестрактов[Характеристика]="Дата реструктуризации")*(УслРестрактов[Значение]=Первоначальный!$A46),0)</f>
        <v>0</v>
      </c>
    </row>
    <row r="47" spans="1:38" x14ac:dyDescent="0.25">
      <c r="A47" s="97">
        <f t="shared" si="2"/>
        <v>44178</v>
      </c>
      <c r="B47" s="100">
        <f t="shared" ca="1" si="3"/>
        <v>150000</v>
      </c>
      <c r="C47" s="55">
        <f t="shared" ca="1" si="12"/>
        <v>1468.1199999999992</v>
      </c>
      <c r="D47" s="55">
        <f t="shared" ca="1" si="12"/>
        <v>0</v>
      </c>
      <c r="E47" s="55">
        <f t="shared" ca="1" si="5"/>
        <v>0</v>
      </c>
      <c r="F47" s="55">
        <f t="shared" ca="1" si="6"/>
        <v>24.467213114754099</v>
      </c>
      <c r="G47" s="101">
        <f t="shared" ca="1" si="7"/>
        <v>151492.58721311475</v>
      </c>
      <c r="H47" s="100">
        <f ca="1">ROUND($B47*VLOOKUP($A47,$A$1:$B$10,2,1)/(365+IF(MOD(YEAR($A47),4),0,1)*($A47-$A46)),2)-Первоначальный[[#This Row],[Проценты на просроченный платеж по ОД за период]]</f>
        <v>81.56</v>
      </c>
      <c r="I47" s="55">
        <f t="shared" ca="1" si="8"/>
        <v>0</v>
      </c>
      <c r="J47" s="55">
        <v>0</v>
      </c>
      <c r="K47" s="55">
        <f t="shared" ca="1" si="11"/>
        <v>6.1168032786885247</v>
      </c>
      <c r="L47" s="55">
        <v>0</v>
      </c>
      <c r="M47" s="113">
        <f>SUMIFS(График[Возврат основной суммы долга],График[Дата с учетом нерабочих дней],$A47)</f>
        <v>0</v>
      </c>
      <c r="N47" s="56">
        <f>SUMIFS(График[Возврат начисленных %],График[Дата с учетом нерабочих дней],$A47)</f>
        <v>0</v>
      </c>
      <c r="O47" s="101">
        <v>0</v>
      </c>
      <c r="P47" s="100" cm="1">
        <f t="array" aca="1" ref="P47" ca="1">MAX(IF(AA46="Да",0,SUM(INDIRECT("M"&amp;(MAX(("Да"=AA$12:AA46)*ROW(AA$12:AA46)+1,ROW($P$12))&amp;":M"&amp;(ROW()))))-SUM(INDIRECT("W"&amp;(MAX(("Да"=AA$12:AA46)*ROW(AA$12:AA46)+1,ROW($P$12))&amp;":W"&amp;(ROW()))))),0)</f>
        <v>0</v>
      </c>
      <c r="Q47" s="99">
        <f ca="1">MAX(SUM($N$13:N47)-SUM($T$13:T47),0)</f>
        <v>1223.360655737705</v>
      </c>
      <c r="R47" s="99">
        <f ca="1">Первоначальный[[#This Row],[Просроченный платеж по ОД]]+Первоначальный[[#This Row],[Просроченный платеж по процентам]]</f>
        <v>1223.360655737705</v>
      </c>
      <c r="S47" s="120">
        <f ca="1">IF(Первоначальный[[#This Row],[Просроченный платеж]]&lt;1,0,S46+1)</f>
        <v>5</v>
      </c>
      <c r="T47" s="100" cm="1">
        <f t="array" aca="1" ref="T47" ca="1">IF(Первоначальный[[#This Row],[Итого остаток на начало периода]]&lt;1,0,
IF(
AND(TYPE(VLOOKUP(1,$Z$12:Z47,1,0))=16,Первоначальный[[#This Row],[Досрочное погашение (да/"")]]=""),0,
_xlfn.IFS(AND(S46=0,Первоначальный[[#This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платеж]]&lt;&gt;0),MIN(LOOKUP(,-1/($Z$12:Z47=1),$C$12:C47)+LOOKUP(,-1/($Z$12:Z47=1),$H$12:H47),Первоначальный[[#This Row],[Полученный платеж]]+Y46),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платеж]]+Y46,SUM(Первоначальный[[#This Row],[Остаток процентов на начало периода]],Первоначальный[[#This Row],[Проценты за период]])),
AND(S46=0,Первоначальный[[#This Row],[Дата платежа из графика]]=""),0,
AND(S46=0,Первоначальный[[#This Row],[Дата платежа из графика]]=1,MAX((0&lt;&gt;S$12:S46)*ROW(S$12:S46),ROW($S$12))&gt;=MAX((1=Z$12:Z46)*ROW(Z$12:Z46),ROW($T$12)),TYPE(VLOOKUP("Да",(INDIRECT("AA"&amp;(MAX((1=Z$12:Z46)*ROW(Z$12:Z46),ROW($T$12))&amp;":AA"&amp;(ROW()-1)))),1,0))=16),MIN(LOOKUP(,-1/($Z$12:Z47=1),$C$12:C47)+LOOKUP(,-1/($Z$12:Z47=1),$H$12:H47),Первоначальный[[#This Row],[Полученный платеж]]+Y46),
AND(S46=0,TYPE(VLOOKUP("Да",(INDIRECT("AA"&amp;(MAX((1=Z$12:Z46)*ROW(Z$12:Z46),ROW($T$12))&amp;":AA"&amp;(ROW()-1)))),1,0))&lt;&gt;16),MIN(LOOKUP(,-1/($Z$12:Z47=1),$C$12:C47)+LOOKUP(,-1/($Z$12:Z47=1),$H$12:H47)-IF(AA46="Да",0,SUM(INDIRECT("T"&amp;(MAX(("Да"=AA$12:AA46)*ROW(AA$12:AA46)+1,ROW($T$12))&amp;":T"&amp;(ROW()-1))))),Первоначальный[[#This Row],[Полученный платеж]]+Y46),
AND(S46=0,MAX((0&lt;&gt;N$12:N46)*ROW(N$12:N46),ROW($S$12))&gt;=MAX((1=Z$12:Z46)*ROW(Z$12:Z46),ROW($T$12))),MIN(LOOKUP(,-1/($Z$12:Z47=1),$C$12:C47)+LOOKUP(,-1/($Z$12:Z47=1),$H$12:H47)-IF(N46&lt;&gt;0,0,SUM(INDIRECT("T"&amp;(MAX((0&lt;&gt;N$12:N46)*ROW(N$12:N46)+1,ROW($T$12))&amp;":T"&amp;(ROW()-1))))),Первоначальный[[#This Row],[Полученный платеж]]+Y46),
AND(S46=0,Первоначальный[[#This Row],[Дата платежа из графика]]=1),MIN(LOOKUP(,-1/($Z$12:Z47=1),$C$12:C47)+LOOKUP(,-1/($Z$12:Z47=1),$H$12:H47)-IF(Z46=1,0,SUM(INDIRECT("T"&amp;(MAX((1=Z$12:Z46)*ROW(Z$12:Z46)+1,ROW($T$12))&amp;":T"&amp;(ROW()-1))))),Первоначальный[[#This Row],[Полученный платеж]]+Y46),
AND(Z46&gt;0,Первоначальный[[#This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платеж]]+Y46),
AND(S46&gt;0,MAX((0&lt;&gt;S$12:S46)*ROW(S$12:S46),ROW($S$12))&gt;=MAX((1=Z$12:Z46)*ROW(Z$12:Z46),ROW($T$12)),TYPE(VLOOKUP("Да",(INDIRECT("AA"&amp;(MAX((1=Z$12:Z46)*ROW(Z$12:Z46),ROW($T$12))&amp;":AA"&amp;(ROW()-1)))),1,0))=16),MIN(LOOKUP(,-1/($Z$12:Z47=1),$C$12:C47)+LOOKUP(,-1/($Z$12:Z47=1),$H$12:H47)-SUM(INDIRECT("T"&amp;(MAX((1=Z$12:Z46)*ROW(Z$12:Z46),ROW($T$12))&amp;":T"&amp;(ROW()-1)))),Первоначальный[[#This Row],[Полученный платеж]]+Y46),
S46&gt;0,MIN(LOOKUP(,-1/($Z$12:Z47=1),$C$12:C47)+LOOKUP(,-1/($Z$12:Z47=1),$H$12:H47)-IF(Z46=1,0,SUM(INDIRECT("T"&amp;(MAX((1=Z$12:Z46)*ROW(Z$12:Z46)+1,ROW($T$12))&amp;":T"&amp;(ROW()-1))))),Первоначальный[[#This Row],[Полученный платеж]]+Y46)
)
)
)</f>
        <v>0</v>
      </c>
      <c r="U4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платеж]]+Y46-Первоначальный[[#This Row],[Полученный платёж по процентам]])</f>
        <v>0</v>
      </c>
      <c r="V47" s="55">
        <f t="shared" ca="1" si="0"/>
        <v>0</v>
      </c>
      <c r="W47" s="55" cm="1">
        <f t="array" aca="1" ref="W47" ca="1">IF(Первоначальный[[#This Row],[Итого остаток на начало периода]]&lt;1,0,
_xlfn.IFS(
AND(TYPE(VLOOKUP(1,$Z$12:Z47,1,0))=16,Первоначальный[[#This Row],[Досрочное погашение (да/"")]]=""),0,
AND(S46=0,Первоначальный[[#This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комиссиям]]),VLOOKUP(LOOKUP(,-1/($Z$12:Z47=1),$A$12:A47),График[[Срок конец]:[Возврат основной суммы долга]],3,0)),
AND(S46=0,Первоначальный[[#This Row],[Дата платежа из графика]]="",Первоначальный[[#This Row],[Досрочное погашение (да/"")]]&lt;&gt;"Да"),0,
AND(S46=0,Первоначальный[[#This Row],[Досрочное погашение (да/"")]]=""),MIN(Первоначальный[[#This Row],[Полученный платеж]]+Y46-SUM(Первоначальный[[#This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комиссиям]]),VLOOKUP(LOOKUP(,-1/($Z$12:Z47=1),$A$12:A47),График[[Срок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S46&gt;0,MIN(Первоначальный[[#This Row],[Полученный платеж]]+Y46-SUM(Первоначальный[[#This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комиссиям]]),SUM(INDIRECT("M"&amp;(MAX((1=S$12:S46)*ROW(S$12:S46),ROW($W$12))&amp;":M"&amp;(ROW()))))-SUM(INDIRECT("W"&amp;(MAX((1=S$12:S46)*ROW(S$12:S46),ROW($W$12))&amp;":W"&amp;(ROW()-1)))))
)
)</f>
        <v>0</v>
      </c>
      <c r="X47" s="55">
        <f t="shared" ca="1" si="1"/>
        <v>0</v>
      </c>
      <c r="Y47" s="101">
        <f t="shared" ca="1" si="9"/>
        <v>0</v>
      </c>
      <c r="Z47" s="133" t="str">
        <f>IF(TYPE((VLOOKUP(Первоначальный[[#This Row],[Дата платежа]],График[Срок конец],1,0)))=16,"",1)</f>
        <v/>
      </c>
      <c r="AA47" s="57"/>
      <c r="AB47" s="134"/>
      <c r="AC4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150000</v>
      </c>
      <c r="AD4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1549.6799999999992</v>
      </c>
      <c r="AE4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4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30.584016393442624</v>
      </c>
      <c r="AH47" s="55"/>
      <c r="AI47" s="55"/>
      <c r="AJ47" s="55"/>
      <c r="AK47" s="101">
        <f t="shared" ca="1" si="10"/>
        <v>151580.26401639343</v>
      </c>
      <c r="AL47" s="129">
        <f t="array" ref="AL47">MAX((УслРестрактов[Характеристика]="Дата реструктуризации")*(УслРестрактов[Значение]=Первоначальный!$A47),0)</f>
        <v>0</v>
      </c>
    </row>
    <row r="48" spans="1:38" x14ac:dyDescent="0.25">
      <c r="A48" s="97">
        <f t="shared" si="2"/>
        <v>44179</v>
      </c>
      <c r="B48" s="100">
        <f t="shared" ca="1" si="3"/>
        <v>150000</v>
      </c>
      <c r="C48" s="55">
        <f t="shared" ca="1" si="12"/>
        <v>1549.6799999999992</v>
      </c>
      <c r="D48" s="55">
        <f t="shared" ca="1" si="12"/>
        <v>0</v>
      </c>
      <c r="E48" s="55">
        <f t="shared" ca="1" si="5"/>
        <v>0</v>
      </c>
      <c r="F48" s="55">
        <f t="shared" ca="1" si="6"/>
        <v>30.584016393442624</v>
      </c>
      <c r="G48" s="101">
        <f t="shared" ca="1" si="7"/>
        <v>151580.26401639343</v>
      </c>
      <c r="H48" s="100">
        <f ca="1">ROUND($B48*VLOOKUP($A48,$A$1:$B$10,2,1)/(365+IF(MOD(YEAR($A48),4),0,1)*($A48-$A47)),2)-Первоначальный[[#This Row],[Проценты на просроченный платеж по ОД за период]]</f>
        <v>81.56</v>
      </c>
      <c r="I48" s="55">
        <f t="shared" ca="1" si="8"/>
        <v>0</v>
      </c>
      <c r="J48" s="55">
        <v>0</v>
      </c>
      <c r="K48" s="55">
        <f t="shared" ca="1" si="11"/>
        <v>6.1168032786885247</v>
      </c>
      <c r="L48" s="55">
        <v>0</v>
      </c>
      <c r="M48" s="113">
        <f>SUMIFS(График[Возврат основной суммы долга],График[Дата с учетом нерабочих дней],$A48)</f>
        <v>0</v>
      </c>
      <c r="N48" s="56">
        <f>SUMIFS(График[Возврат начисленных %],График[Дата с учетом нерабочих дней],$A48)</f>
        <v>0</v>
      </c>
      <c r="O48" s="101">
        <v>0</v>
      </c>
      <c r="P48" s="100" cm="1">
        <f t="array" aca="1" ref="P48" ca="1">MAX(IF(AA47="Да",0,SUM(INDIRECT("M"&amp;(MAX(("Да"=AA$12:AA47)*ROW(AA$12:AA47)+1,ROW($P$12))&amp;":M"&amp;(ROW()))))-SUM(INDIRECT("W"&amp;(MAX(("Да"=AA$12:AA47)*ROW(AA$12:AA47)+1,ROW($P$12))&amp;":W"&amp;(ROW()))))),0)</f>
        <v>0</v>
      </c>
      <c r="Q48" s="99">
        <f ca="1">MAX(SUM($N$13:N48)-SUM($T$13:T48),0)</f>
        <v>1223.360655737705</v>
      </c>
      <c r="R48" s="99">
        <f ca="1">Первоначальный[[#This Row],[Просроченный платеж по ОД]]+Первоначальный[[#This Row],[Просроченный платеж по процентам]]</f>
        <v>1223.360655737705</v>
      </c>
      <c r="S48" s="120">
        <f ca="1">IF(Первоначальный[[#This Row],[Просроченный платеж]]&lt;1,0,S47+1)</f>
        <v>6</v>
      </c>
      <c r="T48" s="100" cm="1">
        <f t="array" aca="1" ref="T48" ca="1">IF(Первоначальный[[#This Row],[Итого остаток на начало периода]]&lt;1,0,
IF(
AND(TYPE(VLOOKUP(1,$Z$12:Z48,1,0))=16,Первоначальный[[#This Row],[Досрочное погашение (да/"")]]=""),0,
_xlfn.IFS(AND(S47=0,Первоначальный[[#This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платеж]]&lt;&gt;0),MIN(LOOKUP(,-1/($Z$12:Z48=1),$C$12:C48)+LOOKUP(,-1/($Z$12:Z48=1),$H$12:H48),Первоначальный[[#This Row],[Полученный платеж]]+Y47),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платеж]]+Y47,SUM(Первоначальный[[#This Row],[Остаток процентов на начало периода]],Первоначальный[[#This Row],[Проценты за период]])),
AND(S47=0,Первоначальный[[#This Row],[Дата платежа из графика]]=""),0,
AND(S47=0,Первоначальный[[#This Row],[Дата платежа из графика]]=1,MAX((0&lt;&gt;S$12:S47)*ROW(S$12:S47),ROW($S$12))&gt;=MAX((1=Z$12:Z47)*ROW(Z$12:Z47),ROW($T$12)),TYPE(VLOOKUP("Да",(INDIRECT("AA"&amp;(MAX((1=Z$12:Z47)*ROW(Z$12:Z47),ROW($T$12))&amp;":AA"&amp;(ROW()-1)))),1,0))=16),MIN(LOOKUP(,-1/($Z$12:Z48=1),$C$12:C48)+LOOKUP(,-1/($Z$12:Z48=1),$H$12:H48),Первоначальный[[#This Row],[Полученный платеж]]+Y47),
AND(S47=0,TYPE(VLOOKUP("Да",(INDIRECT("AA"&amp;(MAX((1=Z$12:Z47)*ROW(Z$12:Z47),ROW($T$12))&amp;":AA"&amp;(ROW()-1)))),1,0))&lt;&gt;16),MIN(LOOKUP(,-1/($Z$12:Z48=1),$C$12:C48)+LOOKUP(,-1/($Z$12:Z48=1),$H$12:H48)-IF(AA47="Да",0,SUM(INDIRECT("T"&amp;(MAX(("Да"=AA$12:AA47)*ROW(AA$12:AA47)+1,ROW($T$12))&amp;":T"&amp;(ROW()-1))))),Первоначальный[[#This Row],[Полученный платеж]]+Y47),
AND(S47=0,MAX((0&lt;&gt;N$12:N47)*ROW(N$12:N47),ROW($S$12))&gt;=MAX((1=Z$12:Z47)*ROW(Z$12:Z47),ROW($T$12))),MIN(LOOKUP(,-1/($Z$12:Z48=1),$C$12:C48)+LOOKUP(,-1/($Z$12:Z48=1),$H$12:H48)-IF(N47&lt;&gt;0,0,SUM(INDIRECT("T"&amp;(MAX((0&lt;&gt;N$12:N47)*ROW(N$12:N47)+1,ROW($T$12))&amp;":T"&amp;(ROW()-1))))),Первоначальный[[#This Row],[Полученный платеж]]+Y47),
AND(S47=0,Первоначальный[[#This Row],[Дата платежа из графика]]=1),MIN(LOOKUP(,-1/($Z$12:Z48=1),$C$12:C48)+LOOKUP(,-1/($Z$12:Z48=1),$H$12:H48)-IF(Z47=1,0,SUM(INDIRECT("T"&amp;(MAX((1=Z$12:Z47)*ROW(Z$12:Z47)+1,ROW($T$12))&amp;":T"&amp;(ROW()-1))))),Первоначальный[[#This Row],[Полученный платеж]]+Y47),
AND(Z47&gt;0,Первоначальный[[#This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платеж]]+Y47),
AND(S47&gt;0,MAX((0&lt;&gt;S$12:S47)*ROW(S$12:S47),ROW($S$12))&gt;=MAX((1=Z$12:Z47)*ROW(Z$12:Z47),ROW($T$12)),TYPE(VLOOKUP("Да",(INDIRECT("AA"&amp;(MAX((1=Z$12:Z47)*ROW(Z$12:Z47),ROW($T$12))&amp;":AA"&amp;(ROW()-1)))),1,0))=16),MIN(LOOKUP(,-1/($Z$12:Z48=1),$C$12:C48)+LOOKUP(,-1/($Z$12:Z48=1),$H$12:H48)-SUM(INDIRECT("T"&amp;(MAX((1=Z$12:Z47)*ROW(Z$12:Z47),ROW($T$12))&amp;":T"&amp;(ROW()-1)))),Первоначальный[[#This Row],[Полученный платеж]]+Y47),
S47&gt;0,MIN(LOOKUP(,-1/($Z$12:Z48=1),$C$12:C48)+LOOKUP(,-1/($Z$12:Z48=1),$H$12:H48)-IF(Z47=1,0,SUM(INDIRECT("T"&amp;(MAX((1=Z$12:Z47)*ROW(Z$12:Z47)+1,ROW($T$12))&amp;":T"&amp;(ROW()-1))))),Первоначальный[[#This Row],[Полученный платеж]]+Y47)
)
)
)</f>
        <v>0</v>
      </c>
      <c r="U4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платеж]]+Y47-Первоначальный[[#This Row],[Полученный платёж по процентам]])</f>
        <v>0</v>
      </c>
      <c r="V48" s="55">
        <f t="shared" ca="1" si="0"/>
        <v>0</v>
      </c>
      <c r="W48" s="55" cm="1">
        <f t="array" aca="1" ref="W48" ca="1">IF(Первоначальный[[#This Row],[Итого остаток на начало периода]]&lt;1,0,
_xlfn.IFS(
AND(TYPE(VLOOKUP(1,$Z$12:Z48,1,0))=16,Первоначальный[[#This Row],[Досрочное погашение (да/"")]]=""),0,
AND(S47=0,Первоначальный[[#This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комиссиям]]),VLOOKUP(LOOKUP(,-1/($Z$12:Z48=1),$A$12:A48),График[[Срок конец]:[Возврат основной суммы долга]],3,0)),
AND(S47=0,Первоначальный[[#This Row],[Дата платежа из графика]]="",Первоначальный[[#This Row],[Досрочное погашение (да/"")]]&lt;&gt;"Да"),0,
AND(S47=0,Первоначальный[[#This Row],[Досрочное погашение (да/"")]]=""),MIN(Первоначальный[[#This Row],[Полученный платеж]]+Y47-SUM(Первоначальный[[#This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комиссиям]]),VLOOKUP(LOOKUP(,-1/($Z$12:Z48=1),$A$12:A48),График[[Срок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S47&gt;0,MIN(Первоначальный[[#This Row],[Полученный платеж]]+Y47-SUM(Первоначальный[[#This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комиссиям]]),SUM(INDIRECT("M"&amp;(MAX((1=S$12:S47)*ROW(S$12:S47),ROW($W$12))&amp;":M"&amp;(ROW()))))-SUM(INDIRECT("W"&amp;(MAX((1=S$12:S47)*ROW(S$12:S47),ROW($W$12))&amp;":W"&amp;(ROW()-1)))))
)
)</f>
        <v>0</v>
      </c>
      <c r="X48" s="55">
        <f t="shared" ca="1" si="1"/>
        <v>0</v>
      </c>
      <c r="Y48" s="101">
        <f t="shared" ca="1" si="9"/>
        <v>0</v>
      </c>
      <c r="Z48" s="133" t="str">
        <f>IF(TYPE((VLOOKUP(Первоначальный[[#This Row],[Дата платежа]],График[Срок конец],1,0)))=16,"",1)</f>
        <v/>
      </c>
      <c r="AA48" s="57"/>
      <c r="AB48" s="134"/>
      <c r="AC4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150000</v>
      </c>
      <c r="AD4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1631.2399999999991</v>
      </c>
      <c r="AE4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4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36.700819672131146</v>
      </c>
      <c r="AH48" s="55"/>
      <c r="AI48" s="55"/>
      <c r="AJ48" s="55"/>
      <c r="AK48" s="101">
        <f t="shared" ca="1" si="10"/>
        <v>151667.94081967213</v>
      </c>
      <c r="AL48" s="129">
        <f t="array" ref="AL48">MAX((УслРестрактов[Характеристика]="Дата реструктуризации")*(УслРестрактов[Значение]=Первоначальный!$A48),0)</f>
        <v>0</v>
      </c>
    </row>
    <row r="49" spans="1:38" x14ac:dyDescent="0.25">
      <c r="A49" s="97">
        <f t="shared" si="2"/>
        <v>44180</v>
      </c>
      <c r="B49" s="100">
        <f t="shared" ca="1" si="3"/>
        <v>150000</v>
      </c>
      <c r="C49" s="55">
        <f t="shared" ca="1" si="12"/>
        <v>1631.2399999999991</v>
      </c>
      <c r="D49" s="55">
        <f t="shared" ca="1" si="12"/>
        <v>0</v>
      </c>
      <c r="E49" s="55">
        <f t="shared" ca="1" si="5"/>
        <v>0</v>
      </c>
      <c r="F49" s="55">
        <f t="shared" ca="1" si="6"/>
        <v>36.700819672131146</v>
      </c>
      <c r="G49" s="101">
        <f t="shared" ca="1" si="7"/>
        <v>151667.94081967213</v>
      </c>
      <c r="H49" s="100">
        <f ca="1">ROUND($B49*VLOOKUP($A49,$A$1:$B$10,2,1)/(365+IF(MOD(YEAR($A49),4),0,1)*($A49-$A48)),2)-Первоначальный[[#This Row],[Проценты на просроченный платеж по ОД за период]]</f>
        <v>81.56</v>
      </c>
      <c r="I49" s="55">
        <f t="shared" ca="1" si="8"/>
        <v>0</v>
      </c>
      <c r="J49" s="55">
        <v>0</v>
      </c>
      <c r="K49" s="55">
        <f t="shared" ca="1" si="11"/>
        <v>0</v>
      </c>
      <c r="L49" s="55">
        <v>0</v>
      </c>
      <c r="M49" s="113">
        <f>SUMIFS(График[Возврат основной суммы долга],График[Дата с учетом нерабочих дней],$A49)</f>
        <v>0</v>
      </c>
      <c r="N49" s="56">
        <f>SUMIFS(График[Возврат начисленных %],График[Дата с учетом нерабочих дней],$A49)</f>
        <v>0</v>
      </c>
      <c r="O49" s="101">
        <v>1273.3599999999999</v>
      </c>
      <c r="P49" s="100" cm="1">
        <f t="array" aca="1" ref="P49" ca="1">MAX(IF(AA48="Да",0,SUM(INDIRECT("M"&amp;(MAX(("Да"=AA$12:AA48)*ROW(AA$12:AA48)+1,ROW($P$12))&amp;":M"&amp;(ROW()))))-SUM(INDIRECT("W"&amp;(MAX(("Да"=AA$12:AA48)*ROW(AA$12:AA48)+1,ROW($P$12))&amp;":W"&amp;(ROW()))))),0)</f>
        <v>0</v>
      </c>
      <c r="Q49" s="99">
        <f ca="1">MAX(SUM($N$13:N49)-SUM($T$13:T49),0)</f>
        <v>0</v>
      </c>
      <c r="R49" s="99">
        <f ca="1">Первоначальный[[#This Row],[Просроченный платеж по ОД]]+Первоначальный[[#This Row],[Просроченный платеж по процентам]]</f>
        <v>0</v>
      </c>
      <c r="S49" s="120">
        <f ca="1">IF(Первоначальный[[#This Row],[Просроченный платеж]]&lt;1,0,S48+1)</f>
        <v>0</v>
      </c>
      <c r="T49" s="100" cm="1">
        <f t="array" aca="1" ref="T49" ca="1">IF(Первоначальный[[#This Row],[Итого остаток на начало периода]]&lt;1,0,
IF(
AND(TYPE(VLOOKUP(1,$Z$12:Z49,1,0))=16,Первоначальный[[#This Row],[Досрочное погашение (да/"")]]=""),0,
_xlfn.IFS(AND(S48=0,Первоначальный[[#This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платеж]]&lt;&gt;0),MIN(LOOKUP(,-1/($Z$12:Z49=1),$C$12:C49)+LOOKUP(,-1/($Z$12:Z49=1),$H$12:H49),Первоначальный[[#This Row],[Полученный платеж]]+Y48),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платеж]]+Y48,SUM(Первоначальный[[#This Row],[Остаток процентов на начало периода]],Первоначальный[[#This Row],[Проценты за период]])),
AND(S48=0,Первоначальный[[#This Row],[Дата платежа из графика]]=""),0,
AND(S48=0,Первоначальный[[#This Row],[Дата платежа из графика]]=1,MAX((0&lt;&gt;S$12:S48)*ROW(S$12:S48),ROW($S$12))&gt;=MAX((1=Z$12:Z48)*ROW(Z$12:Z48),ROW($T$12)),TYPE(VLOOKUP("Да",(INDIRECT("AA"&amp;(MAX((1=Z$12:Z48)*ROW(Z$12:Z48),ROW($T$12))&amp;":AA"&amp;(ROW()-1)))),1,0))=16),MIN(LOOKUP(,-1/($Z$12:Z49=1),$C$12:C49)+LOOKUP(,-1/($Z$12:Z49=1),$H$12:H49),Первоначальный[[#This Row],[Полученный платеж]]+Y48),
AND(S48=0,TYPE(VLOOKUP("Да",(INDIRECT("AA"&amp;(MAX((1=Z$12:Z48)*ROW(Z$12:Z48),ROW($T$12))&amp;":AA"&amp;(ROW()-1)))),1,0))&lt;&gt;16),MIN(LOOKUP(,-1/($Z$12:Z49=1),$C$12:C49)+LOOKUP(,-1/($Z$12:Z49=1),$H$12:H49)-IF(AA48="Да",0,SUM(INDIRECT("T"&amp;(MAX(("Да"=AA$12:AA48)*ROW(AA$12:AA48)+1,ROW($T$12))&amp;":T"&amp;(ROW()-1))))),Первоначальный[[#This Row],[Полученный платеж]]+Y48),
AND(S48=0,MAX((0&lt;&gt;N$12:N48)*ROW(N$12:N48),ROW($S$12))&gt;=MAX((1=Z$12:Z48)*ROW(Z$12:Z48),ROW($T$12))),MIN(LOOKUP(,-1/($Z$12:Z49=1),$C$12:C49)+LOOKUP(,-1/($Z$12:Z49=1),$H$12:H49)-IF(N48&lt;&gt;0,0,SUM(INDIRECT("T"&amp;(MAX((0&lt;&gt;N$12:N48)*ROW(N$12:N48)+1,ROW($T$12))&amp;":T"&amp;(ROW()-1))))),Первоначальный[[#This Row],[Полученный платеж]]+Y48),
AND(S48=0,Первоначальный[[#This Row],[Дата платежа из графика]]=1),MIN(LOOKUP(,-1/($Z$12:Z49=1),$C$12:C49)+LOOKUP(,-1/($Z$12:Z49=1),$H$12:H49)-IF(Z48=1,0,SUM(INDIRECT("T"&amp;(MAX((1=Z$12:Z48)*ROW(Z$12:Z48)+1,ROW($T$12))&amp;":T"&amp;(ROW()-1))))),Первоначальный[[#This Row],[Полученный платеж]]+Y48),
AND(Z48&gt;0,Первоначальный[[#This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платеж]]+Y48),
AND(S48&gt;0,MAX((0&lt;&gt;S$12:S48)*ROW(S$12:S48),ROW($S$12))&gt;=MAX((1=Z$12:Z48)*ROW(Z$12:Z48),ROW($T$12)),TYPE(VLOOKUP("Да",(INDIRECT("AA"&amp;(MAX((1=Z$12:Z48)*ROW(Z$12:Z48),ROW($T$12))&amp;":AA"&amp;(ROW()-1)))),1,0))=16),MIN(LOOKUP(,-1/($Z$12:Z49=1),$C$12:C49)+LOOKUP(,-1/($Z$12:Z49=1),$H$12:H49)-SUM(INDIRECT("T"&amp;(MAX((1=Z$12:Z48)*ROW(Z$12:Z48),ROW($T$12))&amp;":T"&amp;(ROW()-1)))),Первоначальный[[#This Row],[Полученный платеж]]+Y48),
S48&gt;0,MIN(LOOKUP(,-1/($Z$12:Z49=1),$C$12:C49)+LOOKUP(,-1/($Z$12:Z49=1),$H$12:H49)-IF(Z48=1,0,SUM(INDIRECT("T"&amp;(MAX((1=Z$12:Z48)*ROW(Z$12:Z48)+1,ROW($T$12))&amp;":T"&amp;(ROW()-1))))),Первоначальный[[#This Row],[Полученный платеж]]+Y48)
)
)
)</f>
        <v>1223.4399999999994</v>
      </c>
      <c r="U4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платеж]]+Y48-Первоначальный[[#This Row],[Полученный платёж по процентам]])</f>
        <v>0</v>
      </c>
      <c r="V49" s="55">
        <f t="shared" ca="1" si="0"/>
        <v>0</v>
      </c>
      <c r="W49" s="55" cm="1">
        <f t="array" aca="1" ref="W49" ca="1">IF(Первоначальный[[#This Row],[Итого остаток на начало периода]]&lt;1,0,
_xlfn.IFS(
AND(TYPE(VLOOKUP(1,$Z$12:Z49,1,0))=16,Первоначальный[[#This Row],[Досрочное погашение (да/"")]]=""),0,
AND(S48=0,Первоначальный[[#This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комиссиям]]),VLOOKUP(LOOKUP(,-1/($Z$12:Z49=1),$A$12:A49),График[[Срок конец]:[Возврат основной суммы долга]],3,0)),
AND(S48=0,Первоначальный[[#This Row],[Дата платежа из графика]]="",Первоначальный[[#This Row],[Досрочное погашение (да/"")]]&lt;&gt;"Да"),0,
AND(S48=0,Первоначальный[[#This Row],[Досрочное погашение (да/"")]]=""),MIN(Первоначальный[[#This Row],[Полученный платеж]]+Y48-SUM(Первоначальный[[#This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комиссиям]]),VLOOKUP(LOOKUP(,-1/($Z$12:Z49=1),$A$12:A49),График[[Срок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S48&gt;0,MIN(Первоначальный[[#This Row],[Полученный платеж]]+Y48-SUM(Первоначальный[[#This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комиссиям]]),SUM(INDIRECT("M"&amp;(MAX((1=S$12:S48)*ROW(S$12:S48),ROW($W$12))&amp;":M"&amp;(ROW()))))-SUM(INDIRECT("W"&amp;(MAX((1=S$12:S48)*ROW(S$12:S48),ROW($W$12))&amp;":W"&amp;(ROW()-1)))))
)
)</f>
        <v>0</v>
      </c>
      <c r="X49" s="55">
        <f t="shared" ca="1" si="1"/>
        <v>36.700819672131146</v>
      </c>
      <c r="Y49" s="101">
        <f t="shared" ca="1" si="9"/>
        <v>13.22</v>
      </c>
      <c r="Z49" s="133" t="str">
        <f>IF(TYPE((VLOOKUP(Первоначальный[[#This Row],[Дата платежа]],График[Срок конец],1,0)))=16,"",1)</f>
        <v/>
      </c>
      <c r="AA49" s="57"/>
      <c r="AB49" s="134"/>
      <c r="AC4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150000</v>
      </c>
      <c r="AD4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489.35999999999967</v>
      </c>
      <c r="AE4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4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49" s="55"/>
      <c r="AI49" s="55"/>
      <c r="AJ49" s="55"/>
      <c r="AK49" s="101">
        <f t="shared" ca="1" si="10"/>
        <v>150489.35999999999</v>
      </c>
      <c r="AL49" s="129">
        <f t="array" ref="AL49">MAX((УслРестрактов[Характеристика]="Дата реструктуризации")*(УслРестрактов[Значение]=Первоначальный!$A49),0)</f>
        <v>0</v>
      </c>
    </row>
    <row r="50" spans="1:38" x14ac:dyDescent="0.25">
      <c r="A50" s="97">
        <f t="shared" si="2"/>
        <v>44181</v>
      </c>
      <c r="B50" s="100">
        <f t="shared" ca="1" si="3"/>
        <v>150000</v>
      </c>
      <c r="C50" s="55">
        <f t="shared" ca="1" si="12"/>
        <v>489.35999999999967</v>
      </c>
      <c r="D50" s="55">
        <f t="shared" ca="1" si="12"/>
        <v>0</v>
      </c>
      <c r="E50" s="55">
        <f t="shared" ca="1" si="5"/>
        <v>0</v>
      </c>
      <c r="F50" s="55">
        <f t="shared" ca="1" si="6"/>
        <v>0</v>
      </c>
      <c r="G50" s="101">
        <f t="shared" ca="1" si="7"/>
        <v>150489.35999999999</v>
      </c>
      <c r="H50" s="100">
        <f ca="1">ROUND($B50*VLOOKUP($A50,$A$1:$B$10,2,1)/(365+IF(MOD(YEAR($A50),4),0,1)*($A50-$A49)),2)-Первоначальный[[#This Row],[Проценты на просроченный платеж по ОД за период]]</f>
        <v>81.56</v>
      </c>
      <c r="I50" s="55">
        <f t="shared" ca="1" si="8"/>
        <v>0</v>
      </c>
      <c r="J50" s="55">
        <v>0</v>
      </c>
      <c r="K50" s="55">
        <f t="shared" ca="1" si="11"/>
        <v>0</v>
      </c>
      <c r="L50" s="55">
        <v>0</v>
      </c>
      <c r="M50" s="113">
        <f>SUMIFS(График[Возврат основной суммы долга],График[Дата с учетом нерабочих дней],$A50)</f>
        <v>0</v>
      </c>
      <c r="N50" s="56">
        <f>SUMIFS(График[Возврат начисленных %],График[Дата с учетом нерабочих дней],$A50)</f>
        <v>0</v>
      </c>
      <c r="O50" s="101">
        <v>0</v>
      </c>
      <c r="P50" s="100" cm="1">
        <f t="array" aca="1" ref="P50" ca="1">MAX(IF(AA49="Да",0,SUM(INDIRECT("M"&amp;(MAX(("Да"=AA$12:AA49)*ROW(AA$12:AA49)+1,ROW($P$12))&amp;":M"&amp;(ROW()))))-SUM(INDIRECT("W"&amp;(MAX(("Да"=AA$12:AA49)*ROW(AA$12:AA49)+1,ROW($P$12))&amp;":W"&amp;(ROW()))))),0)</f>
        <v>0</v>
      </c>
      <c r="Q50" s="99">
        <f ca="1">MAX(SUM($N$13:N50)-SUM($T$13:T50),0)</f>
        <v>0</v>
      </c>
      <c r="R50" s="99">
        <f ca="1">Первоначальный[[#This Row],[Просроченный платеж по ОД]]+Первоначальный[[#This Row],[Просроченный платеж по процентам]]</f>
        <v>0</v>
      </c>
      <c r="S50" s="120">
        <f ca="1">IF(Первоначальный[[#This Row],[Просроченный платеж]]&lt;1,0,S49+1)</f>
        <v>0</v>
      </c>
      <c r="T50" s="100" cm="1">
        <f t="array" aca="1" ref="T50" ca="1">IF(Первоначальный[[#This Row],[Итого остаток на начало периода]]&lt;1,0,
IF(
AND(TYPE(VLOOKUP(1,$Z$12:Z50,1,0))=16,Первоначальный[[#This Row],[Досрочное погашение (да/"")]]=""),0,
_xlfn.IFS(AND(S49=0,Первоначальный[[#This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платеж]]&lt;&gt;0),MIN(LOOKUP(,-1/($Z$12:Z50=1),$C$12:C50)+LOOKUP(,-1/($Z$12:Z50=1),$H$12:H50),Первоначальный[[#This Row],[Полученный платеж]]+Y49),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платеж]]+Y49,SUM(Первоначальный[[#This Row],[Остаток процентов на начало периода]],Первоначальный[[#This Row],[Проценты за период]])),
AND(S49=0,Первоначальный[[#This Row],[Дата платежа из графика]]=""),0,
AND(S49=0,Первоначальный[[#This Row],[Дата платежа из графика]]=1,MAX((0&lt;&gt;S$12:S49)*ROW(S$12:S49),ROW($S$12))&gt;=MAX((1=Z$12:Z49)*ROW(Z$12:Z49),ROW($T$12)),TYPE(VLOOKUP("Да",(INDIRECT("AA"&amp;(MAX((1=Z$12:Z49)*ROW(Z$12:Z49),ROW($T$12))&amp;":AA"&amp;(ROW()-1)))),1,0))=16),MIN(LOOKUP(,-1/($Z$12:Z50=1),$C$12:C50)+LOOKUP(,-1/($Z$12:Z50=1),$H$12:H50),Первоначальный[[#This Row],[Полученный платеж]]+Y49),
AND(S49=0,TYPE(VLOOKUP("Да",(INDIRECT("AA"&amp;(MAX((1=Z$12:Z49)*ROW(Z$12:Z49),ROW($T$12))&amp;":AA"&amp;(ROW()-1)))),1,0))&lt;&gt;16),MIN(LOOKUP(,-1/($Z$12:Z50=1),$C$12:C50)+LOOKUP(,-1/($Z$12:Z50=1),$H$12:H50)-IF(AA49="Да",0,SUM(INDIRECT("T"&amp;(MAX(("Да"=AA$12:AA49)*ROW(AA$12:AA49)+1,ROW($T$12))&amp;":T"&amp;(ROW()-1))))),Первоначальный[[#This Row],[Полученный платеж]]+Y49),
AND(S49=0,MAX((0&lt;&gt;N$12:N49)*ROW(N$12:N49),ROW($S$12))&gt;=MAX((1=Z$12:Z49)*ROW(Z$12:Z49),ROW($T$12))),MIN(LOOKUP(,-1/($Z$12:Z50=1),$C$12:C50)+LOOKUP(,-1/($Z$12:Z50=1),$H$12:H50)-IF(N49&lt;&gt;0,0,SUM(INDIRECT("T"&amp;(MAX((0&lt;&gt;N$12:N49)*ROW(N$12:N49)+1,ROW($T$12))&amp;":T"&amp;(ROW()-1))))),Первоначальный[[#This Row],[Полученный платеж]]+Y49),
AND(S49=0,Первоначальный[[#This Row],[Дата платежа из графика]]=1),MIN(LOOKUP(,-1/($Z$12:Z50=1),$C$12:C50)+LOOKUP(,-1/($Z$12:Z50=1),$H$12:H50)-IF(Z49=1,0,SUM(INDIRECT("T"&amp;(MAX((1=Z$12:Z49)*ROW(Z$12:Z49)+1,ROW($T$12))&amp;":T"&amp;(ROW()-1))))),Первоначальный[[#This Row],[Полученный платеж]]+Y49),
AND(Z49&gt;0,Первоначальный[[#This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платеж]]+Y49),
AND(S49&gt;0,MAX((0&lt;&gt;S$12:S49)*ROW(S$12:S49),ROW($S$12))&gt;=MAX((1=Z$12:Z49)*ROW(Z$12:Z49),ROW($T$12)),TYPE(VLOOKUP("Да",(INDIRECT("AA"&amp;(MAX((1=Z$12:Z49)*ROW(Z$12:Z49),ROW($T$12))&amp;":AA"&amp;(ROW()-1)))),1,0))=16),MIN(LOOKUP(,-1/($Z$12:Z50=1),$C$12:C50)+LOOKUP(,-1/($Z$12:Z50=1),$H$12:H50)-SUM(INDIRECT("T"&amp;(MAX((1=Z$12:Z49)*ROW(Z$12:Z49),ROW($T$12))&amp;":T"&amp;(ROW()-1)))),Первоначальный[[#This Row],[Полученный платеж]]+Y49),
S49&gt;0,MIN(LOOKUP(,-1/($Z$12:Z50=1),$C$12:C50)+LOOKUP(,-1/($Z$12:Z50=1),$H$12:H50)-IF(Z49=1,0,SUM(INDIRECT("T"&amp;(MAX((1=Z$12:Z49)*ROW(Z$12:Z49)+1,ROW($T$12))&amp;":T"&amp;(ROW()-1))))),Первоначальный[[#This Row],[Полученный платеж]]+Y49)
)
)
)</f>
        <v>0</v>
      </c>
      <c r="U5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платеж]]+Y49-Первоначальный[[#This Row],[Полученный платёж по процентам]])</f>
        <v>0</v>
      </c>
      <c r="V50" s="55">
        <f t="shared" ca="1" si="0"/>
        <v>0</v>
      </c>
      <c r="W50" s="55" cm="1">
        <f t="array" aca="1" ref="W50" ca="1">IF(Первоначальный[[#This Row],[Итого остаток на начало периода]]&lt;1,0,
_xlfn.IFS(
AND(TYPE(VLOOKUP(1,$Z$12:Z50,1,0))=16,Первоначальный[[#This Row],[Досрочное погашение (да/"")]]=""),0,
AND(S49=0,Первоначальный[[#This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комиссиям]]),VLOOKUP(LOOKUP(,-1/($Z$12:Z50=1),$A$12:A50),График[[Срок конец]:[Возврат основной суммы долга]],3,0)),
AND(S49=0,Первоначальный[[#This Row],[Дата платежа из графика]]="",Первоначальный[[#This Row],[Досрочное погашение (да/"")]]&lt;&gt;"Да"),0,
AND(S49=0,Первоначальный[[#This Row],[Досрочное погашение (да/"")]]=""),MIN(Первоначальный[[#This Row],[Полученный платеж]]+Y49-SUM(Первоначальный[[#This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комиссиям]]),VLOOKUP(LOOKUP(,-1/($Z$12:Z50=1),$A$12:A50),График[[Срок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S49&gt;0,MIN(Первоначальный[[#This Row],[Полученный платеж]]+Y49-SUM(Первоначальный[[#This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комиссиям]]),SUM(INDIRECT("M"&amp;(MAX((1=S$12:S49)*ROW(S$12:S49),ROW($W$12))&amp;":M"&amp;(ROW()))))-SUM(INDIRECT("W"&amp;(MAX((1=S$12:S49)*ROW(S$12:S49),ROW($W$12))&amp;":W"&amp;(ROW()-1)))))
)
)</f>
        <v>0</v>
      </c>
      <c r="X50" s="55">
        <f t="shared" ca="1" si="1"/>
        <v>0</v>
      </c>
      <c r="Y50" s="101">
        <f t="shared" ca="1" si="9"/>
        <v>13.22</v>
      </c>
      <c r="Z50" s="133" t="str">
        <f>IF(TYPE((VLOOKUP(Первоначальный[[#This Row],[Дата платежа]],График[Срок конец],1,0)))=16,"",1)</f>
        <v/>
      </c>
      <c r="AA50" s="57"/>
      <c r="AB50" s="134"/>
      <c r="AC5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150000</v>
      </c>
      <c r="AD5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570.91999999999962</v>
      </c>
      <c r="AE5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5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50" s="55"/>
      <c r="AI50" s="55"/>
      <c r="AJ50" s="55"/>
      <c r="AK50" s="101">
        <f t="shared" ca="1" si="10"/>
        <v>150570.92000000001</v>
      </c>
      <c r="AL50" s="129">
        <f t="array" ref="AL50">MAX((УслРестрактов[Характеристика]="Дата реструктуризации")*(УслРестрактов[Значение]=Первоначальный!$A50),0)</f>
        <v>0</v>
      </c>
    </row>
    <row r="51" spans="1:38" x14ac:dyDescent="0.25">
      <c r="A51" s="97">
        <f t="shared" si="2"/>
        <v>44182</v>
      </c>
      <c r="B51" s="100">
        <f t="shared" ca="1" si="3"/>
        <v>150000</v>
      </c>
      <c r="C51" s="55">
        <f t="shared" ca="1" si="12"/>
        <v>570.91999999999962</v>
      </c>
      <c r="D51" s="55">
        <f t="shared" ca="1" si="12"/>
        <v>0</v>
      </c>
      <c r="E51" s="55">
        <f t="shared" ca="1" si="5"/>
        <v>0</v>
      </c>
      <c r="F51" s="55">
        <f t="shared" ca="1" si="6"/>
        <v>0</v>
      </c>
      <c r="G51" s="101">
        <f t="shared" ca="1" si="7"/>
        <v>150570.92000000001</v>
      </c>
      <c r="H51" s="100">
        <f ca="1">ROUND($B51*VLOOKUP($A51,$A$1:$B$10,2,1)/(365+IF(MOD(YEAR($A51),4),0,1)*($A51-$A50)),2)-Первоначальный[[#This Row],[Проценты на просроченный платеж по ОД за период]]</f>
        <v>81.56</v>
      </c>
      <c r="I51" s="55">
        <f t="shared" ca="1" si="8"/>
        <v>0</v>
      </c>
      <c r="J51" s="55">
        <v>0</v>
      </c>
      <c r="K51" s="55">
        <f t="shared" ca="1" si="11"/>
        <v>0</v>
      </c>
      <c r="L51" s="55">
        <v>0</v>
      </c>
      <c r="M51" s="113">
        <f>SUMIFS(График[Возврат основной суммы долга],График[Дата с учетом нерабочих дней],$A51)</f>
        <v>0</v>
      </c>
      <c r="N51" s="56">
        <f>SUMIFS(График[Возврат начисленных %],График[Дата с учетом нерабочих дней],$A51)</f>
        <v>0</v>
      </c>
      <c r="O51" s="101">
        <v>0</v>
      </c>
      <c r="P51" s="100" cm="1">
        <f t="array" aca="1" ref="P51" ca="1">MAX(IF(AA50="Да",0,SUM(INDIRECT("M"&amp;(MAX(("Да"=AA$12:AA50)*ROW(AA$12:AA50)+1,ROW($P$12))&amp;":M"&amp;(ROW()))))-SUM(INDIRECT("W"&amp;(MAX(("Да"=AA$12:AA50)*ROW(AA$12:AA50)+1,ROW($P$12))&amp;":W"&amp;(ROW()))))),0)</f>
        <v>0</v>
      </c>
      <c r="Q51" s="99">
        <f ca="1">MAX(SUM($N$13:N51)-SUM($T$13:T51),0)</f>
        <v>0</v>
      </c>
      <c r="R51" s="99">
        <f ca="1">Первоначальный[[#This Row],[Просроченный платеж по ОД]]+Первоначальный[[#This Row],[Просроченный платеж по процентам]]</f>
        <v>0</v>
      </c>
      <c r="S51" s="120">
        <f ca="1">IF(Первоначальный[[#This Row],[Просроченный платеж]]&lt;1,0,S50+1)</f>
        <v>0</v>
      </c>
      <c r="T51" s="100" cm="1">
        <f t="array" aca="1" ref="T51" ca="1">IF(Первоначальный[[#This Row],[Итого остаток на начало периода]]&lt;1,0,
IF(
AND(TYPE(VLOOKUP(1,$Z$12:Z51,1,0))=16,Первоначальный[[#This Row],[Досрочное погашение (да/"")]]=""),0,
_xlfn.IFS(AND(S50=0,Первоначальный[[#This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платеж]]&lt;&gt;0),MIN(LOOKUP(,-1/($Z$12:Z51=1),$C$12:C51)+LOOKUP(,-1/($Z$12:Z51=1),$H$12:H51),Первоначальный[[#This Row],[Полученный платеж]]+Y50),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платеж]]+Y50,SUM(Первоначальный[[#This Row],[Остаток процентов на начало периода]],Первоначальный[[#This Row],[Проценты за период]])),
AND(S50=0,Первоначальный[[#This Row],[Дата платежа из графика]]=""),0,
AND(S50=0,Первоначальный[[#This Row],[Дата платежа из графика]]=1,MAX((0&lt;&gt;S$12:S50)*ROW(S$12:S50),ROW($S$12))&gt;=MAX((1=Z$12:Z50)*ROW(Z$12:Z50),ROW($T$12)),TYPE(VLOOKUP("Да",(INDIRECT("AA"&amp;(MAX((1=Z$12:Z50)*ROW(Z$12:Z50),ROW($T$12))&amp;":AA"&amp;(ROW()-1)))),1,0))=16),MIN(LOOKUP(,-1/($Z$12:Z51=1),$C$12:C51)+LOOKUP(,-1/($Z$12:Z51=1),$H$12:H51),Первоначальный[[#This Row],[Полученный платеж]]+Y50),
AND(S50=0,TYPE(VLOOKUP("Да",(INDIRECT("AA"&amp;(MAX((1=Z$12:Z50)*ROW(Z$12:Z50),ROW($T$12))&amp;":AA"&amp;(ROW()-1)))),1,0))&lt;&gt;16),MIN(LOOKUP(,-1/($Z$12:Z51=1),$C$12:C51)+LOOKUP(,-1/($Z$12:Z51=1),$H$12:H51)-IF(AA50="Да",0,SUM(INDIRECT("T"&amp;(MAX(("Да"=AA$12:AA50)*ROW(AA$12:AA50)+1,ROW($T$12))&amp;":T"&amp;(ROW()-1))))),Первоначальный[[#This Row],[Полученный платеж]]+Y50),
AND(S50=0,MAX((0&lt;&gt;N$12:N50)*ROW(N$12:N50),ROW($S$12))&gt;=MAX((1=Z$12:Z50)*ROW(Z$12:Z50),ROW($T$12))),MIN(LOOKUP(,-1/($Z$12:Z51=1),$C$12:C51)+LOOKUP(,-1/($Z$12:Z51=1),$H$12:H51)-IF(N50&lt;&gt;0,0,SUM(INDIRECT("T"&amp;(MAX((0&lt;&gt;N$12:N50)*ROW(N$12:N50)+1,ROW($T$12))&amp;":T"&amp;(ROW()-1))))),Первоначальный[[#This Row],[Полученный платеж]]+Y50),
AND(S50=0,Первоначальный[[#This Row],[Дата платежа из графика]]=1),MIN(LOOKUP(,-1/($Z$12:Z51=1),$C$12:C51)+LOOKUP(,-1/($Z$12:Z51=1),$H$12:H51)-IF(Z50=1,0,SUM(INDIRECT("T"&amp;(MAX((1=Z$12:Z50)*ROW(Z$12:Z50)+1,ROW($T$12))&amp;":T"&amp;(ROW()-1))))),Первоначальный[[#This Row],[Полученный платеж]]+Y50),
AND(Z50&gt;0,Первоначальный[[#This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платеж]]+Y50),
AND(S50&gt;0,MAX((0&lt;&gt;S$12:S50)*ROW(S$12:S50),ROW($S$12))&gt;=MAX((1=Z$12:Z50)*ROW(Z$12:Z50),ROW($T$12)),TYPE(VLOOKUP("Да",(INDIRECT("AA"&amp;(MAX((1=Z$12:Z50)*ROW(Z$12:Z50),ROW($T$12))&amp;":AA"&amp;(ROW()-1)))),1,0))=16),MIN(LOOKUP(,-1/($Z$12:Z51=1),$C$12:C51)+LOOKUP(,-1/($Z$12:Z51=1),$H$12:H51)-SUM(INDIRECT("T"&amp;(MAX((1=Z$12:Z50)*ROW(Z$12:Z50),ROW($T$12))&amp;":T"&amp;(ROW()-1)))),Первоначальный[[#This Row],[Полученный платеж]]+Y50),
S50&gt;0,MIN(LOOKUP(,-1/($Z$12:Z51=1),$C$12:C51)+LOOKUP(,-1/($Z$12:Z51=1),$H$12:H51)-IF(Z50=1,0,SUM(INDIRECT("T"&amp;(MAX((1=Z$12:Z50)*ROW(Z$12:Z50)+1,ROW($T$12))&amp;":T"&amp;(ROW()-1))))),Первоначальный[[#This Row],[Полученный платеж]]+Y50)
)
)
)</f>
        <v>0</v>
      </c>
      <c r="U5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платеж]]+Y50-Первоначальный[[#This Row],[Полученный платёж по процентам]])</f>
        <v>0</v>
      </c>
      <c r="V51" s="55">
        <f t="shared" ca="1" si="0"/>
        <v>0</v>
      </c>
      <c r="W51" s="55" cm="1">
        <f t="array" aca="1" ref="W51" ca="1">IF(Первоначальный[[#This Row],[Итого остаток на начало периода]]&lt;1,0,
_xlfn.IFS(
AND(TYPE(VLOOKUP(1,$Z$12:Z51,1,0))=16,Первоначальный[[#This Row],[Досрочное погашение (да/"")]]=""),0,
AND(S50=0,Первоначальный[[#This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комиссиям]]),VLOOKUP(LOOKUP(,-1/($Z$12:Z51=1),$A$12:A51),График[[Срок конец]:[Возврат основной суммы долга]],3,0)),
AND(S50=0,Первоначальный[[#This Row],[Дата платежа из графика]]="",Первоначальный[[#This Row],[Досрочное погашение (да/"")]]&lt;&gt;"Да"),0,
AND(S50=0,Первоначальный[[#This Row],[Досрочное погашение (да/"")]]=""),MIN(Первоначальный[[#This Row],[Полученный платеж]]+Y50-SUM(Первоначальный[[#This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комиссиям]]),VLOOKUP(LOOKUP(,-1/($Z$12:Z51=1),$A$12:A51),График[[Срок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S50&gt;0,MIN(Первоначальный[[#This Row],[Полученный платеж]]+Y50-SUM(Первоначальный[[#This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комиссиям]]),SUM(INDIRECT("M"&amp;(MAX((1=S$12:S50)*ROW(S$12:S50),ROW($W$12))&amp;":M"&amp;(ROW()))))-SUM(INDIRECT("W"&amp;(MAX((1=S$12:S50)*ROW(S$12:S50),ROW($W$12))&amp;":W"&amp;(ROW()-1)))))
)
)</f>
        <v>0</v>
      </c>
      <c r="X51" s="55">
        <f t="shared" ca="1" si="1"/>
        <v>0</v>
      </c>
      <c r="Y51" s="101">
        <f t="shared" ca="1" si="9"/>
        <v>13.22</v>
      </c>
      <c r="Z51" s="133" t="str">
        <f>IF(TYPE((VLOOKUP(Первоначальный[[#This Row],[Дата платежа]],График[Срок конец],1,0)))=16,"",1)</f>
        <v/>
      </c>
      <c r="AA51" s="57"/>
      <c r="AB51" s="134"/>
      <c r="AC5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150000</v>
      </c>
      <c r="AD5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652.47999999999956</v>
      </c>
      <c r="AE5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5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51" s="55"/>
      <c r="AI51" s="55"/>
      <c r="AJ51" s="55"/>
      <c r="AK51" s="101">
        <f t="shared" ca="1" si="10"/>
        <v>150652.48000000001</v>
      </c>
      <c r="AL51" s="129">
        <f t="array" ref="AL51">MAX((УслРестрактов[Характеристика]="Дата реструктуризации")*(УслРестрактов[Значение]=Первоначальный!$A51),0)</f>
        <v>0</v>
      </c>
    </row>
    <row r="52" spans="1:38" x14ac:dyDescent="0.25">
      <c r="A52" s="97">
        <f t="shared" si="2"/>
        <v>44183</v>
      </c>
      <c r="B52" s="100">
        <f t="shared" ca="1" si="3"/>
        <v>150000</v>
      </c>
      <c r="C52" s="55">
        <f t="shared" ca="1" si="12"/>
        <v>652.47999999999956</v>
      </c>
      <c r="D52" s="55">
        <f t="shared" ca="1" si="12"/>
        <v>0</v>
      </c>
      <c r="E52" s="55">
        <f t="shared" ca="1" si="5"/>
        <v>0</v>
      </c>
      <c r="F52" s="55">
        <f t="shared" ca="1" si="6"/>
        <v>0</v>
      </c>
      <c r="G52" s="101">
        <f t="shared" ca="1" si="7"/>
        <v>150652.48000000001</v>
      </c>
      <c r="H52" s="100">
        <f ca="1">ROUND($B52*VLOOKUP($A52,$A$1:$B$10,2,1)/(365+IF(MOD(YEAR($A52),4),0,1)*($A52-$A51)),2)-Первоначальный[[#This Row],[Проценты на просроченный платеж по ОД за период]]</f>
        <v>81.56</v>
      </c>
      <c r="I52" s="55">
        <f t="shared" ca="1" si="8"/>
        <v>0</v>
      </c>
      <c r="J52" s="55">
        <v>0</v>
      </c>
      <c r="K52" s="55">
        <f t="shared" ca="1" si="11"/>
        <v>0</v>
      </c>
      <c r="L52" s="55">
        <v>0</v>
      </c>
      <c r="M52" s="113">
        <f>SUMIFS(График[Возврат основной суммы долга],График[Дата с учетом нерабочих дней],$A52)</f>
        <v>0</v>
      </c>
      <c r="N52" s="56">
        <f>SUMIFS(График[Возврат начисленных %],График[Дата с учетом нерабочих дней],$A52)</f>
        <v>0</v>
      </c>
      <c r="O52" s="101">
        <v>0</v>
      </c>
      <c r="P52" s="100" cm="1">
        <f t="array" aca="1" ref="P52" ca="1">MAX(IF(AA51="Да",0,SUM(INDIRECT("M"&amp;(MAX(("Да"=AA$12:AA51)*ROW(AA$12:AA51)+1,ROW($P$12))&amp;":M"&amp;(ROW()))))-SUM(INDIRECT("W"&amp;(MAX(("Да"=AA$12:AA51)*ROW(AA$12:AA51)+1,ROW($P$12))&amp;":W"&amp;(ROW()))))),0)</f>
        <v>0</v>
      </c>
      <c r="Q52" s="99">
        <f ca="1">MAX(SUM($N$13:N52)-SUM($T$13:T52),0)</f>
        <v>0</v>
      </c>
      <c r="R52" s="99">
        <f ca="1">Первоначальный[[#This Row],[Просроченный платеж по ОД]]+Первоначальный[[#This Row],[Просроченный платеж по процентам]]</f>
        <v>0</v>
      </c>
      <c r="S52" s="120">
        <f ca="1">IF(Первоначальный[[#This Row],[Просроченный платеж]]&lt;1,0,S51+1)</f>
        <v>0</v>
      </c>
      <c r="T52" s="100" cm="1">
        <f t="array" aca="1" ref="T52" ca="1">IF(Первоначальный[[#This Row],[Итого остаток на начало периода]]&lt;1,0,
IF(
AND(TYPE(VLOOKUP(1,$Z$12:Z52,1,0))=16,Первоначальный[[#This Row],[Досрочное погашение (да/"")]]=""),0,
_xlfn.IFS(AND(S51=0,Первоначальный[[#This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платеж]]&lt;&gt;0),MIN(LOOKUP(,-1/($Z$12:Z52=1),$C$12:C52)+LOOKUP(,-1/($Z$12:Z52=1),$H$12:H52),Первоначальный[[#This Row],[Полученный платеж]]+Y51),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платеж]]+Y51,SUM(Первоначальный[[#This Row],[Остаток процентов на начало периода]],Первоначальный[[#This Row],[Проценты за период]])),
AND(S51=0,Первоначальный[[#This Row],[Дата платежа из графика]]=""),0,
AND(S51=0,Первоначальный[[#This Row],[Дата платежа из графика]]=1,MAX((0&lt;&gt;S$12:S51)*ROW(S$12:S51),ROW($S$12))&gt;=MAX((1=Z$12:Z51)*ROW(Z$12:Z51),ROW($T$12)),TYPE(VLOOKUP("Да",(INDIRECT("AA"&amp;(MAX((1=Z$12:Z51)*ROW(Z$12:Z51),ROW($T$12))&amp;":AA"&amp;(ROW()-1)))),1,0))=16),MIN(LOOKUP(,-1/($Z$12:Z52=1),$C$12:C52)+LOOKUP(,-1/($Z$12:Z52=1),$H$12:H52),Первоначальный[[#This Row],[Полученный платеж]]+Y51),
AND(S51=0,TYPE(VLOOKUP("Да",(INDIRECT("AA"&amp;(MAX((1=Z$12:Z51)*ROW(Z$12:Z51),ROW($T$12))&amp;":AA"&amp;(ROW()-1)))),1,0))&lt;&gt;16),MIN(LOOKUP(,-1/($Z$12:Z52=1),$C$12:C52)+LOOKUP(,-1/($Z$12:Z52=1),$H$12:H52)-IF(AA51="Да",0,SUM(INDIRECT("T"&amp;(MAX(("Да"=AA$12:AA51)*ROW(AA$12:AA51)+1,ROW($T$12))&amp;":T"&amp;(ROW()-1))))),Первоначальный[[#This Row],[Полученный платеж]]+Y51),
AND(S51=0,MAX((0&lt;&gt;N$12:N51)*ROW(N$12:N51),ROW($S$12))&gt;=MAX((1=Z$12:Z51)*ROW(Z$12:Z51),ROW($T$12))),MIN(LOOKUP(,-1/($Z$12:Z52=1),$C$12:C52)+LOOKUP(,-1/($Z$12:Z52=1),$H$12:H52)-IF(N51&lt;&gt;0,0,SUM(INDIRECT("T"&amp;(MAX((0&lt;&gt;N$12:N51)*ROW(N$12:N51)+1,ROW($T$12))&amp;":T"&amp;(ROW()-1))))),Первоначальный[[#This Row],[Полученный платеж]]+Y51),
AND(S51=0,Первоначальный[[#This Row],[Дата платежа из графика]]=1),MIN(LOOKUP(,-1/($Z$12:Z52=1),$C$12:C52)+LOOKUP(,-1/($Z$12:Z52=1),$H$12:H52)-IF(Z51=1,0,SUM(INDIRECT("T"&amp;(MAX((1=Z$12:Z51)*ROW(Z$12:Z51)+1,ROW($T$12))&amp;":T"&amp;(ROW()-1))))),Первоначальный[[#This Row],[Полученный платеж]]+Y51),
AND(Z51&gt;0,Первоначальный[[#This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платеж]]+Y51),
AND(S51&gt;0,MAX((0&lt;&gt;S$12:S51)*ROW(S$12:S51),ROW($S$12))&gt;=MAX((1=Z$12:Z51)*ROW(Z$12:Z51),ROW($T$12)),TYPE(VLOOKUP("Да",(INDIRECT("AA"&amp;(MAX((1=Z$12:Z51)*ROW(Z$12:Z51),ROW($T$12))&amp;":AA"&amp;(ROW()-1)))),1,0))=16),MIN(LOOKUP(,-1/($Z$12:Z52=1),$C$12:C52)+LOOKUP(,-1/($Z$12:Z52=1),$H$12:H52)-SUM(INDIRECT("T"&amp;(MAX((1=Z$12:Z51)*ROW(Z$12:Z51),ROW($T$12))&amp;":T"&amp;(ROW()-1)))),Первоначальный[[#This Row],[Полученный платеж]]+Y51),
S51&gt;0,MIN(LOOKUP(,-1/($Z$12:Z52=1),$C$12:C52)+LOOKUP(,-1/($Z$12:Z52=1),$H$12:H52)-IF(Z51=1,0,SUM(INDIRECT("T"&amp;(MAX((1=Z$12:Z51)*ROW(Z$12:Z51)+1,ROW($T$12))&amp;":T"&amp;(ROW()-1))))),Первоначальный[[#This Row],[Полученный платеж]]+Y51)
)
)
)</f>
        <v>0</v>
      </c>
      <c r="U5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платеж]]+Y51-Первоначальный[[#This Row],[Полученный платёж по процентам]])</f>
        <v>0</v>
      </c>
      <c r="V52" s="55">
        <f t="shared" ca="1" si="0"/>
        <v>0</v>
      </c>
      <c r="W52" s="55" cm="1">
        <f t="array" aca="1" ref="W52" ca="1">IF(Первоначальный[[#This Row],[Итого остаток на начало периода]]&lt;1,0,
_xlfn.IFS(
AND(TYPE(VLOOKUP(1,$Z$12:Z52,1,0))=16,Первоначальный[[#This Row],[Досрочное погашение (да/"")]]=""),0,
AND(S51=0,Первоначальный[[#This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комиссиям]]),VLOOKUP(LOOKUP(,-1/($Z$12:Z52=1),$A$12:A52),График[[Срок конец]:[Возврат основной суммы долга]],3,0)),
AND(S51=0,Первоначальный[[#This Row],[Дата платежа из графика]]="",Первоначальный[[#This Row],[Досрочное погашение (да/"")]]&lt;&gt;"Да"),0,
AND(S51=0,Первоначальный[[#This Row],[Досрочное погашение (да/"")]]=""),MIN(Первоначальный[[#This Row],[Полученный платеж]]+Y51-SUM(Первоначальный[[#This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комиссиям]]),VLOOKUP(LOOKUP(,-1/($Z$12:Z52=1),$A$12:A52),График[[Срок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S51&gt;0,MIN(Первоначальный[[#This Row],[Полученный платеж]]+Y51-SUM(Первоначальный[[#This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комиссиям]]),SUM(INDIRECT("M"&amp;(MAX((1=S$12:S51)*ROW(S$12:S51),ROW($W$12))&amp;":M"&amp;(ROW()))))-SUM(INDIRECT("W"&amp;(MAX((1=S$12:S51)*ROW(S$12:S51),ROW($W$12))&amp;":W"&amp;(ROW()-1)))))
)
)</f>
        <v>0</v>
      </c>
      <c r="X52" s="55">
        <f t="shared" ca="1" si="1"/>
        <v>0</v>
      </c>
      <c r="Y52" s="101">
        <f t="shared" ca="1" si="9"/>
        <v>13.22</v>
      </c>
      <c r="Z52" s="133" t="str">
        <f>IF(TYPE((VLOOKUP(Первоначальный[[#This Row],[Дата платежа]],График[Срок конец],1,0)))=16,"",1)</f>
        <v/>
      </c>
      <c r="AA52" s="57"/>
      <c r="AB52" s="134"/>
      <c r="AC5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150000</v>
      </c>
      <c r="AD5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734.03999999999951</v>
      </c>
      <c r="AE5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5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52" s="55"/>
      <c r="AI52" s="55"/>
      <c r="AJ52" s="55"/>
      <c r="AK52" s="101">
        <f t="shared" ca="1" si="10"/>
        <v>150734.04</v>
      </c>
      <c r="AL52" s="129">
        <f t="array" ref="AL52">MAX((УслРестрактов[Характеристика]="Дата реструктуризации")*(УслРестрактов[Значение]=Первоначальный!$A52),0)</f>
        <v>0</v>
      </c>
    </row>
    <row r="53" spans="1:38" x14ac:dyDescent="0.25">
      <c r="A53" s="97">
        <f t="shared" si="2"/>
        <v>44184</v>
      </c>
      <c r="B53" s="100">
        <f t="shared" ca="1" si="3"/>
        <v>150000</v>
      </c>
      <c r="C53" s="55">
        <f t="shared" ca="1" si="12"/>
        <v>734.03999999999951</v>
      </c>
      <c r="D53" s="55">
        <f t="shared" ca="1" si="12"/>
        <v>0</v>
      </c>
      <c r="E53" s="55">
        <f t="shared" ca="1" si="5"/>
        <v>0</v>
      </c>
      <c r="F53" s="55">
        <f t="shared" ca="1" si="6"/>
        <v>0</v>
      </c>
      <c r="G53" s="101">
        <f t="shared" ca="1" si="7"/>
        <v>150734.04</v>
      </c>
      <c r="H53" s="100">
        <f ca="1">ROUND($B53*VLOOKUP($A53,$A$1:$B$10,2,1)/(365+IF(MOD(YEAR($A53),4),0,1)*($A53-$A52)),2)-Первоначальный[[#This Row],[Проценты на просроченный платеж по ОД за период]]</f>
        <v>81.56</v>
      </c>
      <c r="I53" s="55">
        <f t="shared" ca="1" si="8"/>
        <v>0</v>
      </c>
      <c r="J53" s="55">
        <v>0</v>
      </c>
      <c r="K53" s="55">
        <f t="shared" ca="1" si="11"/>
        <v>0</v>
      </c>
      <c r="L53" s="55">
        <v>0</v>
      </c>
      <c r="M53" s="113">
        <f>SUMIFS(График[Возврат основной суммы долга],График[Дата с учетом нерабочих дней],$A53)</f>
        <v>0</v>
      </c>
      <c r="N53" s="56">
        <f>SUMIFS(График[Возврат начисленных %],График[Дата с учетом нерабочих дней],$A53)</f>
        <v>0</v>
      </c>
      <c r="O53" s="101">
        <v>0</v>
      </c>
      <c r="P53" s="100" cm="1">
        <f t="array" aca="1" ref="P53" ca="1">MAX(IF(AA52="Да",0,SUM(INDIRECT("M"&amp;(MAX(("Да"=AA$12:AA52)*ROW(AA$12:AA52)+1,ROW($P$12))&amp;":M"&amp;(ROW()))))-SUM(INDIRECT("W"&amp;(MAX(("Да"=AA$12:AA52)*ROW(AA$12:AA52)+1,ROW($P$12))&amp;":W"&amp;(ROW()))))),0)</f>
        <v>0</v>
      </c>
      <c r="Q53" s="99">
        <f ca="1">MAX(SUM($N$13:N53)-SUM($T$13:T53),0)</f>
        <v>0</v>
      </c>
      <c r="R53" s="99">
        <f ca="1">Первоначальный[[#This Row],[Просроченный платеж по ОД]]+Первоначальный[[#This Row],[Просроченный платеж по процентам]]</f>
        <v>0</v>
      </c>
      <c r="S53" s="120">
        <f ca="1">IF(Первоначальный[[#This Row],[Просроченный платеж]]&lt;1,0,S52+1)</f>
        <v>0</v>
      </c>
      <c r="T53" s="100" cm="1">
        <f t="array" aca="1" ref="T53" ca="1">IF(Первоначальный[[#This Row],[Итого остаток на начало периода]]&lt;1,0,
IF(
AND(TYPE(VLOOKUP(1,$Z$12:Z53,1,0))=16,Первоначальный[[#This Row],[Досрочное погашение (да/"")]]=""),0,
_xlfn.IFS(AND(S52=0,Первоначальный[[#This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платеж]]&lt;&gt;0),MIN(LOOKUP(,-1/($Z$12:Z53=1),$C$12:C53)+LOOKUP(,-1/($Z$12:Z53=1),$H$12:H53),Первоначальный[[#This Row],[Полученный платеж]]+Y52),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платеж]]+Y52,SUM(Первоначальный[[#This Row],[Остаток процентов на начало периода]],Первоначальный[[#This Row],[Проценты за период]])),
AND(S52=0,Первоначальный[[#This Row],[Дата платежа из графика]]=""),0,
AND(S52=0,Первоначальный[[#This Row],[Дата платежа из графика]]=1,MAX((0&lt;&gt;S$12:S52)*ROW(S$12:S52),ROW($S$12))&gt;=MAX((1=Z$12:Z52)*ROW(Z$12:Z52),ROW($T$12)),TYPE(VLOOKUP("Да",(INDIRECT("AA"&amp;(MAX((1=Z$12:Z52)*ROW(Z$12:Z52),ROW($T$12))&amp;":AA"&amp;(ROW()-1)))),1,0))=16),MIN(LOOKUP(,-1/($Z$12:Z53=1),$C$12:C53)+LOOKUP(,-1/($Z$12:Z53=1),$H$12:H53),Первоначальный[[#This Row],[Полученный платеж]]+Y52),
AND(S52=0,TYPE(VLOOKUP("Да",(INDIRECT("AA"&amp;(MAX((1=Z$12:Z52)*ROW(Z$12:Z52),ROW($T$12))&amp;":AA"&amp;(ROW()-1)))),1,0))&lt;&gt;16),MIN(LOOKUP(,-1/($Z$12:Z53=1),$C$12:C53)+LOOKUP(,-1/($Z$12:Z53=1),$H$12:H53)-IF(AA52="Да",0,SUM(INDIRECT("T"&amp;(MAX(("Да"=AA$12:AA52)*ROW(AA$12:AA52)+1,ROW($T$12))&amp;":T"&amp;(ROW()-1))))),Первоначальный[[#This Row],[Полученный платеж]]+Y52),
AND(S52=0,MAX((0&lt;&gt;N$12:N52)*ROW(N$12:N52),ROW($S$12))&gt;=MAX((1=Z$12:Z52)*ROW(Z$12:Z52),ROW($T$12))),MIN(LOOKUP(,-1/($Z$12:Z53=1),$C$12:C53)+LOOKUP(,-1/($Z$12:Z53=1),$H$12:H53)-IF(N52&lt;&gt;0,0,SUM(INDIRECT("T"&amp;(MAX((0&lt;&gt;N$12:N52)*ROW(N$12:N52)+1,ROW($T$12))&amp;":T"&amp;(ROW()-1))))),Первоначальный[[#This Row],[Полученный платеж]]+Y52),
AND(S52=0,Первоначальный[[#This Row],[Дата платежа из графика]]=1),MIN(LOOKUP(,-1/($Z$12:Z53=1),$C$12:C53)+LOOKUP(,-1/($Z$12:Z53=1),$H$12:H53)-IF(Z52=1,0,SUM(INDIRECT("T"&amp;(MAX((1=Z$12:Z52)*ROW(Z$12:Z52)+1,ROW($T$12))&amp;":T"&amp;(ROW()-1))))),Первоначальный[[#This Row],[Полученный платеж]]+Y52),
AND(Z52&gt;0,Первоначальный[[#This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платеж]]+Y52),
AND(S52&gt;0,MAX((0&lt;&gt;S$12:S52)*ROW(S$12:S52),ROW($S$12))&gt;=MAX((1=Z$12:Z52)*ROW(Z$12:Z52),ROW($T$12)),TYPE(VLOOKUP("Да",(INDIRECT("AA"&amp;(MAX((1=Z$12:Z52)*ROW(Z$12:Z52),ROW($T$12))&amp;":AA"&amp;(ROW()-1)))),1,0))=16),MIN(LOOKUP(,-1/($Z$12:Z53=1),$C$12:C53)+LOOKUP(,-1/($Z$12:Z53=1),$H$12:H53)-SUM(INDIRECT("T"&amp;(MAX((1=Z$12:Z52)*ROW(Z$12:Z52),ROW($T$12))&amp;":T"&amp;(ROW()-1)))),Первоначальный[[#This Row],[Полученный платеж]]+Y52),
S52&gt;0,MIN(LOOKUP(,-1/($Z$12:Z53=1),$C$12:C53)+LOOKUP(,-1/($Z$12:Z53=1),$H$12:H53)-IF(Z52=1,0,SUM(INDIRECT("T"&amp;(MAX((1=Z$12:Z52)*ROW(Z$12:Z52)+1,ROW($T$12))&amp;":T"&amp;(ROW()-1))))),Первоначальный[[#This Row],[Полученный платеж]]+Y52)
)
)
)</f>
        <v>0</v>
      </c>
      <c r="U5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платеж]]+Y52-Первоначальный[[#This Row],[Полученный платёж по процентам]])</f>
        <v>0</v>
      </c>
      <c r="V53" s="55">
        <f t="shared" ca="1" si="0"/>
        <v>0</v>
      </c>
      <c r="W53" s="55" cm="1">
        <f t="array" aca="1" ref="W53" ca="1">IF(Первоначальный[[#This Row],[Итого остаток на начало периода]]&lt;1,0,
_xlfn.IFS(
AND(TYPE(VLOOKUP(1,$Z$12:Z53,1,0))=16,Первоначальный[[#This Row],[Досрочное погашение (да/"")]]=""),0,
AND(S52=0,Первоначальный[[#This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комиссиям]]),VLOOKUP(LOOKUP(,-1/($Z$12:Z53=1),$A$12:A53),График[[Срок конец]:[Возврат основной суммы долга]],3,0)),
AND(S52=0,Первоначальный[[#This Row],[Дата платежа из графика]]="",Первоначальный[[#This Row],[Досрочное погашение (да/"")]]&lt;&gt;"Да"),0,
AND(S52=0,Первоначальный[[#This Row],[Досрочное погашение (да/"")]]=""),MIN(Первоначальный[[#This Row],[Полученный платеж]]+Y52-SUM(Первоначальный[[#This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комиссиям]]),VLOOKUP(LOOKUP(,-1/($Z$12:Z53=1),$A$12:A53),График[[Срок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S52&gt;0,MIN(Первоначальный[[#This Row],[Полученный платеж]]+Y52-SUM(Первоначальный[[#This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комиссиям]]),SUM(INDIRECT("M"&amp;(MAX((1=S$12:S52)*ROW(S$12:S52),ROW($W$12))&amp;":M"&amp;(ROW()))))-SUM(INDIRECT("W"&amp;(MAX((1=S$12:S52)*ROW(S$12:S52),ROW($W$12))&amp;":W"&amp;(ROW()-1)))))
)
)</f>
        <v>0</v>
      </c>
      <c r="X53" s="55">
        <f t="shared" ca="1" si="1"/>
        <v>0</v>
      </c>
      <c r="Y53" s="101">
        <f t="shared" ca="1" si="9"/>
        <v>13.22</v>
      </c>
      <c r="Z53" s="133" t="str">
        <f>IF(TYPE((VLOOKUP(Первоначальный[[#This Row],[Дата платежа]],График[Срок конец],1,0)))=16,"",1)</f>
        <v/>
      </c>
      <c r="AA53" s="57"/>
      <c r="AB53" s="134"/>
      <c r="AC5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150000</v>
      </c>
      <c r="AD5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815.59999999999945</v>
      </c>
      <c r="AE5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5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53" s="55"/>
      <c r="AI53" s="55"/>
      <c r="AJ53" s="55"/>
      <c r="AK53" s="101">
        <f t="shared" ca="1" si="10"/>
        <v>150815.6</v>
      </c>
      <c r="AL53" s="129">
        <f t="array" ref="AL53">MAX((УслРестрактов[Характеристика]="Дата реструктуризации")*(УслРестрактов[Значение]=Первоначальный!$A53),0)</f>
        <v>0</v>
      </c>
    </row>
    <row r="54" spans="1:38" x14ac:dyDescent="0.25">
      <c r="A54" s="97">
        <f t="shared" si="2"/>
        <v>44185</v>
      </c>
      <c r="B54" s="100">
        <f t="shared" ca="1" si="3"/>
        <v>150000</v>
      </c>
      <c r="C54" s="55">
        <f t="shared" ca="1" si="12"/>
        <v>815.59999999999945</v>
      </c>
      <c r="D54" s="55">
        <f t="shared" ca="1" si="12"/>
        <v>0</v>
      </c>
      <c r="E54" s="55">
        <f t="shared" ca="1" si="5"/>
        <v>0</v>
      </c>
      <c r="F54" s="55">
        <f t="shared" ca="1" si="6"/>
        <v>0</v>
      </c>
      <c r="G54" s="101">
        <f t="shared" ca="1" si="7"/>
        <v>150815.6</v>
      </c>
      <c r="H54" s="100">
        <f ca="1">ROUND($B54*VLOOKUP($A54,$A$1:$B$10,2,1)/(365+IF(MOD(YEAR($A54),4),0,1)*($A54-$A53)),2)-Первоначальный[[#This Row],[Проценты на просроченный платеж по ОД за период]]</f>
        <v>81.56</v>
      </c>
      <c r="I54" s="55">
        <f t="shared" ca="1" si="8"/>
        <v>0</v>
      </c>
      <c r="J54" s="55">
        <v>0</v>
      </c>
      <c r="K54" s="55">
        <f t="shared" ca="1" si="11"/>
        <v>0</v>
      </c>
      <c r="L54" s="55">
        <v>0</v>
      </c>
      <c r="M54" s="113">
        <f>SUMIFS(График[Возврат основной суммы долга],График[Дата с учетом нерабочих дней],$A54)</f>
        <v>0</v>
      </c>
      <c r="N54" s="56">
        <f>SUMIFS(График[Возврат начисленных %],График[Дата с учетом нерабочих дней],$A54)</f>
        <v>0</v>
      </c>
      <c r="O54" s="101">
        <v>0</v>
      </c>
      <c r="P54" s="100" cm="1">
        <f t="array" aca="1" ref="P54" ca="1">MAX(IF(AA53="Да",0,SUM(INDIRECT("M"&amp;(MAX(("Да"=AA$12:AA53)*ROW(AA$12:AA53)+1,ROW($P$12))&amp;":M"&amp;(ROW()))))-SUM(INDIRECT("W"&amp;(MAX(("Да"=AA$12:AA53)*ROW(AA$12:AA53)+1,ROW($P$12))&amp;":W"&amp;(ROW()))))),0)</f>
        <v>0</v>
      </c>
      <c r="Q54" s="99">
        <f ca="1">MAX(SUM($N$13:N54)-SUM($T$13:T54),0)</f>
        <v>0</v>
      </c>
      <c r="R54" s="99">
        <f ca="1">Первоначальный[[#This Row],[Просроченный платеж по ОД]]+Первоначальный[[#This Row],[Просроченный платеж по процентам]]</f>
        <v>0</v>
      </c>
      <c r="S54" s="120">
        <f ca="1">IF(Первоначальный[[#This Row],[Просроченный платеж]]&lt;1,0,S53+1)</f>
        <v>0</v>
      </c>
      <c r="T54" s="100" cm="1">
        <f t="array" aca="1" ref="T54" ca="1">IF(Первоначальный[[#This Row],[Итого остаток на начало периода]]&lt;1,0,
IF(
AND(TYPE(VLOOKUP(1,$Z$12:Z54,1,0))=16,Первоначальный[[#This Row],[Досрочное погашение (да/"")]]=""),0,
_xlfn.IFS(AND(S53=0,Первоначальный[[#This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платеж]]&lt;&gt;0),MIN(LOOKUP(,-1/($Z$12:Z54=1),$C$12:C54)+LOOKUP(,-1/($Z$12:Z54=1),$H$12:H54),Первоначальный[[#This Row],[Полученный платеж]]+Y53),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платеж]]+Y53,SUM(Первоначальный[[#This Row],[Остаток процентов на начало периода]],Первоначальный[[#This Row],[Проценты за период]])),
AND(S53=0,Первоначальный[[#This Row],[Дата платежа из графика]]=""),0,
AND(S53=0,Первоначальный[[#This Row],[Дата платежа из графика]]=1,MAX((0&lt;&gt;S$12:S53)*ROW(S$12:S53),ROW($S$12))&gt;=MAX((1=Z$12:Z53)*ROW(Z$12:Z53),ROW($T$12)),TYPE(VLOOKUP("Да",(INDIRECT("AA"&amp;(MAX((1=Z$12:Z53)*ROW(Z$12:Z53),ROW($T$12))&amp;":AA"&amp;(ROW()-1)))),1,0))=16),MIN(LOOKUP(,-1/($Z$12:Z54=1),$C$12:C54)+LOOKUP(,-1/($Z$12:Z54=1),$H$12:H54),Первоначальный[[#This Row],[Полученный платеж]]+Y53),
AND(S53=0,TYPE(VLOOKUP("Да",(INDIRECT("AA"&amp;(MAX((1=Z$12:Z53)*ROW(Z$12:Z53),ROW($T$12))&amp;":AA"&amp;(ROW()-1)))),1,0))&lt;&gt;16),MIN(LOOKUP(,-1/($Z$12:Z54=1),$C$12:C54)+LOOKUP(,-1/($Z$12:Z54=1),$H$12:H54)-IF(AA53="Да",0,SUM(INDIRECT("T"&amp;(MAX(("Да"=AA$12:AA53)*ROW(AA$12:AA53)+1,ROW($T$12))&amp;":T"&amp;(ROW()-1))))),Первоначальный[[#This Row],[Полученный платеж]]+Y53),
AND(S53=0,MAX((0&lt;&gt;N$12:N53)*ROW(N$12:N53),ROW($S$12))&gt;=MAX((1=Z$12:Z53)*ROW(Z$12:Z53),ROW($T$12))),MIN(LOOKUP(,-1/($Z$12:Z54=1),$C$12:C54)+LOOKUP(,-1/($Z$12:Z54=1),$H$12:H54)-IF(N53&lt;&gt;0,0,SUM(INDIRECT("T"&amp;(MAX((0&lt;&gt;N$12:N53)*ROW(N$12:N53)+1,ROW($T$12))&amp;":T"&amp;(ROW()-1))))),Первоначальный[[#This Row],[Полученный платеж]]+Y53),
AND(S53=0,Первоначальный[[#This Row],[Дата платежа из графика]]=1),MIN(LOOKUP(,-1/($Z$12:Z54=1),$C$12:C54)+LOOKUP(,-1/($Z$12:Z54=1),$H$12:H54)-IF(Z53=1,0,SUM(INDIRECT("T"&amp;(MAX((1=Z$12:Z53)*ROW(Z$12:Z53)+1,ROW($T$12))&amp;":T"&amp;(ROW()-1))))),Первоначальный[[#This Row],[Полученный платеж]]+Y53),
AND(Z53&gt;0,Первоначальный[[#This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платеж]]+Y53),
AND(S53&gt;0,MAX((0&lt;&gt;S$12:S53)*ROW(S$12:S53),ROW($S$12))&gt;=MAX((1=Z$12:Z53)*ROW(Z$12:Z53),ROW($T$12)),TYPE(VLOOKUP("Да",(INDIRECT("AA"&amp;(MAX((1=Z$12:Z53)*ROW(Z$12:Z53),ROW($T$12))&amp;":AA"&amp;(ROW()-1)))),1,0))=16),MIN(LOOKUP(,-1/($Z$12:Z54=1),$C$12:C54)+LOOKUP(,-1/($Z$12:Z54=1),$H$12:H54)-SUM(INDIRECT("T"&amp;(MAX((1=Z$12:Z53)*ROW(Z$12:Z53),ROW($T$12))&amp;":T"&amp;(ROW()-1)))),Первоначальный[[#This Row],[Полученный платеж]]+Y53),
S53&gt;0,MIN(LOOKUP(,-1/($Z$12:Z54=1),$C$12:C54)+LOOKUP(,-1/($Z$12:Z54=1),$H$12:H54)-IF(Z53=1,0,SUM(INDIRECT("T"&amp;(MAX((1=Z$12:Z53)*ROW(Z$12:Z53)+1,ROW($T$12))&amp;":T"&amp;(ROW()-1))))),Первоначальный[[#This Row],[Полученный платеж]]+Y53)
)
)
)</f>
        <v>0</v>
      </c>
      <c r="U5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платеж]]+Y53-Первоначальный[[#This Row],[Полученный платёж по процентам]])</f>
        <v>0</v>
      </c>
      <c r="V54" s="55">
        <f t="shared" ca="1" si="0"/>
        <v>0</v>
      </c>
      <c r="W54" s="55" cm="1">
        <f t="array" aca="1" ref="W54" ca="1">IF(Первоначальный[[#This Row],[Итого остаток на начало периода]]&lt;1,0,
_xlfn.IFS(
AND(TYPE(VLOOKUP(1,$Z$12:Z54,1,0))=16,Первоначальный[[#This Row],[Досрочное погашение (да/"")]]=""),0,
AND(S53=0,Первоначальный[[#This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комиссиям]]),VLOOKUP(LOOKUP(,-1/($Z$12:Z54=1),$A$12:A54),График[[Срок конец]:[Возврат основной суммы долга]],3,0)),
AND(S53=0,Первоначальный[[#This Row],[Дата платежа из графика]]="",Первоначальный[[#This Row],[Досрочное погашение (да/"")]]&lt;&gt;"Да"),0,
AND(S53=0,Первоначальный[[#This Row],[Досрочное погашение (да/"")]]=""),MIN(Первоначальный[[#This Row],[Полученный платеж]]+Y53-SUM(Первоначальный[[#This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комиссиям]]),VLOOKUP(LOOKUP(,-1/($Z$12:Z54=1),$A$12:A54),График[[Срок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S53&gt;0,MIN(Первоначальный[[#This Row],[Полученный платеж]]+Y53-SUM(Первоначальный[[#This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комиссиям]]),SUM(INDIRECT("M"&amp;(MAX((1=S$12:S53)*ROW(S$12:S53),ROW($W$12))&amp;":M"&amp;(ROW()))))-SUM(INDIRECT("W"&amp;(MAX((1=S$12:S53)*ROW(S$12:S53),ROW($W$12))&amp;":W"&amp;(ROW()-1)))))
)
)</f>
        <v>0</v>
      </c>
      <c r="X54" s="55">
        <f t="shared" ca="1" si="1"/>
        <v>0</v>
      </c>
      <c r="Y54" s="101">
        <f t="shared" ca="1" si="9"/>
        <v>13.22</v>
      </c>
      <c r="Z54" s="133" t="str">
        <f>IF(TYPE((VLOOKUP(Первоначальный[[#This Row],[Дата платежа]],График[Срок конец],1,0)))=16,"",1)</f>
        <v/>
      </c>
      <c r="AA54" s="57"/>
      <c r="AB54" s="134"/>
      <c r="AC5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150000</v>
      </c>
      <c r="AD5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897.1599999999994</v>
      </c>
      <c r="AE5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5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54" s="55"/>
      <c r="AI54" s="55"/>
      <c r="AJ54" s="55"/>
      <c r="AK54" s="101">
        <f t="shared" ca="1" si="10"/>
        <v>150897.16</v>
      </c>
      <c r="AL54" s="129">
        <f t="array" ref="AL54">MAX((УслРестрактов[Характеристика]="Дата реструктуризации")*(УслРестрактов[Значение]=Первоначальный!$A54),0)</f>
        <v>0</v>
      </c>
    </row>
    <row r="55" spans="1:38" x14ac:dyDescent="0.25">
      <c r="A55" s="97">
        <f t="shared" si="2"/>
        <v>44186</v>
      </c>
      <c r="B55" s="100">
        <f t="shared" ca="1" si="3"/>
        <v>150000</v>
      </c>
      <c r="C55" s="55">
        <f t="shared" ca="1" si="12"/>
        <v>897.1599999999994</v>
      </c>
      <c r="D55" s="55">
        <f t="shared" ca="1" si="12"/>
        <v>0</v>
      </c>
      <c r="E55" s="55">
        <f t="shared" ca="1" si="5"/>
        <v>0</v>
      </c>
      <c r="F55" s="55">
        <f t="shared" ca="1" si="6"/>
        <v>0</v>
      </c>
      <c r="G55" s="101">
        <f t="shared" ca="1" si="7"/>
        <v>150897.16</v>
      </c>
      <c r="H55" s="100">
        <f ca="1">ROUND($B55*VLOOKUP($A55,$A$1:$B$10,2,1)/(365+IF(MOD(YEAR($A55),4),0,1)*($A55-$A54)),2)-Первоначальный[[#This Row],[Проценты на просроченный платеж по ОД за период]]</f>
        <v>81.56</v>
      </c>
      <c r="I55" s="55">
        <f t="shared" ca="1" si="8"/>
        <v>0</v>
      </c>
      <c r="J55" s="55">
        <v>0</v>
      </c>
      <c r="K55" s="55">
        <f t="shared" ca="1" si="11"/>
        <v>0</v>
      </c>
      <c r="L55" s="55">
        <v>0</v>
      </c>
      <c r="M55" s="113">
        <f>SUMIFS(График[Возврат основной суммы долга],График[Дата с учетом нерабочих дней],$A55)</f>
        <v>0</v>
      </c>
      <c r="N55" s="56">
        <f>SUMIFS(График[Возврат начисленных %],График[Дата с учетом нерабочих дней],$A55)</f>
        <v>0</v>
      </c>
      <c r="O55" s="101">
        <v>0</v>
      </c>
      <c r="P55" s="100" cm="1">
        <f t="array" aca="1" ref="P55" ca="1">MAX(IF(AA54="Да",0,SUM(INDIRECT("M"&amp;(MAX(("Да"=AA$12:AA54)*ROW(AA$12:AA54)+1,ROW($P$12))&amp;":M"&amp;(ROW()))))-SUM(INDIRECT("W"&amp;(MAX(("Да"=AA$12:AA54)*ROW(AA$12:AA54)+1,ROW($P$12))&amp;":W"&amp;(ROW()))))),0)</f>
        <v>0</v>
      </c>
      <c r="Q55" s="99">
        <f ca="1">MAX(SUM($N$13:N55)-SUM($T$13:T55),0)</f>
        <v>0</v>
      </c>
      <c r="R55" s="99">
        <f ca="1">Первоначальный[[#This Row],[Просроченный платеж по ОД]]+Первоначальный[[#This Row],[Просроченный платеж по процентам]]</f>
        <v>0</v>
      </c>
      <c r="S55" s="120">
        <f ca="1">IF(Первоначальный[[#This Row],[Просроченный платеж]]&lt;1,0,S54+1)</f>
        <v>0</v>
      </c>
      <c r="T55" s="100" cm="1">
        <f t="array" aca="1" ref="T55" ca="1">IF(Первоначальный[[#This Row],[Итого остаток на начало периода]]&lt;1,0,
IF(
AND(TYPE(VLOOKUP(1,$Z$12:Z55,1,0))=16,Первоначальный[[#This Row],[Досрочное погашение (да/"")]]=""),0,
_xlfn.IFS(AND(S54=0,Первоначальный[[#This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платеж]]&lt;&gt;0),MIN(LOOKUP(,-1/($Z$12:Z55=1),$C$12:C55)+LOOKUP(,-1/($Z$12:Z55=1),$H$12:H55),Первоначальный[[#This Row],[Полученный платеж]]+Y54),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платеж]]+Y54,SUM(Первоначальный[[#This Row],[Остаток процентов на начало периода]],Первоначальный[[#This Row],[Проценты за период]])),
AND(S54=0,Первоначальный[[#This Row],[Дата платежа из графика]]=""),0,
AND(S54=0,Первоначальный[[#This Row],[Дата платежа из графика]]=1,MAX((0&lt;&gt;S$12:S54)*ROW(S$12:S54),ROW($S$12))&gt;=MAX((1=Z$12:Z54)*ROW(Z$12:Z54),ROW($T$12)),TYPE(VLOOKUP("Да",(INDIRECT("AA"&amp;(MAX((1=Z$12:Z54)*ROW(Z$12:Z54),ROW($T$12))&amp;":AA"&amp;(ROW()-1)))),1,0))=16),MIN(LOOKUP(,-1/($Z$12:Z55=1),$C$12:C55)+LOOKUP(,-1/($Z$12:Z55=1),$H$12:H55),Первоначальный[[#This Row],[Полученный платеж]]+Y54),
AND(S54=0,TYPE(VLOOKUP("Да",(INDIRECT("AA"&amp;(MAX((1=Z$12:Z54)*ROW(Z$12:Z54),ROW($T$12))&amp;":AA"&amp;(ROW()-1)))),1,0))&lt;&gt;16),MIN(LOOKUP(,-1/($Z$12:Z55=1),$C$12:C55)+LOOKUP(,-1/($Z$12:Z55=1),$H$12:H55)-IF(AA54="Да",0,SUM(INDIRECT("T"&amp;(MAX(("Да"=AA$12:AA54)*ROW(AA$12:AA54)+1,ROW($T$12))&amp;":T"&amp;(ROW()-1))))),Первоначальный[[#This Row],[Полученный платеж]]+Y54),
AND(S54=0,MAX((0&lt;&gt;N$12:N54)*ROW(N$12:N54),ROW($S$12))&gt;=MAX((1=Z$12:Z54)*ROW(Z$12:Z54),ROW($T$12))),MIN(LOOKUP(,-1/($Z$12:Z55=1),$C$12:C55)+LOOKUP(,-1/($Z$12:Z55=1),$H$12:H55)-IF(N54&lt;&gt;0,0,SUM(INDIRECT("T"&amp;(MAX((0&lt;&gt;N$12:N54)*ROW(N$12:N54)+1,ROW($T$12))&amp;":T"&amp;(ROW()-1))))),Первоначальный[[#This Row],[Полученный платеж]]+Y54),
AND(S54=0,Первоначальный[[#This Row],[Дата платежа из графика]]=1),MIN(LOOKUP(,-1/($Z$12:Z55=1),$C$12:C55)+LOOKUP(,-1/($Z$12:Z55=1),$H$12:H55)-IF(Z54=1,0,SUM(INDIRECT("T"&amp;(MAX((1=Z$12:Z54)*ROW(Z$12:Z54)+1,ROW($T$12))&amp;":T"&amp;(ROW()-1))))),Первоначальный[[#This Row],[Полученный платеж]]+Y54),
AND(Z54&gt;0,Первоначальный[[#This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платеж]]+Y54),
AND(S54&gt;0,MAX((0&lt;&gt;S$12:S54)*ROW(S$12:S54),ROW($S$12))&gt;=MAX((1=Z$12:Z54)*ROW(Z$12:Z54),ROW($T$12)),TYPE(VLOOKUP("Да",(INDIRECT("AA"&amp;(MAX((1=Z$12:Z54)*ROW(Z$12:Z54),ROW($T$12))&amp;":AA"&amp;(ROW()-1)))),1,0))=16),MIN(LOOKUP(,-1/($Z$12:Z55=1),$C$12:C55)+LOOKUP(,-1/($Z$12:Z55=1),$H$12:H55)-SUM(INDIRECT("T"&amp;(MAX((1=Z$12:Z54)*ROW(Z$12:Z54),ROW($T$12))&amp;":T"&amp;(ROW()-1)))),Первоначальный[[#This Row],[Полученный платеж]]+Y54),
S54&gt;0,MIN(LOOKUP(,-1/($Z$12:Z55=1),$C$12:C55)+LOOKUP(,-1/($Z$12:Z55=1),$H$12:H55)-IF(Z54=1,0,SUM(INDIRECT("T"&amp;(MAX((1=Z$12:Z54)*ROW(Z$12:Z54)+1,ROW($T$12))&amp;":T"&amp;(ROW()-1))))),Первоначальный[[#This Row],[Полученный платеж]]+Y54)
)
)
)</f>
        <v>0</v>
      </c>
      <c r="U5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платеж]]+Y54-Первоначальный[[#This Row],[Полученный платёж по процентам]])</f>
        <v>0</v>
      </c>
      <c r="V55" s="55">
        <f t="shared" ca="1" si="0"/>
        <v>0</v>
      </c>
      <c r="W55" s="55" cm="1">
        <f t="array" aca="1" ref="W55" ca="1">IF(Первоначальный[[#This Row],[Итого остаток на начало периода]]&lt;1,0,
_xlfn.IFS(
AND(TYPE(VLOOKUP(1,$Z$12:Z55,1,0))=16,Первоначальный[[#This Row],[Досрочное погашение (да/"")]]=""),0,
AND(S54=0,Первоначальный[[#This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комиссиям]]),VLOOKUP(LOOKUP(,-1/($Z$12:Z55=1),$A$12:A55),График[[Срок конец]:[Возврат основной суммы долга]],3,0)),
AND(S54=0,Первоначальный[[#This Row],[Дата платежа из графика]]="",Первоначальный[[#This Row],[Досрочное погашение (да/"")]]&lt;&gt;"Да"),0,
AND(S54=0,Первоначальный[[#This Row],[Досрочное погашение (да/"")]]=""),MIN(Первоначальный[[#This Row],[Полученный платеж]]+Y54-SUM(Первоначальный[[#This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комиссиям]]),VLOOKUP(LOOKUP(,-1/($Z$12:Z55=1),$A$12:A55),График[[Срок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S54&gt;0,MIN(Первоначальный[[#This Row],[Полученный платеж]]+Y54-SUM(Первоначальный[[#This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комиссиям]]),SUM(INDIRECT("M"&amp;(MAX((1=S$12:S54)*ROW(S$12:S54),ROW($W$12))&amp;":M"&amp;(ROW()))))-SUM(INDIRECT("W"&amp;(MAX((1=S$12:S54)*ROW(S$12:S54),ROW($W$12))&amp;":W"&amp;(ROW()-1)))))
)
)</f>
        <v>0</v>
      </c>
      <c r="X55" s="55">
        <f t="shared" ca="1" si="1"/>
        <v>0</v>
      </c>
      <c r="Y55" s="101">
        <f t="shared" ca="1" si="9"/>
        <v>13.22</v>
      </c>
      <c r="Z55" s="133" t="str">
        <f>IF(TYPE((VLOOKUP(Первоначальный[[#This Row],[Дата платежа]],График[Срок конец],1,0)))=16,"",1)</f>
        <v/>
      </c>
      <c r="AA55" s="57"/>
      <c r="AB55" s="134"/>
      <c r="AC5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150000</v>
      </c>
      <c r="AD5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978.71999999999935</v>
      </c>
      <c r="AE5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5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55" s="55"/>
      <c r="AI55" s="55"/>
      <c r="AJ55" s="55"/>
      <c r="AK55" s="101">
        <f t="shared" ca="1" si="10"/>
        <v>150978.72</v>
      </c>
      <c r="AL55" s="129">
        <f t="array" ref="AL55">MAX((УслРестрактов[Характеристика]="Дата реструктуризации")*(УслРестрактов[Значение]=Первоначальный!$A55),0)</f>
        <v>0</v>
      </c>
    </row>
    <row r="56" spans="1:38" x14ac:dyDescent="0.25">
      <c r="A56" s="97">
        <f t="shared" si="2"/>
        <v>44187</v>
      </c>
      <c r="B56" s="100">
        <f t="shared" ca="1" si="3"/>
        <v>150000</v>
      </c>
      <c r="C56" s="55">
        <f t="shared" ca="1" si="12"/>
        <v>978.71999999999935</v>
      </c>
      <c r="D56" s="55">
        <f t="shared" ca="1" si="12"/>
        <v>0</v>
      </c>
      <c r="E56" s="55">
        <f t="shared" ca="1" si="5"/>
        <v>0</v>
      </c>
      <c r="F56" s="55">
        <f t="shared" ca="1" si="6"/>
        <v>0</v>
      </c>
      <c r="G56" s="101">
        <f t="shared" ca="1" si="7"/>
        <v>150978.72</v>
      </c>
      <c r="H56" s="100">
        <f ca="1">ROUND($B56*VLOOKUP($A56,$A$1:$B$10,2,1)/(365+IF(MOD(YEAR($A56),4),0,1)*($A56-$A55)),2)-Первоначальный[[#This Row],[Проценты на просроченный платеж по ОД за период]]</f>
        <v>81.56</v>
      </c>
      <c r="I56" s="55">
        <f t="shared" ca="1" si="8"/>
        <v>0</v>
      </c>
      <c r="J56" s="55">
        <v>0</v>
      </c>
      <c r="K56" s="55">
        <f t="shared" ca="1" si="11"/>
        <v>0</v>
      </c>
      <c r="L56" s="55">
        <v>0</v>
      </c>
      <c r="M56" s="113">
        <f>SUMIFS(График[Возврат основной суммы долга],График[Дата с учетом нерабочих дней],$A56)</f>
        <v>0</v>
      </c>
      <c r="N56" s="56">
        <f>SUMIFS(График[Возврат начисленных %],График[Дата с учетом нерабочих дней],$A56)</f>
        <v>0</v>
      </c>
      <c r="O56" s="101">
        <v>0</v>
      </c>
      <c r="P56" s="100" cm="1">
        <f t="array" aca="1" ref="P56" ca="1">MAX(IF(AA55="Да",0,SUM(INDIRECT("M"&amp;(MAX(("Да"=AA$12:AA55)*ROW(AA$12:AA55)+1,ROW($P$12))&amp;":M"&amp;(ROW()))))-SUM(INDIRECT("W"&amp;(MAX(("Да"=AA$12:AA55)*ROW(AA$12:AA55)+1,ROW($P$12))&amp;":W"&amp;(ROW()))))),0)</f>
        <v>0</v>
      </c>
      <c r="Q56" s="99">
        <f ca="1">MAX(SUM($N$13:N56)-SUM($T$13:T56),0)</f>
        <v>0</v>
      </c>
      <c r="R56" s="99">
        <f ca="1">Первоначальный[[#This Row],[Просроченный платеж по ОД]]+Первоначальный[[#This Row],[Просроченный платеж по процентам]]</f>
        <v>0</v>
      </c>
      <c r="S56" s="120">
        <f ca="1">IF(Первоначальный[[#This Row],[Просроченный платеж]]&lt;1,0,S55+1)</f>
        <v>0</v>
      </c>
      <c r="T56" s="100" cm="1">
        <f t="array" aca="1" ref="T56" ca="1">IF(Первоначальный[[#This Row],[Итого остаток на начало периода]]&lt;1,0,
IF(
AND(TYPE(VLOOKUP(1,$Z$12:Z56,1,0))=16,Первоначальный[[#This Row],[Досрочное погашение (да/"")]]=""),0,
_xlfn.IFS(AND(S55=0,Первоначальный[[#This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платеж]]&lt;&gt;0),MIN(LOOKUP(,-1/($Z$12:Z56=1),$C$12:C56)+LOOKUP(,-1/($Z$12:Z56=1),$H$12:H56),Первоначальный[[#This Row],[Полученный платеж]]+Y55),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платеж]]+Y55,SUM(Первоначальный[[#This Row],[Остаток процентов на начало периода]],Первоначальный[[#This Row],[Проценты за период]])),
AND(S55=0,Первоначальный[[#This Row],[Дата платежа из графика]]=""),0,
AND(S55=0,Первоначальный[[#This Row],[Дата платежа из графика]]=1,MAX((0&lt;&gt;S$12:S55)*ROW(S$12:S55),ROW($S$12))&gt;=MAX((1=Z$12:Z55)*ROW(Z$12:Z55),ROW($T$12)),TYPE(VLOOKUP("Да",(INDIRECT("AA"&amp;(MAX((1=Z$12:Z55)*ROW(Z$12:Z55),ROW($T$12))&amp;":AA"&amp;(ROW()-1)))),1,0))=16),MIN(LOOKUP(,-1/($Z$12:Z56=1),$C$12:C56)+LOOKUP(,-1/($Z$12:Z56=1),$H$12:H56),Первоначальный[[#This Row],[Полученный платеж]]+Y55),
AND(S55=0,TYPE(VLOOKUP("Да",(INDIRECT("AA"&amp;(MAX((1=Z$12:Z55)*ROW(Z$12:Z55),ROW($T$12))&amp;":AA"&amp;(ROW()-1)))),1,0))&lt;&gt;16),MIN(LOOKUP(,-1/($Z$12:Z56=1),$C$12:C56)+LOOKUP(,-1/($Z$12:Z56=1),$H$12:H56)-IF(AA55="Да",0,SUM(INDIRECT("T"&amp;(MAX(("Да"=AA$12:AA55)*ROW(AA$12:AA55)+1,ROW($T$12))&amp;":T"&amp;(ROW()-1))))),Первоначальный[[#This Row],[Полученный платеж]]+Y55),
AND(S55=0,MAX((0&lt;&gt;N$12:N55)*ROW(N$12:N55),ROW($S$12))&gt;=MAX((1=Z$12:Z55)*ROW(Z$12:Z55),ROW($T$12))),MIN(LOOKUP(,-1/($Z$12:Z56=1),$C$12:C56)+LOOKUP(,-1/($Z$12:Z56=1),$H$12:H56)-IF(N55&lt;&gt;0,0,SUM(INDIRECT("T"&amp;(MAX((0&lt;&gt;N$12:N55)*ROW(N$12:N55)+1,ROW($T$12))&amp;":T"&amp;(ROW()-1))))),Первоначальный[[#This Row],[Полученный платеж]]+Y55),
AND(S55=0,Первоначальный[[#This Row],[Дата платежа из графика]]=1),MIN(LOOKUP(,-1/($Z$12:Z56=1),$C$12:C56)+LOOKUP(,-1/($Z$12:Z56=1),$H$12:H56)-IF(Z55=1,0,SUM(INDIRECT("T"&amp;(MAX((1=Z$12:Z55)*ROW(Z$12:Z55)+1,ROW($T$12))&amp;":T"&amp;(ROW()-1))))),Первоначальный[[#This Row],[Полученный платеж]]+Y55),
AND(Z55&gt;0,Первоначальный[[#This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платеж]]+Y55),
AND(S55&gt;0,MAX((0&lt;&gt;S$12:S55)*ROW(S$12:S55),ROW($S$12))&gt;=MAX((1=Z$12:Z55)*ROW(Z$12:Z55),ROW($T$12)),TYPE(VLOOKUP("Да",(INDIRECT("AA"&amp;(MAX((1=Z$12:Z55)*ROW(Z$12:Z55),ROW($T$12))&amp;":AA"&amp;(ROW()-1)))),1,0))=16),MIN(LOOKUP(,-1/($Z$12:Z56=1),$C$12:C56)+LOOKUP(,-1/($Z$12:Z56=1),$H$12:H56)-SUM(INDIRECT("T"&amp;(MAX((1=Z$12:Z55)*ROW(Z$12:Z55),ROW($T$12))&amp;":T"&amp;(ROW()-1)))),Первоначальный[[#This Row],[Полученный платеж]]+Y55),
S55&gt;0,MIN(LOOKUP(,-1/($Z$12:Z56=1),$C$12:C56)+LOOKUP(,-1/($Z$12:Z56=1),$H$12:H56)-IF(Z55=1,0,SUM(INDIRECT("T"&amp;(MAX((1=Z$12:Z55)*ROW(Z$12:Z55)+1,ROW($T$12))&amp;":T"&amp;(ROW()-1))))),Первоначальный[[#This Row],[Полученный платеж]]+Y55)
)
)
)</f>
        <v>0</v>
      </c>
      <c r="U5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платеж]]+Y55-Первоначальный[[#This Row],[Полученный платёж по процентам]])</f>
        <v>0</v>
      </c>
      <c r="V56" s="55">
        <f t="shared" ca="1" si="0"/>
        <v>0</v>
      </c>
      <c r="W56" s="55" cm="1">
        <f t="array" aca="1" ref="W56" ca="1">IF(Первоначальный[[#This Row],[Итого остаток на начало периода]]&lt;1,0,
_xlfn.IFS(
AND(TYPE(VLOOKUP(1,$Z$12:Z56,1,0))=16,Первоначальный[[#This Row],[Досрочное погашение (да/"")]]=""),0,
AND(S55=0,Первоначальный[[#This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комиссиям]]),VLOOKUP(LOOKUP(,-1/($Z$12:Z56=1),$A$12:A56),График[[Срок конец]:[Возврат основной суммы долга]],3,0)),
AND(S55=0,Первоначальный[[#This Row],[Дата платежа из графика]]="",Первоначальный[[#This Row],[Досрочное погашение (да/"")]]&lt;&gt;"Да"),0,
AND(S55=0,Первоначальный[[#This Row],[Досрочное погашение (да/"")]]=""),MIN(Первоначальный[[#This Row],[Полученный платеж]]+Y55-SUM(Первоначальный[[#This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комиссиям]]),VLOOKUP(LOOKUP(,-1/($Z$12:Z56=1),$A$12:A56),График[[Срок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S55&gt;0,MIN(Первоначальный[[#This Row],[Полученный платеж]]+Y55-SUM(Первоначальный[[#This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комиссиям]]),SUM(INDIRECT("M"&amp;(MAX((1=S$12:S55)*ROW(S$12:S55),ROW($W$12))&amp;":M"&amp;(ROW()))))-SUM(INDIRECT("W"&amp;(MAX((1=S$12:S55)*ROW(S$12:S55),ROW($W$12))&amp;":W"&amp;(ROW()-1)))))
)
)</f>
        <v>0</v>
      </c>
      <c r="X56" s="55">
        <f t="shared" ca="1" si="1"/>
        <v>0</v>
      </c>
      <c r="Y56" s="101">
        <f t="shared" ca="1" si="9"/>
        <v>13.22</v>
      </c>
      <c r="Z56" s="133" t="str">
        <f>IF(TYPE((VLOOKUP(Первоначальный[[#This Row],[Дата платежа]],График[Срок конец],1,0)))=16,"",1)</f>
        <v/>
      </c>
      <c r="AA56" s="57"/>
      <c r="AB56" s="134"/>
      <c r="AC5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150000</v>
      </c>
      <c r="AD5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1060.2799999999993</v>
      </c>
      <c r="AE5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5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56" s="55"/>
      <c r="AI56" s="55"/>
      <c r="AJ56" s="55"/>
      <c r="AK56" s="101">
        <f t="shared" ca="1" si="10"/>
        <v>151060.28</v>
      </c>
      <c r="AL56" s="129">
        <f t="array" ref="AL56">MAX((УслРестрактов[Характеристика]="Дата реструктуризации")*(УслРестрактов[Значение]=Первоначальный!$A56),0)</f>
        <v>0</v>
      </c>
    </row>
    <row r="57" spans="1:38" x14ac:dyDescent="0.25">
      <c r="A57" s="97">
        <f t="shared" si="2"/>
        <v>44188</v>
      </c>
      <c r="B57" s="100">
        <f t="shared" ca="1" si="3"/>
        <v>150000</v>
      </c>
      <c r="C57" s="55">
        <f t="shared" ca="1" si="12"/>
        <v>1060.2799999999993</v>
      </c>
      <c r="D57" s="55">
        <f t="shared" ca="1" si="12"/>
        <v>0</v>
      </c>
      <c r="E57" s="55">
        <f t="shared" ca="1" si="5"/>
        <v>0</v>
      </c>
      <c r="F57" s="55">
        <f t="shared" ca="1" si="6"/>
        <v>0</v>
      </c>
      <c r="G57" s="101">
        <f t="shared" ca="1" si="7"/>
        <v>151060.28</v>
      </c>
      <c r="H57" s="100">
        <f ca="1">ROUND($B57*VLOOKUP($A57,$A$1:$B$10,2,1)/(365+IF(MOD(YEAR($A57),4),0,1)*($A57-$A56)),2)-Первоначальный[[#This Row],[Проценты на просроченный платеж по ОД за период]]</f>
        <v>81.56</v>
      </c>
      <c r="I57" s="55">
        <f t="shared" ca="1" si="8"/>
        <v>0</v>
      </c>
      <c r="J57" s="55">
        <v>0</v>
      </c>
      <c r="K57" s="55">
        <f t="shared" ca="1" si="11"/>
        <v>0</v>
      </c>
      <c r="L57" s="55">
        <v>0</v>
      </c>
      <c r="M57" s="113">
        <f>SUMIFS(График[Возврат основной суммы долга],График[Дата с учетом нерабочих дней],$A57)</f>
        <v>0</v>
      </c>
      <c r="N57" s="56">
        <f>SUMIFS(График[Возврат начисленных %],График[Дата с учетом нерабочих дней],$A57)</f>
        <v>0</v>
      </c>
      <c r="O57" s="101">
        <v>0</v>
      </c>
      <c r="P57" s="100" cm="1">
        <f t="array" aca="1" ref="P57" ca="1">MAX(IF(AA56="Да",0,SUM(INDIRECT("M"&amp;(MAX(("Да"=AA$12:AA56)*ROW(AA$12:AA56)+1,ROW($P$12))&amp;":M"&amp;(ROW()))))-SUM(INDIRECT("W"&amp;(MAX(("Да"=AA$12:AA56)*ROW(AA$12:AA56)+1,ROW($P$12))&amp;":W"&amp;(ROW()))))),0)</f>
        <v>0</v>
      </c>
      <c r="Q57" s="99">
        <f ca="1">MAX(SUM($N$13:N57)-SUM($T$13:T57),0)</f>
        <v>0</v>
      </c>
      <c r="R57" s="99">
        <f ca="1">Первоначальный[[#This Row],[Просроченный платеж по ОД]]+Первоначальный[[#This Row],[Просроченный платеж по процентам]]</f>
        <v>0</v>
      </c>
      <c r="S57" s="120">
        <f ca="1">IF(Первоначальный[[#This Row],[Просроченный платеж]]&lt;1,0,S56+1)</f>
        <v>0</v>
      </c>
      <c r="T57" s="100" cm="1">
        <f t="array" aca="1" ref="T57" ca="1">IF(Первоначальный[[#This Row],[Итого остаток на начало периода]]&lt;1,0,
IF(
AND(TYPE(VLOOKUP(1,$Z$12:Z57,1,0))=16,Первоначальный[[#This Row],[Досрочное погашение (да/"")]]=""),0,
_xlfn.IFS(AND(S56=0,Первоначальный[[#This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платеж]]&lt;&gt;0),MIN(LOOKUP(,-1/($Z$12:Z57=1),$C$12:C57)+LOOKUP(,-1/($Z$12:Z57=1),$H$12:H57),Первоначальный[[#This Row],[Полученный платеж]]+Y56),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платеж]]+Y56,SUM(Первоначальный[[#This Row],[Остаток процентов на начало периода]],Первоначальный[[#This Row],[Проценты за период]])),
AND(S56=0,Первоначальный[[#This Row],[Дата платежа из графика]]=""),0,
AND(S56=0,Первоначальный[[#This Row],[Дата платежа из графика]]=1,MAX((0&lt;&gt;S$12:S56)*ROW(S$12:S56),ROW($S$12))&gt;=MAX((1=Z$12:Z56)*ROW(Z$12:Z56),ROW($T$12)),TYPE(VLOOKUP("Да",(INDIRECT("AA"&amp;(MAX((1=Z$12:Z56)*ROW(Z$12:Z56),ROW($T$12))&amp;":AA"&amp;(ROW()-1)))),1,0))=16),MIN(LOOKUP(,-1/($Z$12:Z57=1),$C$12:C57)+LOOKUP(,-1/($Z$12:Z57=1),$H$12:H57),Первоначальный[[#This Row],[Полученный платеж]]+Y56),
AND(S56=0,TYPE(VLOOKUP("Да",(INDIRECT("AA"&amp;(MAX((1=Z$12:Z56)*ROW(Z$12:Z56),ROW($T$12))&amp;":AA"&amp;(ROW()-1)))),1,0))&lt;&gt;16),MIN(LOOKUP(,-1/($Z$12:Z57=1),$C$12:C57)+LOOKUP(,-1/($Z$12:Z57=1),$H$12:H57)-IF(AA56="Да",0,SUM(INDIRECT("T"&amp;(MAX(("Да"=AA$12:AA56)*ROW(AA$12:AA56)+1,ROW($T$12))&amp;":T"&amp;(ROW()-1))))),Первоначальный[[#This Row],[Полученный платеж]]+Y56),
AND(S56=0,MAX((0&lt;&gt;N$12:N56)*ROW(N$12:N56),ROW($S$12))&gt;=MAX((1=Z$12:Z56)*ROW(Z$12:Z56),ROW($T$12))),MIN(LOOKUP(,-1/($Z$12:Z57=1),$C$12:C57)+LOOKUP(,-1/($Z$12:Z57=1),$H$12:H57)-IF(N56&lt;&gt;0,0,SUM(INDIRECT("T"&amp;(MAX((0&lt;&gt;N$12:N56)*ROW(N$12:N56)+1,ROW($T$12))&amp;":T"&amp;(ROW()-1))))),Первоначальный[[#This Row],[Полученный платеж]]+Y56),
AND(S56=0,Первоначальный[[#This Row],[Дата платежа из графика]]=1),MIN(LOOKUP(,-1/($Z$12:Z57=1),$C$12:C57)+LOOKUP(,-1/($Z$12:Z57=1),$H$12:H57)-IF(Z56=1,0,SUM(INDIRECT("T"&amp;(MAX((1=Z$12:Z56)*ROW(Z$12:Z56)+1,ROW($T$12))&amp;":T"&amp;(ROW()-1))))),Первоначальный[[#This Row],[Полученный платеж]]+Y56),
AND(Z56&gt;0,Первоначальный[[#This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платеж]]+Y56),
AND(S56&gt;0,MAX((0&lt;&gt;S$12:S56)*ROW(S$12:S56),ROW($S$12))&gt;=MAX((1=Z$12:Z56)*ROW(Z$12:Z56),ROW($T$12)),TYPE(VLOOKUP("Да",(INDIRECT("AA"&amp;(MAX((1=Z$12:Z56)*ROW(Z$12:Z56),ROW($T$12))&amp;":AA"&amp;(ROW()-1)))),1,0))=16),MIN(LOOKUP(,-1/($Z$12:Z57=1),$C$12:C57)+LOOKUP(,-1/($Z$12:Z57=1),$H$12:H57)-SUM(INDIRECT("T"&amp;(MAX((1=Z$12:Z56)*ROW(Z$12:Z56),ROW($T$12))&amp;":T"&amp;(ROW()-1)))),Первоначальный[[#This Row],[Полученный платеж]]+Y56),
S56&gt;0,MIN(LOOKUP(,-1/($Z$12:Z57=1),$C$12:C57)+LOOKUP(,-1/($Z$12:Z57=1),$H$12:H57)-IF(Z56=1,0,SUM(INDIRECT("T"&amp;(MAX((1=Z$12:Z56)*ROW(Z$12:Z56)+1,ROW($T$12))&amp;":T"&amp;(ROW()-1))))),Первоначальный[[#This Row],[Полученный платеж]]+Y56)
)
)
)</f>
        <v>0</v>
      </c>
      <c r="U5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платеж]]+Y56-Первоначальный[[#This Row],[Полученный платёж по процентам]])</f>
        <v>0</v>
      </c>
      <c r="V57" s="55">
        <f t="shared" ca="1" si="0"/>
        <v>0</v>
      </c>
      <c r="W57" s="55" cm="1">
        <f t="array" aca="1" ref="W57" ca="1">IF(Первоначальный[[#This Row],[Итого остаток на начало периода]]&lt;1,0,
_xlfn.IFS(
AND(TYPE(VLOOKUP(1,$Z$12:Z57,1,0))=16,Первоначальный[[#This Row],[Досрочное погашение (да/"")]]=""),0,
AND(S56=0,Первоначальный[[#This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комиссиям]]),VLOOKUP(LOOKUP(,-1/($Z$12:Z57=1),$A$12:A57),График[[Срок конец]:[Возврат основной суммы долга]],3,0)),
AND(S56=0,Первоначальный[[#This Row],[Дата платежа из графика]]="",Первоначальный[[#This Row],[Досрочное погашение (да/"")]]&lt;&gt;"Да"),0,
AND(S56=0,Первоначальный[[#This Row],[Досрочное погашение (да/"")]]=""),MIN(Первоначальный[[#This Row],[Полученный платеж]]+Y56-SUM(Первоначальный[[#This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комиссиям]]),VLOOKUP(LOOKUP(,-1/($Z$12:Z57=1),$A$12:A57),График[[Срок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S56&gt;0,MIN(Первоначальный[[#This Row],[Полученный платеж]]+Y56-SUM(Первоначальный[[#This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комиссиям]]),SUM(INDIRECT("M"&amp;(MAX((1=S$12:S56)*ROW(S$12:S56),ROW($W$12))&amp;":M"&amp;(ROW()))))-SUM(INDIRECT("W"&amp;(MAX((1=S$12:S56)*ROW(S$12:S56),ROW($W$12))&amp;":W"&amp;(ROW()-1)))))
)
)</f>
        <v>0</v>
      </c>
      <c r="X57" s="55">
        <f t="shared" ca="1" si="1"/>
        <v>0</v>
      </c>
      <c r="Y57" s="101">
        <f t="shared" ca="1" si="9"/>
        <v>13.22</v>
      </c>
      <c r="Z57" s="133" t="str">
        <f>IF(TYPE((VLOOKUP(Первоначальный[[#This Row],[Дата платежа]],График[Срок конец],1,0)))=16,"",1)</f>
        <v/>
      </c>
      <c r="AA57" s="57"/>
      <c r="AB57" s="134"/>
      <c r="AC5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150000</v>
      </c>
      <c r="AD5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1141.8399999999992</v>
      </c>
      <c r="AE5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5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57" s="55"/>
      <c r="AI57" s="55"/>
      <c r="AJ57" s="55"/>
      <c r="AK57" s="101">
        <f t="shared" ca="1" si="10"/>
        <v>151141.84</v>
      </c>
      <c r="AL57" s="129">
        <f t="array" ref="AL57">MAX((УслРестрактов[Характеристика]="Дата реструктуризации")*(УслРестрактов[Значение]=Первоначальный!$A57),0)</f>
        <v>0</v>
      </c>
    </row>
    <row r="58" spans="1:38" x14ac:dyDescent="0.25">
      <c r="A58" s="97">
        <f t="shared" si="2"/>
        <v>44189</v>
      </c>
      <c r="B58" s="100">
        <f t="shared" ca="1" si="3"/>
        <v>150000</v>
      </c>
      <c r="C58" s="55">
        <f t="shared" ca="1" si="12"/>
        <v>1141.8399999999992</v>
      </c>
      <c r="D58" s="55">
        <f t="shared" ca="1" si="12"/>
        <v>0</v>
      </c>
      <c r="E58" s="55">
        <f t="shared" ca="1" si="5"/>
        <v>0</v>
      </c>
      <c r="F58" s="55">
        <f t="shared" ca="1" si="6"/>
        <v>0</v>
      </c>
      <c r="G58" s="101">
        <f t="shared" ca="1" si="7"/>
        <v>151141.84</v>
      </c>
      <c r="H58" s="100">
        <f ca="1">ROUND($B58*VLOOKUP($A58,$A$1:$B$10,2,1)/(365+IF(MOD(YEAR($A58),4),0,1)*($A58-$A57)),2)-Первоначальный[[#This Row],[Проценты на просроченный платеж по ОД за период]]</f>
        <v>81.56</v>
      </c>
      <c r="I58" s="55">
        <f t="shared" ca="1" si="8"/>
        <v>0</v>
      </c>
      <c r="J58" s="55">
        <v>0</v>
      </c>
      <c r="K58" s="55">
        <f t="shared" ca="1" si="11"/>
        <v>0</v>
      </c>
      <c r="L58" s="55">
        <v>0</v>
      </c>
      <c r="M58" s="113">
        <f>SUMIFS(График[Возврат основной суммы долга],График[Дата с учетом нерабочих дней],$A58)</f>
        <v>0</v>
      </c>
      <c r="N58" s="56">
        <f>SUMIFS(График[Возврат начисленных %],График[Дата с учетом нерабочих дней],$A58)</f>
        <v>0</v>
      </c>
      <c r="O58" s="101">
        <v>0</v>
      </c>
      <c r="P58" s="100" cm="1">
        <f t="array" aca="1" ref="P58" ca="1">MAX(IF(AA57="Да",0,SUM(INDIRECT("M"&amp;(MAX(("Да"=AA$12:AA57)*ROW(AA$12:AA57)+1,ROW($P$12))&amp;":M"&amp;(ROW()))))-SUM(INDIRECT("W"&amp;(MAX(("Да"=AA$12:AA57)*ROW(AA$12:AA57)+1,ROW($P$12))&amp;":W"&amp;(ROW()))))),0)</f>
        <v>0</v>
      </c>
      <c r="Q58" s="99">
        <f ca="1">MAX(SUM($N$13:N58)-SUM($T$13:T58),0)</f>
        <v>0</v>
      </c>
      <c r="R58" s="99">
        <f ca="1">Первоначальный[[#This Row],[Просроченный платеж по ОД]]+Первоначальный[[#This Row],[Просроченный платеж по процентам]]</f>
        <v>0</v>
      </c>
      <c r="S58" s="120">
        <f ca="1">IF(Первоначальный[[#This Row],[Просроченный платеж]]&lt;1,0,S57+1)</f>
        <v>0</v>
      </c>
      <c r="T58" s="100" cm="1">
        <f t="array" aca="1" ref="T58" ca="1">IF(Первоначальный[[#This Row],[Итого остаток на начало периода]]&lt;1,0,
IF(
AND(TYPE(VLOOKUP(1,$Z$12:Z58,1,0))=16,Первоначальный[[#This Row],[Досрочное погашение (да/"")]]=""),0,
_xlfn.IFS(AND(S57=0,Первоначальный[[#This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платеж]]&lt;&gt;0),MIN(LOOKUP(,-1/($Z$12:Z58=1),$C$12:C58)+LOOKUP(,-1/($Z$12:Z58=1),$H$12:H58),Первоначальный[[#This Row],[Полученный платеж]]+Y57),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платеж]]+Y57,SUM(Первоначальный[[#This Row],[Остаток процентов на начало периода]],Первоначальный[[#This Row],[Проценты за период]])),
AND(S57=0,Первоначальный[[#This Row],[Дата платежа из графика]]=""),0,
AND(S57=0,Первоначальный[[#This Row],[Дата платежа из графика]]=1,MAX((0&lt;&gt;S$12:S57)*ROW(S$12:S57),ROW($S$12))&gt;=MAX((1=Z$12:Z57)*ROW(Z$12:Z57),ROW($T$12)),TYPE(VLOOKUP("Да",(INDIRECT("AA"&amp;(MAX((1=Z$12:Z57)*ROW(Z$12:Z57),ROW($T$12))&amp;":AA"&amp;(ROW()-1)))),1,0))=16),MIN(LOOKUP(,-1/($Z$12:Z58=1),$C$12:C58)+LOOKUP(,-1/($Z$12:Z58=1),$H$12:H58),Первоначальный[[#This Row],[Полученный платеж]]+Y57),
AND(S57=0,TYPE(VLOOKUP("Да",(INDIRECT("AA"&amp;(MAX((1=Z$12:Z57)*ROW(Z$12:Z57),ROW($T$12))&amp;":AA"&amp;(ROW()-1)))),1,0))&lt;&gt;16),MIN(LOOKUP(,-1/($Z$12:Z58=1),$C$12:C58)+LOOKUP(,-1/($Z$12:Z58=1),$H$12:H58)-IF(AA57="Да",0,SUM(INDIRECT("T"&amp;(MAX(("Да"=AA$12:AA57)*ROW(AA$12:AA57)+1,ROW($T$12))&amp;":T"&amp;(ROW()-1))))),Первоначальный[[#This Row],[Полученный платеж]]+Y57),
AND(S57=0,MAX((0&lt;&gt;N$12:N57)*ROW(N$12:N57),ROW($S$12))&gt;=MAX((1=Z$12:Z57)*ROW(Z$12:Z57),ROW($T$12))),MIN(LOOKUP(,-1/($Z$12:Z58=1),$C$12:C58)+LOOKUP(,-1/($Z$12:Z58=1),$H$12:H58)-IF(N57&lt;&gt;0,0,SUM(INDIRECT("T"&amp;(MAX((0&lt;&gt;N$12:N57)*ROW(N$12:N57)+1,ROW($T$12))&amp;":T"&amp;(ROW()-1))))),Первоначальный[[#This Row],[Полученный платеж]]+Y57),
AND(S57=0,Первоначальный[[#This Row],[Дата платежа из графика]]=1),MIN(LOOKUP(,-1/($Z$12:Z58=1),$C$12:C58)+LOOKUP(,-1/($Z$12:Z58=1),$H$12:H58)-IF(Z57=1,0,SUM(INDIRECT("T"&amp;(MAX((1=Z$12:Z57)*ROW(Z$12:Z57)+1,ROW($T$12))&amp;":T"&amp;(ROW()-1))))),Первоначальный[[#This Row],[Полученный платеж]]+Y57),
AND(Z57&gt;0,Первоначальный[[#This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платеж]]+Y57),
AND(S57&gt;0,MAX((0&lt;&gt;S$12:S57)*ROW(S$12:S57),ROW($S$12))&gt;=MAX((1=Z$12:Z57)*ROW(Z$12:Z57),ROW($T$12)),TYPE(VLOOKUP("Да",(INDIRECT("AA"&amp;(MAX((1=Z$12:Z57)*ROW(Z$12:Z57),ROW($T$12))&amp;":AA"&amp;(ROW()-1)))),1,0))=16),MIN(LOOKUP(,-1/($Z$12:Z58=1),$C$12:C58)+LOOKUP(,-1/($Z$12:Z58=1),$H$12:H58)-SUM(INDIRECT("T"&amp;(MAX((1=Z$12:Z57)*ROW(Z$12:Z57),ROW($T$12))&amp;":T"&amp;(ROW()-1)))),Первоначальный[[#This Row],[Полученный платеж]]+Y57),
S57&gt;0,MIN(LOOKUP(,-1/($Z$12:Z58=1),$C$12:C58)+LOOKUP(,-1/($Z$12:Z58=1),$H$12:H58)-IF(Z57=1,0,SUM(INDIRECT("T"&amp;(MAX((1=Z$12:Z57)*ROW(Z$12:Z57)+1,ROW($T$12))&amp;":T"&amp;(ROW()-1))))),Первоначальный[[#This Row],[Полученный платеж]]+Y57)
)
)
)</f>
        <v>0</v>
      </c>
      <c r="U5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платеж]]+Y57-Первоначальный[[#This Row],[Полученный платёж по процентам]])</f>
        <v>0</v>
      </c>
      <c r="V58" s="55">
        <f t="shared" ca="1" si="0"/>
        <v>0</v>
      </c>
      <c r="W58" s="55" cm="1">
        <f t="array" aca="1" ref="W58" ca="1">IF(Первоначальный[[#This Row],[Итого остаток на начало периода]]&lt;1,0,
_xlfn.IFS(
AND(TYPE(VLOOKUP(1,$Z$12:Z58,1,0))=16,Первоначальный[[#This Row],[Досрочное погашение (да/"")]]=""),0,
AND(S57=0,Первоначальный[[#This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комиссиям]]),VLOOKUP(LOOKUP(,-1/($Z$12:Z58=1),$A$12:A58),График[[Срок конец]:[Возврат основной суммы долга]],3,0)),
AND(S57=0,Первоначальный[[#This Row],[Дата платежа из графика]]="",Первоначальный[[#This Row],[Досрочное погашение (да/"")]]&lt;&gt;"Да"),0,
AND(S57=0,Первоначальный[[#This Row],[Досрочное погашение (да/"")]]=""),MIN(Первоначальный[[#This Row],[Полученный платеж]]+Y57-SUM(Первоначальный[[#This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комиссиям]]),VLOOKUP(LOOKUP(,-1/($Z$12:Z58=1),$A$12:A58),График[[Срок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S57&gt;0,MIN(Первоначальный[[#This Row],[Полученный платеж]]+Y57-SUM(Первоначальный[[#This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комиссиям]]),SUM(INDIRECT("M"&amp;(MAX((1=S$12:S57)*ROW(S$12:S57),ROW($W$12))&amp;":M"&amp;(ROW()))))-SUM(INDIRECT("W"&amp;(MAX((1=S$12:S57)*ROW(S$12:S57),ROW($W$12))&amp;":W"&amp;(ROW()-1)))))
)
)</f>
        <v>0</v>
      </c>
      <c r="X58" s="55">
        <f t="shared" ca="1" si="1"/>
        <v>0</v>
      </c>
      <c r="Y58" s="101">
        <f t="shared" ca="1" si="9"/>
        <v>13.22</v>
      </c>
      <c r="Z58" s="133" t="str">
        <f>IF(TYPE((VLOOKUP(Первоначальный[[#This Row],[Дата платежа]],График[Срок конец],1,0)))=16,"",1)</f>
        <v/>
      </c>
      <c r="AA58" s="57"/>
      <c r="AB58" s="134"/>
      <c r="AC5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150000</v>
      </c>
      <c r="AD5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1223.3999999999992</v>
      </c>
      <c r="AE5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5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58" s="55"/>
      <c r="AI58" s="55"/>
      <c r="AJ58" s="55"/>
      <c r="AK58" s="101">
        <f t="shared" ca="1" si="10"/>
        <v>151223.4</v>
      </c>
      <c r="AL58" s="129">
        <f t="array" ref="AL58">MAX((УслРестрактов[Характеристика]="Дата реструктуризации")*(УслРестрактов[Значение]=Первоначальный!$A58),0)</f>
        <v>0</v>
      </c>
    </row>
    <row r="59" spans="1:38" x14ac:dyDescent="0.25">
      <c r="A59" s="97">
        <f t="shared" si="2"/>
        <v>44190</v>
      </c>
      <c r="B59" s="100">
        <f t="shared" ca="1" si="3"/>
        <v>150000</v>
      </c>
      <c r="C59" s="55">
        <f t="shared" ca="1" si="12"/>
        <v>1223.3999999999992</v>
      </c>
      <c r="D59" s="55">
        <f t="shared" ca="1" si="12"/>
        <v>0</v>
      </c>
      <c r="E59" s="55">
        <f t="shared" ca="1" si="5"/>
        <v>0</v>
      </c>
      <c r="F59" s="55">
        <f t="shared" ca="1" si="6"/>
        <v>0</v>
      </c>
      <c r="G59" s="101">
        <f t="shared" ca="1" si="7"/>
        <v>151223.4</v>
      </c>
      <c r="H59" s="100">
        <f ca="1">ROUND($B59*VLOOKUP($A59,$A$1:$B$10,2,1)/(365+IF(MOD(YEAR($A59),4),0,1)*($A59-$A58)),2)-Первоначальный[[#This Row],[Проценты на просроченный платеж по ОД за период]]</f>
        <v>81.56</v>
      </c>
      <c r="I59" s="55">
        <f t="shared" ca="1" si="8"/>
        <v>0</v>
      </c>
      <c r="J59" s="55">
        <v>0</v>
      </c>
      <c r="K59" s="55">
        <f t="shared" ca="1" si="11"/>
        <v>0</v>
      </c>
      <c r="L59" s="55">
        <v>0</v>
      </c>
      <c r="M59" s="113">
        <f>SUMIFS(График[Возврат основной суммы долга],График[Дата с учетом нерабочих дней],$A59)</f>
        <v>0</v>
      </c>
      <c r="N59" s="56">
        <f>SUMIFS(График[Возврат начисленных %],График[Дата с учетом нерабочих дней],$A59)</f>
        <v>0</v>
      </c>
      <c r="O59" s="101">
        <v>0</v>
      </c>
      <c r="P59" s="100" cm="1">
        <f t="array" aca="1" ref="P59" ca="1">MAX(IF(AA58="Да",0,SUM(INDIRECT("M"&amp;(MAX(("Да"=AA$12:AA58)*ROW(AA$12:AA58)+1,ROW($P$12))&amp;":M"&amp;(ROW()))))-SUM(INDIRECT("W"&amp;(MAX(("Да"=AA$12:AA58)*ROW(AA$12:AA58)+1,ROW($P$12))&amp;":W"&amp;(ROW()))))),0)</f>
        <v>0</v>
      </c>
      <c r="Q59" s="99">
        <f ca="1">MAX(SUM($N$13:N59)-SUM($T$13:T59),0)</f>
        <v>0</v>
      </c>
      <c r="R59" s="99">
        <f ca="1">Первоначальный[[#This Row],[Просроченный платеж по ОД]]+Первоначальный[[#This Row],[Просроченный платеж по процентам]]</f>
        <v>0</v>
      </c>
      <c r="S59" s="120">
        <f ca="1">IF(Первоначальный[[#This Row],[Просроченный платеж]]&lt;1,0,S58+1)</f>
        <v>0</v>
      </c>
      <c r="T59" s="100" cm="1">
        <f t="array" aca="1" ref="T59" ca="1">IF(Первоначальный[[#This Row],[Итого остаток на начало периода]]&lt;1,0,
IF(
AND(TYPE(VLOOKUP(1,$Z$12:Z59,1,0))=16,Первоначальный[[#This Row],[Досрочное погашение (да/"")]]=""),0,
_xlfn.IFS(AND(S58=0,Первоначальный[[#This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платеж]]&lt;&gt;0),MIN(LOOKUP(,-1/($Z$12:Z59=1),$C$12:C59)+LOOKUP(,-1/($Z$12:Z59=1),$H$12:H59),Первоначальный[[#This Row],[Полученный платеж]]+Y58),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платеж]]+Y58,SUM(Первоначальный[[#This Row],[Остаток процентов на начало периода]],Первоначальный[[#This Row],[Проценты за период]])),
AND(S58=0,Первоначальный[[#This Row],[Дата платежа из графика]]=""),0,
AND(S58=0,Первоначальный[[#This Row],[Дата платежа из графика]]=1,MAX((0&lt;&gt;S$12:S58)*ROW(S$12:S58),ROW($S$12))&gt;=MAX((1=Z$12:Z58)*ROW(Z$12:Z58),ROW($T$12)),TYPE(VLOOKUP("Да",(INDIRECT("AA"&amp;(MAX((1=Z$12:Z58)*ROW(Z$12:Z58),ROW($T$12))&amp;":AA"&amp;(ROW()-1)))),1,0))=16),MIN(LOOKUP(,-1/($Z$12:Z59=1),$C$12:C59)+LOOKUP(,-1/($Z$12:Z59=1),$H$12:H59),Первоначальный[[#This Row],[Полученный платеж]]+Y58),
AND(S58=0,TYPE(VLOOKUP("Да",(INDIRECT("AA"&amp;(MAX((1=Z$12:Z58)*ROW(Z$12:Z58),ROW($T$12))&amp;":AA"&amp;(ROW()-1)))),1,0))&lt;&gt;16),MIN(LOOKUP(,-1/($Z$12:Z59=1),$C$12:C59)+LOOKUP(,-1/($Z$12:Z59=1),$H$12:H59)-IF(AA58="Да",0,SUM(INDIRECT("T"&amp;(MAX(("Да"=AA$12:AA58)*ROW(AA$12:AA58)+1,ROW($T$12))&amp;":T"&amp;(ROW()-1))))),Первоначальный[[#This Row],[Полученный платеж]]+Y58),
AND(S58=0,MAX((0&lt;&gt;N$12:N58)*ROW(N$12:N58),ROW($S$12))&gt;=MAX((1=Z$12:Z58)*ROW(Z$12:Z58),ROW($T$12))),MIN(LOOKUP(,-1/($Z$12:Z59=1),$C$12:C59)+LOOKUP(,-1/($Z$12:Z59=1),$H$12:H59)-IF(N58&lt;&gt;0,0,SUM(INDIRECT("T"&amp;(MAX((0&lt;&gt;N$12:N58)*ROW(N$12:N58)+1,ROW($T$12))&amp;":T"&amp;(ROW()-1))))),Первоначальный[[#This Row],[Полученный платеж]]+Y58),
AND(S58=0,Первоначальный[[#This Row],[Дата платежа из графика]]=1),MIN(LOOKUP(,-1/($Z$12:Z59=1),$C$12:C59)+LOOKUP(,-1/($Z$12:Z59=1),$H$12:H59)-IF(Z58=1,0,SUM(INDIRECT("T"&amp;(MAX((1=Z$12:Z58)*ROW(Z$12:Z58)+1,ROW($T$12))&amp;":T"&amp;(ROW()-1))))),Первоначальный[[#This Row],[Полученный платеж]]+Y58),
AND(Z58&gt;0,Первоначальный[[#This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платеж]]+Y58),
AND(S58&gt;0,MAX((0&lt;&gt;S$12:S58)*ROW(S$12:S58),ROW($S$12))&gt;=MAX((1=Z$12:Z58)*ROW(Z$12:Z58),ROW($T$12)),TYPE(VLOOKUP("Да",(INDIRECT("AA"&amp;(MAX((1=Z$12:Z58)*ROW(Z$12:Z58),ROW($T$12))&amp;":AA"&amp;(ROW()-1)))),1,0))=16),MIN(LOOKUP(,-1/($Z$12:Z59=1),$C$12:C59)+LOOKUP(,-1/($Z$12:Z59=1),$H$12:H59)-SUM(INDIRECT("T"&amp;(MAX((1=Z$12:Z58)*ROW(Z$12:Z58),ROW($T$12))&amp;":T"&amp;(ROW()-1)))),Первоначальный[[#This Row],[Полученный платеж]]+Y58),
S58&gt;0,MIN(LOOKUP(,-1/($Z$12:Z59=1),$C$12:C59)+LOOKUP(,-1/($Z$12:Z59=1),$H$12:H59)-IF(Z58=1,0,SUM(INDIRECT("T"&amp;(MAX((1=Z$12:Z58)*ROW(Z$12:Z58)+1,ROW($T$12))&amp;":T"&amp;(ROW()-1))))),Первоначальный[[#This Row],[Полученный платеж]]+Y58)
)
)
)</f>
        <v>0</v>
      </c>
      <c r="U5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платеж]]+Y58-Первоначальный[[#This Row],[Полученный платёж по процентам]])</f>
        <v>0</v>
      </c>
      <c r="V59" s="55">
        <f t="shared" ca="1" si="0"/>
        <v>0</v>
      </c>
      <c r="W59" s="55" cm="1">
        <f t="array" aca="1" ref="W59" ca="1">IF(Первоначальный[[#This Row],[Итого остаток на начало периода]]&lt;1,0,
_xlfn.IFS(
AND(TYPE(VLOOKUP(1,$Z$12:Z59,1,0))=16,Первоначальный[[#This Row],[Досрочное погашение (да/"")]]=""),0,
AND(S58=0,Первоначальный[[#This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комиссиям]]),VLOOKUP(LOOKUP(,-1/($Z$12:Z59=1),$A$12:A59),График[[Срок конец]:[Возврат основной суммы долга]],3,0)),
AND(S58=0,Первоначальный[[#This Row],[Дата платежа из графика]]="",Первоначальный[[#This Row],[Досрочное погашение (да/"")]]&lt;&gt;"Да"),0,
AND(S58=0,Первоначальный[[#This Row],[Досрочное погашение (да/"")]]=""),MIN(Первоначальный[[#This Row],[Полученный платеж]]+Y58-SUM(Первоначальный[[#This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комиссиям]]),VLOOKUP(LOOKUP(,-1/($Z$12:Z59=1),$A$12:A59),График[[Срок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S58&gt;0,MIN(Первоначальный[[#This Row],[Полученный платеж]]+Y58-SUM(Первоначальный[[#This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комиссиям]]),SUM(INDIRECT("M"&amp;(MAX((1=S$12:S58)*ROW(S$12:S58),ROW($W$12))&amp;":M"&amp;(ROW()))))-SUM(INDIRECT("W"&amp;(MAX((1=S$12:S58)*ROW(S$12:S58),ROW($W$12))&amp;":W"&amp;(ROW()-1)))))
)
)</f>
        <v>0</v>
      </c>
      <c r="X59" s="55">
        <f t="shared" ca="1" si="1"/>
        <v>0</v>
      </c>
      <c r="Y59" s="101">
        <f t="shared" ca="1" si="9"/>
        <v>13.22</v>
      </c>
      <c r="Z59" s="133" t="str">
        <f>IF(TYPE((VLOOKUP(Первоначальный[[#This Row],[Дата платежа]],График[Срок конец],1,0)))=16,"",1)</f>
        <v/>
      </c>
      <c r="AA59" s="57"/>
      <c r="AB59" s="134"/>
      <c r="AC5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150000</v>
      </c>
      <c r="AD5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1304.9599999999991</v>
      </c>
      <c r="AE5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5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59" s="55"/>
      <c r="AI59" s="55"/>
      <c r="AJ59" s="55"/>
      <c r="AK59" s="101">
        <f t="shared" ca="1" si="10"/>
        <v>151304.95999999999</v>
      </c>
      <c r="AL59" s="129">
        <f t="array" ref="AL59">MAX((УслРестрактов[Характеристика]="Дата реструктуризации")*(УслРестрактов[Значение]=Первоначальный!$A59),0)</f>
        <v>0</v>
      </c>
    </row>
    <row r="60" spans="1:38" x14ac:dyDescent="0.25">
      <c r="A60" s="97">
        <f t="shared" si="2"/>
        <v>44191</v>
      </c>
      <c r="B60" s="100">
        <f t="shared" ca="1" si="3"/>
        <v>150000</v>
      </c>
      <c r="C60" s="55">
        <f t="shared" ca="1" si="12"/>
        <v>1304.9599999999991</v>
      </c>
      <c r="D60" s="55">
        <f t="shared" ca="1" si="12"/>
        <v>0</v>
      </c>
      <c r="E60" s="55">
        <f t="shared" ca="1" si="5"/>
        <v>0</v>
      </c>
      <c r="F60" s="55">
        <f t="shared" ca="1" si="6"/>
        <v>0</v>
      </c>
      <c r="G60" s="101">
        <f t="shared" ca="1" si="7"/>
        <v>151304.95999999999</v>
      </c>
      <c r="H60" s="100">
        <f ca="1">ROUND($B60*VLOOKUP($A60,$A$1:$B$10,2,1)/(365+IF(MOD(YEAR($A60),4),0,1)*($A60-$A59)),2)-Первоначальный[[#This Row],[Проценты на просроченный платеж по ОД за период]]</f>
        <v>81.56</v>
      </c>
      <c r="I60" s="55">
        <f t="shared" ca="1" si="8"/>
        <v>0</v>
      </c>
      <c r="J60" s="55">
        <v>0</v>
      </c>
      <c r="K60" s="55">
        <f t="shared" ca="1" si="11"/>
        <v>0</v>
      </c>
      <c r="L60" s="55">
        <v>0</v>
      </c>
      <c r="M60" s="113">
        <f>SUMIFS(График[Возврат основной суммы долга],График[Дата с учетом нерабочих дней],$A60)</f>
        <v>0</v>
      </c>
      <c r="N60" s="56">
        <f>SUMIFS(График[Возврат начисленных %],График[Дата с учетом нерабочих дней],$A60)</f>
        <v>0</v>
      </c>
      <c r="O60" s="101">
        <v>0</v>
      </c>
      <c r="P60" s="100" cm="1">
        <f t="array" aca="1" ref="P60" ca="1">MAX(IF(AA59="Да",0,SUM(INDIRECT("M"&amp;(MAX(("Да"=AA$12:AA59)*ROW(AA$12:AA59)+1,ROW($P$12))&amp;":M"&amp;(ROW()))))-SUM(INDIRECT("W"&amp;(MAX(("Да"=AA$12:AA59)*ROW(AA$12:AA59)+1,ROW($P$12))&amp;":W"&amp;(ROW()))))),0)</f>
        <v>0</v>
      </c>
      <c r="Q60" s="99">
        <f ca="1">MAX(SUM($N$13:N60)-SUM($T$13:T60),0)</f>
        <v>0</v>
      </c>
      <c r="R60" s="99">
        <f ca="1">Первоначальный[[#This Row],[Просроченный платеж по ОД]]+Первоначальный[[#This Row],[Просроченный платеж по процентам]]</f>
        <v>0</v>
      </c>
      <c r="S60" s="120">
        <f ca="1">IF(Первоначальный[[#This Row],[Просроченный платеж]]&lt;1,0,S59+1)</f>
        <v>0</v>
      </c>
      <c r="T60" s="100" cm="1">
        <f t="array" aca="1" ref="T60" ca="1">IF(Первоначальный[[#This Row],[Итого остаток на начало периода]]&lt;1,0,
IF(
AND(TYPE(VLOOKUP(1,$Z$12:Z60,1,0))=16,Первоначальный[[#This Row],[Досрочное погашение (да/"")]]=""),0,
_xlfn.IFS(AND(S59=0,Первоначальный[[#This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платеж]]&lt;&gt;0),MIN(LOOKUP(,-1/($Z$12:Z60=1),$C$12:C60)+LOOKUP(,-1/($Z$12:Z60=1),$H$12:H60),Первоначальный[[#This Row],[Полученный платеж]]+Y59),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платеж]]+Y59,SUM(Первоначальный[[#This Row],[Остаток процентов на начало периода]],Первоначальный[[#This Row],[Проценты за период]])),
AND(S59=0,Первоначальный[[#This Row],[Дата платежа из графика]]=""),0,
AND(S59=0,Первоначальный[[#This Row],[Дата платежа из графика]]=1,MAX((0&lt;&gt;S$12:S59)*ROW(S$12:S59),ROW($S$12))&gt;=MAX((1=Z$12:Z59)*ROW(Z$12:Z59),ROW($T$12)),TYPE(VLOOKUP("Да",(INDIRECT("AA"&amp;(MAX((1=Z$12:Z59)*ROW(Z$12:Z59),ROW($T$12))&amp;":AA"&amp;(ROW()-1)))),1,0))=16),MIN(LOOKUP(,-1/($Z$12:Z60=1),$C$12:C60)+LOOKUP(,-1/($Z$12:Z60=1),$H$12:H60),Первоначальный[[#This Row],[Полученный платеж]]+Y59),
AND(S59=0,TYPE(VLOOKUP("Да",(INDIRECT("AA"&amp;(MAX((1=Z$12:Z59)*ROW(Z$12:Z59),ROW($T$12))&amp;":AA"&amp;(ROW()-1)))),1,0))&lt;&gt;16),MIN(LOOKUP(,-1/($Z$12:Z60=1),$C$12:C60)+LOOKUP(,-1/($Z$12:Z60=1),$H$12:H60)-IF(AA59="Да",0,SUM(INDIRECT("T"&amp;(MAX(("Да"=AA$12:AA59)*ROW(AA$12:AA59)+1,ROW($T$12))&amp;":T"&amp;(ROW()-1))))),Первоначальный[[#This Row],[Полученный платеж]]+Y59),
AND(S59=0,MAX((0&lt;&gt;N$12:N59)*ROW(N$12:N59),ROW($S$12))&gt;=MAX((1=Z$12:Z59)*ROW(Z$12:Z59),ROW($T$12))),MIN(LOOKUP(,-1/($Z$12:Z60=1),$C$12:C60)+LOOKUP(,-1/($Z$12:Z60=1),$H$12:H60)-IF(N59&lt;&gt;0,0,SUM(INDIRECT("T"&amp;(MAX((0&lt;&gt;N$12:N59)*ROW(N$12:N59)+1,ROW($T$12))&amp;":T"&amp;(ROW()-1))))),Первоначальный[[#This Row],[Полученный платеж]]+Y59),
AND(S59=0,Первоначальный[[#This Row],[Дата платежа из графика]]=1),MIN(LOOKUP(,-1/($Z$12:Z60=1),$C$12:C60)+LOOKUP(,-1/($Z$12:Z60=1),$H$12:H60)-IF(Z59=1,0,SUM(INDIRECT("T"&amp;(MAX((1=Z$12:Z59)*ROW(Z$12:Z59)+1,ROW($T$12))&amp;":T"&amp;(ROW()-1))))),Первоначальный[[#This Row],[Полученный платеж]]+Y59),
AND(Z59&gt;0,Первоначальный[[#This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платеж]]+Y59),
AND(S59&gt;0,MAX((0&lt;&gt;S$12:S59)*ROW(S$12:S59),ROW($S$12))&gt;=MAX((1=Z$12:Z59)*ROW(Z$12:Z59),ROW($T$12)),TYPE(VLOOKUP("Да",(INDIRECT("AA"&amp;(MAX((1=Z$12:Z59)*ROW(Z$12:Z59),ROW($T$12))&amp;":AA"&amp;(ROW()-1)))),1,0))=16),MIN(LOOKUP(,-1/($Z$12:Z60=1),$C$12:C60)+LOOKUP(,-1/($Z$12:Z60=1),$H$12:H60)-SUM(INDIRECT("T"&amp;(MAX((1=Z$12:Z59)*ROW(Z$12:Z59),ROW($T$12))&amp;":T"&amp;(ROW()-1)))),Первоначальный[[#This Row],[Полученный платеж]]+Y59),
S59&gt;0,MIN(LOOKUP(,-1/($Z$12:Z60=1),$C$12:C60)+LOOKUP(,-1/($Z$12:Z60=1),$H$12:H60)-IF(Z59=1,0,SUM(INDIRECT("T"&amp;(MAX((1=Z$12:Z59)*ROW(Z$12:Z59)+1,ROW($T$12))&amp;":T"&amp;(ROW()-1))))),Первоначальный[[#This Row],[Полученный платеж]]+Y59)
)
)
)</f>
        <v>0</v>
      </c>
      <c r="U6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платеж]]+Y59-Первоначальный[[#This Row],[Полученный платёж по процентам]])</f>
        <v>0</v>
      </c>
      <c r="V60" s="55">
        <f t="shared" ca="1" si="0"/>
        <v>0</v>
      </c>
      <c r="W60" s="55" cm="1">
        <f t="array" aca="1" ref="W60" ca="1">IF(Первоначальный[[#This Row],[Итого остаток на начало периода]]&lt;1,0,
_xlfn.IFS(
AND(TYPE(VLOOKUP(1,$Z$12:Z60,1,0))=16,Первоначальный[[#This Row],[Досрочное погашение (да/"")]]=""),0,
AND(S59=0,Первоначальный[[#This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комиссиям]]),VLOOKUP(LOOKUP(,-1/($Z$12:Z60=1),$A$12:A60),График[[Срок конец]:[Возврат основной суммы долга]],3,0)),
AND(S59=0,Первоначальный[[#This Row],[Дата платежа из графика]]="",Первоначальный[[#This Row],[Досрочное погашение (да/"")]]&lt;&gt;"Да"),0,
AND(S59=0,Первоначальный[[#This Row],[Досрочное погашение (да/"")]]=""),MIN(Первоначальный[[#This Row],[Полученный платеж]]+Y59-SUM(Первоначальный[[#This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комиссиям]]),VLOOKUP(LOOKUP(,-1/($Z$12:Z60=1),$A$12:A60),График[[Срок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S59&gt;0,MIN(Первоначальный[[#This Row],[Полученный платеж]]+Y59-SUM(Первоначальный[[#This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комиссиям]]),SUM(INDIRECT("M"&amp;(MAX((1=S$12:S59)*ROW(S$12:S59),ROW($W$12))&amp;":M"&amp;(ROW()))))-SUM(INDIRECT("W"&amp;(MAX((1=S$12:S59)*ROW(S$12:S59),ROW($W$12))&amp;":W"&amp;(ROW()-1)))))
)
)</f>
        <v>0</v>
      </c>
      <c r="X60" s="55">
        <f t="shared" ca="1" si="1"/>
        <v>0</v>
      </c>
      <c r="Y60" s="101">
        <f t="shared" ca="1" si="9"/>
        <v>13.22</v>
      </c>
      <c r="Z60" s="133" t="str">
        <f>IF(TYPE((VLOOKUP(Первоначальный[[#This Row],[Дата платежа]],График[Срок конец],1,0)))=16,"",1)</f>
        <v/>
      </c>
      <c r="AA60" s="57"/>
      <c r="AB60" s="134"/>
      <c r="AC6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150000</v>
      </c>
      <c r="AD6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1386.5199999999991</v>
      </c>
      <c r="AE6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6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60" s="55"/>
      <c r="AI60" s="55"/>
      <c r="AJ60" s="55"/>
      <c r="AK60" s="101">
        <f t="shared" ca="1" si="10"/>
        <v>151386.51999999999</v>
      </c>
      <c r="AL60" s="129">
        <f t="array" ref="AL60">MAX((УслРестрактов[Характеристика]="Дата реструктуризации")*(УслРестрактов[Значение]=Первоначальный!$A60),0)</f>
        <v>0</v>
      </c>
    </row>
    <row r="61" spans="1:38" x14ac:dyDescent="0.25">
      <c r="A61" s="97">
        <f t="shared" si="2"/>
        <v>44192</v>
      </c>
      <c r="B61" s="100">
        <f t="shared" ca="1" si="3"/>
        <v>150000</v>
      </c>
      <c r="C61" s="55">
        <f t="shared" ca="1" si="12"/>
        <v>1386.5199999999991</v>
      </c>
      <c r="D61" s="55">
        <f t="shared" ca="1" si="12"/>
        <v>0</v>
      </c>
      <c r="E61" s="55">
        <f t="shared" ca="1" si="5"/>
        <v>0</v>
      </c>
      <c r="F61" s="55">
        <f t="shared" ca="1" si="6"/>
        <v>0</v>
      </c>
      <c r="G61" s="101">
        <f t="shared" ca="1" si="7"/>
        <v>151386.51999999999</v>
      </c>
      <c r="H61" s="100">
        <f ca="1">ROUND($B61*VLOOKUP($A61,$A$1:$B$10,2,1)/(365+IF(MOD(YEAR($A61),4),0,1)*($A61-$A60)),2)-Первоначальный[[#This Row],[Проценты на просроченный платеж по ОД за период]]</f>
        <v>81.56</v>
      </c>
      <c r="I61" s="55">
        <f t="shared" ca="1" si="8"/>
        <v>0</v>
      </c>
      <c r="J61" s="55">
        <v>0</v>
      </c>
      <c r="K61" s="55">
        <f t="shared" ca="1" si="11"/>
        <v>0</v>
      </c>
      <c r="L61" s="55">
        <v>0</v>
      </c>
      <c r="M61" s="113">
        <f>SUMIFS(График[Возврат основной суммы долга],График[Дата с учетом нерабочих дней],$A61)</f>
        <v>0</v>
      </c>
      <c r="N61" s="56">
        <f>SUMIFS(График[Возврат начисленных %],График[Дата с учетом нерабочих дней],$A61)</f>
        <v>0</v>
      </c>
      <c r="O61" s="101">
        <v>0</v>
      </c>
      <c r="P61" s="100" cm="1">
        <f t="array" aca="1" ref="P61" ca="1">MAX(IF(AA60="Да",0,SUM(INDIRECT("M"&amp;(MAX(("Да"=AA$12:AA60)*ROW(AA$12:AA60)+1,ROW($P$12))&amp;":M"&amp;(ROW()))))-SUM(INDIRECT("W"&amp;(MAX(("Да"=AA$12:AA60)*ROW(AA$12:AA60)+1,ROW($P$12))&amp;":W"&amp;(ROW()))))),0)</f>
        <v>0</v>
      </c>
      <c r="Q61" s="99">
        <f ca="1">MAX(SUM($N$13:N61)-SUM($T$13:T61),0)</f>
        <v>0</v>
      </c>
      <c r="R61" s="99">
        <f ca="1">Первоначальный[[#This Row],[Просроченный платеж по ОД]]+Первоначальный[[#This Row],[Просроченный платеж по процентам]]</f>
        <v>0</v>
      </c>
      <c r="S61" s="120">
        <f ca="1">IF(Первоначальный[[#This Row],[Просроченный платеж]]&lt;1,0,S60+1)</f>
        <v>0</v>
      </c>
      <c r="T61" s="100" cm="1">
        <f t="array" aca="1" ref="T61" ca="1">IF(Первоначальный[[#This Row],[Итого остаток на начало периода]]&lt;1,0,
IF(
AND(TYPE(VLOOKUP(1,$Z$12:Z61,1,0))=16,Первоначальный[[#This Row],[Досрочное погашение (да/"")]]=""),0,
_xlfn.IFS(AND(S60=0,Первоначальный[[#This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платеж]]&lt;&gt;0),MIN(LOOKUP(,-1/($Z$12:Z61=1),$C$12:C61)+LOOKUP(,-1/($Z$12:Z61=1),$H$12:H61),Первоначальный[[#This Row],[Полученный платеж]]+Y60),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платеж]]+Y60,SUM(Первоначальный[[#This Row],[Остаток процентов на начало периода]],Первоначальный[[#This Row],[Проценты за период]])),
AND(S60=0,Первоначальный[[#This Row],[Дата платежа из графика]]=""),0,
AND(S60=0,Первоначальный[[#This Row],[Дата платежа из графика]]=1,MAX((0&lt;&gt;S$12:S60)*ROW(S$12:S60),ROW($S$12))&gt;=MAX((1=Z$12:Z60)*ROW(Z$12:Z60),ROW($T$12)),TYPE(VLOOKUP("Да",(INDIRECT("AA"&amp;(MAX((1=Z$12:Z60)*ROW(Z$12:Z60),ROW($T$12))&amp;":AA"&amp;(ROW()-1)))),1,0))=16),MIN(LOOKUP(,-1/($Z$12:Z61=1),$C$12:C61)+LOOKUP(,-1/($Z$12:Z61=1),$H$12:H61),Первоначальный[[#This Row],[Полученный платеж]]+Y60),
AND(S60=0,TYPE(VLOOKUP("Да",(INDIRECT("AA"&amp;(MAX((1=Z$12:Z60)*ROW(Z$12:Z60),ROW($T$12))&amp;":AA"&amp;(ROW()-1)))),1,0))&lt;&gt;16),MIN(LOOKUP(,-1/($Z$12:Z61=1),$C$12:C61)+LOOKUP(,-1/($Z$12:Z61=1),$H$12:H61)-IF(AA60="Да",0,SUM(INDIRECT("T"&amp;(MAX(("Да"=AA$12:AA60)*ROW(AA$12:AA60)+1,ROW($T$12))&amp;":T"&amp;(ROW()-1))))),Первоначальный[[#This Row],[Полученный платеж]]+Y60),
AND(S60=0,MAX((0&lt;&gt;N$12:N60)*ROW(N$12:N60),ROW($S$12))&gt;=MAX((1=Z$12:Z60)*ROW(Z$12:Z60),ROW($T$12))),MIN(LOOKUP(,-1/($Z$12:Z61=1),$C$12:C61)+LOOKUP(,-1/($Z$12:Z61=1),$H$12:H61)-IF(N60&lt;&gt;0,0,SUM(INDIRECT("T"&amp;(MAX((0&lt;&gt;N$12:N60)*ROW(N$12:N60)+1,ROW($T$12))&amp;":T"&amp;(ROW()-1))))),Первоначальный[[#This Row],[Полученный платеж]]+Y60),
AND(S60=0,Первоначальный[[#This Row],[Дата платежа из графика]]=1),MIN(LOOKUP(,-1/($Z$12:Z61=1),$C$12:C61)+LOOKUP(,-1/($Z$12:Z61=1),$H$12:H61)-IF(Z60=1,0,SUM(INDIRECT("T"&amp;(MAX((1=Z$12:Z60)*ROW(Z$12:Z60)+1,ROW($T$12))&amp;":T"&amp;(ROW()-1))))),Первоначальный[[#This Row],[Полученный платеж]]+Y60),
AND(Z60&gt;0,Первоначальный[[#This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платеж]]+Y60),
AND(S60&gt;0,MAX((0&lt;&gt;S$12:S60)*ROW(S$12:S60),ROW($S$12))&gt;=MAX((1=Z$12:Z60)*ROW(Z$12:Z60),ROW($T$12)),TYPE(VLOOKUP("Да",(INDIRECT("AA"&amp;(MAX((1=Z$12:Z60)*ROW(Z$12:Z60),ROW($T$12))&amp;":AA"&amp;(ROW()-1)))),1,0))=16),MIN(LOOKUP(,-1/($Z$12:Z61=1),$C$12:C61)+LOOKUP(,-1/($Z$12:Z61=1),$H$12:H61)-SUM(INDIRECT("T"&amp;(MAX((1=Z$12:Z60)*ROW(Z$12:Z60),ROW($T$12))&amp;":T"&amp;(ROW()-1)))),Первоначальный[[#This Row],[Полученный платеж]]+Y60),
S60&gt;0,MIN(LOOKUP(,-1/($Z$12:Z61=1),$C$12:C61)+LOOKUP(,-1/($Z$12:Z61=1),$H$12:H61)-IF(Z60=1,0,SUM(INDIRECT("T"&amp;(MAX((1=Z$12:Z60)*ROW(Z$12:Z60)+1,ROW($T$12))&amp;":T"&amp;(ROW()-1))))),Первоначальный[[#This Row],[Полученный платеж]]+Y60)
)
)
)</f>
        <v>0</v>
      </c>
      <c r="U6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платеж]]+Y60-Первоначальный[[#This Row],[Полученный платёж по процентам]])</f>
        <v>0</v>
      </c>
      <c r="V61" s="55">
        <f t="shared" ca="1" si="0"/>
        <v>0</v>
      </c>
      <c r="W61" s="55" cm="1">
        <f t="array" aca="1" ref="W61" ca="1">IF(Первоначальный[[#This Row],[Итого остаток на начало периода]]&lt;1,0,
_xlfn.IFS(
AND(TYPE(VLOOKUP(1,$Z$12:Z61,1,0))=16,Первоначальный[[#This Row],[Досрочное погашение (да/"")]]=""),0,
AND(S60=0,Первоначальный[[#This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комиссиям]]),VLOOKUP(LOOKUP(,-1/($Z$12:Z61=1),$A$12:A61),График[[Срок конец]:[Возврат основной суммы долга]],3,0)),
AND(S60=0,Первоначальный[[#This Row],[Дата платежа из графика]]="",Первоначальный[[#This Row],[Досрочное погашение (да/"")]]&lt;&gt;"Да"),0,
AND(S60=0,Первоначальный[[#This Row],[Досрочное погашение (да/"")]]=""),MIN(Первоначальный[[#This Row],[Полученный платеж]]+Y60-SUM(Первоначальный[[#This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комиссиям]]),VLOOKUP(LOOKUP(,-1/($Z$12:Z61=1),$A$12:A61),График[[Срок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S60&gt;0,MIN(Первоначальный[[#This Row],[Полученный платеж]]+Y60-SUM(Первоначальный[[#This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комиссиям]]),SUM(INDIRECT("M"&amp;(MAX((1=S$12:S60)*ROW(S$12:S60),ROW($W$12))&amp;":M"&amp;(ROW()))))-SUM(INDIRECT("W"&amp;(MAX((1=S$12:S60)*ROW(S$12:S60),ROW($W$12))&amp;":W"&amp;(ROW()-1)))))
)
)</f>
        <v>0</v>
      </c>
      <c r="X61" s="55">
        <f t="shared" ca="1" si="1"/>
        <v>0</v>
      </c>
      <c r="Y61" s="101">
        <f t="shared" ca="1" si="9"/>
        <v>13.22</v>
      </c>
      <c r="Z61" s="133" t="str">
        <f>IF(TYPE((VLOOKUP(Первоначальный[[#This Row],[Дата платежа]],График[Срок конец],1,0)))=16,"",1)</f>
        <v/>
      </c>
      <c r="AA61" s="57"/>
      <c r="AB61" s="134"/>
      <c r="AC6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150000</v>
      </c>
      <c r="AD6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1468.079999999999</v>
      </c>
      <c r="AE6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6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61" s="55"/>
      <c r="AI61" s="55"/>
      <c r="AJ61" s="55"/>
      <c r="AK61" s="101">
        <f t="shared" ca="1" si="10"/>
        <v>151468.07999999999</v>
      </c>
      <c r="AL61" s="129">
        <f t="array" ref="AL61">MAX((УслРестрактов[Характеристика]="Дата реструктуризации")*(УслРестрактов[Значение]=Первоначальный!$A61),0)</f>
        <v>0</v>
      </c>
    </row>
    <row r="62" spans="1:38" x14ac:dyDescent="0.25">
      <c r="A62" s="97">
        <f t="shared" si="2"/>
        <v>44193</v>
      </c>
      <c r="B62" s="100">
        <f t="shared" ca="1" si="3"/>
        <v>150000</v>
      </c>
      <c r="C62" s="55">
        <f t="shared" ca="1" si="12"/>
        <v>1468.079999999999</v>
      </c>
      <c r="D62" s="55">
        <f t="shared" ca="1" si="12"/>
        <v>0</v>
      </c>
      <c r="E62" s="55">
        <f t="shared" ca="1" si="5"/>
        <v>0</v>
      </c>
      <c r="F62" s="55">
        <f t="shared" ca="1" si="6"/>
        <v>0</v>
      </c>
      <c r="G62" s="101">
        <f t="shared" ca="1" si="7"/>
        <v>151468.07999999999</v>
      </c>
      <c r="H62" s="100">
        <f ca="1">ROUND($B62*VLOOKUP($A62,$A$1:$B$10,2,1)/(365+IF(MOD(YEAR($A62),4),0,1)*($A62-$A61)),2)-Первоначальный[[#This Row],[Проценты на просроченный платеж по ОД за период]]</f>
        <v>81.56</v>
      </c>
      <c r="I62" s="55">
        <f t="shared" ca="1" si="8"/>
        <v>0</v>
      </c>
      <c r="J62" s="55">
        <v>0</v>
      </c>
      <c r="K62" s="55">
        <f t="shared" ca="1" si="11"/>
        <v>0</v>
      </c>
      <c r="L62" s="55">
        <v>0</v>
      </c>
      <c r="M62" s="113">
        <f>SUMIFS(График[Возврат основной суммы долга],График[Дата с учетом нерабочих дней],$A62)</f>
        <v>0</v>
      </c>
      <c r="N62" s="56">
        <f>SUMIFS(График[Возврат начисленных %],График[Дата с учетом нерабочих дней],$A62)</f>
        <v>0</v>
      </c>
      <c r="O62" s="101">
        <v>0</v>
      </c>
      <c r="P62" s="100" cm="1">
        <f t="array" aca="1" ref="P62" ca="1">MAX(IF(AA61="Да",0,SUM(INDIRECT("M"&amp;(MAX(("Да"=AA$12:AA61)*ROW(AA$12:AA61)+1,ROW($P$12))&amp;":M"&amp;(ROW()))))-SUM(INDIRECT("W"&amp;(MAX(("Да"=AA$12:AA61)*ROW(AA$12:AA61)+1,ROW($P$12))&amp;":W"&amp;(ROW()))))),0)</f>
        <v>0</v>
      </c>
      <c r="Q62" s="99">
        <f ca="1">MAX(SUM($N$13:N62)-SUM($T$13:T62),0)</f>
        <v>0</v>
      </c>
      <c r="R62" s="99">
        <f ca="1">Первоначальный[[#This Row],[Просроченный платеж по ОД]]+Первоначальный[[#This Row],[Просроченный платеж по процентам]]</f>
        <v>0</v>
      </c>
      <c r="S62" s="120">
        <f ca="1">IF(Первоначальный[[#This Row],[Просроченный платеж]]&lt;1,0,S61+1)</f>
        <v>0</v>
      </c>
      <c r="T62" s="100" cm="1">
        <f t="array" aca="1" ref="T62" ca="1">IF(Первоначальный[[#This Row],[Итого остаток на начало периода]]&lt;1,0,
IF(
AND(TYPE(VLOOKUP(1,$Z$12:Z62,1,0))=16,Первоначальный[[#This Row],[Досрочное погашение (да/"")]]=""),0,
_xlfn.IFS(AND(S61=0,Первоначальный[[#This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платеж]]&lt;&gt;0),MIN(LOOKUP(,-1/($Z$12:Z62=1),$C$12:C62)+LOOKUP(,-1/($Z$12:Z62=1),$H$12:H62),Первоначальный[[#This Row],[Полученный платеж]]+Y61),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платеж]]+Y61,SUM(Первоначальный[[#This Row],[Остаток процентов на начало периода]],Первоначальный[[#This Row],[Проценты за период]])),
AND(S61=0,Первоначальный[[#This Row],[Дата платежа из графика]]=""),0,
AND(S61=0,Первоначальный[[#This Row],[Дата платежа из графика]]=1,MAX((0&lt;&gt;S$12:S61)*ROW(S$12:S61),ROW($S$12))&gt;=MAX((1=Z$12:Z61)*ROW(Z$12:Z61),ROW($T$12)),TYPE(VLOOKUP("Да",(INDIRECT("AA"&amp;(MAX((1=Z$12:Z61)*ROW(Z$12:Z61),ROW($T$12))&amp;":AA"&amp;(ROW()-1)))),1,0))=16),MIN(LOOKUP(,-1/($Z$12:Z62=1),$C$12:C62)+LOOKUP(,-1/($Z$12:Z62=1),$H$12:H62),Первоначальный[[#This Row],[Полученный платеж]]+Y61),
AND(S61=0,TYPE(VLOOKUP("Да",(INDIRECT("AA"&amp;(MAX((1=Z$12:Z61)*ROW(Z$12:Z61),ROW($T$12))&amp;":AA"&amp;(ROW()-1)))),1,0))&lt;&gt;16),MIN(LOOKUP(,-1/($Z$12:Z62=1),$C$12:C62)+LOOKUP(,-1/($Z$12:Z62=1),$H$12:H62)-IF(AA61="Да",0,SUM(INDIRECT("T"&amp;(MAX(("Да"=AA$12:AA61)*ROW(AA$12:AA61)+1,ROW($T$12))&amp;":T"&amp;(ROW()-1))))),Первоначальный[[#This Row],[Полученный платеж]]+Y61),
AND(S61=0,MAX((0&lt;&gt;N$12:N61)*ROW(N$12:N61),ROW($S$12))&gt;=MAX((1=Z$12:Z61)*ROW(Z$12:Z61),ROW($T$12))),MIN(LOOKUP(,-1/($Z$12:Z62=1),$C$12:C62)+LOOKUP(,-1/($Z$12:Z62=1),$H$12:H62)-IF(N61&lt;&gt;0,0,SUM(INDIRECT("T"&amp;(MAX((0&lt;&gt;N$12:N61)*ROW(N$12:N61)+1,ROW($T$12))&amp;":T"&amp;(ROW()-1))))),Первоначальный[[#This Row],[Полученный платеж]]+Y61),
AND(S61=0,Первоначальный[[#This Row],[Дата платежа из графика]]=1),MIN(LOOKUP(,-1/($Z$12:Z62=1),$C$12:C62)+LOOKUP(,-1/($Z$12:Z62=1),$H$12:H62)-IF(Z61=1,0,SUM(INDIRECT("T"&amp;(MAX((1=Z$12:Z61)*ROW(Z$12:Z61)+1,ROW($T$12))&amp;":T"&amp;(ROW()-1))))),Первоначальный[[#This Row],[Полученный платеж]]+Y61),
AND(Z61&gt;0,Первоначальный[[#This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платеж]]+Y61),
AND(S61&gt;0,MAX((0&lt;&gt;S$12:S61)*ROW(S$12:S61),ROW($S$12))&gt;=MAX((1=Z$12:Z61)*ROW(Z$12:Z61),ROW($T$12)),TYPE(VLOOKUP("Да",(INDIRECT("AA"&amp;(MAX((1=Z$12:Z61)*ROW(Z$12:Z61),ROW($T$12))&amp;":AA"&amp;(ROW()-1)))),1,0))=16),MIN(LOOKUP(,-1/($Z$12:Z62=1),$C$12:C62)+LOOKUP(,-1/($Z$12:Z62=1),$H$12:H62)-SUM(INDIRECT("T"&amp;(MAX((1=Z$12:Z61)*ROW(Z$12:Z61),ROW($T$12))&amp;":T"&amp;(ROW()-1)))),Первоначальный[[#This Row],[Полученный платеж]]+Y61),
S61&gt;0,MIN(LOOKUP(,-1/($Z$12:Z62=1),$C$12:C62)+LOOKUP(,-1/($Z$12:Z62=1),$H$12:H62)-IF(Z61=1,0,SUM(INDIRECT("T"&amp;(MAX((1=Z$12:Z61)*ROW(Z$12:Z61)+1,ROW($T$12))&amp;":T"&amp;(ROW()-1))))),Первоначальный[[#This Row],[Полученный платеж]]+Y61)
)
)
)</f>
        <v>0</v>
      </c>
      <c r="U6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платеж]]+Y61-Первоначальный[[#This Row],[Полученный платёж по процентам]])</f>
        <v>0</v>
      </c>
      <c r="V62" s="55">
        <f t="shared" ca="1" si="0"/>
        <v>0</v>
      </c>
      <c r="W62" s="55" cm="1">
        <f t="array" aca="1" ref="W62" ca="1">IF(Первоначальный[[#This Row],[Итого остаток на начало периода]]&lt;1,0,
_xlfn.IFS(
AND(TYPE(VLOOKUP(1,$Z$12:Z62,1,0))=16,Первоначальный[[#This Row],[Досрочное погашение (да/"")]]=""),0,
AND(S61=0,Первоначальный[[#This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комиссиям]]),VLOOKUP(LOOKUP(,-1/($Z$12:Z62=1),$A$12:A62),График[[Срок конец]:[Возврат основной суммы долга]],3,0)),
AND(S61=0,Первоначальный[[#This Row],[Дата платежа из графика]]="",Первоначальный[[#This Row],[Досрочное погашение (да/"")]]&lt;&gt;"Да"),0,
AND(S61=0,Первоначальный[[#This Row],[Досрочное погашение (да/"")]]=""),MIN(Первоначальный[[#This Row],[Полученный платеж]]+Y61-SUM(Первоначальный[[#This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комиссиям]]),VLOOKUP(LOOKUP(,-1/($Z$12:Z62=1),$A$12:A62),График[[Срок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S61&gt;0,MIN(Первоначальный[[#This Row],[Полученный платеж]]+Y61-SUM(Первоначальный[[#This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комиссиям]]),SUM(INDIRECT("M"&amp;(MAX((1=S$12:S61)*ROW(S$12:S61),ROW($W$12))&amp;":M"&amp;(ROW()))))-SUM(INDIRECT("W"&amp;(MAX((1=S$12:S61)*ROW(S$12:S61),ROW($W$12))&amp;":W"&amp;(ROW()-1)))))
)
)</f>
        <v>0</v>
      </c>
      <c r="X62" s="55">
        <f t="shared" ca="1" si="1"/>
        <v>0</v>
      </c>
      <c r="Y62" s="101">
        <f t="shared" ca="1" si="9"/>
        <v>13.22</v>
      </c>
      <c r="Z62" s="133" t="str">
        <f>IF(TYPE((VLOOKUP(Первоначальный[[#This Row],[Дата платежа]],График[Срок конец],1,0)))=16,"",1)</f>
        <v/>
      </c>
      <c r="AA62" s="57"/>
      <c r="AB62" s="134"/>
      <c r="AC6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150000</v>
      </c>
      <c r="AD6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1549.639999999999</v>
      </c>
      <c r="AE6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6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62" s="55"/>
      <c r="AI62" s="55"/>
      <c r="AJ62" s="55"/>
      <c r="AK62" s="101">
        <f t="shared" ca="1" si="10"/>
        <v>151549.63999999998</v>
      </c>
      <c r="AL62" s="129">
        <f t="array" ref="AL62">MAX((УслРестрактов[Характеристика]="Дата реструктуризации")*(УслРестрактов[Значение]=Первоначальный!$A62),0)</f>
        <v>0</v>
      </c>
    </row>
    <row r="63" spans="1:38" x14ac:dyDescent="0.25">
      <c r="A63" s="97">
        <f t="shared" si="2"/>
        <v>44194</v>
      </c>
      <c r="B63" s="100">
        <f t="shared" ca="1" si="3"/>
        <v>150000</v>
      </c>
      <c r="C63" s="55">
        <f t="shared" ca="1" si="12"/>
        <v>1549.639999999999</v>
      </c>
      <c r="D63" s="55">
        <f t="shared" ca="1" si="12"/>
        <v>0</v>
      </c>
      <c r="E63" s="55">
        <f t="shared" ca="1" si="5"/>
        <v>0</v>
      </c>
      <c r="F63" s="55">
        <f t="shared" ca="1" si="6"/>
        <v>0</v>
      </c>
      <c r="G63" s="101">
        <f t="shared" ca="1" si="7"/>
        <v>151549.63999999998</v>
      </c>
      <c r="H63" s="100">
        <f ca="1">ROUND($B63*VLOOKUP($A63,$A$1:$B$10,2,1)/(365+IF(MOD(YEAR($A63),4),0,1)*($A63-$A62)),2)-Первоначальный[[#This Row],[Проценты на просроченный платеж по ОД за период]]</f>
        <v>81.56</v>
      </c>
      <c r="I63" s="55">
        <f t="shared" ca="1" si="8"/>
        <v>0</v>
      </c>
      <c r="J63" s="55">
        <v>0</v>
      </c>
      <c r="K63" s="55">
        <f t="shared" ca="1" si="11"/>
        <v>0</v>
      </c>
      <c r="L63" s="55">
        <v>0</v>
      </c>
      <c r="M63" s="113">
        <f>SUMIFS(График[Возврат основной суммы долга],График[Дата с учетом нерабочих дней],$A63)</f>
        <v>0</v>
      </c>
      <c r="N63" s="56">
        <f>SUMIFS(График[Возврат начисленных %],График[Дата с учетом нерабочих дней],$A63)</f>
        <v>0</v>
      </c>
      <c r="O63" s="101">
        <v>0</v>
      </c>
      <c r="P63" s="100" cm="1">
        <f t="array" aca="1" ref="P63" ca="1">MAX(IF(AA62="Да",0,SUM(INDIRECT("M"&amp;(MAX(("Да"=AA$12:AA62)*ROW(AA$12:AA62)+1,ROW($P$12))&amp;":M"&amp;(ROW()))))-SUM(INDIRECT("W"&amp;(MAX(("Да"=AA$12:AA62)*ROW(AA$12:AA62)+1,ROW($P$12))&amp;":W"&amp;(ROW()))))),0)</f>
        <v>0</v>
      </c>
      <c r="Q63" s="99">
        <f ca="1">MAX(SUM($N$13:N63)-SUM($T$13:T63),0)</f>
        <v>0</v>
      </c>
      <c r="R63" s="99">
        <f ca="1">Первоначальный[[#This Row],[Просроченный платеж по ОД]]+Первоначальный[[#This Row],[Просроченный платеж по процентам]]</f>
        <v>0</v>
      </c>
      <c r="S63" s="120">
        <f ca="1">IF(Первоначальный[[#This Row],[Просроченный платеж]]&lt;1,0,S62+1)</f>
        <v>0</v>
      </c>
      <c r="T63" s="100" cm="1">
        <f t="array" aca="1" ref="T63" ca="1">IF(Первоначальный[[#This Row],[Итого остаток на начало периода]]&lt;1,0,
IF(
AND(TYPE(VLOOKUP(1,$Z$12:Z63,1,0))=16,Первоначальный[[#This Row],[Досрочное погашение (да/"")]]=""),0,
_xlfn.IFS(AND(S62=0,Первоначальный[[#This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платеж]]&lt;&gt;0),MIN(LOOKUP(,-1/($Z$12:Z63=1),$C$12:C63)+LOOKUP(,-1/($Z$12:Z63=1),$H$12:H63),Первоначальный[[#This Row],[Полученный платеж]]+Y62),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платеж]]+Y62,SUM(Первоначальный[[#This Row],[Остаток процентов на начало периода]],Первоначальный[[#This Row],[Проценты за период]])),
AND(S62=0,Первоначальный[[#This Row],[Дата платежа из графика]]=""),0,
AND(S62=0,Первоначальный[[#This Row],[Дата платежа из графика]]=1,MAX((0&lt;&gt;S$12:S62)*ROW(S$12:S62),ROW($S$12))&gt;=MAX((1=Z$12:Z62)*ROW(Z$12:Z62),ROW($T$12)),TYPE(VLOOKUP("Да",(INDIRECT("AA"&amp;(MAX((1=Z$12:Z62)*ROW(Z$12:Z62),ROW($T$12))&amp;":AA"&amp;(ROW()-1)))),1,0))=16),MIN(LOOKUP(,-1/($Z$12:Z63=1),$C$12:C63)+LOOKUP(,-1/($Z$12:Z63=1),$H$12:H63),Первоначальный[[#This Row],[Полученный платеж]]+Y62),
AND(S62=0,TYPE(VLOOKUP("Да",(INDIRECT("AA"&amp;(MAX((1=Z$12:Z62)*ROW(Z$12:Z62),ROW($T$12))&amp;":AA"&amp;(ROW()-1)))),1,0))&lt;&gt;16),MIN(LOOKUP(,-1/($Z$12:Z63=1),$C$12:C63)+LOOKUP(,-1/($Z$12:Z63=1),$H$12:H63)-IF(AA62="Да",0,SUM(INDIRECT("T"&amp;(MAX(("Да"=AA$12:AA62)*ROW(AA$12:AA62)+1,ROW($T$12))&amp;":T"&amp;(ROW()-1))))),Первоначальный[[#This Row],[Полученный платеж]]+Y62),
AND(S62=0,MAX((0&lt;&gt;N$12:N62)*ROW(N$12:N62),ROW($S$12))&gt;=MAX((1=Z$12:Z62)*ROW(Z$12:Z62),ROW($T$12))),MIN(LOOKUP(,-1/($Z$12:Z63=1),$C$12:C63)+LOOKUP(,-1/($Z$12:Z63=1),$H$12:H63)-IF(N62&lt;&gt;0,0,SUM(INDIRECT("T"&amp;(MAX((0&lt;&gt;N$12:N62)*ROW(N$12:N62)+1,ROW($T$12))&amp;":T"&amp;(ROW()-1))))),Первоначальный[[#This Row],[Полученный платеж]]+Y62),
AND(S62=0,Первоначальный[[#This Row],[Дата платежа из графика]]=1),MIN(LOOKUP(,-1/($Z$12:Z63=1),$C$12:C63)+LOOKUP(,-1/($Z$12:Z63=1),$H$12:H63)-IF(Z62=1,0,SUM(INDIRECT("T"&amp;(MAX((1=Z$12:Z62)*ROW(Z$12:Z62)+1,ROW($T$12))&amp;":T"&amp;(ROW()-1))))),Первоначальный[[#This Row],[Полученный платеж]]+Y62),
AND(Z62&gt;0,Первоначальный[[#This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платеж]]+Y62),
AND(S62&gt;0,MAX((0&lt;&gt;S$12:S62)*ROW(S$12:S62),ROW($S$12))&gt;=MAX((1=Z$12:Z62)*ROW(Z$12:Z62),ROW($T$12)),TYPE(VLOOKUP("Да",(INDIRECT("AA"&amp;(MAX((1=Z$12:Z62)*ROW(Z$12:Z62),ROW($T$12))&amp;":AA"&amp;(ROW()-1)))),1,0))=16),MIN(LOOKUP(,-1/($Z$12:Z63=1),$C$12:C63)+LOOKUP(,-1/($Z$12:Z63=1),$H$12:H63)-SUM(INDIRECT("T"&amp;(MAX((1=Z$12:Z62)*ROW(Z$12:Z62),ROW($T$12))&amp;":T"&amp;(ROW()-1)))),Первоначальный[[#This Row],[Полученный платеж]]+Y62),
S62&gt;0,MIN(LOOKUP(,-1/($Z$12:Z63=1),$C$12:C63)+LOOKUP(,-1/($Z$12:Z63=1),$H$12:H63)-IF(Z62=1,0,SUM(INDIRECT("T"&amp;(MAX((1=Z$12:Z62)*ROW(Z$12:Z62)+1,ROW($T$12))&amp;":T"&amp;(ROW()-1))))),Первоначальный[[#This Row],[Полученный платеж]]+Y62)
)
)
)</f>
        <v>0</v>
      </c>
      <c r="U6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платеж]]+Y62-Первоначальный[[#This Row],[Полученный платёж по процентам]])</f>
        <v>0</v>
      </c>
      <c r="V63" s="55">
        <f t="shared" ca="1" si="0"/>
        <v>0</v>
      </c>
      <c r="W63" s="55" cm="1">
        <f t="array" aca="1" ref="W63" ca="1">IF(Первоначальный[[#This Row],[Итого остаток на начало периода]]&lt;1,0,
_xlfn.IFS(
AND(TYPE(VLOOKUP(1,$Z$12:Z63,1,0))=16,Первоначальный[[#This Row],[Досрочное погашение (да/"")]]=""),0,
AND(S62=0,Первоначальный[[#This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комиссиям]]),VLOOKUP(LOOKUP(,-1/($Z$12:Z63=1),$A$12:A63),График[[Срок конец]:[Возврат основной суммы долга]],3,0)),
AND(S62=0,Первоначальный[[#This Row],[Дата платежа из графика]]="",Первоначальный[[#This Row],[Досрочное погашение (да/"")]]&lt;&gt;"Да"),0,
AND(S62=0,Первоначальный[[#This Row],[Досрочное погашение (да/"")]]=""),MIN(Первоначальный[[#This Row],[Полученный платеж]]+Y62-SUM(Первоначальный[[#This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комиссиям]]),VLOOKUP(LOOKUP(,-1/($Z$12:Z63=1),$A$12:A63),График[[Срок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S62&gt;0,MIN(Первоначальный[[#This Row],[Полученный платеж]]+Y62-SUM(Первоначальный[[#This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комиссиям]]),SUM(INDIRECT("M"&amp;(MAX((1=S$12:S62)*ROW(S$12:S62),ROW($W$12))&amp;":M"&amp;(ROW()))))-SUM(INDIRECT("W"&amp;(MAX((1=S$12:S62)*ROW(S$12:S62),ROW($W$12))&amp;":W"&amp;(ROW()-1)))))
)
)</f>
        <v>0</v>
      </c>
      <c r="X63" s="55">
        <f t="shared" ca="1" si="1"/>
        <v>0</v>
      </c>
      <c r="Y63" s="101">
        <f t="shared" ca="1" si="9"/>
        <v>13.22</v>
      </c>
      <c r="Z63" s="133" t="str">
        <f>IF(TYPE((VLOOKUP(Первоначальный[[#This Row],[Дата платежа]],График[Срок конец],1,0)))=16,"",1)</f>
        <v/>
      </c>
      <c r="AA63" s="57"/>
      <c r="AB63" s="134"/>
      <c r="AC6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150000</v>
      </c>
      <c r="AD6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1631.1999999999989</v>
      </c>
      <c r="AE6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6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63" s="55"/>
      <c r="AI63" s="55"/>
      <c r="AJ63" s="55"/>
      <c r="AK63" s="101">
        <f t="shared" ca="1" si="10"/>
        <v>151631.20000000001</v>
      </c>
      <c r="AL63" s="129">
        <f t="array" ref="AL63">MAX((УслРестрактов[Характеристика]="Дата реструктуризации")*(УслРестрактов[Значение]=Первоначальный!$A63),0)</f>
        <v>0</v>
      </c>
    </row>
    <row r="64" spans="1:38" x14ac:dyDescent="0.25">
      <c r="A64" s="97">
        <f t="shared" si="2"/>
        <v>44195</v>
      </c>
      <c r="B64" s="100">
        <f t="shared" ca="1" si="3"/>
        <v>150000</v>
      </c>
      <c r="C64" s="55">
        <f t="shared" ca="1" si="12"/>
        <v>1631.1999999999989</v>
      </c>
      <c r="D64" s="55">
        <f t="shared" ca="1" si="12"/>
        <v>0</v>
      </c>
      <c r="E64" s="55">
        <f t="shared" ca="1" si="5"/>
        <v>0</v>
      </c>
      <c r="F64" s="55">
        <f t="shared" ca="1" si="6"/>
        <v>0</v>
      </c>
      <c r="G64" s="101">
        <f t="shared" ca="1" si="7"/>
        <v>151631.20000000001</v>
      </c>
      <c r="H64" s="100">
        <f ca="1">ROUND($B64*VLOOKUP($A64,$A$1:$B$10,2,1)/(365+IF(MOD(YEAR($A64),4),0,1)*($A64-$A63)),2)-Первоначальный[[#This Row],[Проценты на просроченный платеж по ОД за период]]</f>
        <v>81.56</v>
      </c>
      <c r="I64" s="55">
        <f t="shared" ca="1" si="8"/>
        <v>0</v>
      </c>
      <c r="J64" s="55">
        <v>0</v>
      </c>
      <c r="K64" s="55">
        <f t="shared" ca="1" si="11"/>
        <v>0</v>
      </c>
      <c r="L64" s="55">
        <v>0</v>
      </c>
      <c r="M64" s="113">
        <f>SUMIFS(График[Возврат основной суммы долга],График[Дата с учетом нерабочих дней],$A64)</f>
        <v>0</v>
      </c>
      <c r="N64" s="56">
        <f>SUMIFS(График[Возврат начисленных %],График[Дата с учетом нерабочих дней],$A64)</f>
        <v>0</v>
      </c>
      <c r="O64" s="101">
        <v>0</v>
      </c>
      <c r="P64" s="100" cm="1">
        <f t="array" aca="1" ref="P64" ca="1">MAX(IF(AA63="Да",0,SUM(INDIRECT("M"&amp;(MAX(("Да"=AA$12:AA63)*ROW(AA$12:AA63)+1,ROW($P$12))&amp;":M"&amp;(ROW()))))-SUM(INDIRECT("W"&amp;(MAX(("Да"=AA$12:AA63)*ROW(AA$12:AA63)+1,ROW($P$12))&amp;":W"&amp;(ROW()))))),0)</f>
        <v>0</v>
      </c>
      <c r="Q64" s="99">
        <f ca="1">MAX(SUM($N$13:N64)-SUM($T$13:T64),0)</f>
        <v>0</v>
      </c>
      <c r="R64" s="99">
        <f ca="1">Первоначальный[[#This Row],[Просроченный платеж по ОД]]+Первоначальный[[#This Row],[Просроченный платеж по процентам]]</f>
        <v>0</v>
      </c>
      <c r="S64" s="120">
        <f ca="1">IF(Первоначальный[[#This Row],[Просроченный платеж]]&lt;1,0,S63+1)</f>
        <v>0</v>
      </c>
      <c r="T64" s="100" cm="1">
        <f t="array" aca="1" ref="T64" ca="1">IF(Первоначальный[[#This Row],[Итого остаток на начало периода]]&lt;1,0,
IF(
AND(TYPE(VLOOKUP(1,$Z$12:Z64,1,0))=16,Первоначальный[[#This Row],[Досрочное погашение (да/"")]]=""),0,
_xlfn.IFS(AND(S63=0,Первоначальный[[#This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платеж]]&lt;&gt;0),MIN(LOOKUP(,-1/($Z$12:Z64=1),$C$12:C64)+LOOKUP(,-1/($Z$12:Z64=1),$H$12:H64),Первоначальный[[#This Row],[Полученный платеж]]+Y63),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платеж]]+Y63,SUM(Первоначальный[[#This Row],[Остаток процентов на начало периода]],Первоначальный[[#This Row],[Проценты за период]])),
AND(S63=0,Первоначальный[[#This Row],[Дата платежа из графика]]=""),0,
AND(S63=0,Первоначальный[[#This Row],[Дата платежа из графика]]=1,MAX((0&lt;&gt;S$12:S63)*ROW(S$12:S63),ROW($S$12))&gt;=MAX((1=Z$12:Z63)*ROW(Z$12:Z63),ROW($T$12)),TYPE(VLOOKUP("Да",(INDIRECT("AA"&amp;(MAX((1=Z$12:Z63)*ROW(Z$12:Z63),ROW($T$12))&amp;":AA"&amp;(ROW()-1)))),1,0))=16),MIN(LOOKUP(,-1/($Z$12:Z64=1),$C$12:C64)+LOOKUP(,-1/($Z$12:Z64=1),$H$12:H64),Первоначальный[[#This Row],[Полученный платеж]]+Y63),
AND(S63=0,TYPE(VLOOKUP("Да",(INDIRECT("AA"&amp;(MAX((1=Z$12:Z63)*ROW(Z$12:Z63),ROW($T$12))&amp;":AA"&amp;(ROW()-1)))),1,0))&lt;&gt;16),MIN(LOOKUP(,-1/($Z$12:Z64=1),$C$12:C64)+LOOKUP(,-1/($Z$12:Z64=1),$H$12:H64)-IF(AA63="Да",0,SUM(INDIRECT("T"&amp;(MAX(("Да"=AA$12:AA63)*ROW(AA$12:AA63)+1,ROW($T$12))&amp;":T"&amp;(ROW()-1))))),Первоначальный[[#This Row],[Полученный платеж]]+Y63),
AND(S63=0,MAX((0&lt;&gt;N$12:N63)*ROW(N$12:N63),ROW($S$12))&gt;=MAX((1=Z$12:Z63)*ROW(Z$12:Z63),ROW($T$12))),MIN(LOOKUP(,-1/($Z$12:Z64=1),$C$12:C64)+LOOKUP(,-1/($Z$12:Z64=1),$H$12:H64)-IF(N63&lt;&gt;0,0,SUM(INDIRECT("T"&amp;(MAX((0&lt;&gt;N$12:N63)*ROW(N$12:N63)+1,ROW($T$12))&amp;":T"&amp;(ROW()-1))))),Первоначальный[[#This Row],[Полученный платеж]]+Y63),
AND(S63=0,Первоначальный[[#This Row],[Дата платежа из графика]]=1),MIN(LOOKUP(,-1/($Z$12:Z64=1),$C$12:C64)+LOOKUP(,-1/($Z$12:Z64=1),$H$12:H64)-IF(Z63=1,0,SUM(INDIRECT("T"&amp;(MAX((1=Z$12:Z63)*ROW(Z$12:Z63)+1,ROW($T$12))&amp;":T"&amp;(ROW()-1))))),Первоначальный[[#This Row],[Полученный платеж]]+Y63),
AND(Z63&gt;0,Первоначальный[[#This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платеж]]+Y63),
AND(S63&gt;0,MAX((0&lt;&gt;S$12:S63)*ROW(S$12:S63),ROW($S$12))&gt;=MAX((1=Z$12:Z63)*ROW(Z$12:Z63),ROW($T$12)),TYPE(VLOOKUP("Да",(INDIRECT("AA"&amp;(MAX((1=Z$12:Z63)*ROW(Z$12:Z63),ROW($T$12))&amp;":AA"&amp;(ROW()-1)))),1,0))=16),MIN(LOOKUP(,-1/($Z$12:Z64=1),$C$12:C64)+LOOKUP(,-1/($Z$12:Z64=1),$H$12:H64)-SUM(INDIRECT("T"&amp;(MAX((1=Z$12:Z63)*ROW(Z$12:Z63),ROW($T$12))&amp;":T"&amp;(ROW()-1)))),Первоначальный[[#This Row],[Полученный платеж]]+Y63),
S63&gt;0,MIN(LOOKUP(,-1/($Z$12:Z64=1),$C$12:C64)+LOOKUP(,-1/($Z$12:Z64=1),$H$12:H64)-IF(Z63=1,0,SUM(INDIRECT("T"&amp;(MAX((1=Z$12:Z63)*ROW(Z$12:Z63)+1,ROW($T$12))&amp;":T"&amp;(ROW()-1))))),Первоначальный[[#This Row],[Полученный платеж]]+Y63)
)
)
)</f>
        <v>0</v>
      </c>
      <c r="U6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платеж]]+Y63-Первоначальный[[#This Row],[Полученный платёж по процентам]])</f>
        <v>0</v>
      </c>
      <c r="V64" s="55">
        <f t="shared" ca="1" si="0"/>
        <v>0</v>
      </c>
      <c r="W64" s="55" cm="1">
        <f t="array" aca="1" ref="W64" ca="1">IF(Первоначальный[[#This Row],[Итого остаток на начало периода]]&lt;1,0,
_xlfn.IFS(
AND(TYPE(VLOOKUP(1,$Z$12:Z64,1,0))=16,Первоначальный[[#This Row],[Досрочное погашение (да/"")]]=""),0,
AND(S63=0,Первоначальный[[#This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комиссиям]]),VLOOKUP(LOOKUP(,-1/($Z$12:Z64=1),$A$12:A64),График[[Срок конец]:[Возврат основной суммы долга]],3,0)),
AND(S63=0,Первоначальный[[#This Row],[Дата платежа из графика]]="",Первоначальный[[#This Row],[Досрочное погашение (да/"")]]&lt;&gt;"Да"),0,
AND(S63=0,Первоначальный[[#This Row],[Досрочное погашение (да/"")]]=""),MIN(Первоначальный[[#This Row],[Полученный платеж]]+Y63-SUM(Первоначальный[[#This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комиссиям]]),VLOOKUP(LOOKUP(,-1/($Z$12:Z64=1),$A$12:A64),График[[Срок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S63&gt;0,MIN(Первоначальный[[#This Row],[Полученный платеж]]+Y63-SUM(Первоначальный[[#This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комиссиям]]),SUM(INDIRECT("M"&amp;(MAX((1=S$12:S63)*ROW(S$12:S63),ROW($W$12))&amp;":M"&amp;(ROW()))))-SUM(INDIRECT("W"&amp;(MAX((1=S$12:S63)*ROW(S$12:S63),ROW($W$12))&amp;":W"&amp;(ROW()-1)))))
)
)</f>
        <v>0</v>
      </c>
      <c r="X64" s="55">
        <f t="shared" ca="1" si="1"/>
        <v>0</v>
      </c>
      <c r="Y64" s="101">
        <f t="shared" ca="1" si="9"/>
        <v>13.22</v>
      </c>
      <c r="Z64" s="133" t="str">
        <f>IF(TYPE((VLOOKUP(Первоначальный[[#This Row],[Дата платежа]],График[Срок конец],1,0)))=16,"",1)</f>
        <v/>
      </c>
      <c r="AA64" s="57"/>
      <c r="AB64" s="134"/>
      <c r="AC6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150000</v>
      </c>
      <c r="AD6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1712.7599999999989</v>
      </c>
      <c r="AE6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6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64" s="55"/>
      <c r="AI64" s="55"/>
      <c r="AJ64" s="55"/>
      <c r="AK64" s="101">
        <f t="shared" ca="1" si="10"/>
        <v>151712.76</v>
      </c>
      <c r="AL64" s="129">
        <f t="array" ref="AL64">MAX((УслРестрактов[Характеристика]="Дата реструктуризации")*(УслРестрактов[Значение]=Первоначальный!$A64),0)</f>
        <v>0</v>
      </c>
    </row>
    <row r="65" spans="1:38" x14ac:dyDescent="0.25">
      <c r="A65" s="97">
        <f t="shared" si="2"/>
        <v>44196</v>
      </c>
      <c r="B65" s="100">
        <f t="shared" ca="1" si="3"/>
        <v>150000</v>
      </c>
      <c r="C65" s="55">
        <f t="shared" ca="1" si="12"/>
        <v>1712.7599999999989</v>
      </c>
      <c r="D65" s="55">
        <f t="shared" ca="1" si="12"/>
        <v>0</v>
      </c>
      <c r="E65" s="55">
        <f t="shared" ca="1" si="5"/>
        <v>0</v>
      </c>
      <c r="F65" s="55">
        <f t="shared" ca="1" si="6"/>
        <v>0</v>
      </c>
      <c r="G65" s="101">
        <f t="shared" ca="1" si="7"/>
        <v>151712.76</v>
      </c>
      <c r="H65" s="100">
        <f ca="1">ROUND($B65*VLOOKUP($A65,$A$1:$B$10,2,1)/(365+IF(MOD(YEAR($A65),4),0,1)*($A65-$A64)),2)-Первоначальный[[#This Row],[Проценты на просроченный платеж по ОД за период]]</f>
        <v>81.56</v>
      </c>
      <c r="I65" s="55">
        <f t="shared" ca="1" si="8"/>
        <v>0</v>
      </c>
      <c r="J65" s="55">
        <v>0</v>
      </c>
      <c r="K65" s="55">
        <f t="shared" ca="1" si="11"/>
        <v>0</v>
      </c>
      <c r="L65" s="55">
        <v>0</v>
      </c>
      <c r="M65" s="113">
        <f>SUMIFS(График[Возврат основной суммы долга],График[Дата с учетом нерабочих дней],$A65)</f>
        <v>0</v>
      </c>
      <c r="N65" s="56">
        <f>SUMIFS(График[Возврат начисленных %],График[Дата с учетом нерабочих дней],$A65)</f>
        <v>0</v>
      </c>
      <c r="O65" s="101">
        <v>0</v>
      </c>
      <c r="P65" s="100" cm="1">
        <f t="array" aca="1" ref="P65" ca="1">MAX(IF(AA64="Да",0,SUM(INDIRECT("M"&amp;(MAX(("Да"=AA$12:AA64)*ROW(AA$12:AA64)+1,ROW($P$12))&amp;":M"&amp;(ROW()))))-SUM(INDIRECT("W"&amp;(MAX(("Да"=AA$12:AA64)*ROW(AA$12:AA64)+1,ROW($P$12))&amp;":W"&amp;(ROW()))))),0)</f>
        <v>0</v>
      </c>
      <c r="Q65" s="99">
        <f ca="1">MAX(SUM($N$13:N65)-SUM($T$13:T65),0)</f>
        <v>0</v>
      </c>
      <c r="R65" s="99">
        <f ca="1">Первоначальный[[#This Row],[Просроченный платеж по ОД]]+Первоначальный[[#This Row],[Просроченный платеж по процентам]]</f>
        <v>0</v>
      </c>
      <c r="S65" s="120">
        <f ca="1">IF(Первоначальный[[#This Row],[Просроченный платеж]]&lt;1,0,S64+1)</f>
        <v>0</v>
      </c>
      <c r="T65" s="100" cm="1">
        <f t="array" aca="1" ref="T65" ca="1">IF(Первоначальный[[#This Row],[Итого остаток на начало периода]]&lt;1,0,
IF(
AND(TYPE(VLOOKUP(1,$Z$12:Z65,1,0))=16,Первоначальный[[#This Row],[Досрочное погашение (да/"")]]=""),0,
_xlfn.IFS(AND(S64=0,Первоначальный[[#This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платеж]]&lt;&gt;0),MIN(LOOKUP(,-1/($Z$12:Z65=1),$C$12:C65)+LOOKUP(,-1/($Z$12:Z65=1),$H$12:H65),Первоначальный[[#This Row],[Полученный платеж]]+Y64),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платеж]]+Y64,SUM(Первоначальный[[#This Row],[Остаток процентов на начало периода]],Первоначальный[[#This Row],[Проценты за период]])),
AND(S64=0,Первоначальный[[#This Row],[Дата платежа из графика]]=""),0,
AND(S64=0,Первоначальный[[#This Row],[Дата платежа из графика]]=1,MAX((0&lt;&gt;S$12:S64)*ROW(S$12:S64),ROW($S$12))&gt;=MAX((1=Z$12:Z64)*ROW(Z$12:Z64),ROW($T$12)),TYPE(VLOOKUP("Да",(INDIRECT("AA"&amp;(MAX((1=Z$12:Z64)*ROW(Z$12:Z64),ROW($T$12))&amp;":AA"&amp;(ROW()-1)))),1,0))=16),MIN(LOOKUP(,-1/($Z$12:Z65=1),$C$12:C65)+LOOKUP(,-1/($Z$12:Z65=1),$H$12:H65),Первоначальный[[#This Row],[Полученный платеж]]+Y64),
AND(S64=0,TYPE(VLOOKUP("Да",(INDIRECT("AA"&amp;(MAX((1=Z$12:Z64)*ROW(Z$12:Z64),ROW($T$12))&amp;":AA"&amp;(ROW()-1)))),1,0))&lt;&gt;16),MIN(LOOKUP(,-1/($Z$12:Z65=1),$C$12:C65)+LOOKUP(,-1/($Z$12:Z65=1),$H$12:H65)-IF(AA64="Да",0,SUM(INDIRECT("T"&amp;(MAX(("Да"=AA$12:AA64)*ROW(AA$12:AA64)+1,ROW($T$12))&amp;":T"&amp;(ROW()-1))))),Первоначальный[[#This Row],[Полученный платеж]]+Y64),
AND(S64=0,MAX((0&lt;&gt;N$12:N64)*ROW(N$12:N64),ROW($S$12))&gt;=MAX((1=Z$12:Z64)*ROW(Z$12:Z64),ROW($T$12))),MIN(LOOKUP(,-1/($Z$12:Z65=1),$C$12:C65)+LOOKUP(,-1/($Z$12:Z65=1),$H$12:H65)-IF(N64&lt;&gt;0,0,SUM(INDIRECT("T"&amp;(MAX((0&lt;&gt;N$12:N64)*ROW(N$12:N64)+1,ROW($T$12))&amp;":T"&amp;(ROW()-1))))),Первоначальный[[#This Row],[Полученный платеж]]+Y64),
AND(S64=0,Первоначальный[[#This Row],[Дата платежа из графика]]=1),MIN(LOOKUP(,-1/($Z$12:Z65=1),$C$12:C65)+LOOKUP(,-1/($Z$12:Z65=1),$H$12:H65)-IF(Z64=1,0,SUM(INDIRECT("T"&amp;(MAX((1=Z$12:Z64)*ROW(Z$12:Z64)+1,ROW($T$12))&amp;":T"&amp;(ROW()-1))))),Первоначальный[[#This Row],[Полученный платеж]]+Y64),
AND(Z64&gt;0,Первоначальный[[#This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платеж]]+Y64),
AND(S64&gt;0,MAX((0&lt;&gt;S$12:S64)*ROW(S$12:S64),ROW($S$12))&gt;=MAX((1=Z$12:Z64)*ROW(Z$12:Z64),ROW($T$12)),TYPE(VLOOKUP("Да",(INDIRECT("AA"&amp;(MAX((1=Z$12:Z64)*ROW(Z$12:Z64),ROW($T$12))&amp;":AA"&amp;(ROW()-1)))),1,0))=16),MIN(LOOKUP(,-1/($Z$12:Z65=1),$C$12:C65)+LOOKUP(,-1/($Z$12:Z65=1),$H$12:H65)-SUM(INDIRECT("T"&amp;(MAX((1=Z$12:Z64)*ROW(Z$12:Z64),ROW($T$12))&amp;":T"&amp;(ROW()-1)))),Первоначальный[[#This Row],[Полученный платеж]]+Y64),
S64&gt;0,MIN(LOOKUP(,-1/($Z$12:Z65=1),$C$12:C65)+LOOKUP(,-1/($Z$12:Z65=1),$H$12:H65)-IF(Z64=1,0,SUM(INDIRECT("T"&amp;(MAX((1=Z$12:Z64)*ROW(Z$12:Z64)+1,ROW($T$12))&amp;":T"&amp;(ROW()-1))))),Первоначальный[[#This Row],[Полученный платеж]]+Y64)
)
)
)</f>
        <v>0</v>
      </c>
      <c r="U6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платеж]]+Y64-Первоначальный[[#This Row],[Полученный платёж по процентам]])</f>
        <v>0</v>
      </c>
      <c r="V65" s="55">
        <f t="shared" ca="1" si="0"/>
        <v>0</v>
      </c>
      <c r="W65" s="55" cm="1">
        <f t="array" aca="1" ref="W65" ca="1">IF(Первоначальный[[#This Row],[Итого остаток на начало периода]]&lt;1,0,
_xlfn.IFS(
AND(TYPE(VLOOKUP(1,$Z$12:Z65,1,0))=16,Первоначальный[[#This Row],[Досрочное погашение (да/"")]]=""),0,
AND(S64=0,Первоначальный[[#This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комиссиям]]),VLOOKUP(LOOKUP(,-1/($Z$12:Z65=1),$A$12:A65),График[[Срок конец]:[Возврат основной суммы долга]],3,0)),
AND(S64=0,Первоначальный[[#This Row],[Дата платежа из графика]]="",Первоначальный[[#This Row],[Досрочное погашение (да/"")]]&lt;&gt;"Да"),0,
AND(S64=0,Первоначальный[[#This Row],[Досрочное погашение (да/"")]]=""),MIN(Первоначальный[[#This Row],[Полученный платеж]]+Y64-SUM(Первоначальный[[#This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комиссиям]]),VLOOKUP(LOOKUP(,-1/($Z$12:Z65=1),$A$12:A65),График[[Срок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S64&gt;0,MIN(Первоначальный[[#This Row],[Полученный платеж]]+Y64-SUM(Первоначальный[[#This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комиссиям]]),SUM(INDIRECT("M"&amp;(MAX((1=S$12:S64)*ROW(S$12:S64),ROW($W$12))&amp;":M"&amp;(ROW()))))-SUM(INDIRECT("W"&amp;(MAX((1=S$12:S64)*ROW(S$12:S64),ROW($W$12))&amp;":W"&amp;(ROW()-1)))))
)
)</f>
        <v>0</v>
      </c>
      <c r="X65" s="55">
        <f t="shared" ca="1" si="1"/>
        <v>0</v>
      </c>
      <c r="Y65" s="101">
        <f t="shared" ca="1" si="9"/>
        <v>13.22</v>
      </c>
      <c r="Z65" s="133" t="str">
        <f>IF(TYPE((VLOOKUP(Первоначальный[[#This Row],[Дата платежа]],График[Срок конец],1,0)))=16,"",1)</f>
        <v/>
      </c>
      <c r="AA65" s="57"/>
      <c r="AB65" s="134"/>
      <c r="AC6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150000</v>
      </c>
      <c r="AD6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1794.3199999999988</v>
      </c>
      <c r="AE6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6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65" s="55"/>
      <c r="AI65" s="55"/>
      <c r="AJ65" s="55"/>
      <c r="AK65" s="101">
        <f t="shared" ca="1" si="10"/>
        <v>151794.32</v>
      </c>
      <c r="AL65" s="129">
        <f t="array" ref="AL65">MAX((УслРестрактов[Характеристика]="Дата реструктуризации")*(УслРестрактов[Значение]=Первоначальный!$A65),0)</f>
        <v>0</v>
      </c>
    </row>
    <row r="66" spans="1:38" x14ac:dyDescent="0.25">
      <c r="A66" s="97">
        <f t="shared" si="2"/>
        <v>44197</v>
      </c>
      <c r="B66" s="100">
        <f t="shared" ca="1" si="3"/>
        <v>150000</v>
      </c>
      <c r="C66" s="55">
        <f t="shared" ca="1" si="12"/>
        <v>1794.3199999999988</v>
      </c>
      <c r="D66" s="55">
        <f t="shared" ca="1" si="12"/>
        <v>0</v>
      </c>
      <c r="E66" s="55">
        <f t="shared" ca="1" si="5"/>
        <v>0</v>
      </c>
      <c r="F66" s="55">
        <f t="shared" ca="1" si="6"/>
        <v>0</v>
      </c>
      <c r="G66" s="101">
        <f t="shared" ca="1" si="7"/>
        <v>151794.32</v>
      </c>
      <c r="H66" s="100">
        <f ca="1">ROUND($B66*VLOOKUP($A66,$A$1:$B$10,2,1)/(365+IF(MOD(YEAR($A66),4),0,1)*($A66-$A65)),2)-Первоначальный[[#This Row],[Проценты на просроченный платеж по ОД за период]]</f>
        <v>81.78</v>
      </c>
      <c r="I66" s="55">
        <f t="shared" ca="1" si="8"/>
        <v>0</v>
      </c>
      <c r="J66" s="55">
        <v>0</v>
      </c>
      <c r="K66" s="55">
        <f t="shared" ca="1" si="11"/>
        <v>0</v>
      </c>
      <c r="L66" s="55">
        <v>0</v>
      </c>
      <c r="M66" s="113">
        <f>SUMIFS(График[Возврат основной суммы долга],График[Дата с учетом нерабочих дней],$A66)</f>
        <v>0</v>
      </c>
      <c r="N66" s="56">
        <f>SUMIFS(График[Возврат начисленных %],График[Дата с учетом нерабочих дней],$A66)</f>
        <v>0</v>
      </c>
      <c r="O66" s="101">
        <v>0</v>
      </c>
      <c r="P66" s="100" cm="1">
        <f t="array" aca="1" ref="P66" ca="1">MAX(IF(AA65="Да",0,SUM(INDIRECT("M"&amp;(MAX(("Да"=AA$12:AA65)*ROW(AA$12:AA65)+1,ROW($P$12))&amp;":M"&amp;(ROW()))))-SUM(INDIRECT("W"&amp;(MAX(("Да"=AA$12:AA65)*ROW(AA$12:AA65)+1,ROW($P$12))&amp;":W"&amp;(ROW()))))),0)</f>
        <v>0</v>
      </c>
      <c r="Q66" s="99">
        <f ca="1">MAX(SUM($N$13:N66)-SUM($T$13:T66),0)</f>
        <v>0</v>
      </c>
      <c r="R66" s="99">
        <f ca="1">Первоначальный[[#This Row],[Просроченный платеж по ОД]]+Первоначальный[[#This Row],[Просроченный платеж по процентам]]</f>
        <v>0</v>
      </c>
      <c r="S66" s="120">
        <f ca="1">IF(Первоначальный[[#This Row],[Просроченный платеж]]&lt;1,0,S65+1)</f>
        <v>0</v>
      </c>
      <c r="T66" s="100" cm="1">
        <f t="array" aca="1" ref="T66" ca="1">IF(Первоначальный[[#This Row],[Итого остаток на начало периода]]&lt;1,0,
IF(
AND(TYPE(VLOOKUP(1,$Z$12:Z66,1,0))=16,Первоначальный[[#This Row],[Досрочное погашение (да/"")]]=""),0,
_xlfn.IFS(AND(S65=0,Первоначальный[[#This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платеж]]&lt;&gt;0),MIN(LOOKUP(,-1/($Z$12:Z66=1),$C$12:C66)+LOOKUP(,-1/($Z$12:Z66=1),$H$12:H66),Первоначальный[[#This Row],[Полученный платеж]]+Y65),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платеж]]+Y65,SUM(Первоначальный[[#This Row],[Остаток процентов на начало периода]],Первоначальный[[#This Row],[Проценты за период]])),
AND(S65=0,Первоначальный[[#This Row],[Дата платежа из графика]]=""),0,
AND(S65=0,Первоначальный[[#This Row],[Дата платежа из графика]]=1,MAX((0&lt;&gt;S$12:S65)*ROW(S$12:S65),ROW($S$12))&gt;=MAX((1=Z$12:Z65)*ROW(Z$12:Z65),ROW($T$12)),TYPE(VLOOKUP("Да",(INDIRECT("AA"&amp;(MAX((1=Z$12:Z65)*ROW(Z$12:Z65),ROW($T$12))&amp;":AA"&amp;(ROW()-1)))),1,0))=16),MIN(LOOKUP(,-1/($Z$12:Z66=1),$C$12:C66)+LOOKUP(,-1/($Z$12:Z66=1),$H$12:H66),Первоначальный[[#This Row],[Полученный платеж]]+Y65),
AND(S65=0,TYPE(VLOOKUP("Да",(INDIRECT("AA"&amp;(MAX((1=Z$12:Z65)*ROW(Z$12:Z65),ROW($T$12))&amp;":AA"&amp;(ROW()-1)))),1,0))&lt;&gt;16),MIN(LOOKUP(,-1/($Z$12:Z66=1),$C$12:C66)+LOOKUP(,-1/($Z$12:Z66=1),$H$12:H66)-IF(AA65="Да",0,SUM(INDIRECT("T"&amp;(MAX(("Да"=AA$12:AA65)*ROW(AA$12:AA65)+1,ROW($T$12))&amp;":T"&amp;(ROW()-1))))),Первоначальный[[#This Row],[Полученный платеж]]+Y65),
AND(S65=0,MAX((0&lt;&gt;N$12:N65)*ROW(N$12:N65),ROW($S$12))&gt;=MAX((1=Z$12:Z65)*ROW(Z$12:Z65),ROW($T$12))),MIN(LOOKUP(,-1/($Z$12:Z66=1),$C$12:C66)+LOOKUP(,-1/($Z$12:Z66=1),$H$12:H66)-IF(N65&lt;&gt;0,0,SUM(INDIRECT("T"&amp;(MAX((0&lt;&gt;N$12:N65)*ROW(N$12:N65)+1,ROW($T$12))&amp;":T"&amp;(ROW()-1))))),Первоначальный[[#This Row],[Полученный платеж]]+Y65),
AND(S65=0,Первоначальный[[#This Row],[Дата платежа из графика]]=1),MIN(LOOKUP(,-1/($Z$12:Z66=1),$C$12:C66)+LOOKUP(,-1/($Z$12:Z66=1),$H$12:H66)-IF(Z65=1,0,SUM(INDIRECT("T"&amp;(MAX((1=Z$12:Z65)*ROW(Z$12:Z65)+1,ROW($T$12))&amp;":T"&amp;(ROW()-1))))),Первоначальный[[#This Row],[Полученный платеж]]+Y65),
AND(Z65&gt;0,Первоначальный[[#This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платеж]]+Y65),
AND(S65&gt;0,MAX((0&lt;&gt;S$12:S65)*ROW(S$12:S65),ROW($S$12))&gt;=MAX((1=Z$12:Z65)*ROW(Z$12:Z65),ROW($T$12)),TYPE(VLOOKUP("Да",(INDIRECT("AA"&amp;(MAX((1=Z$12:Z65)*ROW(Z$12:Z65),ROW($T$12))&amp;":AA"&amp;(ROW()-1)))),1,0))=16),MIN(LOOKUP(,-1/($Z$12:Z66=1),$C$12:C66)+LOOKUP(,-1/($Z$12:Z66=1),$H$12:H66)-SUM(INDIRECT("T"&amp;(MAX((1=Z$12:Z65)*ROW(Z$12:Z65),ROW($T$12))&amp;":T"&amp;(ROW()-1)))),Первоначальный[[#This Row],[Полученный платеж]]+Y65),
S65&gt;0,MIN(LOOKUP(,-1/($Z$12:Z66=1),$C$12:C66)+LOOKUP(,-1/($Z$12:Z66=1),$H$12:H66)-IF(Z65=1,0,SUM(INDIRECT("T"&amp;(MAX((1=Z$12:Z65)*ROW(Z$12:Z65)+1,ROW($T$12))&amp;":T"&amp;(ROW()-1))))),Первоначальный[[#This Row],[Полученный платеж]]+Y65)
)
)
)</f>
        <v>0</v>
      </c>
      <c r="U6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платеж]]+Y65-Первоначальный[[#This Row],[Полученный платёж по процентам]])</f>
        <v>0</v>
      </c>
      <c r="V66" s="55">
        <f t="shared" ca="1" si="0"/>
        <v>0</v>
      </c>
      <c r="W66" s="55" cm="1">
        <f t="array" aca="1" ref="W66" ca="1">IF(Первоначальный[[#This Row],[Итого остаток на начало периода]]&lt;1,0,
_xlfn.IFS(
AND(TYPE(VLOOKUP(1,$Z$12:Z66,1,0))=16,Первоначальный[[#This Row],[Досрочное погашение (да/"")]]=""),0,
AND(S65=0,Первоначальный[[#This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комиссиям]]),VLOOKUP(LOOKUP(,-1/($Z$12:Z66=1),$A$12:A66),График[[Срок конец]:[Возврат основной суммы долга]],3,0)),
AND(S65=0,Первоначальный[[#This Row],[Дата платежа из графика]]="",Первоначальный[[#This Row],[Досрочное погашение (да/"")]]&lt;&gt;"Да"),0,
AND(S65=0,Первоначальный[[#This Row],[Досрочное погашение (да/"")]]=""),MIN(Первоначальный[[#This Row],[Полученный платеж]]+Y65-SUM(Первоначальный[[#This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комиссиям]]),VLOOKUP(LOOKUP(,-1/($Z$12:Z66=1),$A$12:A66),График[[Срок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S65&gt;0,MIN(Первоначальный[[#This Row],[Полученный платеж]]+Y65-SUM(Первоначальный[[#This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комиссиям]]),SUM(INDIRECT("M"&amp;(MAX((1=S$12:S65)*ROW(S$12:S65),ROW($W$12))&amp;":M"&amp;(ROW()))))-SUM(INDIRECT("W"&amp;(MAX((1=S$12:S65)*ROW(S$12:S65),ROW($W$12))&amp;":W"&amp;(ROW()-1)))))
)
)</f>
        <v>0</v>
      </c>
      <c r="X66" s="55">
        <f t="shared" ca="1" si="1"/>
        <v>0</v>
      </c>
      <c r="Y66" s="101">
        <f t="shared" ca="1" si="9"/>
        <v>13.22</v>
      </c>
      <c r="Z66" s="133" t="str">
        <f>IF(TYPE((VLOOKUP(Первоначальный[[#This Row],[Дата платежа]],График[Срок конец],1,0)))=16,"",1)</f>
        <v/>
      </c>
      <c r="AA66" s="57"/>
      <c r="AB66" s="134"/>
      <c r="AC6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150000</v>
      </c>
      <c r="AD6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1876.0999999999988</v>
      </c>
      <c r="AE6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6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66" s="55"/>
      <c r="AI66" s="55"/>
      <c r="AJ66" s="55"/>
      <c r="AK66" s="101">
        <f t="shared" ca="1" si="10"/>
        <v>151876.1</v>
      </c>
      <c r="AL66" s="129">
        <f t="array" ref="AL66">MAX((УслРестрактов[Характеристика]="Дата реструктуризации")*(УслРестрактов[Значение]=Первоначальный!$A66),0)</f>
        <v>0</v>
      </c>
    </row>
    <row r="67" spans="1:38" x14ac:dyDescent="0.25">
      <c r="A67" s="97">
        <f t="shared" si="2"/>
        <v>44198</v>
      </c>
      <c r="B67" s="100">
        <f t="shared" ca="1" si="3"/>
        <v>150000</v>
      </c>
      <c r="C67" s="55">
        <f t="shared" ca="1" si="12"/>
        <v>1876.0999999999988</v>
      </c>
      <c r="D67" s="55">
        <f t="shared" ca="1" si="12"/>
        <v>0</v>
      </c>
      <c r="E67" s="55">
        <f t="shared" ca="1" si="5"/>
        <v>0</v>
      </c>
      <c r="F67" s="55">
        <f t="shared" ca="1" si="6"/>
        <v>0</v>
      </c>
      <c r="G67" s="101">
        <f t="shared" ca="1" si="7"/>
        <v>151876.1</v>
      </c>
      <c r="H67" s="100">
        <f ca="1">ROUND($B67*VLOOKUP($A67,$A$1:$B$10,2,1)/(365+IF(MOD(YEAR($A67),4),0,1)*($A67-$A66)),2)-Первоначальный[[#This Row],[Проценты на просроченный платеж по ОД за период]]</f>
        <v>81.78</v>
      </c>
      <c r="I67" s="55">
        <f t="shared" ca="1" si="8"/>
        <v>0</v>
      </c>
      <c r="J67" s="55">
        <v>0</v>
      </c>
      <c r="K67" s="55">
        <f t="shared" ca="1" si="11"/>
        <v>0</v>
      </c>
      <c r="L67" s="55">
        <v>0</v>
      </c>
      <c r="M67" s="113">
        <f>SUMIFS(График[Возврат основной суммы долга],График[Дата с учетом нерабочих дней],$A67)</f>
        <v>0</v>
      </c>
      <c r="N67" s="56">
        <f>SUMIFS(График[Возврат начисленных %],График[Дата с учетом нерабочих дней],$A67)</f>
        <v>0</v>
      </c>
      <c r="O67" s="101">
        <v>0</v>
      </c>
      <c r="P67" s="100" cm="1">
        <f t="array" aca="1" ref="P67" ca="1">MAX(IF(AA66="Да",0,SUM(INDIRECT("M"&amp;(MAX(("Да"=AA$12:AA66)*ROW(AA$12:AA66)+1,ROW($P$12))&amp;":M"&amp;(ROW()))))-SUM(INDIRECT("W"&amp;(MAX(("Да"=AA$12:AA66)*ROW(AA$12:AA66)+1,ROW($P$12))&amp;":W"&amp;(ROW()))))),0)</f>
        <v>0</v>
      </c>
      <c r="Q67" s="99">
        <f ca="1">MAX(SUM($N$13:N67)-SUM($T$13:T67),0)</f>
        <v>0</v>
      </c>
      <c r="R67" s="99">
        <f ca="1">Первоначальный[[#This Row],[Просроченный платеж по ОД]]+Первоначальный[[#This Row],[Просроченный платеж по процентам]]</f>
        <v>0</v>
      </c>
      <c r="S67" s="120">
        <f ca="1">IF(Первоначальный[[#This Row],[Просроченный платеж]]&lt;1,0,S66+1)</f>
        <v>0</v>
      </c>
      <c r="T67" s="100" cm="1">
        <f t="array" aca="1" ref="T67" ca="1">IF(Первоначальный[[#This Row],[Итого остаток на начало периода]]&lt;1,0,
IF(
AND(TYPE(VLOOKUP(1,$Z$12:Z67,1,0))=16,Первоначальный[[#This Row],[Досрочное погашение (да/"")]]=""),0,
_xlfn.IFS(AND(S66=0,Первоначальный[[#This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платеж]]&lt;&gt;0),MIN(LOOKUP(,-1/($Z$12:Z67=1),$C$12:C67)+LOOKUP(,-1/($Z$12:Z67=1),$H$12:H67),Первоначальный[[#This Row],[Полученный платеж]]+Y66),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платеж]]+Y66,SUM(Первоначальный[[#This Row],[Остаток процентов на начало периода]],Первоначальный[[#This Row],[Проценты за период]])),
AND(S66=0,Первоначальный[[#This Row],[Дата платежа из графика]]=""),0,
AND(S66=0,Первоначальный[[#This Row],[Дата платежа из графика]]=1,MAX((0&lt;&gt;S$12:S66)*ROW(S$12:S66),ROW($S$12))&gt;=MAX((1=Z$12:Z66)*ROW(Z$12:Z66),ROW($T$12)),TYPE(VLOOKUP("Да",(INDIRECT("AA"&amp;(MAX((1=Z$12:Z66)*ROW(Z$12:Z66),ROW($T$12))&amp;":AA"&amp;(ROW()-1)))),1,0))=16),MIN(LOOKUP(,-1/($Z$12:Z67=1),$C$12:C67)+LOOKUP(,-1/($Z$12:Z67=1),$H$12:H67),Первоначальный[[#This Row],[Полученный платеж]]+Y66),
AND(S66=0,TYPE(VLOOKUP("Да",(INDIRECT("AA"&amp;(MAX((1=Z$12:Z66)*ROW(Z$12:Z66),ROW($T$12))&amp;":AA"&amp;(ROW()-1)))),1,0))&lt;&gt;16),MIN(LOOKUP(,-1/($Z$12:Z67=1),$C$12:C67)+LOOKUP(,-1/($Z$12:Z67=1),$H$12:H67)-IF(AA66="Да",0,SUM(INDIRECT("T"&amp;(MAX(("Да"=AA$12:AA66)*ROW(AA$12:AA66)+1,ROW($T$12))&amp;":T"&amp;(ROW()-1))))),Первоначальный[[#This Row],[Полученный платеж]]+Y66),
AND(S66=0,MAX((0&lt;&gt;N$12:N66)*ROW(N$12:N66),ROW($S$12))&gt;=MAX((1=Z$12:Z66)*ROW(Z$12:Z66),ROW($T$12))),MIN(LOOKUP(,-1/($Z$12:Z67=1),$C$12:C67)+LOOKUP(,-1/($Z$12:Z67=1),$H$12:H67)-IF(N66&lt;&gt;0,0,SUM(INDIRECT("T"&amp;(MAX((0&lt;&gt;N$12:N66)*ROW(N$12:N66)+1,ROW($T$12))&amp;":T"&amp;(ROW()-1))))),Первоначальный[[#This Row],[Полученный платеж]]+Y66),
AND(S66=0,Первоначальный[[#This Row],[Дата платежа из графика]]=1),MIN(LOOKUP(,-1/($Z$12:Z67=1),$C$12:C67)+LOOKUP(,-1/($Z$12:Z67=1),$H$12:H67)-IF(Z66=1,0,SUM(INDIRECT("T"&amp;(MAX((1=Z$12:Z66)*ROW(Z$12:Z66)+1,ROW($T$12))&amp;":T"&amp;(ROW()-1))))),Первоначальный[[#This Row],[Полученный платеж]]+Y66),
AND(Z66&gt;0,Первоначальный[[#This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платеж]]+Y66),
AND(S66&gt;0,MAX((0&lt;&gt;S$12:S66)*ROW(S$12:S66),ROW($S$12))&gt;=MAX((1=Z$12:Z66)*ROW(Z$12:Z66),ROW($T$12)),TYPE(VLOOKUP("Да",(INDIRECT("AA"&amp;(MAX((1=Z$12:Z66)*ROW(Z$12:Z66),ROW($T$12))&amp;":AA"&amp;(ROW()-1)))),1,0))=16),MIN(LOOKUP(,-1/($Z$12:Z67=1),$C$12:C67)+LOOKUP(,-1/($Z$12:Z67=1),$H$12:H67)-SUM(INDIRECT("T"&amp;(MAX((1=Z$12:Z66)*ROW(Z$12:Z66),ROW($T$12))&amp;":T"&amp;(ROW()-1)))),Первоначальный[[#This Row],[Полученный платеж]]+Y66),
S66&gt;0,MIN(LOOKUP(,-1/($Z$12:Z67=1),$C$12:C67)+LOOKUP(,-1/($Z$12:Z67=1),$H$12:H67)-IF(Z66=1,0,SUM(INDIRECT("T"&amp;(MAX((1=Z$12:Z66)*ROW(Z$12:Z66)+1,ROW($T$12))&amp;":T"&amp;(ROW()-1))))),Первоначальный[[#This Row],[Полученный платеж]]+Y66)
)
)
)</f>
        <v>0</v>
      </c>
      <c r="U6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платеж]]+Y66-Первоначальный[[#This Row],[Полученный платёж по процентам]])</f>
        <v>0</v>
      </c>
      <c r="V67" s="55">
        <f t="shared" ca="1" si="0"/>
        <v>0</v>
      </c>
      <c r="W67" s="55" cm="1">
        <f t="array" aca="1" ref="W67" ca="1">IF(Первоначальный[[#This Row],[Итого остаток на начало периода]]&lt;1,0,
_xlfn.IFS(
AND(TYPE(VLOOKUP(1,$Z$12:Z67,1,0))=16,Первоначальный[[#This Row],[Досрочное погашение (да/"")]]=""),0,
AND(S66=0,Первоначальный[[#This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комиссиям]]),VLOOKUP(LOOKUP(,-1/($Z$12:Z67=1),$A$12:A67),График[[Срок конец]:[Возврат основной суммы долга]],3,0)),
AND(S66=0,Первоначальный[[#This Row],[Дата платежа из графика]]="",Первоначальный[[#This Row],[Досрочное погашение (да/"")]]&lt;&gt;"Да"),0,
AND(S66=0,Первоначальный[[#This Row],[Досрочное погашение (да/"")]]=""),MIN(Первоначальный[[#This Row],[Полученный платеж]]+Y66-SUM(Первоначальный[[#This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комиссиям]]),VLOOKUP(LOOKUP(,-1/($Z$12:Z67=1),$A$12:A67),График[[Срок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S66&gt;0,MIN(Первоначальный[[#This Row],[Полученный платеж]]+Y66-SUM(Первоначальный[[#This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комиссиям]]),SUM(INDIRECT("M"&amp;(MAX((1=S$12:S66)*ROW(S$12:S66),ROW($W$12))&amp;":M"&amp;(ROW()))))-SUM(INDIRECT("W"&amp;(MAX((1=S$12:S66)*ROW(S$12:S66),ROW($W$12))&amp;":W"&amp;(ROW()-1)))))
)
)</f>
        <v>0</v>
      </c>
      <c r="X67" s="55">
        <f t="shared" ca="1" si="1"/>
        <v>0</v>
      </c>
      <c r="Y67" s="101">
        <f t="shared" ca="1" si="9"/>
        <v>13.22</v>
      </c>
      <c r="Z67" s="133" t="str">
        <f>IF(TYPE((VLOOKUP(Первоначальный[[#This Row],[Дата платежа]],График[Срок конец],1,0)))=16,"",1)</f>
        <v/>
      </c>
      <c r="AA67" s="57"/>
      <c r="AB67" s="134"/>
      <c r="AC6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150000</v>
      </c>
      <c r="AD6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1957.8799999999987</v>
      </c>
      <c r="AE6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6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67" s="55"/>
      <c r="AI67" s="55"/>
      <c r="AJ67" s="55"/>
      <c r="AK67" s="101">
        <f t="shared" ca="1" si="10"/>
        <v>151957.88</v>
      </c>
      <c r="AL67" s="129">
        <f t="array" ref="AL67">MAX((УслРестрактов[Характеристика]="Дата реструктуризации")*(УслРестрактов[Значение]=Первоначальный!$A67),0)</f>
        <v>0</v>
      </c>
    </row>
    <row r="68" spans="1:38" x14ac:dyDescent="0.25">
      <c r="A68" s="97">
        <f t="shared" si="2"/>
        <v>44199</v>
      </c>
      <c r="B68" s="100">
        <f t="shared" ca="1" si="3"/>
        <v>150000</v>
      </c>
      <c r="C68" s="55">
        <f t="shared" ca="1" si="12"/>
        <v>1957.8799999999987</v>
      </c>
      <c r="D68" s="55">
        <f t="shared" ca="1" si="12"/>
        <v>0</v>
      </c>
      <c r="E68" s="55">
        <f t="shared" ca="1" si="5"/>
        <v>0</v>
      </c>
      <c r="F68" s="55">
        <f t="shared" ca="1" si="6"/>
        <v>0</v>
      </c>
      <c r="G68" s="101">
        <f t="shared" ca="1" si="7"/>
        <v>151957.88</v>
      </c>
      <c r="H68" s="100">
        <f ca="1">ROUND($B68*VLOOKUP($A68,$A$1:$B$10,2,1)/(365+IF(MOD(YEAR($A68),4),0,1)*($A68-$A67)),2)-Первоначальный[[#This Row],[Проценты на просроченный платеж по ОД за период]]</f>
        <v>81.78</v>
      </c>
      <c r="I68" s="55">
        <f t="shared" ca="1" si="8"/>
        <v>0</v>
      </c>
      <c r="J68" s="55">
        <v>0</v>
      </c>
      <c r="K68" s="55">
        <f t="shared" ca="1" si="11"/>
        <v>0</v>
      </c>
      <c r="L68" s="55">
        <v>0</v>
      </c>
      <c r="M68" s="113">
        <f>SUMIFS(График[Возврат основной суммы долга],График[Дата с учетом нерабочих дней],$A68)</f>
        <v>0</v>
      </c>
      <c r="N68" s="56">
        <f>SUMIFS(График[Возврат начисленных %],График[Дата с учетом нерабочих дней],$A68)</f>
        <v>0</v>
      </c>
      <c r="O68" s="101">
        <v>0</v>
      </c>
      <c r="P68" s="100" cm="1">
        <f t="array" aca="1" ref="P68" ca="1">MAX(IF(AA67="Да",0,SUM(INDIRECT("M"&amp;(MAX(("Да"=AA$12:AA67)*ROW(AA$12:AA67)+1,ROW($P$12))&amp;":M"&amp;(ROW()))))-SUM(INDIRECT("W"&amp;(MAX(("Да"=AA$12:AA67)*ROW(AA$12:AA67)+1,ROW($P$12))&amp;":W"&amp;(ROW()))))),0)</f>
        <v>0</v>
      </c>
      <c r="Q68" s="99">
        <f ca="1">MAX(SUM($N$13:N68)-SUM($T$13:T68),0)</f>
        <v>0</v>
      </c>
      <c r="R68" s="99">
        <f ca="1">Первоначальный[[#This Row],[Просроченный платеж по ОД]]+Первоначальный[[#This Row],[Просроченный платеж по процентам]]</f>
        <v>0</v>
      </c>
      <c r="S68" s="120">
        <f ca="1">IF(Первоначальный[[#This Row],[Просроченный платеж]]&lt;1,0,S67+1)</f>
        <v>0</v>
      </c>
      <c r="T68" s="100" cm="1">
        <f t="array" aca="1" ref="T68" ca="1">IF(Первоначальный[[#This Row],[Итого остаток на начало периода]]&lt;1,0,
IF(
AND(TYPE(VLOOKUP(1,$Z$12:Z68,1,0))=16,Первоначальный[[#This Row],[Досрочное погашение (да/"")]]=""),0,
_xlfn.IFS(AND(S67=0,Первоначальный[[#This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платеж]]&lt;&gt;0),MIN(LOOKUP(,-1/($Z$12:Z68=1),$C$12:C68)+LOOKUP(,-1/($Z$12:Z68=1),$H$12:H68),Первоначальный[[#This Row],[Полученный платеж]]+Y67),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платеж]]+Y67,SUM(Первоначальный[[#This Row],[Остаток процентов на начало периода]],Первоначальный[[#This Row],[Проценты за период]])),
AND(S67=0,Первоначальный[[#This Row],[Дата платежа из графика]]=""),0,
AND(S67=0,Первоначальный[[#This Row],[Дата платежа из графика]]=1,MAX((0&lt;&gt;S$12:S67)*ROW(S$12:S67),ROW($S$12))&gt;=MAX((1=Z$12:Z67)*ROW(Z$12:Z67),ROW($T$12)),TYPE(VLOOKUP("Да",(INDIRECT("AA"&amp;(MAX((1=Z$12:Z67)*ROW(Z$12:Z67),ROW($T$12))&amp;":AA"&amp;(ROW()-1)))),1,0))=16),MIN(LOOKUP(,-1/($Z$12:Z68=1),$C$12:C68)+LOOKUP(,-1/($Z$12:Z68=1),$H$12:H68),Первоначальный[[#This Row],[Полученный платеж]]+Y67),
AND(S67=0,TYPE(VLOOKUP("Да",(INDIRECT("AA"&amp;(MAX((1=Z$12:Z67)*ROW(Z$12:Z67),ROW($T$12))&amp;":AA"&amp;(ROW()-1)))),1,0))&lt;&gt;16),MIN(LOOKUP(,-1/($Z$12:Z68=1),$C$12:C68)+LOOKUP(,-1/($Z$12:Z68=1),$H$12:H68)-IF(AA67="Да",0,SUM(INDIRECT("T"&amp;(MAX(("Да"=AA$12:AA67)*ROW(AA$12:AA67)+1,ROW($T$12))&amp;":T"&amp;(ROW()-1))))),Первоначальный[[#This Row],[Полученный платеж]]+Y67),
AND(S67=0,MAX((0&lt;&gt;N$12:N67)*ROW(N$12:N67),ROW($S$12))&gt;=MAX((1=Z$12:Z67)*ROW(Z$12:Z67),ROW($T$12))),MIN(LOOKUP(,-1/($Z$12:Z68=1),$C$12:C68)+LOOKUP(,-1/($Z$12:Z68=1),$H$12:H68)-IF(N67&lt;&gt;0,0,SUM(INDIRECT("T"&amp;(MAX((0&lt;&gt;N$12:N67)*ROW(N$12:N67)+1,ROW($T$12))&amp;":T"&amp;(ROW()-1))))),Первоначальный[[#This Row],[Полученный платеж]]+Y67),
AND(S67=0,Первоначальный[[#This Row],[Дата платежа из графика]]=1),MIN(LOOKUP(,-1/($Z$12:Z68=1),$C$12:C68)+LOOKUP(,-1/($Z$12:Z68=1),$H$12:H68)-IF(Z67=1,0,SUM(INDIRECT("T"&amp;(MAX((1=Z$12:Z67)*ROW(Z$12:Z67)+1,ROW($T$12))&amp;":T"&amp;(ROW()-1))))),Первоначальный[[#This Row],[Полученный платеж]]+Y67),
AND(Z67&gt;0,Первоначальный[[#This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платеж]]+Y67),
AND(S67&gt;0,MAX((0&lt;&gt;S$12:S67)*ROW(S$12:S67),ROW($S$12))&gt;=MAX((1=Z$12:Z67)*ROW(Z$12:Z67),ROW($T$12)),TYPE(VLOOKUP("Да",(INDIRECT("AA"&amp;(MAX((1=Z$12:Z67)*ROW(Z$12:Z67),ROW($T$12))&amp;":AA"&amp;(ROW()-1)))),1,0))=16),MIN(LOOKUP(,-1/($Z$12:Z68=1),$C$12:C68)+LOOKUP(,-1/($Z$12:Z68=1),$H$12:H68)-SUM(INDIRECT("T"&amp;(MAX((1=Z$12:Z67)*ROW(Z$12:Z67),ROW($T$12))&amp;":T"&amp;(ROW()-1)))),Первоначальный[[#This Row],[Полученный платеж]]+Y67),
S67&gt;0,MIN(LOOKUP(,-1/($Z$12:Z68=1),$C$12:C68)+LOOKUP(,-1/($Z$12:Z68=1),$H$12:H68)-IF(Z67=1,0,SUM(INDIRECT("T"&amp;(MAX((1=Z$12:Z67)*ROW(Z$12:Z67)+1,ROW($T$12))&amp;":T"&amp;(ROW()-1))))),Первоначальный[[#This Row],[Полученный платеж]]+Y67)
)
)
)</f>
        <v>0</v>
      </c>
      <c r="U6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платеж]]+Y67-Первоначальный[[#This Row],[Полученный платёж по процентам]])</f>
        <v>0</v>
      </c>
      <c r="V68" s="55">
        <f t="shared" ca="1" si="0"/>
        <v>0</v>
      </c>
      <c r="W68" s="55" cm="1">
        <f t="array" aca="1" ref="W68" ca="1">IF(Первоначальный[[#This Row],[Итого остаток на начало периода]]&lt;1,0,
_xlfn.IFS(
AND(TYPE(VLOOKUP(1,$Z$12:Z68,1,0))=16,Первоначальный[[#This Row],[Досрочное погашение (да/"")]]=""),0,
AND(S67=0,Первоначальный[[#This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комиссиям]]),VLOOKUP(LOOKUP(,-1/($Z$12:Z68=1),$A$12:A68),График[[Срок конец]:[Возврат основной суммы долга]],3,0)),
AND(S67=0,Первоначальный[[#This Row],[Дата платежа из графика]]="",Первоначальный[[#This Row],[Досрочное погашение (да/"")]]&lt;&gt;"Да"),0,
AND(S67=0,Первоначальный[[#This Row],[Досрочное погашение (да/"")]]=""),MIN(Первоначальный[[#This Row],[Полученный платеж]]+Y67-SUM(Первоначальный[[#This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комиссиям]]),VLOOKUP(LOOKUP(,-1/($Z$12:Z68=1),$A$12:A68),График[[Срок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S67&gt;0,MIN(Первоначальный[[#This Row],[Полученный платеж]]+Y67-SUM(Первоначальный[[#This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комиссиям]]),SUM(INDIRECT("M"&amp;(MAX((1=S$12:S67)*ROW(S$12:S67),ROW($W$12))&amp;":M"&amp;(ROW()))))-SUM(INDIRECT("W"&amp;(MAX((1=S$12:S67)*ROW(S$12:S67),ROW($W$12))&amp;":W"&amp;(ROW()-1)))))
)
)</f>
        <v>0</v>
      </c>
      <c r="X68" s="55">
        <f t="shared" ca="1" si="1"/>
        <v>0</v>
      </c>
      <c r="Y68" s="101">
        <f t="shared" ca="1" si="9"/>
        <v>13.22</v>
      </c>
      <c r="Z68" s="133" t="str">
        <f>IF(TYPE((VLOOKUP(Первоначальный[[#This Row],[Дата платежа]],График[Срок конец],1,0)))=16,"",1)</f>
        <v/>
      </c>
      <c r="AA68" s="57"/>
      <c r="AB68" s="134"/>
      <c r="AC6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150000</v>
      </c>
      <c r="AD6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2039.6599999999987</v>
      </c>
      <c r="AE6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6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68" s="55"/>
      <c r="AI68" s="55"/>
      <c r="AJ68" s="55"/>
      <c r="AK68" s="101">
        <f t="shared" ca="1" si="10"/>
        <v>152039.66</v>
      </c>
      <c r="AL68" s="129">
        <f t="array" ref="AL68">MAX((УслРестрактов[Характеристика]="Дата реструктуризации")*(УслРестрактов[Значение]=Первоначальный!$A68),0)</f>
        <v>0</v>
      </c>
    </row>
    <row r="69" spans="1:38" x14ac:dyDescent="0.25">
      <c r="A69" s="97">
        <f t="shared" si="2"/>
        <v>44200</v>
      </c>
      <c r="B69" s="100">
        <f t="shared" ca="1" si="3"/>
        <v>150000</v>
      </c>
      <c r="C69" s="55">
        <f t="shared" ca="1" si="12"/>
        <v>2039.6599999999987</v>
      </c>
      <c r="D69" s="55">
        <f t="shared" ca="1" si="12"/>
        <v>0</v>
      </c>
      <c r="E69" s="55">
        <f t="shared" ca="1" si="5"/>
        <v>0</v>
      </c>
      <c r="F69" s="55">
        <f t="shared" ca="1" si="6"/>
        <v>0</v>
      </c>
      <c r="G69" s="101">
        <f t="shared" ca="1" si="7"/>
        <v>152039.66</v>
      </c>
      <c r="H69" s="100">
        <f ca="1">ROUND($B69*VLOOKUP($A69,$A$1:$B$10,2,1)/(365+IF(MOD(YEAR($A69),4),0,1)*($A69-$A68)),2)-Первоначальный[[#This Row],[Проценты на просроченный платеж по ОД за период]]</f>
        <v>81.78</v>
      </c>
      <c r="I69" s="55">
        <f t="shared" ca="1" si="8"/>
        <v>0</v>
      </c>
      <c r="J69" s="55">
        <v>0</v>
      </c>
      <c r="K69" s="55">
        <f t="shared" ca="1" si="11"/>
        <v>0</v>
      </c>
      <c r="L69" s="55">
        <v>0</v>
      </c>
      <c r="M69" s="113">
        <f>SUMIFS(График[Возврат основной суммы долга],График[Дата с учетом нерабочих дней],$A69)</f>
        <v>0</v>
      </c>
      <c r="N69" s="56">
        <f>SUMIFS(График[Возврат начисленных %],График[Дата с учетом нерабочих дней],$A69)</f>
        <v>0</v>
      </c>
      <c r="O69" s="101">
        <v>0</v>
      </c>
      <c r="P69" s="100" cm="1">
        <f t="array" aca="1" ref="P69" ca="1">MAX(IF(AA68="Да",0,SUM(INDIRECT("M"&amp;(MAX(("Да"=AA$12:AA68)*ROW(AA$12:AA68)+1,ROW($P$12))&amp;":M"&amp;(ROW()))))-SUM(INDIRECT("W"&amp;(MAX(("Да"=AA$12:AA68)*ROW(AA$12:AA68)+1,ROW($P$12))&amp;":W"&amp;(ROW()))))),0)</f>
        <v>0</v>
      </c>
      <c r="Q69" s="99">
        <f ca="1">MAX(SUM($N$13:N69)-SUM($T$13:T69),0)</f>
        <v>0</v>
      </c>
      <c r="R69" s="99">
        <f ca="1">Первоначальный[[#This Row],[Просроченный платеж по ОД]]+Первоначальный[[#This Row],[Просроченный платеж по процентам]]</f>
        <v>0</v>
      </c>
      <c r="S69" s="120">
        <f ca="1">IF(Первоначальный[[#This Row],[Просроченный платеж]]&lt;1,0,S68+1)</f>
        <v>0</v>
      </c>
      <c r="T69" s="100" cm="1">
        <f t="array" aca="1" ref="T69" ca="1">IF(Первоначальный[[#This Row],[Итого остаток на начало периода]]&lt;1,0,
IF(
AND(TYPE(VLOOKUP(1,$Z$12:Z69,1,0))=16,Первоначальный[[#This Row],[Досрочное погашение (да/"")]]=""),0,
_xlfn.IFS(AND(S68=0,Первоначальный[[#This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платеж]]&lt;&gt;0),MIN(LOOKUP(,-1/($Z$12:Z69=1),$C$12:C69)+LOOKUP(,-1/($Z$12:Z69=1),$H$12:H69),Первоначальный[[#This Row],[Полученный платеж]]+Y68),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платеж]]+Y68,SUM(Первоначальный[[#This Row],[Остаток процентов на начало периода]],Первоначальный[[#This Row],[Проценты за период]])),
AND(S68=0,Первоначальный[[#This Row],[Дата платежа из графика]]=""),0,
AND(S68=0,Первоначальный[[#This Row],[Дата платежа из графика]]=1,MAX((0&lt;&gt;S$12:S68)*ROW(S$12:S68),ROW($S$12))&gt;=MAX((1=Z$12:Z68)*ROW(Z$12:Z68),ROW($T$12)),TYPE(VLOOKUP("Да",(INDIRECT("AA"&amp;(MAX((1=Z$12:Z68)*ROW(Z$12:Z68),ROW($T$12))&amp;":AA"&amp;(ROW()-1)))),1,0))=16),MIN(LOOKUP(,-1/($Z$12:Z69=1),$C$12:C69)+LOOKUP(,-1/($Z$12:Z69=1),$H$12:H69),Первоначальный[[#This Row],[Полученный платеж]]+Y68),
AND(S68=0,TYPE(VLOOKUP("Да",(INDIRECT("AA"&amp;(MAX((1=Z$12:Z68)*ROW(Z$12:Z68),ROW($T$12))&amp;":AA"&amp;(ROW()-1)))),1,0))&lt;&gt;16),MIN(LOOKUP(,-1/($Z$12:Z69=1),$C$12:C69)+LOOKUP(,-1/($Z$12:Z69=1),$H$12:H69)-IF(AA68="Да",0,SUM(INDIRECT("T"&amp;(MAX(("Да"=AA$12:AA68)*ROW(AA$12:AA68)+1,ROW($T$12))&amp;":T"&amp;(ROW()-1))))),Первоначальный[[#This Row],[Полученный платеж]]+Y68),
AND(S68=0,MAX((0&lt;&gt;N$12:N68)*ROW(N$12:N68),ROW($S$12))&gt;=MAX((1=Z$12:Z68)*ROW(Z$12:Z68),ROW($T$12))),MIN(LOOKUP(,-1/($Z$12:Z69=1),$C$12:C69)+LOOKUP(,-1/($Z$12:Z69=1),$H$12:H69)-IF(N68&lt;&gt;0,0,SUM(INDIRECT("T"&amp;(MAX((0&lt;&gt;N$12:N68)*ROW(N$12:N68)+1,ROW($T$12))&amp;":T"&amp;(ROW()-1))))),Первоначальный[[#This Row],[Полученный платеж]]+Y68),
AND(S68=0,Первоначальный[[#This Row],[Дата платежа из графика]]=1),MIN(LOOKUP(,-1/($Z$12:Z69=1),$C$12:C69)+LOOKUP(,-1/($Z$12:Z69=1),$H$12:H69)-IF(Z68=1,0,SUM(INDIRECT("T"&amp;(MAX((1=Z$12:Z68)*ROW(Z$12:Z68)+1,ROW($T$12))&amp;":T"&amp;(ROW()-1))))),Первоначальный[[#This Row],[Полученный платеж]]+Y68),
AND(Z68&gt;0,Первоначальный[[#This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платеж]]+Y68),
AND(S68&gt;0,MAX((0&lt;&gt;S$12:S68)*ROW(S$12:S68),ROW($S$12))&gt;=MAX((1=Z$12:Z68)*ROW(Z$12:Z68),ROW($T$12)),TYPE(VLOOKUP("Да",(INDIRECT("AA"&amp;(MAX((1=Z$12:Z68)*ROW(Z$12:Z68),ROW($T$12))&amp;":AA"&amp;(ROW()-1)))),1,0))=16),MIN(LOOKUP(,-1/($Z$12:Z69=1),$C$12:C69)+LOOKUP(,-1/($Z$12:Z69=1),$H$12:H69)-SUM(INDIRECT("T"&amp;(MAX((1=Z$12:Z68)*ROW(Z$12:Z68),ROW($T$12))&amp;":T"&amp;(ROW()-1)))),Первоначальный[[#This Row],[Полученный платеж]]+Y68),
S68&gt;0,MIN(LOOKUP(,-1/($Z$12:Z69=1),$C$12:C69)+LOOKUP(,-1/($Z$12:Z69=1),$H$12:H69)-IF(Z68=1,0,SUM(INDIRECT("T"&amp;(MAX((1=Z$12:Z68)*ROW(Z$12:Z68)+1,ROW($T$12))&amp;":T"&amp;(ROW()-1))))),Первоначальный[[#This Row],[Полученный платеж]]+Y68)
)
)
)</f>
        <v>0</v>
      </c>
      <c r="U6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платеж]]+Y68-Первоначальный[[#This Row],[Полученный платёж по процентам]])</f>
        <v>0</v>
      </c>
      <c r="V69" s="55">
        <f t="shared" ca="1" si="0"/>
        <v>0</v>
      </c>
      <c r="W69" s="55" cm="1">
        <f t="array" aca="1" ref="W69" ca="1">IF(Первоначальный[[#This Row],[Итого остаток на начало периода]]&lt;1,0,
_xlfn.IFS(
AND(TYPE(VLOOKUP(1,$Z$12:Z69,1,0))=16,Первоначальный[[#This Row],[Досрочное погашение (да/"")]]=""),0,
AND(S68=0,Первоначальный[[#This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комиссиям]]),VLOOKUP(LOOKUP(,-1/($Z$12:Z69=1),$A$12:A69),График[[Срок конец]:[Возврат основной суммы долга]],3,0)),
AND(S68=0,Первоначальный[[#This Row],[Дата платежа из графика]]="",Первоначальный[[#This Row],[Досрочное погашение (да/"")]]&lt;&gt;"Да"),0,
AND(S68=0,Первоначальный[[#This Row],[Досрочное погашение (да/"")]]=""),MIN(Первоначальный[[#This Row],[Полученный платеж]]+Y68-SUM(Первоначальный[[#This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комиссиям]]),VLOOKUP(LOOKUP(,-1/($Z$12:Z69=1),$A$12:A69),График[[Срок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S68&gt;0,MIN(Первоначальный[[#This Row],[Полученный платеж]]+Y68-SUM(Первоначальный[[#This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комиссиям]]),SUM(INDIRECT("M"&amp;(MAX((1=S$12:S68)*ROW(S$12:S68),ROW($W$12))&amp;":M"&amp;(ROW()))))-SUM(INDIRECT("W"&amp;(MAX((1=S$12:S68)*ROW(S$12:S68),ROW($W$12))&amp;":W"&amp;(ROW()-1)))))
)
)</f>
        <v>0</v>
      </c>
      <c r="X69" s="55">
        <f t="shared" ca="1" si="1"/>
        <v>0</v>
      </c>
      <c r="Y69" s="101">
        <f t="shared" ca="1" si="9"/>
        <v>13.22</v>
      </c>
      <c r="Z69" s="133" t="str">
        <f>IF(TYPE((VLOOKUP(Первоначальный[[#This Row],[Дата платежа]],График[Срок конец],1,0)))=16,"",1)</f>
        <v/>
      </c>
      <c r="AA69" s="57"/>
      <c r="AB69" s="134"/>
      <c r="AC6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150000</v>
      </c>
      <c r="AD6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2121.4399999999987</v>
      </c>
      <c r="AE6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6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69" s="55"/>
      <c r="AI69" s="55"/>
      <c r="AJ69" s="55"/>
      <c r="AK69" s="101">
        <f t="shared" ca="1" si="10"/>
        <v>152121.44</v>
      </c>
      <c r="AL69" s="129">
        <f t="array" ref="AL69">MAX((УслРестрактов[Характеристика]="Дата реструктуризации")*(УслРестрактов[Значение]=Первоначальный!$A69),0)</f>
        <v>0</v>
      </c>
    </row>
    <row r="70" spans="1:38" x14ac:dyDescent="0.25">
      <c r="A70" s="97">
        <f t="shared" si="2"/>
        <v>44201</v>
      </c>
      <c r="B70" s="100">
        <f t="shared" ca="1" si="3"/>
        <v>150000</v>
      </c>
      <c r="C70" s="55">
        <f t="shared" ca="1" si="12"/>
        <v>2121.4399999999987</v>
      </c>
      <c r="D70" s="55">
        <f t="shared" ca="1" si="12"/>
        <v>0</v>
      </c>
      <c r="E70" s="55">
        <f t="shared" ca="1" si="5"/>
        <v>0</v>
      </c>
      <c r="F70" s="55">
        <f t="shared" ca="1" si="6"/>
        <v>0</v>
      </c>
      <c r="G70" s="101">
        <f t="shared" ca="1" si="7"/>
        <v>152121.44</v>
      </c>
      <c r="H70" s="100">
        <f ca="1">ROUND($B70*VLOOKUP($A70,$A$1:$B$10,2,1)/(365+IF(MOD(YEAR($A70),4),0,1)*($A70-$A69)),2)-Первоначальный[[#This Row],[Проценты на просроченный платеж по ОД за период]]</f>
        <v>81.78</v>
      </c>
      <c r="I70" s="55">
        <f t="shared" ca="1" si="8"/>
        <v>0</v>
      </c>
      <c r="J70" s="55">
        <v>0</v>
      </c>
      <c r="K70" s="55">
        <f t="shared" ca="1" si="11"/>
        <v>0</v>
      </c>
      <c r="L70" s="55">
        <v>0</v>
      </c>
      <c r="M70" s="113">
        <f>SUMIFS(График[Возврат основной суммы долга],График[Дата с учетом нерабочих дней],$A70)</f>
        <v>0</v>
      </c>
      <c r="N70" s="56">
        <f>SUMIFS(График[Возврат начисленных %],График[Дата с учетом нерабочих дней],$A70)</f>
        <v>0</v>
      </c>
      <c r="O70" s="101">
        <v>0</v>
      </c>
      <c r="P70" s="100" cm="1">
        <f t="array" aca="1" ref="P70" ca="1">MAX(IF(AA69="Да",0,SUM(INDIRECT("M"&amp;(MAX(("Да"=AA$12:AA69)*ROW(AA$12:AA69)+1,ROW($P$12))&amp;":M"&amp;(ROW()))))-SUM(INDIRECT("W"&amp;(MAX(("Да"=AA$12:AA69)*ROW(AA$12:AA69)+1,ROW($P$12))&amp;":W"&amp;(ROW()))))),0)</f>
        <v>0</v>
      </c>
      <c r="Q70" s="99">
        <f ca="1">MAX(SUM($N$13:N70)-SUM($T$13:T70),0)</f>
        <v>0</v>
      </c>
      <c r="R70" s="99">
        <f ca="1">Первоначальный[[#This Row],[Просроченный платеж по ОД]]+Первоначальный[[#This Row],[Просроченный платеж по процентам]]</f>
        <v>0</v>
      </c>
      <c r="S70" s="120">
        <f ca="1">IF(Первоначальный[[#This Row],[Просроченный платеж]]&lt;1,0,S69+1)</f>
        <v>0</v>
      </c>
      <c r="T70" s="100" cm="1">
        <f t="array" aca="1" ref="T70" ca="1">IF(Первоначальный[[#This Row],[Итого остаток на начало периода]]&lt;1,0,
IF(
AND(TYPE(VLOOKUP(1,$Z$12:Z70,1,0))=16,Первоначальный[[#This Row],[Досрочное погашение (да/"")]]=""),0,
_xlfn.IFS(AND(S69=0,Первоначальный[[#This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платеж]]&lt;&gt;0),MIN(LOOKUP(,-1/($Z$12:Z70=1),$C$12:C70)+LOOKUP(,-1/($Z$12:Z70=1),$H$12:H70),Первоначальный[[#This Row],[Полученный платеж]]+Y69),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платеж]]+Y69,SUM(Первоначальный[[#This Row],[Остаток процентов на начало периода]],Первоначальный[[#This Row],[Проценты за период]])),
AND(S69=0,Первоначальный[[#This Row],[Дата платежа из графика]]=""),0,
AND(S69=0,Первоначальный[[#This Row],[Дата платежа из графика]]=1,MAX((0&lt;&gt;S$12:S69)*ROW(S$12:S69),ROW($S$12))&gt;=MAX((1=Z$12:Z69)*ROW(Z$12:Z69),ROW($T$12)),TYPE(VLOOKUP("Да",(INDIRECT("AA"&amp;(MAX((1=Z$12:Z69)*ROW(Z$12:Z69),ROW($T$12))&amp;":AA"&amp;(ROW()-1)))),1,0))=16),MIN(LOOKUP(,-1/($Z$12:Z70=1),$C$12:C70)+LOOKUP(,-1/($Z$12:Z70=1),$H$12:H70),Первоначальный[[#This Row],[Полученный платеж]]+Y69),
AND(S69=0,TYPE(VLOOKUP("Да",(INDIRECT("AA"&amp;(MAX((1=Z$12:Z69)*ROW(Z$12:Z69),ROW($T$12))&amp;":AA"&amp;(ROW()-1)))),1,0))&lt;&gt;16),MIN(LOOKUP(,-1/($Z$12:Z70=1),$C$12:C70)+LOOKUP(,-1/($Z$12:Z70=1),$H$12:H70)-IF(AA69="Да",0,SUM(INDIRECT("T"&amp;(MAX(("Да"=AA$12:AA69)*ROW(AA$12:AA69)+1,ROW($T$12))&amp;":T"&amp;(ROW()-1))))),Первоначальный[[#This Row],[Полученный платеж]]+Y69),
AND(S69=0,MAX((0&lt;&gt;N$12:N69)*ROW(N$12:N69),ROW($S$12))&gt;=MAX((1=Z$12:Z69)*ROW(Z$12:Z69),ROW($T$12))),MIN(LOOKUP(,-1/($Z$12:Z70=1),$C$12:C70)+LOOKUP(,-1/($Z$12:Z70=1),$H$12:H70)-IF(N69&lt;&gt;0,0,SUM(INDIRECT("T"&amp;(MAX((0&lt;&gt;N$12:N69)*ROW(N$12:N69)+1,ROW($T$12))&amp;":T"&amp;(ROW()-1))))),Первоначальный[[#This Row],[Полученный платеж]]+Y69),
AND(S69=0,Первоначальный[[#This Row],[Дата платежа из графика]]=1),MIN(LOOKUP(,-1/($Z$12:Z70=1),$C$12:C70)+LOOKUP(,-1/($Z$12:Z70=1),$H$12:H70)-IF(Z69=1,0,SUM(INDIRECT("T"&amp;(MAX((1=Z$12:Z69)*ROW(Z$12:Z69)+1,ROW($T$12))&amp;":T"&amp;(ROW()-1))))),Первоначальный[[#This Row],[Полученный платеж]]+Y69),
AND(Z69&gt;0,Первоначальный[[#This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платеж]]+Y69),
AND(S69&gt;0,MAX((0&lt;&gt;S$12:S69)*ROW(S$12:S69),ROW($S$12))&gt;=MAX((1=Z$12:Z69)*ROW(Z$12:Z69),ROW($T$12)),TYPE(VLOOKUP("Да",(INDIRECT("AA"&amp;(MAX((1=Z$12:Z69)*ROW(Z$12:Z69),ROW($T$12))&amp;":AA"&amp;(ROW()-1)))),1,0))=16),MIN(LOOKUP(,-1/($Z$12:Z70=1),$C$12:C70)+LOOKUP(,-1/($Z$12:Z70=1),$H$12:H70)-SUM(INDIRECT("T"&amp;(MAX((1=Z$12:Z69)*ROW(Z$12:Z69),ROW($T$12))&amp;":T"&amp;(ROW()-1)))),Первоначальный[[#This Row],[Полученный платеж]]+Y69),
S69&gt;0,MIN(LOOKUP(,-1/($Z$12:Z70=1),$C$12:C70)+LOOKUP(,-1/($Z$12:Z70=1),$H$12:H70)-IF(Z69=1,0,SUM(INDIRECT("T"&amp;(MAX((1=Z$12:Z69)*ROW(Z$12:Z69)+1,ROW($T$12))&amp;":T"&amp;(ROW()-1))))),Первоначальный[[#This Row],[Полученный платеж]]+Y69)
)
)
)</f>
        <v>0</v>
      </c>
      <c r="U7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платеж]]+Y69-Первоначальный[[#This Row],[Полученный платёж по процентам]])</f>
        <v>0</v>
      </c>
      <c r="V70" s="55">
        <f t="shared" ca="1" si="0"/>
        <v>0</v>
      </c>
      <c r="W70" s="55" cm="1">
        <f t="array" aca="1" ref="W70" ca="1">IF(Первоначальный[[#This Row],[Итого остаток на начало периода]]&lt;1,0,
_xlfn.IFS(
AND(TYPE(VLOOKUP(1,$Z$12:Z70,1,0))=16,Первоначальный[[#This Row],[Досрочное погашение (да/"")]]=""),0,
AND(S69=0,Первоначальный[[#This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комиссиям]]),VLOOKUP(LOOKUP(,-1/($Z$12:Z70=1),$A$12:A70),График[[Срок конец]:[Возврат основной суммы долга]],3,0)),
AND(S69=0,Первоначальный[[#This Row],[Дата платежа из графика]]="",Первоначальный[[#This Row],[Досрочное погашение (да/"")]]&lt;&gt;"Да"),0,
AND(S69=0,Первоначальный[[#This Row],[Досрочное погашение (да/"")]]=""),MIN(Первоначальный[[#This Row],[Полученный платеж]]+Y69-SUM(Первоначальный[[#This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комиссиям]]),VLOOKUP(LOOKUP(,-1/($Z$12:Z70=1),$A$12:A70),График[[Срок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S69&gt;0,MIN(Первоначальный[[#This Row],[Полученный платеж]]+Y69-SUM(Первоначальный[[#This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комиссиям]]),SUM(INDIRECT("M"&amp;(MAX((1=S$12:S69)*ROW(S$12:S69),ROW($W$12))&amp;":M"&amp;(ROW()))))-SUM(INDIRECT("W"&amp;(MAX((1=S$12:S69)*ROW(S$12:S69),ROW($W$12))&amp;":W"&amp;(ROW()-1)))))
)
)</f>
        <v>0</v>
      </c>
      <c r="X70" s="55">
        <f t="shared" ca="1" si="1"/>
        <v>0</v>
      </c>
      <c r="Y70" s="101">
        <f t="shared" ca="1" si="9"/>
        <v>13.22</v>
      </c>
      <c r="Z70" s="133" t="str">
        <f>IF(TYPE((VLOOKUP(Первоначальный[[#This Row],[Дата платежа]],График[Срок конец],1,0)))=16,"",1)</f>
        <v/>
      </c>
      <c r="AA70" s="57"/>
      <c r="AB70" s="134"/>
      <c r="AC7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150000</v>
      </c>
      <c r="AD7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2203.2199999999989</v>
      </c>
      <c r="AE7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7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70" s="55"/>
      <c r="AI70" s="55"/>
      <c r="AJ70" s="55"/>
      <c r="AK70" s="101">
        <f t="shared" ca="1" si="10"/>
        <v>152203.22</v>
      </c>
      <c r="AL70" s="129">
        <f t="array" ref="AL70">MAX((УслРестрактов[Характеристика]="Дата реструктуризации")*(УслРестрактов[Значение]=Первоначальный!$A70),0)</f>
        <v>0</v>
      </c>
    </row>
    <row r="71" spans="1:38" x14ac:dyDescent="0.25">
      <c r="A71" s="97">
        <f t="shared" si="2"/>
        <v>44202</v>
      </c>
      <c r="B71" s="100">
        <f t="shared" ca="1" si="3"/>
        <v>150000</v>
      </c>
      <c r="C71" s="55">
        <f t="shared" ca="1" si="12"/>
        <v>2203.2199999999989</v>
      </c>
      <c r="D71" s="55">
        <f t="shared" ca="1" si="12"/>
        <v>0</v>
      </c>
      <c r="E71" s="55">
        <f t="shared" ca="1" si="5"/>
        <v>0</v>
      </c>
      <c r="F71" s="55">
        <f t="shared" ca="1" si="6"/>
        <v>0</v>
      </c>
      <c r="G71" s="101">
        <f t="shared" ca="1" si="7"/>
        <v>152203.22</v>
      </c>
      <c r="H71" s="100">
        <f ca="1">ROUND($B71*VLOOKUP($A71,$A$1:$B$10,2,1)/(365+IF(MOD(YEAR($A71),4),0,1)*($A71-$A70)),2)-Первоначальный[[#This Row],[Проценты на просроченный платеж по ОД за период]]</f>
        <v>81.78</v>
      </c>
      <c r="I71" s="55">
        <f t="shared" ca="1" si="8"/>
        <v>0</v>
      </c>
      <c r="J71" s="55">
        <v>0</v>
      </c>
      <c r="K71" s="55">
        <f t="shared" ca="1" si="11"/>
        <v>0</v>
      </c>
      <c r="L71" s="55">
        <v>0</v>
      </c>
      <c r="M71" s="113">
        <f>SUMIFS(График[Возврат основной суммы долга],График[Дата с учетом нерабочих дней],$A71)</f>
        <v>0</v>
      </c>
      <c r="N71" s="56">
        <f>SUMIFS(График[Возврат начисленных %],График[Дата с учетом нерабочих дней],$A71)</f>
        <v>0</v>
      </c>
      <c r="O71" s="101">
        <v>0</v>
      </c>
      <c r="P71" s="100" cm="1">
        <f t="array" aca="1" ref="P71" ca="1">MAX(IF(AA70="Да",0,SUM(INDIRECT("M"&amp;(MAX(("Да"=AA$12:AA70)*ROW(AA$12:AA70)+1,ROW($P$12))&amp;":M"&amp;(ROW()))))-SUM(INDIRECT("W"&amp;(MAX(("Да"=AA$12:AA70)*ROW(AA$12:AA70)+1,ROW($P$12))&amp;":W"&amp;(ROW()))))),0)</f>
        <v>0</v>
      </c>
      <c r="Q71" s="99">
        <f ca="1">MAX(SUM($N$13:N71)-SUM($T$13:T71),0)</f>
        <v>0</v>
      </c>
      <c r="R71" s="99">
        <f ca="1">Первоначальный[[#This Row],[Просроченный платеж по ОД]]+Первоначальный[[#This Row],[Просроченный платеж по процентам]]</f>
        <v>0</v>
      </c>
      <c r="S71" s="120">
        <f ca="1">IF(Первоначальный[[#This Row],[Просроченный платеж]]&lt;1,0,S70+1)</f>
        <v>0</v>
      </c>
      <c r="T71" s="100" cm="1">
        <f t="array" aca="1" ref="T71" ca="1">IF(Первоначальный[[#This Row],[Итого остаток на начало периода]]&lt;1,0,
IF(
AND(TYPE(VLOOKUP(1,$Z$12:Z71,1,0))=16,Первоначальный[[#This Row],[Досрочное погашение (да/"")]]=""),0,
_xlfn.IFS(AND(S70=0,Первоначальный[[#This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платеж]]&lt;&gt;0),MIN(LOOKUP(,-1/($Z$12:Z71=1),$C$12:C71)+LOOKUP(,-1/($Z$12:Z71=1),$H$12:H71),Первоначальный[[#This Row],[Полученный платеж]]+Y70),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платеж]]+Y70,SUM(Первоначальный[[#This Row],[Остаток процентов на начало периода]],Первоначальный[[#This Row],[Проценты за период]])),
AND(S70=0,Первоначальный[[#This Row],[Дата платежа из графика]]=""),0,
AND(S70=0,Первоначальный[[#This Row],[Дата платежа из графика]]=1,MAX((0&lt;&gt;S$12:S70)*ROW(S$12:S70),ROW($S$12))&gt;=MAX((1=Z$12:Z70)*ROW(Z$12:Z70),ROW($T$12)),TYPE(VLOOKUP("Да",(INDIRECT("AA"&amp;(MAX((1=Z$12:Z70)*ROW(Z$12:Z70),ROW($T$12))&amp;":AA"&amp;(ROW()-1)))),1,0))=16),MIN(LOOKUP(,-1/($Z$12:Z71=1),$C$12:C71)+LOOKUP(,-1/($Z$12:Z71=1),$H$12:H71),Первоначальный[[#This Row],[Полученный платеж]]+Y70),
AND(S70=0,TYPE(VLOOKUP("Да",(INDIRECT("AA"&amp;(MAX((1=Z$12:Z70)*ROW(Z$12:Z70),ROW($T$12))&amp;":AA"&amp;(ROW()-1)))),1,0))&lt;&gt;16),MIN(LOOKUP(,-1/($Z$12:Z71=1),$C$12:C71)+LOOKUP(,-1/($Z$12:Z71=1),$H$12:H71)-IF(AA70="Да",0,SUM(INDIRECT("T"&amp;(MAX(("Да"=AA$12:AA70)*ROW(AA$12:AA70)+1,ROW($T$12))&amp;":T"&amp;(ROW()-1))))),Первоначальный[[#This Row],[Полученный платеж]]+Y70),
AND(S70=0,MAX((0&lt;&gt;N$12:N70)*ROW(N$12:N70),ROW($S$12))&gt;=MAX((1=Z$12:Z70)*ROW(Z$12:Z70),ROW($T$12))),MIN(LOOKUP(,-1/($Z$12:Z71=1),$C$12:C71)+LOOKUP(,-1/($Z$12:Z71=1),$H$12:H71)-IF(N70&lt;&gt;0,0,SUM(INDIRECT("T"&amp;(MAX((0&lt;&gt;N$12:N70)*ROW(N$12:N70)+1,ROW($T$12))&amp;":T"&amp;(ROW()-1))))),Первоначальный[[#This Row],[Полученный платеж]]+Y70),
AND(S70=0,Первоначальный[[#This Row],[Дата платежа из графика]]=1),MIN(LOOKUP(,-1/($Z$12:Z71=1),$C$12:C71)+LOOKUP(,-1/($Z$12:Z71=1),$H$12:H71)-IF(Z70=1,0,SUM(INDIRECT("T"&amp;(MAX((1=Z$12:Z70)*ROW(Z$12:Z70)+1,ROW($T$12))&amp;":T"&amp;(ROW()-1))))),Первоначальный[[#This Row],[Полученный платеж]]+Y70),
AND(Z70&gt;0,Первоначальный[[#This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платеж]]+Y70),
AND(S70&gt;0,MAX((0&lt;&gt;S$12:S70)*ROW(S$12:S70),ROW($S$12))&gt;=MAX((1=Z$12:Z70)*ROW(Z$12:Z70),ROW($T$12)),TYPE(VLOOKUP("Да",(INDIRECT("AA"&amp;(MAX((1=Z$12:Z70)*ROW(Z$12:Z70),ROW($T$12))&amp;":AA"&amp;(ROW()-1)))),1,0))=16),MIN(LOOKUP(,-1/($Z$12:Z71=1),$C$12:C71)+LOOKUP(,-1/($Z$12:Z71=1),$H$12:H71)-SUM(INDIRECT("T"&amp;(MAX((1=Z$12:Z70)*ROW(Z$12:Z70),ROW($T$12))&amp;":T"&amp;(ROW()-1)))),Первоначальный[[#This Row],[Полученный платеж]]+Y70),
S70&gt;0,MIN(LOOKUP(,-1/($Z$12:Z71=1),$C$12:C71)+LOOKUP(,-1/($Z$12:Z71=1),$H$12:H71)-IF(Z70=1,0,SUM(INDIRECT("T"&amp;(MAX((1=Z$12:Z70)*ROW(Z$12:Z70)+1,ROW($T$12))&amp;":T"&amp;(ROW()-1))))),Первоначальный[[#This Row],[Полученный платеж]]+Y70)
)
)
)</f>
        <v>0</v>
      </c>
      <c r="U7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платеж]]+Y70-Первоначальный[[#This Row],[Полученный платёж по процентам]])</f>
        <v>0</v>
      </c>
      <c r="V71" s="55">
        <f t="shared" ca="1" si="0"/>
        <v>0</v>
      </c>
      <c r="W71" s="55" cm="1">
        <f t="array" aca="1" ref="W71" ca="1">IF(Первоначальный[[#This Row],[Итого остаток на начало периода]]&lt;1,0,
_xlfn.IFS(
AND(TYPE(VLOOKUP(1,$Z$12:Z71,1,0))=16,Первоначальный[[#This Row],[Досрочное погашение (да/"")]]=""),0,
AND(S70=0,Первоначальный[[#This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комиссиям]]),VLOOKUP(LOOKUP(,-1/($Z$12:Z71=1),$A$12:A71),График[[Срок конец]:[Возврат основной суммы долга]],3,0)),
AND(S70=0,Первоначальный[[#This Row],[Дата платежа из графика]]="",Первоначальный[[#This Row],[Досрочное погашение (да/"")]]&lt;&gt;"Да"),0,
AND(S70=0,Первоначальный[[#This Row],[Досрочное погашение (да/"")]]=""),MIN(Первоначальный[[#This Row],[Полученный платеж]]+Y70-SUM(Первоначальный[[#This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комиссиям]]),VLOOKUP(LOOKUP(,-1/($Z$12:Z71=1),$A$12:A71),График[[Срок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S70&gt;0,MIN(Первоначальный[[#This Row],[Полученный платеж]]+Y70-SUM(Первоначальный[[#This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комиссиям]]),SUM(INDIRECT("M"&amp;(MAX((1=S$12:S70)*ROW(S$12:S70),ROW($W$12))&amp;":M"&amp;(ROW()))))-SUM(INDIRECT("W"&amp;(MAX((1=S$12:S70)*ROW(S$12:S70),ROW($W$12))&amp;":W"&amp;(ROW()-1)))))
)
)</f>
        <v>0</v>
      </c>
      <c r="X71" s="55">
        <f t="shared" ca="1" si="1"/>
        <v>0</v>
      </c>
      <c r="Y71" s="101">
        <f t="shared" ca="1" si="9"/>
        <v>13.22</v>
      </c>
      <c r="Z71" s="133" t="str">
        <f>IF(TYPE((VLOOKUP(Первоначальный[[#This Row],[Дата платежа]],График[Срок конец],1,0)))=16,"",1)</f>
        <v/>
      </c>
      <c r="AA71" s="57"/>
      <c r="AB71" s="134"/>
      <c r="AC7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150000</v>
      </c>
      <c r="AD7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2284.9999999999991</v>
      </c>
      <c r="AE7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7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71" s="55"/>
      <c r="AI71" s="55"/>
      <c r="AJ71" s="55"/>
      <c r="AK71" s="101">
        <f t="shared" ca="1" si="10"/>
        <v>152285</v>
      </c>
      <c r="AL71" s="129">
        <f t="array" ref="AL71">MAX((УслРестрактов[Характеристика]="Дата реструктуризации")*(УслРестрактов[Значение]=Первоначальный!$A71),0)</f>
        <v>0</v>
      </c>
    </row>
    <row r="72" spans="1:38" x14ac:dyDescent="0.25">
      <c r="A72" s="97">
        <f t="shared" si="2"/>
        <v>44203</v>
      </c>
      <c r="B72" s="100">
        <f t="shared" ca="1" si="3"/>
        <v>150000</v>
      </c>
      <c r="C72" s="55">
        <f t="shared" ca="1" si="12"/>
        <v>2284.9999999999991</v>
      </c>
      <c r="D72" s="55">
        <f t="shared" ca="1" si="12"/>
        <v>0</v>
      </c>
      <c r="E72" s="55">
        <f t="shared" ca="1" si="5"/>
        <v>0</v>
      </c>
      <c r="F72" s="55">
        <f t="shared" ca="1" si="6"/>
        <v>0</v>
      </c>
      <c r="G72" s="101">
        <f t="shared" ca="1" si="7"/>
        <v>152285</v>
      </c>
      <c r="H72" s="100">
        <f ca="1">ROUND($B72*VLOOKUP($A72,$A$1:$B$10,2,1)/(365+IF(MOD(YEAR($A72),4),0,1)*($A72-$A71)),2)-Первоначальный[[#This Row],[Проценты на просроченный платеж по ОД за период]]</f>
        <v>81.78</v>
      </c>
      <c r="I72" s="55">
        <f t="shared" ca="1" si="8"/>
        <v>0</v>
      </c>
      <c r="J72" s="55">
        <v>0</v>
      </c>
      <c r="K72" s="55">
        <f t="shared" ca="1" si="11"/>
        <v>0</v>
      </c>
      <c r="L72" s="55">
        <v>0</v>
      </c>
      <c r="M72" s="113">
        <f>SUMIFS(График[Возврат основной суммы долга],График[Дата с учетом нерабочих дней],$A72)</f>
        <v>0</v>
      </c>
      <c r="N72" s="56">
        <f>SUMIFS(График[Возврат начисленных %],График[Дата с учетом нерабочих дней],$A72)</f>
        <v>0</v>
      </c>
      <c r="O72" s="101">
        <v>0</v>
      </c>
      <c r="P72" s="100" cm="1">
        <f t="array" aca="1" ref="P72" ca="1">MAX(IF(AA71="Да",0,SUM(INDIRECT("M"&amp;(MAX(("Да"=AA$12:AA71)*ROW(AA$12:AA71)+1,ROW($P$12))&amp;":M"&amp;(ROW()))))-SUM(INDIRECT("W"&amp;(MAX(("Да"=AA$12:AA71)*ROW(AA$12:AA71)+1,ROW($P$12))&amp;":W"&amp;(ROW()))))),0)</f>
        <v>0</v>
      </c>
      <c r="Q72" s="99">
        <f ca="1">MAX(SUM($N$13:N72)-SUM($T$13:T72),0)</f>
        <v>0</v>
      </c>
      <c r="R72" s="99">
        <f ca="1">Первоначальный[[#This Row],[Просроченный платеж по ОД]]+Первоначальный[[#This Row],[Просроченный платеж по процентам]]</f>
        <v>0</v>
      </c>
      <c r="S72" s="120">
        <f ca="1">IF(Первоначальный[[#This Row],[Просроченный платеж]]&lt;1,0,S71+1)</f>
        <v>0</v>
      </c>
      <c r="T72" s="100" cm="1">
        <f t="array" aca="1" ref="T72" ca="1">IF(Первоначальный[[#This Row],[Итого остаток на начало периода]]&lt;1,0,
IF(
AND(TYPE(VLOOKUP(1,$Z$12:Z72,1,0))=16,Первоначальный[[#This Row],[Досрочное погашение (да/"")]]=""),0,
_xlfn.IFS(AND(S71=0,Первоначальный[[#This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платеж]]&lt;&gt;0),MIN(LOOKUP(,-1/($Z$12:Z72=1),$C$12:C72)+LOOKUP(,-1/($Z$12:Z72=1),$H$12:H72),Первоначальный[[#This Row],[Полученный платеж]]+Y71),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платеж]]+Y71,SUM(Первоначальный[[#This Row],[Остаток процентов на начало периода]],Первоначальный[[#This Row],[Проценты за период]])),
AND(S71=0,Первоначальный[[#This Row],[Дата платежа из графика]]=""),0,
AND(S71=0,Первоначальный[[#This Row],[Дата платежа из графика]]=1,MAX((0&lt;&gt;S$12:S71)*ROW(S$12:S71),ROW($S$12))&gt;=MAX((1=Z$12:Z71)*ROW(Z$12:Z71),ROW($T$12)),TYPE(VLOOKUP("Да",(INDIRECT("AA"&amp;(MAX((1=Z$12:Z71)*ROW(Z$12:Z71),ROW($T$12))&amp;":AA"&amp;(ROW()-1)))),1,0))=16),MIN(LOOKUP(,-1/($Z$12:Z72=1),$C$12:C72)+LOOKUP(,-1/($Z$12:Z72=1),$H$12:H72),Первоначальный[[#This Row],[Полученный платеж]]+Y71),
AND(S71=0,TYPE(VLOOKUP("Да",(INDIRECT("AA"&amp;(MAX((1=Z$12:Z71)*ROW(Z$12:Z71),ROW($T$12))&amp;":AA"&amp;(ROW()-1)))),1,0))&lt;&gt;16),MIN(LOOKUP(,-1/($Z$12:Z72=1),$C$12:C72)+LOOKUP(,-1/($Z$12:Z72=1),$H$12:H72)-IF(AA71="Да",0,SUM(INDIRECT("T"&amp;(MAX(("Да"=AA$12:AA71)*ROW(AA$12:AA71)+1,ROW($T$12))&amp;":T"&amp;(ROW()-1))))),Первоначальный[[#This Row],[Полученный платеж]]+Y71),
AND(S71=0,MAX((0&lt;&gt;N$12:N71)*ROW(N$12:N71),ROW($S$12))&gt;=MAX((1=Z$12:Z71)*ROW(Z$12:Z71),ROW($T$12))),MIN(LOOKUP(,-1/($Z$12:Z72=1),$C$12:C72)+LOOKUP(,-1/($Z$12:Z72=1),$H$12:H72)-IF(N71&lt;&gt;0,0,SUM(INDIRECT("T"&amp;(MAX((0&lt;&gt;N$12:N71)*ROW(N$12:N71)+1,ROW($T$12))&amp;":T"&amp;(ROW()-1))))),Первоначальный[[#This Row],[Полученный платеж]]+Y71),
AND(S71=0,Первоначальный[[#This Row],[Дата платежа из графика]]=1),MIN(LOOKUP(,-1/($Z$12:Z72=1),$C$12:C72)+LOOKUP(,-1/($Z$12:Z72=1),$H$12:H72)-IF(Z71=1,0,SUM(INDIRECT("T"&amp;(MAX((1=Z$12:Z71)*ROW(Z$12:Z71)+1,ROW($T$12))&amp;":T"&amp;(ROW()-1))))),Первоначальный[[#This Row],[Полученный платеж]]+Y71),
AND(Z71&gt;0,Первоначальный[[#This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платеж]]+Y71),
AND(S71&gt;0,MAX((0&lt;&gt;S$12:S71)*ROW(S$12:S71),ROW($S$12))&gt;=MAX((1=Z$12:Z71)*ROW(Z$12:Z71),ROW($T$12)),TYPE(VLOOKUP("Да",(INDIRECT("AA"&amp;(MAX((1=Z$12:Z71)*ROW(Z$12:Z71),ROW($T$12))&amp;":AA"&amp;(ROW()-1)))),1,0))=16),MIN(LOOKUP(,-1/($Z$12:Z72=1),$C$12:C72)+LOOKUP(,-1/($Z$12:Z72=1),$H$12:H72)-SUM(INDIRECT("T"&amp;(MAX((1=Z$12:Z71)*ROW(Z$12:Z71),ROW($T$12))&amp;":T"&amp;(ROW()-1)))),Первоначальный[[#This Row],[Полученный платеж]]+Y71),
S71&gt;0,MIN(LOOKUP(,-1/($Z$12:Z72=1),$C$12:C72)+LOOKUP(,-1/($Z$12:Z72=1),$H$12:H72)-IF(Z71=1,0,SUM(INDIRECT("T"&amp;(MAX((1=Z$12:Z71)*ROW(Z$12:Z71)+1,ROW($T$12))&amp;":T"&amp;(ROW()-1))))),Первоначальный[[#This Row],[Полученный платеж]]+Y71)
)
)
)</f>
        <v>0</v>
      </c>
      <c r="U7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платеж]]+Y71-Первоначальный[[#This Row],[Полученный платёж по процентам]])</f>
        <v>0</v>
      </c>
      <c r="V72" s="55">
        <f t="shared" ca="1" si="0"/>
        <v>0</v>
      </c>
      <c r="W72" s="55" cm="1">
        <f t="array" aca="1" ref="W72" ca="1">IF(Первоначальный[[#This Row],[Итого остаток на начало периода]]&lt;1,0,
_xlfn.IFS(
AND(TYPE(VLOOKUP(1,$Z$12:Z72,1,0))=16,Первоначальный[[#This Row],[Досрочное погашение (да/"")]]=""),0,
AND(S71=0,Первоначальный[[#This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комиссиям]]),VLOOKUP(LOOKUP(,-1/($Z$12:Z72=1),$A$12:A72),График[[Срок конец]:[Возврат основной суммы долга]],3,0)),
AND(S71=0,Первоначальный[[#This Row],[Дата платежа из графика]]="",Первоначальный[[#This Row],[Досрочное погашение (да/"")]]&lt;&gt;"Да"),0,
AND(S71=0,Первоначальный[[#This Row],[Досрочное погашение (да/"")]]=""),MIN(Первоначальный[[#This Row],[Полученный платеж]]+Y71-SUM(Первоначальный[[#This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комиссиям]]),VLOOKUP(LOOKUP(,-1/($Z$12:Z72=1),$A$12:A72),График[[Срок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S71&gt;0,MIN(Первоначальный[[#This Row],[Полученный платеж]]+Y71-SUM(Первоначальный[[#This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комиссиям]]),SUM(INDIRECT("M"&amp;(MAX((1=S$12:S71)*ROW(S$12:S71),ROW($W$12))&amp;":M"&amp;(ROW()))))-SUM(INDIRECT("W"&amp;(MAX((1=S$12:S71)*ROW(S$12:S71),ROW($W$12))&amp;":W"&amp;(ROW()-1)))))
)
)</f>
        <v>0</v>
      </c>
      <c r="X72" s="55">
        <f t="shared" ca="1" si="1"/>
        <v>0</v>
      </c>
      <c r="Y72" s="101">
        <f t="shared" ca="1" si="9"/>
        <v>13.22</v>
      </c>
      <c r="Z72" s="133" t="str">
        <f>IF(TYPE((VLOOKUP(Первоначальный[[#This Row],[Дата платежа]],График[Срок конец],1,0)))=16,"",1)</f>
        <v/>
      </c>
      <c r="AA72" s="57"/>
      <c r="AB72" s="134"/>
      <c r="AC7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150000</v>
      </c>
      <c r="AD7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2366.7799999999993</v>
      </c>
      <c r="AE7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7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72" s="55"/>
      <c r="AI72" s="55"/>
      <c r="AJ72" s="55"/>
      <c r="AK72" s="101">
        <f t="shared" ca="1" si="10"/>
        <v>152366.78</v>
      </c>
      <c r="AL72" s="129">
        <f t="array" ref="AL72">MAX((УслРестрактов[Характеристика]="Дата реструктуризации")*(УслРестрактов[Значение]=Первоначальный!$A72),0)</f>
        <v>0</v>
      </c>
    </row>
    <row r="73" spans="1:38" x14ac:dyDescent="0.25">
      <c r="A73" s="97">
        <f t="shared" si="2"/>
        <v>44204</v>
      </c>
      <c r="B73" s="100">
        <f t="shared" ca="1" si="3"/>
        <v>150000</v>
      </c>
      <c r="C73" s="55">
        <f t="shared" ca="1" si="12"/>
        <v>2366.7799999999993</v>
      </c>
      <c r="D73" s="55">
        <f t="shared" ca="1" si="12"/>
        <v>0</v>
      </c>
      <c r="E73" s="55">
        <f t="shared" ca="1" si="5"/>
        <v>0</v>
      </c>
      <c r="F73" s="55">
        <f t="shared" ca="1" si="6"/>
        <v>0</v>
      </c>
      <c r="G73" s="101">
        <f t="shared" ca="1" si="7"/>
        <v>152366.78</v>
      </c>
      <c r="H73" s="100">
        <f ca="1">ROUND($B73*VLOOKUP($A73,$A$1:$B$10,2,1)/(365+IF(MOD(YEAR($A73),4),0,1)*($A73-$A72)),2)-Первоначальный[[#This Row],[Проценты на просроченный платеж по ОД за период]]</f>
        <v>81.78</v>
      </c>
      <c r="I73" s="55">
        <f t="shared" ca="1" si="8"/>
        <v>0</v>
      </c>
      <c r="J73" s="55">
        <v>0</v>
      </c>
      <c r="K73" s="55">
        <f t="shared" ca="1" si="11"/>
        <v>0</v>
      </c>
      <c r="L73" s="55">
        <v>0</v>
      </c>
      <c r="M73" s="113">
        <f>SUMIFS(График[Возврат основной суммы долга],График[Дата с учетом нерабочих дней],$A73)</f>
        <v>0</v>
      </c>
      <c r="N73" s="56">
        <f>SUMIFS(График[Возврат начисленных %],График[Дата с учетом нерабочих дней],$A73)</f>
        <v>0</v>
      </c>
      <c r="O73" s="101">
        <v>0</v>
      </c>
      <c r="P73" s="100" cm="1">
        <f t="array" aca="1" ref="P73" ca="1">MAX(IF(AA72="Да",0,SUM(INDIRECT("M"&amp;(MAX(("Да"=AA$12:AA72)*ROW(AA$12:AA72)+1,ROW($P$12))&amp;":M"&amp;(ROW()))))-SUM(INDIRECT("W"&amp;(MAX(("Да"=AA$12:AA72)*ROW(AA$12:AA72)+1,ROW($P$12))&amp;":W"&amp;(ROW()))))),0)</f>
        <v>0</v>
      </c>
      <c r="Q73" s="99">
        <f ca="1">MAX(SUM($N$13:N73)-SUM($T$13:T73),0)</f>
        <v>0</v>
      </c>
      <c r="R73" s="99">
        <f ca="1">Первоначальный[[#This Row],[Просроченный платеж по ОД]]+Первоначальный[[#This Row],[Просроченный платеж по процентам]]</f>
        <v>0</v>
      </c>
      <c r="S73" s="120">
        <f ca="1">IF(Первоначальный[[#This Row],[Просроченный платеж]]&lt;1,0,S72+1)</f>
        <v>0</v>
      </c>
      <c r="T73" s="100" cm="1">
        <f t="array" aca="1" ref="T73" ca="1">IF(Первоначальный[[#This Row],[Итого остаток на начало периода]]&lt;1,0,
IF(
AND(TYPE(VLOOKUP(1,$Z$12:Z73,1,0))=16,Первоначальный[[#This Row],[Досрочное погашение (да/"")]]=""),0,
_xlfn.IFS(AND(S72=0,Первоначальный[[#This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платеж]]&lt;&gt;0),MIN(LOOKUP(,-1/($Z$12:Z73=1),$C$12:C73)+LOOKUP(,-1/($Z$12:Z73=1),$H$12:H73),Первоначальный[[#This Row],[Полученный платеж]]+Y72),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платеж]]+Y72,SUM(Первоначальный[[#This Row],[Остаток процентов на начало периода]],Первоначальный[[#This Row],[Проценты за период]])),
AND(S72=0,Первоначальный[[#This Row],[Дата платежа из графика]]=""),0,
AND(S72=0,Первоначальный[[#This Row],[Дата платежа из графика]]=1,MAX((0&lt;&gt;S$12:S72)*ROW(S$12:S72),ROW($S$12))&gt;=MAX((1=Z$12:Z72)*ROW(Z$12:Z72),ROW($T$12)),TYPE(VLOOKUP("Да",(INDIRECT("AA"&amp;(MAX((1=Z$12:Z72)*ROW(Z$12:Z72),ROW($T$12))&amp;":AA"&amp;(ROW()-1)))),1,0))=16),MIN(LOOKUP(,-1/($Z$12:Z73=1),$C$12:C73)+LOOKUP(,-1/($Z$12:Z73=1),$H$12:H73),Первоначальный[[#This Row],[Полученный платеж]]+Y72),
AND(S72=0,TYPE(VLOOKUP("Да",(INDIRECT("AA"&amp;(MAX((1=Z$12:Z72)*ROW(Z$12:Z72),ROW($T$12))&amp;":AA"&amp;(ROW()-1)))),1,0))&lt;&gt;16),MIN(LOOKUP(,-1/($Z$12:Z73=1),$C$12:C73)+LOOKUP(,-1/($Z$12:Z73=1),$H$12:H73)-IF(AA72="Да",0,SUM(INDIRECT("T"&amp;(MAX(("Да"=AA$12:AA72)*ROW(AA$12:AA72)+1,ROW($T$12))&amp;":T"&amp;(ROW()-1))))),Первоначальный[[#This Row],[Полученный платеж]]+Y72),
AND(S72=0,MAX((0&lt;&gt;N$12:N72)*ROW(N$12:N72),ROW($S$12))&gt;=MAX((1=Z$12:Z72)*ROW(Z$12:Z72),ROW($T$12))),MIN(LOOKUP(,-1/($Z$12:Z73=1),$C$12:C73)+LOOKUP(,-1/($Z$12:Z73=1),$H$12:H73)-IF(N72&lt;&gt;0,0,SUM(INDIRECT("T"&amp;(MAX((0&lt;&gt;N$12:N72)*ROW(N$12:N72)+1,ROW($T$12))&amp;":T"&amp;(ROW()-1))))),Первоначальный[[#This Row],[Полученный платеж]]+Y72),
AND(S72=0,Первоначальный[[#This Row],[Дата платежа из графика]]=1),MIN(LOOKUP(,-1/($Z$12:Z73=1),$C$12:C73)+LOOKUP(,-1/($Z$12:Z73=1),$H$12:H73)-IF(Z72=1,0,SUM(INDIRECT("T"&amp;(MAX((1=Z$12:Z72)*ROW(Z$12:Z72)+1,ROW($T$12))&amp;":T"&amp;(ROW()-1))))),Первоначальный[[#This Row],[Полученный платеж]]+Y72),
AND(Z72&gt;0,Первоначальный[[#This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платеж]]+Y72),
AND(S72&gt;0,MAX((0&lt;&gt;S$12:S72)*ROW(S$12:S72),ROW($S$12))&gt;=MAX((1=Z$12:Z72)*ROW(Z$12:Z72),ROW($T$12)),TYPE(VLOOKUP("Да",(INDIRECT("AA"&amp;(MAX((1=Z$12:Z72)*ROW(Z$12:Z72),ROW($T$12))&amp;":AA"&amp;(ROW()-1)))),1,0))=16),MIN(LOOKUP(,-1/($Z$12:Z73=1),$C$12:C73)+LOOKUP(,-1/($Z$12:Z73=1),$H$12:H73)-SUM(INDIRECT("T"&amp;(MAX((1=Z$12:Z72)*ROW(Z$12:Z72),ROW($T$12))&amp;":T"&amp;(ROW()-1)))),Первоначальный[[#This Row],[Полученный платеж]]+Y72),
S72&gt;0,MIN(LOOKUP(,-1/($Z$12:Z73=1),$C$12:C73)+LOOKUP(,-1/($Z$12:Z73=1),$H$12:H73)-IF(Z72=1,0,SUM(INDIRECT("T"&amp;(MAX((1=Z$12:Z72)*ROW(Z$12:Z72)+1,ROW($T$12))&amp;":T"&amp;(ROW()-1))))),Первоначальный[[#This Row],[Полученный платеж]]+Y72)
)
)
)</f>
        <v>0</v>
      </c>
      <c r="U7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платеж]]+Y72-Первоначальный[[#This Row],[Полученный платёж по процентам]])</f>
        <v>0</v>
      </c>
      <c r="V73" s="55">
        <f t="shared" ca="1" si="0"/>
        <v>0</v>
      </c>
      <c r="W73" s="55" cm="1">
        <f t="array" aca="1" ref="W73" ca="1">IF(Первоначальный[[#This Row],[Итого остаток на начало периода]]&lt;1,0,
_xlfn.IFS(
AND(TYPE(VLOOKUP(1,$Z$12:Z73,1,0))=16,Первоначальный[[#This Row],[Досрочное погашение (да/"")]]=""),0,
AND(S72=0,Первоначальный[[#This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комиссиям]]),VLOOKUP(LOOKUP(,-1/($Z$12:Z73=1),$A$12:A73),График[[Срок конец]:[Возврат основной суммы долга]],3,0)),
AND(S72=0,Первоначальный[[#This Row],[Дата платежа из графика]]="",Первоначальный[[#This Row],[Досрочное погашение (да/"")]]&lt;&gt;"Да"),0,
AND(S72=0,Первоначальный[[#This Row],[Досрочное погашение (да/"")]]=""),MIN(Первоначальный[[#This Row],[Полученный платеж]]+Y72-SUM(Первоначальный[[#This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комиссиям]]),VLOOKUP(LOOKUP(,-1/($Z$12:Z73=1),$A$12:A73),График[[Срок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S72&gt;0,MIN(Первоначальный[[#This Row],[Полученный платеж]]+Y72-SUM(Первоначальный[[#This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комиссиям]]),SUM(INDIRECT("M"&amp;(MAX((1=S$12:S72)*ROW(S$12:S72),ROW($W$12))&amp;":M"&amp;(ROW()))))-SUM(INDIRECT("W"&amp;(MAX((1=S$12:S72)*ROW(S$12:S72),ROW($W$12))&amp;":W"&amp;(ROW()-1)))))
)
)</f>
        <v>0</v>
      </c>
      <c r="X73" s="55">
        <f t="shared" ca="1" si="1"/>
        <v>0</v>
      </c>
      <c r="Y73" s="101">
        <f t="shared" ca="1" si="9"/>
        <v>13.22</v>
      </c>
      <c r="Z73" s="133" t="str">
        <f>IF(TYPE((VLOOKUP(Первоначальный[[#This Row],[Дата платежа]],График[Срок конец],1,0)))=16,"",1)</f>
        <v/>
      </c>
      <c r="AA73" s="57"/>
      <c r="AB73" s="134"/>
      <c r="AC7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150000</v>
      </c>
      <c r="AD7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2448.5599999999995</v>
      </c>
      <c r="AE7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7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73" s="55"/>
      <c r="AI73" s="55"/>
      <c r="AJ73" s="55"/>
      <c r="AK73" s="101">
        <f t="shared" ca="1" si="10"/>
        <v>152448.56</v>
      </c>
      <c r="AL73" s="129">
        <f t="array" ref="AL73">MAX((УслРестрактов[Характеристика]="Дата реструктуризации")*(УслРестрактов[Значение]=Первоначальный!$A73),0)</f>
        <v>0</v>
      </c>
    </row>
    <row r="74" spans="1:38" x14ac:dyDescent="0.25">
      <c r="A74" s="97">
        <f t="shared" si="2"/>
        <v>44205</v>
      </c>
      <c r="B74" s="100">
        <f t="shared" ca="1" si="3"/>
        <v>150000</v>
      </c>
      <c r="C74" s="55">
        <f t="shared" ca="1" si="12"/>
        <v>2448.5599999999995</v>
      </c>
      <c r="D74" s="55">
        <f t="shared" ca="1" si="12"/>
        <v>0</v>
      </c>
      <c r="E74" s="55">
        <f t="shared" ca="1" si="5"/>
        <v>0</v>
      </c>
      <c r="F74" s="55">
        <f t="shared" ca="1" si="6"/>
        <v>0</v>
      </c>
      <c r="G74" s="101">
        <f t="shared" ca="1" si="7"/>
        <v>152448.56</v>
      </c>
      <c r="H74" s="100">
        <f ca="1">ROUND($B74*VLOOKUP($A74,$A$1:$B$10,2,1)/(365+IF(MOD(YEAR($A74),4),0,1)*($A74-$A73)),2)-Первоначальный[[#This Row],[Проценты на просроченный платеж по ОД за период]]</f>
        <v>81.78</v>
      </c>
      <c r="I74" s="55">
        <f t="shared" ca="1" si="8"/>
        <v>0</v>
      </c>
      <c r="J74" s="55">
        <v>0</v>
      </c>
      <c r="K74" s="55">
        <f t="shared" ca="1" si="11"/>
        <v>0</v>
      </c>
      <c r="L74" s="55">
        <v>0</v>
      </c>
      <c r="M74" s="113">
        <f>SUMIFS(График[Возврат основной суммы долга],График[Дата с учетом нерабочих дней],$A74)</f>
        <v>0</v>
      </c>
      <c r="N74" s="56">
        <f>SUMIFS(График[Возврат начисленных %],График[Дата с учетом нерабочих дней],$A74)</f>
        <v>0</v>
      </c>
      <c r="O74" s="101">
        <v>0</v>
      </c>
      <c r="P74" s="100" cm="1">
        <f t="array" aca="1" ref="P74" ca="1">MAX(IF(AA73="Да",0,SUM(INDIRECT("M"&amp;(MAX(("Да"=AA$12:AA73)*ROW(AA$12:AA73)+1,ROW($P$12))&amp;":M"&amp;(ROW()))))-SUM(INDIRECT("W"&amp;(MAX(("Да"=AA$12:AA73)*ROW(AA$12:AA73)+1,ROW($P$12))&amp;":W"&amp;(ROW()))))),0)</f>
        <v>0</v>
      </c>
      <c r="Q74" s="99">
        <f ca="1">MAX(SUM($N$13:N74)-SUM($T$13:T74),0)</f>
        <v>0</v>
      </c>
      <c r="R74" s="99">
        <f ca="1">Первоначальный[[#This Row],[Просроченный платеж по ОД]]+Первоначальный[[#This Row],[Просроченный платеж по процентам]]</f>
        <v>0</v>
      </c>
      <c r="S74" s="120">
        <f ca="1">IF(Первоначальный[[#This Row],[Просроченный платеж]]&lt;1,0,S73+1)</f>
        <v>0</v>
      </c>
      <c r="T74" s="100" cm="1">
        <f t="array" aca="1" ref="T74" ca="1">IF(Первоначальный[[#This Row],[Итого остаток на начало периода]]&lt;1,0,
IF(
AND(TYPE(VLOOKUP(1,$Z$12:Z74,1,0))=16,Первоначальный[[#This Row],[Досрочное погашение (да/"")]]=""),0,
_xlfn.IFS(AND(S73=0,Первоначальный[[#This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платеж]]&lt;&gt;0),MIN(LOOKUP(,-1/($Z$12:Z74=1),$C$12:C74)+LOOKUP(,-1/($Z$12:Z74=1),$H$12:H74),Первоначальный[[#This Row],[Полученный платеж]]+Y73),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платеж]]+Y73,SUM(Первоначальный[[#This Row],[Остаток процентов на начало периода]],Первоначальный[[#This Row],[Проценты за период]])),
AND(S73=0,Первоначальный[[#This Row],[Дата платежа из графика]]=""),0,
AND(S73=0,Первоначальный[[#This Row],[Дата платежа из графика]]=1,MAX((0&lt;&gt;S$12:S73)*ROW(S$12:S73),ROW($S$12))&gt;=MAX((1=Z$12:Z73)*ROW(Z$12:Z73),ROW($T$12)),TYPE(VLOOKUP("Да",(INDIRECT("AA"&amp;(MAX((1=Z$12:Z73)*ROW(Z$12:Z73),ROW($T$12))&amp;":AA"&amp;(ROW()-1)))),1,0))=16),MIN(LOOKUP(,-1/($Z$12:Z74=1),$C$12:C74)+LOOKUP(,-1/($Z$12:Z74=1),$H$12:H74),Первоначальный[[#This Row],[Полученный платеж]]+Y73),
AND(S73=0,TYPE(VLOOKUP("Да",(INDIRECT("AA"&amp;(MAX((1=Z$12:Z73)*ROW(Z$12:Z73),ROW($T$12))&amp;":AA"&amp;(ROW()-1)))),1,0))&lt;&gt;16),MIN(LOOKUP(,-1/($Z$12:Z74=1),$C$12:C74)+LOOKUP(,-1/($Z$12:Z74=1),$H$12:H74)-IF(AA73="Да",0,SUM(INDIRECT("T"&amp;(MAX(("Да"=AA$12:AA73)*ROW(AA$12:AA73)+1,ROW($T$12))&amp;":T"&amp;(ROW()-1))))),Первоначальный[[#This Row],[Полученный платеж]]+Y73),
AND(S73=0,MAX((0&lt;&gt;N$12:N73)*ROW(N$12:N73),ROW($S$12))&gt;=MAX((1=Z$12:Z73)*ROW(Z$12:Z73),ROW($T$12))),MIN(LOOKUP(,-1/($Z$12:Z74=1),$C$12:C74)+LOOKUP(,-1/($Z$12:Z74=1),$H$12:H74)-IF(N73&lt;&gt;0,0,SUM(INDIRECT("T"&amp;(MAX((0&lt;&gt;N$12:N73)*ROW(N$12:N73)+1,ROW($T$12))&amp;":T"&amp;(ROW()-1))))),Первоначальный[[#This Row],[Полученный платеж]]+Y73),
AND(S73=0,Первоначальный[[#This Row],[Дата платежа из графика]]=1),MIN(LOOKUP(,-1/($Z$12:Z74=1),$C$12:C74)+LOOKUP(,-1/($Z$12:Z74=1),$H$12:H74)-IF(Z73=1,0,SUM(INDIRECT("T"&amp;(MAX((1=Z$12:Z73)*ROW(Z$12:Z73)+1,ROW($T$12))&amp;":T"&amp;(ROW()-1))))),Первоначальный[[#This Row],[Полученный платеж]]+Y73),
AND(Z73&gt;0,Первоначальный[[#This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платеж]]+Y73),
AND(S73&gt;0,MAX((0&lt;&gt;S$12:S73)*ROW(S$12:S73),ROW($S$12))&gt;=MAX((1=Z$12:Z73)*ROW(Z$12:Z73),ROW($T$12)),TYPE(VLOOKUP("Да",(INDIRECT("AA"&amp;(MAX((1=Z$12:Z73)*ROW(Z$12:Z73),ROW($T$12))&amp;":AA"&amp;(ROW()-1)))),1,0))=16),MIN(LOOKUP(,-1/($Z$12:Z74=1),$C$12:C74)+LOOKUP(,-1/($Z$12:Z74=1),$H$12:H74)-SUM(INDIRECT("T"&amp;(MAX((1=Z$12:Z73)*ROW(Z$12:Z73),ROW($T$12))&amp;":T"&amp;(ROW()-1)))),Первоначальный[[#This Row],[Полученный платеж]]+Y73),
S73&gt;0,MIN(LOOKUP(,-1/($Z$12:Z74=1),$C$12:C74)+LOOKUP(,-1/($Z$12:Z74=1),$H$12:H74)-IF(Z73=1,0,SUM(INDIRECT("T"&amp;(MAX((1=Z$12:Z73)*ROW(Z$12:Z73)+1,ROW($T$12))&amp;":T"&amp;(ROW()-1))))),Первоначальный[[#This Row],[Полученный платеж]]+Y73)
)
)
)</f>
        <v>13.22</v>
      </c>
      <c r="U7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платеж]]+Y73-Первоначальный[[#This Row],[Полученный платёж по процентам]])</f>
        <v>0</v>
      </c>
      <c r="V74" s="55">
        <f t="shared" ca="1" si="0"/>
        <v>0</v>
      </c>
      <c r="W74" s="55" cm="1">
        <f t="array" aca="1" ref="W74" ca="1">IF(Первоначальный[[#This Row],[Итого остаток на начало периода]]&lt;1,0,
_xlfn.IFS(
AND(TYPE(VLOOKUP(1,$Z$12:Z74,1,0))=16,Первоначальный[[#This Row],[Досрочное погашение (да/"")]]=""),0,
AND(S73=0,Первоначальный[[#This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комиссиям]]),VLOOKUP(LOOKUP(,-1/($Z$12:Z74=1),$A$12:A74),График[[Срок конец]:[Возврат основной суммы долга]],3,0)),
AND(S73=0,Первоначальный[[#This Row],[Дата платежа из графика]]="",Первоначальный[[#This Row],[Досрочное погашение (да/"")]]&lt;&gt;"Да"),0,
AND(S73=0,Первоначальный[[#This Row],[Досрочное погашение (да/"")]]=""),MIN(Первоначальный[[#This Row],[Полученный платеж]]+Y73-SUM(Первоначальный[[#This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комиссиям]]),VLOOKUP(LOOKUP(,-1/($Z$12:Z74=1),$A$12:A74),График[[Срок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S73&gt;0,MIN(Первоначальный[[#This Row],[Полученный платеж]]+Y73-SUM(Первоначальный[[#This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комиссиям]]),SUM(INDIRECT("M"&amp;(MAX((1=S$12:S73)*ROW(S$12:S73),ROW($W$12))&amp;":M"&amp;(ROW()))))-SUM(INDIRECT("W"&amp;(MAX((1=S$12:S73)*ROW(S$12:S73),ROW($W$12))&amp;":W"&amp;(ROW()-1)))))
)
)</f>
        <v>0</v>
      </c>
      <c r="X74" s="55">
        <f t="shared" ca="1" si="1"/>
        <v>0</v>
      </c>
      <c r="Y74" s="101">
        <f t="shared" ca="1" si="9"/>
        <v>0</v>
      </c>
      <c r="Z74" s="133">
        <f>IF(TYPE((VLOOKUP(Первоначальный[[#This Row],[Дата платежа]],График[Срок конец],1,0)))=16,"",1)</f>
        <v>1</v>
      </c>
      <c r="AA74" s="57"/>
      <c r="AB74" s="134"/>
      <c r="AC7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150000</v>
      </c>
      <c r="AD7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2517.12</v>
      </c>
      <c r="AE7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7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74" s="55"/>
      <c r="AI74" s="55"/>
      <c r="AJ74" s="55"/>
      <c r="AK74" s="101">
        <f t="shared" ca="1" si="10"/>
        <v>152517.12</v>
      </c>
      <c r="AL74" s="129">
        <f t="array" ref="AL74">MAX((УслРестрактов[Характеристика]="Дата реструктуризации")*(УслРестрактов[Значение]=Первоначальный!$A74),0)</f>
        <v>0</v>
      </c>
    </row>
    <row r="75" spans="1:38" x14ac:dyDescent="0.25">
      <c r="A75" s="97">
        <f t="shared" si="2"/>
        <v>44206</v>
      </c>
      <c r="B75" s="100">
        <f t="shared" ca="1" si="3"/>
        <v>150000</v>
      </c>
      <c r="C75" s="55">
        <f t="shared" ca="1" si="12"/>
        <v>2517.12</v>
      </c>
      <c r="D75" s="55">
        <f t="shared" ca="1" si="12"/>
        <v>0</v>
      </c>
      <c r="E75" s="55">
        <f t="shared" ca="1" si="5"/>
        <v>0</v>
      </c>
      <c r="F75" s="55">
        <f t="shared" ca="1" si="6"/>
        <v>0</v>
      </c>
      <c r="G75" s="101">
        <f t="shared" ca="1" si="7"/>
        <v>152517.12</v>
      </c>
      <c r="H75" s="100">
        <f ca="1">ROUND($B75*VLOOKUP($A75,$A$1:$B$10,2,1)/(365+IF(MOD(YEAR($A75),4),0,1)*($A75-$A74)),2)-Первоначальный[[#This Row],[Проценты на просроченный платеж по ОД за период]]</f>
        <v>81.78</v>
      </c>
      <c r="I75" s="55">
        <f t="shared" ca="1" si="8"/>
        <v>0</v>
      </c>
      <c r="J75" s="55">
        <v>0</v>
      </c>
      <c r="K75" s="55">
        <f t="shared" ca="1" si="11"/>
        <v>0</v>
      </c>
      <c r="L75" s="55">
        <v>0</v>
      </c>
      <c r="M75" s="113">
        <f>SUMIFS(График[Возврат основной суммы долга],График[Дата с учетом нерабочих дней],$A75)</f>
        <v>0</v>
      </c>
      <c r="N75" s="56">
        <f>SUMIFS(График[Возврат начисленных %],График[Дата с учетом нерабочих дней],$A75)</f>
        <v>0</v>
      </c>
      <c r="O75" s="101">
        <v>0</v>
      </c>
      <c r="P75" s="100" cm="1">
        <f t="array" aca="1" ref="P75" ca="1">MAX(IF(AA74="Да",0,SUM(INDIRECT("M"&amp;(MAX(("Да"=AA$12:AA74)*ROW(AA$12:AA74)+1,ROW($P$12))&amp;":M"&amp;(ROW()))))-SUM(INDIRECT("W"&amp;(MAX(("Да"=AA$12:AA74)*ROW(AA$12:AA74)+1,ROW($P$12))&amp;":W"&amp;(ROW()))))),0)</f>
        <v>0</v>
      </c>
      <c r="Q75" s="99">
        <f ca="1">MAX(SUM($N$13:N75)-SUM($T$13:T75),0)</f>
        <v>0</v>
      </c>
      <c r="R75" s="99">
        <f ca="1">Первоначальный[[#This Row],[Просроченный платеж по ОД]]+Первоначальный[[#This Row],[Просроченный платеж по процентам]]</f>
        <v>0</v>
      </c>
      <c r="S75" s="120">
        <f ca="1">IF(Первоначальный[[#This Row],[Просроченный платеж]]&lt;1,0,S74+1)</f>
        <v>0</v>
      </c>
      <c r="T75" s="100" cm="1">
        <f t="array" aca="1" ref="T75" ca="1">IF(Первоначальный[[#This Row],[Итого остаток на начало периода]]&lt;1,0,
IF(
AND(TYPE(VLOOKUP(1,$Z$12:Z75,1,0))=16,Первоначальный[[#This Row],[Досрочное погашение (да/"")]]=""),0,
_xlfn.IFS(AND(S74=0,Первоначальный[[#This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платеж]]&lt;&gt;0),MIN(LOOKUP(,-1/($Z$12:Z75=1),$C$12:C75)+LOOKUP(,-1/($Z$12:Z75=1),$H$12:H75),Первоначальный[[#This Row],[Полученный платеж]]+Y74),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платеж]]+Y74,SUM(Первоначальный[[#This Row],[Остаток процентов на начало периода]],Первоначальный[[#This Row],[Проценты за период]])),
AND(S74=0,Первоначальный[[#This Row],[Дата платежа из графика]]=""),0,
AND(S74=0,Первоначальный[[#This Row],[Дата платежа из графика]]=1,MAX((0&lt;&gt;S$12:S74)*ROW(S$12:S74),ROW($S$12))&gt;=MAX((1=Z$12:Z74)*ROW(Z$12:Z74),ROW($T$12)),TYPE(VLOOKUP("Да",(INDIRECT("AA"&amp;(MAX((1=Z$12:Z74)*ROW(Z$12:Z74),ROW($T$12))&amp;":AA"&amp;(ROW()-1)))),1,0))=16),MIN(LOOKUP(,-1/($Z$12:Z75=1),$C$12:C75)+LOOKUP(,-1/($Z$12:Z75=1),$H$12:H75),Первоначальный[[#This Row],[Полученный платеж]]+Y74),
AND(S74=0,TYPE(VLOOKUP("Да",(INDIRECT("AA"&amp;(MAX((1=Z$12:Z74)*ROW(Z$12:Z74),ROW($T$12))&amp;":AA"&amp;(ROW()-1)))),1,0))&lt;&gt;16),MIN(LOOKUP(,-1/($Z$12:Z75=1),$C$12:C75)+LOOKUP(,-1/($Z$12:Z75=1),$H$12:H75)-IF(AA74="Да",0,SUM(INDIRECT("T"&amp;(MAX(("Да"=AA$12:AA74)*ROW(AA$12:AA74)+1,ROW($T$12))&amp;":T"&amp;(ROW()-1))))),Первоначальный[[#This Row],[Полученный платеж]]+Y74),
AND(S74=0,MAX((0&lt;&gt;N$12:N74)*ROW(N$12:N74),ROW($S$12))&gt;=MAX((1=Z$12:Z74)*ROW(Z$12:Z74),ROW($T$12))),MIN(LOOKUP(,-1/($Z$12:Z75=1),$C$12:C75)+LOOKUP(,-1/($Z$12:Z75=1),$H$12:H75)-IF(N74&lt;&gt;0,0,SUM(INDIRECT("T"&amp;(MAX((0&lt;&gt;N$12:N74)*ROW(N$12:N74)+1,ROW($T$12))&amp;":T"&amp;(ROW()-1))))),Первоначальный[[#This Row],[Полученный платеж]]+Y74),
AND(S74=0,Первоначальный[[#This Row],[Дата платежа из графика]]=1),MIN(LOOKUP(,-1/($Z$12:Z75=1),$C$12:C75)+LOOKUP(,-1/($Z$12:Z75=1),$H$12:H75)-IF(Z74=1,0,SUM(INDIRECT("T"&amp;(MAX((1=Z$12:Z74)*ROW(Z$12:Z74)+1,ROW($T$12))&amp;":T"&amp;(ROW()-1))))),Первоначальный[[#This Row],[Полученный платеж]]+Y74),
AND(Z74&gt;0,Первоначальный[[#This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платеж]]+Y74),
AND(S74&gt;0,MAX((0&lt;&gt;S$12:S74)*ROW(S$12:S74),ROW($S$12))&gt;=MAX((1=Z$12:Z74)*ROW(Z$12:Z74),ROW($T$12)),TYPE(VLOOKUP("Да",(INDIRECT("AA"&amp;(MAX((1=Z$12:Z74)*ROW(Z$12:Z74),ROW($T$12))&amp;":AA"&amp;(ROW()-1)))),1,0))=16),MIN(LOOKUP(,-1/($Z$12:Z75=1),$C$12:C75)+LOOKUP(,-1/($Z$12:Z75=1),$H$12:H75)-SUM(INDIRECT("T"&amp;(MAX((1=Z$12:Z74)*ROW(Z$12:Z74),ROW($T$12))&amp;":T"&amp;(ROW()-1)))),Первоначальный[[#This Row],[Полученный платеж]]+Y74),
S74&gt;0,MIN(LOOKUP(,-1/($Z$12:Z75=1),$C$12:C75)+LOOKUP(,-1/($Z$12:Z75=1),$H$12:H75)-IF(Z74=1,0,SUM(INDIRECT("T"&amp;(MAX((1=Z$12:Z74)*ROW(Z$12:Z74)+1,ROW($T$12))&amp;":T"&amp;(ROW()-1))))),Первоначальный[[#This Row],[Полученный платеж]]+Y74)
)
)
)</f>
        <v>0</v>
      </c>
      <c r="U7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платеж]]+Y74-Первоначальный[[#This Row],[Полученный платёж по процентам]])</f>
        <v>0</v>
      </c>
      <c r="V75" s="55">
        <f t="shared" ca="1" si="0"/>
        <v>0</v>
      </c>
      <c r="W75" s="55" cm="1">
        <f t="array" aca="1" ref="W75" ca="1">IF(Первоначальный[[#This Row],[Итого остаток на начало периода]]&lt;1,0,
_xlfn.IFS(
AND(TYPE(VLOOKUP(1,$Z$12:Z75,1,0))=16,Первоначальный[[#This Row],[Досрочное погашение (да/"")]]=""),0,
AND(S74=0,Первоначальный[[#This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комиссиям]]),VLOOKUP(LOOKUP(,-1/($Z$12:Z75=1),$A$12:A75),График[[Срок конец]:[Возврат основной суммы долга]],3,0)),
AND(S74=0,Первоначальный[[#This Row],[Дата платежа из графика]]="",Первоначальный[[#This Row],[Досрочное погашение (да/"")]]&lt;&gt;"Да"),0,
AND(S74=0,Первоначальный[[#This Row],[Досрочное погашение (да/"")]]=""),MIN(Первоначальный[[#This Row],[Полученный платеж]]+Y74-SUM(Первоначальный[[#This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комиссиям]]),VLOOKUP(LOOKUP(,-1/($Z$12:Z75=1),$A$12:A75),График[[Срок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S74&gt;0,MIN(Первоначальный[[#This Row],[Полученный платеж]]+Y74-SUM(Первоначальный[[#This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комиссиям]]),SUM(INDIRECT("M"&amp;(MAX((1=S$12:S74)*ROW(S$12:S74),ROW($W$12))&amp;":M"&amp;(ROW()))))-SUM(INDIRECT("W"&amp;(MAX((1=S$12:S74)*ROW(S$12:S74),ROW($W$12))&amp;":W"&amp;(ROW()-1)))))
)
)</f>
        <v>0</v>
      </c>
      <c r="X75" s="55">
        <f t="shared" ca="1" si="1"/>
        <v>0</v>
      </c>
      <c r="Y75" s="101">
        <f t="shared" ca="1" si="9"/>
        <v>0</v>
      </c>
      <c r="Z75" s="133" t="str">
        <f>IF(TYPE((VLOOKUP(Первоначальный[[#This Row],[Дата платежа]],График[Срок конец],1,0)))=16,"",1)</f>
        <v/>
      </c>
      <c r="AA75" s="57"/>
      <c r="AB75" s="134"/>
      <c r="AC7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150000</v>
      </c>
      <c r="AD7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2598.9</v>
      </c>
      <c r="AE7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7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75" s="55"/>
      <c r="AI75" s="55"/>
      <c r="AJ75" s="55"/>
      <c r="AK75" s="101">
        <f t="shared" ca="1" si="10"/>
        <v>152598.9</v>
      </c>
      <c r="AL75" s="129">
        <f t="array" ref="AL75">MAX((УслРестрактов[Характеристика]="Дата реструктуризации")*(УслРестрактов[Значение]=Первоначальный!$A75),0)</f>
        <v>0</v>
      </c>
    </row>
    <row r="76" spans="1:38" x14ac:dyDescent="0.25">
      <c r="A76" s="97">
        <f t="shared" si="2"/>
        <v>44207</v>
      </c>
      <c r="B76" s="100">
        <f t="shared" ca="1" si="3"/>
        <v>150000</v>
      </c>
      <c r="C76" s="55">
        <f t="shared" ca="1" si="12"/>
        <v>2598.9</v>
      </c>
      <c r="D76" s="55">
        <f t="shared" ca="1" si="12"/>
        <v>0</v>
      </c>
      <c r="E76" s="55">
        <f t="shared" ca="1" si="5"/>
        <v>0</v>
      </c>
      <c r="F76" s="55">
        <f t="shared" ca="1" si="6"/>
        <v>0</v>
      </c>
      <c r="G76" s="101">
        <f t="shared" ca="1" si="7"/>
        <v>152598.9</v>
      </c>
      <c r="H76" s="100">
        <f ca="1">ROUND($B76*VLOOKUP($A76,$A$1:$B$10,2,1)/(365+IF(MOD(YEAR($A76),4),0,1)*($A76-$A75)),2)-Первоначальный[[#This Row],[Проценты на просроченный платеж по ОД за период]]</f>
        <v>81.78</v>
      </c>
      <c r="I76" s="55">
        <f t="shared" ca="1" si="8"/>
        <v>0</v>
      </c>
      <c r="J76" s="55">
        <v>0</v>
      </c>
      <c r="K76" s="55">
        <f t="shared" ca="1" si="11"/>
        <v>0</v>
      </c>
      <c r="L76" s="55">
        <v>0</v>
      </c>
      <c r="M76" s="113">
        <f>SUMIFS(График[Возврат основной суммы долга],График[Дата с учетом нерабочих дней],$A76)</f>
        <v>366.71000000000004</v>
      </c>
      <c r="N76" s="56">
        <f>SUMIFS(График[Возврат начисленных %],График[Дата с учетом нерабочих дней],$A76)</f>
        <v>2530.29</v>
      </c>
      <c r="O76" s="101">
        <v>2897</v>
      </c>
      <c r="P76" s="100" cm="1">
        <f t="array" aca="1" ref="P76" ca="1">MAX(IF(AA75="Да",0,SUM(INDIRECT("M"&amp;(MAX(("Да"=AA$12:AA75)*ROW(AA$12:AA75)+1,ROW($P$12))&amp;":M"&amp;(ROW()))))-SUM(INDIRECT("W"&amp;(MAX(("Да"=AA$12:AA75)*ROW(AA$12:AA75)+1,ROW($P$12))&amp;":W"&amp;(ROW()))))),0)</f>
        <v>4.9999999999727152E-2</v>
      </c>
      <c r="Q76" s="99">
        <f ca="1">MAX(SUM($N$13:N76)-SUM($T$13:T76),0)</f>
        <v>0</v>
      </c>
      <c r="R76" s="99">
        <f ca="1">Первоначальный[[#This Row],[Просроченный платеж по ОД]]+Первоначальный[[#This Row],[Просроченный платеж по процентам]]</f>
        <v>4.9999999999727152E-2</v>
      </c>
      <c r="S76" s="120">
        <f ca="1">IF(Первоначальный[[#This Row],[Просроченный платеж]]&lt;1,0,S75+1)</f>
        <v>0</v>
      </c>
      <c r="T76" s="100" cm="1">
        <f t="array" aca="1" ref="T76" ca="1">IF(Первоначальный[[#This Row],[Итого остаток на начало периода]]&lt;1,0,
IF(
AND(TYPE(VLOOKUP(1,$Z$12:Z76,1,0))=16,Первоначальный[[#This Row],[Досрочное погашение (да/"")]]=""),0,
_xlfn.IFS(AND(S75=0,Первоначальный[[#This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платеж]]&lt;&gt;0),MIN(LOOKUP(,-1/($Z$12:Z76=1),$C$12:C76)+LOOKUP(,-1/($Z$12:Z76=1),$H$12:H76),Первоначальный[[#This Row],[Полученный платеж]]+Y75),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платеж]]+Y75,SUM(Первоначальный[[#This Row],[Остаток процентов на начало периода]],Первоначальный[[#This Row],[Проценты за период]])),
AND(S75=0,Первоначальный[[#This Row],[Дата платежа из графика]]=""),0,
AND(S75=0,Первоначальный[[#This Row],[Дата платежа из графика]]=1,MAX((0&lt;&gt;S$12:S75)*ROW(S$12:S75),ROW($S$12))&gt;=MAX((1=Z$12:Z75)*ROW(Z$12:Z75),ROW($T$12)),TYPE(VLOOKUP("Да",(INDIRECT("AA"&amp;(MAX((1=Z$12:Z75)*ROW(Z$12:Z75),ROW($T$12))&amp;":AA"&amp;(ROW()-1)))),1,0))=16),MIN(LOOKUP(,-1/($Z$12:Z76=1),$C$12:C76)+LOOKUP(,-1/($Z$12:Z76=1),$H$12:H76),Первоначальный[[#This Row],[Полученный платеж]]+Y75),
AND(S75=0,TYPE(VLOOKUP("Да",(INDIRECT("AA"&amp;(MAX((1=Z$12:Z75)*ROW(Z$12:Z75),ROW($T$12))&amp;":AA"&amp;(ROW()-1)))),1,0))&lt;&gt;16),MIN(LOOKUP(,-1/($Z$12:Z76=1),$C$12:C76)+LOOKUP(,-1/($Z$12:Z76=1),$H$12:H76)-IF(AA75="Да",0,SUM(INDIRECT("T"&amp;(MAX(("Да"=AA$12:AA75)*ROW(AA$12:AA75)+1,ROW($T$12))&amp;":T"&amp;(ROW()-1))))),Первоначальный[[#This Row],[Полученный платеж]]+Y75),
AND(S75=0,MAX((0&lt;&gt;N$12:N75)*ROW(N$12:N75),ROW($S$12))&gt;=MAX((1=Z$12:Z75)*ROW(Z$12:Z75),ROW($T$12))),MIN(LOOKUP(,-1/($Z$12:Z76=1),$C$12:C76)+LOOKUP(,-1/($Z$12:Z76=1),$H$12:H76)-IF(N75&lt;&gt;0,0,SUM(INDIRECT("T"&amp;(MAX((0&lt;&gt;N$12:N75)*ROW(N$12:N75)+1,ROW($T$12))&amp;":T"&amp;(ROW()-1))))),Первоначальный[[#This Row],[Полученный платеж]]+Y75),
AND(S75=0,Первоначальный[[#This Row],[Дата платежа из графика]]=1),MIN(LOOKUP(,-1/($Z$12:Z76=1),$C$12:C76)+LOOKUP(,-1/($Z$12:Z76=1),$H$12:H76)-IF(Z75=1,0,SUM(INDIRECT("T"&amp;(MAX((1=Z$12:Z75)*ROW(Z$12:Z75)+1,ROW($T$12))&amp;":T"&amp;(ROW()-1))))),Первоначальный[[#This Row],[Полученный платеж]]+Y75),
AND(Z75&gt;0,Первоначальный[[#This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платеж]]+Y75),
AND(S75&gt;0,MAX((0&lt;&gt;S$12:S75)*ROW(S$12:S75),ROW($S$12))&gt;=MAX((1=Z$12:Z75)*ROW(Z$12:Z75),ROW($T$12)),TYPE(VLOOKUP("Да",(INDIRECT("AA"&amp;(MAX((1=Z$12:Z75)*ROW(Z$12:Z75),ROW($T$12))&amp;":AA"&amp;(ROW()-1)))),1,0))=16),MIN(LOOKUP(,-1/($Z$12:Z76=1),$C$12:C76)+LOOKUP(,-1/($Z$12:Z76=1),$H$12:H76)-SUM(INDIRECT("T"&amp;(MAX((1=Z$12:Z75)*ROW(Z$12:Z75),ROW($T$12))&amp;":T"&amp;(ROW()-1)))),Первоначальный[[#This Row],[Полученный платеж]]+Y75),
S75&gt;0,MIN(LOOKUP(,-1/($Z$12:Z76=1),$C$12:C76)+LOOKUP(,-1/($Z$12:Z76=1),$H$12:H76)-IF(Z75=1,0,SUM(INDIRECT("T"&amp;(MAX((1=Z$12:Z75)*ROW(Z$12:Z75)+1,ROW($T$12))&amp;":T"&amp;(ROW()-1))))),Первоначальный[[#This Row],[Полученный платеж]]+Y75)
)
)
)</f>
        <v>2530.3399999999997</v>
      </c>
      <c r="U7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платеж]]+Y75-Первоначальный[[#This Row],[Полученный платёж по процентам]])</f>
        <v>0</v>
      </c>
      <c r="V76" s="55">
        <f t="shared" ca="1" si="0"/>
        <v>0</v>
      </c>
      <c r="W76" s="55" cm="1">
        <f t="array" aca="1" ref="W76" ca="1">IF(Первоначальный[[#This Row],[Итого остаток на начало периода]]&lt;1,0,
_xlfn.IFS(
AND(TYPE(VLOOKUP(1,$Z$12:Z76,1,0))=16,Первоначальный[[#This Row],[Досрочное погашение (да/"")]]=""),0,
AND(S75=0,Первоначальный[[#This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комиссиям]]),VLOOKUP(LOOKUP(,-1/($Z$12:Z76=1),$A$12:A76),График[[Срок конец]:[Возврат основной суммы долга]],3,0)),
AND(S75=0,Первоначальный[[#This Row],[Дата платежа из графика]]="",Первоначальный[[#This Row],[Досрочное погашение (да/"")]]&lt;&gt;"Да"),0,
AND(S75=0,Первоначальный[[#This Row],[Досрочное погашение (да/"")]]=""),MIN(Первоначальный[[#This Row],[Полученный платеж]]+Y75-SUM(Первоначальный[[#This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комиссиям]]),VLOOKUP(LOOKUP(,-1/($Z$12:Z76=1),$A$12:A76),График[[Срок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S75&gt;0,MIN(Первоначальный[[#This Row],[Полученный платеж]]+Y75-SUM(Первоначальный[[#This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комиссиям]]),SUM(INDIRECT("M"&amp;(MAX((1=S$12:S75)*ROW(S$12:S75),ROW($W$12))&amp;":M"&amp;(ROW()))))-SUM(INDIRECT("W"&amp;(MAX((1=S$12:S75)*ROW(S$12:S75),ROW($W$12))&amp;":W"&amp;(ROW()-1)))))
)
)</f>
        <v>366.66000000000031</v>
      </c>
      <c r="X76" s="55">
        <f t="shared" ca="1" si="1"/>
        <v>0</v>
      </c>
      <c r="Y76" s="101">
        <f t="shared" ca="1" si="9"/>
        <v>0</v>
      </c>
      <c r="Z76" s="133" t="str">
        <f>IF(TYPE((VLOOKUP(Первоначальный[[#This Row],[Дата платежа]],График[Срок конец],1,0)))=16,"",1)</f>
        <v/>
      </c>
      <c r="AA76" s="57"/>
      <c r="AB76" s="134"/>
      <c r="AC7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150.3400000000006</v>
      </c>
      <c r="AE7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7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76" s="55"/>
      <c r="AI76" s="55"/>
      <c r="AJ76" s="55"/>
      <c r="AK76" s="101">
        <f t="shared" ca="1" si="10"/>
        <v>149783.67999999999</v>
      </c>
      <c r="AL76" s="129">
        <f t="array" ref="AL76">MAX((УслРестрактов[Характеристика]="Дата реструктуризации")*(УслРестрактов[Значение]=Первоначальный!$A76),0)</f>
        <v>0</v>
      </c>
    </row>
    <row r="77" spans="1:38" x14ac:dyDescent="0.25">
      <c r="A77" s="97">
        <f t="shared" si="2"/>
        <v>44208</v>
      </c>
      <c r="B77" s="100">
        <f t="shared" ca="1" si="3"/>
        <v>149633.34</v>
      </c>
      <c r="C77" s="55">
        <f t="shared" ca="1" si="12"/>
        <v>150.3400000000006</v>
      </c>
      <c r="D77" s="55">
        <f t="shared" ca="1" si="12"/>
        <v>0</v>
      </c>
      <c r="E77" s="55">
        <f t="shared" ca="1" si="5"/>
        <v>0</v>
      </c>
      <c r="F77" s="55">
        <f t="shared" ca="1" si="6"/>
        <v>0</v>
      </c>
      <c r="G77" s="101">
        <f t="shared" ca="1" si="7"/>
        <v>149783.67999999999</v>
      </c>
      <c r="H77" s="100">
        <f ca="1">ROUND($B77*VLOOKUP($A77,$A$1:$B$10,2,1)/(365+IF(MOD(YEAR($A77),4),0,1)*($A77-$A76)),2)-Первоначальный[[#This Row],[Проценты на просроченный платеж по ОД за период]]</f>
        <v>81.58</v>
      </c>
      <c r="I77" s="55">
        <f t="shared" ca="1" si="8"/>
        <v>0</v>
      </c>
      <c r="J77" s="55">
        <v>0</v>
      </c>
      <c r="K77" s="55">
        <f t="shared" ca="1" si="11"/>
        <v>0</v>
      </c>
      <c r="L77" s="55">
        <v>0</v>
      </c>
      <c r="M77" s="113">
        <f>SUMIFS(График[Возврат основной суммы долга],График[Дата с учетом нерабочих дней],$A77)</f>
        <v>0</v>
      </c>
      <c r="N77" s="56">
        <f>SUMIFS(График[Возврат начисленных %],График[Дата с учетом нерабочих дней],$A77)</f>
        <v>0</v>
      </c>
      <c r="O77" s="101">
        <v>0</v>
      </c>
      <c r="P77" s="100" cm="1">
        <f t="array" aca="1" ref="P77" ca="1">MAX(IF(AA76="Да",0,SUM(INDIRECT("M"&amp;(MAX(("Да"=AA$12:AA76)*ROW(AA$12:AA76)+1,ROW($P$12))&amp;":M"&amp;(ROW()))))-SUM(INDIRECT("W"&amp;(MAX(("Да"=AA$12:AA76)*ROW(AA$12:AA76)+1,ROW($P$12))&amp;":W"&amp;(ROW()))))),0)</f>
        <v>4.9999999999727152E-2</v>
      </c>
      <c r="Q77" s="99">
        <f ca="1">MAX(SUM($N$13:N77)-SUM($T$13:T77),0)</f>
        <v>0</v>
      </c>
      <c r="R77" s="99">
        <f ca="1">Первоначальный[[#This Row],[Просроченный платеж по ОД]]+Первоначальный[[#This Row],[Просроченный платеж по процентам]]</f>
        <v>4.9999999999727152E-2</v>
      </c>
      <c r="S77" s="120">
        <f ca="1">IF(Первоначальный[[#This Row],[Просроченный платеж]]&lt;1,0,S76+1)</f>
        <v>0</v>
      </c>
      <c r="T77" s="100" cm="1">
        <f t="array" aca="1" ref="T77" ca="1">IF(Первоначальный[[#This Row],[Итого остаток на начало периода]]&lt;1,0,
IF(
AND(TYPE(VLOOKUP(1,$Z$12:Z77,1,0))=16,Первоначальный[[#This Row],[Досрочное погашение (да/"")]]=""),0,
_xlfn.IFS(AND(S76=0,Первоначальный[[#This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платеж]]&lt;&gt;0),MIN(LOOKUP(,-1/($Z$12:Z77=1),$C$12:C77)+LOOKUP(,-1/($Z$12:Z77=1),$H$12:H77),Первоначальный[[#This Row],[Полученный платеж]]+Y76),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платеж]]+Y76,SUM(Первоначальный[[#This Row],[Остаток процентов на начало периода]],Первоначальный[[#This Row],[Проценты за период]])),
AND(S76=0,Первоначальный[[#This Row],[Дата платежа из графика]]=""),0,
AND(S76=0,Первоначальный[[#This Row],[Дата платежа из графика]]=1,MAX((0&lt;&gt;S$12:S76)*ROW(S$12:S76),ROW($S$12))&gt;=MAX((1=Z$12:Z76)*ROW(Z$12:Z76),ROW($T$12)),TYPE(VLOOKUP("Да",(INDIRECT("AA"&amp;(MAX((1=Z$12:Z76)*ROW(Z$12:Z76),ROW($T$12))&amp;":AA"&amp;(ROW()-1)))),1,0))=16),MIN(LOOKUP(,-1/($Z$12:Z77=1),$C$12:C77)+LOOKUP(,-1/($Z$12:Z77=1),$H$12:H77),Первоначальный[[#This Row],[Полученный платеж]]+Y76),
AND(S76=0,TYPE(VLOOKUP("Да",(INDIRECT("AA"&amp;(MAX((1=Z$12:Z76)*ROW(Z$12:Z76),ROW($T$12))&amp;":AA"&amp;(ROW()-1)))),1,0))&lt;&gt;16),MIN(LOOKUP(,-1/($Z$12:Z77=1),$C$12:C77)+LOOKUP(,-1/($Z$12:Z77=1),$H$12:H77)-IF(AA76="Да",0,SUM(INDIRECT("T"&amp;(MAX(("Да"=AA$12:AA76)*ROW(AA$12:AA76)+1,ROW($T$12))&amp;":T"&amp;(ROW()-1))))),Первоначальный[[#This Row],[Полученный платеж]]+Y76),
AND(S76=0,MAX((0&lt;&gt;N$12:N76)*ROW(N$12:N76),ROW($S$12))&gt;=MAX((1=Z$12:Z76)*ROW(Z$12:Z76),ROW($T$12))),MIN(LOOKUP(,-1/($Z$12:Z77=1),$C$12:C77)+LOOKUP(,-1/($Z$12:Z77=1),$H$12:H77)-IF(N76&lt;&gt;0,0,SUM(INDIRECT("T"&amp;(MAX((0&lt;&gt;N$12:N76)*ROW(N$12:N76)+1,ROW($T$12))&amp;":T"&amp;(ROW()-1))))),Первоначальный[[#This Row],[Полученный платеж]]+Y76),
AND(S76=0,Первоначальный[[#This Row],[Дата платежа из графика]]=1),MIN(LOOKUP(,-1/($Z$12:Z77=1),$C$12:C77)+LOOKUP(,-1/($Z$12:Z77=1),$H$12:H77)-IF(Z76=1,0,SUM(INDIRECT("T"&amp;(MAX((1=Z$12:Z76)*ROW(Z$12:Z76)+1,ROW($T$12))&amp;":T"&amp;(ROW()-1))))),Первоначальный[[#This Row],[Полученный платеж]]+Y76),
AND(Z76&gt;0,Первоначальный[[#This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платеж]]+Y76),
AND(S76&gt;0,MAX((0&lt;&gt;S$12:S76)*ROW(S$12:S76),ROW($S$12))&gt;=MAX((1=Z$12:Z76)*ROW(Z$12:Z76),ROW($T$12)),TYPE(VLOOKUP("Да",(INDIRECT("AA"&amp;(MAX((1=Z$12:Z76)*ROW(Z$12:Z76),ROW($T$12))&amp;":AA"&amp;(ROW()-1)))),1,0))=16),MIN(LOOKUP(,-1/($Z$12:Z77=1),$C$12:C77)+LOOKUP(,-1/($Z$12:Z77=1),$H$12:H77)-SUM(INDIRECT("T"&amp;(MAX((1=Z$12:Z76)*ROW(Z$12:Z76),ROW($T$12))&amp;":T"&amp;(ROW()-1)))),Первоначальный[[#This Row],[Полученный платеж]]+Y76),
S76&gt;0,MIN(LOOKUP(,-1/($Z$12:Z77=1),$C$12:C77)+LOOKUP(,-1/($Z$12:Z77=1),$H$12:H77)-IF(Z76=1,0,SUM(INDIRECT("T"&amp;(MAX((1=Z$12:Z76)*ROW(Z$12:Z76)+1,ROW($T$12))&amp;":T"&amp;(ROW()-1))))),Первоначальный[[#This Row],[Полученный платеж]]+Y76)
)
)
)</f>
        <v>0</v>
      </c>
      <c r="U7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платеж]]+Y76-Первоначальный[[#This Row],[Полученный платёж по процентам]])</f>
        <v>0</v>
      </c>
      <c r="V77" s="55">
        <f t="shared" ref="V77:V140" ca="1" si="13">MAX(MIN(SUM(O77,Y76)-SUM(T77:T77),SUM(E77,J77)),0)</f>
        <v>0</v>
      </c>
      <c r="W77" s="55" cm="1">
        <f t="array" aca="1" ref="W77" ca="1">IF(Первоначальный[[#This Row],[Итого остаток на начало периода]]&lt;1,0,
_xlfn.IFS(
AND(TYPE(VLOOKUP(1,$Z$12:Z77,1,0))=16,Первоначальный[[#This Row],[Досрочное погашение (да/"")]]=""),0,
AND(S76=0,Первоначальный[[#This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комиссиям]]),VLOOKUP(LOOKUP(,-1/($Z$12:Z77=1),$A$12:A77),График[[Срок конец]:[Возврат основной суммы долга]],3,0)),
AND(S76=0,Первоначальный[[#This Row],[Дата платежа из графика]]="",Первоначальный[[#This Row],[Досрочное погашение (да/"")]]&lt;&gt;"Да"),0,
AND(S76=0,Первоначальный[[#This Row],[Досрочное погашение (да/"")]]=""),MIN(Первоначальный[[#This Row],[Полученный платеж]]+Y76-SUM(Первоначальный[[#This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комиссиям]]),VLOOKUP(LOOKUP(,-1/($Z$12:Z77=1),$A$12:A77),График[[Срок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S76&gt;0,MIN(Первоначальный[[#This Row],[Полученный платеж]]+Y76-SUM(Первоначальный[[#This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комиссиям]]),SUM(INDIRECT("M"&amp;(MAX((1=S$12:S76)*ROW(S$12:S76),ROW($W$12))&amp;":M"&amp;(ROW()))))-SUM(INDIRECT("W"&amp;(MAX((1=S$12:S76)*ROW(S$12:S76),ROW($W$12))&amp;":W"&amp;(ROW()-1)))))
)
)</f>
        <v>0</v>
      </c>
      <c r="X77" s="55">
        <f t="shared" ref="X77:X140" ca="1" si="14">MAX(MIN(SUM(O77,Y76)-SUM(T77:W77),SUM(F77,K77)),0)</f>
        <v>0</v>
      </c>
      <c r="Y77" s="101">
        <f t="shared" ca="1" si="9"/>
        <v>0</v>
      </c>
      <c r="Z77" s="133" t="str">
        <f>IF(TYPE((VLOOKUP(Первоначальный[[#This Row],[Дата платежа]],График[Срок конец],1,0)))=16,"",1)</f>
        <v/>
      </c>
      <c r="AA77" s="57"/>
      <c r="AB77" s="134"/>
      <c r="AC7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231.92000000000058</v>
      </c>
      <c r="AE7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7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77" s="55"/>
      <c r="AI77" s="55"/>
      <c r="AJ77" s="55"/>
      <c r="AK77" s="101">
        <f t="shared" ca="1" si="10"/>
        <v>149865.26</v>
      </c>
      <c r="AL77" s="129">
        <f t="array" ref="AL77">MAX((УслРестрактов[Характеристика]="Дата реструктуризации")*(УслРестрактов[Значение]=Первоначальный!$A77),0)</f>
        <v>0</v>
      </c>
    </row>
    <row r="78" spans="1:38" x14ac:dyDescent="0.25">
      <c r="A78" s="97">
        <f t="shared" ref="A78:A141" si="15">A77+1</f>
        <v>44209</v>
      </c>
      <c r="B78" s="100">
        <f t="shared" ref="B78:B141" ca="1" si="16">AC77</f>
        <v>149633.34</v>
      </c>
      <c r="C78" s="55">
        <f t="shared" ca="1" si="12"/>
        <v>231.92000000000058</v>
      </c>
      <c r="D78" s="55">
        <f t="shared" ca="1" si="12"/>
        <v>0</v>
      </c>
      <c r="E78" s="55">
        <f t="shared" ref="E78:E141" ca="1" si="17">AF77</f>
        <v>0</v>
      </c>
      <c r="F78" s="55">
        <f t="shared" ref="F78:F141" ca="1" si="18">AG77+AH77</f>
        <v>0</v>
      </c>
      <c r="G78" s="101">
        <f t="shared" ref="G78:G141" ca="1" si="19">AK77</f>
        <v>149865.26</v>
      </c>
      <c r="H78" s="100">
        <f ca="1">ROUND($B78*VLOOKUP($A78,$A$1:$B$10,2,1)/(365+IF(MOD(YEAR($A78),4),0,1)*($A78-$A77)),2)-Первоначальный[[#This Row],[Проценты на просроченный платеж по ОД за период]]</f>
        <v>81.58</v>
      </c>
      <c r="I78" s="55">
        <f t="shared" ref="I78:I141" ca="1" si="20">ROUND(P77*VLOOKUP($A78,$A$1:$B$10,2,1)/(365+IF(MOD(YEAR($A78),4),0,1)*($A78-$A77)),2)</f>
        <v>0</v>
      </c>
      <c r="J78" s="55">
        <v>0</v>
      </c>
      <c r="K78" s="55">
        <f t="shared" ca="1" si="11"/>
        <v>0</v>
      </c>
      <c r="L78" s="55">
        <v>0</v>
      </c>
      <c r="M78" s="113">
        <f>SUMIFS(График[Возврат основной суммы долга],График[Дата с учетом нерабочих дней],$A78)</f>
        <v>0</v>
      </c>
      <c r="N78" s="56">
        <f>SUMIFS(График[Возврат начисленных %],График[Дата с учетом нерабочих дней],$A78)</f>
        <v>0</v>
      </c>
      <c r="O78" s="101">
        <v>0</v>
      </c>
      <c r="P78" s="100" cm="1">
        <f t="array" aca="1" ref="P78" ca="1">MAX(IF(AA77="Да",0,SUM(INDIRECT("M"&amp;(MAX(("Да"=AA$12:AA77)*ROW(AA$12:AA77)+1,ROW($P$12))&amp;":M"&amp;(ROW()))))-SUM(INDIRECT("W"&amp;(MAX(("Да"=AA$12:AA77)*ROW(AA$12:AA77)+1,ROW($P$12))&amp;":W"&amp;(ROW()))))),0)</f>
        <v>4.9999999999727152E-2</v>
      </c>
      <c r="Q78" s="99">
        <f ca="1">MAX(SUM($N$13:N78)-SUM($T$13:T78),0)</f>
        <v>0</v>
      </c>
      <c r="R78" s="99">
        <f ca="1">Первоначальный[[#This Row],[Просроченный платеж по ОД]]+Первоначальный[[#This Row],[Просроченный платеж по процентам]]</f>
        <v>4.9999999999727152E-2</v>
      </c>
      <c r="S78" s="120">
        <f ca="1">IF(Первоначальный[[#This Row],[Просроченный платеж]]&lt;1,0,S77+1)</f>
        <v>0</v>
      </c>
      <c r="T78" s="100" cm="1">
        <f t="array" aca="1" ref="T78" ca="1">IF(Первоначальный[[#This Row],[Итого остаток на начало периода]]&lt;1,0,
IF(
AND(TYPE(VLOOKUP(1,$Z$12:Z78,1,0))=16,Первоначальный[[#This Row],[Досрочное погашение (да/"")]]=""),0,
_xlfn.IFS(AND(S77=0,Первоначальный[[#This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платеж]]&lt;&gt;0),MIN(LOOKUP(,-1/($Z$12:Z78=1),$C$12:C78)+LOOKUP(,-1/($Z$12:Z78=1),$H$12:H78),Первоначальный[[#This Row],[Полученный платеж]]+Y77),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платеж]]+Y77,SUM(Первоначальный[[#This Row],[Остаток процентов на начало периода]],Первоначальный[[#This Row],[Проценты за период]])),
AND(S77=0,Первоначальный[[#This Row],[Дата платежа из графика]]=""),0,
AND(S77=0,Первоначальный[[#This Row],[Дата платежа из графика]]=1,MAX((0&lt;&gt;S$12:S77)*ROW(S$12:S77),ROW($S$12))&gt;=MAX((1=Z$12:Z77)*ROW(Z$12:Z77),ROW($T$12)),TYPE(VLOOKUP("Да",(INDIRECT("AA"&amp;(MAX((1=Z$12:Z77)*ROW(Z$12:Z77),ROW($T$12))&amp;":AA"&amp;(ROW()-1)))),1,0))=16),MIN(LOOKUP(,-1/($Z$12:Z78=1),$C$12:C78)+LOOKUP(,-1/($Z$12:Z78=1),$H$12:H78),Первоначальный[[#This Row],[Полученный платеж]]+Y77),
AND(S77=0,TYPE(VLOOKUP("Да",(INDIRECT("AA"&amp;(MAX((1=Z$12:Z77)*ROW(Z$12:Z77),ROW($T$12))&amp;":AA"&amp;(ROW()-1)))),1,0))&lt;&gt;16),MIN(LOOKUP(,-1/($Z$12:Z78=1),$C$12:C78)+LOOKUP(,-1/($Z$12:Z78=1),$H$12:H78)-IF(AA77="Да",0,SUM(INDIRECT("T"&amp;(MAX(("Да"=AA$12:AA77)*ROW(AA$12:AA77)+1,ROW($T$12))&amp;":T"&amp;(ROW()-1))))),Первоначальный[[#This Row],[Полученный платеж]]+Y77),
AND(S77=0,MAX((0&lt;&gt;N$12:N77)*ROW(N$12:N77),ROW($S$12))&gt;=MAX((1=Z$12:Z77)*ROW(Z$12:Z77),ROW($T$12))),MIN(LOOKUP(,-1/($Z$12:Z78=1),$C$12:C78)+LOOKUP(,-1/($Z$12:Z78=1),$H$12:H78)-IF(N77&lt;&gt;0,0,SUM(INDIRECT("T"&amp;(MAX((0&lt;&gt;N$12:N77)*ROW(N$12:N77)+1,ROW($T$12))&amp;":T"&amp;(ROW()-1))))),Первоначальный[[#This Row],[Полученный платеж]]+Y77),
AND(S77=0,Первоначальный[[#This Row],[Дата платежа из графика]]=1),MIN(LOOKUP(,-1/($Z$12:Z78=1),$C$12:C78)+LOOKUP(,-1/($Z$12:Z78=1),$H$12:H78)-IF(Z77=1,0,SUM(INDIRECT("T"&amp;(MAX((1=Z$12:Z77)*ROW(Z$12:Z77)+1,ROW($T$12))&amp;":T"&amp;(ROW()-1))))),Первоначальный[[#This Row],[Полученный платеж]]+Y77),
AND(Z77&gt;0,Первоначальный[[#This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платеж]]+Y77),
AND(S77&gt;0,MAX((0&lt;&gt;S$12:S77)*ROW(S$12:S77),ROW($S$12))&gt;=MAX((1=Z$12:Z77)*ROW(Z$12:Z77),ROW($T$12)),TYPE(VLOOKUP("Да",(INDIRECT("AA"&amp;(MAX((1=Z$12:Z77)*ROW(Z$12:Z77),ROW($T$12))&amp;":AA"&amp;(ROW()-1)))),1,0))=16),MIN(LOOKUP(,-1/($Z$12:Z78=1),$C$12:C78)+LOOKUP(,-1/($Z$12:Z78=1),$H$12:H78)-SUM(INDIRECT("T"&amp;(MAX((1=Z$12:Z77)*ROW(Z$12:Z77),ROW($T$12))&amp;":T"&amp;(ROW()-1)))),Первоначальный[[#This Row],[Полученный платеж]]+Y77),
S77&gt;0,MIN(LOOKUP(,-1/($Z$12:Z78=1),$C$12:C78)+LOOKUP(,-1/($Z$12:Z78=1),$H$12:H78)-IF(Z77=1,0,SUM(INDIRECT("T"&amp;(MAX((1=Z$12:Z77)*ROW(Z$12:Z77)+1,ROW($T$12))&amp;":T"&amp;(ROW()-1))))),Первоначальный[[#This Row],[Полученный платеж]]+Y77)
)
)
)</f>
        <v>0</v>
      </c>
      <c r="U7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платеж]]+Y77-Первоначальный[[#This Row],[Полученный платёж по процентам]])</f>
        <v>0</v>
      </c>
      <c r="V78" s="55">
        <f t="shared" ca="1" si="13"/>
        <v>0</v>
      </c>
      <c r="W78" s="55" cm="1">
        <f t="array" aca="1" ref="W78" ca="1">IF(Первоначальный[[#This Row],[Итого остаток на начало периода]]&lt;1,0,
_xlfn.IFS(
AND(TYPE(VLOOKUP(1,$Z$12:Z78,1,0))=16,Первоначальный[[#This Row],[Досрочное погашение (да/"")]]=""),0,
AND(S77=0,Первоначальный[[#This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комиссиям]]),VLOOKUP(LOOKUP(,-1/($Z$12:Z78=1),$A$12:A78),График[[Срок конец]:[Возврат основной суммы долга]],3,0)),
AND(S77=0,Первоначальный[[#This Row],[Дата платежа из графика]]="",Первоначальный[[#This Row],[Досрочное погашение (да/"")]]&lt;&gt;"Да"),0,
AND(S77=0,Первоначальный[[#This Row],[Досрочное погашение (да/"")]]=""),MIN(Первоначальный[[#This Row],[Полученный платеж]]+Y77-SUM(Первоначальный[[#This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комиссиям]]),VLOOKUP(LOOKUP(,-1/($Z$12:Z78=1),$A$12:A78),График[[Срок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S77&gt;0,MIN(Первоначальный[[#This Row],[Полученный платеж]]+Y77-SUM(Первоначальный[[#This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комиссиям]]),SUM(INDIRECT("M"&amp;(MAX((1=S$12:S77)*ROW(S$12:S77),ROW($W$12))&amp;":M"&amp;(ROW()))))-SUM(INDIRECT("W"&amp;(MAX((1=S$12:S77)*ROW(S$12:S77),ROW($W$12))&amp;":W"&amp;(ROW()-1)))))
)
)</f>
        <v>0</v>
      </c>
      <c r="X78" s="55">
        <f t="shared" ca="1" si="14"/>
        <v>0</v>
      </c>
      <c r="Y78" s="101">
        <f t="shared" ref="Y78:Y141" ca="1" si="21">ROUND(Y77+O78-SUM(T78:X78),2)</f>
        <v>0</v>
      </c>
      <c r="Z78" s="133" t="str">
        <f>IF(TYPE((VLOOKUP(Первоначальный[[#This Row],[Дата платежа]],График[Срок конец],1,0)))=16,"",1)</f>
        <v/>
      </c>
      <c r="AA78" s="57"/>
      <c r="AB78" s="134"/>
      <c r="AC7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313.50000000000057</v>
      </c>
      <c r="AE7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7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78" s="55"/>
      <c r="AI78" s="55"/>
      <c r="AJ78" s="55"/>
      <c r="AK78" s="101">
        <f t="shared" ref="AK78:AK141" ca="1" si="22">SUM(AC78:AJ78)</f>
        <v>149946.84</v>
      </c>
      <c r="AL78" s="129">
        <f t="array" ref="AL78">MAX((УслРестрактов[Характеристика]="Дата реструктуризации")*(УслРестрактов[Значение]=Первоначальный!$A78),0)</f>
        <v>0</v>
      </c>
    </row>
    <row r="79" spans="1:38" x14ac:dyDescent="0.25">
      <c r="A79" s="97">
        <f t="shared" si="15"/>
        <v>44210</v>
      </c>
      <c r="B79" s="100">
        <f t="shared" ca="1" si="16"/>
        <v>149633.34</v>
      </c>
      <c r="C79" s="55">
        <f t="shared" ca="1" si="12"/>
        <v>313.50000000000057</v>
      </c>
      <c r="D79" s="55">
        <f t="shared" ca="1" si="12"/>
        <v>0</v>
      </c>
      <c r="E79" s="55">
        <f t="shared" ca="1" si="17"/>
        <v>0</v>
      </c>
      <c r="F79" s="55">
        <f t="shared" ca="1" si="18"/>
        <v>0</v>
      </c>
      <c r="G79" s="101">
        <f t="shared" ca="1" si="19"/>
        <v>149946.84</v>
      </c>
      <c r="H79" s="100">
        <f ca="1">ROUND($B79*VLOOKUP($A79,$A$1:$B$10,2,1)/(365+IF(MOD(YEAR($A79),4),0,1)*($A79-$A78)),2)-Первоначальный[[#This Row],[Проценты на просроченный платеж по ОД за период]]</f>
        <v>81.58</v>
      </c>
      <c r="I79" s="55">
        <f t="shared" ca="1" si="20"/>
        <v>0</v>
      </c>
      <c r="J79" s="55">
        <v>0</v>
      </c>
      <c r="K79" s="55">
        <f t="shared" ref="K79:K142" ca="1" si="23">IF(S79&lt;&gt;0,R79*$B$7,0)</f>
        <v>0</v>
      </c>
      <c r="L79" s="55">
        <v>0</v>
      </c>
      <c r="M79" s="113">
        <f>SUMIFS(График[Возврат основной суммы долга],График[Дата с учетом нерабочих дней],$A79)</f>
        <v>0</v>
      </c>
      <c r="N79" s="56">
        <f>SUMIFS(График[Возврат начисленных %],График[Дата с учетом нерабочих дней],$A79)</f>
        <v>0</v>
      </c>
      <c r="O79" s="101">
        <v>0</v>
      </c>
      <c r="P79" s="100" cm="1">
        <f t="array" aca="1" ref="P79" ca="1">MAX(IF(AA78="Да",0,SUM(INDIRECT("M"&amp;(MAX(("Да"=AA$12:AA78)*ROW(AA$12:AA78)+1,ROW($P$12))&amp;":M"&amp;(ROW()))))-SUM(INDIRECT("W"&amp;(MAX(("Да"=AA$12:AA78)*ROW(AA$12:AA78)+1,ROW($P$12))&amp;":W"&amp;(ROW()))))),0)</f>
        <v>4.9999999999727152E-2</v>
      </c>
      <c r="Q79" s="99">
        <f ca="1">MAX(SUM($N$13:N79)-SUM($T$13:T79),0)</f>
        <v>0</v>
      </c>
      <c r="R79" s="99">
        <f ca="1">Первоначальный[[#This Row],[Просроченный платеж по ОД]]+Первоначальный[[#This Row],[Просроченный платеж по процентам]]</f>
        <v>4.9999999999727152E-2</v>
      </c>
      <c r="S79" s="120">
        <f ca="1">IF(Первоначальный[[#This Row],[Просроченный платеж]]&lt;1,0,S78+1)</f>
        <v>0</v>
      </c>
      <c r="T79" s="100" cm="1">
        <f t="array" aca="1" ref="T79" ca="1">IF(Первоначальный[[#This Row],[Итого остаток на начало периода]]&lt;1,0,
IF(
AND(TYPE(VLOOKUP(1,$Z$12:Z79,1,0))=16,Первоначальный[[#This Row],[Досрочное погашение (да/"")]]=""),0,
_xlfn.IFS(AND(S78=0,Первоначальный[[#This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платеж]]&lt;&gt;0),MIN(LOOKUP(,-1/($Z$12:Z79=1),$C$12:C79)+LOOKUP(,-1/($Z$12:Z79=1),$H$12:H79),Первоначальный[[#This Row],[Полученный платеж]]+Y78),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платеж]]+Y78,SUM(Первоначальный[[#This Row],[Остаток процентов на начало периода]],Первоначальный[[#This Row],[Проценты за период]])),
AND(S78=0,Первоначальный[[#This Row],[Дата платежа из графика]]=""),0,
AND(S78=0,Первоначальный[[#This Row],[Дата платежа из графика]]=1,MAX((0&lt;&gt;S$12:S78)*ROW(S$12:S78),ROW($S$12))&gt;=MAX((1=Z$12:Z78)*ROW(Z$12:Z78),ROW($T$12)),TYPE(VLOOKUP("Да",(INDIRECT("AA"&amp;(MAX((1=Z$12:Z78)*ROW(Z$12:Z78),ROW($T$12))&amp;":AA"&amp;(ROW()-1)))),1,0))=16),MIN(LOOKUP(,-1/($Z$12:Z79=1),$C$12:C79)+LOOKUP(,-1/($Z$12:Z79=1),$H$12:H79),Первоначальный[[#This Row],[Полученный платеж]]+Y78),
AND(S78=0,TYPE(VLOOKUP("Да",(INDIRECT("AA"&amp;(MAX((1=Z$12:Z78)*ROW(Z$12:Z78),ROW($T$12))&amp;":AA"&amp;(ROW()-1)))),1,0))&lt;&gt;16),MIN(LOOKUP(,-1/($Z$12:Z79=1),$C$12:C79)+LOOKUP(,-1/($Z$12:Z79=1),$H$12:H79)-IF(AA78="Да",0,SUM(INDIRECT("T"&amp;(MAX(("Да"=AA$12:AA78)*ROW(AA$12:AA78)+1,ROW($T$12))&amp;":T"&amp;(ROW()-1))))),Первоначальный[[#This Row],[Полученный платеж]]+Y78),
AND(S78=0,MAX((0&lt;&gt;N$12:N78)*ROW(N$12:N78),ROW($S$12))&gt;=MAX((1=Z$12:Z78)*ROW(Z$12:Z78),ROW($T$12))),MIN(LOOKUP(,-1/($Z$12:Z79=1),$C$12:C79)+LOOKUP(,-1/($Z$12:Z79=1),$H$12:H79)-IF(N78&lt;&gt;0,0,SUM(INDIRECT("T"&amp;(MAX((0&lt;&gt;N$12:N78)*ROW(N$12:N78)+1,ROW($T$12))&amp;":T"&amp;(ROW()-1))))),Первоначальный[[#This Row],[Полученный платеж]]+Y78),
AND(S78=0,Первоначальный[[#This Row],[Дата платежа из графика]]=1),MIN(LOOKUP(,-1/($Z$12:Z79=1),$C$12:C79)+LOOKUP(,-1/($Z$12:Z79=1),$H$12:H79)-IF(Z78=1,0,SUM(INDIRECT("T"&amp;(MAX((1=Z$12:Z78)*ROW(Z$12:Z78)+1,ROW($T$12))&amp;":T"&amp;(ROW()-1))))),Первоначальный[[#This Row],[Полученный платеж]]+Y78),
AND(Z78&gt;0,Первоначальный[[#This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платеж]]+Y78),
AND(S78&gt;0,MAX((0&lt;&gt;S$12:S78)*ROW(S$12:S78),ROW($S$12))&gt;=MAX((1=Z$12:Z78)*ROW(Z$12:Z78),ROW($T$12)),TYPE(VLOOKUP("Да",(INDIRECT("AA"&amp;(MAX((1=Z$12:Z78)*ROW(Z$12:Z78),ROW($T$12))&amp;":AA"&amp;(ROW()-1)))),1,0))=16),MIN(LOOKUP(,-1/($Z$12:Z79=1),$C$12:C79)+LOOKUP(,-1/($Z$12:Z79=1),$H$12:H79)-SUM(INDIRECT("T"&amp;(MAX((1=Z$12:Z78)*ROW(Z$12:Z78),ROW($T$12))&amp;":T"&amp;(ROW()-1)))),Первоначальный[[#This Row],[Полученный платеж]]+Y78),
S78&gt;0,MIN(LOOKUP(,-1/($Z$12:Z79=1),$C$12:C79)+LOOKUP(,-1/($Z$12:Z79=1),$H$12:H79)-IF(Z78=1,0,SUM(INDIRECT("T"&amp;(MAX((1=Z$12:Z78)*ROW(Z$12:Z78)+1,ROW($T$12))&amp;":T"&amp;(ROW()-1))))),Первоначальный[[#This Row],[Полученный платеж]]+Y78)
)
)
)</f>
        <v>0</v>
      </c>
      <c r="U7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платеж]]+Y78-Первоначальный[[#This Row],[Полученный платёж по процентам]])</f>
        <v>0</v>
      </c>
      <c r="V79" s="55">
        <f t="shared" ca="1" si="13"/>
        <v>0</v>
      </c>
      <c r="W79" s="55" cm="1">
        <f t="array" aca="1" ref="W79" ca="1">IF(Первоначальный[[#This Row],[Итого остаток на начало периода]]&lt;1,0,
_xlfn.IFS(
AND(TYPE(VLOOKUP(1,$Z$12:Z79,1,0))=16,Первоначальный[[#This Row],[Досрочное погашение (да/"")]]=""),0,
AND(S78=0,Первоначальный[[#This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комиссиям]]),VLOOKUP(LOOKUP(,-1/($Z$12:Z79=1),$A$12:A79),График[[Срок конец]:[Возврат основной суммы долга]],3,0)),
AND(S78=0,Первоначальный[[#This Row],[Дата платежа из графика]]="",Первоначальный[[#This Row],[Досрочное погашение (да/"")]]&lt;&gt;"Да"),0,
AND(S78=0,Первоначальный[[#This Row],[Досрочное погашение (да/"")]]=""),MIN(Первоначальный[[#This Row],[Полученный платеж]]+Y78-SUM(Первоначальный[[#This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комиссиям]]),VLOOKUP(LOOKUP(,-1/($Z$12:Z79=1),$A$12:A79),График[[Срок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S78&gt;0,MIN(Первоначальный[[#This Row],[Полученный платеж]]+Y78-SUM(Первоначальный[[#This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комиссиям]]),SUM(INDIRECT("M"&amp;(MAX((1=S$12:S78)*ROW(S$12:S78),ROW($W$12))&amp;":M"&amp;(ROW()))))-SUM(INDIRECT("W"&amp;(MAX((1=S$12:S78)*ROW(S$12:S78),ROW($W$12))&amp;":W"&amp;(ROW()-1)))))
)
)</f>
        <v>0</v>
      </c>
      <c r="X79" s="55">
        <f t="shared" ca="1" si="14"/>
        <v>0</v>
      </c>
      <c r="Y79" s="101">
        <f t="shared" ca="1" si="21"/>
        <v>0</v>
      </c>
      <c r="Z79" s="133" t="str">
        <f>IF(TYPE((VLOOKUP(Первоначальный[[#This Row],[Дата платежа]],График[Срок конец],1,0)))=16,"",1)</f>
        <v/>
      </c>
      <c r="AA79" s="57"/>
      <c r="AB79" s="134"/>
      <c r="AC7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395.08000000000055</v>
      </c>
      <c r="AE7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7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79" s="55"/>
      <c r="AI79" s="55"/>
      <c r="AJ79" s="55"/>
      <c r="AK79" s="101">
        <f t="shared" ca="1" si="22"/>
        <v>150028.41999999998</v>
      </c>
      <c r="AL79" s="129">
        <f t="array" ref="AL79">MAX((УслРестрактов[Характеристика]="Дата реструктуризации")*(УслРестрактов[Значение]=Первоначальный!$A79),0)</f>
        <v>0</v>
      </c>
    </row>
    <row r="80" spans="1:38" x14ac:dyDescent="0.25">
      <c r="A80" s="97">
        <f t="shared" si="15"/>
        <v>44211</v>
      </c>
      <c r="B80" s="100">
        <f t="shared" ca="1" si="16"/>
        <v>149633.34</v>
      </c>
      <c r="C80" s="55">
        <f t="shared" ca="1" si="12"/>
        <v>395.08000000000055</v>
      </c>
      <c r="D80" s="55">
        <f t="shared" ca="1" si="12"/>
        <v>0</v>
      </c>
      <c r="E80" s="55">
        <f t="shared" ca="1" si="17"/>
        <v>0</v>
      </c>
      <c r="F80" s="55">
        <f t="shared" ca="1" si="18"/>
        <v>0</v>
      </c>
      <c r="G80" s="101">
        <f t="shared" ca="1" si="19"/>
        <v>150028.41999999998</v>
      </c>
      <c r="H80" s="100">
        <f ca="1">ROUND($B80*VLOOKUP($A80,$A$1:$B$10,2,1)/(365+IF(MOD(YEAR($A80),4),0,1)*($A80-$A79)),2)-Первоначальный[[#This Row],[Проценты на просроченный платеж по ОД за период]]</f>
        <v>81.58</v>
      </c>
      <c r="I80" s="55">
        <f t="shared" ca="1" si="20"/>
        <v>0</v>
      </c>
      <c r="J80" s="55">
        <v>0</v>
      </c>
      <c r="K80" s="55">
        <f t="shared" ca="1" si="23"/>
        <v>0</v>
      </c>
      <c r="L80" s="55">
        <v>0</v>
      </c>
      <c r="M80" s="113">
        <f>SUMIFS(График[Возврат основной суммы долга],График[Дата с учетом нерабочих дней],$A80)</f>
        <v>0</v>
      </c>
      <c r="N80" s="56">
        <f>SUMIFS(График[Возврат начисленных %],График[Дата с учетом нерабочих дней],$A80)</f>
        <v>0</v>
      </c>
      <c r="O80" s="101">
        <v>0</v>
      </c>
      <c r="P80" s="100" cm="1">
        <f t="array" aca="1" ref="P80" ca="1">MAX(IF(AA79="Да",0,SUM(INDIRECT("M"&amp;(MAX(("Да"=AA$12:AA79)*ROW(AA$12:AA79)+1,ROW($P$12))&amp;":M"&amp;(ROW()))))-SUM(INDIRECT("W"&amp;(MAX(("Да"=AA$12:AA79)*ROW(AA$12:AA79)+1,ROW($P$12))&amp;":W"&amp;(ROW()))))),0)</f>
        <v>4.9999999999727152E-2</v>
      </c>
      <c r="Q80" s="99">
        <f ca="1">MAX(SUM($N$13:N80)-SUM($T$13:T80),0)</f>
        <v>0</v>
      </c>
      <c r="R80" s="99">
        <f ca="1">Первоначальный[[#This Row],[Просроченный платеж по ОД]]+Первоначальный[[#This Row],[Просроченный платеж по процентам]]</f>
        <v>4.9999999999727152E-2</v>
      </c>
      <c r="S80" s="120">
        <f ca="1">IF(Первоначальный[[#This Row],[Просроченный платеж]]&lt;1,0,S79+1)</f>
        <v>0</v>
      </c>
      <c r="T80" s="100" cm="1">
        <f t="array" aca="1" ref="T80" ca="1">IF(Первоначальный[[#This Row],[Итого остаток на начало периода]]&lt;1,0,
IF(
AND(TYPE(VLOOKUP(1,$Z$12:Z80,1,0))=16,Первоначальный[[#This Row],[Досрочное погашение (да/"")]]=""),0,
_xlfn.IFS(AND(S79=0,Первоначальный[[#This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платеж]]&lt;&gt;0),MIN(LOOKUP(,-1/($Z$12:Z80=1),$C$12:C80)+LOOKUP(,-1/($Z$12:Z80=1),$H$12:H80),Первоначальный[[#This Row],[Полученный платеж]]+Y79),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платеж]]+Y79,SUM(Первоначальный[[#This Row],[Остаток процентов на начало периода]],Первоначальный[[#This Row],[Проценты за период]])),
AND(S79=0,Первоначальный[[#This Row],[Дата платежа из графика]]=""),0,
AND(S79=0,Первоначальный[[#This Row],[Дата платежа из графика]]=1,MAX((0&lt;&gt;S$12:S79)*ROW(S$12:S79),ROW($S$12))&gt;=MAX((1=Z$12:Z79)*ROW(Z$12:Z79),ROW($T$12)),TYPE(VLOOKUP("Да",(INDIRECT("AA"&amp;(MAX((1=Z$12:Z79)*ROW(Z$12:Z79),ROW($T$12))&amp;":AA"&amp;(ROW()-1)))),1,0))=16),MIN(LOOKUP(,-1/($Z$12:Z80=1),$C$12:C80)+LOOKUP(,-1/($Z$12:Z80=1),$H$12:H80),Первоначальный[[#This Row],[Полученный платеж]]+Y79),
AND(S79=0,TYPE(VLOOKUP("Да",(INDIRECT("AA"&amp;(MAX((1=Z$12:Z79)*ROW(Z$12:Z79),ROW($T$12))&amp;":AA"&amp;(ROW()-1)))),1,0))&lt;&gt;16),MIN(LOOKUP(,-1/($Z$12:Z80=1),$C$12:C80)+LOOKUP(,-1/($Z$12:Z80=1),$H$12:H80)-IF(AA79="Да",0,SUM(INDIRECT("T"&amp;(MAX(("Да"=AA$12:AA79)*ROW(AA$12:AA79)+1,ROW($T$12))&amp;":T"&amp;(ROW()-1))))),Первоначальный[[#This Row],[Полученный платеж]]+Y79),
AND(S79=0,MAX((0&lt;&gt;N$12:N79)*ROW(N$12:N79),ROW($S$12))&gt;=MAX((1=Z$12:Z79)*ROW(Z$12:Z79),ROW($T$12))),MIN(LOOKUP(,-1/($Z$12:Z80=1),$C$12:C80)+LOOKUP(,-1/($Z$12:Z80=1),$H$12:H80)-IF(N79&lt;&gt;0,0,SUM(INDIRECT("T"&amp;(MAX((0&lt;&gt;N$12:N79)*ROW(N$12:N79)+1,ROW($T$12))&amp;":T"&amp;(ROW()-1))))),Первоначальный[[#This Row],[Полученный платеж]]+Y79),
AND(S79=0,Первоначальный[[#This Row],[Дата платежа из графика]]=1),MIN(LOOKUP(,-1/($Z$12:Z80=1),$C$12:C80)+LOOKUP(,-1/($Z$12:Z80=1),$H$12:H80)-IF(Z79=1,0,SUM(INDIRECT("T"&amp;(MAX((1=Z$12:Z79)*ROW(Z$12:Z79)+1,ROW($T$12))&amp;":T"&amp;(ROW()-1))))),Первоначальный[[#This Row],[Полученный платеж]]+Y79),
AND(Z79&gt;0,Первоначальный[[#This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платеж]]+Y79),
AND(S79&gt;0,MAX((0&lt;&gt;S$12:S79)*ROW(S$12:S79),ROW($S$12))&gt;=MAX((1=Z$12:Z79)*ROW(Z$12:Z79),ROW($T$12)),TYPE(VLOOKUP("Да",(INDIRECT("AA"&amp;(MAX((1=Z$12:Z79)*ROW(Z$12:Z79),ROW($T$12))&amp;":AA"&amp;(ROW()-1)))),1,0))=16),MIN(LOOKUP(,-1/($Z$12:Z80=1),$C$12:C80)+LOOKUP(,-1/($Z$12:Z80=1),$H$12:H80)-SUM(INDIRECT("T"&amp;(MAX((1=Z$12:Z79)*ROW(Z$12:Z79),ROW($T$12))&amp;":T"&amp;(ROW()-1)))),Первоначальный[[#This Row],[Полученный платеж]]+Y79),
S79&gt;0,MIN(LOOKUP(,-1/($Z$12:Z80=1),$C$12:C80)+LOOKUP(,-1/($Z$12:Z80=1),$H$12:H80)-IF(Z79=1,0,SUM(INDIRECT("T"&amp;(MAX((1=Z$12:Z79)*ROW(Z$12:Z79)+1,ROW($T$12))&amp;":T"&amp;(ROW()-1))))),Первоначальный[[#This Row],[Полученный платеж]]+Y79)
)
)
)</f>
        <v>0</v>
      </c>
      <c r="U8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платеж]]+Y79-Первоначальный[[#This Row],[Полученный платёж по процентам]])</f>
        <v>0</v>
      </c>
      <c r="V80" s="55">
        <f t="shared" ca="1" si="13"/>
        <v>0</v>
      </c>
      <c r="W80" s="55" cm="1">
        <f t="array" aca="1" ref="W80" ca="1">IF(Первоначальный[[#This Row],[Итого остаток на начало периода]]&lt;1,0,
_xlfn.IFS(
AND(TYPE(VLOOKUP(1,$Z$12:Z80,1,0))=16,Первоначальный[[#This Row],[Досрочное погашение (да/"")]]=""),0,
AND(S79=0,Первоначальный[[#This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комиссиям]]),VLOOKUP(LOOKUP(,-1/($Z$12:Z80=1),$A$12:A80),График[[Срок конец]:[Возврат основной суммы долга]],3,0)),
AND(S79=0,Первоначальный[[#This Row],[Дата платежа из графика]]="",Первоначальный[[#This Row],[Досрочное погашение (да/"")]]&lt;&gt;"Да"),0,
AND(S79=0,Первоначальный[[#This Row],[Досрочное погашение (да/"")]]=""),MIN(Первоначальный[[#This Row],[Полученный платеж]]+Y79-SUM(Первоначальный[[#This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комиссиям]]),VLOOKUP(LOOKUP(,-1/($Z$12:Z80=1),$A$12:A80),График[[Срок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S79&gt;0,MIN(Первоначальный[[#This Row],[Полученный платеж]]+Y79-SUM(Первоначальный[[#This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комиссиям]]),SUM(INDIRECT("M"&amp;(MAX((1=S$12:S79)*ROW(S$12:S79),ROW($W$12))&amp;":M"&amp;(ROW()))))-SUM(INDIRECT("W"&amp;(MAX((1=S$12:S79)*ROW(S$12:S79),ROW($W$12))&amp;":W"&amp;(ROW()-1)))))
)
)</f>
        <v>0</v>
      </c>
      <c r="X80" s="55">
        <f t="shared" ca="1" si="14"/>
        <v>0</v>
      </c>
      <c r="Y80" s="101">
        <f t="shared" ca="1" si="21"/>
        <v>0</v>
      </c>
      <c r="Z80" s="133" t="str">
        <f>IF(TYPE((VLOOKUP(Первоначальный[[#This Row],[Дата платежа]],График[Срок конец],1,0)))=16,"",1)</f>
        <v/>
      </c>
      <c r="AA80" s="57"/>
      <c r="AB80" s="134"/>
      <c r="AC8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476.66000000000054</v>
      </c>
      <c r="AE8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8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80" s="55"/>
      <c r="AI80" s="55"/>
      <c r="AJ80" s="55"/>
      <c r="AK80" s="101">
        <f t="shared" ca="1" si="22"/>
        <v>150110</v>
      </c>
      <c r="AL80" s="129">
        <f t="array" ref="AL80">MAX((УслРестрактов[Характеристика]="Дата реструктуризации")*(УслРестрактов[Значение]=Первоначальный!$A80),0)</f>
        <v>0</v>
      </c>
    </row>
    <row r="81" spans="1:38" x14ac:dyDescent="0.25">
      <c r="A81" s="97">
        <f t="shared" si="15"/>
        <v>44212</v>
      </c>
      <c r="B81" s="100">
        <f t="shared" ca="1" si="16"/>
        <v>149633.34</v>
      </c>
      <c r="C81" s="55">
        <f t="shared" ca="1" si="12"/>
        <v>476.66000000000054</v>
      </c>
      <c r="D81" s="55">
        <f t="shared" ca="1" si="12"/>
        <v>0</v>
      </c>
      <c r="E81" s="55">
        <f t="shared" ca="1" si="17"/>
        <v>0</v>
      </c>
      <c r="F81" s="55">
        <f t="shared" ca="1" si="18"/>
        <v>0</v>
      </c>
      <c r="G81" s="101">
        <f t="shared" ca="1" si="19"/>
        <v>150110</v>
      </c>
      <c r="H81" s="100">
        <f ca="1">ROUND($B81*VLOOKUP($A81,$A$1:$B$10,2,1)/(365+IF(MOD(YEAR($A81),4),0,1)*($A81-$A80)),2)-Первоначальный[[#This Row],[Проценты на просроченный платеж по ОД за период]]</f>
        <v>81.58</v>
      </c>
      <c r="I81" s="55">
        <f t="shared" ca="1" si="20"/>
        <v>0</v>
      </c>
      <c r="J81" s="55">
        <v>0</v>
      </c>
      <c r="K81" s="55">
        <f t="shared" ca="1" si="23"/>
        <v>0</v>
      </c>
      <c r="L81" s="55">
        <v>0</v>
      </c>
      <c r="M81" s="113">
        <f>SUMIFS(График[Возврат основной суммы долга],График[Дата с учетом нерабочих дней],$A81)</f>
        <v>0</v>
      </c>
      <c r="N81" s="56">
        <f>SUMIFS(График[Возврат начисленных %],График[Дата с учетом нерабочих дней],$A81)</f>
        <v>0</v>
      </c>
      <c r="O81" s="101">
        <v>0</v>
      </c>
      <c r="P81" s="100" cm="1">
        <f t="array" aca="1" ref="P81" ca="1">MAX(IF(AA80="Да",0,SUM(INDIRECT("M"&amp;(MAX(("Да"=AA$12:AA80)*ROW(AA$12:AA80)+1,ROW($P$12))&amp;":M"&amp;(ROW()))))-SUM(INDIRECT("W"&amp;(MAX(("Да"=AA$12:AA80)*ROW(AA$12:AA80)+1,ROW($P$12))&amp;":W"&amp;(ROW()))))),0)</f>
        <v>4.9999999999727152E-2</v>
      </c>
      <c r="Q81" s="99">
        <f ca="1">MAX(SUM($N$13:N81)-SUM($T$13:T81),0)</f>
        <v>0</v>
      </c>
      <c r="R81" s="99">
        <f ca="1">Первоначальный[[#This Row],[Просроченный платеж по ОД]]+Первоначальный[[#This Row],[Просроченный платеж по процентам]]</f>
        <v>4.9999999999727152E-2</v>
      </c>
      <c r="S81" s="120">
        <f ca="1">IF(Первоначальный[[#This Row],[Просроченный платеж]]&lt;1,0,S80+1)</f>
        <v>0</v>
      </c>
      <c r="T81" s="100" cm="1">
        <f t="array" aca="1" ref="T81" ca="1">IF(Первоначальный[[#This Row],[Итого остаток на начало периода]]&lt;1,0,
IF(
AND(TYPE(VLOOKUP(1,$Z$12:Z81,1,0))=16,Первоначальный[[#This Row],[Досрочное погашение (да/"")]]=""),0,
_xlfn.IFS(AND(S80=0,Первоначальный[[#This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платеж]]&lt;&gt;0),MIN(LOOKUP(,-1/($Z$12:Z81=1),$C$12:C81)+LOOKUP(,-1/($Z$12:Z81=1),$H$12:H81),Первоначальный[[#This Row],[Полученный платеж]]+Y80),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платеж]]+Y80,SUM(Первоначальный[[#This Row],[Остаток процентов на начало периода]],Первоначальный[[#This Row],[Проценты за период]])),
AND(S80=0,Первоначальный[[#This Row],[Дата платежа из графика]]=""),0,
AND(S80=0,Первоначальный[[#This Row],[Дата платежа из графика]]=1,MAX((0&lt;&gt;S$12:S80)*ROW(S$12:S80),ROW($S$12))&gt;=MAX((1=Z$12:Z80)*ROW(Z$12:Z80),ROW($T$12)),TYPE(VLOOKUP("Да",(INDIRECT("AA"&amp;(MAX((1=Z$12:Z80)*ROW(Z$12:Z80),ROW($T$12))&amp;":AA"&amp;(ROW()-1)))),1,0))=16),MIN(LOOKUP(,-1/($Z$12:Z81=1),$C$12:C81)+LOOKUP(,-1/($Z$12:Z81=1),$H$12:H81),Первоначальный[[#This Row],[Полученный платеж]]+Y80),
AND(S80=0,TYPE(VLOOKUP("Да",(INDIRECT("AA"&amp;(MAX((1=Z$12:Z80)*ROW(Z$12:Z80),ROW($T$12))&amp;":AA"&amp;(ROW()-1)))),1,0))&lt;&gt;16),MIN(LOOKUP(,-1/($Z$12:Z81=1),$C$12:C81)+LOOKUP(,-1/($Z$12:Z81=1),$H$12:H81)-IF(AA80="Да",0,SUM(INDIRECT("T"&amp;(MAX(("Да"=AA$12:AA80)*ROW(AA$12:AA80)+1,ROW($T$12))&amp;":T"&amp;(ROW()-1))))),Первоначальный[[#This Row],[Полученный платеж]]+Y80),
AND(S80=0,MAX((0&lt;&gt;N$12:N80)*ROW(N$12:N80),ROW($S$12))&gt;=MAX((1=Z$12:Z80)*ROW(Z$12:Z80),ROW($T$12))),MIN(LOOKUP(,-1/($Z$12:Z81=1),$C$12:C81)+LOOKUP(,-1/($Z$12:Z81=1),$H$12:H81)-IF(N80&lt;&gt;0,0,SUM(INDIRECT("T"&amp;(MAX((0&lt;&gt;N$12:N80)*ROW(N$12:N80)+1,ROW($T$12))&amp;":T"&amp;(ROW()-1))))),Первоначальный[[#This Row],[Полученный платеж]]+Y80),
AND(S80=0,Первоначальный[[#This Row],[Дата платежа из графика]]=1),MIN(LOOKUP(,-1/($Z$12:Z81=1),$C$12:C81)+LOOKUP(,-1/($Z$12:Z81=1),$H$12:H81)-IF(Z80=1,0,SUM(INDIRECT("T"&amp;(MAX((1=Z$12:Z80)*ROW(Z$12:Z80)+1,ROW($T$12))&amp;":T"&amp;(ROW()-1))))),Первоначальный[[#This Row],[Полученный платеж]]+Y80),
AND(Z80&gt;0,Первоначальный[[#This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платеж]]+Y80),
AND(S80&gt;0,MAX((0&lt;&gt;S$12:S80)*ROW(S$12:S80),ROW($S$12))&gt;=MAX((1=Z$12:Z80)*ROW(Z$12:Z80),ROW($T$12)),TYPE(VLOOKUP("Да",(INDIRECT("AA"&amp;(MAX((1=Z$12:Z80)*ROW(Z$12:Z80),ROW($T$12))&amp;":AA"&amp;(ROW()-1)))),1,0))=16),MIN(LOOKUP(,-1/($Z$12:Z81=1),$C$12:C81)+LOOKUP(,-1/($Z$12:Z81=1),$H$12:H81)-SUM(INDIRECT("T"&amp;(MAX((1=Z$12:Z80)*ROW(Z$12:Z80),ROW($T$12))&amp;":T"&amp;(ROW()-1)))),Первоначальный[[#This Row],[Полученный платеж]]+Y80),
S80&gt;0,MIN(LOOKUP(,-1/($Z$12:Z81=1),$C$12:C81)+LOOKUP(,-1/($Z$12:Z81=1),$H$12:H81)-IF(Z80=1,0,SUM(INDIRECT("T"&amp;(MAX((1=Z$12:Z80)*ROW(Z$12:Z80)+1,ROW($T$12))&amp;":T"&amp;(ROW()-1))))),Первоначальный[[#This Row],[Полученный платеж]]+Y80)
)
)
)</f>
        <v>0</v>
      </c>
      <c r="U8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платеж]]+Y80-Первоначальный[[#This Row],[Полученный платёж по процентам]])</f>
        <v>0</v>
      </c>
      <c r="V81" s="55">
        <f t="shared" ca="1" si="13"/>
        <v>0</v>
      </c>
      <c r="W81" s="55" cm="1">
        <f t="array" aca="1" ref="W81" ca="1">IF(Первоначальный[[#This Row],[Итого остаток на начало периода]]&lt;1,0,
_xlfn.IFS(
AND(TYPE(VLOOKUP(1,$Z$12:Z81,1,0))=16,Первоначальный[[#This Row],[Досрочное погашение (да/"")]]=""),0,
AND(S80=0,Первоначальный[[#This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комиссиям]]),VLOOKUP(LOOKUP(,-1/($Z$12:Z81=1),$A$12:A81),График[[Срок конец]:[Возврат основной суммы долга]],3,0)),
AND(S80=0,Первоначальный[[#This Row],[Дата платежа из графика]]="",Первоначальный[[#This Row],[Досрочное погашение (да/"")]]&lt;&gt;"Да"),0,
AND(S80=0,Первоначальный[[#This Row],[Досрочное погашение (да/"")]]=""),MIN(Первоначальный[[#This Row],[Полученный платеж]]+Y80-SUM(Первоначальный[[#This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комиссиям]]),VLOOKUP(LOOKUP(,-1/($Z$12:Z81=1),$A$12:A81),График[[Срок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S80&gt;0,MIN(Первоначальный[[#This Row],[Полученный платеж]]+Y80-SUM(Первоначальный[[#This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комиссиям]]),SUM(INDIRECT("M"&amp;(MAX((1=S$12:S80)*ROW(S$12:S80),ROW($W$12))&amp;":M"&amp;(ROW()))))-SUM(INDIRECT("W"&amp;(MAX((1=S$12:S80)*ROW(S$12:S80),ROW($W$12))&amp;":W"&amp;(ROW()-1)))))
)
)</f>
        <v>0</v>
      </c>
      <c r="X81" s="55">
        <f t="shared" ca="1" si="14"/>
        <v>0</v>
      </c>
      <c r="Y81" s="101">
        <f t="shared" ca="1" si="21"/>
        <v>0</v>
      </c>
      <c r="Z81" s="133" t="str">
        <f>IF(TYPE((VLOOKUP(Первоначальный[[#This Row],[Дата платежа]],График[Срок конец],1,0)))=16,"",1)</f>
        <v/>
      </c>
      <c r="AA81" s="57"/>
      <c r="AB81" s="134"/>
      <c r="AC8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558.24000000000058</v>
      </c>
      <c r="AE8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8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81" s="55"/>
      <c r="AI81" s="55"/>
      <c r="AJ81" s="55"/>
      <c r="AK81" s="101">
        <f t="shared" ca="1" si="22"/>
        <v>150191.57999999999</v>
      </c>
      <c r="AL81" s="129">
        <f t="array" ref="AL81">MAX((УслРестрактов[Характеристика]="Дата реструктуризации")*(УслРестрактов[Значение]=Первоначальный!$A81),0)</f>
        <v>0</v>
      </c>
    </row>
    <row r="82" spans="1:38" x14ac:dyDescent="0.25">
      <c r="A82" s="97">
        <f t="shared" si="15"/>
        <v>44213</v>
      </c>
      <c r="B82" s="100">
        <f t="shared" ca="1" si="16"/>
        <v>149633.34</v>
      </c>
      <c r="C82" s="55">
        <f t="shared" ca="1" si="12"/>
        <v>558.24000000000058</v>
      </c>
      <c r="D82" s="55">
        <f t="shared" ca="1" si="12"/>
        <v>0</v>
      </c>
      <c r="E82" s="55">
        <f t="shared" ca="1" si="17"/>
        <v>0</v>
      </c>
      <c r="F82" s="55">
        <f t="shared" ca="1" si="18"/>
        <v>0</v>
      </c>
      <c r="G82" s="101">
        <f t="shared" ca="1" si="19"/>
        <v>150191.57999999999</v>
      </c>
      <c r="H82" s="100">
        <f ca="1">ROUND($B82*VLOOKUP($A82,$A$1:$B$10,2,1)/(365+IF(MOD(YEAR($A82),4),0,1)*($A82-$A81)),2)-Первоначальный[[#This Row],[Проценты на просроченный платеж по ОД за период]]</f>
        <v>81.58</v>
      </c>
      <c r="I82" s="55">
        <f t="shared" ca="1" si="20"/>
        <v>0</v>
      </c>
      <c r="J82" s="55">
        <v>0</v>
      </c>
      <c r="K82" s="55">
        <f t="shared" ca="1" si="23"/>
        <v>0</v>
      </c>
      <c r="L82" s="55">
        <v>0</v>
      </c>
      <c r="M82" s="113">
        <f>SUMIFS(График[Возврат основной суммы долга],График[Дата с учетом нерабочих дней],$A82)</f>
        <v>0</v>
      </c>
      <c r="N82" s="56">
        <f>SUMIFS(График[Возврат начисленных %],График[Дата с учетом нерабочих дней],$A82)</f>
        <v>0</v>
      </c>
      <c r="O82" s="101">
        <v>0</v>
      </c>
      <c r="P82" s="100" cm="1">
        <f t="array" aca="1" ref="P82" ca="1">MAX(IF(AA81="Да",0,SUM(INDIRECT("M"&amp;(MAX(("Да"=AA$12:AA81)*ROW(AA$12:AA81)+1,ROW($P$12))&amp;":M"&amp;(ROW()))))-SUM(INDIRECT("W"&amp;(MAX(("Да"=AA$12:AA81)*ROW(AA$12:AA81)+1,ROW($P$12))&amp;":W"&amp;(ROW()))))),0)</f>
        <v>4.9999999999727152E-2</v>
      </c>
      <c r="Q82" s="99">
        <f ca="1">MAX(SUM($N$13:N82)-SUM($T$13:T82),0)</f>
        <v>0</v>
      </c>
      <c r="R82" s="99">
        <f ca="1">Первоначальный[[#This Row],[Просроченный платеж по ОД]]+Первоначальный[[#This Row],[Просроченный платеж по процентам]]</f>
        <v>4.9999999999727152E-2</v>
      </c>
      <c r="S82" s="120">
        <f ca="1">IF(Первоначальный[[#This Row],[Просроченный платеж]]&lt;1,0,S81+1)</f>
        <v>0</v>
      </c>
      <c r="T82" s="100" cm="1">
        <f t="array" aca="1" ref="T82" ca="1">IF(Первоначальный[[#This Row],[Итого остаток на начало периода]]&lt;1,0,
IF(
AND(TYPE(VLOOKUP(1,$Z$12:Z82,1,0))=16,Первоначальный[[#This Row],[Досрочное погашение (да/"")]]=""),0,
_xlfn.IFS(AND(S81=0,Первоначальный[[#This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платеж]]&lt;&gt;0),MIN(LOOKUP(,-1/($Z$12:Z82=1),$C$12:C82)+LOOKUP(,-1/($Z$12:Z82=1),$H$12:H82),Первоначальный[[#This Row],[Полученный платеж]]+Y81),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платеж]]+Y81,SUM(Первоначальный[[#This Row],[Остаток процентов на начало периода]],Первоначальный[[#This Row],[Проценты за период]])),
AND(S81=0,Первоначальный[[#This Row],[Дата платежа из графика]]=""),0,
AND(S81=0,Первоначальный[[#This Row],[Дата платежа из графика]]=1,MAX((0&lt;&gt;S$12:S81)*ROW(S$12:S81),ROW($S$12))&gt;=MAX((1=Z$12:Z81)*ROW(Z$12:Z81),ROW($T$12)),TYPE(VLOOKUP("Да",(INDIRECT("AA"&amp;(MAX((1=Z$12:Z81)*ROW(Z$12:Z81),ROW($T$12))&amp;":AA"&amp;(ROW()-1)))),1,0))=16),MIN(LOOKUP(,-1/($Z$12:Z82=1),$C$12:C82)+LOOKUP(,-1/($Z$12:Z82=1),$H$12:H82),Первоначальный[[#This Row],[Полученный платеж]]+Y81),
AND(S81=0,TYPE(VLOOKUP("Да",(INDIRECT("AA"&amp;(MAX((1=Z$12:Z81)*ROW(Z$12:Z81),ROW($T$12))&amp;":AA"&amp;(ROW()-1)))),1,0))&lt;&gt;16),MIN(LOOKUP(,-1/($Z$12:Z82=1),$C$12:C82)+LOOKUP(,-1/($Z$12:Z82=1),$H$12:H82)-IF(AA81="Да",0,SUM(INDIRECT("T"&amp;(MAX(("Да"=AA$12:AA81)*ROW(AA$12:AA81)+1,ROW($T$12))&amp;":T"&amp;(ROW()-1))))),Первоначальный[[#This Row],[Полученный платеж]]+Y81),
AND(S81=0,MAX((0&lt;&gt;N$12:N81)*ROW(N$12:N81),ROW($S$12))&gt;=MAX((1=Z$12:Z81)*ROW(Z$12:Z81),ROW($T$12))),MIN(LOOKUP(,-1/($Z$12:Z82=1),$C$12:C82)+LOOKUP(,-1/($Z$12:Z82=1),$H$12:H82)-IF(N81&lt;&gt;0,0,SUM(INDIRECT("T"&amp;(MAX((0&lt;&gt;N$12:N81)*ROW(N$12:N81)+1,ROW($T$12))&amp;":T"&amp;(ROW()-1))))),Первоначальный[[#This Row],[Полученный платеж]]+Y81),
AND(S81=0,Первоначальный[[#This Row],[Дата платежа из графика]]=1),MIN(LOOKUP(,-1/($Z$12:Z82=1),$C$12:C82)+LOOKUP(,-1/($Z$12:Z82=1),$H$12:H82)-IF(Z81=1,0,SUM(INDIRECT("T"&amp;(MAX((1=Z$12:Z81)*ROW(Z$12:Z81)+1,ROW($T$12))&amp;":T"&amp;(ROW()-1))))),Первоначальный[[#This Row],[Полученный платеж]]+Y81),
AND(Z81&gt;0,Первоначальный[[#This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платеж]]+Y81),
AND(S81&gt;0,MAX((0&lt;&gt;S$12:S81)*ROW(S$12:S81),ROW($S$12))&gt;=MAX((1=Z$12:Z81)*ROW(Z$12:Z81),ROW($T$12)),TYPE(VLOOKUP("Да",(INDIRECT("AA"&amp;(MAX((1=Z$12:Z81)*ROW(Z$12:Z81),ROW($T$12))&amp;":AA"&amp;(ROW()-1)))),1,0))=16),MIN(LOOKUP(,-1/($Z$12:Z82=1),$C$12:C82)+LOOKUP(,-1/($Z$12:Z82=1),$H$12:H82)-SUM(INDIRECT("T"&amp;(MAX((1=Z$12:Z81)*ROW(Z$12:Z81),ROW($T$12))&amp;":T"&amp;(ROW()-1)))),Первоначальный[[#This Row],[Полученный платеж]]+Y81),
S81&gt;0,MIN(LOOKUP(,-1/($Z$12:Z82=1),$C$12:C82)+LOOKUP(,-1/($Z$12:Z82=1),$H$12:H82)-IF(Z81=1,0,SUM(INDIRECT("T"&amp;(MAX((1=Z$12:Z81)*ROW(Z$12:Z81)+1,ROW($T$12))&amp;":T"&amp;(ROW()-1))))),Первоначальный[[#This Row],[Полученный платеж]]+Y81)
)
)
)</f>
        <v>0</v>
      </c>
      <c r="U8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платеж]]+Y81-Первоначальный[[#This Row],[Полученный платёж по процентам]])</f>
        <v>0</v>
      </c>
      <c r="V82" s="55">
        <f t="shared" ca="1" si="13"/>
        <v>0</v>
      </c>
      <c r="W82" s="55" cm="1">
        <f t="array" aca="1" ref="W82" ca="1">IF(Первоначальный[[#This Row],[Итого остаток на начало периода]]&lt;1,0,
_xlfn.IFS(
AND(TYPE(VLOOKUP(1,$Z$12:Z82,1,0))=16,Первоначальный[[#This Row],[Досрочное погашение (да/"")]]=""),0,
AND(S81=0,Первоначальный[[#This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комиссиям]]),VLOOKUP(LOOKUP(,-1/($Z$12:Z82=1),$A$12:A82),График[[Срок конец]:[Возврат основной суммы долга]],3,0)),
AND(S81=0,Первоначальный[[#This Row],[Дата платежа из графика]]="",Первоначальный[[#This Row],[Досрочное погашение (да/"")]]&lt;&gt;"Да"),0,
AND(S81=0,Первоначальный[[#This Row],[Досрочное погашение (да/"")]]=""),MIN(Первоначальный[[#This Row],[Полученный платеж]]+Y81-SUM(Первоначальный[[#This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комиссиям]]),VLOOKUP(LOOKUP(,-1/($Z$12:Z82=1),$A$12:A82),График[[Срок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S81&gt;0,MIN(Первоначальный[[#This Row],[Полученный платеж]]+Y81-SUM(Первоначальный[[#This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комиссиям]]),SUM(INDIRECT("M"&amp;(MAX((1=S$12:S81)*ROW(S$12:S81),ROW($W$12))&amp;":M"&amp;(ROW()))))-SUM(INDIRECT("W"&amp;(MAX((1=S$12:S81)*ROW(S$12:S81),ROW($W$12))&amp;":W"&amp;(ROW()-1)))))
)
)</f>
        <v>0</v>
      </c>
      <c r="X82" s="55">
        <f t="shared" ca="1" si="14"/>
        <v>0</v>
      </c>
      <c r="Y82" s="101">
        <f t="shared" ca="1" si="21"/>
        <v>0</v>
      </c>
      <c r="Z82" s="133" t="str">
        <f>IF(TYPE((VLOOKUP(Первоначальный[[#This Row],[Дата платежа]],График[Срок конец],1,0)))=16,"",1)</f>
        <v/>
      </c>
      <c r="AA82" s="57"/>
      <c r="AB82" s="134"/>
      <c r="AC8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639.82000000000062</v>
      </c>
      <c r="AE8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8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82" s="55"/>
      <c r="AI82" s="55"/>
      <c r="AJ82" s="55"/>
      <c r="AK82" s="101">
        <f t="shared" ca="1" si="22"/>
        <v>150273.16</v>
      </c>
      <c r="AL82" s="129">
        <f t="array" ref="AL82">MAX((УслРестрактов[Характеристика]="Дата реструктуризации")*(УслРестрактов[Значение]=Первоначальный!$A82),0)</f>
        <v>0</v>
      </c>
    </row>
    <row r="83" spans="1:38" x14ac:dyDescent="0.25">
      <c r="A83" s="97">
        <f t="shared" si="15"/>
        <v>44214</v>
      </c>
      <c r="B83" s="100">
        <f t="shared" ca="1" si="16"/>
        <v>149633.34</v>
      </c>
      <c r="C83" s="55">
        <f t="shared" ca="1" si="12"/>
        <v>639.82000000000062</v>
      </c>
      <c r="D83" s="55">
        <f t="shared" ca="1" si="12"/>
        <v>0</v>
      </c>
      <c r="E83" s="55">
        <f t="shared" ca="1" si="17"/>
        <v>0</v>
      </c>
      <c r="F83" s="55">
        <f t="shared" ca="1" si="18"/>
        <v>0</v>
      </c>
      <c r="G83" s="101">
        <f t="shared" ca="1" si="19"/>
        <v>150273.16</v>
      </c>
      <c r="H83" s="100">
        <f ca="1">ROUND($B83*VLOOKUP($A83,$A$1:$B$10,2,1)/(365+IF(MOD(YEAR($A83),4),0,1)*($A83-$A82)),2)-Первоначальный[[#This Row],[Проценты на просроченный платеж по ОД за период]]</f>
        <v>81.58</v>
      </c>
      <c r="I83" s="55">
        <f t="shared" ca="1" si="20"/>
        <v>0</v>
      </c>
      <c r="J83" s="55">
        <v>0</v>
      </c>
      <c r="K83" s="55">
        <f t="shared" ca="1" si="23"/>
        <v>0</v>
      </c>
      <c r="L83" s="55">
        <v>0</v>
      </c>
      <c r="M83" s="113">
        <f>SUMIFS(График[Возврат основной суммы долга],График[Дата с учетом нерабочих дней],$A83)</f>
        <v>0</v>
      </c>
      <c r="N83" s="56">
        <f>SUMIFS(График[Возврат начисленных %],График[Дата с учетом нерабочих дней],$A83)</f>
        <v>0</v>
      </c>
      <c r="O83" s="101">
        <v>0</v>
      </c>
      <c r="P83" s="100" cm="1">
        <f t="array" aca="1" ref="P83" ca="1">MAX(IF(AA82="Да",0,SUM(INDIRECT("M"&amp;(MAX(("Да"=AA$12:AA82)*ROW(AA$12:AA82)+1,ROW($P$12))&amp;":M"&amp;(ROW()))))-SUM(INDIRECT("W"&amp;(MAX(("Да"=AA$12:AA82)*ROW(AA$12:AA82)+1,ROW($P$12))&amp;":W"&amp;(ROW()))))),0)</f>
        <v>4.9999999999727152E-2</v>
      </c>
      <c r="Q83" s="99">
        <f ca="1">MAX(SUM($N$13:N83)-SUM($T$13:T83),0)</f>
        <v>0</v>
      </c>
      <c r="R83" s="99">
        <f ca="1">Первоначальный[[#This Row],[Просроченный платеж по ОД]]+Первоначальный[[#This Row],[Просроченный платеж по процентам]]</f>
        <v>4.9999999999727152E-2</v>
      </c>
      <c r="S83" s="120">
        <f ca="1">IF(Первоначальный[[#This Row],[Просроченный платеж]]&lt;1,0,S82+1)</f>
        <v>0</v>
      </c>
      <c r="T83" s="100" cm="1">
        <f t="array" aca="1" ref="T83" ca="1">IF(Первоначальный[[#This Row],[Итого остаток на начало периода]]&lt;1,0,
IF(
AND(TYPE(VLOOKUP(1,$Z$12:Z83,1,0))=16,Первоначальный[[#This Row],[Досрочное погашение (да/"")]]=""),0,
_xlfn.IFS(AND(S82=0,Первоначальный[[#This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платеж]]&lt;&gt;0),MIN(LOOKUP(,-1/($Z$12:Z83=1),$C$12:C83)+LOOKUP(,-1/($Z$12:Z83=1),$H$12:H83),Первоначальный[[#This Row],[Полученный платеж]]+Y82),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платеж]]+Y82,SUM(Первоначальный[[#This Row],[Остаток процентов на начало периода]],Первоначальный[[#This Row],[Проценты за период]])),
AND(S82=0,Первоначальный[[#This Row],[Дата платежа из графика]]=""),0,
AND(S82=0,Первоначальный[[#This Row],[Дата платежа из графика]]=1,MAX((0&lt;&gt;S$12:S82)*ROW(S$12:S82),ROW($S$12))&gt;=MAX((1=Z$12:Z82)*ROW(Z$12:Z82),ROW($T$12)),TYPE(VLOOKUP("Да",(INDIRECT("AA"&amp;(MAX((1=Z$12:Z82)*ROW(Z$12:Z82),ROW($T$12))&amp;":AA"&amp;(ROW()-1)))),1,0))=16),MIN(LOOKUP(,-1/($Z$12:Z83=1),$C$12:C83)+LOOKUP(,-1/($Z$12:Z83=1),$H$12:H83),Первоначальный[[#This Row],[Полученный платеж]]+Y82),
AND(S82=0,TYPE(VLOOKUP("Да",(INDIRECT("AA"&amp;(MAX((1=Z$12:Z82)*ROW(Z$12:Z82),ROW($T$12))&amp;":AA"&amp;(ROW()-1)))),1,0))&lt;&gt;16),MIN(LOOKUP(,-1/($Z$12:Z83=1),$C$12:C83)+LOOKUP(,-1/($Z$12:Z83=1),$H$12:H83)-IF(AA82="Да",0,SUM(INDIRECT("T"&amp;(MAX(("Да"=AA$12:AA82)*ROW(AA$12:AA82)+1,ROW($T$12))&amp;":T"&amp;(ROW()-1))))),Первоначальный[[#This Row],[Полученный платеж]]+Y82),
AND(S82=0,MAX((0&lt;&gt;N$12:N82)*ROW(N$12:N82),ROW($S$12))&gt;=MAX((1=Z$12:Z82)*ROW(Z$12:Z82),ROW($T$12))),MIN(LOOKUP(,-1/($Z$12:Z83=1),$C$12:C83)+LOOKUP(,-1/($Z$12:Z83=1),$H$12:H83)-IF(N82&lt;&gt;0,0,SUM(INDIRECT("T"&amp;(MAX((0&lt;&gt;N$12:N82)*ROW(N$12:N82)+1,ROW($T$12))&amp;":T"&amp;(ROW()-1))))),Первоначальный[[#This Row],[Полученный платеж]]+Y82),
AND(S82=0,Первоначальный[[#This Row],[Дата платежа из графика]]=1),MIN(LOOKUP(,-1/($Z$12:Z83=1),$C$12:C83)+LOOKUP(,-1/($Z$12:Z83=1),$H$12:H83)-IF(Z82=1,0,SUM(INDIRECT("T"&amp;(MAX((1=Z$12:Z82)*ROW(Z$12:Z82)+1,ROW($T$12))&amp;":T"&amp;(ROW()-1))))),Первоначальный[[#This Row],[Полученный платеж]]+Y82),
AND(Z82&gt;0,Первоначальный[[#This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платеж]]+Y82),
AND(S82&gt;0,MAX((0&lt;&gt;S$12:S82)*ROW(S$12:S82),ROW($S$12))&gt;=MAX((1=Z$12:Z82)*ROW(Z$12:Z82),ROW($T$12)),TYPE(VLOOKUP("Да",(INDIRECT("AA"&amp;(MAX((1=Z$12:Z82)*ROW(Z$12:Z82),ROW($T$12))&amp;":AA"&amp;(ROW()-1)))),1,0))=16),MIN(LOOKUP(,-1/($Z$12:Z83=1),$C$12:C83)+LOOKUP(,-1/($Z$12:Z83=1),$H$12:H83)-SUM(INDIRECT("T"&amp;(MAX((1=Z$12:Z82)*ROW(Z$12:Z82),ROW($T$12))&amp;":T"&amp;(ROW()-1)))),Первоначальный[[#This Row],[Полученный платеж]]+Y82),
S82&gt;0,MIN(LOOKUP(,-1/($Z$12:Z83=1),$C$12:C83)+LOOKUP(,-1/($Z$12:Z83=1),$H$12:H83)-IF(Z82=1,0,SUM(INDIRECT("T"&amp;(MAX((1=Z$12:Z82)*ROW(Z$12:Z82)+1,ROW($T$12))&amp;":T"&amp;(ROW()-1))))),Первоначальный[[#This Row],[Полученный платеж]]+Y82)
)
)
)</f>
        <v>0</v>
      </c>
      <c r="U8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платеж]]+Y82-Первоначальный[[#This Row],[Полученный платёж по процентам]])</f>
        <v>0</v>
      </c>
      <c r="V83" s="55">
        <f t="shared" ca="1" si="13"/>
        <v>0</v>
      </c>
      <c r="W83" s="55" cm="1">
        <f t="array" aca="1" ref="W83" ca="1">IF(Первоначальный[[#This Row],[Итого остаток на начало периода]]&lt;1,0,
_xlfn.IFS(
AND(TYPE(VLOOKUP(1,$Z$12:Z83,1,0))=16,Первоначальный[[#This Row],[Досрочное погашение (да/"")]]=""),0,
AND(S82=0,Первоначальный[[#This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комиссиям]]),VLOOKUP(LOOKUP(,-1/($Z$12:Z83=1),$A$12:A83),График[[Срок конец]:[Возврат основной суммы долга]],3,0)),
AND(S82=0,Первоначальный[[#This Row],[Дата платежа из графика]]="",Первоначальный[[#This Row],[Досрочное погашение (да/"")]]&lt;&gt;"Да"),0,
AND(S82=0,Первоначальный[[#This Row],[Досрочное погашение (да/"")]]=""),MIN(Первоначальный[[#This Row],[Полученный платеж]]+Y82-SUM(Первоначальный[[#This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комиссиям]]),VLOOKUP(LOOKUP(,-1/($Z$12:Z83=1),$A$12:A83),График[[Срок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S82&gt;0,MIN(Первоначальный[[#This Row],[Полученный платеж]]+Y82-SUM(Первоначальный[[#This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комиссиям]]),SUM(INDIRECT("M"&amp;(MAX((1=S$12:S82)*ROW(S$12:S82),ROW($W$12))&amp;":M"&amp;(ROW()))))-SUM(INDIRECT("W"&amp;(MAX((1=S$12:S82)*ROW(S$12:S82),ROW($W$12))&amp;":W"&amp;(ROW()-1)))))
)
)</f>
        <v>0</v>
      </c>
      <c r="X83" s="55">
        <f t="shared" ca="1" si="14"/>
        <v>0</v>
      </c>
      <c r="Y83" s="101">
        <f t="shared" ca="1" si="21"/>
        <v>0</v>
      </c>
      <c r="Z83" s="133" t="str">
        <f>IF(TYPE((VLOOKUP(Первоначальный[[#This Row],[Дата платежа]],График[Срок конец],1,0)))=16,"",1)</f>
        <v/>
      </c>
      <c r="AA83" s="57"/>
      <c r="AB83" s="134"/>
      <c r="AC8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721.40000000000066</v>
      </c>
      <c r="AE8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8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83" s="55"/>
      <c r="AI83" s="55"/>
      <c r="AJ83" s="55"/>
      <c r="AK83" s="101">
        <f t="shared" ca="1" si="22"/>
        <v>150354.74</v>
      </c>
      <c r="AL83" s="129">
        <f t="array" ref="AL83">MAX((УслРестрактов[Характеристика]="Дата реструктуризации")*(УслРестрактов[Значение]=Первоначальный!$A83),0)</f>
        <v>0</v>
      </c>
    </row>
    <row r="84" spans="1:38" x14ac:dyDescent="0.25">
      <c r="A84" s="97">
        <f t="shared" si="15"/>
        <v>44215</v>
      </c>
      <c r="B84" s="100">
        <f t="shared" ca="1" si="16"/>
        <v>149633.34</v>
      </c>
      <c r="C84" s="55">
        <f t="shared" ca="1" si="12"/>
        <v>721.40000000000066</v>
      </c>
      <c r="D84" s="55">
        <f t="shared" ca="1" si="12"/>
        <v>0</v>
      </c>
      <c r="E84" s="55">
        <f t="shared" ca="1" si="17"/>
        <v>0</v>
      </c>
      <c r="F84" s="55">
        <f t="shared" ca="1" si="18"/>
        <v>0</v>
      </c>
      <c r="G84" s="101">
        <f t="shared" ca="1" si="19"/>
        <v>150354.74</v>
      </c>
      <c r="H84" s="100">
        <f ca="1">ROUND($B84*VLOOKUP($A84,$A$1:$B$10,2,1)/(365+IF(MOD(YEAR($A84),4),0,1)*($A84-$A83)),2)-Первоначальный[[#This Row],[Проценты на просроченный платеж по ОД за период]]</f>
        <v>81.58</v>
      </c>
      <c r="I84" s="55">
        <f t="shared" ca="1" si="20"/>
        <v>0</v>
      </c>
      <c r="J84" s="55">
        <v>0</v>
      </c>
      <c r="K84" s="55">
        <f t="shared" ca="1" si="23"/>
        <v>0</v>
      </c>
      <c r="L84" s="55">
        <v>0</v>
      </c>
      <c r="M84" s="113">
        <f>SUMIFS(График[Возврат основной суммы долга],График[Дата с учетом нерабочих дней],$A84)</f>
        <v>0</v>
      </c>
      <c r="N84" s="56">
        <f>SUMIFS(График[Возврат начисленных %],График[Дата с учетом нерабочих дней],$A84)</f>
        <v>0</v>
      </c>
      <c r="O84" s="101">
        <v>0</v>
      </c>
      <c r="P84" s="100" cm="1">
        <f t="array" aca="1" ref="P84" ca="1">MAX(IF(AA83="Да",0,SUM(INDIRECT("M"&amp;(MAX(("Да"=AA$12:AA83)*ROW(AA$12:AA83)+1,ROW($P$12))&amp;":M"&amp;(ROW()))))-SUM(INDIRECT("W"&amp;(MAX(("Да"=AA$12:AA83)*ROW(AA$12:AA83)+1,ROW($P$12))&amp;":W"&amp;(ROW()))))),0)</f>
        <v>4.9999999999727152E-2</v>
      </c>
      <c r="Q84" s="99">
        <f ca="1">MAX(SUM($N$13:N84)-SUM($T$13:T84),0)</f>
        <v>0</v>
      </c>
      <c r="R84" s="99">
        <f ca="1">Первоначальный[[#This Row],[Просроченный платеж по ОД]]+Первоначальный[[#This Row],[Просроченный платеж по процентам]]</f>
        <v>4.9999999999727152E-2</v>
      </c>
      <c r="S84" s="120">
        <f ca="1">IF(Первоначальный[[#This Row],[Просроченный платеж]]&lt;1,0,S83+1)</f>
        <v>0</v>
      </c>
      <c r="T84" s="100" cm="1">
        <f t="array" aca="1" ref="T84" ca="1">IF(Первоначальный[[#This Row],[Итого остаток на начало периода]]&lt;1,0,
IF(
AND(TYPE(VLOOKUP(1,$Z$12:Z84,1,0))=16,Первоначальный[[#This Row],[Досрочное погашение (да/"")]]=""),0,
_xlfn.IFS(AND(S83=0,Первоначальный[[#This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платеж]]&lt;&gt;0),MIN(LOOKUP(,-1/($Z$12:Z84=1),$C$12:C84)+LOOKUP(,-1/($Z$12:Z84=1),$H$12:H84),Первоначальный[[#This Row],[Полученный платеж]]+Y83),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платеж]]+Y83,SUM(Первоначальный[[#This Row],[Остаток процентов на начало периода]],Первоначальный[[#This Row],[Проценты за период]])),
AND(S83=0,Первоначальный[[#This Row],[Дата платежа из графика]]=""),0,
AND(S83=0,Первоначальный[[#This Row],[Дата платежа из графика]]=1,MAX((0&lt;&gt;S$12:S83)*ROW(S$12:S83),ROW($S$12))&gt;=MAX((1=Z$12:Z83)*ROW(Z$12:Z83),ROW($T$12)),TYPE(VLOOKUP("Да",(INDIRECT("AA"&amp;(MAX((1=Z$12:Z83)*ROW(Z$12:Z83),ROW($T$12))&amp;":AA"&amp;(ROW()-1)))),1,0))=16),MIN(LOOKUP(,-1/($Z$12:Z84=1),$C$12:C84)+LOOKUP(,-1/($Z$12:Z84=1),$H$12:H84),Первоначальный[[#This Row],[Полученный платеж]]+Y83),
AND(S83=0,TYPE(VLOOKUP("Да",(INDIRECT("AA"&amp;(MAX((1=Z$12:Z83)*ROW(Z$12:Z83),ROW($T$12))&amp;":AA"&amp;(ROW()-1)))),1,0))&lt;&gt;16),MIN(LOOKUP(,-1/($Z$12:Z84=1),$C$12:C84)+LOOKUP(,-1/($Z$12:Z84=1),$H$12:H84)-IF(AA83="Да",0,SUM(INDIRECT("T"&amp;(MAX(("Да"=AA$12:AA83)*ROW(AA$12:AA83)+1,ROW($T$12))&amp;":T"&amp;(ROW()-1))))),Первоначальный[[#This Row],[Полученный платеж]]+Y83),
AND(S83=0,MAX((0&lt;&gt;N$12:N83)*ROW(N$12:N83),ROW($S$12))&gt;=MAX((1=Z$12:Z83)*ROW(Z$12:Z83),ROW($T$12))),MIN(LOOKUP(,-1/($Z$12:Z84=1),$C$12:C84)+LOOKUP(,-1/($Z$12:Z84=1),$H$12:H84)-IF(N83&lt;&gt;0,0,SUM(INDIRECT("T"&amp;(MAX((0&lt;&gt;N$12:N83)*ROW(N$12:N83)+1,ROW($T$12))&amp;":T"&amp;(ROW()-1))))),Первоначальный[[#This Row],[Полученный платеж]]+Y83),
AND(S83=0,Первоначальный[[#This Row],[Дата платежа из графика]]=1),MIN(LOOKUP(,-1/($Z$12:Z84=1),$C$12:C84)+LOOKUP(,-1/($Z$12:Z84=1),$H$12:H84)-IF(Z83=1,0,SUM(INDIRECT("T"&amp;(MAX((1=Z$12:Z83)*ROW(Z$12:Z83)+1,ROW($T$12))&amp;":T"&amp;(ROW()-1))))),Первоначальный[[#This Row],[Полученный платеж]]+Y83),
AND(Z83&gt;0,Первоначальный[[#This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платеж]]+Y83),
AND(S83&gt;0,MAX((0&lt;&gt;S$12:S83)*ROW(S$12:S83),ROW($S$12))&gt;=MAX((1=Z$12:Z83)*ROW(Z$12:Z83),ROW($T$12)),TYPE(VLOOKUP("Да",(INDIRECT("AA"&amp;(MAX((1=Z$12:Z83)*ROW(Z$12:Z83),ROW($T$12))&amp;":AA"&amp;(ROW()-1)))),1,0))=16),MIN(LOOKUP(,-1/($Z$12:Z84=1),$C$12:C84)+LOOKUP(,-1/($Z$12:Z84=1),$H$12:H84)-SUM(INDIRECT("T"&amp;(MAX((1=Z$12:Z83)*ROW(Z$12:Z83),ROW($T$12))&amp;":T"&amp;(ROW()-1)))),Первоначальный[[#This Row],[Полученный платеж]]+Y83),
S83&gt;0,MIN(LOOKUP(,-1/($Z$12:Z84=1),$C$12:C84)+LOOKUP(,-1/($Z$12:Z84=1),$H$12:H84)-IF(Z83=1,0,SUM(INDIRECT("T"&amp;(MAX((1=Z$12:Z83)*ROW(Z$12:Z83)+1,ROW($T$12))&amp;":T"&amp;(ROW()-1))))),Первоначальный[[#This Row],[Полученный платеж]]+Y83)
)
)
)</f>
        <v>0</v>
      </c>
      <c r="U8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платеж]]+Y83-Первоначальный[[#This Row],[Полученный платёж по процентам]])</f>
        <v>0</v>
      </c>
      <c r="V84" s="55">
        <f t="shared" ca="1" si="13"/>
        <v>0</v>
      </c>
      <c r="W84" s="55" cm="1">
        <f t="array" aca="1" ref="W84" ca="1">IF(Первоначальный[[#This Row],[Итого остаток на начало периода]]&lt;1,0,
_xlfn.IFS(
AND(TYPE(VLOOKUP(1,$Z$12:Z84,1,0))=16,Первоначальный[[#This Row],[Досрочное погашение (да/"")]]=""),0,
AND(S83=0,Первоначальный[[#This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комиссиям]]),VLOOKUP(LOOKUP(,-1/($Z$12:Z84=1),$A$12:A84),График[[Срок конец]:[Возврат основной суммы долга]],3,0)),
AND(S83=0,Первоначальный[[#This Row],[Дата платежа из графика]]="",Первоначальный[[#This Row],[Досрочное погашение (да/"")]]&lt;&gt;"Да"),0,
AND(S83=0,Первоначальный[[#This Row],[Досрочное погашение (да/"")]]=""),MIN(Первоначальный[[#This Row],[Полученный платеж]]+Y83-SUM(Первоначальный[[#This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комиссиям]]),VLOOKUP(LOOKUP(,-1/($Z$12:Z84=1),$A$12:A84),График[[Срок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S83&gt;0,MIN(Первоначальный[[#This Row],[Полученный платеж]]+Y83-SUM(Первоначальный[[#This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комиссиям]]),SUM(INDIRECT("M"&amp;(MAX((1=S$12:S83)*ROW(S$12:S83),ROW($W$12))&amp;":M"&amp;(ROW()))))-SUM(INDIRECT("W"&amp;(MAX((1=S$12:S83)*ROW(S$12:S83),ROW($W$12))&amp;":W"&amp;(ROW()-1)))))
)
)</f>
        <v>0</v>
      </c>
      <c r="X84" s="55">
        <f t="shared" ca="1" si="14"/>
        <v>0</v>
      </c>
      <c r="Y84" s="101">
        <f t="shared" ca="1" si="21"/>
        <v>0</v>
      </c>
      <c r="Z84" s="133" t="str">
        <f>IF(TYPE((VLOOKUP(Первоначальный[[#This Row],[Дата платежа]],График[Срок конец],1,0)))=16,"",1)</f>
        <v/>
      </c>
      <c r="AA84" s="57"/>
      <c r="AB84" s="134"/>
      <c r="AC8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802.9800000000007</v>
      </c>
      <c r="AE8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8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84" s="55"/>
      <c r="AI84" s="55"/>
      <c r="AJ84" s="55"/>
      <c r="AK84" s="101">
        <f t="shared" ca="1" si="22"/>
        <v>150436.32</v>
      </c>
      <c r="AL84" s="129">
        <f t="array" ref="AL84">MAX((УслРестрактов[Характеристика]="Дата реструктуризации")*(УслРестрактов[Значение]=Первоначальный!$A84),0)</f>
        <v>0</v>
      </c>
    </row>
    <row r="85" spans="1:38" x14ac:dyDescent="0.25">
      <c r="A85" s="97">
        <f t="shared" si="15"/>
        <v>44216</v>
      </c>
      <c r="B85" s="100">
        <f t="shared" ca="1" si="16"/>
        <v>149633.34</v>
      </c>
      <c r="C85" s="55">
        <f t="shared" ca="1" si="12"/>
        <v>802.9800000000007</v>
      </c>
      <c r="D85" s="55">
        <f t="shared" ca="1" si="12"/>
        <v>0</v>
      </c>
      <c r="E85" s="55">
        <f t="shared" ca="1" si="17"/>
        <v>0</v>
      </c>
      <c r="F85" s="55">
        <f t="shared" ca="1" si="18"/>
        <v>0</v>
      </c>
      <c r="G85" s="101">
        <f t="shared" ca="1" si="19"/>
        <v>150436.32</v>
      </c>
      <c r="H85" s="100">
        <f ca="1">ROUND($B85*VLOOKUP($A85,$A$1:$B$10,2,1)/(365+IF(MOD(YEAR($A85),4),0,1)*($A85-$A84)),2)-Первоначальный[[#This Row],[Проценты на просроченный платеж по ОД за период]]</f>
        <v>81.58</v>
      </c>
      <c r="I85" s="55">
        <f t="shared" ca="1" si="20"/>
        <v>0</v>
      </c>
      <c r="J85" s="55">
        <v>0</v>
      </c>
      <c r="K85" s="55">
        <f t="shared" ca="1" si="23"/>
        <v>0</v>
      </c>
      <c r="L85" s="55">
        <v>0</v>
      </c>
      <c r="M85" s="113">
        <f>SUMIFS(График[Возврат основной суммы долга],График[Дата с учетом нерабочих дней],$A85)</f>
        <v>0</v>
      </c>
      <c r="N85" s="56">
        <f>SUMIFS(График[Возврат начисленных %],График[Дата с учетом нерабочих дней],$A85)</f>
        <v>0</v>
      </c>
      <c r="O85" s="101">
        <v>0</v>
      </c>
      <c r="P85" s="100" cm="1">
        <f t="array" aca="1" ref="P85" ca="1">MAX(IF(AA84="Да",0,SUM(INDIRECT("M"&amp;(MAX(("Да"=AA$12:AA84)*ROW(AA$12:AA84)+1,ROW($P$12))&amp;":M"&amp;(ROW()))))-SUM(INDIRECT("W"&amp;(MAX(("Да"=AA$12:AA84)*ROW(AA$12:AA84)+1,ROW($P$12))&amp;":W"&amp;(ROW()))))),0)</f>
        <v>4.9999999999727152E-2</v>
      </c>
      <c r="Q85" s="99">
        <f ca="1">MAX(SUM($N$13:N85)-SUM($T$13:T85),0)</f>
        <v>0</v>
      </c>
      <c r="R85" s="99">
        <f ca="1">Первоначальный[[#This Row],[Просроченный платеж по ОД]]+Первоначальный[[#This Row],[Просроченный платеж по процентам]]</f>
        <v>4.9999999999727152E-2</v>
      </c>
      <c r="S85" s="120">
        <f ca="1">IF(Первоначальный[[#This Row],[Просроченный платеж]]&lt;1,0,S84+1)</f>
        <v>0</v>
      </c>
      <c r="T85" s="100" cm="1">
        <f t="array" aca="1" ref="T85" ca="1">IF(Первоначальный[[#This Row],[Итого остаток на начало периода]]&lt;1,0,
IF(
AND(TYPE(VLOOKUP(1,$Z$12:Z85,1,0))=16,Первоначальный[[#This Row],[Досрочное погашение (да/"")]]=""),0,
_xlfn.IFS(AND(S84=0,Первоначальный[[#This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платеж]]&lt;&gt;0),MIN(LOOKUP(,-1/($Z$12:Z85=1),$C$12:C85)+LOOKUP(,-1/($Z$12:Z85=1),$H$12:H85),Первоначальный[[#This Row],[Полученный платеж]]+Y84),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платеж]]+Y84,SUM(Первоначальный[[#This Row],[Остаток процентов на начало периода]],Первоначальный[[#This Row],[Проценты за период]])),
AND(S84=0,Первоначальный[[#This Row],[Дата платежа из графика]]=""),0,
AND(S84=0,Первоначальный[[#This Row],[Дата платежа из графика]]=1,MAX((0&lt;&gt;S$12:S84)*ROW(S$12:S84),ROW($S$12))&gt;=MAX((1=Z$12:Z84)*ROW(Z$12:Z84),ROW($T$12)),TYPE(VLOOKUP("Да",(INDIRECT("AA"&amp;(MAX((1=Z$12:Z84)*ROW(Z$12:Z84),ROW($T$12))&amp;":AA"&amp;(ROW()-1)))),1,0))=16),MIN(LOOKUP(,-1/($Z$12:Z85=1),$C$12:C85)+LOOKUP(,-1/($Z$12:Z85=1),$H$12:H85),Первоначальный[[#This Row],[Полученный платеж]]+Y84),
AND(S84=0,TYPE(VLOOKUP("Да",(INDIRECT("AA"&amp;(MAX((1=Z$12:Z84)*ROW(Z$12:Z84),ROW($T$12))&amp;":AA"&amp;(ROW()-1)))),1,0))&lt;&gt;16),MIN(LOOKUP(,-1/($Z$12:Z85=1),$C$12:C85)+LOOKUP(,-1/($Z$12:Z85=1),$H$12:H85)-IF(AA84="Да",0,SUM(INDIRECT("T"&amp;(MAX(("Да"=AA$12:AA84)*ROW(AA$12:AA84)+1,ROW($T$12))&amp;":T"&amp;(ROW()-1))))),Первоначальный[[#This Row],[Полученный платеж]]+Y84),
AND(S84=0,MAX((0&lt;&gt;N$12:N84)*ROW(N$12:N84),ROW($S$12))&gt;=MAX((1=Z$12:Z84)*ROW(Z$12:Z84),ROW($T$12))),MIN(LOOKUP(,-1/($Z$12:Z85=1),$C$12:C85)+LOOKUP(,-1/($Z$12:Z85=1),$H$12:H85)-IF(N84&lt;&gt;0,0,SUM(INDIRECT("T"&amp;(MAX((0&lt;&gt;N$12:N84)*ROW(N$12:N84)+1,ROW($T$12))&amp;":T"&amp;(ROW()-1))))),Первоначальный[[#This Row],[Полученный платеж]]+Y84),
AND(S84=0,Первоначальный[[#This Row],[Дата платежа из графика]]=1),MIN(LOOKUP(,-1/($Z$12:Z85=1),$C$12:C85)+LOOKUP(,-1/($Z$12:Z85=1),$H$12:H85)-IF(Z84=1,0,SUM(INDIRECT("T"&amp;(MAX((1=Z$12:Z84)*ROW(Z$12:Z84)+1,ROW($T$12))&amp;":T"&amp;(ROW()-1))))),Первоначальный[[#This Row],[Полученный платеж]]+Y84),
AND(Z84&gt;0,Первоначальный[[#This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платеж]]+Y84),
AND(S84&gt;0,MAX((0&lt;&gt;S$12:S84)*ROW(S$12:S84),ROW($S$12))&gt;=MAX((1=Z$12:Z84)*ROW(Z$12:Z84),ROW($T$12)),TYPE(VLOOKUP("Да",(INDIRECT("AA"&amp;(MAX((1=Z$12:Z84)*ROW(Z$12:Z84),ROW($T$12))&amp;":AA"&amp;(ROW()-1)))),1,0))=16),MIN(LOOKUP(,-1/($Z$12:Z85=1),$C$12:C85)+LOOKUP(,-1/($Z$12:Z85=1),$H$12:H85)-SUM(INDIRECT("T"&amp;(MAX((1=Z$12:Z84)*ROW(Z$12:Z84),ROW($T$12))&amp;":T"&amp;(ROW()-1)))),Первоначальный[[#This Row],[Полученный платеж]]+Y84),
S84&gt;0,MIN(LOOKUP(,-1/($Z$12:Z85=1),$C$12:C85)+LOOKUP(,-1/($Z$12:Z85=1),$H$12:H85)-IF(Z84=1,0,SUM(INDIRECT("T"&amp;(MAX((1=Z$12:Z84)*ROW(Z$12:Z84)+1,ROW($T$12))&amp;":T"&amp;(ROW()-1))))),Первоначальный[[#This Row],[Полученный платеж]]+Y84)
)
)
)</f>
        <v>0</v>
      </c>
      <c r="U8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платеж]]+Y84-Первоначальный[[#This Row],[Полученный платёж по процентам]])</f>
        <v>0</v>
      </c>
      <c r="V85" s="55">
        <f t="shared" ca="1" si="13"/>
        <v>0</v>
      </c>
      <c r="W85" s="55" cm="1">
        <f t="array" aca="1" ref="W85" ca="1">IF(Первоначальный[[#This Row],[Итого остаток на начало периода]]&lt;1,0,
_xlfn.IFS(
AND(TYPE(VLOOKUP(1,$Z$12:Z85,1,0))=16,Первоначальный[[#This Row],[Досрочное погашение (да/"")]]=""),0,
AND(S84=0,Первоначальный[[#This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комиссиям]]),VLOOKUP(LOOKUP(,-1/($Z$12:Z85=1),$A$12:A85),График[[Срок конец]:[Возврат основной суммы долга]],3,0)),
AND(S84=0,Первоначальный[[#This Row],[Дата платежа из графика]]="",Первоначальный[[#This Row],[Досрочное погашение (да/"")]]&lt;&gt;"Да"),0,
AND(S84=0,Первоначальный[[#This Row],[Досрочное погашение (да/"")]]=""),MIN(Первоначальный[[#This Row],[Полученный платеж]]+Y84-SUM(Первоначальный[[#This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комиссиям]]),VLOOKUP(LOOKUP(,-1/($Z$12:Z85=1),$A$12:A85),График[[Срок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S84&gt;0,MIN(Первоначальный[[#This Row],[Полученный платеж]]+Y84-SUM(Первоначальный[[#This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комиссиям]]),SUM(INDIRECT("M"&amp;(MAX((1=S$12:S84)*ROW(S$12:S84),ROW($W$12))&amp;":M"&amp;(ROW()))))-SUM(INDIRECT("W"&amp;(MAX((1=S$12:S84)*ROW(S$12:S84),ROW($W$12))&amp;":W"&amp;(ROW()-1)))))
)
)</f>
        <v>0</v>
      </c>
      <c r="X85" s="55">
        <f t="shared" ca="1" si="14"/>
        <v>0</v>
      </c>
      <c r="Y85" s="101">
        <f t="shared" ca="1" si="21"/>
        <v>0</v>
      </c>
      <c r="Z85" s="133" t="str">
        <f>IF(TYPE((VLOOKUP(Первоначальный[[#This Row],[Дата платежа]],График[Срок конец],1,0)))=16,"",1)</f>
        <v/>
      </c>
      <c r="AA85" s="57"/>
      <c r="AB85" s="134"/>
      <c r="AC8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884.56000000000074</v>
      </c>
      <c r="AE8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8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85" s="55"/>
      <c r="AI85" s="55"/>
      <c r="AJ85" s="55"/>
      <c r="AK85" s="101">
        <f t="shared" ca="1" si="22"/>
        <v>150517.9</v>
      </c>
      <c r="AL85" s="129">
        <f t="array" ref="AL85">MAX((УслРестрактов[Характеристика]="Дата реструктуризации")*(УслРестрактов[Значение]=Первоначальный!$A85),0)</f>
        <v>0</v>
      </c>
    </row>
    <row r="86" spans="1:38" x14ac:dyDescent="0.25">
      <c r="A86" s="97">
        <f t="shared" si="15"/>
        <v>44217</v>
      </c>
      <c r="B86" s="100">
        <f t="shared" ca="1" si="16"/>
        <v>149633.34</v>
      </c>
      <c r="C86" s="55">
        <f t="shared" ca="1" si="12"/>
        <v>884.56000000000074</v>
      </c>
      <c r="D86" s="55">
        <f t="shared" ca="1" si="12"/>
        <v>0</v>
      </c>
      <c r="E86" s="55">
        <f t="shared" ca="1" si="17"/>
        <v>0</v>
      </c>
      <c r="F86" s="55">
        <f t="shared" ca="1" si="18"/>
        <v>0</v>
      </c>
      <c r="G86" s="101">
        <f t="shared" ca="1" si="19"/>
        <v>150517.9</v>
      </c>
      <c r="H86" s="100">
        <f ca="1">ROUND($B86*VLOOKUP($A86,$A$1:$B$10,2,1)/(365+IF(MOD(YEAR($A86),4),0,1)*($A86-$A85)),2)-Первоначальный[[#This Row],[Проценты на просроченный платеж по ОД за период]]</f>
        <v>81.58</v>
      </c>
      <c r="I86" s="55">
        <f t="shared" ca="1" si="20"/>
        <v>0</v>
      </c>
      <c r="J86" s="55">
        <v>0</v>
      </c>
      <c r="K86" s="55">
        <f t="shared" ca="1" si="23"/>
        <v>0</v>
      </c>
      <c r="L86" s="55">
        <v>0</v>
      </c>
      <c r="M86" s="113">
        <f>SUMIFS(График[Возврат основной суммы долга],График[Дата с учетом нерабочих дней],$A86)</f>
        <v>0</v>
      </c>
      <c r="N86" s="56">
        <f>SUMIFS(График[Возврат начисленных %],График[Дата с учетом нерабочих дней],$A86)</f>
        <v>0</v>
      </c>
      <c r="O86" s="101">
        <v>0</v>
      </c>
      <c r="P86" s="100" cm="1">
        <f t="array" aca="1" ref="P86" ca="1">MAX(IF(AA85="Да",0,SUM(INDIRECT("M"&amp;(MAX(("Да"=AA$12:AA85)*ROW(AA$12:AA85)+1,ROW($P$12))&amp;":M"&amp;(ROW()))))-SUM(INDIRECT("W"&amp;(MAX(("Да"=AA$12:AA85)*ROW(AA$12:AA85)+1,ROW($P$12))&amp;":W"&amp;(ROW()))))),0)</f>
        <v>4.9999999999727152E-2</v>
      </c>
      <c r="Q86" s="99">
        <f ca="1">MAX(SUM($N$13:N86)-SUM($T$13:T86),0)</f>
        <v>0</v>
      </c>
      <c r="R86" s="99">
        <f ca="1">Первоначальный[[#This Row],[Просроченный платеж по ОД]]+Первоначальный[[#This Row],[Просроченный платеж по процентам]]</f>
        <v>4.9999999999727152E-2</v>
      </c>
      <c r="S86" s="120">
        <f ca="1">IF(Первоначальный[[#This Row],[Просроченный платеж]]&lt;1,0,S85+1)</f>
        <v>0</v>
      </c>
      <c r="T86" s="100" cm="1">
        <f t="array" aca="1" ref="T86" ca="1">IF(Первоначальный[[#This Row],[Итого остаток на начало периода]]&lt;1,0,
IF(
AND(TYPE(VLOOKUP(1,$Z$12:Z86,1,0))=16,Первоначальный[[#This Row],[Досрочное погашение (да/"")]]=""),0,
_xlfn.IFS(AND(S85=0,Первоначальный[[#This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платеж]]&lt;&gt;0),MIN(LOOKUP(,-1/($Z$12:Z86=1),$C$12:C86)+LOOKUP(,-1/($Z$12:Z86=1),$H$12:H86),Первоначальный[[#This Row],[Полученный платеж]]+Y85),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платеж]]+Y85,SUM(Первоначальный[[#This Row],[Остаток процентов на начало периода]],Первоначальный[[#This Row],[Проценты за период]])),
AND(S85=0,Первоначальный[[#This Row],[Дата платежа из графика]]=""),0,
AND(S85=0,Первоначальный[[#This Row],[Дата платежа из графика]]=1,MAX((0&lt;&gt;S$12:S85)*ROW(S$12:S85),ROW($S$12))&gt;=MAX((1=Z$12:Z85)*ROW(Z$12:Z85),ROW($T$12)),TYPE(VLOOKUP("Да",(INDIRECT("AA"&amp;(MAX((1=Z$12:Z85)*ROW(Z$12:Z85),ROW($T$12))&amp;":AA"&amp;(ROW()-1)))),1,0))=16),MIN(LOOKUP(,-1/($Z$12:Z86=1),$C$12:C86)+LOOKUP(,-1/($Z$12:Z86=1),$H$12:H86),Первоначальный[[#This Row],[Полученный платеж]]+Y85),
AND(S85=0,TYPE(VLOOKUP("Да",(INDIRECT("AA"&amp;(MAX((1=Z$12:Z85)*ROW(Z$12:Z85),ROW($T$12))&amp;":AA"&amp;(ROW()-1)))),1,0))&lt;&gt;16),MIN(LOOKUP(,-1/($Z$12:Z86=1),$C$12:C86)+LOOKUP(,-1/($Z$12:Z86=1),$H$12:H86)-IF(AA85="Да",0,SUM(INDIRECT("T"&amp;(MAX(("Да"=AA$12:AA85)*ROW(AA$12:AA85)+1,ROW($T$12))&amp;":T"&amp;(ROW()-1))))),Первоначальный[[#This Row],[Полученный платеж]]+Y85),
AND(S85=0,MAX((0&lt;&gt;N$12:N85)*ROW(N$12:N85),ROW($S$12))&gt;=MAX((1=Z$12:Z85)*ROW(Z$12:Z85),ROW($T$12))),MIN(LOOKUP(,-1/($Z$12:Z86=1),$C$12:C86)+LOOKUP(,-1/($Z$12:Z86=1),$H$12:H86)-IF(N85&lt;&gt;0,0,SUM(INDIRECT("T"&amp;(MAX((0&lt;&gt;N$12:N85)*ROW(N$12:N85)+1,ROW($T$12))&amp;":T"&amp;(ROW()-1))))),Первоначальный[[#This Row],[Полученный платеж]]+Y85),
AND(S85=0,Первоначальный[[#This Row],[Дата платежа из графика]]=1),MIN(LOOKUP(,-1/($Z$12:Z86=1),$C$12:C86)+LOOKUP(,-1/($Z$12:Z86=1),$H$12:H86)-IF(Z85=1,0,SUM(INDIRECT("T"&amp;(MAX((1=Z$12:Z85)*ROW(Z$12:Z85)+1,ROW($T$12))&amp;":T"&amp;(ROW()-1))))),Первоначальный[[#This Row],[Полученный платеж]]+Y85),
AND(Z85&gt;0,Первоначальный[[#This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платеж]]+Y85),
AND(S85&gt;0,MAX((0&lt;&gt;S$12:S85)*ROW(S$12:S85),ROW($S$12))&gt;=MAX((1=Z$12:Z85)*ROW(Z$12:Z85),ROW($T$12)),TYPE(VLOOKUP("Да",(INDIRECT("AA"&amp;(MAX((1=Z$12:Z85)*ROW(Z$12:Z85),ROW($T$12))&amp;":AA"&amp;(ROW()-1)))),1,0))=16),MIN(LOOKUP(,-1/($Z$12:Z86=1),$C$12:C86)+LOOKUP(,-1/($Z$12:Z86=1),$H$12:H86)-SUM(INDIRECT("T"&amp;(MAX((1=Z$12:Z85)*ROW(Z$12:Z85),ROW($T$12))&amp;":T"&amp;(ROW()-1)))),Первоначальный[[#This Row],[Полученный платеж]]+Y85),
S85&gt;0,MIN(LOOKUP(,-1/($Z$12:Z86=1),$C$12:C86)+LOOKUP(,-1/($Z$12:Z86=1),$H$12:H86)-IF(Z85=1,0,SUM(INDIRECT("T"&amp;(MAX((1=Z$12:Z85)*ROW(Z$12:Z85)+1,ROW($T$12))&amp;":T"&amp;(ROW()-1))))),Первоначальный[[#This Row],[Полученный платеж]]+Y85)
)
)
)</f>
        <v>0</v>
      </c>
      <c r="U8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платеж]]+Y85-Первоначальный[[#This Row],[Полученный платёж по процентам]])</f>
        <v>0</v>
      </c>
      <c r="V86" s="55">
        <f t="shared" ca="1" si="13"/>
        <v>0</v>
      </c>
      <c r="W86" s="55" cm="1">
        <f t="array" aca="1" ref="W86" ca="1">IF(Первоначальный[[#This Row],[Итого остаток на начало периода]]&lt;1,0,
_xlfn.IFS(
AND(TYPE(VLOOKUP(1,$Z$12:Z86,1,0))=16,Первоначальный[[#This Row],[Досрочное погашение (да/"")]]=""),0,
AND(S85=0,Первоначальный[[#This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комиссиям]]),VLOOKUP(LOOKUP(,-1/($Z$12:Z86=1),$A$12:A86),График[[Срок конец]:[Возврат основной суммы долга]],3,0)),
AND(S85=0,Первоначальный[[#This Row],[Дата платежа из графика]]="",Первоначальный[[#This Row],[Досрочное погашение (да/"")]]&lt;&gt;"Да"),0,
AND(S85=0,Первоначальный[[#This Row],[Досрочное погашение (да/"")]]=""),MIN(Первоначальный[[#This Row],[Полученный платеж]]+Y85-SUM(Первоначальный[[#This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комиссиям]]),VLOOKUP(LOOKUP(,-1/($Z$12:Z86=1),$A$12:A86),График[[Срок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S85&gt;0,MIN(Первоначальный[[#This Row],[Полученный платеж]]+Y85-SUM(Первоначальный[[#This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комиссиям]]),SUM(INDIRECT("M"&amp;(MAX((1=S$12:S85)*ROW(S$12:S85),ROW($W$12))&amp;":M"&amp;(ROW()))))-SUM(INDIRECT("W"&amp;(MAX((1=S$12:S85)*ROW(S$12:S85),ROW($W$12))&amp;":W"&amp;(ROW()-1)))))
)
)</f>
        <v>0</v>
      </c>
      <c r="X86" s="55">
        <f t="shared" ca="1" si="14"/>
        <v>0</v>
      </c>
      <c r="Y86" s="101">
        <f t="shared" ca="1" si="21"/>
        <v>0</v>
      </c>
      <c r="Z86" s="133" t="str">
        <f>IF(TYPE((VLOOKUP(Первоначальный[[#This Row],[Дата платежа]],График[Срок конец],1,0)))=16,"",1)</f>
        <v/>
      </c>
      <c r="AA86" s="57"/>
      <c r="AB86" s="134"/>
      <c r="AC8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966.14000000000078</v>
      </c>
      <c r="AE8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8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86" s="55"/>
      <c r="AI86" s="55"/>
      <c r="AJ86" s="55"/>
      <c r="AK86" s="101">
        <f t="shared" ca="1" si="22"/>
        <v>150599.48000000001</v>
      </c>
      <c r="AL86" s="129">
        <f t="array" ref="AL86">MAX((УслРестрактов[Характеристика]="Дата реструктуризации")*(УслРестрактов[Значение]=Первоначальный!$A86),0)</f>
        <v>0</v>
      </c>
    </row>
    <row r="87" spans="1:38" x14ac:dyDescent="0.25">
      <c r="A87" s="97">
        <f t="shared" si="15"/>
        <v>44218</v>
      </c>
      <c r="B87" s="100">
        <f t="shared" ca="1" si="16"/>
        <v>149633.34</v>
      </c>
      <c r="C87" s="55">
        <f t="shared" ca="1" si="12"/>
        <v>966.14000000000078</v>
      </c>
      <c r="D87" s="55">
        <f t="shared" ca="1" si="12"/>
        <v>0</v>
      </c>
      <c r="E87" s="55">
        <f t="shared" ca="1" si="17"/>
        <v>0</v>
      </c>
      <c r="F87" s="55">
        <f t="shared" ca="1" si="18"/>
        <v>0</v>
      </c>
      <c r="G87" s="101">
        <f t="shared" ca="1" si="19"/>
        <v>150599.48000000001</v>
      </c>
      <c r="H87" s="100">
        <f ca="1">ROUND($B87*VLOOKUP($A87,$A$1:$B$10,2,1)/(365+IF(MOD(YEAR($A87),4),0,1)*($A87-$A86)),2)-Первоначальный[[#This Row],[Проценты на просроченный платеж по ОД за период]]</f>
        <v>81.58</v>
      </c>
      <c r="I87" s="55">
        <f t="shared" ca="1" si="20"/>
        <v>0</v>
      </c>
      <c r="J87" s="55">
        <v>0</v>
      </c>
      <c r="K87" s="55">
        <f t="shared" ca="1" si="23"/>
        <v>0</v>
      </c>
      <c r="L87" s="55">
        <v>0</v>
      </c>
      <c r="M87" s="113">
        <f>SUMIFS(График[Возврат основной суммы долга],График[Дата с учетом нерабочих дней],$A87)</f>
        <v>0</v>
      </c>
      <c r="N87" s="56">
        <f>SUMIFS(График[Возврат начисленных %],График[Дата с учетом нерабочих дней],$A87)</f>
        <v>0</v>
      </c>
      <c r="O87" s="101">
        <v>0</v>
      </c>
      <c r="P87" s="100" cm="1">
        <f t="array" aca="1" ref="P87" ca="1">MAX(IF(AA86="Да",0,SUM(INDIRECT("M"&amp;(MAX(("Да"=AA$12:AA86)*ROW(AA$12:AA86)+1,ROW($P$12))&amp;":M"&amp;(ROW()))))-SUM(INDIRECT("W"&amp;(MAX(("Да"=AA$12:AA86)*ROW(AA$12:AA86)+1,ROW($P$12))&amp;":W"&amp;(ROW()))))),0)</f>
        <v>4.9999999999727152E-2</v>
      </c>
      <c r="Q87" s="99">
        <f ca="1">MAX(SUM($N$13:N87)-SUM($T$13:T87),0)</f>
        <v>0</v>
      </c>
      <c r="R87" s="99">
        <f ca="1">Первоначальный[[#This Row],[Просроченный платеж по ОД]]+Первоначальный[[#This Row],[Просроченный платеж по процентам]]</f>
        <v>4.9999999999727152E-2</v>
      </c>
      <c r="S87" s="120">
        <f ca="1">IF(Первоначальный[[#This Row],[Просроченный платеж]]&lt;1,0,S86+1)</f>
        <v>0</v>
      </c>
      <c r="T87" s="100" cm="1">
        <f t="array" aca="1" ref="T87" ca="1">IF(Первоначальный[[#This Row],[Итого остаток на начало периода]]&lt;1,0,
IF(
AND(TYPE(VLOOKUP(1,$Z$12:Z87,1,0))=16,Первоначальный[[#This Row],[Досрочное погашение (да/"")]]=""),0,
_xlfn.IFS(AND(S86=0,Первоначальный[[#This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платеж]]&lt;&gt;0),MIN(LOOKUP(,-1/($Z$12:Z87=1),$C$12:C87)+LOOKUP(,-1/($Z$12:Z87=1),$H$12:H87),Первоначальный[[#This Row],[Полученный платеж]]+Y86),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платеж]]+Y86,SUM(Первоначальный[[#This Row],[Остаток процентов на начало периода]],Первоначальный[[#This Row],[Проценты за период]])),
AND(S86=0,Первоначальный[[#This Row],[Дата платежа из графика]]=""),0,
AND(S86=0,Первоначальный[[#This Row],[Дата платежа из графика]]=1,MAX((0&lt;&gt;S$12:S86)*ROW(S$12:S86),ROW($S$12))&gt;=MAX((1=Z$12:Z86)*ROW(Z$12:Z86),ROW($T$12)),TYPE(VLOOKUP("Да",(INDIRECT("AA"&amp;(MAX((1=Z$12:Z86)*ROW(Z$12:Z86),ROW($T$12))&amp;":AA"&amp;(ROW()-1)))),1,0))=16),MIN(LOOKUP(,-1/($Z$12:Z87=1),$C$12:C87)+LOOKUP(,-1/($Z$12:Z87=1),$H$12:H87),Первоначальный[[#This Row],[Полученный платеж]]+Y86),
AND(S86=0,TYPE(VLOOKUP("Да",(INDIRECT("AA"&amp;(MAX((1=Z$12:Z86)*ROW(Z$12:Z86),ROW($T$12))&amp;":AA"&amp;(ROW()-1)))),1,0))&lt;&gt;16),MIN(LOOKUP(,-1/($Z$12:Z87=1),$C$12:C87)+LOOKUP(,-1/($Z$12:Z87=1),$H$12:H87)-IF(AA86="Да",0,SUM(INDIRECT("T"&amp;(MAX(("Да"=AA$12:AA86)*ROW(AA$12:AA86)+1,ROW($T$12))&amp;":T"&amp;(ROW()-1))))),Первоначальный[[#This Row],[Полученный платеж]]+Y86),
AND(S86=0,MAX((0&lt;&gt;N$12:N86)*ROW(N$12:N86),ROW($S$12))&gt;=MAX((1=Z$12:Z86)*ROW(Z$12:Z86),ROW($T$12))),MIN(LOOKUP(,-1/($Z$12:Z87=1),$C$12:C87)+LOOKUP(,-1/($Z$12:Z87=1),$H$12:H87)-IF(N86&lt;&gt;0,0,SUM(INDIRECT("T"&amp;(MAX((0&lt;&gt;N$12:N86)*ROW(N$12:N86)+1,ROW($T$12))&amp;":T"&amp;(ROW()-1))))),Первоначальный[[#This Row],[Полученный платеж]]+Y86),
AND(S86=0,Первоначальный[[#This Row],[Дата платежа из графика]]=1),MIN(LOOKUP(,-1/($Z$12:Z87=1),$C$12:C87)+LOOKUP(,-1/($Z$12:Z87=1),$H$12:H87)-IF(Z86=1,0,SUM(INDIRECT("T"&amp;(MAX((1=Z$12:Z86)*ROW(Z$12:Z86)+1,ROW($T$12))&amp;":T"&amp;(ROW()-1))))),Первоначальный[[#This Row],[Полученный платеж]]+Y86),
AND(Z86&gt;0,Первоначальный[[#This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платеж]]+Y86),
AND(S86&gt;0,MAX((0&lt;&gt;S$12:S86)*ROW(S$12:S86),ROW($S$12))&gt;=MAX((1=Z$12:Z86)*ROW(Z$12:Z86),ROW($T$12)),TYPE(VLOOKUP("Да",(INDIRECT("AA"&amp;(MAX((1=Z$12:Z86)*ROW(Z$12:Z86),ROW($T$12))&amp;":AA"&amp;(ROW()-1)))),1,0))=16),MIN(LOOKUP(,-1/($Z$12:Z87=1),$C$12:C87)+LOOKUP(,-1/($Z$12:Z87=1),$H$12:H87)-SUM(INDIRECT("T"&amp;(MAX((1=Z$12:Z86)*ROW(Z$12:Z86),ROW($T$12))&amp;":T"&amp;(ROW()-1)))),Первоначальный[[#This Row],[Полученный платеж]]+Y86),
S86&gt;0,MIN(LOOKUP(,-1/($Z$12:Z87=1),$C$12:C87)+LOOKUP(,-1/($Z$12:Z87=1),$H$12:H87)-IF(Z86=1,0,SUM(INDIRECT("T"&amp;(MAX((1=Z$12:Z86)*ROW(Z$12:Z86)+1,ROW($T$12))&amp;":T"&amp;(ROW()-1))))),Первоначальный[[#This Row],[Полученный платеж]]+Y86)
)
)
)</f>
        <v>0</v>
      </c>
      <c r="U8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платеж]]+Y86-Первоначальный[[#This Row],[Полученный платёж по процентам]])</f>
        <v>0</v>
      </c>
      <c r="V87" s="55">
        <f t="shared" ca="1" si="13"/>
        <v>0</v>
      </c>
      <c r="W87" s="55" cm="1">
        <f t="array" aca="1" ref="W87" ca="1">IF(Первоначальный[[#This Row],[Итого остаток на начало периода]]&lt;1,0,
_xlfn.IFS(
AND(TYPE(VLOOKUP(1,$Z$12:Z87,1,0))=16,Первоначальный[[#This Row],[Досрочное погашение (да/"")]]=""),0,
AND(S86=0,Первоначальный[[#This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комиссиям]]),VLOOKUP(LOOKUP(,-1/($Z$12:Z87=1),$A$12:A87),График[[Срок конец]:[Возврат основной суммы долга]],3,0)),
AND(S86=0,Первоначальный[[#This Row],[Дата платежа из графика]]="",Первоначальный[[#This Row],[Досрочное погашение (да/"")]]&lt;&gt;"Да"),0,
AND(S86=0,Первоначальный[[#This Row],[Досрочное погашение (да/"")]]=""),MIN(Первоначальный[[#This Row],[Полученный платеж]]+Y86-SUM(Первоначальный[[#This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комиссиям]]),VLOOKUP(LOOKUP(,-1/($Z$12:Z87=1),$A$12:A87),График[[Срок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S86&gt;0,MIN(Первоначальный[[#This Row],[Полученный платеж]]+Y86-SUM(Первоначальный[[#This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комиссиям]]),SUM(INDIRECT("M"&amp;(MAX((1=S$12:S86)*ROW(S$12:S86),ROW($W$12))&amp;":M"&amp;(ROW()))))-SUM(INDIRECT("W"&amp;(MAX((1=S$12:S86)*ROW(S$12:S86),ROW($W$12))&amp;":W"&amp;(ROW()-1)))))
)
)</f>
        <v>0</v>
      </c>
      <c r="X87" s="55">
        <f t="shared" ca="1" si="14"/>
        <v>0</v>
      </c>
      <c r="Y87" s="101">
        <f t="shared" ca="1" si="21"/>
        <v>0</v>
      </c>
      <c r="Z87" s="133" t="str">
        <f>IF(TYPE((VLOOKUP(Первоначальный[[#This Row],[Дата платежа]],График[Срок конец],1,0)))=16,"",1)</f>
        <v/>
      </c>
      <c r="AA87" s="57"/>
      <c r="AB87" s="134"/>
      <c r="AC8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1047.7200000000007</v>
      </c>
      <c r="AE8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8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87" s="55"/>
      <c r="AI87" s="55"/>
      <c r="AJ87" s="55"/>
      <c r="AK87" s="101">
        <f t="shared" ca="1" si="22"/>
        <v>150681.06</v>
      </c>
      <c r="AL87" s="129">
        <f t="array" ref="AL87">MAX((УслРестрактов[Характеристика]="Дата реструктуризации")*(УслРестрактов[Значение]=Первоначальный!$A87),0)</f>
        <v>0</v>
      </c>
    </row>
    <row r="88" spans="1:38" x14ac:dyDescent="0.25">
      <c r="A88" s="97">
        <f t="shared" si="15"/>
        <v>44219</v>
      </c>
      <c r="B88" s="100">
        <f t="shared" ca="1" si="16"/>
        <v>149633.34</v>
      </c>
      <c r="C88" s="55">
        <f t="shared" ca="1" si="12"/>
        <v>1047.7200000000007</v>
      </c>
      <c r="D88" s="55">
        <f t="shared" ca="1" si="12"/>
        <v>0</v>
      </c>
      <c r="E88" s="55">
        <f t="shared" ca="1" si="17"/>
        <v>0</v>
      </c>
      <c r="F88" s="55">
        <f t="shared" ca="1" si="18"/>
        <v>0</v>
      </c>
      <c r="G88" s="101">
        <f t="shared" ca="1" si="19"/>
        <v>150681.06</v>
      </c>
      <c r="H88" s="100">
        <f ca="1">ROUND($B88*VLOOKUP($A88,$A$1:$B$10,2,1)/(365+IF(MOD(YEAR($A88),4),0,1)*($A88-$A87)),2)-Первоначальный[[#This Row],[Проценты на просроченный платеж по ОД за период]]</f>
        <v>81.58</v>
      </c>
      <c r="I88" s="55">
        <f t="shared" ca="1" si="20"/>
        <v>0</v>
      </c>
      <c r="J88" s="55">
        <v>0</v>
      </c>
      <c r="K88" s="55">
        <f t="shared" ca="1" si="23"/>
        <v>0</v>
      </c>
      <c r="L88" s="55">
        <v>0</v>
      </c>
      <c r="M88" s="113">
        <f>SUMIFS(График[Возврат основной суммы долга],График[Дата с учетом нерабочих дней],$A88)</f>
        <v>0</v>
      </c>
      <c r="N88" s="56">
        <f>SUMIFS(График[Возврат начисленных %],График[Дата с учетом нерабочих дней],$A88)</f>
        <v>0</v>
      </c>
      <c r="O88" s="101">
        <v>0</v>
      </c>
      <c r="P88" s="100" cm="1">
        <f t="array" aca="1" ref="P88" ca="1">MAX(IF(AA87="Да",0,SUM(INDIRECT("M"&amp;(MAX(("Да"=AA$12:AA87)*ROW(AA$12:AA87)+1,ROW($P$12))&amp;":M"&amp;(ROW()))))-SUM(INDIRECT("W"&amp;(MAX(("Да"=AA$12:AA87)*ROW(AA$12:AA87)+1,ROW($P$12))&amp;":W"&amp;(ROW()))))),0)</f>
        <v>4.9999999999727152E-2</v>
      </c>
      <c r="Q88" s="99">
        <f ca="1">MAX(SUM($N$13:N88)-SUM($T$13:T88),0)</f>
        <v>0</v>
      </c>
      <c r="R88" s="99">
        <f ca="1">Первоначальный[[#This Row],[Просроченный платеж по ОД]]+Первоначальный[[#This Row],[Просроченный платеж по процентам]]</f>
        <v>4.9999999999727152E-2</v>
      </c>
      <c r="S88" s="120">
        <f ca="1">IF(Первоначальный[[#This Row],[Просроченный платеж]]&lt;1,0,S87+1)</f>
        <v>0</v>
      </c>
      <c r="T88" s="100" cm="1">
        <f t="array" aca="1" ref="T88" ca="1">IF(Первоначальный[[#This Row],[Итого остаток на начало периода]]&lt;1,0,
IF(
AND(TYPE(VLOOKUP(1,$Z$12:Z88,1,0))=16,Первоначальный[[#This Row],[Досрочное погашение (да/"")]]=""),0,
_xlfn.IFS(AND(S87=0,Первоначальный[[#This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платеж]]&lt;&gt;0),MIN(LOOKUP(,-1/($Z$12:Z88=1),$C$12:C88)+LOOKUP(,-1/($Z$12:Z88=1),$H$12:H88),Первоначальный[[#This Row],[Полученный платеж]]+Y87),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платеж]]+Y87,SUM(Первоначальный[[#This Row],[Остаток процентов на начало периода]],Первоначальный[[#This Row],[Проценты за период]])),
AND(S87=0,Первоначальный[[#This Row],[Дата платежа из графика]]=""),0,
AND(S87=0,Первоначальный[[#This Row],[Дата платежа из графика]]=1,MAX((0&lt;&gt;S$12:S87)*ROW(S$12:S87),ROW($S$12))&gt;=MAX((1=Z$12:Z87)*ROW(Z$12:Z87),ROW($T$12)),TYPE(VLOOKUP("Да",(INDIRECT("AA"&amp;(MAX((1=Z$12:Z87)*ROW(Z$12:Z87),ROW($T$12))&amp;":AA"&amp;(ROW()-1)))),1,0))=16),MIN(LOOKUP(,-1/($Z$12:Z88=1),$C$12:C88)+LOOKUP(,-1/($Z$12:Z88=1),$H$12:H88),Первоначальный[[#This Row],[Полученный платеж]]+Y87),
AND(S87=0,TYPE(VLOOKUP("Да",(INDIRECT("AA"&amp;(MAX((1=Z$12:Z87)*ROW(Z$12:Z87),ROW($T$12))&amp;":AA"&amp;(ROW()-1)))),1,0))&lt;&gt;16),MIN(LOOKUP(,-1/($Z$12:Z88=1),$C$12:C88)+LOOKUP(,-1/($Z$12:Z88=1),$H$12:H88)-IF(AA87="Да",0,SUM(INDIRECT("T"&amp;(MAX(("Да"=AA$12:AA87)*ROW(AA$12:AA87)+1,ROW($T$12))&amp;":T"&amp;(ROW()-1))))),Первоначальный[[#This Row],[Полученный платеж]]+Y87),
AND(S87=0,MAX((0&lt;&gt;N$12:N87)*ROW(N$12:N87),ROW($S$12))&gt;=MAX((1=Z$12:Z87)*ROW(Z$12:Z87),ROW($T$12))),MIN(LOOKUP(,-1/($Z$12:Z88=1),$C$12:C88)+LOOKUP(,-1/($Z$12:Z88=1),$H$12:H88)-IF(N87&lt;&gt;0,0,SUM(INDIRECT("T"&amp;(MAX((0&lt;&gt;N$12:N87)*ROW(N$12:N87)+1,ROW($T$12))&amp;":T"&amp;(ROW()-1))))),Первоначальный[[#This Row],[Полученный платеж]]+Y87),
AND(S87=0,Первоначальный[[#This Row],[Дата платежа из графика]]=1),MIN(LOOKUP(,-1/($Z$12:Z88=1),$C$12:C88)+LOOKUP(,-1/($Z$12:Z88=1),$H$12:H88)-IF(Z87=1,0,SUM(INDIRECT("T"&amp;(MAX((1=Z$12:Z87)*ROW(Z$12:Z87)+1,ROW($T$12))&amp;":T"&amp;(ROW()-1))))),Первоначальный[[#This Row],[Полученный платеж]]+Y87),
AND(Z87&gt;0,Первоначальный[[#This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платеж]]+Y87),
AND(S87&gt;0,MAX((0&lt;&gt;S$12:S87)*ROW(S$12:S87),ROW($S$12))&gt;=MAX((1=Z$12:Z87)*ROW(Z$12:Z87),ROW($T$12)),TYPE(VLOOKUP("Да",(INDIRECT("AA"&amp;(MAX((1=Z$12:Z87)*ROW(Z$12:Z87),ROW($T$12))&amp;":AA"&amp;(ROW()-1)))),1,0))=16),MIN(LOOKUP(,-1/($Z$12:Z88=1),$C$12:C88)+LOOKUP(,-1/($Z$12:Z88=1),$H$12:H88)-SUM(INDIRECT("T"&amp;(MAX((1=Z$12:Z87)*ROW(Z$12:Z87),ROW($T$12))&amp;":T"&amp;(ROW()-1)))),Первоначальный[[#This Row],[Полученный платеж]]+Y87),
S87&gt;0,MIN(LOOKUP(,-1/($Z$12:Z88=1),$C$12:C88)+LOOKUP(,-1/($Z$12:Z88=1),$H$12:H88)-IF(Z87=1,0,SUM(INDIRECT("T"&amp;(MAX((1=Z$12:Z87)*ROW(Z$12:Z87)+1,ROW($T$12))&amp;":T"&amp;(ROW()-1))))),Первоначальный[[#This Row],[Полученный платеж]]+Y87)
)
)
)</f>
        <v>0</v>
      </c>
      <c r="U8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платеж]]+Y87-Первоначальный[[#This Row],[Полученный платёж по процентам]])</f>
        <v>0</v>
      </c>
      <c r="V88" s="55">
        <f t="shared" ca="1" si="13"/>
        <v>0</v>
      </c>
      <c r="W88" s="55" cm="1">
        <f t="array" aca="1" ref="W88" ca="1">IF(Первоначальный[[#This Row],[Итого остаток на начало периода]]&lt;1,0,
_xlfn.IFS(
AND(TYPE(VLOOKUP(1,$Z$12:Z88,1,0))=16,Первоначальный[[#This Row],[Досрочное погашение (да/"")]]=""),0,
AND(S87=0,Первоначальный[[#This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комиссиям]]),VLOOKUP(LOOKUP(,-1/($Z$12:Z88=1),$A$12:A88),График[[Срок конец]:[Возврат основной суммы долга]],3,0)),
AND(S87=0,Первоначальный[[#This Row],[Дата платежа из графика]]="",Первоначальный[[#This Row],[Досрочное погашение (да/"")]]&lt;&gt;"Да"),0,
AND(S87=0,Первоначальный[[#This Row],[Досрочное погашение (да/"")]]=""),MIN(Первоначальный[[#This Row],[Полученный платеж]]+Y87-SUM(Первоначальный[[#This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комиссиям]]),VLOOKUP(LOOKUP(,-1/($Z$12:Z88=1),$A$12:A88),График[[Срок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S87&gt;0,MIN(Первоначальный[[#This Row],[Полученный платеж]]+Y87-SUM(Первоначальный[[#This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комиссиям]]),SUM(INDIRECT("M"&amp;(MAX((1=S$12:S87)*ROW(S$12:S87),ROW($W$12))&amp;":M"&amp;(ROW()))))-SUM(INDIRECT("W"&amp;(MAX((1=S$12:S87)*ROW(S$12:S87),ROW($W$12))&amp;":W"&amp;(ROW()-1)))))
)
)</f>
        <v>0</v>
      </c>
      <c r="X88" s="55">
        <f t="shared" ca="1" si="14"/>
        <v>0</v>
      </c>
      <c r="Y88" s="101">
        <f t="shared" ca="1" si="21"/>
        <v>0</v>
      </c>
      <c r="Z88" s="133" t="str">
        <f>IF(TYPE((VLOOKUP(Первоначальный[[#This Row],[Дата платежа]],График[Срок конец],1,0)))=16,"",1)</f>
        <v/>
      </c>
      <c r="AA88" s="57"/>
      <c r="AB88" s="134"/>
      <c r="AC8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1129.3000000000006</v>
      </c>
      <c r="AE8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8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88" s="55"/>
      <c r="AI88" s="55"/>
      <c r="AJ88" s="55"/>
      <c r="AK88" s="101">
        <f t="shared" ca="1" si="22"/>
        <v>150762.63999999998</v>
      </c>
      <c r="AL88" s="129">
        <f t="array" ref="AL88">MAX((УслРестрактов[Характеристика]="Дата реструктуризации")*(УслРестрактов[Значение]=Первоначальный!$A88),0)</f>
        <v>0</v>
      </c>
    </row>
    <row r="89" spans="1:38" x14ac:dyDescent="0.25">
      <c r="A89" s="97">
        <f t="shared" si="15"/>
        <v>44220</v>
      </c>
      <c r="B89" s="100">
        <f t="shared" ca="1" si="16"/>
        <v>149633.34</v>
      </c>
      <c r="C89" s="55">
        <f t="shared" ca="1" si="12"/>
        <v>1129.3000000000006</v>
      </c>
      <c r="D89" s="55">
        <f t="shared" ca="1" si="12"/>
        <v>0</v>
      </c>
      <c r="E89" s="55">
        <f t="shared" ca="1" si="17"/>
        <v>0</v>
      </c>
      <c r="F89" s="55">
        <f t="shared" ca="1" si="18"/>
        <v>0</v>
      </c>
      <c r="G89" s="101">
        <f t="shared" ca="1" si="19"/>
        <v>150762.63999999998</v>
      </c>
      <c r="H89" s="100">
        <f ca="1">ROUND($B89*VLOOKUP($A89,$A$1:$B$10,2,1)/(365+IF(MOD(YEAR($A89),4),0,1)*($A89-$A88)),2)-Первоначальный[[#This Row],[Проценты на просроченный платеж по ОД за период]]</f>
        <v>81.58</v>
      </c>
      <c r="I89" s="55">
        <f t="shared" ca="1" si="20"/>
        <v>0</v>
      </c>
      <c r="J89" s="55">
        <v>0</v>
      </c>
      <c r="K89" s="55">
        <f t="shared" ca="1" si="23"/>
        <v>0</v>
      </c>
      <c r="L89" s="55">
        <v>0</v>
      </c>
      <c r="M89" s="113">
        <f>SUMIFS(График[Возврат основной суммы долга],График[Дата с учетом нерабочих дней],$A89)</f>
        <v>0</v>
      </c>
      <c r="N89" s="56">
        <f>SUMIFS(График[Возврат начисленных %],График[Дата с учетом нерабочих дней],$A89)</f>
        <v>0</v>
      </c>
      <c r="O89" s="101">
        <v>0</v>
      </c>
      <c r="P89" s="100" cm="1">
        <f t="array" aca="1" ref="P89" ca="1">MAX(IF(AA88="Да",0,SUM(INDIRECT("M"&amp;(MAX(("Да"=AA$12:AA88)*ROW(AA$12:AA88)+1,ROW($P$12))&amp;":M"&amp;(ROW()))))-SUM(INDIRECT("W"&amp;(MAX(("Да"=AA$12:AA88)*ROW(AA$12:AA88)+1,ROW($P$12))&amp;":W"&amp;(ROW()))))),0)</f>
        <v>4.9999999999727152E-2</v>
      </c>
      <c r="Q89" s="99">
        <f ca="1">MAX(SUM($N$13:N89)-SUM($T$13:T89),0)</f>
        <v>0</v>
      </c>
      <c r="R89" s="99">
        <f ca="1">Первоначальный[[#This Row],[Просроченный платеж по ОД]]+Первоначальный[[#This Row],[Просроченный платеж по процентам]]</f>
        <v>4.9999999999727152E-2</v>
      </c>
      <c r="S89" s="120">
        <f ca="1">IF(Первоначальный[[#This Row],[Просроченный платеж]]&lt;1,0,S88+1)</f>
        <v>0</v>
      </c>
      <c r="T89" s="100" cm="1">
        <f t="array" aca="1" ref="T89" ca="1">IF(Первоначальный[[#This Row],[Итого остаток на начало периода]]&lt;1,0,
IF(
AND(TYPE(VLOOKUP(1,$Z$12:Z89,1,0))=16,Первоначальный[[#This Row],[Досрочное погашение (да/"")]]=""),0,
_xlfn.IFS(AND(S88=0,Первоначальный[[#This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платеж]]&lt;&gt;0),MIN(LOOKUP(,-1/($Z$12:Z89=1),$C$12:C89)+LOOKUP(,-1/($Z$12:Z89=1),$H$12:H89),Первоначальный[[#This Row],[Полученный платеж]]+Y88),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платеж]]+Y88,SUM(Первоначальный[[#This Row],[Остаток процентов на начало периода]],Первоначальный[[#This Row],[Проценты за период]])),
AND(S88=0,Первоначальный[[#This Row],[Дата платежа из графика]]=""),0,
AND(S88=0,Первоначальный[[#This Row],[Дата платежа из графика]]=1,MAX((0&lt;&gt;S$12:S88)*ROW(S$12:S88),ROW($S$12))&gt;=MAX((1=Z$12:Z88)*ROW(Z$12:Z88),ROW($T$12)),TYPE(VLOOKUP("Да",(INDIRECT("AA"&amp;(MAX((1=Z$12:Z88)*ROW(Z$12:Z88),ROW($T$12))&amp;":AA"&amp;(ROW()-1)))),1,0))=16),MIN(LOOKUP(,-1/($Z$12:Z89=1),$C$12:C89)+LOOKUP(,-1/($Z$12:Z89=1),$H$12:H89),Первоначальный[[#This Row],[Полученный платеж]]+Y88),
AND(S88=0,TYPE(VLOOKUP("Да",(INDIRECT("AA"&amp;(MAX((1=Z$12:Z88)*ROW(Z$12:Z88),ROW($T$12))&amp;":AA"&amp;(ROW()-1)))),1,0))&lt;&gt;16),MIN(LOOKUP(,-1/($Z$12:Z89=1),$C$12:C89)+LOOKUP(,-1/($Z$12:Z89=1),$H$12:H89)-IF(AA88="Да",0,SUM(INDIRECT("T"&amp;(MAX(("Да"=AA$12:AA88)*ROW(AA$12:AA88)+1,ROW($T$12))&amp;":T"&amp;(ROW()-1))))),Первоначальный[[#This Row],[Полученный платеж]]+Y88),
AND(S88=0,MAX((0&lt;&gt;N$12:N88)*ROW(N$12:N88),ROW($S$12))&gt;=MAX((1=Z$12:Z88)*ROW(Z$12:Z88),ROW($T$12))),MIN(LOOKUP(,-1/($Z$12:Z89=1),$C$12:C89)+LOOKUP(,-1/($Z$12:Z89=1),$H$12:H89)-IF(N88&lt;&gt;0,0,SUM(INDIRECT("T"&amp;(MAX((0&lt;&gt;N$12:N88)*ROW(N$12:N88)+1,ROW($T$12))&amp;":T"&amp;(ROW()-1))))),Первоначальный[[#This Row],[Полученный платеж]]+Y88),
AND(S88=0,Первоначальный[[#This Row],[Дата платежа из графика]]=1),MIN(LOOKUP(,-1/($Z$12:Z89=1),$C$12:C89)+LOOKUP(,-1/($Z$12:Z89=1),$H$12:H89)-IF(Z88=1,0,SUM(INDIRECT("T"&amp;(MAX((1=Z$12:Z88)*ROW(Z$12:Z88)+1,ROW($T$12))&amp;":T"&amp;(ROW()-1))))),Первоначальный[[#This Row],[Полученный платеж]]+Y88),
AND(Z88&gt;0,Первоначальный[[#This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платеж]]+Y88),
AND(S88&gt;0,MAX((0&lt;&gt;S$12:S88)*ROW(S$12:S88),ROW($S$12))&gt;=MAX((1=Z$12:Z88)*ROW(Z$12:Z88),ROW($T$12)),TYPE(VLOOKUP("Да",(INDIRECT("AA"&amp;(MAX((1=Z$12:Z88)*ROW(Z$12:Z88),ROW($T$12))&amp;":AA"&amp;(ROW()-1)))),1,0))=16),MIN(LOOKUP(,-1/($Z$12:Z89=1),$C$12:C89)+LOOKUP(,-1/($Z$12:Z89=1),$H$12:H89)-SUM(INDIRECT("T"&amp;(MAX((1=Z$12:Z88)*ROW(Z$12:Z88),ROW($T$12))&amp;":T"&amp;(ROW()-1)))),Первоначальный[[#This Row],[Полученный платеж]]+Y88),
S88&gt;0,MIN(LOOKUP(,-1/($Z$12:Z89=1),$C$12:C89)+LOOKUP(,-1/($Z$12:Z89=1),$H$12:H89)-IF(Z88=1,0,SUM(INDIRECT("T"&amp;(MAX((1=Z$12:Z88)*ROW(Z$12:Z88)+1,ROW($T$12))&amp;":T"&amp;(ROW()-1))))),Первоначальный[[#This Row],[Полученный платеж]]+Y88)
)
)
)</f>
        <v>0</v>
      </c>
      <c r="U8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платеж]]+Y88-Первоначальный[[#This Row],[Полученный платёж по процентам]])</f>
        <v>0</v>
      </c>
      <c r="V89" s="55">
        <f t="shared" ca="1" si="13"/>
        <v>0</v>
      </c>
      <c r="W89" s="55" cm="1">
        <f t="array" aca="1" ref="W89" ca="1">IF(Первоначальный[[#This Row],[Итого остаток на начало периода]]&lt;1,0,
_xlfn.IFS(
AND(TYPE(VLOOKUP(1,$Z$12:Z89,1,0))=16,Первоначальный[[#This Row],[Досрочное погашение (да/"")]]=""),0,
AND(S88=0,Первоначальный[[#This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комиссиям]]),VLOOKUP(LOOKUP(,-1/($Z$12:Z89=1),$A$12:A89),График[[Срок конец]:[Возврат основной суммы долга]],3,0)),
AND(S88=0,Первоначальный[[#This Row],[Дата платежа из графика]]="",Первоначальный[[#This Row],[Досрочное погашение (да/"")]]&lt;&gt;"Да"),0,
AND(S88=0,Первоначальный[[#This Row],[Досрочное погашение (да/"")]]=""),MIN(Первоначальный[[#This Row],[Полученный платеж]]+Y88-SUM(Первоначальный[[#This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комиссиям]]),VLOOKUP(LOOKUP(,-1/($Z$12:Z89=1),$A$12:A89),График[[Срок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S88&gt;0,MIN(Первоначальный[[#This Row],[Полученный платеж]]+Y88-SUM(Первоначальный[[#This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комиссиям]]),SUM(INDIRECT("M"&amp;(MAX((1=S$12:S88)*ROW(S$12:S88),ROW($W$12))&amp;":M"&amp;(ROW()))))-SUM(INDIRECT("W"&amp;(MAX((1=S$12:S88)*ROW(S$12:S88),ROW($W$12))&amp;":W"&amp;(ROW()-1)))))
)
)</f>
        <v>0</v>
      </c>
      <c r="X89" s="55">
        <f t="shared" ca="1" si="14"/>
        <v>0</v>
      </c>
      <c r="Y89" s="101">
        <f t="shared" ca="1" si="21"/>
        <v>0</v>
      </c>
      <c r="Z89" s="133" t="str">
        <f>IF(TYPE((VLOOKUP(Первоначальный[[#This Row],[Дата платежа]],График[Срок конец],1,0)))=16,"",1)</f>
        <v/>
      </c>
      <c r="AA89" s="57"/>
      <c r="AB89" s="134"/>
      <c r="AC8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1210.8800000000006</v>
      </c>
      <c r="AE8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8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89" s="55"/>
      <c r="AI89" s="55"/>
      <c r="AJ89" s="55"/>
      <c r="AK89" s="101">
        <f t="shared" ca="1" si="22"/>
        <v>150844.22</v>
      </c>
      <c r="AL89" s="129">
        <f t="array" ref="AL89">MAX((УслРестрактов[Характеристика]="Дата реструктуризации")*(УслРестрактов[Значение]=Первоначальный!$A89),0)</f>
        <v>0</v>
      </c>
    </row>
    <row r="90" spans="1:38" x14ac:dyDescent="0.25">
      <c r="A90" s="97">
        <f t="shared" si="15"/>
        <v>44221</v>
      </c>
      <c r="B90" s="100">
        <f t="shared" ca="1" si="16"/>
        <v>149633.34</v>
      </c>
      <c r="C90" s="55">
        <f t="shared" ca="1" si="12"/>
        <v>1210.8800000000006</v>
      </c>
      <c r="D90" s="55">
        <f t="shared" ca="1" si="12"/>
        <v>0</v>
      </c>
      <c r="E90" s="55">
        <f t="shared" ca="1" si="17"/>
        <v>0</v>
      </c>
      <c r="F90" s="55">
        <f t="shared" ca="1" si="18"/>
        <v>0</v>
      </c>
      <c r="G90" s="101">
        <f t="shared" ca="1" si="19"/>
        <v>150844.22</v>
      </c>
      <c r="H90" s="100">
        <f ca="1">ROUND($B90*VLOOKUP($A90,$A$1:$B$10,2,1)/(365+IF(MOD(YEAR($A90),4),0,1)*($A90-$A89)),2)-Первоначальный[[#This Row],[Проценты на просроченный платеж по ОД за период]]</f>
        <v>81.58</v>
      </c>
      <c r="I90" s="55">
        <f t="shared" ca="1" si="20"/>
        <v>0</v>
      </c>
      <c r="J90" s="55">
        <v>0</v>
      </c>
      <c r="K90" s="55">
        <f t="shared" ca="1" si="23"/>
        <v>0</v>
      </c>
      <c r="L90" s="55">
        <v>0</v>
      </c>
      <c r="M90" s="113">
        <f>SUMIFS(График[Возврат основной суммы долга],График[Дата с учетом нерабочих дней],$A90)</f>
        <v>0</v>
      </c>
      <c r="N90" s="56">
        <f>SUMIFS(График[Возврат начисленных %],График[Дата с учетом нерабочих дней],$A90)</f>
        <v>0</v>
      </c>
      <c r="O90" s="101">
        <v>0</v>
      </c>
      <c r="P90" s="100" cm="1">
        <f t="array" aca="1" ref="P90" ca="1">MAX(IF(AA89="Да",0,SUM(INDIRECT("M"&amp;(MAX(("Да"=AA$12:AA89)*ROW(AA$12:AA89)+1,ROW($P$12))&amp;":M"&amp;(ROW()))))-SUM(INDIRECT("W"&amp;(MAX(("Да"=AA$12:AA89)*ROW(AA$12:AA89)+1,ROW($P$12))&amp;":W"&amp;(ROW()))))),0)</f>
        <v>4.9999999999727152E-2</v>
      </c>
      <c r="Q90" s="99">
        <f ca="1">MAX(SUM($N$13:N90)-SUM($T$13:T90),0)</f>
        <v>0</v>
      </c>
      <c r="R90" s="99">
        <f ca="1">Первоначальный[[#This Row],[Просроченный платеж по ОД]]+Первоначальный[[#This Row],[Просроченный платеж по процентам]]</f>
        <v>4.9999999999727152E-2</v>
      </c>
      <c r="S90" s="120">
        <f ca="1">IF(Первоначальный[[#This Row],[Просроченный платеж]]&lt;1,0,S89+1)</f>
        <v>0</v>
      </c>
      <c r="T90" s="100" cm="1">
        <f t="array" aca="1" ref="T90" ca="1">IF(Первоначальный[[#This Row],[Итого остаток на начало периода]]&lt;1,0,
IF(
AND(TYPE(VLOOKUP(1,$Z$12:Z90,1,0))=16,Первоначальный[[#This Row],[Досрочное погашение (да/"")]]=""),0,
_xlfn.IFS(AND(S89=0,Первоначальный[[#This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платеж]]&lt;&gt;0),MIN(LOOKUP(,-1/($Z$12:Z90=1),$C$12:C90)+LOOKUP(,-1/($Z$12:Z90=1),$H$12:H90),Первоначальный[[#This Row],[Полученный платеж]]+Y89),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платеж]]+Y89,SUM(Первоначальный[[#This Row],[Остаток процентов на начало периода]],Первоначальный[[#This Row],[Проценты за период]])),
AND(S89=0,Первоначальный[[#This Row],[Дата платежа из графика]]=""),0,
AND(S89=0,Первоначальный[[#This Row],[Дата платежа из графика]]=1,MAX((0&lt;&gt;S$12:S89)*ROW(S$12:S89),ROW($S$12))&gt;=MAX((1=Z$12:Z89)*ROW(Z$12:Z89),ROW($T$12)),TYPE(VLOOKUP("Да",(INDIRECT("AA"&amp;(MAX((1=Z$12:Z89)*ROW(Z$12:Z89),ROW($T$12))&amp;":AA"&amp;(ROW()-1)))),1,0))=16),MIN(LOOKUP(,-1/($Z$12:Z90=1),$C$12:C90)+LOOKUP(,-1/($Z$12:Z90=1),$H$12:H90),Первоначальный[[#This Row],[Полученный платеж]]+Y89),
AND(S89=0,TYPE(VLOOKUP("Да",(INDIRECT("AA"&amp;(MAX((1=Z$12:Z89)*ROW(Z$12:Z89),ROW($T$12))&amp;":AA"&amp;(ROW()-1)))),1,0))&lt;&gt;16),MIN(LOOKUP(,-1/($Z$12:Z90=1),$C$12:C90)+LOOKUP(,-1/($Z$12:Z90=1),$H$12:H90)-IF(AA89="Да",0,SUM(INDIRECT("T"&amp;(MAX(("Да"=AA$12:AA89)*ROW(AA$12:AA89)+1,ROW($T$12))&amp;":T"&amp;(ROW()-1))))),Первоначальный[[#This Row],[Полученный платеж]]+Y89),
AND(S89=0,MAX((0&lt;&gt;N$12:N89)*ROW(N$12:N89),ROW($S$12))&gt;=MAX((1=Z$12:Z89)*ROW(Z$12:Z89),ROW($T$12))),MIN(LOOKUP(,-1/($Z$12:Z90=1),$C$12:C90)+LOOKUP(,-1/($Z$12:Z90=1),$H$12:H90)-IF(N89&lt;&gt;0,0,SUM(INDIRECT("T"&amp;(MAX((0&lt;&gt;N$12:N89)*ROW(N$12:N89)+1,ROW($T$12))&amp;":T"&amp;(ROW()-1))))),Первоначальный[[#This Row],[Полученный платеж]]+Y89),
AND(S89=0,Первоначальный[[#This Row],[Дата платежа из графика]]=1),MIN(LOOKUP(,-1/($Z$12:Z90=1),$C$12:C90)+LOOKUP(,-1/($Z$12:Z90=1),$H$12:H90)-IF(Z89=1,0,SUM(INDIRECT("T"&amp;(MAX((1=Z$12:Z89)*ROW(Z$12:Z89)+1,ROW($T$12))&amp;":T"&amp;(ROW()-1))))),Первоначальный[[#This Row],[Полученный платеж]]+Y89),
AND(Z89&gt;0,Первоначальный[[#This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платеж]]+Y89),
AND(S89&gt;0,MAX((0&lt;&gt;S$12:S89)*ROW(S$12:S89),ROW($S$12))&gt;=MAX((1=Z$12:Z89)*ROW(Z$12:Z89),ROW($T$12)),TYPE(VLOOKUP("Да",(INDIRECT("AA"&amp;(MAX((1=Z$12:Z89)*ROW(Z$12:Z89),ROW($T$12))&amp;":AA"&amp;(ROW()-1)))),1,0))=16),MIN(LOOKUP(,-1/($Z$12:Z90=1),$C$12:C90)+LOOKUP(,-1/($Z$12:Z90=1),$H$12:H90)-SUM(INDIRECT("T"&amp;(MAX((1=Z$12:Z89)*ROW(Z$12:Z89),ROW($T$12))&amp;":T"&amp;(ROW()-1)))),Первоначальный[[#This Row],[Полученный платеж]]+Y89),
S89&gt;0,MIN(LOOKUP(,-1/($Z$12:Z90=1),$C$12:C90)+LOOKUP(,-1/($Z$12:Z90=1),$H$12:H90)-IF(Z89=1,0,SUM(INDIRECT("T"&amp;(MAX((1=Z$12:Z89)*ROW(Z$12:Z89)+1,ROW($T$12))&amp;":T"&amp;(ROW()-1))))),Первоначальный[[#This Row],[Полученный платеж]]+Y89)
)
)
)</f>
        <v>0</v>
      </c>
      <c r="U9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платеж]]+Y89-Первоначальный[[#This Row],[Полученный платёж по процентам]])</f>
        <v>0</v>
      </c>
      <c r="V90" s="55">
        <f t="shared" ca="1" si="13"/>
        <v>0</v>
      </c>
      <c r="W90" s="55" cm="1">
        <f t="array" aca="1" ref="W90" ca="1">IF(Первоначальный[[#This Row],[Итого остаток на начало периода]]&lt;1,0,
_xlfn.IFS(
AND(TYPE(VLOOKUP(1,$Z$12:Z90,1,0))=16,Первоначальный[[#This Row],[Досрочное погашение (да/"")]]=""),0,
AND(S89=0,Первоначальный[[#This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комиссиям]]),VLOOKUP(LOOKUP(,-1/($Z$12:Z90=1),$A$12:A90),График[[Срок конец]:[Возврат основной суммы долга]],3,0)),
AND(S89=0,Первоначальный[[#This Row],[Дата платежа из графика]]="",Первоначальный[[#This Row],[Досрочное погашение (да/"")]]&lt;&gt;"Да"),0,
AND(S89=0,Первоначальный[[#This Row],[Досрочное погашение (да/"")]]=""),MIN(Первоначальный[[#This Row],[Полученный платеж]]+Y89-SUM(Первоначальный[[#This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комиссиям]]),VLOOKUP(LOOKUP(,-1/($Z$12:Z90=1),$A$12:A90),График[[Срок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S89&gt;0,MIN(Первоначальный[[#This Row],[Полученный платеж]]+Y89-SUM(Первоначальный[[#This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комиссиям]]),SUM(INDIRECT("M"&amp;(MAX((1=S$12:S89)*ROW(S$12:S89),ROW($W$12))&amp;":M"&amp;(ROW()))))-SUM(INDIRECT("W"&amp;(MAX((1=S$12:S89)*ROW(S$12:S89),ROW($W$12))&amp;":W"&amp;(ROW()-1)))))
)
)</f>
        <v>0</v>
      </c>
      <c r="X90" s="55">
        <f t="shared" ca="1" si="14"/>
        <v>0</v>
      </c>
      <c r="Y90" s="101">
        <f t="shared" ca="1" si="21"/>
        <v>0</v>
      </c>
      <c r="Z90" s="133" t="str">
        <f>IF(TYPE((VLOOKUP(Первоначальный[[#This Row],[Дата платежа]],График[Срок конец],1,0)))=16,"",1)</f>
        <v/>
      </c>
      <c r="AA90" s="57"/>
      <c r="AB90" s="134"/>
      <c r="AC9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1292.4600000000005</v>
      </c>
      <c r="AE9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9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90" s="55"/>
      <c r="AI90" s="55"/>
      <c r="AJ90" s="55"/>
      <c r="AK90" s="101">
        <f t="shared" ca="1" si="22"/>
        <v>150925.79999999999</v>
      </c>
      <c r="AL90" s="129">
        <f t="array" ref="AL90">MAX((УслРестрактов[Характеристика]="Дата реструктуризации")*(УслРестрактов[Значение]=Первоначальный!$A90),0)</f>
        <v>0</v>
      </c>
    </row>
    <row r="91" spans="1:38" x14ac:dyDescent="0.25">
      <c r="A91" s="97">
        <f t="shared" si="15"/>
        <v>44222</v>
      </c>
      <c r="B91" s="100">
        <f t="shared" ca="1" si="16"/>
        <v>149633.34</v>
      </c>
      <c r="C91" s="55">
        <f t="shared" ca="1" si="12"/>
        <v>1292.4600000000005</v>
      </c>
      <c r="D91" s="55">
        <f t="shared" ca="1" si="12"/>
        <v>0</v>
      </c>
      <c r="E91" s="55">
        <f t="shared" ca="1" si="17"/>
        <v>0</v>
      </c>
      <c r="F91" s="55">
        <f t="shared" ca="1" si="18"/>
        <v>0</v>
      </c>
      <c r="G91" s="101">
        <f t="shared" ca="1" si="19"/>
        <v>150925.79999999999</v>
      </c>
      <c r="H91" s="100">
        <f ca="1">ROUND($B91*VLOOKUP($A91,$A$1:$B$10,2,1)/(365+IF(MOD(YEAR($A91),4),0,1)*($A91-$A90)),2)-Первоначальный[[#This Row],[Проценты на просроченный платеж по ОД за период]]</f>
        <v>81.58</v>
      </c>
      <c r="I91" s="55">
        <f t="shared" ca="1" si="20"/>
        <v>0</v>
      </c>
      <c r="J91" s="55">
        <v>0</v>
      </c>
      <c r="K91" s="55">
        <f t="shared" ca="1" si="23"/>
        <v>0</v>
      </c>
      <c r="L91" s="55">
        <v>0</v>
      </c>
      <c r="M91" s="113">
        <f>SUMIFS(График[Возврат основной суммы долга],График[Дата с учетом нерабочих дней],$A91)</f>
        <v>0</v>
      </c>
      <c r="N91" s="56">
        <f>SUMIFS(График[Возврат начисленных %],График[Дата с учетом нерабочих дней],$A91)</f>
        <v>0</v>
      </c>
      <c r="O91" s="101">
        <v>0</v>
      </c>
      <c r="P91" s="100" cm="1">
        <f t="array" aca="1" ref="P91" ca="1">MAX(IF(AA90="Да",0,SUM(INDIRECT("M"&amp;(MAX(("Да"=AA$12:AA90)*ROW(AA$12:AA90)+1,ROW($P$12))&amp;":M"&amp;(ROW()))))-SUM(INDIRECT("W"&amp;(MAX(("Да"=AA$12:AA90)*ROW(AA$12:AA90)+1,ROW($P$12))&amp;":W"&amp;(ROW()))))),0)</f>
        <v>4.9999999999727152E-2</v>
      </c>
      <c r="Q91" s="99">
        <f ca="1">MAX(SUM($N$13:N91)-SUM($T$13:T91),0)</f>
        <v>0</v>
      </c>
      <c r="R91" s="99">
        <f ca="1">Первоначальный[[#This Row],[Просроченный платеж по ОД]]+Первоначальный[[#This Row],[Просроченный платеж по процентам]]</f>
        <v>4.9999999999727152E-2</v>
      </c>
      <c r="S91" s="120">
        <f ca="1">IF(Первоначальный[[#This Row],[Просроченный платеж]]&lt;1,0,S90+1)</f>
        <v>0</v>
      </c>
      <c r="T91" s="100" cm="1">
        <f t="array" aca="1" ref="T91" ca="1">IF(Первоначальный[[#This Row],[Итого остаток на начало периода]]&lt;1,0,
IF(
AND(TYPE(VLOOKUP(1,$Z$12:Z91,1,0))=16,Первоначальный[[#This Row],[Досрочное погашение (да/"")]]=""),0,
_xlfn.IFS(AND(S90=0,Первоначальный[[#This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платеж]]&lt;&gt;0),MIN(LOOKUP(,-1/($Z$12:Z91=1),$C$12:C91)+LOOKUP(,-1/($Z$12:Z91=1),$H$12:H91),Первоначальный[[#This Row],[Полученный платеж]]+Y90),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платеж]]+Y90,SUM(Первоначальный[[#This Row],[Остаток процентов на начало периода]],Первоначальный[[#This Row],[Проценты за период]])),
AND(S90=0,Первоначальный[[#This Row],[Дата платежа из графика]]=""),0,
AND(S90=0,Первоначальный[[#This Row],[Дата платежа из графика]]=1,MAX((0&lt;&gt;S$12:S90)*ROW(S$12:S90),ROW($S$12))&gt;=MAX((1=Z$12:Z90)*ROW(Z$12:Z90),ROW($T$12)),TYPE(VLOOKUP("Да",(INDIRECT("AA"&amp;(MAX((1=Z$12:Z90)*ROW(Z$12:Z90),ROW($T$12))&amp;":AA"&amp;(ROW()-1)))),1,0))=16),MIN(LOOKUP(,-1/($Z$12:Z91=1),$C$12:C91)+LOOKUP(,-1/($Z$12:Z91=1),$H$12:H91),Первоначальный[[#This Row],[Полученный платеж]]+Y90),
AND(S90=0,TYPE(VLOOKUP("Да",(INDIRECT("AA"&amp;(MAX((1=Z$12:Z90)*ROW(Z$12:Z90),ROW($T$12))&amp;":AA"&amp;(ROW()-1)))),1,0))&lt;&gt;16),MIN(LOOKUP(,-1/($Z$12:Z91=1),$C$12:C91)+LOOKUP(,-1/($Z$12:Z91=1),$H$12:H91)-IF(AA90="Да",0,SUM(INDIRECT("T"&amp;(MAX(("Да"=AA$12:AA90)*ROW(AA$12:AA90)+1,ROW($T$12))&amp;":T"&amp;(ROW()-1))))),Первоначальный[[#This Row],[Полученный платеж]]+Y90),
AND(S90=0,MAX((0&lt;&gt;N$12:N90)*ROW(N$12:N90),ROW($S$12))&gt;=MAX((1=Z$12:Z90)*ROW(Z$12:Z90),ROW($T$12))),MIN(LOOKUP(,-1/($Z$12:Z91=1),$C$12:C91)+LOOKUP(,-1/($Z$12:Z91=1),$H$12:H91)-IF(N90&lt;&gt;0,0,SUM(INDIRECT("T"&amp;(MAX((0&lt;&gt;N$12:N90)*ROW(N$12:N90)+1,ROW($T$12))&amp;":T"&amp;(ROW()-1))))),Первоначальный[[#This Row],[Полученный платеж]]+Y90),
AND(S90=0,Первоначальный[[#This Row],[Дата платежа из графика]]=1),MIN(LOOKUP(,-1/($Z$12:Z91=1),$C$12:C91)+LOOKUP(,-1/($Z$12:Z91=1),$H$12:H91)-IF(Z90=1,0,SUM(INDIRECT("T"&amp;(MAX((1=Z$12:Z90)*ROW(Z$12:Z90)+1,ROW($T$12))&amp;":T"&amp;(ROW()-1))))),Первоначальный[[#This Row],[Полученный платеж]]+Y90),
AND(Z90&gt;0,Первоначальный[[#This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платеж]]+Y90),
AND(S90&gt;0,MAX((0&lt;&gt;S$12:S90)*ROW(S$12:S90),ROW($S$12))&gt;=MAX((1=Z$12:Z90)*ROW(Z$12:Z90),ROW($T$12)),TYPE(VLOOKUP("Да",(INDIRECT("AA"&amp;(MAX((1=Z$12:Z90)*ROW(Z$12:Z90),ROW($T$12))&amp;":AA"&amp;(ROW()-1)))),1,0))=16),MIN(LOOKUP(,-1/($Z$12:Z91=1),$C$12:C91)+LOOKUP(,-1/($Z$12:Z91=1),$H$12:H91)-SUM(INDIRECT("T"&amp;(MAX((1=Z$12:Z90)*ROW(Z$12:Z90),ROW($T$12))&amp;":T"&amp;(ROW()-1)))),Первоначальный[[#This Row],[Полученный платеж]]+Y90),
S90&gt;0,MIN(LOOKUP(,-1/($Z$12:Z91=1),$C$12:C91)+LOOKUP(,-1/($Z$12:Z91=1),$H$12:H91)-IF(Z90=1,0,SUM(INDIRECT("T"&amp;(MAX((1=Z$12:Z90)*ROW(Z$12:Z90)+1,ROW($T$12))&amp;":T"&amp;(ROW()-1))))),Первоначальный[[#This Row],[Полученный платеж]]+Y90)
)
)
)</f>
        <v>0</v>
      </c>
      <c r="U9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платеж]]+Y90-Первоначальный[[#This Row],[Полученный платёж по процентам]])</f>
        <v>0</v>
      </c>
      <c r="V91" s="55">
        <f t="shared" ca="1" si="13"/>
        <v>0</v>
      </c>
      <c r="W91" s="55" cm="1">
        <f t="array" aca="1" ref="W91" ca="1">IF(Первоначальный[[#This Row],[Итого остаток на начало периода]]&lt;1,0,
_xlfn.IFS(
AND(TYPE(VLOOKUP(1,$Z$12:Z91,1,0))=16,Первоначальный[[#This Row],[Досрочное погашение (да/"")]]=""),0,
AND(S90=0,Первоначальный[[#This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комиссиям]]),VLOOKUP(LOOKUP(,-1/($Z$12:Z91=1),$A$12:A91),График[[Срок конец]:[Возврат основной суммы долга]],3,0)),
AND(S90=0,Первоначальный[[#This Row],[Дата платежа из графика]]="",Первоначальный[[#This Row],[Досрочное погашение (да/"")]]&lt;&gt;"Да"),0,
AND(S90=0,Первоначальный[[#This Row],[Досрочное погашение (да/"")]]=""),MIN(Первоначальный[[#This Row],[Полученный платеж]]+Y90-SUM(Первоначальный[[#This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комиссиям]]),VLOOKUP(LOOKUP(,-1/($Z$12:Z91=1),$A$12:A91),График[[Срок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S90&gt;0,MIN(Первоначальный[[#This Row],[Полученный платеж]]+Y90-SUM(Первоначальный[[#This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комиссиям]]),SUM(INDIRECT("M"&amp;(MAX((1=S$12:S90)*ROW(S$12:S90),ROW($W$12))&amp;":M"&amp;(ROW()))))-SUM(INDIRECT("W"&amp;(MAX((1=S$12:S90)*ROW(S$12:S90),ROW($W$12))&amp;":W"&amp;(ROW()-1)))))
)
)</f>
        <v>0</v>
      </c>
      <c r="X91" s="55">
        <f t="shared" ca="1" si="14"/>
        <v>0</v>
      </c>
      <c r="Y91" s="101">
        <f t="shared" ca="1" si="21"/>
        <v>0</v>
      </c>
      <c r="Z91" s="133" t="str">
        <f>IF(TYPE((VLOOKUP(Первоначальный[[#This Row],[Дата платежа]],График[Срок конец],1,0)))=16,"",1)</f>
        <v/>
      </c>
      <c r="AA91" s="57"/>
      <c r="AB91" s="134"/>
      <c r="AC9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1374.0400000000004</v>
      </c>
      <c r="AE9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9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91" s="55"/>
      <c r="AI91" s="55"/>
      <c r="AJ91" s="55"/>
      <c r="AK91" s="101">
        <f t="shared" ca="1" si="22"/>
        <v>151007.38</v>
      </c>
      <c r="AL91" s="129">
        <f t="array" ref="AL91">MAX((УслРестрактов[Характеристика]="Дата реструктуризации")*(УслРестрактов[Значение]=Первоначальный!$A91),0)</f>
        <v>0</v>
      </c>
    </row>
    <row r="92" spans="1:38" x14ac:dyDescent="0.25">
      <c r="A92" s="97">
        <f t="shared" si="15"/>
        <v>44223</v>
      </c>
      <c r="B92" s="100">
        <f t="shared" ca="1" si="16"/>
        <v>149633.34</v>
      </c>
      <c r="C92" s="55">
        <f t="shared" ca="1" si="12"/>
        <v>1374.0400000000004</v>
      </c>
      <c r="D92" s="55">
        <f t="shared" ca="1" si="12"/>
        <v>0</v>
      </c>
      <c r="E92" s="55">
        <f t="shared" ca="1" si="17"/>
        <v>0</v>
      </c>
      <c r="F92" s="55">
        <f t="shared" ca="1" si="18"/>
        <v>0</v>
      </c>
      <c r="G92" s="101">
        <f t="shared" ca="1" si="19"/>
        <v>151007.38</v>
      </c>
      <c r="H92" s="100">
        <f ca="1">ROUND($B92*VLOOKUP($A92,$A$1:$B$10,2,1)/(365+IF(MOD(YEAR($A92),4),0,1)*($A92-$A91)),2)-Первоначальный[[#This Row],[Проценты на просроченный платеж по ОД за период]]</f>
        <v>81.58</v>
      </c>
      <c r="I92" s="55">
        <f t="shared" ca="1" si="20"/>
        <v>0</v>
      </c>
      <c r="J92" s="55">
        <v>0</v>
      </c>
      <c r="K92" s="55">
        <f t="shared" ca="1" si="23"/>
        <v>0</v>
      </c>
      <c r="L92" s="55">
        <v>0</v>
      </c>
      <c r="M92" s="113">
        <f>SUMIFS(График[Возврат основной суммы долга],График[Дата с учетом нерабочих дней],$A92)</f>
        <v>0</v>
      </c>
      <c r="N92" s="56">
        <f>SUMIFS(График[Возврат начисленных %],График[Дата с учетом нерабочих дней],$A92)</f>
        <v>0</v>
      </c>
      <c r="O92" s="101">
        <v>0</v>
      </c>
      <c r="P92" s="100" cm="1">
        <f t="array" aca="1" ref="P92" ca="1">MAX(IF(AA91="Да",0,SUM(INDIRECT("M"&amp;(MAX(("Да"=AA$12:AA91)*ROW(AA$12:AA91)+1,ROW($P$12))&amp;":M"&amp;(ROW()))))-SUM(INDIRECT("W"&amp;(MAX(("Да"=AA$12:AA91)*ROW(AA$12:AA91)+1,ROW($P$12))&amp;":W"&amp;(ROW()))))),0)</f>
        <v>4.9999999999727152E-2</v>
      </c>
      <c r="Q92" s="99">
        <f ca="1">MAX(SUM($N$13:N92)-SUM($T$13:T92),0)</f>
        <v>0</v>
      </c>
      <c r="R92" s="99">
        <f ca="1">Первоначальный[[#This Row],[Просроченный платеж по ОД]]+Первоначальный[[#This Row],[Просроченный платеж по процентам]]</f>
        <v>4.9999999999727152E-2</v>
      </c>
      <c r="S92" s="120">
        <f ca="1">IF(Первоначальный[[#This Row],[Просроченный платеж]]&lt;1,0,S91+1)</f>
        <v>0</v>
      </c>
      <c r="T92" s="100" cm="1">
        <f t="array" aca="1" ref="T92" ca="1">IF(Первоначальный[[#This Row],[Итого остаток на начало периода]]&lt;1,0,
IF(
AND(TYPE(VLOOKUP(1,$Z$12:Z92,1,0))=16,Первоначальный[[#This Row],[Досрочное погашение (да/"")]]=""),0,
_xlfn.IFS(AND(S91=0,Первоначальный[[#This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платеж]]&lt;&gt;0),MIN(LOOKUP(,-1/($Z$12:Z92=1),$C$12:C92)+LOOKUP(,-1/($Z$12:Z92=1),$H$12:H92),Первоначальный[[#This Row],[Полученный платеж]]+Y91),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платеж]]+Y91,SUM(Первоначальный[[#This Row],[Остаток процентов на начало периода]],Первоначальный[[#This Row],[Проценты за период]])),
AND(S91=0,Первоначальный[[#This Row],[Дата платежа из графика]]=""),0,
AND(S91=0,Первоначальный[[#This Row],[Дата платежа из графика]]=1,MAX((0&lt;&gt;S$12:S91)*ROW(S$12:S91),ROW($S$12))&gt;=MAX((1=Z$12:Z91)*ROW(Z$12:Z91),ROW($T$12)),TYPE(VLOOKUP("Да",(INDIRECT("AA"&amp;(MAX((1=Z$12:Z91)*ROW(Z$12:Z91),ROW($T$12))&amp;":AA"&amp;(ROW()-1)))),1,0))=16),MIN(LOOKUP(,-1/($Z$12:Z92=1),$C$12:C92)+LOOKUP(,-1/($Z$12:Z92=1),$H$12:H92),Первоначальный[[#This Row],[Полученный платеж]]+Y91),
AND(S91=0,TYPE(VLOOKUP("Да",(INDIRECT("AA"&amp;(MAX((1=Z$12:Z91)*ROW(Z$12:Z91),ROW($T$12))&amp;":AA"&amp;(ROW()-1)))),1,0))&lt;&gt;16),MIN(LOOKUP(,-1/($Z$12:Z92=1),$C$12:C92)+LOOKUP(,-1/($Z$12:Z92=1),$H$12:H92)-IF(AA91="Да",0,SUM(INDIRECT("T"&amp;(MAX(("Да"=AA$12:AA91)*ROW(AA$12:AA91)+1,ROW($T$12))&amp;":T"&amp;(ROW()-1))))),Первоначальный[[#This Row],[Полученный платеж]]+Y91),
AND(S91=0,MAX((0&lt;&gt;N$12:N91)*ROW(N$12:N91),ROW($S$12))&gt;=MAX((1=Z$12:Z91)*ROW(Z$12:Z91),ROW($T$12))),MIN(LOOKUP(,-1/($Z$12:Z92=1),$C$12:C92)+LOOKUP(,-1/($Z$12:Z92=1),$H$12:H92)-IF(N91&lt;&gt;0,0,SUM(INDIRECT("T"&amp;(MAX((0&lt;&gt;N$12:N91)*ROW(N$12:N91)+1,ROW($T$12))&amp;":T"&amp;(ROW()-1))))),Первоначальный[[#This Row],[Полученный платеж]]+Y91),
AND(S91=0,Первоначальный[[#This Row],[Дата платежа из графика]]=1),MIN(LOOKUP(,-1/($Z$12:Z92=1),$C$12:C92)+LOOKUP(,-1/($Z$12:Z92=1),$H$12:H92)-IF(Z91=1,0,SUM(INDIRECT("T"&amp;(MAX((1=Z$12:Z91)*ROW(Z$12:Z91)+1,ROW($T$12))&amp;":T"&amp;(ROW()-1))))),Первоначальный[[#This Row],[Полученный платеж]]+Y91),
AND(Z91&gt;0,Первоначальный[[#This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платеж]]+Y91),
AND(S91&gt;0,MAX((0&lt;&gt;S$12:S91)*ROW(S$12:S91),ROW($S$12))&gt;=MAX((1=Z$12:Z91)*ROW(Z$12:Z91),ROW($T$12)),TYPE(VLOOKUP("Да",(INDIRECT("AA"&amp;(MAX((1=Z$12:Z91)*ROW(Z$12:Z91),ROW($T$12))&amp;":AA"&amp;(ROW()-1)))),1,0))=16),MIN(LOOKUP(,-1/($Z$12:Z92=1),$C$12:C92)+LOOKUP(,-1/($Z$12:Z92=1),$H$12:H92)-SUM(INDIRECT("T"&amp;(MAX((1=Z$12:Z91)*ROW(Z$12:Z91),ROW($T$12))&amp;":T"&amp;(ROW()-1)))),Первоначальный[[#This Row],[Полученный платеж]]+Y91),
S91&gt;0,MIN(LOOKUP(,-1/($Z$12:Z92=1),$C$12:C92)+LOOKUP(,-1/($Z$12:Z92=1),$H$12:H92)-IF(Z91=1,0,SUM(INDIRECT("T"&amp;(MAX((1=Z$12:Z91)*ROW(Z$12:Z91)+1,ROW($T$12))&amp;":T"&amp;(ROW()-1))))),Первоначальный[[#This Row],[Полученный платеж]]+Y91)
)
)
)</f>
        <v>0</v>
      </c>
      <c r="U9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платеж]]+Y91-Первоначальный[[#This Row],[Полученный платёж по процентам]])</f>
        <v>0</v>
      </c>
      <c r="V92" s="55">
        <f t="shared" ca="1" si="13"/>
        <v>0</v>
      </c>
      <c r="W92" s="55" cm="1">
        <f t="array" aca="1" ref="W92" ca="1">IF(Первоначальный[[#This Row],[Итого остаток на начало периода]]&lt;1,0,
_xlfn.IFS(
AND(TYPE(VLOOKUP(1,$Z$12:Z92,1,0))=16,Первоначальный[[#This Row],[Досрочное погашение (да/"")]]=""),0,
AND(S91=0,Первоначальный[[#This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комиссиям]]),VLOOKUP(LOOKUP(,-1/($Z$12:Z92=1),$A$12:A92),График[[Срок конец]:[Возврат основной суммы долга]],3,0)),
AND(S91=0,Первоначальный[[#This Row],[Дата платежа из графика]]="",Первоначальный[[#This Row],[Досрочное погашение (да/"")]]&lt;&gt;"Да"),0,
AND(S91=0,Первоначальный[[#This Row],[Досрочное погашение (да/"")]]=""),MIN(Первоначальный[[#This Row],[Полученный платеж]]+Y91-SUM(Первоначальный[[#This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комиссиям]]),VLOOKUP(LOOKUP(,-1/($Z$12:Z92=1),$A$12:A92),График[[Срок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S91&gt;0,MIN(Первоначальный[[#This Row],[Полученный платеж]]+Y91-SUM(Первоначальный[[#This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комиссиям]]),SUM(INDIRECT("M"&amp;(MAX((1=S$12:S91)*ROW(S$12:S91),ROW($W$12))&amp;":M"&amp;(ROW()))))-SUM(INDIRECT("W"&amp;(MAX((1=S$12:S91)*ROW(S$12:S91),ROW($W$12))&amp;":W"&amp;(ROW()-1)))))
)
)</f>
        <v>0</v>
      </c>
      <c r="X92" s="55">
        <f t="shared" ca="1" si="14"/>
        <v>0</v>
      </c>
      <c r="Y92" s="101">
        <f t="shared" ca="1" si="21"/>
        <v>0</v>
      </c>
      <c r="Z92" s="133" t="str">
        <f>IF(TYPE((VLOOKUP(Первоначальный[[#This Row],[Дата платежа]],График[Срок конец],1,0)))=16,"",1)</f>
        <v/>
      </c>
      <c r="AA92" s="57"/>
      <c r="AB92" s="134"/>
      <c r="AC9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1455.6200000000003</v>
      </c>
      <c r="AE9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9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92" s="55"/>
      <c r="AI92" s="55"/>
      <c r="AJ92" s="55"/>
      <c r="AK92" s="101">
        <f t="shared" ca="1" si="22"/>
        <v>151088.95999999999</v>
      </c>
      <c r="AL92" s="129">
        <f t="array" ref="AL92">MAX((УслРестрактов[Характеристика]="Дата реструктуризации")*(УслРестрактов[Значение]=Первоначальный!$A92),0)</f>
        <v>0</v>
      </c>
    </row>
    <row r="93" spans="1:38" x14ac:dyDescent="0.25">
      <c r="A93" s="97">
        <f t="shared" si="15"/>
        <v>44224</v>
      </c>
      <c r="B93" s="100">
        <f t="shared" ca="1" si="16"/>
        <v>149633.34</v>
      </c>
      <c r="C93" s="55">
        <f t="shared" ref="C93:D156" ca="1" si="24">AD92+AI92</f>
        <v>1455.6200000000003</v>
      </c>
      <c r="D93" s="55">
        <f t="shared" ca="1" si="24"/>
        <v>0</v>
      </c>
      <c r="E93" s="55">
        <f t="shared" ca="1" si="17"/>
        <v>0</v>
      </c>
      <c r="F93" s="55">
        <f t="shared" ca="1" si="18"/>
        <v>0</v>
      </c>
      <c r="G93" s="101">
        <f t="shared" ca="1" si="19"/>
        <v>151088.95999999999</v>
      </c>
      <c r="H93" s="100">
        <f ca="1">ROUND($B93*VLOOKUP($A93,$A$1:$B$10,2,1)/(365+IF(MOD(YEAR($A93),4),0,1)*($A93-$A92)),2)-Первоначальный[[#This Row],[Проценты на просроченный платеж по ОД за период]]</f>
        <v>81.58</v>
      </c>
      <c r="I93" s="55">
        <f t="shared" ca="1" si="20"/>
        <v>0</v>
      </c>
      <c r="J93" s="55">
        <v>0</v>
      </c>
      <c r="K93" s="55">
        <f t="shared" ca="1" si="23"/>
        <v>0</v>
      </c>
      <c r="L93" s="55">
        <v>0</v>
      </c>
      <c r="M93" s="113">
        <f>SUMIFS(График[Возврат основной суммы долга],График[Дата с учетом нерабочих дней],$A93)</f>
        <v>0</v>
      </c>
      <c r="N93" s="56">
        <f>SUMIFS(График[Возврат начисленных %],График[Дата с учетом нерабочих дней],$A93)</f>
        <v>0</v>
      </c>
      <c r="O93" s="101">
        <v>0</v>
      </c>
      <c r="P93" s="100" cm="1">
        <f t="array" aca="1" ref="P93" ca="1">MAX(IF(AA92="Да",0,SUM(INDIRECT("M"&amp;(MAX(("Да"=AA$12:AA92)*ROW(AA$12:AA92)+1,ROW($P$12))&amp;":M"&amp;(ROW()))))-SUM(INDIRECT("W"&amp;(MAX(("Да"=AA$12:AA92)*ROW(AA$12:AA92)+1,ROW($P$12))&amp;":W"&amp;(ROW()))))),0)</f>
        <v>4.9999999999727152E-2</v>
      </c>
      <c r="Q93" s="99">
        <f ca="1">MAX(SUM($N$13:N93)-SUM($T$13:T93),0)</f>
        <v>0</v>
      </c>
      <c r="R93" s="99">
        <f ca="1">Первоначальный[[#This Row],[Просроченный платеж по ОД]]+Первоначальный[[#This Row],[Просроченный платеж по процентам]]</f>
        <v>4.9999999999727152E-2</v>
      </c>
      <c r="S93" s="120">
        <f ca="1">IF(Первоначальный[[#This Row],[Просроченный платеж]]&lt;1,0,S92+1)</f>
        <v>0</v>
      </c>
      <c r="T93" s="100" cm="1">
        <f t="array" aca="1" ref="T93" ca="1">IF(Первоначальный[[#This Row],[Итого остаток на начало периода]]&lt;1,0,
IF(
AND(TYPE(VLOOKUP(1,$Z$12:Z93,1,0))=16,Первоначальный[[#This Row],[Досрочное погашение (да/"")]]=""),0,
_xlfn.IFS(AND(S92=0,Первоначальный[[#This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платеж]]&lt;&gt;0),MIN(LOOKUP(,-1/($Z$12:Z93=1),$C$12:C93)+LOOKUP(,-1/($Z$12:Z93=1),$H$12:H93),Первоначальный[[#This Row],[Полученный платеж]]+Y92),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платеж]]+Y92,SUM(Первоначальный[[#This Row],[Остаток процентов на начало периода]],Первоначальный[[#This Row],[Проценты за период]])),
AND(S92=0,Первоначальный[[#This Row],[Дата платежа из графика]]=""),0,
AND(S92=0,Первоначальный[[#This Row],[Дата платежа из графика]]=1,MAX((0&lt;&gt;S$12:S92)*ROW(S$12:S92),ROW($S$12))&gt;=MAX((1=Z$12:Z92)*ROW(Z$12:Z92),ROW($T$12)),TYPE(VLOOKUP("Да",(INDIRECT("AA"&amp;(MAX((1=Z$12:Z92)*ROW(Z$12:Z92),ROW($T$12))&amp;":AA"&amp;(ROW()-1)))),1,0))=16),MIN(LOOKUP(,-1/($Z$12:Z93=1),$C$12:C93)+LOOKUP(,-1/($Z$12:Z93=1),$H$12:H93),Первоначальный[[#This Row],[Полученный платеж]]+Y92),
AND(S92=0,TYPE(VLOOKUP("Да",(INDIRECT("AA"&amp;(MAX((1=Z$12:Z92)*ROW(Z$12:Z92),ROW($T$12))&amp;":AA"&amp;(ROW()-1)))),1,0))&lt;&gt;16),MIN(LOOKUP(,-1/($Z$12:Z93=1),$C$12:C93)+LOOKUP(,-1/($Z$12:Z93=1),$H$12:H93)-IF(AA92="Да",0,SUM(INDIRECT("T"&amp;(MAX(("Да"=AA$12:AA92)*ROW(AA$12:AA92)+1,ROW($T$12))&amp;":T"&amp;(ROW()-1))))),Первоначальный[[#This Row],[Полученный платеж]]+Y92),
AND(S92=0,MAX((0&lt;&gt;N$12:N92)*ROW(N$12:N92),ROW($S$12))&gt;=MAX((1=Z$12:Z92)*ROW(Z$12:Z92),ROW($T$12))),MIN(LOOKUP(,-1/($Z$12:Z93=1),$C$12:C93)+LOOKUP(,-1/($Z$12:Z93=1),$H$12:H93)-IF(N92&lt;&gt;0,0,SUM(INDIRECT("T"&amp;(MAX((0&lt;&gt;N$12:N92)*ROW(N$12:N92)+1,ROW($T$12))&amp;":T"&amp;(ROW()-1))))),Первоначальный[[#This Row],[Полученный платеж]]+Y92),
AND(S92=0,Первоначальный[[#This Row],[Дата платежа из графика]]=1),MIN(LOOKUP(,-1/($Z$12:Z93=1),$C$12:C93)+LOOKUP(,-1/($Z$12:Z93=1),$H$12:H93)-IF(Z92=1,0,SUM(INDIRECT("T"&amp;(MAX((1=Z$12:Z92)*ROW(Z$12:Z92)+1,ROW($T$12))&amp;":T"&amp;(ROW()-1))))),Первоначальный[[#This Row],[Полученный платеж]]+Y92),
AND(Z92&gt;0,Первоначальный[[#This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платеж]]+Y92),
AND(S92&gt;0,MAX((0&lt;&gt;S$12:S92)*ROW(S$12:S92),ROW($S$12))&gt;=MAX((1=Z$12:Z92)*ROW(Z$12:Z92),ROW($T$12)),TYPE(VLOOKUP("Да",(INDIRECT("AA"&amp;(MAX((1=Z$12:Z92)*ROW(Z$12:Z92),ROW($T$12))&amp;":AA"&amp;(ROW()-1)))),1,0))=16),MIN(LOOKUP(,-1/($Z$12:Z93=1),$C$12:C93)+LOOKUP(,-1/($Z$12:Z93=1),$H$12:H93)-SUM(INDIRECT("T"&amp;(MAX((1=Z$12:Z92)*ROW(Z$12:Z92),ROW($T$12))&amp;":T"&amp;(ROW()-1)))),Первоначальный[[#This Row],[Полученный платеж]]+Y92),
S92&gt;0,MIN(LOOKUP(,-1/($Z$12:Z93=1),$C$12:C93)+LOOKUP(,-1/($Z$12:Z93=1),$H$12:H93)-IF(Z92=1,0,SUM(INDIRECT("T"&amp;(MAX((1=Z$12:Z92)*ROW(Z$12:Z92)+1,ROW($T$12))&amp;":T"&amp;(ROW()-1))))),Первоначальный[[#This Row],[Полученный платеж]]+Y92)
)
)
)</f>
        <v>0</v>
      </c>
      <c r="U9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платеж]]+Y92-Первоначальный[[#This Row],[Полученный платёж по процентам]])</f>
        <v>0</v>
      </c>
      <c r="V93" s="55">
        <f t="shared" ca="1" si="13"/>
        <v>0</v>
      </c>
      <c r="W93" s="55" cm="1">
        <f t="array" aca="1" ref="W93" ca="1">IF(Первоначальный[[#This Row],[Итого остаток на начало периода]]&lt;1,0,
_xlfn.IFS(
AND(TYPE(VLOOKUP(1,$Z$12:Z93,1,0))=16,Первоначальный[[#This Row],[Досрочное погашение (да/"")]]=""),0,
AND(S92=0,Первоначальный[[#This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комиссиям]]),VLOOKUP(LOOKUP(,-1/($Z$12:Z93=1),$A$12:A93),График[[Срок конец]:[Возврат основной суммы долга]],3,0)),
AND(S92=0,Первоначальный[[#This Row],[Дата платежа из графика]]="",Первоначальный[[#This Row],[Досрочное погашение (да/"")]]&lt;&gt;"Да"),0,
AND(S92=0,Первоначальный[[#This Row],[Досрочное погашение (да/"")]]=""),MIN(Первоначальный[[#This Row],[Полученный платеж]]+Y92-SUM(Первоначальный[[#This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комиссиям]]),VLOOKUP(LOOKUP(,-1/($Z$12:Z93=1),$A$12:A93),График[[Срок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S92&gt;0,MIN(Первоначальный[[#This Row],[Полученный платеж]]+Y92-SUM(Первоначальный[[#This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комиссиям]]),SUM(INDIRECT("M"&amp;(MAX((1=S$12:S92)*ROW(S$12:S92),ROW($W$12))&amp;":M"&amp;(ROW()))))-SUM(INDIRECT("W"&amp;(MAX((1=S$12:S92)*ROW(S$12:S92),ROW($W$12))&amp;":W"&amp;(ROW()-1)))))
)
)</f>
        <v>0</v>
      </c>
      <c r="X93" s="55">
        <f t="shared" ca="1" si="14"/>
        <v>0</v>
      </c>
      <c r="Y93" s="101">
        <f t="shared" ca="1" si="21"/>
        <v>0</v>
      </c>
      <c r="Z93" s="133" t="str">
        <f>IF(TYPE((VLOOKUP(Первоначальный[[#This Row],[Дата платежа]],График[Срок конец],1,0)))=16,"",1)</f>
        <v/>
      </c>
      <c r="AA93" s="57"/>
      <c r="AB93" s="134"/>
      <c r="AC9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1537.2000000000003</v>
      </c>
      <c r="AE9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9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93" s="55"/>
      <c r="AI93" s="55"/>
      <c r="AJ93" s="55"/>
      <c r="AK93" s="101">
        <f t="shared" ca="1" si="22"/>
        <v>151170.54</v>
      </c>
      <c r="AL93" s="129">
        <f t="array" ref="AL93">MAX((УслРестрактов[Характеристика]="Дата реструктуризации")*(УслРестрактов[Значение]=Первоначальный!$A93),0)</f>
        <v>0</v>
      </c>
    </row>
    <row r="94" spans="1:38" x14ac:dyDescent="0.25">
      <c r="A94" s="97">
        <f t="shared" si="15"/>
        <v>44225</v>
      </c>
      <c r="B94" s="100">
        <f t="shared" ca="1" si="16"/>
        <v>149633.34</v>
      </c>
      <c r="C94" s="55">
        <f t="shared" ca="1" si="24"/>
        <v>1537.2000000000003</v>
      </c>
      <c r="D94" s="55">
        <f t="shared" ca="1" si="24"/>
        <v>0</v>
      </c>
      <c r="E94" s="55">
        <f t="shared" ca="1" si="17"/>
        <v>0</v>
      </c>
      <c r="F94" s="55">
        <f t="shared" ca="1" si="18"/>
        <v>0</v>
      </c>
      <c r="G94" s="101">
        <f t="shared" ca="1" si="19"/>
        <v>151170.54</v>
      </c>
      <c r="H94" s="100">
        <f ca="1">ROUND($B94*VLOOKUP($A94,$A$1:$B$10,2,1)/(365+IF(MOD(YEAR($A94),4),0,1)*($A94-$A93)),2)-Первоначальный[[#This Row],[Проценты на просроченный платеж по ОД за период]]</f>
        <v>81.58</v>
      </c>
      <c r="I94" s="55">
        <f t="shared" ca="1" si="20"/>
        <v>0</v>
      </c>
      <c r="J94" s="55">
        <v>0</v>
      </c>
      <c r="K94" s="55">
        <f t="shared" ca="1" si="23"/>
        <v>0</v>
      </c>
      <c r="L94" s="55">
        <v>0</v>
      </c>
      <c r="M94" s="113">
        <f>SUMIFS(График[Возврат основной суммы долга],График[Дата с учетом нерабочих дней],$A94)</f>
        <v>0</v>
      </c>
      <c r="N94" s="56">
        <f>SUMIFS(График[Возврат начисленных %],График[Дата с учетом нерабочих дней],$A94)</f>
        <v>0</v>
      </c>
      <c r="O94" s="101">
        <v>0</v>
      </c>
      <c r="P94" s="100" cm="1">
        <f t="array" aca="1" ref="P94" ca="1">MAX(IF(AA93="Да",0,SUM(INDIRECT("M"&amp;(MAX(("Да"=AA$12:AA93)*ROW(AA$12:AA93)+1,ROW($P$12))&amp;":M"&amp;(ROW()))))-SUM(INDIRECT("W"&amp;(MAX(("Да"=AA$12:AA93)*ROW(AA$12:AA93)+1,ROW($P$12))&amp;":W"&amp;(ROW()))))),0)</f>
        <v>4.9999999999727152E-2</v>
      </c>
      <c r="Q94" s="99">
        <f ca="1">MAX(SUM($N$13:N94)-SUM($T$13:T94),0)</f>
        <v>0</v>
      </c>
      <c r="R94" s="99">
        <f ca="1">Первоначальный[[#This Row],[Просроченный платеж по ОД]]+Первоначальный[[#This Row],[Просроченный платеж по процентам]]</f>
        <v>4.9999999999727152E-2</v>
      </c>
      <c r="S94" s="120">
        <f ca="1">IF(Первоначальный[[#This Row],[Просроченный платеж]]&lt;1,0,S93+1)</f>
        <v>0</v>
      </c>
      <c r="T94" s="100" cm="1">
        <f t="array" aca="1" ref="T94" ca="1">IF(Первоначальный[[#This Row],[Итого остаток на начало периода]]&lt;1,0,
IF(
AND(TYPE(VLOOKUP(1,$Z$12:Z94,1,0))=16,Первоначальный[[#This Row],[Досрочное погашение (да/"")]]=""),0,
_xlfn.IFS(AND(S93=0,Первоначальный[[#This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платеж]]&lt;&gt;0),MIN(LOOKUP(,-1/($Z$12:Z94=1),$C$12:C94)+LOOKUP(,-1/($Z$12:Z94=1),$H$12:H94),Первоначальный[[#This Row],[Полученный платеж]]+Y93),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платеж]]+Y93,SUM(Первоначальный[[#This Row],[Остаток процентов на начало периода]],Первоначальный[[#This Row],[Проценты за период]])),
AND(S93=0,Первоначальный[[#This Row],[Дата платежа из графика]]=""),0,
AND(S93=0,Первоначальный[[#This Row],[Дата платежа из графика]]=1,MAX((0&lt;&gt;S$12:S93)*ROW(S$12:S93),ROW($S$12))&gt;=MAX((1=Z$12:Z93)*ROW(Z$12:Z93),ROW($T$12)),TYPE(VLOOKUP("Да",(INDIRECT("AA"&amp;(MAX((1=Z$12:Z93)*ROW(Z$12:Z93),ROW($T$12))&amp;":AA"&amp;(ROW()-1)))),1,0))=16),MIN(LOOKUP(,-1/($Z$12:Z94=1),$C$12:C94)+LOOKUP(,-1/($Z$12:Z94=1),$H$12:H94),Первоначальный[[#This Row],[Полученный платеж]]+Y93),
AND(S93=0,TYPE(VLOOKUP("Да",(INDIRECT("AA"&amp;(MAX((1=Z$12:Z93)*ROW(Z$12:Z93),ROW($T$12))&amp;":AA"&amp;(ROW()-1)))),1,0))&lt;&gt;16),MIN(LOOKUP(,-1/($Z$12:Z94=1),$C$12:C94)+LOOKUP(,-1/($Z$12:Z94=1),$H$12:H94)-IF(AA93="Да",0,SUM(INDIRECT("T"&amp;(MAX(("Да"=AA$12:AA93)*ROW(AA$12:AA93)+1,ROW($T$12))&amp;":T"&amp;(ROW()-1))))),Первоначальный[[#This Row],[Полученный платеж]]+Y93),
AND(S93=0,MAX((0&lt;&gt;N$12:N93)*ROW(N$12:N93),ROW($S$12))&gt;=MAX((1=Z$12:Z93)*ROW(Z$12:Z93),ROW($T$12))),MIN(LOOKUP(,-1/($Z$12:Z94=1),$C$12:C94)+LOOKUP(,-1/($Z$12:Z94=1),$H$12:H94)-IF(N93&lt;&gt;0,0,SUM(INDIRECT("T"&amp;(MAX((0&lt;&gt;N$12:N93)*ROW(N$12:N93)+1,ROW($T$12))&amp;":T"&amp;(ROW()-1))))),Первоначальный[[#This Row],[Полученный платеж]]+Y93),
AND(S93=0,Первоначальный[[#This Row],[Дата платежа из графика]]=1),MIN(LOOKUP(,-1/($Z$12:Z94=1),$C$12:C94)+LOOKUP(,-1/($Z$12:Z94=1),$H$12:H94)-IF(Z93=1,0,SUM(INDIRECT("T"&amp;(MAX((1=Z$12:Z93)*ROW(Z$12:Z93)+1,ROW($T$12))&amp;":T"&amp;(ROW()-1))))),Первоначальный[[#This Row],[Полученный платеж]]+Y93),
AND(Z93&gt;0,Первоначальный[[#This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платеж]]+Y93),
AND(S93&gt;0,MAX((0&lt;&gt;S$12:S93)*ROW(S$12:S93),ROW($S$12))&gt;=MAX((1=Z$12:Z93)*ROW(Z$12:Z93),ROW($T$12)),TYPE(VLOOKUP("Да",(INDIRECT("AA"&amp;(MAX((1=Z$12:Z93)*ROW(Z$12:Z93),ROW($T$12))&amp;":AA"&amp;(ROW()-1)))),1,0))=16),MIN(LOOKUP(,-1/($Z$12:Z94=1),$C$12:C94)+LOOKUP(,-1/($Z$12:Z94=1),$H$12:H94)-SUM(INDIRECT("T"&amp;(MAX((1=Z$12:Z93)*ROW(Z$12:Z93),ROW($T$12))&amp;":T"&amp;(ROW()-1)))),Первоначальный[[#This Row],[Полученный платеж]]+Y93),
S93&gt;0,MIN(LOOKUP(,-1/($Z$12:Z94=1),$C$12:C94)+LOOKUP(,-1/($Z$12:Z94=1),$H$12:H94)-IF(Z93=1,0,SUM(INDIRECT("T"&amp;(MAX((1=Z$12:Z93)*ROW(Z$12:Z93)+1,ROW($T$12))&amp;":T"&amp;(ROW()-1))))),Первоначальный[[#This Row],[Полученный платеж]]+Y93)
)
)
)</f>
        <v>0</v>
      </c>
      <c r="U9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платеж]]+Y93-Первоначальный[[#This Row],[Полученный платёж по процентам]])</f>
        <v>0</v>
      </c>
      <c r="V94" s="55">
        <f t="shared" ca="1" si="13"/>
        <v>0</v>
      </c>
      <c r="W94" s="55" cm="1">
        <f t="array" aca="1" ref="W94" ca="1">IF(Первоначальный[[#This Row],[Итого остаток на начало периода]]&lt;1,0,
_xlfn.IFS(
AND(TYPE(VLOOKUP(1,$Z$12:Z94,1,0))=16,Первоначальный[[#This Row],[Досрочное погашение (да/"")]]=""),0,
AND(S93=0,Первоначальный[[#This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комиссиям]]),VLOOKUP(LOOKUP(,-1/($Z$12:Z94=1),$A$12:A94),График[[Срок конец]:[Возврат основной суммы долга]],3,0)),
AND(S93=0,Первоначальный[[#This Row],[Дата платежа из графика]]="",Первоначальный[[#This Row],[Досрочное погашение (да/"")]]&lt;&gt;"Да"),0,
AND(S93=0,Первоначальный[[#This Row],[Досрочное погашение (да/"")]]=""),MIN(Первоначальный[[#This Row],[Полученный платеж]]+Y93-SUM(Первоначальный[[#This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комиссиям]]),VLOOKUP(LOOKUP(,-1/($Z$12:Z94=1),$A$12:A94),График[[Срок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S93&gt;0,MIN(Первоначальный[[#This Row],[Полученный платеж]]+Y93-SUM(Первоначальный[[#This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комиссиям]]),SUM(INDIRECT("M"&amp;(MAX((1=S$12:S93)*ROW(S$12:S93),ROW($W$12))&amp;":M"&amp;(ROW()))))-SUM(INDIRECT("W"&amp;(MAX((1=S$12:S93)*ROW(S$12:S93),ROW($W$12))&amp;":W"&amp;(ROW()-1)))))
)
)</f>
        <v>0</v>
      </c>
      <c r="X94" s="55">
        <f t="shared" ca="1" si="14"/>
        <v>0</v>
      </c>
      <c r="Y94" s="101">
        <f t="shared" ca="1" si="21"/>
        <v>0</v>
      </c>
      <c r="Z94" s="133" t="str">
        <f>IF(TYPE((VLOOKUP(Первоначальный[[#This Row],[Дата платежа]],График[Срок конец],1,0)))=16,"",1)</f>
        <v/>
      </c>
      <c r="AA94" s="57"/>
      <c r="AB94" s="134"/>
      <c r="AC9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1618.7800000000002</v>
      </c>
      <c r="AE9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9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94" s="55"/>
      <c r="AI94" s="55"/>
      <c r="AJ94" s="55"/>
      <c r="AK94" s="101">
        <f t="shared" ca="1" si="22"/>
        <v>151252.12</v>
      </c>
      <c r="AL94" s="129">
        <f t="array" ref="AL94">MAX((УслРестрактов[Характеристика]="Дата реструктуризации")*(УслРестрактов[Значение]=Первоначальный!$A94),0)</f>
        <v>0</v>
      </c>
    </row>
    <row r="95" spans="1:38" x14ac:dyDescent="0.25">
      <c r="A95" s="97">
        <f t="shared" si="15"/>
        <v>44226</v>
      </c>
      <c r="B95" s="100">
        <f t="shared" ca="1" si="16"/>
        <v>149633.34</v>
      </c>
      <c r="C95" s="55">
        <f t="shared" ca="1" si="24"/>
        <v>1618.7800000000002</v>
      </c>
      <c r="D95" s="55">
        <f t="shared" ca="1" si="24"/>
        <v>0</v>
      </c>
      <c r="E95" s="55">
        <f t="shared" ca="1" si="17"/>
        <v>0</v>
      </c>
      <c r="F95" s="55">
        <f t="shared" ca="1" si="18"/>
        <v>0</v>
      </c>
      <c r="G95" s="101">
        <f t="shared" ca="1" si="19"/>
        <v>151252.12</v>
      </c>
      <c r="H95" s="100">
        <f ca="1">ROUND($B95*VLOOKUP($A95,$A$1:$B$10,2,1)/(365+IF(MOD(YEAR($A95),4),0,1)*($A95-$A94)),2)-Первоначальный[[#This Row],[Проценты на просроченный платеж по ОД за период]]</f>
        <v>81.58</v>
      </c>
      <c r="I95" s="55">
        <f t="shared" ca="1" si="20"/>
        <v>0</v>
      </c>
      <c r="J95" s="55">
        <v>0</v>
      </c>
      <c r="K95" s="55">
        <f t="shared" ca="1" si="23"/>
        <v>0</v>
      </c>
      <c r="L95" s="55">
        <v>0</v>
      </c>
      <c r="M95" s="113">
        <f>SUMIFS(График[Возврат основной суммы долга],График[Дата с учетом нерабочих дней],$A95)</f>
        <v>0</v>
      </c>
      <c r="N95" s="56">
        <f>SUMIFS(График[Возврат начисленных %],График[Дата с учетом нерабочих дней],$A95)</f>
        <v>0</v>
      </c>
      <c r="O95" s="101">
        <v>0</v>
      </c>
      <c r="P95" s="100" cm="1">
        <f t="array" aca="1" ref="P95" ca="1">MAX(IF(AA94="Да",0,SUM(INDIRECT("M"&amp;(MAX(("Да"=AA$12:AA94)*ROW(AA$12:AA94)+1,ROW($P$12))&amp;":M"&amp;(ROW()))))-SUM(INDIRECT("W"&amp;(MAX(("Да"=AA$12:AA94)*ROW(AA$12:AA94)+1,ROW($P$12))&amp;":W"&amp;(ROW()))))),0)</f>
        <v>4.9999999999727152E-2</v>
      </c>
      <c r="Q95" s="99">
        <f ca="1">MAX(SUM($N$13:N95)-SUM($T$13:T95),0)</f>
        <v>0</v>
      </c>
      <c r="R95" s="99">
        <f ca="1">Первоначальный[[#This Row],[Просроченный платеж по ОД]]+Первоначальный[[#This Row],[Просроченный платеж по процентам]]</f>
        <v>4.9999999999727152E-2</v>
      </c>
      <c r="S95" s="120">
        <f ca="1">IF(Первоначальный[[#This Row],[Просроченный платеж]]&lt;1,0,S94+1)</f>
        <v>0</v>
      </c>
      <c r="T95" s="100" cm="1">
        <f t="array" aca="1" ref="T95" ca="1">IF(Первоначальный[[#This Row],[Итого остаток на начало периода]]&lt;1,0,
IF(
AND(TYPE(VLOOKUP(1,$Z$12:Z95,1,0))=16,Первоначальный[[#This Row],[Досрочное погашение (да/"")]]=""),0,
_xlfn.IFS(AND(S94=0,Первоначальный[[#This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платеж]]&lt;&gt;0),MIN(LOOKUP(,-1/($Z$12:Z95=1),$C$12:C95)+LOOKUP(,-1/($Z$12:Z95=1),$H$12:H95),Первоначальный[[#This Row],[Полученный платеж]]+Y94),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платеж]]+Y94,SUM(Первоначальный[[#This Row],[Остаток процентов на начало периода]],Первоначальный[[#This Row],[Проценты за период]])),
AND(S94=0,Первоначальный[[#This Row],[Дата платежа из графика]]=""),0,
AND(S94=0,Первоначальный[[#This Row],[Дата платежа из графика]]=1,MAX((0&lt;&gt;S$12:S94)*ROW(S$12:S94),ROW($S$12))&gt;=MAX((1=Z$12:Z94)*ROW(Z$12:Z94),ROW($T$12)),TYPE(VLOOKUP("Да",(INDIRECT("AA"&amp;(MAX((1=Z$12:Z94)*ROW(Z$12:Z94),ROW($T$12))&amp;":AA"&amp;(ROW()-1)))),1,0))=16),MIN(LOOKUP(,-1/($Z$12:Z95=1),$C$12:C95)+LOOKUP(,-1/($Z$12:Z95=1),$H$12:H95),Первоначальный[[#This Row],[Полученный платеж]]+Y94),
AND(S94=0,TYPE(VLOOKUP("Да",(INDIRECT("AA"&amp;(MAX((1=Z$12:Z94)*ROW(Z$12:Z94),ROW($T$12))&amp;":AA"&amp;(ROW()-1)))),1,0))&lt;&gt;16),MIN(LOOKUP(,-1/($Z$12:Z95=1),$C$12:C95)+LOOKUP(,-1/($Z$12:Z95=1),$H$12:H95)-IF(AA94="Да",0,SUM(INDIRECT("T"&amp;(MAX(("Да"=AA$12:AA94)*ROW(AA$12:AA94)+1,ROW($T$12))&amp;":T"&amp;(ROW()-1))))),Первоначальный[[#This Row],[Полученный платеж]]+Y94),
AND(S94=0,MAX((0&lt;&gt;N$12:N94)*ROW(N$12:N94),ROW($S$12))&gt;=MAX((1=Z$12:Z94)*ROW(Z$12:Z94),ROW($T$12))),MIN(LOOKUP(,-1/($Z$12:Z95=1),$C$12:C95)+LOOKUP(,-1/($Z$12:Z95=1),$H$12:H95)-IF(N94&lt;&gt;0,0,SUM(INDIRECT("T"&amp;(MAX((0&lt;&gt;N$12:N94)*ROW(N$12:N94)+1,ROW($T$12))&amp;":T"&amp;(ROW()-1))))),Первоначальный[[#This Row],[Полученный платеж]]+Y94),
AND(S94=0,Первоначальный[[#This Row],[Дата платежа из графика]]=1),MIN(LOOKUP(,-1/($Z$12:Z95=1),$C$12:C95)+LOOKUP(,-1/($Z$12:Z95=1),$H$12:H95)-IF(Z94=1,0,SUM(INDIRECT("T"&amp;(MAX((1=Z$12:Z94)*ROW(Z$12:Z94)+1,ROW($T$12))&amp;":T"&amp;(ROW()-1))))),Первоначальный[[#This Row],[Полученный платеж]]+Y94),
AND(Z94&gt;0,Первоначальный[[#This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платеж]]+Y94),
AND(S94&gt;0,MAX((0&lt;&gt;S$12:S94)*ROW(S$12:S94),ROW($S$12))&gt;=MAX((1=Z$12:Z94)*ROW(Z$12:Z94),ROW($T$12)),TYPE(VLOOKUP("Да",(INDIRECT("AA"&amp;(MAX((1=Z$12:Z94)*ROW(Z$12:Z94),ROW($T$12))&amp;":AA"&amp;(ROW()-1)))),1,0))=16),MIN(LOOKUP(,-1/($Z$12:Z95=1),$C$12:C95)+LOOKUP(,-1/($Z$12:Z95=1),$H$12:H95)-SUM(INDIRECT("T"&amp;(MAX((1=Z$12:Z94)*ROW(Z$12:Z94),ROW($T$12))&amp;":T"&amp;(ROW()-1)))),Первоначальный[[#This Row],[Полученный платеж]]+Y94),
S94&gt;0,MIN(LOOKUP(,-1/($Z$12:Z95=1),$C$12:C95)+LOOKUP(,-1/($Z$12:Z95=1),$H$12:H95)-IF(Z94=1,0,SUM(INDIRECT("T"&amp;(MAX((1=Z$12:Z94)*ROW(Z$12:Z94)+1,ROW($T$12))&amp;":T"&amp;(ROW()-1))))),Первоначальный[[#This Row],[Полученный платеж]]+Y94)
)
)
)</f>
        <v>0</v>
      </c>
      <c r="U9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платеж]]+Y94-Первоначальный[[#This Row],[Полученный платёж по процентам]])</f>
        <v>0</v>
      </c>
      <c r="V95" s="55">
        <f t="shared" ca="1" si="13"/>
        <v>0</v>
      </c>
      <c r="W95" s="55" cm="1">
        <f t="array" aca="1" ref="W95" ca="1">IF(Первоначальный[[#This Row],[Итого остаток на начало периода]]&lt;1,0,
_xlfn.IFS(
AND(TYPE(VLOOKUP(1,$Z$12:Z95,1,0))=16,Первоначальный[[#This Row],[Досрочное погашение (да/"")]]=""),0,
AND(S94=0,Первоначальный[[#This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комиссиям]]),VLOOKUP(LOOKUP(,-1/($Z$12:Z95=1),$A$12:A95),График[[Срок конец]:[Возврат основной суммы долга]],3,0)),
AND(S94=0,Первоначальный[[#This Row],[Дата платежа из графика]]="",Первоначальный[[#This Row],[Досрочное погашение (да/"")]]&lt;&gt;"Да"),0,
AND(S94=0,Первоначальный[[#This Row],[Досрочное погашение (да/"")]]=""),MIN(Первоначальный[[#This Row],[Полученный платеж]]+Y94-SUM(Первоначальный[[#This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комиссиям]]),VLOOKUP(LOOKUP(,-1/($Z$12:Z95=1),$A$12:A95),График[[Срок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S94&gt;0,MIN(Первоначальный[[#This Row],[Полученный платеж]]+Y94-SUM(Первоначальный[[#This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комиссиям]]),SUM(INDIRECT("M"&amp;(MAX((1=S$12:S94)*ROW(S$12:S94),ROW($W$12))&amp;":M"&amp;(ROW()))))-SUM(INDIRECT("W"&amp;(MAX((1=S$12:S94)*ROW(S$12:S94),ROW($W$12))&amp;":W"&amp;(ROW()-1)))))
)
)</f>
        <v>0</v>
      </c>
      <c r="X95" s="55">
        <f t="shared" ca="1" si="14"/>
        <v>0</v>
      </c>
      <c r="Y95" s="101">
        <f t="shared" ca="1" si="21"/>
        <v>0</v>
      </c>
      <c r="Z95" s="133" t="str">
        <f>IF(TYPE((VLOOKUP(Первоначальный[[#This Row],[Дата платежа]],График[Срок конец],1,0)))=16,"",1)</f>
        <v/>
      </c>
      <c r="AA95" s="57"/>
      <c r="AB95" s="134"/>
      <c r="AC9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1700.3600000000001</v>
      </c>
      <c r="AE9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9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95" s="55"/>
      <c r="AI95" s="55"/>
      <c r="AJ95" s="55"/>
      <c r="AK95" s="101">
        <f t="shared" ca="1" si="22"/>
        <v>151333.69999999998</v>
      </c>
      <c r="AL95" s="129">
        <f t="array" ref="AL95">MAX((УслРестрактов[Характеристика]="Дата реструктуризации")*(УслРестрактов[Значение]=Первоначальный!$A95),0)</f>
        <v>0</v>
      </c>
    </row>
    <row r="96" spans="1:38" x14ac:dyDescent="0.25">
      <c r="A96" s="97">
        <f t="shared" si="15"/>
        <v>44227</v>
      </c>
      <c r="B96" s="100">
        <f t="shared" ca="1" si="16"/>
        <v>149633.34</v>
      </c>
      <c r="C96" s="55">
        <f t="shared" ca="1" si="24"/>
        <v>1700.3600000000001</v>
      </c>
      <c r="D96" s="55">
        <f t="shared" ca="1" si="24"/>
        <v>0</v>
      </c>
      <c r="E96" s="55">
        <f t="shared" ca="1" si="17"/>
        <v>0</v>
      </c>
      <c r="F96" s="55">
        <f t="shared" ca="1" si="18"/>
        <v>0</v>
      </c>
      <c r="G96" s="101">
        <f t="shared" ca="1" si="19"/>
        <v>151333.69999999998</v>
      </c>
      <c r="H96" s="100">
        <f ca="1">ROUND($B96*VLOOKUP($A96,$A$1:$B$10,2,1)/(365+IF(MOD(YEAR($A96),4),0,1)*($A96-$A95)),2)-Первоначальный[[#This Row],[Проценты на просроченный платеж по ОД за период]]</f>
        <v>81.58</v>
      </c>
      <c r="I96" s="55">
        <f t="shared" ca="1" si="20"/>
        <v>0</v>
      </c>
      <c r="J96" s="55">
        <v>0</v>
      </c>
      <c r="K96" s="55">
        <f t="shared" ca="1" si="23"/>
        <v>0</v>
      </c>
      <c r="L96" s="55">
        <v>0</v>
      </c>
      <c r="M96" s="113">
        <f>SUMIFS(График[Возврат основной суммы долга],График[Дата с учетом нерабочих дней],$A96)</f>
        <v>0</v>
      </c>
      <c r="N96" s="56">
        <f>SUMIFS(График[Возврат начисленных %],График[Дата с учетом нерабочих дней],$A96)</f>
        <v>0</v>
      </c>
      <c r="O96" s="101">
        <v>0</v>
      </c>
      <c r="P96" s="100" cm="1">
        <f t="array" aca="1" ref="P96" ca="1">MAX(IF(AA95="Да",0,SUM(INDIRECT("M"&amp;(MAX(("Да"=AA$12:AA95)*ROW(AA$12:AA95)+1,ROW($P$12))&amp;":M"&amp;(ROW()))))-SUM(INDIRECT("W"&amp;(MAX(("Да"=AA$12:AA95)*ROW(AA$12:AA95)+1,ROW($P$12))&amp;":W"&amp;(ROW()))))),0)</f>
        <v>4.9999999999727152E-2</v>
      </c>
      <c r="Q96" s="99">
        <f ca="1">MAX(SUM($N$13:N96)-SUM($T$13:T96),0)</f>
        <v>0</v>
      </c>
      <c r="R96" s="99">
        <f ca="1">Первоначальный[[#This Row],[Просроченный платеж по ОД]]+Первоначальный[[#This Row],[Просроченный платеж по процентам]]</f>
        <v>4.9999999999727152E-2</v>
      </c>
      <c r="S96" s="120">
        <f ca="1">IF(Первоначальный[[#This Row],[Просроченный платеж]]&lt;1,0,S95+1)</f>
        <v>0</v>
      </c>
      <c r="T96" s="100" cm="1">
        <f t="array" aca="1" ref="T96" ca="1">IF(Первоначальный[[#This Row],[Итого остаток на начало периода]]&lt;1,0,
IF(
AND(TYPE(VLOOKUP(1,$Z$12:Z96,1,0))=16,Первоначальный[[#This Row],[Досрочное погашение (да/"")]]=""),0,
_xlfn.IFS(AND(S95=0,Первоначальный[[#This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платеж]]&lt;&gt;0),MIN(LOOKUP(,-1/($Z$12:Z96=1),$C$12:C96)+LOOKUP(,-1/($Z$12:Z96=1),$H$12:H96),Первоначальный[[#This Row],[Полученный платеж]]+Y95),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платеж]]+Y95,SUM(Первоначальный[[#This Row],[Остаток процентов на начало периода]],Первоначальный[[#This Row],[Проценты за период]])),
AND(S95=0,Первоначальный[[#This Row],[Дата платежа из графика]]=""),0,
AND(S95=0,Первоначальный[[#This Row],[Дата платежа из графика]]=1,MAX((0&lt;&gt;S$12:S95)*ROW(S$12:S95),ROW($S$12))&gt;=MAX((1=Z$12:Z95)*ROW(Z$12:Z95),ROW($T$12)),TYPE(VLOOKUP("Да",(INDIRECT("AA"&amp;(MAX((1=Z$12:Z95)*ROW(Z$12:Z95),ROW($T$12))&amp;":AA"&amp;(ROW()-1)))),1,0))=16),MIN(LOOKUP(,-1/($Z$12:Z96=1),$C$12:C96)+LOOKUP(,-1/($Z$12:Z96=1),$H$12:H96),Первоначальный[[#This Row],[Полученный платеж]]+Y95),
AND(S95=0,TYPE(VLOOKUP("Да",(INDIRECT("AA"&amp;(MAX((1=Z$12:Z95)*ROW(Z$12:Z95),ROW($T$12))&amp;":AA"&amp;(ROW()-1)))),1,0))&lt;&gt;16),MIN(LOOKUP(,-1/($Z$12:Z96=1),$C$12:C96)+LOOKUP(,-1/($Z$12:Z96=1),$H$12:H96)-IF(AA95="Да",0,SUM(INDIRECT("T"&amp;(MAX(("Да"=AA$12:AA95)*ROW(AA$12:AA95)+1,ROW($T$12))&amp;":T"&amp;(ROW()-1))))),Первоначальный[[#This Row],[Полученный платеж]]+Y95),
AND(S95=0,MAX((0&lt;&gt;N$12:N95)*ROW(N$12:N95),ROW($S$12))&gt;=MAX((1=Z$12:Z95)*ROW(Z$12:Z95),ROW($T$12))),MIN(LOOKUP(,-1/($Z$12:Z96=1),$C$12:C96)+LOOKUP(,-1/($Z$12:Z96=1),$H$12:H96)-IF(N95&lt;&gt;0,0,SUM(INDIRECT("T"&amp;(MAX((0&lt;&gt;N$12:N95)*ROW(N$12:N95)+1,ROW($T$12))&amp;":T"&amp;(ROW()-1))))),Первоначальный[[#This Row],[Полученный платеж]]+Y95),
AND(S95=0,Первоначальный[[#This Row],[Дата платежа из графика]]=1),MIN(LOOKUP(,-1/($Z$12:Z96=1),$C$12:C96)+LOOKUP(,-1/($Z$12:Z96=1),$H$12:H96)-IF(Z95=1,0,SUM(INDIRECT("T"&amp;(MAX((1=Z$12:Z95)*ROW(Z$12:Z95)+1,ROW($T$12))&amp;":T"&amp;(ROW()-1))))),Первоначальный[[#This Row],[Полученный платеж]]+Y95),
AND(Z95&gt;0,Первоначальный[[#This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платеж]]+Y95),
AND(S95&gt;0,MAX((0&lt;&gt;S$12:S95)*ROW(S$12:S95),ROW($S$12))&gt;=MAX((1=Z$12:Z95)*ROW(Z$12:Z95),ROW($T$12)),TYPE(VLOOKUP("Да",(INDIRECT("AA"&amp;(MAX((1=Z$12:Z95)*ROW(Z$12:Z95),ROW($T$12))&amp;":AA"&amp;(ROW()-1)))),1,0))=16),MIN(LOOKUP(,-1/($Z$12:Z96=1),$C$12:C96)+LOOKUP(,-1/($Z$12:Z96=1),$H$12:H96)-SUM(INDIRECT("T"&amp;(MAX((1=Z$12:Z95)*ROW(Z$12:Z95),ROW($T$12))&amp;":T"&amp;(ROW()-1)))),Первоначальный[[#This Row],[Полученный платеж]]+Y95),
S95&gt;0,MIN(LOOKUP(,-1/($Z$12:Z96=1),$C$12:C96)+LOOKUP(,-1/($Z$12:Z96=1),$H$12:H96)-IF(Z95=1,0,SUM(INDIRECT("T"&amp;(MAX((1=Z$12:Z95)*ROW(Z$12:Z95)+1,ROW($T$12))&amp;":T"&amp;(ROW()-1))))),Первоначальный[[#This Row],[Полученный платеж]]+Y95)
)
)
)</f>
        <v>0</v>
      </c>
      <c r="U9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платеж]]+Y95-Первоначальный[[#This Row],[Полученный платёж по процентам]])</f>
        <v>0</v>
      </c>
      <c r="V96" s="55">
        <f t="shared" ca="1" si="13"/>
        <v>0</v>
      </c>
      <c r="W96" s="55" cm="1">
        <f t="array" aca="1" ref="W96" ca="1">IF(Первоначальный[[#This Row],[Итого остаток на начало периода]]&lt;1,0,
_xlfn.IFS(
AND(TYPE(VLOOKUP(1,$Z$12:Z96,1,0))=16,Первоначальный[[#This Row],[Досрочное погашение (да/"")]]=""),0,
AND(S95=0,Первоначальный[[#This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комиссиям]]),VLOOKUP(LOOKUP(,-1/($Z$12:Z96=1),$A$12:A96),График[[Срок конец]:[Возврат основной суммы долга]],3,0)),
AND(S95=0,Первоначальный[[#This Row],[Дата платежа из графика]]="",Первоначальный[[#This Row],[Досрочное погашение (да/"")]]&lt;&gt;"Да"),0,
AND(S95=0,Первоначальный[[#This Row],[Досрочное погашение (да/"")]]=""),MIN(Первоначальный[[#This Row],[Полученный платеж]]+Y95-SUM(Первоначальный[[#This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комиссиям]]),VLOOKUP(LOOKUP(,-1/($Z$12:Z96=1),$A$12:A96),График[[Срок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S95&gt;0,MIN(Первоначальный[[#This Row],[Полученный платеж]]+Y95-SUM(Первоначальный[[#This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комиссиям]]),SUM(INDIRECT("M"&amp;(MAX((1=S$12:S95)*ROW(S$12:S95),ROW($W$12))&amp;":M"&amp;(ROW()))))-SUM(INDIRECT("W"&amp;(MAX((1=S$12:S95)*ROW(S$12:S95),ROW($W$12))&amp;":W"&amp;(ROW()-1)))))
)
)</f>
        <v>0</v>
      </c>
      <c r="X96" s="55">
        <f t="shared" ca="1" si="14"/>
        <v>0</v>
      </c>
      <c r="Y96" s="101">
        <f t="shared" ca="1" si="21"/>
        <v>0</v>
      </c>
      <c r="Z96" s="133" t="str">
        <f>IF(TYPE((VLOOKUP(Первоначальный[[#This Row],[Дата платежа]],График[Срок конец],1,0)))=16,"",1)</f>
        <v/>
      </c>
      <c r="AA96" s="57"/>
      <c r="AB96" s="134"/>
      <c r="AC9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1781.94</v>
      </c>
      <c r="AE9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9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96" s="55"/>
      <c r="AI96" s="55"/>
      <c r="AJ96" s="55"/>
      <c r="AK96" s="101">
        <f t="shared" ca="1" si="22"/>
        <v>151415.28</v>
      </c>
      <c r="AL96" s="129">
        <f t="array" ref="AL96">MAX((УслРестрактов[Характеристика]="Дата реструктуризации")*(УслРестрактов[Значение]=Первоначальный!$A96),0)</f>
        <v>0</v>
      </c>
    </row>
    <row r="97" spans="1:38" x14ac:dyDescent="0.25">
      <c r="A97" s="97">
        <f t="shared" si="15"/>
        <v>44228</v>
      </c>
      <c r="B97" s="100">
        <f t="shared" ca="1" si="16"/>
        <v>149633.34</v>
      </c>
      <c r="C97" s="55">
        <f t="shared" ca="1" si="24"/>
        <v>1781.94</v>
      </c>
      <c r="D97" s="55">
        <f t="shared" ca="1" si="24"/>
        <v>0</v>
      </c>
      <c r="E97" s="55">
        <f t="shared" ca="1" si="17"/>
        <v>0</v>
      </c>
      <c r="F97" s="55">
        <f t="shared" ca="1" si="18"/>
        <v>0</v>
      </c>
      <c r="G97" s="101">
        <f t="shared" ca="1" si="19"/>
        <v>151415.28</v>
      </c>
      <c r="H97" s="100">
        <f ca="1">ROUND($B97*VLOOKUP($A97,$A$1:$B$10,2,1)/(365+IF(MOD(YEAR($A97),4),0,1)*($A97-$A96)),2)-Первоначальный[[#This Row],[Проценты на просроченный платеж по ОД за период]]</f>
        <v>81.58</v>
      </c>
      <c r="I97" s="55">
        <f t="shared" ca="1" si="20"/>
        <v>0</v>
      </c>
      <c r="J97" s="55">
        <v>0</v>
      </c>
      <c r="K97" s="55">
        <f t="shared" ca="1" si="23"/>
        <v>0</v>
      </c>
      <c r="L97" s="55">
        <v>0</v>
      </c>
      <c r="M97" s="113">
        <f>SUMIFS(График[Возврат основной суммы долга],График[Дата с учетом нерабочих дней],$A97)</f>
        <v>0</v>
      </c>
      <c r="N97" s="56">
        <f>SUMIFS(График[Возврат начисленных %],График[Дата с учетом нерабочих дней],$A97)</f>
        <v>0</v>
      </c>
      <c r="O97" s="101">
        <v>0</v>
      </c>
      <c r="P97" s="100" cm="1">
        <f t="array" aca="1" ref="P97" ca="1">MAX(IF(AA96="Да",0,SUM(INDIRECT("M"&amp;(MAX(("Да"=AA$12:AA96)*ROW(AA$12:AA96)+1,ROW($P$12))&amp;":M"&amp;(ROW()))))-SUM(INDIRECT("W"&amp;(MAX(("Да"=AA$12:AA96)*ROW(AA$12:AA96)+1,ROW($P$12))&amp;":W"&amp;(ROW()))))),0)</f>
        <v>4.9999999999727152E-2</v>
      </c>
      <c r="Q97" s="99">
        <f ca="1">MAX(SUM($N$13:N97)-SUM($T$13:T97),0)</f>
        <v>0</v>
      </c>
      <c r="R97" s="99">
        <f ca="1">Первоначальный[[#This Row],[Просроченный платеж по ОД]]+Первоначальный[[#This Row],[Просроченный платеж по процентам]]</f>
        <v>4.9999999999727152E-2</v>
      </c>
      <c r="S97" s="120">
        <f ca="1">IF(Первоначальный[[#This Row],[Просроченный платеж]]&lt;1,0,S96+1)</f>
        <v>0</v>
      </c>
      <c r="T97" s="100" cm="1">
        <f t="array" aca="1" ref="T97" ca="1">IF(Первоначальный[[#This Row],[Итого остаток на начало периода]]&lt;1,0,
IF(
AND(TYPE(VLOOKUP(1,$Z$12:Z97,1,0))=16,Первоначальный[[#This Row],[Досрочное погашение (да/"")]]=""),0,
_xlfn.IFS(AND(S96=0,Первоначальный[[#This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платеж]]&lt;&gt;0),MIN(LOOKUP(,-1/($Z$12:Z97=1),$C$12:C97)+LOOKUP(,-1/($Z$12:Z97=1),$H$12:H97),Первоначальный[[#This Row],[Полученный платеж]]+Y96),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платеж]]+Y96,SUM(Первоначальный[[#This Row],[Остаток процентов на начало периода]],Первоначальный[[#This Row],[Проценты за период]])),
AND(S96=0,Первоначальный[[#This Row],[Дата платежа из графика]]=""),0,
AND(S96=0,Первоначальный[[#This Row],[Дата платежа из графика]]=1,MAX((0&lt;&gt;S$12:S96)*ROW(S$12:S96),ROW($S$12))&gt;=MAX((1=Z$12:Z96)*ROW(Z$12:Z96),ROW($T$12)),TYPE(VLOOKUP("Да",(INDIRECT("AA"&amp;(MAX((1=Z$12:Z96)*ROW(Z$12:Z96),ROW($T$12))&amp;":AA"&amp;(ROW()-1)))),1,0))=16),MIN(LOOKUP(,-1/($Z$12:Z97=1),$C$12:C97)+LOOKUP(,-1/($Z$12:Z97=1),$H$12:H97),Первоначальный[[#This Row],[Полученный платеж]]+Y96),
AND(S96=0,TYPE(VLOOKUP("Да",(INDIRECT("AA"&amp;(MAX((1=Z$12:Z96)*ROW(Z$12:Z96),ROW($T$12))&amp;":AA"&amp;(ROW()-1)))),1,0))&lt;&gt;16),MIN(LOOKUP(,-1/($Z$12:Z97=1),$C$12:C97)+LOOKUP(,-1/($Z$12:Z97=1),$H$12:H97)-IF(AA96="Да",0,SUM(INDIRECT("T"&amp;(MAX(("Да"=AA$12:AA96)*ROW(AA$12:AA96)+1,ROW($T$12))&amp;":T"&amp;(ROW()-1))))),Первоначальный[[#This Row],[Полученный платеж]]+Y96),
AND(S96=0,MAX((0&lt;&gt;N$12:N96)*ROW(N$12:N96),ROW($S$12))&gt;=MAX((1=Z$12:Z96)*ROW(Z$12:Z96),ROW($T$12))),MIN(LOOKUP(,-1/($Z$12:Z97=1),$C$12:C97)+LOOKUP(,-1/($Z$12:Z97=1),$H$12:H97)-IF(N96&lt;&gt;0,0,SUM(INDIRECT("T"&amp;(MAX((0&lt;&gt;N$12:N96)*ROW(N$12:N96)+1,ROW($T$12))&amp;":T"&amp;(ROW()-1))))),Первоначальный[[#This Row],[Полученный платеж]]+Y96),
AND(S96=0,Первоначальный[[#This Row],[Дата платежа из графика]]=1),MIN(LOOKUP(,-1/($Z$12:Z97=1),$C$12:C97)+LOOKUP(,-1/($Z$12:Z97=1),$H$12:H97)-IF(Z96=1,0,SUM(INDIRECT("T"&amp;(MAX((1=Z$12:Z96)*ROW(Z$12:Z96)+1,ROW($T$12))&amp;":T"&amp;(ROW()-1))))),Первоначальный[[#This Row],[Полученный платеж]]+Y96),
AND(Z96&gt;0,Первоначальный[[#This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платеж]]+Y96),
AND(S96&gt;0,MAX((0&lt;&gt;S$12:S96)*ROW(S$12:S96),ROW($S$12))&gt;=MAX((1=Z$12:Z96)*ROW(Z$12:Z96),ROW($T$12)),TYPE(VLOOKUP("Да",(INDIRECT("AA"&amp;(MAX((1=Z$12:Z96)*ROW(Z$12:Z96),ROW($T$12))&amp;":AA"&amp;(ROW()-1)))),1,0))=16),MIN(LOOKUP(,-1/($Z$12:Z97=1),$C$12:C97)+LOOKUP(,-1/($Z$12:Z97=1),$H$12:H97)-SUM(INDIRECT("T"&amp;(MAX((1=Z$12:Z96)*ROW(Z$12:Z96),ROW($T$12))&amp;":T"&amp;(ROW()-1)))),Первоначальный[[#This Row],[Полученный платеж]]+Y96),
S96&gt;0,MIN(LOOKUP(,-1/($Z$12:Z97=1),$C$12:C97)+LOOKUP(,-1/($Z$12:Z97=1),$H$12:H97)-IF(Z96=1,0,SUM(INDIRECT("T"&amp;(MAX((1=Z$12:Z96)*ROW(Z$12:Z96)+1,ROW($T$12))&amp;":T"&amp;(ROW()-1))))),Первоначальный[[#This Row],[Полученный платеж]]+Y96)
)
)
)</f>
        <v>0</v>
      </c>
      <c r="U9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платеж]]+Y96-Первоначальный[[#This Row],[Полученный платёж по процентам]])</f>
        <v>0</v>
      </c>
      <c r="V97" s="55">
        <f t="shared" ca="1" si="13"/>
        <v>0</v>
      </c>
      <c r="W97" s="55" cm="1">
        <f t="array" aca="1" ref="W97" ca="1">IF(Первоначальный[[#This Row],[Итого остаток на начало периода]]&lt;1,0,
_xlfn.IFS(
AND(TYPE(VLOOKUP(1,$Z$12:Z97,1,0))=16,Первоначальный[[#This Row],[Досрочное погашение (да/"")]]=""),0,
AND(S96=0,Первоначальный[[#This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комиссиям]]),VLOOKUP(LOOKUP(,-1/($Z$12:Z97=1),$A$12:A97),График[[Срок конец]:[Возврат основной суммы долга]],3,0)),
AND(S96=0,Первоначальный[[#This Row],[Дата платежа из графика]]="",Первоначальный[[#This Row],[Досрочное погашение (да/"")]]&lt;&gt;"Да"),0,
AND(S96=0,Первоначальный[[#This Row],[Досрочное погашение (да/"")]]=""),MIN(Первоначальный[[#This Row],[Полученный платеж]]+Y96-SUM(Первоначальный[[#This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комиссиям]]),VLOOKUP(LOOKUP(,-1/($Z$12:Z97=1),$A$12:A97),График[[Срок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S96&gt;0,MIN(Первоначальный[[#This Row],[Полученный платеж]]+Y96-SUM(Первоначальный[[#This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комиссиям]]),SUM(INDIRECT("M"&amp;(MAX((1=S$12:S96)*ROW(S$12:S96),ROW($W$12))&amp;":M"&amp;(ROW()))))-SUM(INDIRECT("W"&amp;(MAX((1=S$12:S96)*ROW(S$12:S96),ROW($W$12))&amp;":W"&amp;(ROW()-1)))))
)
)</f>
        <v>0</v>
      </c>
      <c r="X97" s="55">
        <f t="shared" ca="1" si="14"/>
        <v>0</v>
      </c>
      <c r="Y97" s="101">
        <f t="shared" ca="1" si="21"/>
        <v>0</v>
      </c>
      <c r="Z97" s="133" t="str">
        <f>IF(TYPE((VLOOKUP(Первоначальный[[#This Row],[Дата платежа]],График[Срок конец],1,0)))=16,"",1)</f>
        <v/>
      </c>
      <c r="AA97" s="57"/>
      <c r="AB97" s="134"/>
      <c r="AC9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1863.52</v>
      </c>
      <c r="AE9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9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97" s="55"/>
      <c r="AI97" s="55"/>
      <c r="AJ97" s="55"/>
      <c r="AK97" s="101">
        <f t="shared" ca="1" si="22"/>
        <v>151496.85999999999</v>
      </c>
      <c r="AL97" s="129">
        <f t="array" ref="AL97">MAX((УслРестрактов[Характеристика]="Дата реструктуризации")*(УслРестрактов[Значение]=Первоначальный!$A97),0)</f>
        <v>0</v>
      </c>
    </row>
    <row r="98" spans="1:38" x14ac:dyDescent="0.25">
      <c r="A98" s="97">
        <f t="shared" si="15"/>
        <v>44229</v>
      </c>
      <c r="B98" s="100">
        <f t="shared" ca="1" si="16"/>
        <v>149633.34</v>
      </c>
      <c r="C98" s="55">
        <f t="shared" ca="1" si="24"/>
        <v>1863.52</v>
      </c>
      <c r="D98" s="55">
        <f t="shared" ca="1" si="24"/>
        <v>0</v>
      </c>
      <c r="E98" s="55">
        <f t="shared" ca="1" si="17"/>
        <v>0</v>
      </c>
      <c r="F98" s="55">
        <f t="shared" ca="1" si="18"/>
        <v>0</v>
      </c>
      <c r="G98" s="101">
        <f t="shared" ca="1" si="19"/>
        <v>151496.85999999999</v>
      </c>
      <c r="H98" s="100">
        <f ca="1">ROUND($B98*VLOOKUP($A98,$A$1:$B$10,2,1)/(365+IF(MOD(YEAR($A98),4),0,1)*($A98-$A97)),2)-Первоначальный[[#This Row],[Проценты на просроченный платеж по ОД за период]]</f>
        <v>81.58</v>
      </c>
      <c r="I98" s="55">
        <f t="shared" ca="1" si="20"/>
        <v>0</v>
      </c>
      <c r="J98" s="55">
        <v>0</v>
      </c>
      <c r="K98" s="55">
        <f t="shared" ca="1" si="23"/>
        <v>0</v>
      </c>
      <c r="L98" s="55">
        <v>0</v>
      </c>
      <c r="M98" s="113">
        <f>SUMIFS(График[Возврат основной суммы долга],График[Дата с учетом нерабочих дней],$A98)</f>
        <v>0</v>
      </c>
      <c r="N98" s="56">
        <f>SUMIFS(График[Возврат начисленных %],График[Дата с учетом нерабочих дней],$A98)</f>
        <v>0</v>
      </c>
      <c r="O98" s="101">
        <v>0</v>
      </c>
      <c r="P98" s="100" cm="1">
        <f t="array" aca="1" ref="P98" ca="1">MAX(IF(AA97="Да",0,SUM(INDIRECT("M"&amp;(MAX(("Да"=AA$12:AA97)*ROW(AA$12:AA97)+1,ROW($P$12))&amp;":M"&amp;(ROW()))))-SUM(INDIRECT("W"&amp;(MAX(("Да"=AA$12:AA97)*ROW(AA$12:AA97)+1,ROW($P$12))&amp;":W"&amp;(ROW()))))),0)</f>
        <v>4.9999999999727152E-2</v>
      </c>
      <c r="Q98" s="99">
        <f ca="1">MAX(SUM($N$13:N98)-SUM($T$13:T98),0)</f>
        <v>0</v>
      </c>
      <c r="R98" s="99">
        <f ca="1">Первоначальный[[#This Row],[Просроченный платеж по ОД]]+Первоначальный[[#This Row],[Просроченный платеж по процентам]]</f>
        <v>4.9999999999727152E-2</v>
      </c>
      <c r="S98" s="120">
        <f ca="1">IF(Первоначальный[[#This Row],[Просроченный платеж]]&lt;1,0,S97+1)</f>
        <v>0</v>
      </c>
      <c r="T98" s="100" cm="1">
        <f t="array" aca="1" ref="T98" ca="1">IF(Первоначальный[[#This Row],[Итого остаток на начало периода]]&lt;1,0,
IF(
AND(TYPE(VLOOKUP(1,$Z$12:Z98,1,0))=16,Первоначальный[[#This Row],[Досрочное погашение (да/"")]]=""),0,
_xlfn.IFS(AND(S97=0,Первоначальный[[#This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платеж]]&lt;&gt;0),MIN(LOOKUP(,-1/($Z$12:Z98=1),$C$12:C98)+LOOKUP(,-1/($Z$12:Z98=1),$H$12:H98),Первоначальный[[#This Row],[Полученный платеж]]+Y97),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платеж]]+Y97,SUM(Первоначальный[[#This Row],[Остаток процентов на начало периода]],Первоначальный[[#This Row],[Проценты за период]])),
AND(S97=0,Первоначальный[[#This Row],[Дата платежа из графика]]=""),0,
AND(S97=0,Первоначальный[[#This Row],[Дата платежа из графика]]=1,MAX((0&lt;&gt;S$12:S97)*ROW(S$12:S97),ROW($S$12))&gt;=MAX((1=Z$12:Z97)*ROW(Z$12:Z97),ROW($T$12)),TYPE(VLOOKUP("Да",(INDIRECT("AA"&amp;(MAX((1=Z$12:Z97)*ROW(Z$12:Z97),ROW($T$12))&amp;":AA"&amp;(ROW()-1)))),1,0))=16),MIN(LOOKUP(,-1/($Z$12:Z98=1),$C$12:C98)+LOOKUP(,-1/($Z$12:Z98=1),$H$12:H98),Первоначальный[[#This Row],[Полученный платеж]]+Y97),
AND(S97=0,TYPE(VLOOKUP("Да",(INDIRECT("AA"&amp;(MAX((1=Z$12:Z97)*ROW(Z$12:Z97),ROW($T$12))&amp;":AA"&amp;(ROW()-1)))),1,0))&lt;&gt;16),MIN(LOOKUP(,-1/($Z$12:Z98=1),$C$12:C98)+LOOKUP(,-1/($Z$12:Z98=1),$H$12:H98)-IF(AA97="Да",0,SUM(INDIRECT("T"&amp;(MAX(("Да"=AA$12:AA97)*ROW(AA$12:AA97)+1,ROW($T$12))&amp;":T"&amp;(ROW()-1))))),Первоначальный[[#This Row],[Полученный платеж]]+Y97),
AND(S97=0,MAX((0&lt;&gt;N$12:N97)*ROW(N$12:N97),ROW($S$12))&gt;=MAX((1=Z$12:Z97)*ROW(Z$12:Z97),ROW($T$12))),MIN(LOOKUP(,-1/($Z$12:Z98=1),$C$12:C98)+LOOKUP(,-1/($Z$12:Z98=1),$H$12:H98)-IF(N97&lt;&gt;0,0,SUM(INDIRECT("T"&amp;(MAX((0&lt;&gt;N$12:N97)*ROW(N$12:N97)+1,ROW($T$12))&amp;":T"&amp;(ROW()-1))))),Первоначальный[[#This Row],[Полученный платеж]]+Y97),
AND(S97=0,Первоначальный[[#This Row],[Дата платежа из графика]]=1),MIN(LOOKUP(,-1/($Z$12:Z98=1),$C$12:C98)+LOOKUP(,-1/($Z$12:Z98=1),$H$12:H98)-IF(Z97=1,0,SUM(INDIRECT("T"&amp;(MAX((1=Z$12:Z97)*ROW(Z$12:Z97)+1,ROW($T$12))&amp;":T"&amp;(ROW()-1))))),Первоначальный[[#This Row],[Полученный платеж]]+Y97),
AND(Z97&gt;0,Первоначальный[[#This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платеж]]+Y97),
AND(S97&gt;0,MAX((0&lt;&gt;S$12:S97)*ROW(S$12:S97),ROW($S$12))&gt;=MAX((1=Z$12:Z97)*ROW(Z$12:Z97),ROW($T$12)),TYPE(VLOOKUP("Да",(INDIRECT("AA"&amp;(MAX((1=Z$12:Z97)*ROW(Z$12:Z97),ROW($T$12))&amp;":AA"&amp;(ROW()-1)))),1,0))=16),MIN(LOOKUP(,-1/($Z$12:Z98=1),$C$12:C98)+LOOKUP(,-1/($Z$12:Z98=1),$H$12:H98)-SUM(INDIRECT("T"&amp;(MAX((1=Z$12:Z97)*ROW(Z$12:Z97),ROW($T$12))&amp;":T"&amp;(ROW()-1)))),Первоначальный[[#This Row],[Полученный платеж]]+Y97),
S97&gt;0,MIN(LOOKUP(,-1/($Z$12:Z98=1),$C$12:C98)+LOOKUP(,-1/($Z$12:Z98=1),$H$12:H98)-IF(Z97=1,0,SUM(INDIRECT("T"&amp;(MAX((1=Z$12:Z97)*ROW(Z$12:Z97)+1,ROW($T$12))&amp;":T"&amp;(ROW()-1))))),Первоначальный[[#This Row],[Полученный платеж]]+Y97)
)
)
)</f>
        <v>0</v>
      </c>
      <c r="U9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платеж]]+Y97-Первоначальный[[#This Row],[Полученный платёж по процентам]])</f>
        <v>0</v>
      </c>
      <c r="V98" s="55">
        <f t="shared" ca="1" si="13"/>
        <v>0</v>
      </c>
      <c r="W98" s="55" cm="1">
        <f t="array" aca="1" ref="W98" ca="1">IF(Первоначальный[[#This Row],[Итого остаток на начало периода]]&lt;1,0,
_xlfn.IFS(
AND(TYPE(VLOOKUP(1,$Z$12:Z98,1,0))=16,Первоначальный[[#This Row],[Досрочное погашение (да/"")]]=""),0,
AND(S97=0,Первоначальный[[#This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комиссиям]]),VLOOKUP(LOOKUP(,-1/($Z$12:Z98=1),$A$12:A98),График[[Срок конец]:[Возврат основной суммы долга]],3,0)),
AND(S97=0,Первоначальный[[#This Row],[Дата платежа из графика]]="",Первоначальный[[#This Row],[Досрочное погашение (да/"")]]&lt;&gt;"Да"),0,
AND(S97=0,Первоначальный[[#This Row],[Досрочное погашение (да/"")]]=""),MIN(Первоначальный[[#This Row],[Полученный платеж]]+Y97-SUM(Первоначальный[[#This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комиссиям]]),VLOOKUP(LOOKUP(,-1/($Z$12:Z98=1),$A$12:A98),График[[Срок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S97&gt;0,MIN(Первоначальный[[#This Row],[Полученный платеж]]+Y97-SUM(Первоначальный[[#This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комиссиям]]),SUM(INDIRECT("M"&amp;(MAX((1=S$12:S97)*ROW(S$12:S97),ROW($W$12))&amp;":M"&amp;(ROW()))))-SUM(INDIRECT("W"&amp;(MAX((1=S$12:S97)*ROW(S$12:S97),ROW($W$12))&amp;":W"&amp;(ROW()-1)))))
)
)</f>
        <v>0</v>
      </c>
      <c r="X98" s="55">
        <f t="shared" ca="1" si="14"/>
        <v>0</v>
      </c>
      <c r="Y98" s="101">
        <f t="shared" ca="1" si="21"/>
        <v>0</v>
      </c>
      <c r="Z98" s="133" t="str">
        <f>IF(TYPE((VLOOKUP(Первоначальный[[#This Row],[Дата платежа]],График[Срок конец],1,0)))=16,"",1)</f>
        <v/>
      </c>
      <c r="AA98" s="57"/>
      <c r="AB98" s="134"/>
      <c r="AC9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1945.1</v>
      </c>
      <c r="AE9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9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98" s="55"/>
      <c r="AI98" s="55"/>
      <c r="AJ98" s="55"/>
      <c r="AK98" s="101">
        <f t="shared" ca="1" si="22"/>
        <v>151578.44</v>
      </c>
      <c r="AL98" s="129">
        <f t="array" ref="AL98">MAX((УслРестрактов[Характеристика]="Дата реструктуризации")*(УслРестрактов[Значение]=Первоначальный!$A98),0)</f>
        <v>0</v>
      </c>
    </row>
    <row r="99" spans="1:38" x14ac:dyDescent="0.25">
      <c r="A99" s="97">
        <f t="shared" si="15"/>
        <v>44230</v>
      </c>
      <c r="B99" s="100">
        <f t="shared" ca="1" si="16"/>
        <v>149633.34</v>
      </c>
      <c r="C99" s="55">
        <f t="shared" ca="1" si="24"/>
        <v>1945.1</v>
      </c>
      <c r="D99" s="55">
        <f t="shared" ca="1" si="24"/>
        <v>0</v>
      </c>
      <c r="E99" s="55">
        <f t="shared" ca="1" si="17"/>
        <v>0</v>
      </c>
      <c r="F99" s="55">
        <f t="shared" ca="1" si="18"/>
        <v>0</v>
      </c>
      <c r="G99" s="101">
        <f t="shared" ca="1" si="19"/>
        <v>151578.44</v>
      </c>
      <c r="H99" s="100">
        <f ca="1">ROUND($B99*VLOOKUP($A99,$A$1:$B$10,2,1)/(365+IF(MOD(YEAR($A99),4),0,1)*($A99-$A98)),2)-Первоначальный[[#This Row],[Проценты на просроченный платеж по ОД за период]]</f>
        <v>81.58</v>
      </c>
      <c r="I99" s="55">
        <f t="shared" ca="1" si="20"/>
        <v>0</v>
      </c>
      <c r="J99" s="55">
        <v>0</v>
      </c>
      <c r="K99" s="55">
        <f t="shared" ca="1" si="23"/>
        <v>0</v>
      </c>
      <c r="L99" s="55">
        <v>0</v>
      </c>
      <c r="M99" s="113">
        <f>SUMIFS(График[Возврат основной суммы долга],График[Дата с учетом нерабочих дней],$A99)</f>
        <v>0</v>
      </c>
      <c r="N99" s="56">
        <f>SUMIFS(График[Возврат начисленных %],График[Дата с учетом нерабочих дней],$A99)</f>
        <v>0</v>
      </c>
      <c r="O99" s="101">
        <v>0</v>
      </c>
      <c r="P99" s="100" cm="1">
        <f t="array" aca="1" ref="P99" ca="1">MAX(IF(AA98="Да",0,SUM(INDIRECT("M"&amp;(MAX(("Да"=AA$12:AA98)*ROW(AA$12:AA98)+1,ROW($P$12))&amp;":M"&amp;(ROW()))))-SUM(INDIRECT("W"&amp;(MAX(("Да"=AA$12:AA98)*ROW(AA$12:AA98)+1,ROW($P$12))&amp;":W"&amp;(ROW()))))),0)</f>
        <v>4.9999999999727152E-2</v>
      </c>
      <c r="Q99" s="99">
        <f ca="1">MAX(SUM($N$13:N99)-SUM($T$13:T99),0)</f>
        <v>0</v>
      </c>
      <c r="R99" s="99">
        <f ca="1">Первоначальный[[#This Row],[Просроченный платеж по ОД]]+Первоначальный[[#This Row],[Просроченный платеж по процентам]]</f>
        <v>4.9999999999727152E-2</v>
      </c>
      <c r="S99" s="120">
        <f ca="1">IF(Первоначальный[[#This Row],[Просроченный платеж]]&lt;1,0,S98+1)</f>
        <v>0</v>
      </c>
      <c r="T99" s="100" cm="1">
        <f t="array" aca="1" ref="T99" ca="1">IF(Первоначальный[[#This Row],[Итого остаток на начало периода]]&lt;1,0,
IF(
AND(TYPE(VLOOKUP(1,$Z$12:Z99,1,0))=16,Первоначальный[[#This Row],[Досрочное погашение (да/"")]]=""),0,
_xlfn.IFS(AND(S98=0,Первоначальный[[#This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платеж]]&lt;&gt;0),MIN(LOOKUP(,-1/($Z$12:Z99=1),$C$12:C99)+LOOKUP(,-1/($Z$12:Z99=1),$H$12:H99),Первоначальный[[#This Row],[Полученный платеж]]+Y98),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платеж]]+Y98,SUM(Первоначальный[[#This Row],[Остаток процентов на начало периода]],Первоначальный[[#This Row],[Проценты за период]])),
AND(S98=0,Первоначальный[[#This Row],[Дата платежа из графика]]=""),0,
AND(S98=0,Первоначальный[[#This Row],[Дата платежа из графика]]=1,MAX((0&lt;&gt;S$12:S98)*ROW(S$12:S98),ROW($S$12))&gt;=MAX((1=Z$12:Z98)*ROW(Z$12:Z98),ROW($T$12)),TYPE(VLOOKUP("Да",(INDIRECT("AA"&amp;(MAX((1=Z$12:Z98)*ROW(Z$12:Z98),ROW($T$12))&amp;":AA"&amp;(ROW()-1)))),1,0))=16),MIN(LOOKUP(,-1/($Z$12:Z99=1),$C$12:C99)+LOOKUP(,-1/($Z$12:Z99=1),$H$12:H99),Первоначальный[[#This Row],[Полученный платеж]]+Y98),
AND(S98=0,TYPE(VLOOKUP("Да",(INDIRECT("AA"&amp;(MAX((1=Z$12:Z98)*ROW(Z$12:Z98),ROW($T$12))&amp;":AA"&amp;(ROW()-1)))),1,0))&lt;&gt;16),MIN(LOOKUP(,-1/($Z$12:Z99=1),$C$12:C99)+LOOKUP(,-1/($Z$12:Z99=1),$H$12:H99)-IF(AA98="Да",0,SUM(INDIRECT("T"&amp;(MAX(("Да"=AA$12:AA98)*ROW(AA$12:AA98)+1,ROW($T$12))&amp;":T"&amp;(ROW()-1))))),Первоначальный[[#This Row],[Полученный платеж]]+Y98),
AND(S98=0,MAX((0&lt;&gt;N$12:N98)*ROW(N$12:N98),ROW($S$12))&gt;=MAX((1=Z$12:Z98)*ROW(Z$12:Z98),ROW($T$12))),MIN(LOOKUP(,-1/($Z$12:Z99=1),$C$12:C99)+LOOKUP(,-1/($Z$12:Z99=1),$H$12:H99)-IF(N98&lt;&gt;0,0,SUM(INDIRECT("T"&amp;(MAX((0&lt;&gt;N$12:N98)*ROW(N$12:N98)+1,ROW($T$12))&amp;":T"&amp;(ROW()-1))))),Первоначальный[[#This Row],[Полученный платеж]]+Y98),
AND(S98=0,Первоначальный[[#This Row],[Дата платежа из графика]]=1),MIN(LOOKUP(,-1/($Z$12:Z99=1),$C$12:C99)+LOOKUP(,-1/($Z$12:Z99=1),$H$12:H99)-IF(Z98=1,0,SUM(INDIRECT("T"&amp;(MAX((1=Z$12:Z98)*ROW(Z$12:Z98)+1,ROW($T$12))&amp;":T"&amp;(ROW()-1))))),Первоначальный[[#This Row],[Полученный платеж]]+Y98),
AND(Z98&gt;0,Первоначальный[[#This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платеж]]+Y98),
AND(S98&gt;0,MAX((0&lt;&gt;S$12:S98)*ROW(S$12:S98),ROW($S$12))&gt;=MAX((1=Z$12:Z98)*ROW(Z$12:Z98),ROW($T$12)),TYPE(VLOOKUP("Да",(INDIRECT("AA"&amp;(MAX((1=Z$12:Z98)*ROW(Z$12:Z98),ROW($T$12))&amp;":AA"&amp;(ROW()-1)))),1,0))=16),MIN(LOOKUP(,-1/($Z$12:Z99=1),$C$12:C99)+LOOKUP(,-1/($Z$12:Z99=1),$H$12:H99)-SUM(INDIRECT("T"&amp;(MAX((1=Z$12:Z98)*ROW(Z$12:Z98),ROW($T$12))&amp;":T"&amp;(ROW()-1)))),Первоначальный[[#This Row],[Полученный платеж]]+Y98),
S98&gt;0,MIN(LOOKUP(,-1/($Z$12:Z99=1),$C$12:C99)+LOOKUP(,-1/($Z$12:Z99=1),$H$12:H99)-IF(Z98=1,0,SUM(INDIRECT("T"&amp;(MAX((1=Z$12:Z98)*ROW(Z$12:Z98)+1,ROW($T$12))&amp;":T"&amp;(ROW()-1))))),Первоначальный[[#This Row],[Полученный платеж]]+Y98)
)
)
)</f>
        <v>0</v>
      </c>
      <c r="U9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платеж]]+Y98-Первоначальный[[#This Row],[Полученный платёж по процентам]])</f>
        <v>0</v>
      </c>
      <c r="V99" s="55">
        <f t="shared" ca="1" si="13"/>
        <v>0</v>
      </c>
      <c r="W99" s="55" cm="1">
        <f t="array" aca="1" ref="W99" ca="1">IF(Первоначальный[[#This Row],[Итого остаток на начало периода]]&lt;1,0,
_xlfn.IFS(
AND(TYPE(VLOOKUP(1,$Z$12:Z99,1,0))=16,Первоначальный[[#This Row],[Досрочное погашение (да/"")]]=""),0,
AND(S98=0,Первоначальный[[#This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комиссиям]]),VLOOKUP(LOOKUP(,-1/($Z$12:Z99=1),$A$12:A99),График[[Срок конец]:[Возврат основной суммы долга]],3,0)),
AND(S98=0,Первоначальный[[#This Row],[Дата платежа из графика]]="",Первоначальный[[#This Row],[Досрочное погашение (да/"")]]&lt;&gt;"Да"),0,
AND(S98=0,Первоначальный[[#This Row],[Досрочное погашение (да/"")]]=""),MIN(Первоначальный[[#This Row],[Полученный платеж]]+Y98-SUM(Первоначальный[[#This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комиссиям]]),VLOOKUP(LOOKUP(,-1/($Z$12:Z99=1),$A$12:A99),График[[Срок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S98&gt;0,MIN(Первоначальный[[#This Row],[Полученный платеж]]+Y98-SUM(Первоначальный[[#This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комиссиям]]),SUM(INDIRECT("M"&amp;(MAX((1=S$12:S98)*ROW(S$12:S98),ROW($W$12))&amp;":M"&amp;(ROW()))))-SUM(INDIRECT("W"&amp;(MAX((1=S$12:S98)*ROW(S$12:S98),ROW($W$12))&amp;":W"&amp;(ROW()-1)))))
)
)</f>
        <v>0</v>
      </c>
      <c r="X99" s="55">
        <f t="shared" ca="1" si="14"/>
        <v>0</v>
      </c>
      <c r="Y99" s="101">
        <f t="shared" ca="1" si="21"/>
        <v>0</v>
      </c>
      <c r="Z99" s="133" t="str">
        <f>IF(TYPE((VLOOKUP(Первоначальный[[#This Row],[Дата платежа]],График[Срок конец],1,0)))=16,"",1)</f>
        <v/>
      </c>
      <c r="AA99" s="57"/>
      <c r="AB99" s="134"/>
      <c r="AC9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2026.6799999999998</v>
      </c>
      <c r="AE9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9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99" s="55"/>
      <c r="AI99" s="55"/>
      <c r="AJ99" s="55"/>
      <c r="AK99" s="101">
        <f t="shared" ca="1" si="22"/>
        <v>151660.01999999999</v>
      </c>
      <c r="AL99" s="129">
        <f t="array" ref="AL99">MAX((УслРестрактов[Характеристика]="Дата реструктуризации")*(УслРестрактов[Значение]=Первоначальный!$A99),0)</f>
        <v>0</v>
      </c>
    </row>
    <row r="100" spans="1:38" x14ac:dyDescent="0.25">
      <c r="A100" s="97">
        <f t="shared" si="15"/>
        <v>44231</v>
      </c>
      <c r="B100" s="100">
        <f t="shared" ca="1" si="16"/>
        <v>149633.34</v>
      </c>
      <c r="C100" s="55">
        <f t="shared" ca="1" si="24"/>
        <v>2026.6799999999998</v>
      </c>
      <c r="D100" s="55">
        <f t="shared" ca="1" si="24"/>
        <v>0</v>
      </c>
      <c r="E100" s="55">
        <f t="shared" ca="1" si="17"/>
        <v>0</v>
      </c>
      <c r="F100" s="55">
        <f t="shared" ca="1" si="18"/>
        <v>0</v>
      </c>
      <c r="G100" s="101">
        <f t="shared" ca="1" si="19"/>
        <v>151660.01999999999</v>
      </c>
      <c r="H100" s="100">
        <f ca="1">ROUND($B100*VLOOKUP($A100,$A$1:$B$10,2,1)/(365+IF(MOD(YEAR($A100),4),0,1)*($A100-$A99)),2)-Первоначальный[[#This Row],[Проценты на просроченный платеж по ОД за период]]</f>
        <v>81.58</v>
      </c>
      <c r="I100" s="55">
        <f t="shared" ca="1" si="20"/>
        <v>0</v>
      </c>
      <c r="J100" s="55">
        <v>0</v>
      </c>
      <c r="K100" s="55">
        <f t="shared" ca="1" si="23"/>
        <v>0</v>
      </c>
      <c r="L100" s="55">
        <v>0</v>
      </c>
      <c r="M100" s="113">
        <f>SUMIFS(График[Возврат основной суммы долга],График[Дата с учетом нерабочих дней],$A100)</f>
        <v>0</v>
      </c>
      <c r="N100" s="56">
        <f>SUMIFS(График[Возврат начисленных %],График[Дата с учетом нерабочих дней],$A100)</f>
        <v>0</v>
      </c>
      <c r="O100" s="101">
        <v>0</v>
      </c>
      <c r="P100" s="100" cm="1">
        <f t="array" aca="1" ref="P100" ca="1">MAX(IF(AA99="Да",0,SUM(INDIRECT("M"&amp;(MAX(("Да"=AA$12:AA99)*ROW(AA$12:AA99)+1,ROW($P$12))&amp;":M"&amp;(ROW()))))-SUM(INDIRECT("W"&amp;(MAX(("Да"=AA$12:AA99)*ROW(AA$12:AA99)+1,ROW($P$12))&amp;":W"&amp;(ROW()))))),0)</f>
        <v>4.9999999999727152E-2</v>
      </c>
      <c r="Q100" s="99">
        <f ca="1">MAX(SUM($N$13:N100)-SUM($T$13:T100),0)</f>
        <v>0</v>
      </c>
      <c r="R100" s="99">
        <f ca="1">Первоначальный[[#This Row],[Просроченный платеж по ОД]]+Первоначальный[[#This Row],[Просроченный платеж по процентам]]</f>
        <v>4.9999999999727152E-2</v>
      </c>
      <c r="S100" s="120">
        <f ca="1">IF(Первоначальный[[#This Row],[Просроченный платеж]]&lt;1,0,S99+1)</f>
        <v>0</v>
      </c>
      <c r="T100" s="100" cm="1">
        <f t="array" aca="1" ref="T100" ca="1">IF(Первоначальный[[#This Row],[Итого остаток на начало периода]]&lt;1,0,
IF(
AND(TYPE(VLOOKUP(1,$Z$12:Z100,1,0))=16,Первоначальный[[#This Row],[Досрочное погашение (да/"")]]=""),0,
_xlfn.IFS(AND(S99=0,Первоначальный[[#This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платеж]]&lt;&gt;0),MIN(LOOKUP(,-1/($Z$12:Z100=1),$C$12:C100)+LOOKUP(,-1/($Z$12:Z100=1),$H$12:H100),Первоначальный[[#This Row],[Полученный платеж]]+Y99),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платеж]]+Y99,SUM(Первоначальный[[#This Row],[Остаток процентов на начало периода]],Первоначальный[[#This Row],[Проценты за период]])),
AND(S99=0,Первоначальный[[#This Row],[Дата платежа из графика]]=""),0,
AND(S99=0,Первоначальный[[#This Row],[Дата платежа из графика]]=1,MAX((0&lt;&gt;S$12:S99)*ROW(S$12:S99),ROW($S$12))&gt;=MAX((1=Z$12:Z99)*ROW(Z$12:Z99),ROW($T$12)),TYPE(VLOOKUP("Да",(INDIRECT("AA"&amp;(MAX((1=Z$12:Z99)*ROW(Z$12:Z99),ROW($T$12))&amp;":AA"&amp;(ROW()-1)))),1,0))=16),MIN(LOOKUP(,-1/($Z$12:Z100=1),$C$12:C100)+LOOKUP(,-1/($Z$12:Z100=1),$H$12:H100),Первоначальный[[#This Row],[Полученный платеж]]+Y99),
AND(S99=0,TYPE(VLOOKUP("Да",(INDIRECT("AA"&amp;(MAX((1=Z$12:Z99)*ROW(Z$12:Z99),ROW($T$12))&amp;":AA"&amp;(ROW()-1)))),1,0))&lt;&gt;16),MIN(LOOKUP(,-1/($Z$12:Z100=1),$C$12:C100)+LOOKUP(,-1/($Z$12:Z100=1),$H$12:H100)-IF(AA99="Да",0,SUM(INDIRECT("T"&amp;(MAX(("Да"=AA$12:AA99)*ROW(AA$12:AA99)+1,ROW($T$12))&amp;":T"&amp;(ROW()-1))))),Первоначальный[[#This Row],[Полученный платеж]]+Y99),
AND(S99=0,MAX((0&lt;&gt;N$12:N99)*ROW(N$12:N99),ROW($S$12))&gt;=MAX((1=Z$12:Z99)*ROW(Z$12:Z99),ROW($T$12))),MIN(LOOKUP(,-1/($Z$12:Z100=1),$C$12:C100)+LOOKUP(,-1/($Z$12:Z100=1),$H$12:H100)-IF(N99&lt;&gt;0,0,SUM(INDIRECT("T"&amp;(MAX((0&lt;&gt;N$12:N99)*ROW(N$12:N99)+1,ROW($T$12))&amp;":T"&amp;(ROW()-1))))),Первоначальный[[#This Row],[Полученный платеж]]+Y99),
AND(S99=0,Первоначальный[[#This Row],[Дата платежа из графика]]=1),MIN(LOOKUP(,-1/($Z$12:Z100=1),$C$12:C100)+LOOKUP(,-1/($Z$12:Z100=1),$H$12:H100)-IF(Z99=1,0,SUM(INDIRECT("T"&amp;(MAX((1=Z$12:Z99)*ROW(Z$12:Z99)+1,ROW($T$12))&amp;":T"&amp;(ROW()-1))))),Первоначальный[[#This Row],[Полученный платеж]]+Y99),
AND(Z99&gt;0,Первоначальный[[#This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платеж]]+Y99),
AND(S99&gt;0,MAX((0&lt;&gt;S$12:S99)*ROW(S$12:S99),ROW($S$12))&gt;=MAX((1=Z$12:Z99)*ROW(Z$12:Z99),ROW($T$12)),TYPE(VLOOKUP("Да",(INDIRECT("AA"&amp;(MAX((1=Z$12:Z99)*ROW(Z$12:Z99),ROW($T$12))&amp;":AA"&amp;(ROW()-1)))),1,0))=16),MIN(LOOKUP(,-1/($Z$12:Z100=1),$C$12:C100)+LOOKUP(,-1/($Z$12:Z100=1),$H$12:H100)-SUM(INDIRECT("T"&amp;(MAX((1=Z$12:Z99)*ROW(Z$12:Z99),ROW($T$12))&amp;":T"&amp;(ROW()-1)))),Первоначальный[[#This Row],[Полученный платеж]]+Y99),
S99&gt;0,MIN(LOOKUP(,-1/($Z$12:Z100=1),$C$12:C100)+LOOKUP(,-1/($Z$12:Z100=1),$H$12:H100)-IF(Z99=1,0,SUM(INDIRECT("T"&amp;(MAX((1=Z$12:Z99)*ROW(Z$12:Z99)+1,ROW($T$12))&amp;":T"&amp;(ROW()-1))))),Первоначальный[[#This Row],[Полученный платеж]]+Y99)
)
)
)</f>
        <v>0</v>
      </c>
      <c r="U10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платеж]]+Y99-Первоначальный[[#This Row],[Полученный платёж по процентам]])</f>
        <v>0</v>
      </c>
      <c r="V100" s="55">
        <f t="shared" ca="1" si="13"/>
        <v>0</v>
      </c>
      <c r="W100" s="55" cm="1">
        <f t="array" aca="1" ref="W100" ca="1">IF(Первоначальный[[#This Row],[Итого остаток на начало периода]]&lt;1,0,
_xlfn.IFS(
AND(TYPE(VLOOKUP(1,$Z$12:Z100,1,0))=16,Первоначальный[[#This Row],[Досрочное погашение (да/"")]]=""),0,
AND(S99=0,Первоначальный[[#This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комиссиям]]),VLOOKUP(LOOKUP(,-1/($Z$12:Z100=1),$A$12:A100),График[[Срок конец]:[Возврат основной суммы долга]],3,0)),
AND(S99=0,Первоначальный[[#This Row],[Дата платежа из графика]]="",Первоначальный[[#This Row],[Досрочное погашение (да/"")]]&lt;&gt;"Да"),0,
AND(S99=0,Первоначальный[[#This Row],[Досрочное погашение (да/"")]]=""),MIN(Первоначальный[[#This Row],[Полученный платеж]]+Y99-SUM(Первоначальный[[#This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комиссиям]]),VLOOKUP(LOOKUP(,-1/($Z$12:Z100=1),$A$12:A100),График[[Срок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S99&gt;0,MIN(Первоначальный[[#This Row],[Полученный платеж]]+Y99-SUM(Первоначальный[[#This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комиссиям]]),SUM(INDIRECT("M"&amp;(MAX((1=S$12:S99)*ROW(S$12:S99),ROW($W$12))&amp;":M"&amp;(ROW()))))-SUM(INDIRECT("W"&amp;(MAX((1=S$12:S99)*ROW(S$12:S99),ROW($W$12))&amp;":W"&amp;(ROW()-1)))))
)
)</f>
        <v>0</v>
      </c>
      <c r="X100" s="55">
        <f t="shared" ca="1" si="14"/>
        <v>0</v>
      </c>
      <c r="Y100" s="101">
        <f t="shared" ca="1" si="21"/>
        <v>0</v>
      </c>
      <c r="Z100" s="133" t="str">
        <f>IF(TYPE((VLOOKUP(Первоначальный[[#This Row],[Дата платежа]],График[Срок конец],1,0)))=16,"",1)</f>
        <v/>
      </c>
      <c r="AA100" s="57"/>
      <c r="AB100" s="134"/>
      <c r="AC10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2108.2599999999998</v>
      </c>
      <c r="AE10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10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100" s="55"/>
      <c r="AI100" s="55"/>
      <c r="AJ100" s="55"/>
      <c r="AK100" s="101">
        <f t="shared" ca="1" si="22"/>
        <v>151741.6</v>
      </c>
      <c r="AL100" s="129">
        <f t="array" ref="AL100">MAX((УслРестрактов[Характеристика]="Дата реструктуризации")*(УслРестрактов[Значение]=Первоначальный!$A100),0)</f>
        <v>0</v>
      </c>
    </row>
    <row r="101" spans="1:38" x14ac:dyDescent="0.25">
      <c r="A101" s="97">
        <f t="shared" si="15"/>
        <v>44232</v>
      </c>
      <c r="B101" s="100">
        <f t="shared" ca="1" si="16"/>
        <v>149633.34</v>
      </c>
      <c r="C101" s="55">
        <f t="shared" ca="1" si="24"/>
        <v>2108.2599999999998</v>
      </c>
      <c r="D101" s="55">
        <f t="shared" ca="1" si="24"/>
        <v>0</v>
      </c>
      <c r="E101" s="55">
        <f t="shared" ca="1" si="17"/>
        <v>0</v>
      </c>
      <c r="F101" s="55">
        <f t="shared" ca="1" si="18"/>
        <v>0</v>
      </c>
      <c r="G101" s="101">
        <f t="shared" ca="1" si="19"/>
        <v>151741.6</v>
      </c>
      <c r="H101" s="100">
        <f ca="1">ROUND($B101*VLOOKUP($A101,$A$1:$B$10,2,1)/(365+IF(MOD(YEAR($A101),4),0,1)*($A101-$A100)),2)-Первоначальный[[#This Row],[Проценты на просроченный платеж по ОД за период]]</f>
        <v>81.58</v>
      </c>
      <c r="I101" s="55">
        <f t="shared" ca="1" si="20"/>
        <v>0</v>
      </c>
      <c r="J101" s="55">
        <v>0</v>
      </c>
      <c r="K101" s="55">
        <f t="shared" ca="1" si="23"/>
        <v>0</v>
      </c>
      <c r="L101" s="55">
        <v>0</v>
      </c>
      <c r="M101" s="113">
        <f>SUMIFS(График[Возврат основной суммы долга],График[Дата с учетом нерабочих дней],$A101)</f>
        <v>0</v>
      </c>
      <c r="N101" s="56">
        <f>SUMIFS(График[Возврат начисленных %],График[Дата с учетом нерабочих дней],$A101)</f>
        <v>0</v>
      </c>
      <c r="O101" s="101">
        <v>0</v>
      </c>
      <c r="P101" s="100" cm="1">
        <f t="array" aca="1" ref="P101" ca="1">MAX(IF(AA100="Да",0,SUM(INDIRECT("M"&amp;(MAX(("Да"=AA$12:AA100)*ROW(AA$12:AA100)+1,ROW($P$12))&amp;":M"&amp;(ROW()))))-SUM(INDIRECT("W"&amp;(MAX(("Да"=AA$12:AA100)*ROW(AA$12:AA100)+1,ROW($P$12))&amp;":W"&amp;(ROW()))))),0)</f>
        <v>4.9999999999727152E-2</v>
      </c>
      <c r="Q101" s="99">
        <f ca="1">MAX(SUM($N$13:N101)-SUM($T$13:T101),0)</f>
        <v>0</v>
      </c>
      <c r="R101" s="99">
        <f ca="1">Первоначальный[[#This Row],[Просроченный платеж по ОД]]+Первоначальный[[#This Row],[Просроченный платеж по процентам]]</f>
        <v>4.9999999999727152E-2</v>
      </c>
      <c r="S101" s="120">
        <f ca="1">IF(Первоначальный[[#This Row],[Просроченный платеж]]&lt;1,0,S100+1)</f>
        <v>0</v>
      </c>
      <c r="T101" s="100" cm="1">
        <f t="array" aca="1" ref="T101" ca="1">IF(Первоначальный[[#This Row],[Итого остаток на начало периода]]&lt;1,0,
IF(
AND(TYPE(VLOOKUP(1,$Z$12:Z101,1,0))=16,Первоначальный[[#This Row],[Досрочное погашение (да/"")]]=""),0,
_xlfn.IFS(AND(S100=0,Первоначальный[[#This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платеж]]&lt;&gt;0),MIN(LOOKUP(,-1/($Z$12:Z101=1),$C$12:C101)+LOOKUP(,-1/($Z$12:Z101=1),$H$12:H101),Первоначальный[[#This Row],[Полученный платеж]]+Y100),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платеж]]+Y100,SUM(Первоначальный[[#This Row],[Остаток процентов на начало периода]],Первоначальный[[#This Row],[Проценты за период]])),
AND(S100=0,Первоначальный[[#This Row],[Дата платежа из графика]]=""),0,
AND(S100=0,Первоначальный[[#This Row],[Дата платежа из графика]]=1,MAX((0&lt;&gt;S$12:S100)*ROW(S$12:S100),ROW($S$12))&gt;=MAX((1=Z$12:Z100)*ROW(Z$12:Z100),ROW($T$12)),TYPE(VLOOKUP("Да",(INDIRECT("AA"&amp;(MAX((1=Z$12:Z100)*ROW(Z$12:Z100),ROW($T$12))&amp;":AA"&amp;(ROW()-1)))),1,0))=16),MIN(LOOKUP(,-1/($Z$12:Z101=1),$C$12:C101)+LOOKUP(,-1/($Z$12:Z101=1),$H$12:H101),Первоначальный[[#This Row],[Полученный платеж]]+Y100),
AND(S100=0,TYPE(VLOOKUP("Да",(INDIRECT("AA"&amp;(MAX((1=Z$12:Z100)*ROW(Z$12:Z100),ROW($T$12))&amp;":AA"&amp;(ROW()-1)))),1,0))&lt;&gt;16),MIN(LOOKUP(,-1/($Z$12:Z101=1),$C$12:C101)+LOOKUP(,-1/($Z$12:Z101=1),$H$12:H101)-IF(AA100="Да",0,SUM(INDIRECT("T"&amp;(MAX(("Да"=AA$12:AA100)*ROW(AA$12:AA100)+1,ROW($T$12))&amp;":T"&amp;(ROW()-1))))),Первоначальный[[#This Row],[Полученный платеж]]+Y100),
AND(S100=0,MAX((0&lt;&gt;N$12:N100)*ROW(N$12:N100),ROW($S$12))&gt;=MAX((1=Z$12:Z100)*ROW(Z$12:Z100),ROW($T$12))),MIN(LOOKUP(,-1/($Z$12:Z101=1),$C$12:C101)+LOOKUP(,-1/($Z$12:Z101=1),$H$12:H101)-IF(N100&lt;&gt;0,0,SUM(INDIRECT("T"&amp;(MAX((0&lt;&gt;N$12:N100)*ROW(N$12:N100)+1,ROW($T$12))&amp;":T"&amp;(ROW()-1))))),Первоначальный[[#This Row],[Полученный платеж]]+Y100),
AND(S100=0,Первоначальный[[#This Row],[Дата платежа из графика]]=1),MIN(LOOKUP(,-1/($Z$12:Z101=1),$C$12:C101)+LOOKUP(,-1/($Z$12:Z101=1),$H$12:H101)-IF(Z100=1,0,SUM(INDIRECT("T"&amp;(MAX((1=Z$12:Z100)*ROW(Z$12:Z100)+1,ROW($T$12))&amp;":T"&amp;(ROW()-1))))),Первоначальный[[#This Row],[Полученный платеж]]+Y100),
AND(Z100&gt;0,Первоначальный[[#This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платеж]]+Y100),
AND(S100&gt;0,MAX((0&lt;&gt;S$12:S100)*ROW(S$12:S100),ROW($S$12))&gt;=MAX((1=Z$12:Z100)*ROW(Z$12:Z100),ROW($T$12)),TYPE(VLOOKUP("Да",(INDIRECT("AA"&amp;(MAX((1=Z$12:Z100)*ROW(Z$12:Z100),ROW($T$12))&amp;":AA"&amp;(ROW()-1)))),1,0))=16),MIN(LOOKUP(,-1/($Z$12:Z101=1),$C$12:C101)+LOOKUP(,-1/($Z$12:Z101=1),$H$12:H101)-SUM(INDIRECT("T"&amp;(MAX((1=Z$12:Z100)*ROW(Z$12:Z100),ROW($T$12))&amp;":T"&amp;(ROW()-1)))),Первоначальный[[#This Row],[Полученный платеж]]+Y100),
S100&gt;0,MIN(LOOKUP(,-1/($Z$12:Z101=1),$C$12:C101)+LOOKUP(,-1/($Z$12:Z101=1),$H$12:H101)-IF(Z100=1,0,SUM(INDIRECT("T"&amp;(MAX((1=Z$12:Z100)*ROW(Z$12:Z100)+1,ROW($T$12))&amp;":T"&amp;(ROW()-1))))),Первоначальный[[#This Row],[Полученный платеж]]+Y100)
)
)
)</f>
        <v>0</v>
      </c>
      <c r="U10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платеж]]+Y100-Первоначальный[[#This Row],[Полученный платёж по процентам]])</f>
        <v>0</v>
      </c>
      <c r="V101" s="55">
        <f t="shared" ca="1" si="13"/>
        <v>0</v>
      </c>
      <c r="W101" s="55" cm="1">
        <f t="array" aca="1" ref="W101" ca="1">IF(Первоначальный[[#This Row],[Итого остаток на начало периода]]&lt;1,0,
_xlfn.IFS(
AND(TYPE(VLOOKUP(1,$Z$12:Z101,1,0))=16,Первоначальный[[#This Row],[Досрочное погашение (да/"")]]=""),0,
AND(S100=0,Первоначальный[[#This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комиссиям]]),VLOOKUP(LOOKUP(,-1/($Z$12:Z101=1),$A$12:A101),График[[Срок конец]:[Возврат основной суммы долга]],3,0)),
AND(S100=0,Первоначальный[[#This Row],[Дата платежа из графика]]="",Первоначальный[[#This Row],[Досрочное погашение (да/"")]]&lt;&gt;"Да"),0,
AND(S100=0,Первоначальный[[#This Row],[Досрочное погашение (да/"")]]=""),MIN(Первоначальный[[#This Row],[Полученный платеж]]+Y100-SUM(Первоначальный[[#This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комиссиям]]),VLOOKUP(LOOKUP(,-1/($Z$12:Z101=1),$A$12:A101),График[[Срок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S100&gt;0,MIN(Первоначальный[[#This Row],[Полученный платеж]]+Y100-SUM(Первоначальный[[#This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комиссиям]]),SUM(INDIRECT("M"&amp;(MAX((1=S$12:S100)*ROW(S$12:S100),ROW($W$12))&amp;":M"&amp;(ROW()))))-SUM(INDIRECT("W"&amp;(MAX((1=S$12:S100)*ROW(S$12:S100),ROW($W$12))&amp;":W"&amp;(ROW()-1)))))
)
)</f>
        <v>0</v>
      </c>
      <c r="X101" s="55">
        <f t="shared" ca="1" si="14"/>
        <v>0</v>
      </c>
      <c r="Y101" s="101">
        <f t="shared" ca="1" si="21"/>
        <v>0</v>
      </c>
      <c r="Z101" s="133" t="str">
        <f>IF(TYPE((VLOOKUP(Первоначальный[[#This Row],[Дата платежа]],График[Срок конец],1,0)))=16,"",1)</f>
        <v/>
      </c>
      <c r="AA101" s="57"/>
      <c r="AB101" s="134"/>
      <c r="AC10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2189.8399999999997</v>
      </c>
      <c r="AE10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10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101" s="55"/>
      <c r="AI101" s="55"/>
      <c r="AJ101" s="55"/>
      <c r="AK101" s="101">
        <f t="shared" ca="1" si="22"/>
        <v>151823.18</v>
      </c>
      <c r="AL101" s="129">
        <f t="array" ref="AL101">MAX((УслРестрактов[Характеристика]="Дата реструктуризации")*(УслРестрактов[Значение]=Первоначальный!$A101),0)</f>
        <v>0</v>
      </c>
    </row>
    <row r="102" spans="1:38" x14ac:dyDescent="0.25">
      <c r="A102" s="97">
        <f t="shared" si="15"/>
        <v>44233</v>
      </c>
      <c r="B102" s="100">
        <f t="shared" ca="1" si="16"/>
        <v>149633.34</v>
      </c>
      <c r="C102" s="55">
        <f t="shared" ca="1" si="24"/>
        <v>2189.8399999999997</v>
      </c>
      <c r="D102" s="55">
        <f t="shared" ca="1" si="24"/>
        <v>0</v>
      </c>
      <c r="E102" s="55">
        <f t="shared" ca="1" si="17"/>
        <v>0</v>
      </c>
      <c r="F102" s="55">
        <f t="shared" ca="1" si="18"/>
        <v>0</v>
      </c>
      <c r="G102" s="101">
        <f t="shared" ca="1" si="19"/>
        <v>151823.18</v>
      </c>
      <c r="H102" s="100">
        <f ca="1">ROUND($B102*VLOOKUP($A102,$A$1:$B$10,2,1)/(365+IF(MOD(YEAR($A102),4),0,1)*($A102-$A101)),2)-Первоначальный[[#This Row],[Проценты на просроченный платеж по ОД за период]]</f>
        <v>81.58</v>
      </c>
      <c r="I102" s="55">
        <f t="shared" ca="1" si="20"/>
        <v>0</v>
      </c>
      <c r="J102" s="55">
        <v>0</v>
      </c>
      <c r="K102" s="55">
        <f t="shared" ca="1" si="23"/>
        <v>0</v>
      </c>
      <c r="L102" s="55">
        <v>0</v>
      </c>
      <c r="M102" s="113">
        <f>SUMIFS(График[Возврат основной суммы долга],График[Дата с учетом нерабочих дней],$A102)</f>
        <v>0</v>
      </c>
      <c r="N102" s="56">
        <f>SUMIFS(График[Возврат начисленных %],График[Дата с учетом нерабочих дней],$A102)</f>
        <v>0</v>
      </c>
      <c r="O102" s="101">
        <v>0</v>
      </c>
      <c r="P102" s="100" cm="1">
        <f t="array" aca="1" ref="P102" ca="1">MAX(IF(AA101="Да",0,SUM(INDIRECT("M"&amp;(MAX(("Да"=AA$12:AA101)*ROW(AA$12:AA101)+1,ROW($P$12))&amp;":M"&amp;(ROW()))))-SUM(INDIRECT("W"&amp;(MAX(("Да"=AA$12:AA101)*ROW(AA$12:AA101)+1,ROW($P$12))&amp;":W"&amp;(ROW()))))),0)</f>
        <v>4.9999999999727152E-2</v>
      </c>
      <c r="Q102" s="99">
        <f ca="1">MAX(SUM($N$13:N102)-SUM($T$13:T102),0)</f>
        <v>0</v>
      </c>
      <c r="R102" s="99">
        <f ca="1">Первоначальный[[#This Row],[Просроченный платеж по ОД]]+Первоначальный[[#This Row],[Просроченный платеж по процентам]]</f>
        <v>4.9999999999727152E-2</v>
      </c>
      <c r="S102" s="120">
        <f ca="1">IF(Первоначальный[[#This Row],[Просроченный платеж]]&lt;1,0,S101+1)</f>
        <v>0</v>
      </c>
      <c r="T102" s="100" cm="1">
        <f t="array" aca="1" ref="T102" ca="1">IF(Первоначальный[[#This Row],[Итого остаток на начало периода]]&lt;1,0,
IF(
AND(TYPE(VLOOKUP(1,$Z$12:Z102,1,0))=16,Первоначальный[[#This Row],[Досрочное погашение (да/"")]]=""),0,
_xlfn.IFS(AND(S101=0,Первоначальный[[#This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платеж]]&lt;&gt;0),MIN(LOOKUP(,-1/($Z$12:Z102=1),$C$12:C102)+LOOKUP(,-1/($Z$12:Z102=1),$H$12:H102),Первоначальный[[#This Row],[Полученный платеж]]+Y101),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платеж]]+Y101,SUM(Первоначальный[[#This Row],[Остаток процентов на начало периода]],Первоначальный[[#This Row],[Проценты за период]])),
AND(S101=0,Первоначальный[[#This Row],[Дата платежа из графика]]=""),0,
AND(S101=0,Первоначальный[[#This Row],[Дата платежа из графика]]=1,MAX((0&lt;&gt;S$12:S101)*ROW(S$12:S101),ROW($S$12))&gt;=MAX((1=Z$12:Z101)*ROW(Z$12:Z101),ROW($T$12)),TYPE(VLOOKUP("Да",(INDIRECT("AA"&amp;(MAX((1=Z$12:Z101)*ROW(Z$12:Z101),ROW($T$12))&amp;":AA"&amp;(ROW()-1)))),1,0))=16),MIN(LOOKUP(,-1/($Z$12:Z102=1),$C$12:C102)+LOOKUP(,-1/($Z$12:Z102=1),$H$12:H102),Первоначальный[[#This Row],[Полученный платеж]]+Y101),
AND(S101=0,TYPE(VLOOKUP("Да",(INDIRECT("AA"&amp;(MAX((1=Z$12:Z101)*ROW(Z$12:Z101),ROW($T$12))&amp;":AA"&amp;(ROW()-1)))),1,0))&lt;&gt;16),MIN(LOOKUP(,-1/($Z$12:Z102=1),$C$12:C102)+LOOKUP(,-1/($Z$12:Z102=1),$H$12:H102)-IF(AA101="Да",0,SUM(INDIRECT("T"&amp;(MAX(("Да"=AA$12:AA101)*ROW(AA$12:AA101)+1,ROW($T$12))&amp;":T"&amp;(ROW()-1))))),Первоначальный[[#This Row],[Полученный платеж]]+Y101),
AND(S101=0,MAX((0&lt;&gt;N$12:N101)*ROW(N$12:N101),ROW($S$12))&gt;=MAX((1=Z$12:Z101)*ROW(Z$12:Z101),ROW($T$12))),MIN(LOOKUP(,-1/($Z$12:Z102=1),$C$12:C102)+LOOKUP(,-1/($Z$12:Z102=1),$H$12:H102)-IF(N101&lt;&gt;0,0,SUM(INDIRECT("T"&amp;(MAX((0&lt;&gt;N$12:N101)*ROW(N$12:N101)+1,ROW($T$12))&amp;":T"&amp;(ROW()-1))))),Первоначальный[[#This Row],[Полученный платеж]]+Y101),
AND(S101=0,Первоначальный[[#This Row],[Дата платежа из графика]]=1),MIN(LOOKUP(,-1/($Z$12:Z102=1),$C$12:C102)+LOOKUP(,-1/($Z$12:Z102=1),$H$12:H102)-IF(Z101=1,0,SUM(INDIRECT("T"&amp;(MAX((1=Z$12:Z101)*ROW(Z$12:Z101)+1,ROW($T$12))&amp;":T"&amp;(ROW()-1))))),Первоначальный[[#This Row],[Полученный платеж]]+Y101),
AND(Z101&gt;0,Первоначальный[[#This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платеж]]+Y101),
AND(S101&gt;0,MAX((0&lt;&gt;S$12:S101)*ROW(S$12:S101),ROW($S$12))&gt;=MAX((1=Z$12:Z101)*ROW(Z$12:Z101),ROW($T$12)),TYPE(VLOOKUP("Да",(INDIRECT("AA"&amp;(MAX((1=Z$12:Z101)*ROW(Z$12:Z101),ROW($T$12))&amp;":AA"&amp;(ROW()-1)))),1,0))=16),MIN(LOOKUP(,-1/($Z$12:Z102=1),$C$12:C102)+LOOKUP(,-1/($Z$12:Z102=1),$H$12:H102)-SUM(INDIRECT("T"&amp;(MAX((1=Z$12:Z101)*ROW(Z$12:Z101),ROW($T$12))&amp;":T"&amp;(ROW()-1)))),Первоначальный[[#This Row],[Полученный платеж]]+Y101),
S101&gt;0,MIN(LOOKUP(,-1/($Z$12:Z102=1),$C$12:C102)+LOOKUP(,-1/($Z$12:Z102=1),$H$12:H102)-IF(Z101=1,0,SUM(INDIRECT("T"&amp;(MAX((1=Z$12:Z101)*ROW(Z$12:Z101)+1,ROW($T$12))&amp;":T"&amp;(ROW()-1))))),Первоначальный[[#This Row],[Полученный платеж]]+Y101)
)
)
)</f>
        <v>0</v>
      </c>
      <c r="U10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платеж]]+Y101-Первоначальный[[#This Row],[Полученный платёж по процентам]])</f>
        <v>0</v>
      </c>
      <c r="V102" s="55">
        <f t="shared" ca="1" si="13"/>
        <v>0</v>
      </c>
      <c r="W102" s="55" cm="1">
        <f t="array" aca="1" ref="W102" ca="1">IF(Первоначальный[[#This Row],[Итого остаток на начало периода]]&lt;1,0,
_xlfn.IFS(
AND(TYPE(VLOOKUP(1,$Z$12:Z102,1,0))=16,Первоначальный[[#This Row],[Досрочное погашение (да/"")]]=""),0,
AND(S101=0,Первоначальный[[#This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комиссиям]]),VLOOKUP(LOOKUP(,-1/($Z$12:Z102=1),$A$12:A102),График[[Срок конец]:[Возврат основной суммы долга]],3,0)),
AND(S101=0,Первоначальный[[#This Row],[Дата платежа из графика]]="",Первоначальный[[#This Row],[Досрочное погашение (да/"")]]&lt;&gt;"Да"),0,
AND(S101=0,Первоначальный[[#This Row],[Досрочное погашение (да/"")]]=""),MIN(Первоначальный[[#This Row],[Полученный платеж]]+Y101-SUM(Первоначальный[[#This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комиссиям]]),VLOOKUP(LOOKUP(,-1/($Z$12:Z102=1),$A$12:A102),График[[Срок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S101&gt;0,MIN(Первоначальный[[#This Row],[Полученный платеж]]+Y101-SUM(Первоначальный[[#This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комиссиям]]),SUM(INDIRECT("M"&amp;(MAX((1=S$12:S101)*ROW(S$12:S101),ROW($W$12))&amp;":M"&amp;(ROW()))))-SUM(INDIRECT("W"&amp;(MAX((1=S$12:S101)*ROW(S$12:S101),ROW($W$12))&amp;":W"&amp;(ROW()-1)))))
)
)</f>
        <v>0</v>
      </c>
      <c r="X102" s="55">
        <f t="shared" ca="1" si="14"/>
        <v>0</v>
      </c>
      <c r="Y102" s="101">
        <f t="shared" ca="1" si="21"/>
        <v>0</v>
      </c>
      <c r="Z102" s="133" t="str">
        <f>IF(TYPE((VLOOKUP(Первоначальный[[#This Row],[Дата платежа]],График[Срок конец],1,0)))=16,"",1)</f>
        <v/>
      </c>
      <c r="AA102" s="57"/>
      <c r="AB102" s="134"/>
      <c r="AC10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2271.4199999999996</v>
      </c>
      <c r="AE10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10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102" s="55"/>
      <c r="AI102" s="55"/>
      <c r="AJ102" s="55"/>
      <c r="AK102" s="101">
        <f t="shared" ca="1" si="22"/>
        <v>151904.76</v>
      </c>
      <c r="AL102" s="129">
        <f t="array" ref="AL102">MAX((УслРестрактов[Характеристика]="Дата реструктуризации")*(УслРестрактов[Значение]=Первоначальный!$A102),0)</f>
        <v>0</v>
      </c>
    </row>
    <row r="103" spans="1:38" x14ac:dyDescent="0.25">
      <c r="A103" s="97">
        <f t="shared" si="15"/>
        <v>44234</v>
      </c>
      <c r="B103" s="100">
        <f t="shared" ca="1" si="16"/>
        <v>149633.34</v>
      </c>
      <c r="C103" s="55">
        <f t="shared" ca="1" si="24"/>
        <v>2271.4199999999996</v>
      </c>
      <c r="D103" s="55">
        <f t="shared" ca="1" si="24"/>
        <v>0</v>
      </c>
      <c r="E103" s="55">
        <f t="shared" ca="1" si="17"/>
        <v>0</v>
      </c>
      <c r="F103" s="55">
        <f t="shared" ca="1" si="18"/>
        <v>0</v>
      </c>
      <c r="G103" s="101">
        <f t="shared" ca="1" si="19"/>
        <v>151904.76</v>
      </c>
      <c r="H103" s="100">
        <f ca="1">ROUND($B103*VLOOKUP($A103,$A$1:$B$10,2,1)/(365+IF(MOD(YEAR($A103),4),0,1)*($A103-$A102)),2)-Первоначальный[[#This Row],[Проценты на просроченный платеж по ОД за период]]</f>
        <v>81.58</v>
      </c>
      <c r="I103" s="55">
        <f t="shared" ca="1" si="20"/>
        <v>0</v>
      </c>
      <c r="J103" s="55">
        <v>0</v>
      </c>
      <c r="K103" s="55">
        <f t="shared" ca="1" si="23"/>
        <v>0</v>
      </c>
      <c r="L103" s="55">
        <v>0</v>
      </c>
      <c r="M103" s="113">
        <f>SUMIFS(График[Возврат основной суммы долга],График[Дата с учетом нерабочих дней],$A103)</f>
        <v>0</v>
      </c>
      <c r="N103" s="56">
        <f>SUMIFS(График[Возврат начисленных %],График[Дата с учетом нерабочих дней],$A103)</f>
        <v>0</v>
      </c>
      <c r="O103" s="101">
        <v>0</v>
      </c>
      <c r="P103" s="100" cm="1">
        <f t="array" aca="1" ref="P103" ca="1">MAX(IF(AA102="Да",0,SUM(INDIRECT("M"&amp;(MAX(("Да"=AA$12:AA102)*ROW(AA$12:AA102)+1,ROW($P$12))&amp;":M"&amp;(ROW()))))-SUM(INDIRECT("W"&amp;(MAX(("Да"=AA$12:AA102)*ROW(AA$12:AA102)+1,ROW($P$12))&amp;":W"&amp;(ROW()))))),0)</f>
        <v>4.9999999999727152E-2</v>
      </c>
      <c r="Q103" s="99">
        <f ca="1">MAX(SUM($N$13:N103)-SUM($T$13:T103),0)</f>
        <v>0</v>
      </c>
      <c r="R103" s="99">
        <f ca="1">Первоначальный[[#This Row],[Просроченный платеж по ОД]]+Первоначальный[[#This Row],[Просроченный платеж по процентам]]</f>
        <v>4.9999999999727152E-2</v>
      </c>
      <c r="S103" s="120">
        <f ca="1">IF(Первоначальный[[#This Row],[Просроченный платеж]]&lt;1,0,S102+1)</f>
        <v>0</v>
      </c>
      <c r="T103" s="100" cm="1">
        <f t="array" aca="1" ref="T103" ca="1">IF(Первоначальный[[#This Row],[Итого остаток на начало периода]]&lt;1,0,
IF(
AND(TYPE(VLOOKUP(1,$Z$12:Z103,1,0))=16,Первоначальный[[#This Row],[Досрочное погашение (да/"")]]=""),0,
_xlfn.IFS(AND(S102=0,Первоначальный[[#This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платеж]]&lt;&gt;0),MIN(LOOKUP(,-1/($Z$12:Z103=1),$C$12:C103)+LOOKUP(,-1/($Z$12:Z103=1),$H$12:H103),Первоначальный[[#This Row],[Полученный платеж]]+Y102),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платеж]]+Y102,SUM(Первоначальный[[#This Row],[Остаток процентов на начало периода]],Первоначальный[[#This Row],[Проценты за период]])),
AND(S102=0,Первоначальный[[#This Row],[Дата платежа из графика]]=""),0,
AND(S102=0,Первоначальный[[#This Row],[Дата платежа из графика]]=1,MAX((0&lt;&gt;S$12:S102)*ROW(S$12:S102),ROW($S$12))&gt;=MAX((1=Z$12:Z102)*ROW(Z$12:Z102),ROW($T$12)),TYPE(VLOOKUP("Да",(INDIRECT("AA"&amp;(MAX((1=Z$12:Z102)*ROW(Z$12:Z102),ROW($T$12))&amp;":AA"&amp;(ROW()-1)))),1,0))=16),MIN(LOOKUP(,-1/($Z$12:Z103=1),$C$12:C103)+LOOKUP(,-1/($Z$12:Z103=1),$H$12:H103),Первоначальный[[#This Row],[Полученный платеж]]+Y102),
AND(S102=0,TYPE(VLOOKUP("Да",(INDIRECT("AA"&amp;(MAX((1=Z$12:Z102)*ROW(Z$12:Z102),ROW($T$12))&amp;":AA"&amp;(ROW()-1)))),1,0))&lt;&gt;16),MIN(LOOKUP(,-1/($Z$12:Z103=1),$C$12:C103)+LOOKUP(,-1/($Z$12:Z103=1),$H$12:H103)-IF(AA102="Да",0,SUM(INDIRECT("T"&amp;(MAX(("Да"=AA$12:AA102)*ROW(AA$12:AA102)+1,ROW($T$12))&amp;":T"&amp;(ROW()-1))))),Первоначальный[[#This Row],[Полученный платеж]]+Y102),
AND(S102=0,MAX((0&lt;&gt;N$12:N102)*ROW(N$12:N102),ROW($S$12))&gt;=MAX((1=Z$12:Z102)*ROW(Z$12:Z102),ROW($T$12))),MIN(LOOKUP(,-1/($Z$12:Z103=1),$C$12:C103)+LOOKUP(,-1/($Z$12:Z103=1),$H$12:H103)-IF(N102&lt;&gt;0,0,SUM(INDIRECT("T"&amp;(MAX((0&lt;&gt;N$12:N102)*ROW(N$12:N102)+1,ROW($T$12))&amp;":T"&amp;(ROW()-1))))),Первоначальный[[#This Row],[Полученный платеж]]+Y102),
AND(S102=0,Первоначальный[[#This Row],[Дата платежа из графика]]=1),MIN(LOOKUP(,-1/($Z$12:Z103=1),$C$12:C103)+LOOKUP(,-1/($Z$12:Z103=1),$H$12:H103)-IF(Z102=1,0,SUM(INDIRECT("T"&amp;(MAX((1=Z$12:Z102)*ROW(Z$12:Z102)+1,ROW($T$12))&amp;":T"&amp;(ROW()-1))))),Первоначальный[[#This Row],[Полученный платеж]]+Y102),
AND(Z102&gt;0,Первоначальный[[#This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платеж]]+Y102),
AND(S102&gt;0,MAX((0&lt;&gt;S$12:S102)*ROW(S$12:S102),ROW($S$12))&gt;=MAX((1=Z$12:Z102)*ROW(Z$12:Z102),ROW($T$12)),TYPE(VLOOKUP("Да",(INDIRECT("AA"&amp;(MAX((1=Z$12:Z102)*ROW(Z$12:Z102),ROW($T$12))&amp;":AA"&amp;(ROW()-1)))),1,0))=16),MIN(LOOKUP(,-1/($Z$12:Z103=1),$C$12:C103)+LOOKUP(,-1/($Z$12:Z103=1),$H$12:H103)-SUM(INDIRECT("T"&amp;(MAX((1=Z$12:Z102)*ROW(Z$12:Z102),ROW($T$12))&amp;":T"&amp;(ROW()-1)))),Первоначальный[[#This Row],[Полученный платеж]]+Y102),
S102&gt;0,MIN(LOOKUP(,-1/($Z$12:Z103=1),$C$12:C103)+LOOKUP(,-1/($Z$12:Z103=1),$H$12:H103)-IF(Z102=1,0,SUM(INDIRECT("T"&amp;(MAX((1=Z$12:Z102)*ROW(Z$12:Z102)+1,ROW($T$12))&amp;":T"&amp;(ROW()-1))))),Первоначальный[[#This Row],[Полученный платеж]]+Y102)
)
)
)</f>
        <v>0</v>
      </c>
      <c r="U10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платеж]]+Y102-Первоначальный[[#This Row],[Полученный платёж по процентам]])</f>
        <v>0</v>
      </c>
      <c r="V103" s="55">
        <f t="shared" ca="1" si="13"/>
        <v>0</v>
      </c>
      <c r="W103" s="55" cm="1">
        <f t="array" aca="1" ref="W103" ca="1">IF(Первоначальный[[#This Row],[Итого остаток на начало периода]]&lt;1,0,
_xlfn.IFS(
AND(TYPE(VLOOKUP(1,$Z$12:Z103,1,0))=16,Первоначальный[[#This Row],[Досрочное погашение (да/"")]]=""),0,
AND(S102=0,Первоначальный[[#This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комиссиям]]),VLOOKUP(LOOKUP(,-1/($Z$12:Z103=1),$A$12:A103),График[[Срок конец]:[Возврат основной суммы долга]],3,0)),
AND(S102=0,Первоначальный[[#This Row],[Дата платежа из графика]]="",Первоначальный[[#This Row],[Досрочное погашение (да/"")]]&lt;&gt;"Да"),0,
AND(S102=0,Первоначальный[[#This Row],[Досрочное погашение (да/"")]]=""),MIN(Первоначальный[[#This Row],[Полученный платеж]]+Y102-SUM(Первоначальный[[#This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комиссиям]]),VLOOKUP(LOOKUP(,-1/($Z$12:Z103=1),$A$12:A103),График[[Срок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S102&gt;0,MIN(Первоначальный[[#This Row],[Полученный платеж]]+Y102-SUM(Первоначальный[[#This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комиссиям]]),SUM(INDIRECT("M"&amp;(MAX((1=S$12:S102)*ROW(S$12:S102),ROW($W$12))&amp;":M"&amp;(ROW()))))-SUM(INDIRECT("W"&amp;(MAX((1=S$12:S102)*ROW(S$12:S102),ROW($W$12))&amp;":W"&amp;(ROW()-1)))))
)
)</f>
        <v>0</v>
      </c>
      <c r="X103" s="55">
        <f t="shared" ca="1" si="14"/>
        <v>0</v>
      </c>
      <c r="Y103" s="101">
        <f t="shared" ca="1" si="21"/>
        <v>0</v>
      </c>
      <c r="Z103" s="133" t="str">
        <f>IF(TYPE((VLOOKUP(Первоначальный[[#This Row],[Дата платежа]],График[Срок конец],1,0)))=16,"",1)</f>
        <v/>
      </c>
      <c r="AA103" s="57"/>
      <c r="AB103" s="134"/>
      <c r="AC10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2352.9999999999995</v>
      </c>
      <c r="AE10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10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103" s="55"/>
      <c r="AI103" s="55"/>
      <c r="AJ103" s="55"/>
      <c r="AK103" s="101">
        <f t="shared" ca="1" si="22"/>
        <v>151986.34</v>
      </c>
      <c r="AL103" s="129">
        <f t="array" ref="AL103">MAX((УслРестрактов[Характеристика]="Дата реструктуризации")*(УслРестрактов[Значение]=Первоначальный!$A103),0)</f>
        <v>0</v>
      </c>
    </row>
    <row r="104" spans="1:38" x14ac:dyDescent="0.25">
      <c r="A104" s="97">
        <f t="shared" si="15"/>
        <v>44235</v>
      </c>
      <c r="B104" s="100">
        <f t="shared" ca="1" si="16"/>
        <v>149633.34</v>
      </c>
      <c r="C104" s="55">
        <f t="shared" ca="1" si="24"/>
        <v>2352.9999999999995</v>
      </c>
      <c r="D104" s="55">
        <f t="shared" ca="1" si="24"/>
        <v>0</v>
      </c>
      <c r="E104" s="55">
        <f t="shared" ca="1" si="17"/>
        <v>0</v>
      </c>
      <c r="F104" s="55">
        <f t="shared" ca="1" si="18"/>
        <v>0</v>
      </c>
      <c r="G104" s="101">
        <f t="shared" ca="1" si="19"/>
        <v>151986.34</v>
      </c>
      <c r="H104" s="100">
        <f ca="1">ROUND($B104*VLOOKUP($A104,$A$1:$B$10,2,1)/(365+IF(MOD(YEAR($A104),4),0,1)*($A104-$A103)),2)-Первоначальный[[#This Row],[Проценты на просроченный платеж по ОД за период]]</f>
        <v>81.58</v>
      </c>
      <c r="I104" s="55">
        <f t="shared" ca="1" si="20"/>
        <v>0</v>
      </c>
      <c r="J104" s="55">
        <v>0</v>
      </c>
      <c r="K104" s="55">
        <f t="shared" ca="1" si="23"/>
        <v>0</v>
      </c>
      <c r="L104" s="55">
        <v>0</v>
      </c>
      <c r="M104" s="113">
        <f>SUMIFS(График[Возврат основной суммы долга],График[Дата с учетом нерабочих дней],$A104)</f>
        <v>0</v>
      </c>
      <c r="N104" s="56">
        <f>SUMIFS(График[Возврат начисленных %],График[Дата с учетом нерабочих дней],$A104)</f>
        <v>0</v>
      </c>
      <c r="O104" s="101">
        <v>0</v>
      </c>
      <c r="P104" s="100" cm="1">
        <f t="array" aca="1" ref="P104" ca="1">MAX(IF(AA103="Да",0,SUM(INDIRECT("M"&amp;(MAX(("Да"=AA$12:AA103)*ROW(AA$12:AA103)+1,ROW($P$12))&amp;":M"&amp;(ROW()))))-SUM(INDIRECT("W"&amp;(MAX(("Да"=AA$12:AA103)*ROW(AA$12:AA103)+1,ROW($P$12))&amp;":W"&amp;(ROW()))))),0)</f>
        <v>4.9999999999727152E-2</v>
      </c>
      <c r="Q104" s="99">
        <f ca="1">MAX(SUM($N$13:N104)-SUM($T$13:T104),0)</f>
        <v>0</v>
      </c>
      <c r="R104" s="99">
        <f ca="1">Первоначальный[[#This Row],[Просроченный платеж по ОД]]+Первоначальный[[#This Row],[Просроченный платеж по процентам]]</f>
        <v>4.9999999999727152E-2</v>
      </c>
      <c r="S104" s="120">
        <f ca="1">IF(Первоначальный[[#This Row],[Просроченный платеж]]&lt;1,0,S103+1)</f>
        <v>0</v>
      </c>
      <c r="T104" s="100" cm="1">
        <f t="array" aca="1" ref="T104" ca="1">IF(Первоначальный[[#This Row],[Итого остаток на начало периода]]&lt;1,0,
IF(
AND(TYPE(VLOOKUP(1,$Z$12:Z104,1,0))=16,Первоначальный[[#This Row],[Досрочное погашение (да/"")]]=""),0,
_xlfn.IFS(AND(S103=0,Первоначальный[[#This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платеж]]&lt;&gt;0),MIN(LOOKUP(,-1/($Z$12:Z104=1),$C$12:C104)+LOOKUP(,-1/($Z$12:Z104=1),$H$12:H104),Первоначальный[[#This Row],[Полученный платеж]]+Y103),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платеж]]+Y103,SUM(Первоначальный[[#This Row],[Остаток процентов на начало периода]],Первоначальный[[#This Row],[Проценты за период]])),
AND(S103=0,Первоначальный[[#This Row],[Дата платежа из графика]]=""),0,
AND(S103=0,Первоначальный[[#This Row],[Дата платежа из графика]]=1,MAX((0&lt;&gt;S$12:S103)*ROW(S$12:S103),ROW($S$12))&gt;=MAX((1=Z$12:Z103)*ROW(Z$12:Z103),ROW($T$12)),TYPE(VLOOKUP("Да",(INDIRECT("AA"&amp;(MAX((1=Z$12:Z103)*ROW(Z$12:Z103),ROW($T$12))&amp;":AA"&amp;(ROW()-1)))),1,0))=16),MIN(LOOKUP(,-1/($Z$12:Z104=1),$C$12:C104)+LOOKUP(,-1/($Z$12:Z104=1),$H$12:H104),Первоначальный[[#This Row],[Полученный платеж]]+Y103),
AND(S103=0,TYPE(VLOOKUP("Да",(INDIRECT("AA"&amp;(MAX((1=Z$12:Z103)*ROW(Z$12:Z103),ROW($T$12))&amp;":AA"&amp;(ROW()-1)))),1,0))&lt;&gt;16),MIN(LOOKUP(,-1/($Z$12:Z104=1),$C$12:C104)+LOOKUP(,-1/($Z$12:Z104=1),$H$12:H104)-IF(AA103="Да",0,SUM(INDIRECT("T"&amp;(MAX(("Да"=AA$12:AA103)*ROW(AA$12:AA103)+1,ROW($T$12))&amp;":T"&amp;(ROW()-1))))),Первоначальный[[#This Row],[Полученный платеж]]+Y103),
AND(S103=0,MAX((0&lt;&gt;N$12:N103)*ROW(N$12:N103),ROW($S$12))&gt;=MAX((1=Z$12:Z103)*ROW(Z$12:Z103),ROW($T$12))),MIN(LOOKUP(,-1/($Z$12:Z104=1),$C$12:C104)+LOOKUP(,-1/($Z$12:Z104=1),$H$12:H104)-IF(N103&lt;&gt;0,0,SUM(INDIRECT("T"&amp;(MAX((0&lt;&gt;N$12:N103)*ROW(N$12:N103)+1,ROW($T$12))&amp;":T"&amp;(ROW()-1))))),Первоначальный[[#This Row],[Полученный платеж]]+Y103),
AND(S103=0,Первоначальный[[#This Row],[Дата платежа из графика]]=1),MIN(LOOKUP(,-1/($Z$12:Z104=1),$C$12:C104)+LOOKUP(,-1/($Z$12:Z104=1),$H$12:H104)-IF(Z103=1,0,SUM(INDIRECT("T"&amp;(MAX((1=Z$12:Z103)*ROW(Z$12:Z103)+1,ROW($T$12))&amp;":T"&amp;(ROW()-1))))),Первоначальный[[#This Row],[Полученный платеж]]+Y103),
AND(Z103&gt;0,Первоначальный[[#This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платеж]]+Y103),
AND(S103&gt;0,MAX((0&lt;&gt;S$12:S103)*ROW(S$12:S103),ROW($S$12))&gt;=MAX((1=Z$12:Z103)*ROW(Z$12:Z103),ROW($T$12)),TYPE(VLOOKUP("Да",(INDIRECT("AA"&amp;(MAX((1=Z$12:Z103)*ROW(Z$12:Z103),ROW($T$12))&amp;":AA"&amp;(ROW()-1)))),1,0))=16),MIN(LOOKUP(,-1/($Z$12:Z104=1),$C$12:C104)+LOOKUP(,-1/($Z$12:Z104=1),$H$12:H104)-SUM(INDIRECT("T"&amp;(MAX((1=Z$12:Z103)*ROW(Z$12:Z103),ROW($T$12))&amp;":T"&amp;(ROW()-1)))),Первоначальный[[#This Row],[Полученный платеж]]+Y103),
S103&gt;0,MIN(LOOKUP(,-1/($Z$12:Z104=1),$C$12:C104)+LOOKUP(,-1/($Z$12:Z104=1),$H$12:H104)-IF(Z103=1,0,SUM(INDIRECT("T"&amp;(MAX((1=Z$12:Z103)*ROW(Z$12:Z103)+1,ROW($T$12))&amp;":T"&amp;(ROW()-1))))),Первоначальный[[#This Row],[Полученный платеж]]+Y103)
)
)
)</f>
        <v>0</v>
      </c>
      <c r="U10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платеж]]+Y103-Первоначальный[[#This Row],[Полученный платёж по процентам]])</f>
        <v>0</v>
      </c>
      <c r="V104" s="55">
        <f t="shared" ca="1" si="13"/>
        <v>0</v>
      </c>
      <c r="W104" s="55" cm="1">
        <f t="array" aca="1" ref="W104" ca="1">IF(Первоначальный[[#This Row],[Итого остаток на начало периода]]&lt;1,0,
_xlfn.IFS(
AND(TYPE(VLOOKUP(1,$Z$12:Z104,1,0))=16,Первоначальный[[#This Row],[Досрочное погашение (да/"")]]=""),0,
AND(S103=0,Первоначальный[[#This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комиссиям]]),VLOOKUP(LOOKUP(,-1/($Z$12:Z104=1),$A$12:A104),График[[Срок конец]:[Возврат основной суммы долга]],3,0)),
AND(S103=0,Первоначальный[[#This Row],[Дата платежа из графика]]="",Первоначальный[[#This Row],[Досрочное погашение (да/"")]]&lt;&gt;"Да"),0,
AND(S103=0,Первоначальный[[#This Row],[Досрочное погашение (да/"")]]=""),MIN(Первоначальный[[#This Row],[Полученный платеж]]+Y103-SUM(Первоначальный[[#This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комиссиям]]),VLOOKUP(LOOKUP(,-1/($Z$12:Z104=1),$A$12:A104),График[[Срок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S103&gt;0,MIN(Первоначальный[[#This Row],[Полученный платеж]]+Y103-SUM(Первоначальный[[#This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комиссиям]]),SUM(INDIRECT("M"&amp;(MAX((1=S$12:S103)*ROW(S$12:S103),ROW($W$12))&amp;":M"&amp;(ROW()))))-SUM(INDIRECT("W"&amp;(MAX((1=S$12:S103)*ROW(S$12:S103),ROW($W$12))&amp;":W"&amp;(ROW()-1)))))
)
)</f>
        <v>0</v>
      </c>
      <c r="X104" s="55">
        <f t="shared" ca="1" si="14"/>
        <v>0</v>
      </c>
      <c r="Y104" s="101">
        <f t="shared" ca="1" si="21"/>
        <v>0</v>
      </c>
      <c r="Z104" s="133" t="str">
        <f>IF(TYPE((VLOOKUP(Первоначальный[[#This Row],[Дата платежа]],График[Срок конец],1,0)))=16,"",1)</f>
        <v/>
      </c>
      <c r="AA104" s="57"/>
      <c r="AB104" s="134"/>
      <c r="AC10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2434.5799999999995</v>
      </c>
      <c r="AE10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10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0</v>
      </c>
      <c r="AH104" s="55"/>
      <c r="AI104" s="55"/>
      <c r="AJ104" s="55"/>
      <c r="AK104" s="101">
        <f t="shared" ca="1" si="22"/>
        <v>152067.91999999998</v>
      </c>
      <c r="AL104" s="129">
        <f t="array" ref="AL104">MAX((УслРестрактов[Характеристика]="Дата реструктуризации")*(УслРестрактов[Значение]=Первоначальный!$A104),0)</f>
        <v>0</v>
      </c>
    </row>
    <row r="105" spans="1:38" x14ac:dyDescent="0.25">
      <c r="A105" s="97">
        <f t="shared" si="15"/>
        <v>44236</v>
      </c>
      <c r="B105" s="100">
        <f t="shared" ca="1" si="16"/>
        <v>149633.34</v>
      </c>
      <c r="C105" s="55">
        <f t="shared" ca="1" si="24"/>
        <v>2434.5799999999995</v>
      </c>
      <c r="D105" s="55">
        <f t="shared" ca="1" si="24"/>
        <v>0</v>
      </c>
      <c r="E105" s="55">
        <f t="shared" ca="1" si="17"/>
        <v>0</v>
      </c>
      <c r="F105" s="55">
        <f t="shared" ca="1" si="18"/>
        <v>0</v>
      </c>
      <c r="G105" s="101">
        <f t="shared" ca="1" si="19"/>
        <v>152067.91999999998</v>
      </c>
      <c r="H105" s="100">
        <f ca="1">ROUND($B105*VLOOKUP($A105,$A$1:$B$10,2,1)/(365+IF(MOD(YEAR($A105),4),0,1)*($A105-$A104)),2)-Первоначальный[[#This Row],[Проценты на просроченный платеж по ОД за период]]</f>
        <v>81.58</v>
      </c>
      <c r="I105" s="55">
        <f t="shared" ca="1" si="20"/>
        <v>0</v>
      </c>
      <c r="J105" s="55">
        <v>0</v>
      </c>
      <c r="K105" s="55">
        <f t="shared" ca="1" si="23"/>
        <v>14.418503278688529</v>
      </c>
      <c r="L105" s="55">
        <v>0</v>
      </c>
      <c r="M105" s="113">
        <f>SUMIFS(График[Возврат основной суммы долга],График[Дата с учетом нерабочих дней],$A105)</f>
        <v>367.98999999999978</v>
      </c>
      <c r="N105" s="56">
        <f>SUMIFS(График[Возврат начисленных %],График[Дата с учетом нерабочих дней],$A105)</f>
        <v>2529.0100000000002</v>
      </c>
      <c r="O105" s="101">
        <v>0</v>
      </c>
      <c r="P105" s="100" cm="1">
        <f t="array" aca="1" ref="P105" ca="1">MAX(IF(AA104="Да",0,SUM(INDIRECT("M"&amp;(MAX(("Да"=AA$12:AA104)*ROW(AA$12:AA104)+1,ROW($P$12))&amp;":M"&amp;(ROW()))))-SUM(INDIRECT("W"&amp;(MAX(("Да"=AA$12:AA104)*ROW(AA$12:AA104)+1,ROW($P$12))&amp;":W"&amp;(ROW()))))),0)</f>
        <v>368.03999999999951</v>
      </c>
      <c r="Q105" s="99">
        <f ca="1">MAX(SUM($N$13:N105)-SUM($T$13:T105),0)</f>
        <v>2515.6606557377063</v>
      </c>
      <c r="R105" s="99">
        <f ca="1">Первоначальный[[#This Row],[Просроченный платеж по ОД]]+Первоначальный[[#This Row],[Просроченный платеж по процентам]]</f>
        <v>2883.7006557377058</v>
      </c>
      <c r="S105" s="120">
        <f ca="1">IF(Первоначальный[[#This Row],[Просроченный платеж]]&lt;1,0,S104+1)</f>
        <v>1</v>
      </c>
      <c r="T105" s="100" cm="1">
        <f t="array" aca="1" ref="T105" ca="1">IF(Первоначальный[[#This Row],[Итого остаток на начало периода]]&lt;1,0,
IF(
AND(TYPE(VLOOKUP(1,$Z$12:Z105,1,0))=16,Первоначальный[[#This Row],[Досрочное погашение (да/"")]]=""),0,
_xlfn.IFS(AND(S104=0,Первоначальный[[#This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платеж]]&lt;&gt;0),MIN(LOOKUP(,-1/($Z$12:Z105=1),$C$12:C105)+LOOKUP(,-1/($Z$12:Z105=1),$H$12:H105),Первоначальный[[#This Row],[Полученный платеж]]+Y104),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платеж]]+Y104,SUM(Первоначальный[[#This Row],[Остаток процентов на начало периода]],Первоначальный[[#This Row],[Проценты за период]])),
AND(S104=0,Первоначальный[[#This Row],[Дата платежа из графика]]=""),0,
AND(S104=0,Первоначальный[[#This Row],[Дата платежа из графика]]=1,MAX((0&lt;&gt;S$12:S104)*ROW(S$12:S104),ROW($S$12))&gt;=MAX((1=Z$12:Z104)*ROW(Z$12:Z104),ROW($T$12)),TYPE(VLOOKUP("Да",(INDIRECT("AA"&amp;(MAX((1=Z$12:Z104)*ROW(Z$12:Z104),ROW($T$12))&amp;":AA"&amp;(ROW()-1)))),1,0))=16),MIN(LOOKUP(,-1/($Z$12:Z105=1),$C$12:C105)+LOOKUP(,-1/($Z$12:Z105=1),$H$12:H105),Первоначальный[[#This Row],[Полученный платеж]]+Y104),
AND(S104=0,TYPE(VLOOKUP("Да",(INDIRECT("AA"&amp;(MAX((1=Z$12:Z104)*ROW(Z$12:Z104),ROW($T$12))&amp;":AA"&amp;(ROW()-1)))),1,0))&lt;&gt;16),MIN(LOOKUP(,-1/($Z$12:Z105=1),$C$12:C105)+LOOKUP(,-1/($Z$12:Z105=1),$H$12:H105)-IF(AA104="Да",0,SUM(INDIRECT("T"&amp;(MAX(("Да"=AA$12:AA104)*ROW(AA$12:AA104)+1,ROW($T$12))&amp;":T"&amp;(ROW()-1))))),Первоначальный[[#This Row],[Полученный платеж]]+Y104),
AND(S104=0,MAX((0&lt;&gt;N$12:N104)*ROW(N$12:N104),ROW($S$12))&gt;=MAX((1=Z$12:Z104)*ROW(Z$12:Z104),ROW($T$12))),MIN(LOOKUP(,-1/($Z$12:Z105=1),$C$12:C105)+LOOKUP(,-1/($Z$12:Z105=1),$H$12:H105)-IF(N104&lt;&gt;0,0,SUM(INDIRECT("T"&amp;(MAX((0&lt;&gt;N$12:N104)*ROW(N$12:N104)+1,ROW($T$12))&amp;":T"&amp;(ROW()-1))))),Первоначальный[[#This Row],[Полученный платеж]]+Y104),
AND(S104=0,Первоначальный[[#This Row],[Дата платежа из графика]]=1),MIN(LOOKUP(,-1/($Z$12:Z105=1),$C$12:C105)+LOOKUP(,-1/($Z$12:Z105=1),$H$12:H105)-IF(Z104=1,0,SUM(INDIRECT("T"&amp;(MAX((1=Z$12:Z104)*ROW(Z$12:Z104)+1,ROW($T$12))&amp;":T"&amp;(ROW()-1))))),Первоначальный[[#This Row],[Полученный платеж]]+Y104),
AND(Z104&gt;0,Первоначальный[[#This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платеж]]+Y104),
AND(S104&gt;0,MAX((0&lt;&gt;S$12:S104)*ROW(S$12:S104),ROW($S$12))&gt;=MAX((1=Z$12:Z104)*ROW(Z$12:Z104),ROW($T$12)),TYPE(VLOOKUP("Да",(INDIRECT("AA"&amp;(MAX((1=Z$12:Z104)*ROW(Z$12:Z104),ROW($T$12))&amp;":AA"&amp;(ROW()-1)))),1,0))=16),MIN(LOOKUP(,-1/($Z$12:Z105=1),$C$12:C105)+LOOKUP(,-1/($Z$12:Z105=1),$H$12:H105)-SUM(INDIRECT("T"&amp;(MAX((1=Z$12:Z104)*ROW(Z$12:Z104),ROW($T$12))&amp;":T"&amp;(ROW()-1)))),Первоначальный[[#This Row],[Полученный платеж]]+Y104),
S104&gt;0,MIN(LOOKUP(,-1/($Z$12:Z105=1),$C$12:C105)+LOOKUP(,-1/($Z$12:Z105=1),$H$12:H105)-IF(Z104=1,0,SUM(INDIRECT("T"&amp;(MAX((1=Z$12:Z104)*ROW(Z$12:Z104)+1,ROW($T$12))&amp;":T"&amp;(ROW()-1))))),Первоначальный[[#This Row],[Полученный платеж]]+Y104)
)
)
)</f>
        <v>0</v>
      </c>
      <c r="U10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платеж]]+Y104-Первоначальный[[#This Row],[Полученный платёж по процентам]])</f>
        <v>0</v>
      </c>
      <c r="V105" s="55">
        <f t="shared" ca="1" si="13"/>
        <v>0</v>
      </c>
      <c r="W105" s="55" cm="1">
        <f t="array" aca="1" ref="W105" ca="1">IF(Первоначальный[[#This Row],[Итого остаток на начало периода]]&lt;1,0,
_xlfn.IFS(
AND(TYPE(VLOOKUP(1,$Z$12:Z105,1,0))=16,Первоначальный[[#This Row],[Досрочное погашение (да/"")]]=""),0,
AND(S104=0,Первоначальный[[#This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комиссиям]]),VLOOKUP(LOOKUP(,-1/($Z$12:Z105=1),$A$12:A105),График[[Срок конец]:[Возврат основной суммы долга]],3,0)),
AND(S104=0,Первоначальный[[#This Row],[Дата платежа из графика]]="",Первоначальный[[#This Row],[Досрочное погашение (да/"")]]&lt;&gt;"Да"),0,
AND(S104=0,Первоначальный[[#This Row],[Досрочное погашение (да/"")]]=""),MIN(Первоначальный[[#This Row],[Полученный платеж]]+Y104-SUM(Первоначальный[[#This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комиссиям]]),VLOOKUP(LOOKUP(,-1/($Z$12:Z105=1),$A$12:A105),График[[Срок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S104&gt;0,MIN(Первоначальный[[#This Row],[Полученный платеж]]+Y104-SUM(Первоначальный[[#This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комиссиям]]),SUM(INDIRECT("M"&amp;(MAX((1=S$12:S104)*ROW(S$12:S104),ROW($W$12))&amp;":M"&amp;(ROW()))))-SUM(INDIRECT("W"&amp;(MAX((1=S$12:S104)*ROW(S$12:S104),ROW($W$12))&amp;":W"&amp;(ROW()-1)))))
)
)</f>
        <v>0</v>
      </c>
      <c r="X105" s="55">
        <f t="shared" ca="1" si="14"/>
        <v>0</v>
      </c>
      <c r="Y105" s="101">
        <f t="shared" ca="1" si="21"/>
        <v>0</v>
      </c>
      <c r="Z105" s="133">
        <f>IF(TYPE((VLOOKUP(Первоначальный[[#This Row],[Дата платежа]],График[Срок конец],1,0)))=16,"",1)</f>
        <v>1</v>
      </c>
      <c r="AA105" s="57"/>
      <c r="AB105" s="134"/>
      <c r="AC10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2516.1599999999994</v>
      </c>
      <c r="AE10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</v>
      </c>
      <c r="AF10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14.418503278688529</v>
      </c>
      <c r="AH105" s="55"/>
      <c r="AI105" s="55"/>
      <c r="AJ105" s="55"/>
      <c r="AK105" s="101">
        <f t="shared" ca="1" si="22"/>
        <v>152163.91850327869</v>
      </c>
      <c r="AL105" s="129">
        <f t="array" ref="AL105">MAX((УслРестрактов[Характеристика]="Дата реструктуризации")*(УслРестрактов[Значение]=Первоначальный!$A105),0)</f>
        <v>0</v>
      </c>
    </row>
    <row r="106" spans="1:38" x14ac:dyDescent="0.25">
      <c r="A106" s="97">
        <f t="shared" si="15"/>
        <v>44237</v>
      </c>
      <c r="B106" s="100">
        <f t="shared" ca="1" si="16"/>
        <v>149633.34</v>
      </c>
      <c r="C106" s="55">
        <f t="shared" ca="1" si="24"/>
        <v>2516.1599999999994</v>
      </c>
      <c r="D106" s="55">
        <f t="shared" ca="1" si="24"/>
        <v>0</v>
      </c>
      <c r="E106" s="55">
        <f t="shared" ca="1" si="17"/>
        <v>0</v>
      </c>
      <c r="F106" s="55">
        <f t="shared" ca="1" si="18"/>
        <v>14.418503278688529</v>
      </c>
      <c r="G106" s="101">
        <f t="shared" ca="1" si="19"/>
        <v>152163.91850327869</v>
      </c>
      <c r="H106" s="100">
        <f ca="1">ROUND($B106*VLOOKUP($A106,$A$1:$B$10,2,1)/(365+IF(MOD(YEAR($A106),4),0,1)*($A106-$A105)),2)-Первоначальный[[#This Row],[Проценты на просроченный платеж по ОД за период]]</f>
        <v>81.38</v>
      </c>
      <c r="I106" s="55">
        <f t="shared" ca="1" si="20"/>
        <v>0.2</v>
      </c>
      <c r="J106" s="55">
        <v>0</v>
      </c>
      <c r="K106" s="55">
        <f t="shared" ca="1" si="23"/>
        <v>14.418503278688529</v>
      </c>
      <c r="L106" s="55">
        <v>0</v>
      </c>
      <c r="M106" s="113">
        <f>SUMIFS(График[Возврат основной суммы долга],График[Дата с учетом нерабочих дней],$A106)</f>
        <v>0</v>
      </c>
      <c r="N106" s="56">
        <f>SUMIFS(График[Возврат начисленных %],График[Дата с учетом нерабочих дней],$A106)</f>
        <v>0</v>
      </c>
      <c r="O106" s="101">
        <v>0</v>
      </c>
      <c r="P106" s="100" cm="1">
        <f t="array" aca="1" ref="P106" ca="1">MAX(IF(AA105="Да",0,SUM(INDIRECT("M"&amp;(MAX(("Да"=AA$12:AA105)*ROW(AA$12:AA105)+1,ROW($P$12))&amp;":M"&amp;(ROW()))))-SUM(INDIRECT("W"&amp;(MAX(("Да"=AA$12:AA105)*ROW(AA$12:AA105)+1,ROW($P$12))&amp;":W"&amp;(ROW()))))),0)</f>
        <v>368.03999999999951</v>
      </c>
      <c r="Q106" s="99">
        <f ca="1">MAX(SUM($N$13:N106)-SUM($T$13:T106),0)</f>
        <v>2515.6606557377063</v>
      </c>
      <c r="R106" s="99">
        <f ca="1">Первоначальный[[#This Row],[Просроченный платеж по ОД]]+Первоначальный[[#This Row],[Просроченный платеж по процентам]]</f>
        <v>2883.7006557377058</v>
      </c>
      <c r="S106" s="120">
        <f ca="1">IF(Первоначальный[[#This Row],[Просроченный платеж]]&lt;1,0,S105+1)</f>
        <v>2</v>
      </c>
      <c r="T106" s="100" cm="1">
        <f t="array" aca="1" ref="T106" ca="1">IF(Первоначальный[[#This Row],[Итого остаток на начало периода]]&lt;1,0,
IF(
AND(TYPE(VLOOKUP(1,$Z$12:Z106,1,0))=16,Первоначальный[[#This Row],[Досрочное погашение (да/"")]]=""),0,
_xlfn.IFS(AND(S105=0,Первоначальный[[#This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платеж]]&lt;&gt;0),MIN(LOOKUP(,-1/($Z$12:Z106=1),$C$12:C106)+LOOKUP(,-1/($Z$12:Z106=1),$H$12:H106),Первоначальный[[#This Row],[Полученный платеж]]+Y105),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платеж]]+Y105,SUM(Первоначальный[[#This Row],[Остаток процентов на начало периода]],Первоначальный[[#This Row],[Проценты за период]])),
AND(S105=0,Первоначальный[[#This Row],[Дата платежа из графика]]=""),0,
AND(S105=0,Первоначальный[[#This Row],[Дата платежа из графика]]=1,MAX((0&lt;&gt;S$12:S105)*ROW(S$12:S105),ROW($S$12))&gt;=MAX((1=Z$12:Z105)*ROW(Z$12:Z105),ROW($T$12)),TYPE(VLOOKUP("Да",(INDIRECT("AA"&amp;(MAX((1=Z$12:Z105)*ROW(Z$12:Z105),ROW($T$12))&amp;":AA"&amp;(ROW()-1)))),1,0))=16),MIN(LOOKUP(,-1/($Z$12:Z106=1),$C$12:C106)+LOOKUP(,-1/($Z$12:Z106=1),$H$12:H106),Первоначальный[[#This Row],[Полученный платеж]]+Y105),
AND(S105=0,TYPE(VLOOKUP("Да",(INDIRECT("AA"&amp;(MAX((1=Z$12:Z105)*ROW(Z$12:Z105),ROW($T$12))&amp;":AA"&amp;(ROW()-1)))),1,0))&lt;&gt;16),MIN(LOOKUP(,-1/($Z$12:Z106=1),$C$12:C106)+LOOKUP(,-1/($Z$12:Z106=1),$H$12:H106)-IF(AA105="Да",0,SUM(INDIRECT("T"&amp;(MAX(("Да"=AA$12:AA105)*ROW(AA$12:AA105)+1,ROW($T$12))&amp;":T"&amp;(ROW()-1))))),Первоначальный[[#This Row],[Полученный платеж]]+Y105),
AND(S105=0,MAX((0&lt;&gt;N$12:N105)*ROW(N$12:N105),ROW($S$12))&gt;=MAX((1=Z$12:Z105)*ROW(Z$12:Z105),ROW($T$12))),MIN(LOOKUP(,-1/($Z$12:Z106=1),$C$12:C106)+LOOKUP(,-1/($Z$12:Z106=1),$H$12:H106)-IF(N105&lt;&gt;0,0,SUM(INDIRECT("T"&amp;(MAX((0&lt;&gt;N$12:N105)*ROW(N$12:N105)+1,ROW($T$12))&amp;":T"&amp;(ROW()-1))))),Первоначальный[[#This Row],[Полученный платеж]]+Y105),
AND(S105=0,Первоначальный[[#This Row],[Дата платежа из графика]]=1),MIN(LOOKUP(,-1/($Z$12:Z106=1),$C$12:C106)+LOOKUP(,-1/($Z$12:Z106=1),$H$12:H106)-IF(Z105=1,0,SUM(INDIRECT("T"&amp;(MAX((1=Z$12:Z105)*ROW(Z$12:Z105)+1,ROW($T$12))&amp;":T"&amp;(ROW()-1))))),Первоначальный[[#This Row],[Полученный платеж]]+Y105),
AND(Z105&gt;0,Первоначальный[[#This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платеж]]+Y105),
AND(S105&gt;0,MAX((0&lt;&gt;S$12:S105)*ROW(S$12:S105),ROW($S$12))&gt;=MAX((1=Z$12:Z105)*ROW(Z$12:Z105),ROW($T$12)),TYPE(VLOOKUP("Да",(INDIRECT("AA"&amp;(MAX((1=Z$12:Z105)*ROW(Z$12:Z105),ROW($T$12))&amp;":AA"&amp;(ROW()-1)))),1,0))=16),MIN(LOOKUP(,-1/($Z$12:Z106=1),$C$12:C106)+LOOKUP(,-1/($Z$12:Z106=1),$H$12:H106)-SUM(INDIRECT("T"&amp;(MAX((1=Z$12:Z105)*ROW(Z$12:Z105),ROW($T$12))&amp;":T"&amp;(ROW()-1)))),Первоначальный[[#This Row],[Полученный платеж]]+Y105),
S105&gt;0,MIN(LOOKUP(,-1/($Z$12:Z106=1),$C$12:C106)+LOOKUP(,-1/($Z$12:Z106=1),$H$12:H106)-IF(Z105=1,0,SUM(INDIRECT("T"&amp;(MAX((1=Z$12:Z105)*ROW(Z$12:Z105)+1,ROW($T$12))&amp;":T"&amp;(ROW()-1))))),Первоначальный[[#This Row],[Полученный платеж]]+Y105)
)
)
)</f>
        <v>0</v>
      </c>
      <c r="U10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платеж]]+Y105-Первоначальный[[#This Row],[Полученный платёж по процентам]])</f>
        <v>0</v>
      </c>
      <c r="V106" s="55">
        <f t="shared" ca="1" si="13"/>
        <v>0</v>
      </c>
      <c r="W106" s="55" cm="1">
        <f t="array" aca="1" ref="W106" ca="1">IF(Первоначальный[[#This Row],[Итого остаток на начало периода]]&lt;1,0,
_xlfn.IFS(
AND(TYPE(VLOOKUP(1,$Z$12:Z106,1,0))=16,Первоначальный[[#This Row],[Досрочное погашение (да/"")]]=""),0,
AND(S105=0,Первоначальный[[#This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комиссиям]]),VLOOKUP(LOOKUP(,-1/($Z$12:Z106=1),$A$12:A106),График[[Срок конец]:[Возврат основной суммы долга]],3,0)),
AND(S105=0,Первоначальный[[#This Row],[Дата платежа из графика]]="",Первоначальный[[#This Row],[Досрочное погашение (да/"")]]&lt;&gt;"Да"),0,
AND(S105=0,Первоначальный[[#This Row],[Досрочное погашение (да/"")]]=""),MIN(Первоначальный[[#This Row],[Полученный платеж]]+Y105-SUM(Первоначальный[[#This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комиссиям]]),VLOOKUP(LOOKUP(,-1/($Z$12:Z106=1),$A$12:A106),График[[Срок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S105&gt;0,MIN(Первоначальный[[#This Row],[Полученный платеж]]+Y105-SUM(Первоначальный[[#This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комиссиям]]),SUM(INDIRECT("M"&amp;(MAX((1=S$12:S105)*ROW(S$12:S105),ROW($W$12))&amp;":M"&amp;(ROW()))))-SUM(INDIRECT("W"&amp;(MAX((1=S$12:S105)*ROW(S$12:S105),ROW($W$12))&amp;":W"&amp;(ROW()-1)))))
)
)</f>
        <v>0</v>
      </c>
      <c r="X106" s="55">
        <f t="shared" ca="1" si="14"/>
        <v>0</v>
      </c>
      <c r="Y106" s="101">
        <f t="shared" ca="1" si="21"/>
        <v>0</v>
      </c>
      <c r="Z106" s="133" t="str">
        <f>IF(TYPE((VLOOKUP(Первоначальный[[#This Row],[Дата платежа]],График[Срок конец],1,0)))=16,"",1)</f>
        <v/>
      </c>
      <c r="AA106" s="57"/>
      <c r="AB106" s="134"/>
      <c r="AC10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2597.5399999999995</v>
      </c>
      <c r="AE10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0.2</v>
      </c>
      <c r="AF10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28.837006557377059</v>
      </c>
      <c r="AH106" s="55"/>
      <c r="AI106" s="55"/>
      <c r="AJ106" s="55"/>
      <c r="AK106" s="101">
        <f t="shared" ca="1" si="22"/>
        <v>152259.9170065574</v>
      </c>
      <c r="AL106" s="129">
        <f t="array" ref="AL106">MAX((УслРестрактов[Характеристика]="Дата реструктуризации")*(УслРестрактов[Значение]=Первоначальный!$A106),0)</f>
        <v>0</v>
      </c>
    </row>
    <row r="107" spans="1:38" x14ac:dyDescent="0.25">
      <c r="A107" s="97">
        <f t="shared" si="15"/>
        <v>44238</v>
      </c>
      <c r="B107" s="100">
        <f t="shared" ca="1" si="16"/>
        <v>149633.34</v>
      </c>
      <c r="C107" s="55">
        <f t="shared" ca="1" si="24"/>
        <v>2597.5399999999995</v>
      </c>
      <c r="D107" s="55">
        <f t="shared" ca="1" si="24"/>
        <v>0.2</v>
      </c>
      <c r="E107" s="55">
        <f t="shared" ca="1" si="17"/>
        <v>0</v>
      </c>
      <c r="F107" s="55">
        <f t="shared" ca="1" si="18"/>
        <v>28.837006557377059</v>
      </c>
      <c r="G107" s="101">
        <f t="shared" ca="1" si="19"/>
        <v>152259.9170065574</v>
      </c>
      <c r="H107" s="100">
        <f ca="1">ROUND($B107*VLOOKUP($A107,$A$1:$B$10,2,1)/(365+IF(MOD(YEAR($A107),4),0,1)*($A107-$A106)),2)-Первоначальный[[#This Row],[Проценты на просроченный платеж по ОД за период]]</f>
        <v>81.38</v>
      </c>
      <c r="I107" s="55">
        <f t="shared" ca="1" si="20"/>
        <v>0.2</v>
      </c>
      <c r="J107" s="55">
        <v>0</v>
      </c>
      <c r="K107" s="55">
        <f t="shared" ca="1" si="23"/>
        <v>14.418503278688529</v>
      </c>
      <c r="L107" s="55">
        <v>0</v>
      </c>
      <c r="M107" s="113">
        <f>SUMIFS(График[Возврат основной суммы долга],График[Дата с учетом нерабочих дней],$A107)</f>
        <v>0</v>
      </c>
      <c r="N107" s="56">
        <f>SUMIFS(График[Возврат начисленных %],График[Дата с учетом нерабочих дней],$A107)</f>
        <v>0</v>
      </c>
      <c r="O107" s="101">
        <v>0</v>
      </c>
      <c r="P107" s="100" cm="1">
        <f t="array" aca="1" ref="P107" ca="1">MAX(IF(AA106="Да",0,SUM(INDIRECT("M"&amp;(MAX(("Да"=AA$12:AA106)*ROW(AA$12:AA106)+1,ROW($P$12))&amp;":M"&amp;(ROW()))))-SUM(INDIRECT("W"&amp;(MAX(("Да"=AA$12:AA106)*ROW(AA$12:AA106)+1,ROW($P$12))&amp;":W"&amp;(ROW()))))),0)</f>
        <v>368.03999999999951</v>
      </c>
      <c r="Q107" s="99">
        <f ca="1">MAX(SUM($N$13:N107)-SUM($T$13:T107),0)</f>
        <v>2515.6606557377063</v>
      </c>
      <c r="R107" s="99">
        <f ca="1">Первоначальный[[#This Row],[Просроченный платеж по ОД]]+Первоначальный[[#This Row],[Просроченный платеж по процентам]]</f>
        <v>2883.7006557377058</v>
      </c>
      <c r="S107" s="120">
        <f ca="1">IF(Первоначальный[[#This Row],[Просроченный платеж]]&lt;1,0,S106+1)</f>
        <v>3</v>
      </c>
      <c r="T107" s="100" cm="1">
        <f t="array" aca="1" ref="T107" ca="1">IF(Первоначальный[[#This Row],[Итого остаток на начало периода]]&lt;1,0,
IF(
AND(TYPE(VLOOKUP(1,$Z$12:Z107,1,0))=16,Первоначальный[[#This Row],[Досрочное погашение (да/"")]]=""),0,
_xlfn.IFS(AND(S106=0,Первоначальный[[#This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платеж]]&lt;&gt;0),MIN(LOOKUP(,-1/($Z$12:Z107=1),$C$12:C107)+LOOKUP(,-1/($Z$12:Z107=1),$H$12:H107),Первоначальный[[#This Row],[Полученный платеж]]+Y106),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платеж]]+Y106,SUM(Первоначальный[[#This Row],[Остаток процентов на начало периода]],Первоначальный[[#This Row],[Проценты за период]])),
AND(S106=0,Первоначальный[[#This Row],[Дата платежа из графика]]=""),0,
AND(S106=0,Первоначальный[[#This Row],[Дата платежа из графика]]=1,MAX((0&lt;&gt;S$12:S106)*ROW(S$12:S106),ROW($S$12))&gt;=MAX((1=Z$12:Z106)*ROW(Z$12:Z106),ROW($T$12)),TYPE(VLOOKUP("Да",(INDIRECT("AA"&amp;(MAX((1=Z$12:Z106)*ROW(Z$12:Z106),ROW($T$12))&amp;":AA"&amp;(ROW()-1)))),1,0))=16),MIN(LOOKUP(,-1/($Z$12:Z107=1),$C$12:C107)+LOOKUP(,-1/($Z$12:Z107=1),$H$12:H107),Первоначальный[[#This Row],[Полученный платеж]]+Y106),
AND(S106=0,TYPE(VLOOKUP("Да",(INDIRECT("AA"&amp;(MAX((1=Z$12:Z106)*ROW(Z$12:Z106),ROW($T$12))&amp;":AA"&amp;(ROW()-1)))),1,0))&lt;&gt;16),MIN(LOOKUP(,-1/($Z$12:Z107=1),$C$12:C107)+LOOKUP(,-1/($Z$12:Z107=1),$H$12:H107)-IF(AA106="Да",0,SUM(INDIRECT("T"&amp;(MAX(("Да"=AA$12:AA106)*ROW(AA$12:AA106)+1,ROW($T$12))&amp;":T"&amp;(ROW()-1))))),Первоначальный[[#This Row],[Полученный платеж]]+Y106),
AND(S106=0,MAX((0&lt;&gt;N$12:N106)*ROW(N$12:N106),ROW($S$12))&gt;=MAX((1=Z$12:Z106)*ROW(Z$12:Z106),ROW($T$12))),MIN(LOOKUP(,-1/($Z$12:Z107=1),$C$12:C107)+LOOKUP(,-1/($Z$12:Z107=1),$H$12:H107)-IF(N106&lt;&gt;0,0,SUM(INDIRECT("T"&amp;(MAX((0&lt;&gt;N$12:N106)*ROW(N$12:N106)+1,ROW($T$12))&amp;":T"&amp;(ROW()-1))))),Первоначальный[[#This Row],[Полученный платеж]]+Y106),
AND(S106=0,Первоначальный[[#This Row],[Дата платежа из графика]]=1),MIN(LOOKUP(,-1/($Z$12:Z107=1),$C$12:C107)+LOOKUP(,-1/($Z$12:Z107=1),$H$12:H107)-IF(Z106=1,0,SUM(INDIRECT("T"&amp;(MAX((1=Z$12:Z106)*ROW(Z$12:Z106)+1,ROW($T$12))&amp;":T"&amp;(ROW()-1))))),Первоначальный[[#This Row],[Полученный платеж]]+Y106),
AND(Z106&gt;0,Первоначальный[[#This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платеж]]+Y106),
AND(S106&gt;0,MAX((0&lt;&gt;S$12:S106)*ROW(S$12:S106),ROW($S$12))&gt;=MAX((1=Z$12:Z106)*ROW(Z$12:Z106),ROW($T$12)),TYPE(VLOOKUP("Да",(INDIRECT("AA"&amp;(MAX((1=Z$12:Z106)*ROW(Z$12:Z106),ROW($T$12))&amp;":AA"&amp;(ROW()-1)))),1,0))=16),MIN(LOOKUP(,-1/($Z$12:Z107=1),$C$12:C107)+LOOKUP(,-1/($Z$12:Z107=1),$H$12:H107)-SUM(INDIRECT("T"&amp;(MAX((1=Z$12:Z106)*ROW(Z$12:Z106),ROW($T$12))&amp;":T"&amp;(ROW()-1)))),Первоначальный[[#This Row],[Полученный платеж]]+Y106),
S106&gt;0,MIN(LOOKUP(,-1/($Z$12:Z107=1),$C$12:C107)+LOOKUP(,-1/($Z$12:Z107=1),$H$12:H107)-IF(Z106=1,0,SUM(INDIRECT("T"&amp;(MAX((1=Z$12:Z106)*ROW(Z$12:Z106)+1,ROW($T$12))&amp;":T"&amp;(ROW()-1))))),Первоначальный[[#This Row],[Полученный платеж]]+Y106)
)
)
)</f>
        <v>0</v>
      </c>
      <c r="U10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платеж]]+Y106-Первоначальный[[#This Row],[Полученный платёж по процентам]])</f>
        <v>0</v>
      </c>
      <c r="V107" s="55">
        <f t="shared" ca="1" si="13"/>
        <v>0</v>
      </c>
      <c r="W107" s="55" cm="1">
        <f t="array" aca="1" ref="W107" ca="1">IF(Первоначальный[[#This Row],[Итого остаток на начало периода]]&lt;1,0,
_xlfn.IFS(
AND(TYPE(VLOOKUP(1,$Z$12:Z107,1,0))=16,Первоначальный[[#This Row],[Досрочное погашение (да/"")]]=""),0,
AND(S106=0,Первоначальный[[#This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комиссиям]]),VLOOKUP(LOOKUP(,-1/($Z$12:Z107=1),$A$12:A107),График[[Срок конец]:[Возврат основной суммы долга]],3,0)),
AND(S106=0,Первоначальный[[#This Row],[Дата платежа из графика]]="",Первоначальный[[#This Row],[Досрочное погашение (да/"")]]&lt;&gt;"Да"),0,
AND(S106=0,Первоначальный[[#This Row],[Досрочное погашение (да/"")]]=""),MIN(Первоначальный[[#This Row],[Полученный платеж]]+Y106-SUM(Первоначальный[[#This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комиссиям]]),VLOOKUP(LOOKUP(,-1/($Z$12:Z107=1),$A$12:A107),График[[Срок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S106&gt;0,MIN(Первоначальный[[#This Row],[Полученный платеж]]+Y106-SUM(Первоначальный[[#This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комиссиям]]),SUM(INDIRECT("M"&amp;(MAX((1=S$12:S106)*ROW(S$12:S106),ROW($W$12))&amp;":M"&amp;(ROW()))))-SUM(INDIRECT("W"&amp;(MAX((1=S$12:S106)*ROW(S$12:S106),ROW($W$12))&amp;":W"&amp;(ROW()-1)))))
)
)</f>
        <v>0</v>
      </c>
      <c r="X107" s="55">
        <f t="shared" ca="1" si="14"/>
        <v>0</v>
      </c>
      <c r="Y107" s="101">
        <f t="shared" ca="1" si="21"/>
        <v>0</v>
      </c>
      <c r="Z107" s="133" t="str">
        <f>IF(TYPE((VLOOKUP(Первоначальный[[#This Row],[Дата платежа]],График[Срок конец],1,0)))=16,"",1)</f>
        <v/>
      </c>
      <c r="AA107" s="57"/>
      <c r="AB107" s="134"/>
      <c r="AC10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2678.9199999999996</v>
      </c>
      <c r="AE10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0.4</v>
      </c>
      <c r="AF10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43.255509836065585</v>
      </c>
      <c r="AH107" s="55"/>
      <c r="AI107" s="55"/>
      <c r="AJ107" s="55"/>
      <c r="AK107" s="101">
        <f t="shared" ca="1" si="22"/>
        <v>152355.91550983608</v>
      </c>
      <c r="AL107" s="129">
        <f t="array" ref="AL107">MAX((УслРестрактов[Характеристика]="Дата реструктуризации")*(УслРестрактов[Значение]=Первоначальный!$A107),0)</f>
        <v>0</v>
      </c>
    </row>
    <row r="108" spans="1:38" x14ac:dyDescent="0.25">
      <c r="A108" s="97">
        <f t="shared" si="15"/>
        <v>44239</v>
      </c>
      <c r="B108" s="100">
        <f t="shared" ca="1" si="16"/>
        <v>149633.34</v>
      </c>
      <c r="C108" s="55">
        <f t="shared" ca="1" si="24"/>
        <v>2678.9199999999996</v>
      </c>
      <c r="D108" s="55">
        <f t="shared" ca="1" si="24"/>
        <v>0.4</v>
      </c>
      <c r="E108" s="55">
        <f t="shared" ca="1" si="17"/>
        <v>0</v>
      </c>
      <c r="F108" s="55">
        <f t="shared" ca="1" si="18"/>
        <v>43.255509836065585</v>
      </c>
      <c r="G108" s="101">
        <f t="shared" ca="1" si="19"/>
        <v>152355.91550983608</v>
      </c>
      <c r="H108" s="100">
        <f ca="1">ROUND($B108*VLOOKUP($A108,$A$1:$B$10,2,1)/(365+IF(MOD(YEAR($A108),4),0,1)*($A108-$A107)),2)-Первоначальный[[#This Row],[Проценты на просроченный платеж по ОД за период]]</f>
        <v>81.38</v>
      </c>
      <c r="I108" s="55">
        <f t="shared" ca="1" si="20"/>
        <v>0.2</v>
      </c>
      <c r="J108" s="55">
        <v>0</v>
      </c>
      <c r="K108" s="55">
        <f t="shared" ca="1" si="23"/>
        <v>14.418503278688529</v>
      </c>
      <c r="L108" s="55">
        <v>0</v>
      </c>
      <c r="M108" s="113">
        <f>SUMIFS(График[Возврат основной суммы долга],График[Дата с учетом нерабочих дней],$A108)</f>
        <v>0</v>
      </c>
      <c r="N108" s="56">
        <f>SUMIFS(График[Возврат начисленных %],График[Дата с учетом нерабочих дней],$A108)</f>
        <v>0</v>
      </c>
      <c r="O108" s="101">
        <v>0</v>
      </c>
      <c r="P108" s="100" cm="1">
        <f t="array" aca="1" ref="P108" ca="1">MAX(IF(AA107="Да",0,SUM(INDIRECT("M"&amp;(MAX(("Да"=AA$12:AA107)*ROW(AA$12:AA107)+1,ROW($P$12))&amp;":M"&amp;(ROW()))))-SUM(INDIRECT("W"&amp;(MAX(("Да"=AA$12:AA107)*ROW(AA$12:AA107)+1,ROW($P$12))&amp;":W"&amp;(ROW()))))),0)</f>
        <v>368.03999999999951</v>
      </c>
      <c r="Q108" s="99">
        <f ca="1">MAX(SUM($N$13:N108)-SUM($T$13:T108),0)</f>
        <v>2515.6606557377063</v>
      </c>
      <c r="R108" s="99">
        <f ca="1">Первоначальный[[#This Row],[Просроченный платеж по ОД]]+Первоначальный[[#This Row],[Просроченный платеж по процентам]]</f>
        <v>2883.7006557377058</v>
      </c>
      <c r="S108" s="120">
        <f ca="1">IF(Первоначальный[[#This Row],[Просроченный платеж]]&lt;1,0,S107+1)</f>
        <v>4</v>
      </c>
      <c r="T108" s="100" cm="1">
        <f t="array" aca="1" ref="T108" ca="1">IF(Первоначальный[[#This Row],[Итого остаток на начало периода]]&lt;1,0,
IF(
AND(TYPE(VLOOKUP(1,$Z$12:Z108,1,0))=16,Первоначальный[[#This Row],[Досрочное погашение (да/"")]]=""),0,
_xlfn.IFS(AND(S107=0,Первоначальный[[#This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платеж]]&lt;&gt;0),MIN(LOOKUP(,-1/($Z$12:Z108=1),$C$12:C108)+LOOKUP(,-1/($Z$12:Z108=1),$H$12:H108),Первоначальный[[#This Row],[Полученный платеж]]+Y107),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платеж]]+Y107,SUM(Первоначальный[[#This Row],[Остаток процентов на начало периода]],Первоначальный[[#This Row],[Проценты за период]])),
AND(S107=0,Первоначальный[[#This Row],[Дата платежа из графика]]=""),0,
AND(S107=0,Первоначальный[[#This Row],[Дата платежа из графика]]=1,MAX((0&lt;&gt;S$12:S107)*ROW(S$12:S107),ROW($S$12))&gt;=MAX((1=Z$12:Z107)*ROW(Z$12:Z107),ROW($T$12)),TYPE(VLOOKUP("Да",(INDIRECT("AA"&amp;(MAX((1=Z$12:Z107)*ROW(Z$12:Z107),ROW($T$12))&amp;":AA"&amp;(ROW()-1)))),1,0))=16),MIN(LOOKUP(,-1/($Z$12:Z108=1),$C$12:C108)+LOOKUP(,-1/($Z$12:Z108=1),$H$12:H108),Первоначальный[[#This Row],[Полученный платеж]]+Y107),
AND(S107=0,TYPE(VLOOKUP("Да",(INDIRECT("AA"&amp;(MAX((1=Z$12:Z107)*ROW(Z$12:Z107),ROW($T$12))&amp;":AA"&amp;(ROW()-1)))),1,0))&lt;&gt;16),MIN(LOOKUP(,-1/($Z$12:Z108=1),$C$12:C108)+LOOKUP(,-1/($Z$12:Z108=1),$H$12:H108)-IF(AA107="Да",0,SUM(INDIRECT("T"&amp;(MAX(("Да"=AA$12:AA107)*ROW(AA$12:AA107)+1,ROW($T$12))&amp;":T"&amp;(ROW()-1))))),Первоначальный[[#This Row],[Полученный платеж]]+Y107),
AND(S107=0,MAX((0&lt;&gt;N$12:N107)*ROW(N$12:N107),ROW($S$12))&gt;=MAX((1=Z$12:Z107)*ROW(Z$12:Z107),ROW($T$12))),MIN(LOOKUP(,-1/($Z$12:Z108=1),$C$12:C108)+LOOKUP(,-1/($Z$12:Z108=1),$H$12:H108)-IF(N107&lt;&gt;0,0,SUM(INDIRECT("T"&amp;(MAX((0&lt;&gt;N$12:N107)*ROW(N$12:N107)+1,ROW($T$12))&amp;":T"&amp;(ROW()-1))))),Первоначальный[[#This Row],[Полученный платеж]]+Y107),
AND(S107=0,Первоначальный[[#This Row],[Дата платежа из графика]]=1),MIN(LOOKUP(,-1/($Z$12:Z108=1),$C$12:C108)+LOOKUP(,-1/($Z$12:Z108=1),$H$12:H108)-IF(Z107=1,0,SUM(INDIRECT("T"&amp;(MAX((1=Z$12:Z107)*ROW(Z$12:Z107)+1,ROW($T$12))&amp;":T"&amp;(ROW()-1))))),Первоначальный[[#This Row],[Полученный платеж]]+Y107),
AND(Z107&gt;0,Первоначальный[[#This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платеж]]+Y107),
AND(S107&gt;0,MAX((0&lt;&gt;S$12:S107)*ROW(S$12:S107),ROW($S$12))&gt;=MAX((1=Z$12:Z107)*ROW(Z$12:Z107),ROW($T$12)),TYPE(VLOOKUP("Да",(INDIRECT("AA"&amp;(MAX((1=Z$12:Z107)*ROW(Z$12:Z107),ROW($T$12))&amp;":AA"&amp;(ROW()-1)))),1,0))=16),MIN(LOOKUP(,-1/($Z$12:Z108=1),$C$12:C108)+LOOKUP(,-1/($Z$12:Z108=1),$H$12:H108)-SUM(INDIRECT("T"&amp;(MAX((1=Z$12:Z107)*ROW(Z$12:Z107),ROW($T$12))&amp;":T"&amp;(ROW()-1)))),Первоначальный[[#This Row],[Полученный платеж]]+Y107),
S107&gt;0,MIN(LOOKUP(,-1/($Z$12:Z108=1),$C$12:C108)+LOOKUP(,-1/($Z$12:Z108=1),$H$12:H108)-IF(Z107=1,0,SUM(INDIRECT("T"&amp;(MAX((1=Z$12:Z107)*ROW(Z$12:Z107)+1,ROW($T$12))&amp;":T"&amp;(ROW()-1))))),Первоначальный[[#This Row],[Полученный платеж]]+Y107)
)
)
)</f>
        <v>0</v>
      </c>
      <c r="U10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платеж]]+Y107-Первоначальный[[#This Row],[Полученный платёж по процентам]])</f>
        <v>0</v>
      </c>
      <c r="V108" s="55">
        <f t="shared" ca="1" si="13"/>
        <v>0</v>
      </c>
      <c r="W108" s="55" cm="1">
        <f t="array" aca="1" ref="W108" ca="1">IF(Первоначальный[[#This Row],[Итого остаток на начало периода]]&lt;1,0,
_xlfn.IFS(
AND(TYPE(VLOOKUP(1,$Z$12:Z108,1,0))=16,Первоначальный[[#This Row],[Досрочное погашение (да/"")]]=""),0,
AND(S107=0,Первоначальный[[#This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комиссиям]]),VLOOKUP(LOOKUP(,-1/($Z$12:Z108=1),$A$12:A108),График[[Срок конец]:[Возврат основной суммы долга]],3,0)),
AND(S107=0,Первоначальный[[#This Row],[Дата платежа из графика]]="",Первоначальный[[#This Row],[Досрочное погашение (да/"")]]&lt;&gt;"Да"),0,
AND(S107=0,Первоначальный[[#This Row],[Досрочное погашение (да/"")]]=""),MIN(Первоначальный[[#This Row],[Полученный платеж]]+Y107-SUM(Первоначальный[[#This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комиссиям]]),VLOOKUP(LOOKUP(,-1/($Z$12:Z108=1),$A$12:A108),График[[Срок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S107&gt;0,MIN(Первоначальный[[#This Row],[Полученный платеж]]+Y107-SUM(Первоначальный[[#This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комиссиям]]),SUM(INDIRECT("M"&amp;(MAX((1=S$12:S107)*ROW(S$12:S107),ROW($W$12))&amp;":M"&amp;(ROW()))))-SUM(INDIRECT("W"&amp;(MAX((1=S$12:S107)*ROW(S$12:S107),ROW($W$12))&amp;":W"&amp;(ROW()-1)))))
)
)</f>
        <v>0</v>
      </c>
      <c r="X108" s="55">
        <f t="shared" ca="1" si="14"/>
        <v>0</v>
      </c>
      <c r="Y108" s="101">
        <f t="shared" ca="1" si="21"/>
        <v>0</v>
      </c>
      <c r="Z108" s="133" t="str">
        <f>IF(TYPE((VLOOKUP(Первоначальный[[#This Row],[Дата платежа]],График[Срок конец],1,0)))=16,"",1)</f>
        <v/>
      </c>
      <c r="AA108" s="57"/>
      <c r="AB108" s="134"/>
      <c r="AC10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2760.2999999999997</v>
      </c>
      <c r="AE10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0.60000000000000009</v>
      </c>
      <c r="AF10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57.674013114754118</v>
      </c>
      <c r="AH108" s="55"/>
      <c r="AI108" s="55"/>
      <c r="AJ108" s="55"/>
      <c r="AK108" s="101">
        <f t="shared" ca="1" si="22"/>
        <v>152451.91401311476</v>
      </c>
      <c r="AL108" s="129">
        <f t="array" ref="AL108">MAX((УслРестрактов[Характеристика]="Дата реструктуризации")*(УслРестрактов[Значение]=Первоначальный!$A108),0)</f>
        <v>0</v>
      </c>
    </row>
    <row r="109" spans="1:38" x14ac:dyDescent="0.25">
      <c r="A109" s="97">
        <f t="shared" si="15"/>
        <v>44240</v>
      </c>
      <c r="B109" s="100">
        <f t="shared" ca="1" si="16"/>
        <v>149633.34</v>
      </c>
      <c r="C109" s="55">
        <f t="shared" ca="1" si="24"/>
        <v>2760.2999999999997</v>
      </c>
      <c r="D109" s="55">
        <f t="shared" ca="1" si="24"/>
        <v>0.60000000000000009</v>
      </c>
      <c r="E109" s="55">
        <f t="shared" ca="1" si="17"/>
        <v>0</v>
      </c>
      <c r="F109" s="55">
        <f t="shared" ca="1" si="18"/>
        <v>57.674013114754118</v>
      </c>
      <c r="G109" s="101">
        <f t="shared" ca="1" si="19"/>
        <v>152451.91401311476</v>
      </c>
      <c r="H109" s="100">
        <f ca="1">ROUND($B109*VLOOKUP($A109,$A$1:$B$10,2,1)/(365+IF(MOD(YEAR($A109),4),0,1)*($A109-$A108)),2)-Первоначальный[[#This Row],[Проценты на просроченный платеж по ОД за период]]</f>
        <v>81.38</v>
      </c>
      <c r="I109" s="55">
        <f t="shared" ca="1" si="20"/>
        <v>0.2</v>
      </c>
      <c r="J109" s="55">
        <v>0</v>
      </c>
      <c r="K109" s="55">
        <f t="shared" ca="1" si="23"/>
        <v>14.418503278688529</v>
      </c>
      <c r="L109" s="55">
        <v>0</v>
      </c>
      <c r="M109" s="113">
        <f>SUMIFS(График[Возврат основной суммы долга],График[Дата с учетом нерабочих дней],$A109)</f>
        <v>0</v>
      </c>
      <c r="N109" s="56">
        <f>SUMIFS(График[Возврат начисленных %],График[Дата с учетом нерабочих дней],$A109)</f>
        <v>0</v>
      </c>
      <c r="O109" s="101">
        <v>0</v>
      </c>
      <c r="P109" s="100" cm="1">
        <f t="array" aca="1" ref="P109" ca="1">MAX(IF(AA108="Да",0,SUM(INDIRECT("M"&amp;(MAX(("Да"=AA$12:AA108)*ROW(AA$12:AA108)+1,ROW($P$12))&amp;":M"&amp;(ROW()))))-SUM(INDIRECT("W"&amp;(MAX(("Да"=AA$12:AA108)*ROW(AA$12:AA108)+1,ROW($P$12))&amp;":W"&amp;(ROW()))))),0)</f>
        <v>368.03999999999951</v>
      </c>
      <c r="Q109" s="99">
        <f ca="1">MAX(SUM($N$13:N109)-SUM($T$13:T109),0)</f>
        <v>2515.6606557377063</v>
      </c>
      <c r="R109" s="99">
        <f ca="1">Первоначальный[[#This Row],[Просроченный платеж по ОД]]+Первоначальный[[#This Row],[Просроченный платеж по процентам]]</f>
        <v>2883.7006557377058</v>
      </c>
      <c r="S109" s="120">
        <f ca="1">IF(Первоначальный[[#This Row],[Просроченный платеж]]&lt;1,0,S108+1)</f>
        <v>5</v>
      </c>
      <c r="T109" s="100" cm="1">
        <f t="array" aca="1" ref="T109" ca="1">IF(Первоначальный[[#This Row],[Итого остаток на начало периода]]&lt;1,0,
IF(
AND(TYPE(VLOOKUP(1,$Z$12:Z109,1,0))=16,Первоначальный[[#This Row],[Досрочное погашение (да/"")]]=""),0,
_xlfn.IFS(AND(S108=0,Первоначальный[[#This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платеж]]&lt;&gt;0),MIN(LOOKUP(,-1/($Z$12:Z109=1),$C$12:C109)+LOOKUP(,-1/($Z$12:Z109=1),$H$12:H109),Первоначальный[[#This Row],[Полученный платеж]]+Y108),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платеж]]+Y108,SUM(Первоначальный[[#This Row],[Остаток процентов на начало периода]],Первоначальный[[#This Row],[Проценты за период]])),
AND(S108=0,Первоначальный[[#This Row],[Дата платежа из графика]]=""),0,
AND(S108=0,Первоначальный[[#This Row],[Дата платежа из графика]]=1,MAX((0&lt;&gt;S$12:S108)*ROW(S$12:S108),ROW($S$12))&gt;=MAX((1=Z$12:Z108)*ROW(Z$12:Z108),ROW($T$12)),TYPE(VLOOKUP("Да",(INDIRECT("AA"&amp;(MAX((1=Z$12:Z108)*ROW(Z$12:Z108),ROW($T$12))&amp;":AA"&amp;(ROW()-1)))),1,0))=16),MIN(LOOKUP(,-1/($Z$12:Z109=1),$C$12:C109)+LOOKUP(,-1/($Z$12:Z109=1),$H$12:H109),Первоначальный[[#This Row],[Полученный платеж]]+Y108),
AND(S108=0,TYPE(VLOOKUP("Да",(INDIRECT("AA"&amp;(MAX((1=Z$12:Z108)*ROW(Z$12:Z108),ROW($T$12))&amp;":AA"&amp;(ROW()-1)))),1,0))&lt;&gt;16),MIN(LOOKUP(,-1/($Z$12:Z109=1),$C$12:C109)+LOOKUP(,-1/($Z$12:Z109=1),$H$12:H109)-IF(AA108="Да",0,SUM(INDIRECT("T"&amp;(MAX(("Да"=AA$12:AA108)*ROW(AA$12:AA108)+1,ROW($T$12))&amp;":T"&amp;(ROW()-1))))),Первоначальный[[#This Row],[Полученный платеж]]+Y108),
AND(S108=0,MAX((0&lt;&gt;N$12:N108)*ROW(N$12:N108),ROW($S$12))&gt;=MAX((1=Z$12:Z108)*ROW(Z$12:Z108),ROW($T$12))),MIN(LOOKUP(,-1/($Z$12:Z109=1),$C$12:C109)+LOOKUP(,-1/($Z$12:Z109=1),$H$12:H109)-IF(N108&lt;&gt;0,0,SUM(INDIRECT("T"&amp;(MAX((0&lt;&gt;N$12:N108)*ROW(N$12:N108)+1,ROW($T$12))&amp;":T"&amp;(ROW()-1))))),Первоначальный[[#This Row],[Полученный платеж]]+Y108),
AND(S108=0,Первоначальный[[#This Row],[Дата платежа из графика]]=1),MIN(LOOKUP(,-1/($Z$12:Z109=1),$C$12:C109)+LOOKUP(,-1/($Z$12:Z109=1),$H$12:H109)-IF(Z108=1,0,SUM(INDIRECT("T"&amp;(MAX((1=Z$12:Z108)*ROW(Z$12:Z108)+1,ROW($T$12))&amp;":T"&amp;(ROW()-1))))),Первоначальный[[#This Row],[Полученный платеж]]+Y108),
AND(Z108&gt;0,Первоначальный[[#This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платеж]]+Y108),
AND(S108&gt;0,MAX((0&lt;&gt;S$12:S108)*ROW(S$12:S108),ROW($S$12))&gt;=MAX((1=Z$12:Z108)*ROW(Z$12:Z108),ROW($T$12)),TYPE(VLOOKUP("Да",(INDIRECT("AA"&amp;(MAX((1=Z$12:Z108)*ROW(Z$12:Z108),ROW($T$12))&amp;":AA"&amp;(ROW()-1)))),1,0))=16),MIN(LOOKUP(,-1/($Z$12:Z109=1),$C$12:C109)+LOOKUP(,-1/($Z$12:Z109=1),$H$12:H109)-SUM(INDIRECT("T"&amp;(MAX((1=Z$12:Z108)*ROW(Z$12:Z108),ROW($T$12))&amp;":T"&amp;(ROW()-1)))),Первоначальный[[#This Row],[Полученный платеж]]+Y108),
S108&gt;0,MIN(LOOKUP(,-1/($Z$12:Z109=1),$C$12:C109)+LOOKUP(,-1/($Z$12:Z109=1),$H$12:H109)-IF(Z108=1,0,SUM(INDIRECT("T"&amp;(MAX((1=Z$12:Z108)*ROW(Z$12:Z108)+1,ROW($T$12))&amp;":T"&amp;(ROW()-1))))),Первоначальный[[#This Row],[Полученный платеж]]+Y108)
)
)
)</f>
        <v>0</v>
      </c>
      <c r="U10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платеж]]+Y108-Первоначальный[[#This Row],[Полученный платёж по процентам]])</f>
        <v>0</v>
      </c>
      <c r="V109" s="55">
        <f t="shared" ca="1" si="13"/>
        <v>0</v>
      </c>
      <c r="W109" s="55" cm="1">
        <f t="array" aca="1" ref="W109" ca="1">IF(Первоначальный[[#This Row],[Итого остаток на начало периода]]&lt;1,0,
_xlfn.IFS(
AND(TYPE(VLOOKUP(1,$Z$12:Z109,1,0))=16,Первоначальный[[#This Row],[Досрочное погашение (да/"")]]=""),0,
AND(S108=0,Первоначальный[[#This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комиссиям]]),VLOOKUP(LOOKUP(,-1/($Z$12:Z109=1),$A$12:A109),График[[Срок конец]:[Возврат основной суммы долга]],3,0)),
AND(S108=0,Первоначальный[[#This Row],[Дата платежа из графика]]="",Первоначальный[[#This Row],[Досрочное погашение (да/"")]]&lt;&gt;"Да"),0,
AND(S108=0,Первоначальный[[#This Row],[Досрочное погашение (да/"")]]=""),MIN(Первоначальный[[#This Row],[Полученный платеж]]+Y108-SUM(Первоначальный[[#This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комиссиям]]),VLOOKUP(LOOKUP(,-1/($Z$12:Z109=1),$A$12:A109),График[[Срок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S108&gt;0,MIN(Первоначальный[[#This Row],[Полученный платеж]]+Y108-SUM(Первоначальный[[#This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комиссиям]]),SUM(INDIRECT("M"&amp;(MAX((1=S$12:S108)*ROW(S$12:S108),ROW($W$12))&amp;":M"&amp;(ROW()))))-SUM(INDIRECT("W"&amp;(MAX((1=S$12:S108)*ROW(S$12:S108),ROW($W$12))&amp;":W"&amp;(ROW()-1)))))
)
)</f>
        <v>0</v>
      </c>
      <c r="X109" s="55">
        <f t="shared" ca="1" si="14"/>
        <v>0</v>
      </c>
      <c r="Y109" s="101">
        <f t="shared" ca="1" si="21"/>
        <v>0</v>
      </c>
      <c r="Z109" s="133" t="str">
        <f>IF(TYPE((VLOOKUP(Первоначальный[[#This Row],[Дата платежа]],График[Срок конец],1,0)))=16,"",1)</f>
        <v/>
      </c>
      <c r="AA109" s="57"/>
      <c r="AB109" s="134"/>
      <c r="AC10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2841.68</v>
      </c>
      <c r="AE10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0.8</v>
      </c>
      <c r="AF10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72.092516393442651</v>
      </c>
      <c r="AH109" s="55"/>
      <c r="AI109" s="55"/>
      <c r="AJ109" s="55"/>
      <c r="AK109" s="101">
        <f t="shared" ca="1" si="22"/>
        <v>152547.91251639341</v>
      </c>
      <c r="AL109" s="129">
        <f t="array" ref="AL109">MAX((УслРестрактов[Характеристика]="Дата реструктуризации")*(УслРестрактов[Значение]=Первоначальный!$A109),0)</f>
        <v>0</v>
      </c>
    </row>
    <row r="110" spans="1:38" x14ac:dyDescent="0.25">
      <c r="A110" s="97">
        <f t="shared" si="15"/>
        <v>44241</v>
      </c>
      <c r="B110" s="100">
        <f t="shared" ca="1" si="16"/>
        <v>149633.34</v>
      </c>
      <c r="C110" s="55">
        <f t="shared" ca="1" si="24"/>
        <v>2841.68</v>
      </c>
      <c r="D110" s="55">
        <f t="shared" ca="1" si="24"/>
        <v>0.8</v>
      </c>
      <c r="E110" s="55">
        <f t="shared" ca="1" si="17"/>
        <v>0</v>
      </c>
      <c r="F110" s="55">
        <f t="shared" ca="1" si="18"/>
        <v>72.092516393442651</v>
      </c>
      <c r="G110" s="101">
        <f t="shared" ca="1" si="19"/>
        <v>152547.91251639341</v>
      </c>
      <c r="H110" s="100">
        <f ca="1">ROUND($B110*VLOOKUP($A110,$A$1:$B$10,2,1)/(365+IF(MOD(YEAR($A110),4),0,1)*($A110-$A109)),2)-Первоначальный[[#This Row],[Проценты на просроченный платеж по ОД за период]]</f>
        <v>81.38</v>
      </c>
      <c r="I110" s="55">
        <f t="shared" ca="1" si="20"/>
        <v>0.2</v>
      </c>
      <c r="J110" s="55">
        <v>0</v>
      </c>
      <c r="K110" s="55">
        <f t="shared" ca="1" si="23"/>
        <v>14.418503278688529</v>
      </c>
      <c r="L110" s="55">
        <v>0</v>
      </c>
      <c r="M110" s="113">
        <f>SUMIFS(График[Возврат основной суммы долга],График[Дата с учетом нерабочих дней],$A110)</f>
        <v>0</v>
      </c>
      <c r="N110" s="56">
        <f>SUMIFS(График[Возврат начисленных %],График[Дата с учетом нерабочих дней],$A110)</f>
        <v>0</v>
      </c>
      <c r="O110" s="101">
        <v>0</v>
      </c>
      <c r="P110" s="100" cm="1">
        <f t="array" aca="1" ref="P110" ca="1">MAX(IF(AA109="Да",0,SUM(INDIRECT("M"&amp;(MAX(("Да"=AA$12:AA109)*ROW(AA$12:AA109)+1,ROW($P$12))&amp;":M"&amp;(ROW()))))-SUM(INDIRECT("W"&amp;(MAX(("Да"=AA$12:AA109)*ROW(AA$12:AA109)+1,ROW($P$12))&amp;":W"&amp;(ROW()))))),0)</f>
        <v>368.03999999999951</v>
      </c>
      <c r="Q110" s="99">
        <f ca="1">MAX(SUM($N$13:N110)-SUM($T$13:T110),0)</f>
        <v>2515.6606557377063</v>
      </c>
      <c r="R110" s="99">
        <f ca="1">Первоначальный[[#This Row],[Просроченный платеж по ОД]]+Первоначальный[[#This Row],[Просроченный платеж по процентам]]</f>
        <v>2883.7006557377058</v>
      </c>
      <c r="S110" s="120">
        <f ca="1">IF(Первоначальный[[#This Row],[Просроченный платеж]]&lt;1,0,S109+1)</f>
        <v>6</v>
      </c>
      <c r="T110" s="100" cm="1">
        <f t="array" aca="1" ref="T110" ca="1">IF(Первоначальный[[#This Row],[Итого остаток на начало периода]]&lt;1,0,
IF(
AND(TYPE(VLOOKUP(1,$Z$12:Z110,1,0))=16,Первоначальный[[#This Row],[Досрочное погашение (да/"")]]=""),0,
_xlfn.IFS(AND(S109=0,Первоначальный[[#This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платеж]]&lt;&gt;0),MIN(LOOKUP(,-1/($Z$12:Z110=1),$C$12:C110)+LOOKUP(,-1/($Z$12:Z110=1),$H$12:H110),Первоначальный[[#This Row],[Полученный платеж]]+Y109),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платеж]]+Y109,SUM(Первоначальный[[#This Row],[Остаток процентов на начало периода]],Первоначальный[[#This Row],[Проценты за период]])),
AND(S109=0,Первоначальный[[#This Row],[Дата платежа из графика]]=""),0,
AND(S109=0,Первоначальный[[#This Row],[Дата платежа из графика]]=1,MAX((0&lt;&gt;S$12:S109)*ROW(S$12:S109),ROW($S$12))&gt;=MAX((1=Z$12:Z109)*ROW(Z$12:Z109),ROW($T$12)),TYPE(VLOOKUP("Да",(INDIRECT("AA"&amp;(MAX((1=Z$12:Z109)*ROW(Z$12:Z109),ROW($T$12))&amp;":AA"&amp;(ROW()-1)))),1,0))=16),MIN(LOOKUP(,-1/($Z$12:Z110=1),$C$12:C110)+LOOKUP(,-1/($Z$12:Z110=1),$H$12:H110),Первоначальный[[#This Row],[Полученный платеж]]+Y109),
AND(S109=0,TYPE(VLOOKUP("Да",(INDIRECT("AA"&amp;(MAX((1=Z$12:Z109)*ROW(Z$12:Z109),ROW($T$12))&amp;":AA"&amp;(ROW()-1)))),1,0))&lt;&gt;16),MIN(LOOKUP(,-1/($Z$12:Z110=1),$C$12:C110)+LOOKUP(,-1/($Z$12:Z110=1),$H$12:H110)-IF(AA109="Да",0,SUM(INDIRECT("T"&amp;(MAX(("Да"=AA$12:AA109)*ROW(AA$12:AA109)+1,ROW($T$12))&amp;":T"&amp;(ROW()-1))))),Первоначальный[[#This Row],[Полученный платеж]]+Y109),
AND(S109=0,MAX((0&lt;&gt;N$12:N109)*ROW(N$12:N109),ROW($S$12))&gt;=MAX((1=Z$12:Z109)*ROW(Z$12:Z109),ROW($T$12))),MIN(LOOKUP(,-1/($Z$12:Z110=1),$C$12:C110)+LOOKUP(,-1/($Z$12:Z110=1),$H$12:H110)-IF(N109&lt;&gt;0,0,SUM(INDIRECT("T"&amp;(MAX((0&lt;&gt;N$12:N109)*ROW(N$12:N109)+1,ROW($T$12))&amp;":T"&amp;(ROW()-1))))),Первоначальный[[#This Row],[Полученный платеж]]+Y109),
AND(S109=0,Первоначальный[[#This Row],[Дата платежа из графика]]=1),MIN(LOOKUP(,-1/($Z$12:Z110=1),$C$12:C110)+LOOKUP(,-1/($Z$12:Z110=1),$H$12:H110)-IF(Z109=1,0,SUM(INDIRECT("T"&amp;(MAX((1=Z$12:Z109)*ROW(Z$12:Z109)+1,ROW($T$12))&amp;":T"&amp;(ROW()-1))))),Первоначальный[[#This Row],[Полученный платеж]]+Y109),
AND(Z109&gt;0,Первоначальный[[#This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платеж]]+Y109),
AND(S109&gt;0,MAX((0&lt;&gt;S$12:S109)*ROW(S$12:S109),ROW($S$12))&gt;=MAX((1=Z$12:Z109)*ROW(Z$12:Z109),ROW($T$12)),TYPE(VLOOKUP("Да",(INDIRECT("AA"&amp;(MAX((1=Z$12:Z109)*ROW(Z$12:Z109),ROW($T$12))&amp;":AA"&amp;(ROW()-1)))),1,0))=16),MIN(LOOKUP(,-1/($Z$12:Z110=1),$C$12:C110)+LOOKUP(,-1/($Z$12:Z110=1),$H$12:H110)-SUM(INDIRECT("T"&amp;(MAX((1=Z$12:Z109)*ROW(Z$12:Z109),ROW($T$12))&amp;":T"&amp;(ROW()-1)))),Первоначальный[[#This Row],[Полученный платеж]]+Y109),
S109&gt;0,MIN(LOOKUP(,-1/($Z$12:Z110=1),$C$12:C110)+LOOKUP(,-1/($Z$12:Z110=1),$H$12:H110)-IF(Z109=1,0,SUM(INDIRECT("T"&amp;(MAX((1=Z$12:Z109)*ROW(Z$12:Z109)+1,ROW($T$12))&amp;":T"&amp;(ROW()-1))))),Первоначальный[[#This Row],[Полученный платеж]]+Y109)
)
)
)</f>
        <v>0</v>
      </c>
      <c r="U11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платеж]]+Y109-Первоначальный[[#This Row],[Полученный платёж по процентам]])</f>
        <v>0</v>
      </c>
      <c r="V110" s="55">
        <f t="shared" ca="1" si="13"/>
        <v>0</v>
      </c>
      <c r="W110" s="55" cm="1">
        <f t="array" aca="1" ref="W110" ca="1">IF(Первоначальный[[#This Row],[Итого остаток на начало периода]]&lt;1,0,
_xlfn.IFS(
AND(TYPE(VLOOKUP(1,$Z$12:Z110,1,0))=16,Первоначальный[[#This Row],[Досрочное погашение (да/"")]]=""),0,
AND(S109=0,Первоначальный[[#This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комиссиям]]),VLOOKUP(LOOKUP(,-1/($Z$12:Z110=1),$A$12:A110),График[[Срок конец]:[Возврат основной суммы долга]],3,0)),
AND(S109=0,Первоначальный[[#This Row],[Дата платежа из графика]]="",Первоначальный[[#This Row],[Досрочное погашение (да/"")]]&lt;&gt;"Да"),0,
AND(S109=0,Первоначальный[[#This Row],[Досрочное погашение (да/"")]]=""),MIN(Первоначальный[[#This Row],[Полученный платеж]]+Y109-SUM(Первоначальный[[#This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комиссиям]]),VLOOKUP(LOOKUP(,-1/($Z$12:Z110=1),$A$12:A110),График[[Срок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S109&gt;0,MIN(Первоначальный[[#This Row],[Полученный платеж]]+Y109-SUM(Первоначальный[[#This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комиссиям]]),SUM(INDIRECT("M"&amp;(MAX((1=S$12:S109)*ROW(S$12:S109),ROW($W$12))&amp;":M"&amp;(ROW()))))-SUM(INDIRECT("W"&amp;(MAX((1=S$12:S109)*ROW(S$12:S109),ROW($W$12))&amp;":W"&amp;(ROW()-1)))))
)
)</f>
        <v>0</v>
      </c>
      <c r="X110" s="55">
        <f t="shared" ca="1" si="14"/>
        <v>0</v>
      </c>
      <c r="Y110" s="101">
        <f t="shared" ca="1" si="21"/>
        <v>0</v>
      </c>
      <c r="Z110" s="133" t="str">
        <f>IF(TYPE((VLOOKUP(Первоначальный[[#This Row],[Дата платежа]],График[Срок конец],1,0)))=16,"",1)</f>
        <v/>
      </c>
      <c r="AA110" s="57"/>
      <c r="AB110" s="134"/>
      <c r="AC11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2923.06</v>
      </c>
      <c r="AE11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</v>
      </c>
      <c r="AF11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86.511019672131184</v>
      </c>
      <c r="AH110" s="55"/>
      <c r="AI110" s="55"/>
      <c r="AJ110" s="55"/>
      <c r="AK110" s="101">
        <f t="shared" ca="1" si="22"/>
        <v>152643.91101967212</v>
      </c>
      <c r="AL110" s="129">
        <f t="array" ref="AL110">MAX((УслРестрактов[Характеристика]="Дата реструктуризации")*(УслРестрактов[Значение]=Первоначальный!$A110),0)</f>
        <v>0</v>
      </c>
    </row>
    <row r="111" spans="1:38" x14ac:dyDescent="0.25">
      <c r="A111" s="97">
        <f t="shared" si="15"/>
        <v>44242</v>
      </c>
      <c r="B111" s="100">
        <f t="shared" ca="1" si="16"/>
        <v>149633.34</v>
      </c>
      <c r="C111" s="55">
        <f t="shared" ca="1" si="24"/>
        <v>2923.06</v>
      </c>
      <c r="D111" s="55">
        <f t="shared" ca="1" si="24"/>
        <v>1</v>
      </c>
      <c r="E111" s="55">
        <f t="shared" ca="1" si="17"/>
        <v>0</v>
      </c>
      <c r="F111" s="55">
        <f t="shared" ca="1" si="18"/>
        <v>86.511019672131184</v>
      </c>
      <c r="G111" s="101">
        <f t="shared" ca="1" si="19"/>
        <v>152643.91101967212</v>
      </c>
      <c r="H111" s="100">
        <f ca="1">ROUND($B111*VLOOKUP($A111,$A$1:$B$10,2,1)/(365+IF(MOD(YEAR($A111),4),0,1)*($A111-$A110)),2)-Первоначальный[[#This Row],[Проценты на просроченный платеж по ОД за период]]</f>
        <v>81.38</v>
      </c>
      <c r="I111" s="55">
        <f t="shared" ca="1" si="20"/>
        <v>0.2</v>
      </c>
      <c r="J111" s="55">
        <v>0</v>
      </c>
      <c r="K111" s="55">
        <f t="shared" ca="1" si="23"/>
        <v>14.418503278688529</v>
      </c>
      <c r="L111" s="55">
        <v>0</v>
      </c>
      <c r="M111" s="113">
        <f>SUMIFS(График[Возврат основной суммы долга],График[Дата с учетом нерабочих дней],$A111)</f>
        <v>0</v>
      </c>
      <c r="N111" s="56">
        <f>SUMIFS(График[Возврат начисленных %],График[Дата с учетом нерабочих дней],$A111)</f>
        <v>0</v>
      </c>
      <c r="O111" s="101">
        <v>0</v>
      </c>
      <c r="P111" s="100" cm="1">
        <f t="array" aca="1" ref="P111" ca="1">MAX(IF(AA110="Да",0,SUM(INDIRECT("M"&amp;(MAX(("Да"=AA$12:AA110)*ROW(AA$12:AA110)+1,ROW($P$12))&amp;":M"&amp;(ROW()))))-SUM(INDIRECT("W"&amp;(MAX(("Да"=AA$12:AA110)*ROW(AA$12:AA110)+1,ROW($P$12))&amp;":W"&amp;(ROW()))))),0)</f>
        <v>368.03999999999951</v>
      </c>
      <c r="Q111" s="99">
        <f ca="1">MAX(SUM($N$13:N111)-SUM($T$13:T111),0)</f>
        <v>2515.6606557377063</v>
      </c>
      <c r="R111" s="99">
        <f ca="1">Первоначальный[[#This Row],[Просроченный платеж по ОД]]+Первоначальный[[#This Row],[Просроченный платеж по процентам]]</f>
        <v>2883.7006557377058</v>
      </c>
      <c r="S111" s="120">
        <f ca="1">IF(Первоначальный[[#This Row],[Просроченный платеж]]&lt;1,0,S110+1)</f>
        <v>7</v>
      </c>
      <c r="T111" s="100" cm="1">
        <f t="array" aca="1" ref="T111" ca="1">IF(Первоначальный[[#This Row],[Итого остаток на начало периода]]&lt;1,0,
IF(
AND(TYPE(VLOOKUP(1,$Z$12:Z111,1,0))=16,Первоначальный[[#This Row],[Досрочное погашение (да/"")]]=""),0,
_xlfn.IFS(AND(S110=0,Первоначальный[[#This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платеж]]&lt;&gt;0),MIN(LOOKUP(,-1/($Z$12:Z111=1),$C$12:C111)+LOOKUP(,-1/($Z$12:Z111=1),$H$12:H111),Первоначальный[[#This Row],[Полученный платеж]]+Y110),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платеж]]+Y110,SUM(Первоначальный[[#This Row],[Остаток процентов на начало периода]],Первоначальный[[#This Row],[Проценты за период]])),
AND(S110=0,Первоначальный[[#This Row],[Дата платежа из графика]]=""),0,
AND(S110=0,Первоначальный[[#This Row],[Дата платежа из графика]]=1,MAX((0&lt;&gt;S$12:S110)*ROW(S$12:S110),ROW($S$12))&gt;=MAX((1=Z$12:Z110)*ROW(Z$12:Z110),ROW($T$12)),TYPE(VLOOKUP("Да",(INDIRECT("AA"&amp;(MAX((1=Z$12:Z110)*ROW(Z$12:Z110),ROW($T$12))&amp;":AA"&amp;(ROW()-1)))),1,0))=16),MIN(LOOKUP(,-1/($Z$12:Z111=1),$C$12:C111)+LOOKUP(,-1/($Z$12:Z111=1),$H$12:H111),Первоначальный[[#This Row],[Полученный платеж]]+Y110),
AND(S110=0,TYPE(VLOOKUP("Да",(INDIRECT("AA"&amp;(MAX((1=Z$12:Z110)*ROW(Z$12:Z110),ROW($T$12))&amp;":AA"&amp;(ROW()-1)))),1,0))&lt;&gt;16),MIN(LOOKUP(,-1/($Z$12:Z111=1),$C$12:C111)+LOOKUP(,-1/($Z$12:Z111=1),$H$12:H111)-IF(AA110="Да",0,SUM(INDIRECT("T"&amp;(MAX(("Да"=AA$12:AA110)*ROW(AA$12:AA110)+1,ROW($T$12))&amp;":T"&amp;(ROW()-1))))),Первоначальный[[#This Row],[Полученный платеж]]+Y110),
AND(S110=0,MAX((0&lt;&gt;N$12:N110)*ROW(N$12:N110),ROW($S$12))&gt;=MAX((1=Z$12:Z110)*ROW(Z$12:Z110),ROW($T$12))),MIN(LOOKUP(,-1/($Z$12:Z111=1),$C$12:C111)+LOOKUP(,-1/($Z$12:Z111=1),$H$12:H111)-IF(N110&lt;&gt;0,0,SUM(INDIRECT("T"&amp;(MAX((0&lt;&gt;N$12:N110)*ROW(N$12:N110)+1,ROW($T$12))&amp;":T"&amp;(ROW()-1))))),Первоначальный[[#This Row],[Полученный платеж]]+Y110),
AND(S110=0,Первоначальный[[#This Row],[Дата платежа из графика]]=1),MIN(LOOKUP(,-1/($Z$12:Z111=1),$C$12:C111)+LOOKUP(,-1/($Z$12:Z111=1),$H$12:H111)-IF(Z110=1,0,SUM(INDIRECT("T"&amp;(MAX((1=Z$12:Z110)*ROW(Z$12:Z110)+1,ROW($T$12))&amp;":T"&amp;(ROW()-1))))),Первоначальный[[#This Row],[Полученный платеж]]+Y110),
AND(Z110&gt;0,Первоначальный[[#This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платеж]]+Y110),
AND(S110&gt;0,MAX((0&lt;&gt;S$12:S110)*ROW(S$12:S110),ROW($S$12))&gt;=MAX((1=Z$12:Z110)*ROW(Z$12:Z110),ROW($T$12)),TYPE(VLOOKUP("Да",(INDIRECT("AA"&amp;(MAX((1=Z$12:Z110)*ROW(Z$12:Z110),ROW($T$12))&amp;":AA"&amp;(ROW()-1)))),1,0))=16),MIN(LOOKUP(,-1/($Z$12:Z111=1),$C$12:C111)+LOOKUP(,-1/($Z$12:Z111=1),$H$12:H111)-SUM(INDIRECT("T"&amp;(MAX((1=Z$12:Z110)*ROW(Z$12:Z110),ROW($T$12))&amp;":T"&amp;(ROW()-1)))),Первоначальный[[#This Row],[Полученный платеж]]+Y110),
S110&gt;0,MIN(LOOKUP(,-1/($Z$12:Z111=1),$C$12:C111)+LOOKUP(,-1/($Z$12:Z111=1),$H$12:H111)-IF(Z110=1,0,SUM(INDIRECT("T"&amp;(MAX((1=Z$12:Z110)*ROW(Z$12:Z110)+1,ROW($T$12))&amp;":T"&amp;(ROW()-1))))),Первоначальный[[#This Row],[Полученный платеж]]+Y110)
)
)
)</f>
        <v>0</v>
      </c>
      <c r="U11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платеж]]+Y110-Первоначальный[[#This Row],[Полученный платёж по процентам]])</f>
        <v>0</v>
      </c>
      <c r="V111" s="55">
        <f t="shared" ca="1" si="13"/>
        <v>0</v>
      </c>
      <c r="W111" s="55" cm="1">
        <f t="array" aca="1" ref="W111" ca="1">IF(Первоначальный[[#This Row],[Итого остаток на начало периода]]&lt;1,0,
_xlfn.IFS(
AND(TYPE(VLOOKUP(1,$Z$12:Z111,1,0))=16,Первоначальный[[#This Row],[Досрочное погашение (да/"")]]=""),0,
AND(S110=0,Первоначальный[[#This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комиссиям]]),VLOOKUP(LOOKUP(,-1/($Z$12:Z111=1),$A$12:A111),График[[Срок конец]:[Возврат основной суммы долга]],3,0)),
AND(S110=0,Первоначальный[[#This Row],[Дата платежа из графика]]="",Первоначальный[[#This Row],[Досрочное погашение (да/"")]]&lt;&gt;"Да"),0,
AND(S110=0,Первоначальный[[#This Row],[Досрочное погашение (да/"")]]=""),MIN(Первоначальный[[#This Row],[Полученный платеж]]+Y110-SUM(Первоначальный[[#This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комиссиям]]),VLOOKUP(LOOKUP(,-1/($Z$12:Z111=1),$A$12:A111),График[[Срок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S110&gt;0,MIN(Первоначальный[[#This Row],[Полученный платеж]]+Y110-SUM(Первоначальный[[#This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комиссиям]]),SUM(INDIRECT("M"&amp;(MAX((1=S$12:S110)*ROW(S$12:S110),ROW($W$12))&amp;":M"&amp;(ROW()))))-SUM(INDIRECT("W"&amp;(MAX((1=S$12:S110)*ROW(S$12:S110),ROW($W$12))&amp;":W"&amp;(ROW()-1)))))
)
)</f>
        <v>0</v>
      </c>
      <c r="X111" s="55">
        <f t="shared" ca="1" si="14"/>
        <v>0</v>
      </c>
      <c r="Y111" s="101">
        <f t="shared" ca="1" si="21"/>
        <v>0</v>
      </c>
      <c r="Z111" s="133" t="str">
        <f>IF(TYPE((VLOOKUP(Первоначальный[[#This Row],[Дата платежа]],График[Срок конец],1,0)))=16,"",1)</f>
        <v/>
      </c>
      <c r="AA111" s="57"/>
      <c r="AB111" s="134"/>
      <c r="AC11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3004.44</v>
      </c>
      <c r="AE11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1.2</v>
      </c>
      <c r="AF11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100.92952295081972</v>
      </c>
      <c r="AH111" s="55"/>
      <c r="AI111" s="55"/>
      <c r="AJ111" s="55"/>
      <c r="AK111" s="101">
        <f t="shared" ca="1" si="22"/>
        <v>152739.90952295082</v>
      </c>
      <c r="AL111" s="129">
        <f t="array" ref="AL111">MAX((УслРестрактов[Характеристика]="Дата реструктуризации")*(УслРестрактов[Значение]=Первоначальный!$A111),0)</f>
        <v>0</v>
      </c>
    </row>
    <row r="112" spans="1:38" x14ac:dyDescent="0.25">
      <c r="A112" s="97">
        <f t="shared" si="15"/>
        <v>44243</v>
      </c>
      <c r="B112" s="100">
        <f t="shared" ca="1" si="16"/>
        <v>149633.34</v>
      </c>
      <c r="C112" s="55">
        <f t="shared" ca="1" si="24"/>
        <v>3004.44</v>
      </c>
      <c r="D112" s="55">
        <f t="shared" ca="1" si="24"/>
        <v>1.2</v>
      </c>
      <c r="E112" s="55">
        <f t="shared" ca="1" si="17"/>
        <v>0</v>
      </c>
      <c r="F112" s="55">
        <f t="shared" ca="1" si="18"/>
        <v>100.92952295081972</v>
      </c>
      <c r="G112" s="101">
        <f t="shared" ca="1" si="19"/>
        <v>152739.90952295082</v>
      </c>
      <c r="H112" s="100">
        <f ca="1">ROUND($B112*VLOOKUP($A112,$A$1:$B$10,2,1)/(365+IF(MOD(YEAR($A112),4),0,1)*($A112-$A111)),2)-Первоначальный[[#This Row],[Проценты на просроченный платеж по ОД за период]]</f>
        <v>81.38</v>
      </c>
      <c r="I112" s="55">
        <f t="shared" ca="1" si="20"/>
        <v>0.2</v>
      </c>
      <c r="J112" s="55">
        <v>0</v>
      </c>
      <c r="K112" s="55">
        <f t="shared" ca="1" si="23"/>
        <v>14.418503278688529</v>
      </c>
      <c r="L112" s="55">
        <v>0</v>
      </c>
      <c r="M112" s="113">
        <f>SUMIFS(График[Возврат основной суммы долга],График[Дата с учетом нерабочих дней],$A112)</f>
        <v>0</v>
      </c>
      <c r="N112" s="56">
        <f>SUMIFS(График[Возврат начисленных %],График[Дата с учетом нерабочих дней],$A112)</f>
        <v>0</v>
      </c>
      <c r="O112" s="101">
        <v>0</v>
      </c>
      <c r="P112" s="100" cm="1">
        <f t="array" aca="1" ref="P112" ca="1">MAX(IF(AA111="Да",0,SUM(INDIRECT("M"&amp;(MAX(("Да"=AA$12:AA111)*ROW(AA$12:AA111)+1,ROW($P$12))&amp;":M"&amp;(ROW()))))-SUM(INDIRECT("W"&amp;(MAX(("Да"=AA$12:AA111)*ROW(AA$12:AA111)+1,ROW($P$12))&amp;":W"&amp;(ROW()))))),0)</f>
        <v>368.03999999999951</v>
      </c>
      <c r="Q112" s="99">
        <f ca="1">MAX(SUM($N$13:N112)-SUM($T$13:T112),0)</f>
        <v>2515.6606557377063</v>
      </c>
      <c r="R112" s="99">
        <f ca="1">Первоначальный[[#This Row],[Просроченный платеж по ОД]]+Первоначальный[[#This Row],[Просроченный платеж по процентам]]</f>
        <v>2883.7006557377058</v>
      </c>
      <c r="S112" s="120">
        <f ca="1">IF(Первоначальный[[#This Row],[Просроченный платеж]]&lt;1,0,S111+1)</f>
        <v>8</v>
      </c>
      <c r="T112" s="100" cm="1">
        <f t="array" aca="1" ref="T112" ca="1">IF(Первоначальный[[#This Row],[Итого остаток на начало периода]]&lt;1,0,
IF(
AND(TYPE(VLOOKUP(1,$Z$12:Z112,1,0))=16,Первоначальный[[#This Row],[Досрочное погашение (да/"")]]=""),0,
_xlfn.IFS(AND(S111=0,Первоначальный[[#This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платеж]]&lt;&gt;0),MIN(LOOKUP(,-1/($Z$12:Z112=1),$C$12:C112)+LOOKUP(,-1/($Z$12:Z112=1),$H$12:H112),Первоначальный[[#This Row],[Полученный платеж]]+Y111),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платеж]]+Y111,SUM(Первоначальный[[#This Row],[Остаток процентов на начало периода]],Первоначальный[[#This Row],[Проценты за период]])),
AND(S111=0,Первоначальный[[#This Row],[Дата платежа из графика]]=""),0,
AND(S111=0,Первоначальный[[#This Row],[Дата платежа из графика]]=1,MAX((0&lt;&gt;S$12:S111)*ROW(S$12:S111),ROW($S$12))&gt;=MAX((1=Z$12:Z111)*ROW(Z$12:Z111),ROW($T$12)),TYPE(VLOOKUP("Да",(INDIRECT("AA"&amp;(MAX((1=Z$12:Z111)*ROW(Z$12:Z111),ROW($T$12))&amp;":AA"&amp;(ROW()-1)))),1,0))=16),MIN(LOOKUP(,-1/($Z$12:Z112=1),$C$12:C112)+LOOKUP(,-1/($Z$12:Z112=1),$H$12:H112),Первоначальный[[#This Row],[Полученный платеж]]+Y111),
AND(S111=0,TYPE(VLOOKUP("Да",(INDIRECT("AA"&amp;(MAX((1=Z$12:Z111)*ROW(Z$12:Z111),ROW($T$12))&amp;":AA"&amp;(ROW()-1)))),1,0))&lt;&gt;16),MIN(LOOKUP(,-1/($Z$12:Z112=1),$C$12:C112)+LOOKUP(,-1/($Z$12:Z112=1),$H$12:H112)-IF(AA111="Да",0,SUM(INDIRECT("T"&amp;(MAX(("Да"=AA$12:AA111)*ROW(AA$12:AA111)+1,ROW($T$12))&amp;":T"&amp;(ROW()-1))))),Первоначальный[[#This Row],[Полученный платеж]]+Y111),
AND(S111=0,MAX((0&lt;&gt;N$12:N111)*ROW(N$12:N111),ROW($S$12))&gt;=MAX((1=Z$12:Z111)*ROW(Z$12:Z111),ROW($T$12))),MIN(LOOKUP(,-1/($Z$12:Z112=1),$C$12:C112)+LOOKUP(,-1/($Z$12:Z112=1),$H$12:H112)-IF(N111&lt;&gt;0,0,SUM(INDIRECT("T"&amp;(MAX((0&lt;&gt;N$12:N111)*ROW(N$12:N111)+1,ROW($T$12))&amp;":T"&amp;(ROW()-1))))),Первоначальный[[#This Row],[Полученный платеж]]+Y111),
AND(S111=0,Первоначальный[[#This Row],[Дата платежа из графика]]=1),MIN(LOOKUP(,-1/($Z$12:Z112=1),$C$12:C112)+LOOKUP(,-1/($Z$12:Z112=1),$H$12:H112)-IF(Z111=1,0,SUM(INDIRECT("T"&amp;(MAX((1=Z$12:Z111)*ROW(Z$12:Z111)+1,ROW($T$12))&amp;":T"&amp;(ROW()-1))))),Первоначальный[[#This Row],[Полученный платеж]]+Y111),
AND(Z111&gt;0,Первоначальный[[#This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платеж]]+Y111),
AND(S111&gt;0,MAX((0&lt;&gt;S$12:S111)*ROW(S$12:S111),ROW($S$12))&gt;=MAX((1=Z$12:Z111)*ROW(Z$12:Z111),ROW($T$12)),TYPE(VLOOKUP("Да",(INDIRECT("AA"&amp;(MAX((1=Z$12:Z111)*ROW(Z$12:Z111),ROW($T$12))&amp;":AA"&amp;(ROW()-1)))),1,0))=16),MIN(LOOKUP(,-1/($Z$12:Z112=1),$C$12:C112)+LOOKUP(,-1/($Z$12:Z112=1),$H$12:H112)-SUM(INDIRECT("T"&amp;(MAX((1=Z$12:Z111)*ROW(Z$12:Z111),ROW($T$12))&amp;":T"&amp;(ROW()-1)))),Первоначальный[[#This Row],[Полученный платеж]]+Y111),
S111&gt;0,MIN(LOOKUP(,-1/($Z$12:Z112=1),$C$12:C112)+LOOKUP(,-1/($Z$12:Z112=1),$H$12:H112)-IF(Z111=1,0,SUM(INDIRECT("T"&amp;(MAX((1=Z$12:Z111)*ROW(Z$12:Z111)+1,ROW($T$12))&amp;":T"&amp;(ROW()-1))))),Первоначальный[[#This Row],[Полученный платеж]]+Y111)
)
)
)</f>
        <v>0</v>
      </c>
      <c r="U11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платеж]]+Y111-Первоначальный[[#This Row],[Полученный платёж по процентам]])</f>
        <v>0</v>
      </c>
      <c r="V112" s="55">
        <f t="shared" ca="1" si="13"/>
        <v>0</v>
      </c>
      <c r="W112" s="55" cm="1">
        <f t="array" aca="1" ref="W112" ca="1">IF(Первоначальный[[#This Row],[Итого остаток на начало периода]]&lt;1,0,
_xlfn.IFS(
AND(TYPE(VLOOKUP(1,$Z$12:Z112,1,0))=16,Первоначальный[[#This Row],[Досрочное погашение (да/"")]]=""),0,
AND(S111=0,Первоначальный[[#This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комиссиям]]),VLOOKUP(LOOKUP(,-1/($Z$12:Z112=1),$A$12:A112),График[[Срок конец]:[Возврат основной суммы долга]],3,0)),
AND(S111=0,Первоначальный[[#This Row],[Дата платежа из графика]]="",Первоначальный[[#This Row],[Досрочное погашение (да/"")]]&lt;&gt;"Да"),0,
AND(S111=0,Первоначальный[[#This Row],[Досрочное погашение (да/"")]]=""),MIN(Первоначальный[[#This Row],[Полученный платеж]]+Y111-SUM(Первоначальный[[#This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комиссиям]]),VLOOKUP(LOOKUP(,-1/($Z$12:Z112=1),$A$12:A112),График[[Срок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S111&gt;0,MIN(Первоначальный[[#This Row],[Полученный платеж]]+Y111-SUM(Первоначальный[[#This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комиссиям]]),SUM(INDIRECT("M"&amp;(MAX((1=S$12:S111)*ROW(S$12:S111),ROW($W$12))&amp;":M"&amp;(ROW()))))-SUM(INDIRECT("W"&amp;(MAX((1=S$12:S111)*ROW(S$12:S111),ROW($W$12))&amp;":W"&amp;(ROW()-1)))))
)
)</f>
        <v>0</v>
      </c>
      <c r="X112" s="55">
        <f t="shared" ca="1" si="14"/>
        <v>0</v>
      </c>
      <c r="Y112" s="101">
        <f t="shared" ca="1" si="21"/>
        <v>0</v>
      </c>
      <c r="Z112" s="133" t="str">
        <f>IF(TYPE((VLOOKUP(Первоначальный[[#This Row],[Дата платежа]],График[Срок конец],1,0)))=16,"",1)</f>
        <v/>
      </c>
      <c r="AA112" s="57"/>
      <c r="AB112" s="134"/>
      <c r="AC11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3085.82</v>
      </c>
      <c r="AE11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1.4</v>
      </c>
      <c r="AF11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115.34802622950825</v>
      </c>
      <c r="AH112" s="55"/>
      <c r="AI112" s="55"/>
      <c r="AJ112" s="55"/>
      <c r="AK112" s="101">
        <f t="shared" ca="1" si="22"/>
        <v>152835.9080262295</v>
      </c>
      <c r="AL112" s="129">
        <f t="array" ref="AL112">MAX((УслРестрактов[Характеристика]="Дата реструктуризации")*(УслРестрактов[Значение]=Первоначальный!$A112),0)</f>
        <v>0</v>
      </c>
    </row>
    <row r="113" spans="1:38" x14ac:dyDescent="0.25">
      <c r="A113" s="97">
        <f t="shared" si="15"/>
        <v>44244</v>
      </c>
      <c r="B113" s="100">
        <f t="shared" ca="1" si="16"/>
        <v>149633.34</v>
      </c>
      <c r="C113" s="55">
        <f t="shared" ca="1" si="24"/>
        <v>3085.82</v>
      </c>
      <c r="D113" s="55">
        <f t="shared" ca="1" si="24"/>
        <v>1.4</v>
      </c>
      <c r="E113" s="55">
        <f t="shared" ca="1" si="17"/>
        <v>0</v>
      </c>
      <c r="F113" s="55">
        <f t="shared" ca="1" si="18"/>
        <v>115.34802622950825</v>
      </c>
      <c r="G113" s="101">
        <f t="shared" ca="1" si="19"/>
        <v>152835.9080262295</v>
      </c>
      <c r="H113" s="100">
        <f ca="1">ROUND($B113*VLOOKUP($A113,$A$1:$B$10,2,1)/(365+IF(MOD(YEAR($A113),4),0,1)*($A113-$A112)),2)-Первоначальный[[#This Row],[Проценты на просроченный платеж по ОД за период]]</f>
        <v>81.38</v>
      </c>
      <c r="I113" s="55">
        <f t="shared" ca="1" si="20"/>
        <v>0.2</v>
      </c>
      <c r="J113" s="55">
        <v>0</v>
      </c>
      <c r="K113" s="55">
        <f t="shared" ca="1" si="23"/>
        <v>14.418503278688529</v>
      </c>
      <c r="L113" s="55">
        <v>0</v>
      </c>
      <c r="M113" s="113">
        <f>SUMIFS(График[Возврат основной суммы долга],График[Дата с учетом нерабочих дней],$A113)</f>
        <v>0</v>
      </c>
      <c r="N113" s="56">
        <f>SUMIFS(График[Возврат начисленных %],График[Дата с учетом нерабочих дней],$A113)</f>
        <v>0</v>
      </c>
      <c r="O113" s="101">
        <v>0</v>
      </c>
      <c r="P113" s="100" cm="1">
        <f t="array" aca="1" ref="P113" ca="1">MAX(IF(AA112="Да",0,SUM(INDIRECT("M"&amp;(MAX(("Да"=AA$12:AA112)*ROW(AA$12:AA112)+1,ROW($P$12))&amp;":M"&amp;(ROW()))))-SUM(INDIRECT("W"&amp;(MAX(("Да"=AA$12:AA112)*ROW(AA$12:AA112)+1,ROW($P$12))&amp;":W"&amp;(ROW()))))),0)</f>
        <v>368.03999999999951</v>
      </c>
      <c r="Q113" s="99">
        <f ca="1">MAX(SUM($N$13:N113)-SUM($T$13:T113),0)</f>
        <v>2515.6606557377063</v>
      </c>
      <c r="R113" s="99">
        <f ca="1">Первоначальный[[#This Row],[Просроченный платеж по ОД]]+Первоначальный[[#This Row],[Просроченный платеж по процентам]]</f>
        <v>2883.7006557377058</v>
      </c>
      <c r="S113" s="120">
        <f ca="1">IF(Первоначальный[[#This Row],[Просроченный платеж]]&lt;1,0,S112+1)</f>
        <v>9</v>
      </c>
      <c r="T113" s="100" cm="1">
        <f t="array" aca="1" ref="T113" ca="1">IF(Первоначальный[[#This Row],[Итого остаток на начало периода]]&lt;1,0,
IF(
AND(TYPE(VLOOKUP(1,$Z$12:Z113,1,0))=16,Первоначальный[[#This Row],[Досрочное погашение (да/"")]]=""),0,
_xlfn.IFS(AND(S112=0,Первоначальный[[#This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платеж]]&lt;&gt;0),MIN(LOOKUP(,-1/($Z$12:Z113=1),$C$12:C113)+LOOKUP(,-1/($Z$12:Z113=1),$H$12:H113),Первоначальный[[#This Row],[Полученный платеж]]+Y112),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платеж]]+Y112,SUM(Первоначальный[[#This Row],[Остаток процентов на начало периода]],Первоначальный[[#This Row],[Проценты за период]])),
AND(S112=0,Первоначальный[[#This Row],[Дата платежа из графика]]=""),0,
AND(S112=0,Первоначальный[[#This Row],[Дата платежа из графика]]=1,MAX((0&lt;&gt;S$12:S112)*ROW(S$12:S112),ROW($S$12))&gt;=MAX((1=Z$12:Z112)*ROW(Z$12:Z112),ROW($T$12)),TYPE(VLOOKUP("Да",(INDIRECT("AA"&amp;(MAX((1=Z$12:Z112)*ROW(Z$12:Z112),ROW($T$12))&amp;":AA"&amp;(ROW()-1)))),1,0))=16),MIN(LOOKUP(,-1/($Z$12:Z113=1),$C$12:C113)+LOOKUP(,-1/($Z$12:Z113=1),$H$12:H113),Первоначальный[[#This Row],[Полученный платеж]]+Y112),
AND(S112=0,TYPE(VLOOKUP("Да",(INDIRECT("AA"&amp;(MAX((1=Z$12:Z112)*ROW(Z$12:Z112),ROW($T$12))&amp;":AA"&amp;(ROW()-1)))),1,0))&lt;&gt;16),MIN(LOOKUP(,-1/($Z$12:Z113=1),$C$12:C113)+LOOKUP(,-1/($Z$12:Z113=1),$H$12:H113)-IF(AA112="Да",0,SUM(INDIRECT("T"&amp;(MAX(("Да"=AA$12:AA112)*ROW(AA$12:AA112)+1,ROW($T$12))&amp;":T"&amp;(ROW()-1))))),Первоначальный[[#This Row],[Полученный платеж]]+Y112),
AND(S112=0,MAX((0&lt;&gt;N$12:N112)*ROW(N$12:N112),ROW($S$12))&gt;=MAX((1=Z$12:Z112)*ROW(Z$12:Z112),ROW($T$12))),MIN(LOOKUP(,-1/($Z$12:Z113=1),$C$12:C113)+LOOKUP(,-1/($Z$12:Z113=1),$H$12:H113)-IF(N112&lt;&gt;0,0,SUM(INDIRECT("T"&amp;(MAX((0&lt;&gt;N$12:N112)*ROW(N$12:N112)+1,ROW($T$12))&amp;":T"&amp;(ROW()-1))))),Первоначальный[[#This Row],[Полученный платеж]]+Y112),
AND(S112=0,Первоначальный[[#This Row],[Дата платежа из графика]]=1),MIN(LOOKUP(,-1/($Z$12:Z113=1),$C$12:C113)+LOOKUP(,-1/($Z$12:Z113=1),$H$12:H113)-IF(Z112=1,0,SUM(INDIRECT("T"&amp;(MAX((1=Z$12:Z112)*ROW(Z$12:Z112)+1,ROW($T$12))&amp;":T"&amp;(ROW()-1))))),Первоначальный[[#This Row],[Полученный платеж]]+Y112),
AND(Z112&gt;0,Первоначальный[[#This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платеж]]+Y112),
AND(S112&gt;0,MAX((0&lt;&gt;S$12:S112)*ROW(S$12:S112),ROW($S$12))&gt;=MAX((1=Z$12:Z112)*ROW(Z$12:Z112),ROW($T$12)),TYPE(VLOOKUP("Да",(INDIRECT("AA"&amp;(MAX((1=Z$12:Z112)*ROW(Z$12:Z112),ROW($T$12))&amp;":AA"&amp;(ROW()-1)))),1,0))=16),MIN(LOOKUP(,-1/($Z$12:Z113=1),$C$12:C113)+LOOKUP(,-1/($Z$12:Z113=1),$H$12:H113)-SUM(INDIRECT("T"&amp;(MAX((1=Z$12:Z112)*ROW(Z$12:Z112),ROW($T$12))&amp;":T"&amp;(ROW()-1)))),Первоначальный[[#This Row],[Полученный платеж]]+Y112),
S112&gt;0,MIN(LOOKUP(,-1/($Z$12:Z113=1),$C$12:C113)+LOOKUP(,-1/($Z$12:Z113=1),$H$12:H113)-IF(Z112=1,0,SUM(INDIRECT("T"&amp;(MAX((1=Z$12:Z112)*ROW(Z$12:Z112)+1,ROW($T$12))&amp;":T"&amp;(ROW()-1))))),Первоначальный[[#This Row],[Полученный платеж]]+Y112)
)
)
)</f>
        <v>0</v>
      </c>
      <c r="U11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платеж]]+Y112-Первоначальный[[#This Row],[Полученный платёж по процентам]])</f>
        <v>0</v>
      </c>
      <c r="V113" s="55">
        <f t="shared" ca="1" si="13"/>
        <v>0</v>
      </c>
      <c r="W113" s="55" cm="1">
        <f t="array" aca="1" ref="W113" ca="1">IF(Первоначальный[[#This Row],[Итого остаток на начало периода]]&lt;1,0,
_xlfn.IFS(
AND(TYPE(VLOOKUP(1,$Z$12:Z113,1,0))=16,Первоначальный[[#This Row],[Досрочное погашение (да/"")]]=""),0,
AND(S112=0,Первоначальный[[#This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комиссиям]]),VLOOKUP(LOOKUP(,-1/($Z$12:Z113=1),$A$12:A113),График[[Срок конец]:[Возврат основной суммы долга]],3,0)),
AND(S112=0,Первоначальный[[#This Row],[Дата платежа из графика]]="",Первоначальный[[#This Row],[Досрочное погашение (да/"")]]&lt;&gt;"Да"),0,
AND(S112=0,Первоначальный[[#This Row],[Досрочное погашение (да/"")]]=""),MIN(Первоначальный[[#This Row],[Полученный платеж]]+Y112-SUM(Первоначальный[[#This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комиссиям]]),VLOOKUP(LOOKUP(,-1/($Z$12:Z113=1),$A$12:A113),График[[Срок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S112&gt;0,MIN(Первоначальный[[#This Row],[Полученный платеж]]+Y112-SUM(Первоначальный[[#This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комиссиям]]),SUM(INDIRECT("M"&amp;(MAX((1=S$12:S112)*ROW(S$12:S112),ROW($W$12))&amp;":M"&amp;(ROW()))))-SUM(INDIRECT("W"&amp;(MAX((1=S$12:S112)*ROW(S$12:S112),ROW($W$12))&amp;":W"&amp;(ROW()-1)))))
)
)</f>
        <v>0</v>
      </c>
      <c r="X113" s="55">
        <f t="shared" ca="1" si="14"/>
        <v>0</v>
      </c>
      <c r="Y113" s="101">
        <f t="shared" ca="1" si="21"/>
        <v>0</v>
      </c>
      <c r="Z113" s="133" t="str">
        <f>IF(TYPE((VLOOKUP(Первоначальный[[#This Row],[Дата платежа]],График[Срок конец],1,0)))=16,"",1)</f>
        <v/>
      </c>
      <c r="AA113" s="57"/>
      <c r="AB113" s="134"/>
      <c r="AC11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3167.2000000000003</v>
      </c>
      <c r="AE11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1.5999999999999999</v>
      </c>
      <c r="AF11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129.76652950819678</v>
      </c>
      <c r="AH113" s="55"/>
      <c r="AI113" s="55"/>
      <c r="AJ113" s="55"/>
      <c r="AK113" s="101">
        <f t="shared" ca="1" si="22"/>
        <v>152931.90652950821</v>
      </c>
      <c r="AL113" s="129">
        <f t="array" ref="AL113">MAX((УслРестрактов[Характеристика]="Дата реструктуризации")*(УслРестрактов[Значение]=Первоначальный!$A113),0)</f>
        <v>0</v>
      </c>
    </row>
    <row r="114" spans="1:38" x14ac:dyDescent="0.25">
      <c r="A114" s="97">
        <f t="shared" si="15"/>
        <v>44245</v>
      </c>
      <c r="B114" s="100">
        <f t="shared" ca="1" si="16"/>
        <v>149633.34</v>
      </c>
      <c r="C114" s="55">
        <f t="shared" ca="1" si="24"/>
        <v>3167.2000000000003</v>
      </c>
      <c r="D114" s="55">
        <f t="shared" ca="1" si="24"/>
        <v>1.5999999999999999</v>
      </c>
      <c r="E114" s="55">
        <f t="shared" ca="1" si="17"/>
        <v>0</v>
      </c>
      <c r="F114" s="55">
        <f t="shared" ca="1" si="18"/>
        <v>129.76652950819678</v>
      </c>
      <c r="G114" s="101">
        <f t="shared" ca="1" si="19"/>
        <v>152931.90652950821</v>
      </c>
      <c r="H114" s="100">
        <f ca="1">ROUND($B114*VLOOKUP($A114,$A$1:$B$10,2,1)/(365+IF(MOD(YEAR($A114),4),0,1)*($A114-$A113)),2)-Первоначальный[[#This Row],[Проценты на просроченный платеж по ОД за период]]</f>
        <v>81.38</v>
      </c>
      <c r="I114" s="55">
        <f t="shared" ca="1" si="20"/>
        <v>0.2</v>
      </c>
      <c r="J114" s="55">
        <v>0</v>
      </c>
      <c r="K114" s="55">
        <f t="shared" ca="1" si="23"/>
        <v>14.418503278688529</v>
      </c>
      <c r="L114" s="55">
        <v>0</v>
      </c>
      <c r="M114" s="113">
        <f>SUMIFS(График[Возврат основной суммы долга],График[Дата с учетом нерабочих дней],$A114)</f>
        <v>0</v>
      </c>
      <c r="N114" s="56">
        <f>SUMIFS(График[Возврат начисленных %],График[Дата с учетом нерабочих дней],$A114)</f>
        <v>0</v>
      </c>
      <c r="O114" s="101">
        <v>0</v>
      </c>
      <c r="P114" s="100" cm="1">
        <f t="array" aca="1" ref="P114" ca="1">MAX(IF(AA113="Да",0,SUM(INDIRECT("M"&amp;(MAX(("Да"=AA$12:AA113)*ROW(AA$12:AA113)+1,ROW($P$12))&amp;":M"&amp;(ROW()))))-SUM(INDIRECT("W"&amp;(MAX(("Да"=AA$12:AA113)*ROW(AA$12:AA113)+1,ROW($P$12))&amp;":W"&amp;(ROW()))))),0)</f>
        <v>368.03999999999951</v>
      </c>
      <c r="Q114" s="99">
        <f ca="1">MAX(SUM($N$13:N114)-SUM($T$13:T114),0)</f>
        <v>2515.6606557377063</v>
      </c>
      <c r="R114" s="99">
        <f ca="1">Первоначальный[[#This Row],[Просроченный платеж по ОД]]+Первоначальный[[#This Row],[Просроченный платеж по процентам]]</f>
        <v>2883.7006557377058</v>
      </c>
      <c r="S114" s="120">
        <f ca="1">IF(Первоначальный[[#This Row],[Просроченный платеж]]&lt;1,0,S113+1)</f>
        <v>10</v>
      </c>
      <c r="T114" s="100" cm="1">
        <f t="array" aca="1" ref="T114" ca="1">IF(Первоначальный[[#This Row],[Итого остаток на начало периода]]&lt;1,0,
IF(
AND(TYPE(VLOOKUP(1,$Z$12:Z114,1,0))=16,Первоначальный[[#This Row],[Досрочное погашение (да/"")]]=""),0,
_xlfn.IFS(AND(S113=0,Первоначальный[[#This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платеж]]&lt;&gt;0),MIN(LOOKUP(,-1/($Z$12:Z114=1),$C$12:C114)+LOOKUP(,-1/($Z$12:Z114=1),$H$12:H114),Первоначальный[[#This Row],[Полученный платеж]]+Y113),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платеж]]+Y113,SUM(Первоначальный[[#This Row],[Остаток процентов на начало периода]],Первоначальный[[#This Row],[Проценты за период]])),
AND(S113=0,Первоначальный[[#This Row],[Дата платежа из графика]]=""),0,
AND(S113=0,Первоначальный[[#This Row],[Дата платежа из графика]]=1,MAX((0&lt;&gt;S$12:S113)*ROW(S$12:S113),ROW($S$12))&gt;=MAX((1=Z$12:Z113)*ROW(Z$12:Z113),ROW($T$12)),TYPE(VLOOKUP("Да",(INDIRECT("AA"&amp;(MAX((1=Z$12:Z113)*ROW(Z$12:Z113),ROW($T$12))&amp;":AA"&amp;(ROW()-1)))),1,0))=16),MIN(LOOKUP(,-1/($Z$12:Z114=1),$C$12:C114)+LOOKUP(,-1/($Z$12:Z114=1),$H$12:H114),Первоначальный[[#This Row],[Полученный платеж]]+Y113),
AND(S113=0,TYPE(VLOOKUP("Да",(INDIRECT("AA"&amp;(MAX((1=Z$12:Z113)*ROW(Z$12:Z113),ROW($T$12))&amp;":AA"&amp;(ROW()-1)))),1,0))&lt;&gt;16),MIN(LOOKUP(,-1/($Z$12:Z114=1),$C$12:C114)+LOOKUP(,-1/($Z$12:Z114=1),$H$12:H114)-IF(AA113="Да",0,SUM(INDIRECT("T"&amp;(MAX(("Да"=AA$12:AA113)*ROW(AA$12:AA113)+1,ROW($T$12))&amp;":T"&amp;(ROW()-1))))),Первоначальный[[#This Row],[Полученный платеж]]+Y113),
AND(S113=0,MAX((0&lt;&gt;N$12:N113)*ROW(N$12:N113),ROW($S$12))&gt;=MAX((1=Z$12:Z113)*ROW(Z$12:Z113),ROW($T$12))),MIN(LOOKUP(,-1/($Z$12:Z114=1),$C$12:C114)+LOOKUP(,-1/($Z$12:Z114=1),$H$12:H114)-IF(N113&lt;&gt;0,0,SUM(INDIRECT("T"&amp;(MAX((0&lt;&gt;N$12:N113)*ROW(N$12:N113)+1,ROW($T$12))&amp;":T"&amp;(ROW()-1))))),Первоначальный[[#This Row],[Полученный платеж]]+Y113),
AND(S113=0,Первоначальный[[#This Row],[Дата платежа из графика]]=1),MIN(LOOKUP(,-1/($Z$12:Z114=1),$C$12:C114)+LOOKUP(,-1/($Z$12:Z114=1),$H$12:H114)-IF(Z113=1,0,SUM(INDIRECT("T"&amp;(MAX((1=Z$12:Z113)*ROW(Z$12:Z113)+1,ROW($T$12))&amp;":T"&amp;(ROW()-1))))),Первоначальный[[#This Row],[Полученный платеж]]+Y113),
AND(Z113&gt;0,Первоначальный[[#This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платеж]]+Y113),
AND(S113&gt;0,MAX((0&lt;&gt;S$12:S113)*ROW(S$12:S113),ROW($S$12))&gt;=MAX((1=Z$12:Z113)*ROW(Z$12:Z113),ROW($T$12)),TYPE(VLOOKUP("Да",(INDIRECT("AA"&amp;(MAX((1=Z$12:Z113)*ROW(Z$12:Z113),ROW($T$12))&amp;":AA"&amp;(ROW()-1)))),1,0))=16),MIN(LOOKUP(,-1/($Z$12:Z114=1),$C$12:C114)+LOOKUP(,-1/($Z$12:Z114=1),$H$12:H114)-SUM(INDIRECT("T"&amp;(MAX((1=Z$12:Z113)*ROW(Z$12:Z113),ROW($T$12))&amp;":T"&amp;(ROW()-1)))),Первоначальный[[#This Row],[Полученный платеж]]+Y113),
S113&gt;0,MIN(LOOKUP(,-1/($Z$12:Z114=1),$C$12:C114)+LOOKUP(,-1/($Z$12:Z114=1),$H$12:H114)-IF(Z113=1,0,SUM(INDIRECT("T"&amp;(MAX((1=Z$12:Z113)*ROW(Z$12:Z113)+1,ROW($T$12))&amp;":T"&amp;(ROW()-1))))),Первоначальный[[#This Row],[Полученный платеж]]+Y113)
)
)
)</f>
        <v>0</v>
      </c>
      <c r="U11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платеж]]+Y113-Первоначальный[[#This Row],[Полученный платёж по процентам]])</f>
        <v>0</v>
      </c>
      <c r="V114" s="55">
        <f t="shared" ca="1" si="13"/>
        <v>0</v>
      </c>
      <c r="W114" s="55" cm="1">
        <f t="array" aca="1" ref="W114" ca="1">IF(Первоначальный[[#This Row],[Итого остаток на начало периода]]&lt;1,0,
_xlfn.IFS(
AND(TYPE(VLOOKUP(1,$Z$12:Z114,1,0))=16,Первоначальный[[#This Row],[Досрочное погашение (да/"")]]=""),0,
AND(S113=0,Первоначальный[[#This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комиссиям]]),VLOOKUP(LOOKUP(,-1/($Z$12:Z114=1),$A$12:A114),График[[Срок конец]:[Возврат основной суммы долга]],3,0)),
AND(S113=0,Первоначальный[[#This Row],[Дата платежа из графика]]="",Первоначальный[[#This Row],[Досрочное погашение (да/"")]]&lt;&gt;"Да"),0,
AND(S113=0,Первоначальный[[#This Row],[Досрочное погашение (да/"")]]=""),MIN(Первоначальный[[#This Row],[Полученный платеж]]+Y113-SUM(Первоначальный[[#This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комиссиям]]),VLOOKUP(LOOKUP(,-1/($Z$12:Z114=1),$A$12:A114),График[[Срок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S113&gt;0,MIN(Первоначальный[[#This Row],[Полученный платеж]]+Y113-SUM(Первоначальный[[#This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комиссиям]]),SUM(INDIRECT("M"&amp;(MAX((1=S$12:S113)*ROW(S$12:S113),ROW($W$12))&amp;":M"&amp;(ROW()))))-SUM(INDIRECT("W"&amp;(MAX((1=S$12:S113)*ROW(S$12:S113),ROW($W$12))&amp;":W"&amp;(ROW()-1)))))
)
)</f>
        <v>0</v>
      </c>
      <c r="X114" s="55">
        <f t="shared" ca="1" si="14"/>
        <v>0</v>
      </c>
      <c r="Y114" s="101">
        <f t="shared" ca="1" si="21"/>
        <v>0</v>
      </c>
      <c r="Z114" s="133" t="str">
        <f>IF(TYPE((VLOOKUP(Первоначальный[[#This Row],[Дата платежа]],График[Срок конец],1,0)))=16,"",1)</f>
        <v/>
      </c>
      <c r="AA114" s="57"/>
      <c r="AB114" s="134"/>
      <c r="AC11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3248.5800000000004</v>
      </c>
      <c r="AE11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1.7999999999999998</v>
      </c>
      <c r="AF11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144.1850327868853</v>
      </c>
      <c r="AH114" s="55"/>
      <c r="AI114" s="55"/>
      <c r="AJ114" s="55"/>
      <c r="AK114" s="101">
        <f t="shared" ca="1" si="22"/>
        <v>153027.90503278686</v>
      </c>
      <c r="AL114" s="129">
        <f t="array" ref="AL114">MAX((УслРестрактов[Характеристика]="Дата реструктуризации")*(УслРестрактов[Значение]=Первоначальный!$A114),0)</f>
        <v>0</v>
      </c>
    </row>
    <row r="115" spans="1:38" x14ac:dyDescent="0.25">
      <c r="A115" s="97">
        <f t="shared" si="15"/>
        <v>44246</v>
      </c>
      <c r="B115" s="100">
        <f t="shared" ca="1" si="16"/>
        <v>149633.34</v>
      </c>
      <c r="C115" s="55">
        <f t="shared" ca="1" si="24"/>
        <v>3248.5800000000004</v>
      </c>
      <c r="D115" s="55">
        <f t="shared" ca="1" si="24"/>
        <v>1.7999999999999998</v>
      </c>
      <c r="E115" s="55">
        <f t="shared" ca="1" si="17"/>
        <v>0</v>
      </c>
      <c r="F115" s="55">
        <f t="shared" ca="1" si="18"/>
        <v>144.1850327868853</v>
      </c>
      <c r="G115" s="101">
        <f t="shared" ca="1" si="19"/>
        <v>153027.90503278686</v>
      </c>
      <c r="H115" s="100">
        <f ca="1">ROUND($B115*VLOOKUP($A115,$A$1:$B$10,2,1)/(365+IF(MOD(YEAR($A115),4),0,1)*($A115-$A114)),2)-Первоначальный[[#This Row],[Проценты на просроченный платеж по ОД за период]]</f>
        <v>81.38</v>
      </c>
      <c r="I115" s="55">
        <f t="shared" ca="1" si="20"/>
        <v>0.2</v>
      </c>
      <c r="J115" s="55">
        <v>0</v>
      </c>
      <c r="K115" s="55">
        <f t="shared" ca="1" si="23"/>
        <v>14.418503278688529</v>
      </c>
      <c r="L115" s="55">
        <v>0</v>
      </c>
      <c r="M115" s="113">
        <f>SUMIFS(График[Возврат основной суммы долга],График[Дата с учетом нерабочих дней],$A115)</f>
        <v>0</v>
      </c>
      <c r="N115" s="56">
        <f>SUMIFS(График[Возврат начисленных %],График[Дата с учетом нерабочих дней],$A115)</f>
        <v>0</v>
      </c>
      <c r="O115" s="101">
        <v>0</v>
      </c>
      <c r="P115" s="100" cm="1">
        <f t="array" aca="1" ref="P115" ca="1">MAX(IF(AA114="Да",0,SUM(INDIRECT("M"&amp;(MAX(("Да"=AA$12:AA114)*ROW(AA$12:AA114)+1,ROW($P$12))&amp;":M"&amp;(ROW()))))-SUM(INDIRECT("W"&amp;(MAX(("Да"=AA$12:AA114)*ROW(AA$12:AA114)+1,ROW($P$12))&amp;":W"&amp;(ROW()))))),0)</f>
        <v>368.03999999999951</v>
      </c>
      <c r="Q115" s="99">
        <f ca="1">MAX(SUM($N$13:N115)-SUM($T$13:T115),0)</f>
        <v>2515.6606557377063</v>
      </c>
      <c r="R115" s="99">
        <f ca="1">Первоначальный[[#This Row],[Просроченный платеж по ОД]]+Первоначальный[[#This Row],[Просроченный платеж по процентам]]</f>
        <v>2883.7006557377058</v>
      </c>
      <c r="S115" s="120">
        <f ca="1">IF(Первоначальный[[#This Row],[Просроченный платеж]]&lt;1,0,S114+1)</f>
        <v>11</v>
      </c>
      <c r="T115" s="100" cm="1">
        <f t="array" aca="1" ref="T115" ca="1">IF(Первоначальный[[#This Row],[Итого остаток на начало периода]]&lt;1,0,
IF(
AND(TYPE(VLOOKUP(1,$Z$12:Z115,1,0))=16,Первоначальный[[#This Row],[Досрочное погашение (да/"")]]=""),0,
_xlfn.IFS(AND(S114=0,Первоначальный[[#This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платеж]]&lt;&gt;0),MIN(LOOKUP(,-1/($Z$12:Z115=1),$C$12:C115)+LOOKUP(,-1/($Z$12:Z115=1),$H$12:H115),Первоначальный[[#This Row],[Полученный платеж]]+Y114),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платеж]]+Y114,SUM(Первоначальный[[#This Row],[Остаток процентов на начало периода]],Первоначальный[[#This Row],[Проценты за период]])),
AND(S114=0,Первоначальный[[#This Row],[Дата платежа из графика]]=""),0,
AND(S114=0,Первоначальный[[#This Row],[Дата платежа из графика]]=1,MAX((0&lt;&gt;S$12:S114)*ROW(S$12:S114),ROW($S$12))&gt;=MAX((1=Z$12:Z114)*ROW(Z$12:Z114),ROW($T$12)),TYPE(VLOOKUP("Да",(INDIRECT("AA"&amp;(MAX((1=Z$12:Z114)*ROW(Z$12:Z114),ROW($T$12))&amp;":AA"&amp;(ROW()-1)))),1,0))=16),MIN(LOOKUP(,-1/($Z$12:Z115=1),$C$12:C115)+LOOKUP(,-1/($Z$12:Z115=1),$H$12:H115),Первоначальный[[#This Row],[Полученный платеж]]+Y114),
AND(S114=0,TYPE(VLOOKUP("Да",(INDIRECT("AA"&amp;(MAX((1=Z$12:Z114)*ROW(Z$12:Z114),ROW($T$12))&amp;":AA"&amp;(ROW()-1)))),1,0))&lt;&gt;16),MIN(LOOKUP(,-1/($Z$12:Z115=1),$C$12:C115)+LOOKUP(,-1/($Z$12:Z115=1),$H$12:H115)-IF(AA114="Да",0,SUM(INDIRECT("T"&amp;(MAX(("Да"=AA$12:AA114)*ROW(AA$12:AA114)+1,ROW($T$12))&amp;":T"&amp;(ROW()-1))))),Первоначальный[[#This Row],[Полученный платеж]]+Y114),
AND(S114=0,MAX((0&lt;&gt;N$12:N114)*ROW(N$12:N114),ROW($S$12))&gt;=MAX((1=Z$12:Z114)*ROW(Z$12:Z114),ROW($T$12))),MIN(LOOKUP(,-1/($Z$12:Z115=1),$C$12:C115)+LOOKUP(,-1/($Z$12:Z115=1),$H$12:H115)-IF(N114&lt;&gt;0,0,SUM(INDIRECT("T"&amp;(MAX((0&lt;&gt;N$12:N114)*ROW(N$12:N114)+1,ROW($T$12))&amp;":T"&amp;(ROW()-1))))),Первоначальный[[#This Row],[Полученный платеж]]+Y114),
AND(S114=0,Первоначальный[[#This Row],[Дата платежа из графика]]=1),MIN(LOOKUP(,-1/($Z$12:Z115=1),$C$12:C115)+LOOKUP(,-1/($Z$12:Z115=1),$H$12:H115)-IF(Z114=1,0,SUM(INDIRECT("T"&amp;(MAX((1=Z$12:Z114)*ROW(Z$12:Z114)+1,ROW($T$12))&amp;":T"&amp;(ROW()-1))))),Первоначальный[[#This Row],[Полученный платеж]]+Y114),
AND(Z114&gt;0,Первоначальный[[#This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платеж]]+Y114),
AND(S114&gt;0,MAX((0&lt;&gt;S$12:S114)*ROW(S$12:S114),ROW($S$12))&gt;=MAX((1=Z$12:Z114)*ROW(Z$12:Z114),ROW($T$12)),TYPE(VLOOKUP("Да",(INDIRECT("AA"&amp;(MAX((1=Z$12:Z114)*ROW(Z$12:Z114),ROW($T$12))&amp;":AA"&amp;(ROW()-1)))),1,0))=16),MIN(LOOKUP(,-1/($Z$12:Z115=1),$C$12:C115)+LOOKUP(,-1/($Z$12:Z115=1),$H$12:H115)-SUM(INDIRECT("T"&amp;(MAX((1=Z$12:Z114)*ROW(Z$12:Z114),ROW($T$12))&amp;":T"&amp;(ROW()-1)))),Первоначальный[[#This Row],[Полученный платеж]]+Y114),
S114&gt;0,MIN(LOOKUP(,-1/($Z$12:Z115=1),$C$12:C115)+LOOKUP(,-1/($Z$12:Z115=1),$H$12:H115)-IF(Z114=1,0,SUM(INDIRECT("T"&amp;(MAX((1=Z$12:Z114)*ROW(Z$12:Z114)+1,ROW($T$12))&amp;":T"&amp;(ROW()-1))))),Первоначальный[[#This Row],[Полученный платеж]]+Y114)
)
)
)</f>
        <v>0</v>
      </c>
      <c r="U11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платеж]]+Y114-Первоначальный[[#This Row],[Полученный платёж по процентам]])</f>
        <v>0</v>
      </c>
      <c r="V115" s="55">
        <f t="shared" ca="1" si="13"/>
        <v>0</v>
      </c>
      <c r="W115" s="55" cm="1">
        <f t="array" aca="1" ref="W115" ca="1">IF(Первоначальный[[#This Row],[Итого остаток на начало периода]]&lt;1,0,
_xlfn.IFS(
AND(TYPE(VLOOKUP(1,$Z$12:Z115,1,0))=16,Первоначальный[[#This Row],[Досрочное погашение (да/"")]]=""),0,
AND(S114=0,Первоначальный[[#This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комиссиям]]),VLOOKUP(LOOKUP(,-1/($Z$12:Z115=1),$A$12:A115),График[[Срок конец]:[Возврат основной суммы долга]],3,0)),
AND(S114=0,Первоначальный[[#This Row],[Дата платежа из графика]]="",Первоначальный[[#This Row],[Досрочное погашение (да/"")]]&lt;&gt;"Да"),0,
AND(S114=0,Первоначальный[[#This Row],[Досрочное погашение (да/"")]]=""),MIN(Первоначальный[[#This Row],[Полученный платеж]]+Y114-SUM(Первоначальный[[#This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комиссиям]]),VLOOKUP(LOOKUP(,-1/($Z$12:Z115=1),$A$12:A115),График[[Срок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S114&gt;0,MIN(Первоначальный[[#This Row],[Полученный платеж]]+Y114-SUM(Первоначальный[[#This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комиссиям]]),SUM(INDIRECT("M"&amp;(MAX((1=S$12:S114)*ROW(S$12:S114),ROW($W$12))&amp;":M"&amp;(ROW()))))-SUM(INDIRECT("W"&amp;(MAX((1=S$12:S114)*ROW(S$12:S114),ROW($W$12))&amp;":W"&amp;(ROW()-1)))))
)
)</f>
        <v>0</v>
      </c>
      <c r="X115" s="55">
        <f t="shared" ca="1" si="14"/>
        <v>0</v>
      </c>
      <c r="Y115" s="101">
        <f t="shared" ca="1" si="21"/>
        <v>0</v>
      </c>
      <c r="Z115" s="133" t="str">
        <f>IF(TYPE((VLOOKUP(Первоначальный[[#This Row],[Дата платежа]],График[Срок конец],1,0)))=16,"",1)</f>
        <v/>
      </c>
      <c r="AA115" s="57"/>
      <c r="AB115" s="134"/>
      <c r="AC11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3329.9600000000005</v>
      </c>
      <c r="AE11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1.9999999999999998</v>
      </c>
      <c r="AF11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158.60353606557382</v>
      </c>
      <c r="AH115" s="55"/>
      <c r="AI115" s="55"/>
      <c r="AJ115" s="55"/>
      <c r="AK115" s="101">
        <f t="shared" ca="1" si="22"/>
        <v>153123.90353606557</v>
      </c>
      <c r="AL115" s="129">
        <f t="array" ref="AL115">MAX((УслРестрактов[Характеристика]="Дата реструктуризации")*(УслРестрактов[Значение]=Первоначальный!$A115),0)</f>
        <v>0</v>
      </c>
    </row>
    <row r="116" spans="1:38" x14ac:dyDescent="0.25">
      <c r="A116" s="97">
        <f t="shared" si="15"/>
        <v>44247</v>
      </c>
      <c r="B116" s="100">
        <f t="shared" ca="1" si="16"/>
        <v>149633.34</v>
      </c>
      <c r="C116" s="55">
        <f t="shared" ca="1" si="24"/>
        <v>3329.9600000000005</v>
      </c>
      <c r="D116" s="55">
        <f t="shared" ca="1" si="24"/>
        <v>1.9999999999999998</v>
      </c>
      <c r="E116" s="55">
        <f t="shared" ca="1" si="17"/>
        <v>0</v>
      </c>
      <c r="F116" s="55">
        <f t="shared" ca="1" si="18"/>
        <v>158.60353606557382</v>
      </c>
      <c r="G116" s="101">
        <f t="shared" ca="1" si="19"/>
        <v>153123.90353606557</v>
      </c>
      <c r="H116" s="100">
        <f ca="1">ROUND($B116*VLOOKUP($A116,$A$1:$B$10,2,1)/(365+IF(MOD(YEAR($A116),4),0,1)*($A116-$A115)),2)-Первоначальный[[#This Row],[Проценты на просроченный платеж по ОД за период]]</f>
        <v>81.38</v>
      </c>
      <c r="I116" s="55">
        <f t="shared" ca="1" si="20"/>
        <v>0.2</v>
      </c>
      <c r="J116" s="55">
        <v>0</v>
      </c>
      <c r="K116" s="55">
        <f t="shared" ca="1" si="23"/>
        <v>14.418503278688529</v>
      </c>
      <c r="L116" s="55">
        <v>0</v>
      </c>
      <c r="M116" s="113">
        <f>SUMIFS(График[Возврат основной суммы долга],График[Дата с учетом нерабочих дней],$A116)</f>
        <v>0</v>
      </c>
      <c r="N116" s="56">
        <f>SUMIFS(График[Возврат начисленных %],График[Дата с учетом нерабочих дней],$A116)</f>
        <v>0</v>
      </c>
      <c r="O116" s="101">
        <v>0</v>
      </c>
      <c r="P116" s="100" cm="1">
        <f t="array" aca="1" ref="P116" ca="1">MAX(IF(AA115="Да",0,SUM(INDIRECT("M"&amp;(MAX(("Да"=AA$12:AA115)*ROW(AA$12:AA115)+1,ROW($P$12))&amp;":M"&amp;(ROW()))))-SUM(INDIRECT("W"&amp;(MAX(("Да"=AA$12:AA115)*ROW(AA$12:AA115)+1,ROW($P$12))&amp;":W"&amp;(ROW()))))),0)</f>
        <v>368.03999999999951</v>
      </c>
      <c r="Q116" s="99">
        <f ca="1">MAX(SUM($N$13:N116)-SUM($T$13:T116),0)</f>
        <v>2515.6606557377063</v>
      </c>
      <c r="R116" s="99">
        <f ca="1">Первоначальный[[#This Row],[Просроченный платеж по ОД]]+Первоначальный[[#This Row],[Просроченный платеж по процентам]]</f>
        <v>2883.7006557377058</v>
      </c>
      <c r="S116" s="120">
        <f ca="1">IF(Первоначальный[[#This Row],[Просроченный платеж]]&lt;1,0,S115+1)</f>
        <v>12</v>
      </c>
      <c r="T116" s="100" cm="1">
        <f t="array" aca="1" ref="T116" ca="1">IF(Первоначальный[[#This Row],[Итого остаток на начало периода]]&lt;1,0,
IF(
AND(TYPE(VLOOKUP(1,$Z$12:Z116,1,0))=16,Первоначальный[[#This Row],[Досрочное погашение (да/"")]]=""),0,
_xlfn.IFS(AND(S115=0,Первоначальный[[#This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платеж]]&lt;&gt;0),MIN(LOOKUP(,-1/($Z$12:Z116=1),$C$12:C116)+LOOKUP(,-1/($Z$12:Z116=1),$H$12:H116),Первоначальный[[#This Row],[Полученный платеж]]+Y115),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платеж]]+Y115,SUM(Первоначальный[[#This Row],[Остаток процентов на начало периода]],Первоначальный[[#This Row],[Проценты за период]])),
AND(S115=0,Первоначальный[[#This Row],[Дата платежа из графика]]=""),0,
AND(S115=0,Первоначальный[[#This Row],[Дата платежа из графика]]=1,MAX((0&lt;&gt;S$12:S115)*ROW(S$12:S115),ROW($S$12))&gt;=MAX((1=Z$12:Z115)*ROW(Z$12:Z115),ROW($T$12)),TYPE(VLOOKUP("Да",(INDIRECT("AA"&amp;(MAX((1=Z$12:Z115)*ROW(Z$12:Z115),ROW($T$12))&amp;":AA"&amp;(ROW()-1)))),1,0))=16),MIN(LOOKUP(,-1/($Z$12:Z116=1),$C$12:C116)+LOOKUP(,-1/($Z$12:Z116=1),$H$12:H116),Первоначальный[[#This Row],[Полученный платеж]]+Y115),
AND(S115=0,TYPE(VLOOKUP("Да",(INDIRECT("AA"&amp;(MAX((1=Z$12:Z115)*ROW(Z$12:Z115),ROW($T$12))&amp;":AA"&amp;(ROW()-1)))),1,0))&lt;&gt;16),MIN(LOOKUP(,-1/($Z$12:Z116=1),$C$12:C116)+LOOKUP(,-1/($Z$12:Z116=1),$H$12:H116)-IF(AA115="Да",0,SUM(INDIRECT("T"&amp;(MAX(("Да"=AA$12:AA115)*ROW(AA$12:AA115)+1,ROW($T$12))&amp;":T"&amp;(ROW()-1))))),Первоначальный[[#This Row],[Полученный платеж]]+Y115),
AND(S115=0,MAX((0&lt;&gt;N$12:N115)*ROW(N$12:N115),ROW($S$12))&gt;=MAX((1=Z$12:Z115)*ROW(Z$12:Z115),ROW($T$12))),MIN(LOOKUP(,-1/($Z$12:Z116=1),$C$12:C116)+LOOKUP(,-1/($Z$12:Z116=1),$H$12:H116)-IF(N115&lt;&gt;0,0,SUM(INDIRECT("T"&amp;(MAX((0&lt;&gt;N$12:N115)*ROW(N$12:N115)+1,ROW($T$12))&amp;":T"&amp;(ROW()-1))))),Первоначальный[[#This Row],[Полученный платеж]]+Y115),
AND(S115=0,Первоначальный[[#This Row],[Дата платежа из графика]]=1),MIN(LOOKUP(,-1/($Z$12:Z116=1),$C$12:C116)+LOOKUP(,-1/($Z$12:Z116=1),$H$12:H116)-IF(Z115=1,0,SUM(INDIRECT("T"&amp;(MAX((1=Z$12:Z115)*ROW(Z$12:Z115)+1,ROW($T$12))&amp;":T"&amp;(ROW()-1))))),Первоначальный[[#This Row],[Полученный платеж]]+Y115),
AND(Z115&gt;0,Первоначальный[[#This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платеж]]+Y115),
AND(S115&gt;0,MAX((0&lt;&gt;S$12:S115)*ROW(S$12:S115),ROW($S$12))&gt;=MAX((1=Z$12:Z115)*ROW(Z$12:Z115),ROW($T$12)),TYPE(VLOOKUP("Да",(INDIRECT("AA"&amp;(MAX((1=Z$12:Z115)*ROW(Z$12:Z115),ROW($T$12))&amp;":AA"&amp;(ROW()-1)))),1,0))=16),MIN(LOOKUP(,-1/($Z$12:Z116=1),$C$12:C116)+LOOKUP(,-1/($Z$12:Z116=1),$H$12:H116)-SUM(INDIRECT("T"&amp;(MAX((1=Z$12:Z115)*ROW(Z$12:Z115),ROW($T$12))&amp;":T"&amp;(ROW()-1)))),Первоначальный[[#This Row],[Полученный платеж]]+Y115),
S115&gt;0,MIN(LOOKUP(,-1/($Z$12:Z116=1),$C$12:C116)+LOOKUP(,-1/($Z$12:Z116=1),$H$12:H116)-IF(Z115=1,0,SUM(INDIRECT("T"&amp;(MAX((1=Z$12:Z115)*ROW(Z$12:Z115)+1,ROW($T$12))&amp;":T"&amp;(ROW()-1))))),Первоначальный[[#This Row],[Полученный платеж]]+Y115)
)
)
)</f>
        <v>0</v>
      </c>
      <c r="U11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платеж]]+Y115-Первоначальный[[#This Row],[Полученный платёж по процентам]])</f>
        <v>0</v>
      </c>
      <c r="V116" s="55">
        <f t="shared" ca="1" si="13"/>
        <v>0</v>
      </c>
      <c r="W116" s="55" cm="1">
        <f t="array" aca="1" ref="W116" ca="1">IF(Первоначальный[[#This Row],[Итого остаток на начало периода]]&lt;1,0,
_xlfn.IFS(
AND(TYPE(VLOOKUP(1,$Z$12:Z116,1,0))=16,Первоначальный[[#This Row],[Досрочное погашение (да/"")]]=""),0,
AND(S115=0,Первоначальный[[#This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комиссиям]]),VLOOKUP(LOOKUP(,-1/($Z$12:Z116=1),$A$12:A116),График[[Срок конец]:[Возврат основной суммы долга]],3,0)),
AND(S115=0,Первоначальный[[#This Row],[Дата платежа из графика]]="",Первоначальный[[#This Row],[Досрочное погашение (да/"")]]&lt;&gt;"Да"),0,
AND(S115=0,Первоначальный[[#This Row],[Досрочное погашение (да/"")]]=""),MIN(Первоначальный[[#This Row],[Полученный платеж]]+Y115-SUM(Первоначальный[[#This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комиссиям]]),VLOOKUP(LOOKUP(,-1/($Z$12:Z116=1),$A$12:A116),График[[Срок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S115&gt;0,MIN(Первоначальный[[#This Row],[Полученный платеж]]+Y115-SUM(Первоначальный[[#This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комиссиям]]),SUM(INDIRECT("M"&amp;(MAX((1=S$12:S115)*ROW(S$12:S115),ROW($W$12))&amp;":M"&amp;(ROW()))))-SUM(INDIRECT("W"&amp;(MAX((1=S$12:S115)*ROW(S$12:S115),ROW($W$12))&amp;":W"&amp;(ROW()-1)))))
)
)</f>
        <v>0</v>
      </c>
      <c r="X116" s="55">
        <f t="shared" ca="1" si="14"/>
        <v>0</v>
      </c>
      <c r="Y116" s="101">
        <f t="shared" ca="1" si="21"/>
        <v>0</v>
      </c>
      <c r="Z116" s="133" t="str">
        <f>IF(TYPE((VLOOKUP(Первоначальный[[#This Row],[Дата платежа]],График[Срок конец],1,0)))=16,"",1)</f>
        <v/>
      </c>
      <c r="AA116" s="57"/>
      <c r="AB116" s="134"/>
      <c r="AC11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3411.3400000000006</v>
      </c>
      <c r="AE11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2.1999999999999997</v>
      </c>
      <c r="AF11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173.02203934426234</v>
      </c>
      <c r="AH116" s="55"/>
      <c r="AI116" s="55"/>
      <c r="AJ116" s="55"/>
      <c r="AK116" s="101">
        <f t="shared" ca="1" si="22"/>
        <v>153219.90203934428</v>
      </c>
      <c r="AL116" s="129">
        <f t="array" ref="AL116">MAX((УслРестрактов[Характеристика]="Дата реструктуризации")*(УслРестрактов[Значение]=Первоначальный!$A116),0)</f>
        <v>0</v>
      </c>
    </row>
    <row r="117" spans="1:38" x14ac:dyDescent="0.25">
      <c r="A117" s="97">
        <f t="shared" si="15"/>
        <v>44248</v>
      </c>
      <c r="B117" s="100">
        <f t="shared" ca="1" si="16"/>
        <v>149633.34</v>
      </c>
      <c r="C117" s="55">
        <f t="shared" ca="1" si="24"/>
        <v>3411.3400000000006</v>
      </c>
      <c r="D117" s="55">
        <f t="shared" ca="1" si="24"/>
        <v>2.1999999999999997</v>
      </c>
      <c r="E117" s="55">
        <f t="shared" ca="1" si="17"/>
        <v>0</v>
      </c>
      <c r="F117" s="55">
        <f t="shared" ca="1" si="18"/>
        <v>173.02203934426234</v>
      </c>
      <c r="G117" s="101">
        <f t="shared" ca="1" si="19"/>
        <v>153219.90203934428</v>
      </c>
      <c r="H117" s="100">
        <f ca="1">ROUND($B117*VLOOKUP($A117,$A$1:$B$10,2,1)/(365+IF(MOD(YEAR($A117),4),0,1)*($A117-$A116)),2)-Первоначальный[[#This Row],[Проценты на просроченный платеж по ОД за период]]</f>
        <v>81.38</v>
      </c>
      <c r="I117" s="55">
        <f t="shared" ca="1" si="20"/>
        <v>0.2</v>
      </c>
      <c r="J117" s="55">
        <v>0</v>
      </c>
      <c r="K117" s="55">
        <f t="shared" ca="1" si="23"/>
        <v>14.418503278688529</v>
      </c>
      <c r="L117" s="55">
        <v>0</v>
      </c>
      <c r="M117" s="113">
        <f>SUMIFS(График[Возврат основной суммы долга],График[Дата с учетом нерабочих дней],$A117)</f>
        <v>0</v>
      </c>
      <c r="N117" s="56">
        <f>SUMIFS(График[Возврат начисленных %],График[Дата с учетом нерабочих дней],$A117)</f>
        <v>0</v>
      </c>
      <c r="O117" s="101">
        <v>0</v>
      </c>
      <c r="P117" s="100" cm="1">
        <f t="array" aca="1" ref="P117" ca="1">MAX(IF(AA116="Да",0,SUM(INDIRECT("M"&amp;(MAX(("Да"=AA$12:AA116)*ROW(AA$12:AA116)+1,ROW($P$12))&amp;":M"&amp;(ROW()))))-SUM(INDIRECT("W"&amp;(MAX(("Да"=AA$12:AA116)*ROW(AA$12:AA116)+1,ROW($P$12))&amp;":W"&amp;(ROW()))))),0)</f>
        <v>368.03999999999951</v>
      </c>
      <c r="Q117" s="99">
        <f ca="1">MAX(SUM($N$13:N117)-SUM($T$13:T117),0)</f>
        <v>2515.6606557377063</v>
      </c>
      <c r="R117" s="99">
        <f ca="1">Первоначальный[[#This Row],[Просроченный платеж по ОД]]+Первоначальный[[#This Row],[Просроченный платеж по процентам]]</f>
        <v>2883.7006557377058</v>
      </c>
      <c r="S117" s="120">
        <f ca="1">IF(Первоначальный[[#This Row],[Просроченный платеж]]&lt;1,0,S116+1)</f>
        <v>13</v>
      </c>
      <c r="T117" s="100" cm="1">
        <f t="array" aca="1" ref="T117" ca="1">IF(Первоначальный[[#This Row],[Итого остаток на начало периода]]&lt;1,0,
IF(
AND(TYPE(VLOOKUP(1,$Z$12:Z117,1,0))=16,Первоначальный[[#This Row],[Досрочное погашение (да/"")]]=""),0,
_xlfn.IFS(AND(S116=0,Первоначальный[[#This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платеж]]&lt;&gt;0),MIN(LOOKUP(,-1/($Z$12:Z117=1),$C$12:C117)+LOOKUP(,-1/($Z$12:Z117=1),$H$12:H117),Первоначальный[[#This Row],[Полученный платеж]]+Y116),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платеж]]+Y116,SUM(Первоначальный[[#This Row],[Остаток процентов на начало периода]],Первоначальный[[#This Row],[Проценты за период]])),
AND(S116=0,Первоначальный[[#This Row],[Дата платежа из графика]]=""),0,
AND(S116=0,Первоначальный[[#This Row],[Дата платежа из графика]]=1,MAX((0&lt;&gt;S$12:S116)*ROW(S$12:S116),ROW($S$12))&gt;=MAX((1=Z$12:Z116)*ROW(Z$12:Z116),ROW($T$12)),TYPE(VLOOKUP("Да",(INDIRECT("AA"&amp;(MAX((1=Z$12:Z116)*ROW(Z$12:Z116),ROW($T$12))&amp;":AA"&amp;(ROW()-1)))),1,0))=16),MIN(LOOKUP(,-1/($Z$12:Z117=1),$C$12:C117)+LOOKUP(,-1/($Z$12:Z117=1),$H$12:H117),Первоначальный[[#This Row],[Полученный платеж]]+Y116),
AND(S116=0,TYPE(VLOOKUP("Да",(INDIRECT("AA"&amp;(MAX((1=Z$12:Z116)*ROW(Z$12:Z116),ROW($T$12))&amp;":AA"&amp;(ROW()-1)))),1,0))&lt;&gt;16),MIN(LOOKUP(,-1/($Z$12:Z117=1),$C$12:C117)+LOOKUP(,-1/($Z$12:Z117=1),$H$12:H117)-IF(AA116="Да",0,SUM(INDIRECT("T"&amp;(MAX(("Да"=AA$12:AA116)*ROW(AA$12:AA116)+1,ROW($T$12))&amp;":T"&amp;(ROW()-1))))),Первоначальный[[#This Row],[Полученный платеж]]+Y116),
AND(S116=0,MAX((0&lt;&gt;N$12:N116)*ROW(N$12:N116),ROW($S$12))&gt;=MAX((1=Z$12:Z116)*ROW(Z$12:Z116),ROW($T$12))),MIN(LOOKUP(,-1/($Z$12:Z117=1),$C$12:C117)+LOOKUP(,-1/($Z$12:Z117=1),$H$12:H117)-IF(N116&lt;&gt;0,0,SUM(INDIRECT("T"&amp;(MAX((0&lt;&gt;N$12:N116)*ROW(N$12:N116)+1,ROW($T$12))&amp;":T"&amp;(ROW()-1))))),Первоначальный[[#This Row],[Полученный платеж]]+Y116),
AND(S116=0,Первоначальный[[#This Row],[Дата платежа из графика]]=1),MIN(LOOKUP(,-1/($Z$12:Z117=1),$C$12:C117)+LOOKUP(,-1/($Z$12:Z117=1),$H$12:H117)-IF(Z116=1,0,SUM(INDIRECT("T"&amp;(MAX((1=Z$12:Z116)*ROW(Z$12:Z116)+1,ROW($T$12))&amp;":T"&amp;(ROW()-1))))),Первоначальный[[#This Row],[Полученный платеж]]+Y116),
AND(Z116&gt;0,Первоначальный[[#This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платеж]]+Y116),
AND(S116&gt;0,MAX((0&lt;&gt;S$12:S116)*ROW(S$12:S116),ROW($S$12))&gt;=MAX((1=Z$12:Z116)*ROW(Z$12:Z116),ROW($T$12)),TYPE(VLOOKUP("Да",(INDIRECT("AA"&amp;(MAX((1=Z$12:Z116)*ROW(Z$12:Z116),ROW($T$12))&amp;":AA"&amp;(ROW()-1)))),1,0))=16),MIN(LOOKUP(,-1/($Z$12:Z117=1),$C$12:C117)+LOOKUP(,-1/($Z$12:Z117=1),$H$12:H117)-SUM(INDIRECT("T"&amp;(MAX((1=Z$12:Z116)*ROW(Z$12:Z116),ROW($T$12))&amp;":T"&amp;(ROW()-1)))),Первоначальный[[#This Row],[Полученный платеж]]+Y116),
S116&gt;0,MIN(LOOKUP(,-1/($Z$12:Z117=1),$C$12:C117)+LOOKUP(,-1/($Z$12:Z117=1),$H$12:H117)-IF(Z116=1,0,SUM(INDIRECT("T"&amp;(MAX((1=Z$12:Z116)*ROW(Z$12:Z116)+1,ROW($T$12))&amp;":T"&amp;(ROW()-1))))),Первоначальный[[#This Row],[Полученный платеж]]+Y116)
)
)
)</f>
        <v>0</v>
      </c>
      <c r="U11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платеж]]+Y116-Первоначальный[[#This Row],[Полученный платёж по процентам]])</f>
        <v>0</v>
      </c>
      <c r="V117" s="55">
        <f t="shared" ca="1" si="13"/>
        <v>0</v>
      </c>
      <c r="W117" s="55" cm="1">
        <f t="array" aca="1" ref="W117" ca="1">IF(Первоначальный[[#This Row],[Итого остаток на начало периода]]&lt;1,0,
_xlfn.IFS(
AND(TYPE(VLOOKUP(1,$Z$12:Z117,1,0))=16,Первоначальный[[#This Row],[Досрочное погашение (да/"")]]=""),0,
AND(S116=0,Первоначальный[[#This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комиссиям]]),VLOOKUP(LOOKUP(,-1/($Z$12:Z117=1),$A$12:A117),График[[Срок конец]:[Возврат основной суммы долга]],3,0)),
AND(S116=0,Первоначальный[[#This Row],[Дата платежа из графика]]="",Первоначальный[[#This Row],[Досрочное погашение (да/"")]]&lt;&gt;"Да"),0,
AND(S116=0,Первоначальный[[#This Row],[Досрочное погашение (да/"")]]=""),MIN(Первоначальный[[#This Row],[Полученный платеж]]+Y116-SUM(Первоначальный[[#This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комиссиям]]),VLOOKUP(LOOKUP(,-1/($Z$12:Z117=1),$A$12:A117),График[[Срок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S116&gt;0,MIN(Первоначальный[[#This Row],[Полученный платеж]]+Y116-SUM(Первоначальный[[#This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комиссиям]]),SUM(INDIRECT("M"&amp;(MAX((1=S$12:S116)*ROW(S$12:S116),ROW($W$12))&amp;":M"&amp;(ROW()))))-SUM(INDIRECT("W"&amp;(MAX((1=S$12:S116)*ROW(S$12:S116),ROW($W$12))&amp;":W"&amp;(ROW()-1)))))
)
)</f>
        <v>0</v>
      </c>
      <c r="X117" s="55">
        <f t="shared" ca="1" si="14"/>
        <v>0</v>
      </c>
      <c r="Y117" s="101">
        <f t="shared" ca="1" si="21"/>
        <v>0</v>
      </c>
      <c r="Z117" s="133" t="str">
        <f>IF(TYPE((VLOOKUP(Первоначальный[[#This Row],[Дата платежа]],График[Срок конец],1,0)))=16,"",1)</f>
        <v/>
      </c>
      <c r="AA117" s="57"/>
      <c r="AB117" s="134"/>
      <c r="AC11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3492.7200000000007</v>
      </c>
      <c r="AE11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2.4</v>
      </c>
      <c r="AF11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187.44054262295086</v>
      </c>
      <c r="AH117" s="55"/>
      <c r="AI117" s="55"/>
      <c r="AJ117" s="55"/>
      <c r="AK117" s="101">
        <f t="shared" ca="1" si="22"/>
        <v>153315.90054262296</v>
      </c>
      <c r="AL117" s="129">
        <f t="array" ref="AL117">MAX((УслРестрактов[Характеристика]="Дата реструктуризации")*(УслРестрактов[Значение]=Первоначальный!$A117),0)</f>
        <v>0</v>
      </c>
    </row>
    <row r="118" spans="1:38" x14ac:dyDescent="0.25">
      <c r="A118" s="97">
        <f t="shared" si="15"/>
        <v>44249</v>
      </c>
      <c r="B118" s="100">
        <f t="shared" ca="1" si="16"/>
        <v>149633.34</v>
      </c>
      <c r="C118" s="55">
        <f t="shared" ca="1" si="24"/>
        <v>3492.7200000000007</v>
      </c>
      <c r="D118" s="55">
        <f t="shared" ca="1" si="24"/>
        <v>2.4</v>
      </c>
      <c r="E118" s="55">
        <f t="shared" ca="1" si="17"/>
        <v>0</v>
      </c>
      <c r="F118" s="55">
        <f t="shared" ca="1" si="18"/>
        <v>187.44054262295086</v>
      </c>
      <c r="G118" s="101">
        <f t="shared" ca="1" si="19"/>
        <v>153315.90054262296</v>
      </c>
      <c r="H118" s="100">
        <f ca="1">ROUND($B118*VLOOKUP($A118,$A$1:$B$10,2,1)/(365+IF(MOD(YEAR($A118),4),0,1)*($A118-$A117)),2)-Первоначальный[[#This Row],[Проценты на просроченный платеж по ОД за период]]</f>
        <v>81.38</v>
      </c>
      <c r="I118" s="55">
        <f t="shared" ca="1" si="20"/>
        <v>0.2</v>
      </c>
      <c r="J118" s="55">
        <v>0</v>
      </c>
      <c r="K118" s="55">
        <f t="shared" ca="1" si="23"/>
        <v>14.418503278688529</v>
      </c>
      <c r="L118" s="55">
        <v>0</v>
      </c>
      <c r="M118" s="113">
        <f>SUMIFS(График[Возврат основной суммы долга],График[Дата с учетом нерабочих дней],$A118)</f>
        <v>0</v>
      </c>
      <c r="N118" s="56">
        <f>SUMIFS(График[Возврат начисленных %],График[Дата с учетом нерабочих дней],$A118)</f>
        <v>0</v>
      </c>
      <c r="O118" s="101">
        <v>0</v>
      </c>
      <c r="P118" s="100" cm="1">
        <f t="array" aca="1" ref="P118" ca="1">MAX(IF(AA117="Да",0,SUM(INDIRECT("M"&amp;(MAX(("Да"=AA$12:AA117)*ROW(AA$12:AA117)+1,ROW($P$12))&amp;":M"&amp;(ROW()))))-SUM(INDIRECT("W"&amp;(MAX(("Да"=AA$12:AA117)*ROW(AA$12:AA117)+1,ROW($P$12))&amp;":W"&amp;(ROW()))))),0)</f>
        <v>368.03999999999951</v>
      </c>
      <c r="Q118" s="99">
        <f ca="1">MAX(SUM($N$13:N118)-SUM($T$13:T118),0)</f>
        <v>2515.6606557377063</v>
      </c>
      <c r="R118" s="99">
        <f ca="1">Первоначальный[[#This Row],[Просроченный платеж по ОД]]+Первоначальный[[#This Row],[Просроченный платеж по процентам]]</f>
        <v>2883.7006557377058</v>
      </c>
      <c r="S118" s="120">
        <f ca="1">IF(Первоначальный[[#This Row],[Просроченный платеж]]&lt;1,0,S117+1)</f>
        <v>14</v>
      </c>
      <c r="T118" s="100" cm="1">
        <f t="array" aca="1" ref="T118" ca="1">IF(Первоначальный[[#This Row],[Итого остаток на начало периода]]&lt;1,0,
IF(
AND(TYPE(VLOOKUP(1,$Z$12:Z118,1,0))=16,Первоначальный[[#This Row],[Досрочное погашение (да/"")]]=""),0,
_xlfn.IFS(AND(S117=0,Первоначальный[[#This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платеж]]&lt;&gt;0),MIN(LOOKUP(,-1/($Z$12:Z118=1),$C$12:C118)+LOOKUP(,-1/($Z$12:Z118=1),$H$12:H118),Первоначальный[[#This Row],[Полученный платеж]]+Y117),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платеж]]+Y117,SUM(Первоначальный[[#This Row],[Остаток процентов на начало периода]],Первоначальный[[#This Row],[Проценты за период]])),
AND(S117=0,Первоначальный[[#This Row],[Дата платежа из графика]]=""),0,
AND(S117=0,Первоначальный[[#This Row],[Дата платежа из графика]]=1,MAX((0&lt;&gt;S$12:S117)*ROW(S$12:S117),ROW($S$12))&gt;=MAX((1=Z$12:Z117)*ROW(Z$12:Z117),ROW($T$12)),TYPE(VLOOKUP("Да",(INDIRECT("AA"&amp;(MAX((1=Z$12:Z117)*ROW(Z$12:Z117),ROW($T$12))&amp;":AA"&amp;(ROW()-1)))),1,0))=16),MIN(LOOKUP(,-1/($Z$12:Z118=1),$C$12:C118)+LOOKUP(,-1/($Z$12:Z118=1),$H$12:H118),Первоначальный[[#This Row],[Полученный платеж]]+Y117),
AND(S117=0,TYPE(VLOOKUP("Да",(INDIRECT("AA"&amp;(MAX((1=Z$12:Z117)*ROW(Z$12:Z117),ROW($T$12))&amp;":AA"&amp;(ROW()-1)))),1,0))&lt;&gt;16),MIN(LOOKUP(,-1/($Z$12:Z118=1),$C$12:C118)+LOOKUP(,-1/($Z$12:Z118=1),$H$12:H118)-IF(AA117="Да",0,SUM(INDIRECT("T"&amp;(MAX(("Да"=AA$12:AA117)*ROW(AA$12:AA117)+1,ROW($T$12))&amp;":T"&amp;(ROW()-1))))),Первоначальный[[#This Row],[Полученный платеж]]+Y117),
AND(S117=0,MAX((0&lt;&gt;N$12:N117)*ROW(N$12:N117),ROW($S$12))&gt;=MAX((1=Z$12:Z117)*ROW(Z$12:Z117),ROW($T$12))),MIN(LOOKUP(,-1/($Z$12:Z118=1),$C$12:C118)+LOOKUP(,-1/($Z$12:Z118=1),$H$12:H118)-IF(N117&lt;&gt;0,0,SUM(INDIRECT("T"&amp;(MAX((0&lt;&gt;N$12:N117)*ROW(N$12:N117)+1,ROW($T$12))&amp;":T"&amp;(ROW()-1))))),Первоначальный[[#This Row],[Полученный платеж]]+Y117),
AND(S117=0,Первоначальный[[#This Row],[Дата платежа из графика]]=1),MIN(LOOKUP(,-1/($Z$12:Z118=1),$C$12:C118)+LOOKUP(,-1/($Z$12:Z118=1),$H$12:H118)-IF(Z117=1,0,SUM(INDIRECT("T"&amp;(MAX((1=Z$12:Z117)*ROW(Z$12:Z117)+1,ROW($T$12))&amp;":T"&amp;(ROW()-1))))),Первоначальный[[#This Row],[Полученный платеж]]+Y117),
AND(Z117&gt;0,Первоначальный[[#This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платеж]]+Y117),
AND(S117&gt;0,MAX((0&lt;&gt;S$12:S117)*ROW(S$12:S117),ROW($S$12))&gt;=MAX((1=Z$12:Z117)*ROW(Z$12:Z117),ROW($T$12)),TYPE(VLOOKUP("Да",(INDIRECT("AA"&amp;(MAX((1=Z$12:Z117)*ROW(Z$12:Z117),ROW($T$12))&amp;":AA"&amp;(ROW()-1)))),1,0))=16),MIN(LOOKUP(,-1/($Z$12:Z118=1),$C$12:C118)+LOOKUP(,-1/($Z$12:Z118=1),$H$12:H118)-SUM(INDIRECT("T"&amp;(MAX((1=Z$12:Z117)*ROW(Z$12:Z117),ROW($T$12))&amp;":T"&amp;(ROW()-1)))),Первоначальный[[#This Row],[Полученный платеж]]+Y117),
S117&gt;0,MIN(LOOKUP(,-1/($Z$12:Z118=1),$C$12:C118)+LOOKUP(,-1/($Z$12:Z118=1),$H$12:H118)-IF(Z117=1,0,SUM(INDIRECT("T"&amp;(MAX((1=Z$12:Z117)*ROW(Z$12:Z117)+1,ROW($T$12))&amp;":T"&amp;(ROW()-1))))),Первоначальный[[#This Row],[Полученный платеж]]+Y117)
)
)
)</f>
        <v>0</v>
      </c>
      <c r="U11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платеж]]+Y117-Первоначальный[[#This Row],[Полученный платёж по процентам]])</f>
        <v>0</v>
      </c>
      <c r="V118" s="55">
        <f t="shared" ca="1" si="13"/>
        <v>0</v>
      </c>
      <c r="W118" s="55" cm="1">
        <f t="array" aca="1" ref="W118" ca="1">IF(Первоначальный[[#This Row],[Итого остаток на начало периода]]&lt;1,0,
_xlfn.IFS(
AND(TYPE(VLOOKUP(1,$Z$12:Z118,1,0))=16,Первоначальный[[#This Row],[Досрочное погашение (да/"")]]=""),0,
AND(S117=0,Первоначальный[[#This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комиссиям]]),VLOOKUP(LOOKUP(,-1/($Z$12:Z118=1),$A$12:A118),График[[Срок конец]:[Возврат основной суммы долга]],3,0)),
AND(S117=0,Первоначальный[[#This Row],[Дата платежа из графика]]="",Первоначальный[[#This Row],[Досрочное погашение (да/"")]]&lt;&gt;"Да"),0,
AND(S117=0,Первоначальный[[#This Row],[Досрочное погашение (да/"")]]=""),MIN(Первоначальный[[#This Row],[Полученный платеж]]+Y117-SUM(Первоначальный[[#This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комиссиям]]),VLOOKUP(LOOKUP(,-1/($Z$12:Z118=1),$A$12:A118),График[[Срок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S117&gt;0,MIN(Первоначальный[[#This Row],[Полученный платеж]]+Y117-SUM(Первоначальный[[#This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комиссиям]]),SUM(INDIRECT("M"&amp;(MAX((1=S$12:S117)*ROW(S$12:S117),ROW($W$12))&amp;":M"&amp;(ROW()))))-SUM(INDIRECT("W"&amp;(MAX((1=S$12:S117)*ROW(S$12:S117),ROW($W$12))&amp;":W"&amp;(ROW()-1)))))
)
)</f>
        <v>0</v>
      </c>
      <c r="X118" s="55">
        <f t="shared" ca="1" si="14"/>
        <v>0</v>
      </c>
      <c r="Y118" s="101">
        <f t="shared" ca="1" si="21"/>
        <v>0</v>
      </c>
      <c r="Z118" s="133" t="str">
        <f>IF(TYPE((VLOOKUP(Первоначальный[[#This Row],[Дата платежа]],График[Срок конец],1,0)))=16,"",1)</f>
        <v/>
      </c>
      <c r="AA118" s="57"/>
      <c r="AB118" s="134"/>
      <c r="AC11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3574.1000000000008</v>
      </c>
      <c r="AE11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2.6</v>
      </c>
      <c r="AF11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201.85904590163938</v>
      </c>
      <c r="AH118" s="55"/>
      <c r="AI118" s="55"/>
      <c r="AJ118" s="55"/>
      <c r="AK118" s="101">
        <f t="shared" ca="1" si="22"/>
        <v>153411.89904590163</v>
      </c>
      <c r="AL118" s="129">
        <f t="array" ref="AL118">MAX((УслРестрактов[Характеристика]="Дата реструктуризации")*(УслРестрактов[Значение]=Первоначальный!$A118),0)</f>
        <v>0</v>
      </c>
    </row>
    <row r="119" spans="1:38" x14ac:dyDescent="0.25">
      <c r="A119" s="97">
        <f t="shared" si="15"/>
        <v>44250</v>
      </c>
      <c r="B119" s="100">
        <f t="shared" ca="1" si="16"/>
        <v>149633.34</v>
      </c>
      <c r="C119" s="55">
        <f t="shared" ca="1" si="24"/>
        <v>3574.1000000000008</v>
      </c>
      <c r="D119" s="55">
        <f t="shared" ca="1" si="24"/>
        <v>2.6</v>
      </c>
      <c r="E119" s="55">
        <f t="shared" ca="1" si="17"/>
        <v>0</v>
      </c>
      <c r="F119" s="55">
        <f t="shared" ca="1" si="18"/>
        <v>201.85904590163938</v>
      </c>
      <c r="G119" s="101">
        <f t="shared" ca="1" si="19"/>
        <v>153411.89904590163</v>
      </c>
      <c r="H119" s="100">
        <f ca="1">ROUND($B119*VLOOKUP($A119,$A$1:$B$10,2,1)/(365+IF(MOD(YEAR($A119),4),0,1)*($A119-$A118)),2)-Первоначальный[[#This Row],[Проценты на просроченный платеж по ОД за период]]</f>
        <v>81.38</v>
      </c>
      <c r="I119" s="55">
        <f t="shared" ca="1" si="20"/>
        <v>0.2</v>
      </c>
      <c r="J119" s="55">
        <v>0</v>
      </c>
      <c r="K119" s="55">
        <f t="shared" ca="1" si="23"/>
        <v>14.418503278688529</v>
      </c>
      <c r="L119" s="55">
        <v>0</v>
      </c>
      <c r="M119" s="113">
        <f>SUMIFS(График[Возврат основной суммы долга],График[Дата с учетом нерабочих дней],$A119)</f>
        <v>0</v>
      </c>
      <c r="N119" s="56">
        <f>SUMIFS(График[Возврат начисленных %],График[Дата с учетом нерабочих дней],$A119)</f>
        <v>0</v>
      </c>
      <c r="O119" s="101">
        <v>0</v>
      </c>
      <c r="P119" s="100" cm="1">
        <f t="array" aca="1" ref="P119" ca="1">MAX(IF(AA118="Да",0,SUM(INDIRECT("M"&amp;(MAX(("Да"=AA$12:AA118)*ROW(AA$12:AA118)+1,ROW($P$12))&amp;":M"&amp;(ROW()))))-SUM(INDIRECT("W"&amp;(MAX(("Да"=AA$12:AA118)*ROW(AA$12:AA118)+1,ROW($P$12))&amp;":W"&amp;(ROW()))))),0)</f>
        <v>368.03999999999951</v>
      </c>
      <c r="Q119" s="99">
        <f ca="1">MAX(SUM($N$13:N119)-SUM($T$13:T119),0)</f>
        <v>2515.6606557377063</v>
      </c>
      <c r="R119" s="99">
        <f ca="1">Первоначальный[[#This Row],[Просроченный платеж по ОД]]+Первоначальный[[#This Row],[Просроченный платеж по процентам]]</f>
        <v>2883.7006557377058</v>
      </c>
      <c r="S119" s="120">
        <f ca="1">IF(Первоначальный[[#This Row],[Просроченный платеж]]&lt;1,0,S118+1)</f>
        <v>15</v>
      </c>
      <c r="T119" s="100" cm="1">
        <f t="array" aca="1" ref="T119" ca="1">IF(Первоначальный[[#This Row],[Итого остаток на начало периода]]&lt;1,0,
IF(
AND(TYPE(VLOOKUP(1,$Z$12:Z119,1,0))=16,Первоначальный[[#This Row],[Досрочное погашение (да/"")]]=""),0,
_xlfn.IFS(AND(S118=0,Первоначальный[[#This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платеж]]&lt;&gt;0),MIN(LOOKUP(,-1/($Z$12:Z119=1),$C$12:C119)+LOOKUP(,-1/($Z$12:Z119=1),$H$12:H119),Первоначальный[[#This Row],[Полученный платеж]]+Y118),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платеж]]+Y118,SUM(Первоначальный[[#This Row],[Остаток процентов на начало периода]],Первоначальный[[#This Row],[Проценты за период]])),
AND(S118=0,Первоначальный[[#This Row],[Дата платежа из графика]]=""),0,
AND(S118=0,Первоначальный[[#This Row],[Дата платежа из графика]]=1,MAX((0&lt;&gt;S$12:S118)*ROW(S$12:S118),ROW($S$12))&gt;=MAX((1=Z$12:Z118)*ROW(Z$12:Z118),ROW($T$12)),TYPE(VLOOKUP("Да",(INDIRECT("AA"&amp;(MAX((1=Z$12:Z118)*ROW(Z$12:Z118),ROW($T$12))&amp;":AA"&amp;(ROW()-1)))),1,0))=16),MIN(LOOKUP(,-1/($Z$12:Z119=1),$C$12:C119)+LOOKUP(,-1/($Z$12:Z119=1),$H$12:H119),Первоначальный[[#This Row],[Полученный платеж]]+Y118),
AND(S118=0,TYPE(VLOOKUP("Да",(INDIRECT("AA"&amp;(MAX((1=Z$12:Z118)*ROW(Z$12:Z118),ROW($T$12))&amp;":AA"&amp;(ROW()-1)))),1,0))&lt;&gt;16),MIN(LOOKUP(,-1/($Z$12:Z119=1),$C$12:C119)+LOOKUP(,-1/($Z$12:Z119=1),$H$12:H119)-IF(AA118="Да",0,SUM(INDIRECT("T"&amp;(MAX(("Да"=AA$12:AA118)*ROW(AA$12:AA118)+1,ROW($T$12))&amp;":T"&amp;(ROW()-1))))),Первоначальный[[#This Row],[Полученный платеж]]+Y118),
AND(S118=0,MAX((0&lt;&gt;N$12:N118)*ROW(N$12:N118),ROW($S$12))&gt;=MAX((1=Z$12:Z118)*ROW(Z$12:Z118),ROW($T$12))),MIN(LOOKUP(,-1/($Z$12:Z119=1),$C$12:C119)+LOOKUP(,-1/($Z$12:Z119=1),$H$12:H119)-IF(N118&lt;&gt;0,0,SUM(INDIRECT("T"&amp;(MAX((0&lt;&gt;N$12:N118)*ROW(N$12:N118)+1,ROW($T$12))&amp;":T"&amp;(ROW()-1))))),Первоначальный[[#This Row],[Полученный платеж]]+Y118),
AND(S118=0,Первоначальный[[#This Row],[Дата платежа из графика]]=1),MIN(LOOKUP(,-1/($Z$12:Z119=1),$C$12:C119)+LOOKUP(,-1/($Z$12:Z119=1),$H$12:H119)-IF(Z118=1,0,SUM(INDIRECT("T"&amp;(MAX((1=Z$12:Z118)*ROW(Z$12:Z118)+1,ROW($T$12))&amp;":T"&amp;(ROW()-1))))),Первоначальный[[#This Row],[Полученный платеж]]+Y118),
AND(Z118&gt;0,Первоначальный[[#This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платеж]]+Y118),
AND(S118&gt;0,MAX((0&lt;&gt;S$12:S118)*ROW(S$12:S118),ROW($S$12))&gt;=MAX((1=Z$12:Z118)*ROW(Z$12:Z118),ROW($T$12)),TYPE(VLOOKUP("Да",(INDIRECT("AA"&amp;(MAX((1=Z$12:Z118)*ROW(Z$12:Z118),ROW($T$12))&amp;":AA"&amp;(ROW()-1)))),1,0))=16),MIN(LOOKUP(,-1/($Z$12:Z119=1),$C$12:C119)+LOOKUP(,-1/($Z$12:Z119=1),$H$12:H119)-SUM(INDIRECT("T"&amp;(MAX((1=Z$12:Z118)*ROW(Z$12:Z118),ROW($T$12))&amp;":T"&amp;(ROW()-1)))),Первоначальный[[#This Row],[Полученный платеж]]+Y118),
S118&gt;0,MIN(LOOKUP(,-1/($Z$12:Z119=1),$C$12:C119)+LOOKUP(,-1/($Z$12:Z119=1),$H$12:H119)-IF(Z118=1,0,SUM(INDIRECT("T"&amp;(MAX((1=Z$12:Z118)*ROW(Z$12:Z118)+1,ROW($T$12))&amp;":T"&amp;(ROW()-1))))),Первоначальный[[#This Row],[Полученный платеж]]+Y118)
)
)
)</f>
        <v>0</v>
      </c>
      <c r="U11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платеж]]+Y118-Первоначальный[[#This Row],[Полученный платёж по процентам]])</f>
        <v>0</v>
      </c>
      <c r="V119" s="55">
        <f t="shared" ca="1" si="13"/>
        <v>0</v>
      </c>
      <c r="W119" s="55" cm="1">
        <f t="array" aca="1" ref="W119" ca="1">IF(Первоначальный[[#This Row],[Итого остаток на начало периода]]&lt;1,0,
_xlfn.IFS(
AND(TYPE(VLOOKUP(1,$Z$12:Z119,1,0))=16,Первоначальный[[#This Row],[Досрочное погашение (да/"")]]=""),0,
AND(S118=0,Первоначальный[[#This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комиссиям]]),VLOOKUP(LOOKUP(,-1/($Z$12:Z119=1),$A$12:A119),График[[Срок конец]:[Возврат основной суммы долга]],3,0)),
AND(S118=0,Первоначальный[[#This Row],[Дата платежа из графика]]="",Первоначальный[[#This Row],[Досрочное погашение (да/"")]]&lt;&gt;"Да"),0,
AND(S118=0,Первоначальный[[#This Row],[Досрочное погашение (да/"")]]=""),MIN(Первоначальный[[#This Row],[Полученный платеж]]+Y118-SUM(Первоначальный[[#This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комиссиям]]),VLOOKUP(LOOKUP(,-1/($Z$12:Z119=1),$A$12:A119),График[[Срок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S118&gt;0,MIN(Первоначальный[[#This Row],[Полученный платеж]]+Y118-SUM(Первоначальный[[#This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комиссиям]]),SUM(INDIRECT("M"&amp;(MAX((1=S$12:S118)*ROW(S$12:S118),ROW($W$12))&amp;":M"&amp;(ROW()))))-SUM(INDIRECT("W"&amp;(MAX((1=S$12:S118)*ROW(S$12:S118),ROW($W$12))&amp;":W"&amp;(ROW()-1)))))
)
)</f>
        <v>0</v>
      </c>
      <c r="X119" s="55">
        <f t="shared" ca="1" si="14"/>
        <v>0</v>
      </c>
      <c r="Y119" s="101">
        <f t="shared" ca="1" si="21"/>
        <v>0</v>
      </c>
      <c r="Z119" s="133" t="str">
        <f>IF(TYPE((VLOOKUP(Первоначальный[[#This Row],[Дата платежа]],График[Срок конец],1,0)))=16,"",1)</f>
        <v/>
      </c>
      <c r="AA119" s="57"/>
      <c r="AB119" s="134"/>
      <c r="AC11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3655.4800000000009</v>
      </c>
      <c r="AE11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2.8000000000000003</v>
      </c>
      <c r="AF11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216.2775491803279</v>
      </c>
      <c r="AH119" s="55"/>
      <c r="AI119" s="55"/>
      <c r="AJ119" s="55"/>
      <c r="AK119" s="101">
        <f t="shared" ca="1" si="22"/>
        <v>153507.89754918031</v>
      </c>
      <c r="AL119" s="129">
        <f t="array" ref="AL119">MAX((УслРестрактов[Характеристика]="Дата реструктуризации")*(УслРестрактов[Значение]=Первоначальный!$A119),0)</f>
        <v>0</v>
      </c>
    </row>
    <row r="120" spans="1:38" x14ac:dyDescent="0.25">
      <c r="A120" s="97">
        <f t="shared" si="15"/>
        <v>44251</v>
      </c>
      <c r="B120" s="100">
        <f t="shared" ca="1" si="16"/>
        <v>149633.34</v>
      </c>
      <c r="C120" s="55">
        <f t="shared" ca="1" si="24"/>
        <v>3655.4800000000009</v>
      </c>
      <c r="D120" s="55">
        <f t="shared" ca="1" si="24"/>
        <v>2.8000000000000003</v>
      </c>
      <c r="E120" s="55">
        <f t="shared" ca="1" si="17"/>
        <v>0</v>
      </c>
      <c r="F120" s="55">
        <f t="shared" ca="1" si="18"/>
        <v>216.2775491803279</v>
      </c>
      <c r="G120" s="101">
        <f t="shared" ca="1" si="19"/>
        <v>153507.89754918031</v>
      </c>
      <c r="H120" s="100">
        <f ca="1">ROUND($B120*VLOOKUP($A120,$A$1:$B$10,2,1)/(365+IF(MOD(YEAR($A120),4),0,1)*($A120-$A119)),2)-Первоначальный[[#This Row],[Проценты на просроченный платеж по ОД за период]]</f>
        <v>81.38</v>
      </c>
      <c r="I120" s="55">
        <f t="shared" ca="1" si="20"/>
        <v>0.2</v>
      </c>
      <c r="J120" s="55">
        <v>0</v>
      </c>
      <c r="K120" s="55">
        <f t="shared" ca="1" si="23"/>
        <v>14.418503278688529</v>
      </c>
      <c r="L120" s="55">
        <v>0</v>
      </c>
      <c r="M120" s="113">
        <f>SUMIFS(График[Возврат основной суммы долга],График[Дата с учетом нерабочих дней],$A120)</f>
        <v>0</v>
      </c>
      <c r="N120" s="56">
        <f>SUMIFS(График[Возврат начисленных %],График[Дата с учетом нерабочих дней],$A120)</f>
        <v>0</v>
      </c>
      <c r="O120" s="101">
        <v>0</v>
      </c>
      <c r="P120" s="100" cm="1">
        <f t="array" aca="1" ref="P120" ca="1">MAX(IF(AA119="Да",0,SUM(INDIRECT("M"&amp;(MAX(("Да"=AA$12:AA119)*ROW(AA$12:AA119)+1,ROW($P$12))&amp;":M"&amp;(ROW()))))-SUM(INDIRECT("W"&amp;(MAX(("Да"=AA$12:AA119)*ROW(AA$12:AA119)+1,ROW($P$12))&amp;":W"&amp;(ROW()))))),0)</f>
        <v>368.03999999999951</v>
      </c>
      <c r="Q120" s="99">
        <f ca="1">MAX(SUM($N$13:N120)-SUM($T$13:T120),0)</f>
        <v>2515.6606557377063</v>
      </c>
      <c r="R120" s="99">
        <f ca="1">Первоначальный[[#This Row],[Просроченный платеж по ОД]]+Первоначальный[[#This Row],[Просроченный платеж по процентам]]</f>
        <v>2883.7006557377058</v>
      </c>
      <c r="S120" s="120">
        <f ca="1">IF(Первоначальный[[#This Row],[Просроченный платеж]]&lt;1,0,S119+1)</f>
        <v>16</v>
      </c>
      <c r="T120" s="100" cm="1">
        <f t="array" aca="1" ref="T120" ca="1">IF(Первоначальный[[#This Row],[Итого остаток на начало периода]]&lt;1,0,
IF(
AND(TYPE(VLOOKUP(1,$Z$12:Z120,1,0))=16,Первоначальный[[#This Row],[Досрочное погашение (да/"")]]=""),0,
_xlfn.IFS(AND(S119=0,Первоначальный[[#This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платеж]]&lt;&gt;0),MIN(LOOKUP(,-1/($Z$12:Z120=1),$C$12:C120)+LOOKUP(,-1/($Z$12:Z120=1),$H$12:H120),Первоначальный[[#This Row],[Полученный платеж]]+Y119),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платеж]]+Y119,SUM(Первоначальный[[#This Row],[Остаток процентов на начало периода]],Первоначальный[[#This Row],[Проценты за период]])),
AND(S119=0,Первоначальный[[#This Row],[Дата платежа из графика]]=""),0,
AND(S119=0,Первоначальный[[#This Row],[Дата платежа из графика]]=1,MAX((0&lt;&gt;S$12:S119)*ROW(S$12:S119),ROW($S$12))&gt;=MAX((1=Z$12:Z119)*ROW(Z$12:Z119),ROW($T$12)),TYPE(VLOOKUP("Да",(INDIRECT("AA"&amp;(MAX((1=Z$12:Z119)*ROW(Z$12:Z119),ROW($T$12))&amp;":AA"&amp;(ROW()-1)))),1,0))=16),MIN(LOOKUP(,-1/($Z$12:Z120=1),$C$12:C120)+LOOKUP(,-1/($Z$12:Z120=1),$H$12:H120),Первоначальный[[#This Row],[Полученный платеж]]+Y119),
AND(S119=0,TYPE(VLOOKUP("Да",(INDIRECT("AA"&amp;(MAX((1=Z$12:Z119)*ROW(Z$12:Z119),ROW($T$12))&amp;":AA"&amp;(ROW()-1)))),1,0))&lt;&gt;16),MIN(LOOKUP(,-1/($Z$12:Z120=1),$C$12:C120)+LOOKUP(,-1/($Z$12:Z120=1),$H$12:H120)-IF(AA119="Да",0,SUM(INDIRECT("T"&amp;(MAX(("Да"=AA$12:AA119)*ROW(AA$12:AA119)+1,ROW($T$12))&amp;":T"&amp;(ROW()-1))))),Первоначальный[[#This Row],[Полученный платеж]]+Y119),
AND(S119=0,MAX((0&lt;&gt;N$12:N119)*ROW(N$12:N119),ROW($S$12))&gt;=MAX((1=Z$12:Z119)*ROW(Z$12:Z119),ROW($T$12))),MIN(LOOKUP(,-1/($Z$12:Z120=1),$C$12:C120)+LOOKUP(,-1/($Z$12:Z120=1),$H$12:H120)-IF(N119&lt;&gt;0,0,SUM(INDIRECT("T"&amp;(MAX((0&lt;&gt;N$12:N119)*ROW(N$12:N119)+1,ROW($T$12))&amp;":T"&amp;(ROW()-1))))),Первоначальный[[#This Row],[Полученный платеж]]+Y119),
AND(S119=0,Первоначальный[[#This Row],[Дата платежа из графика]]=1),MIN(LOOKUP(,-1/($Z$12:Z120=1),$C$12:C120)+LOOKUP(,-1/($Z$12:Z120=1),$H$12:H120)-IF(Z119=1,0,SUM(INDIRECT("T"&amp;(MAX((1=Z$12:Z119)*ROW(Z$12:Z119)+1,ROW($T$12))&amp;":T"&amp;(ROW()-1))))),Первоначальный[[#This Row],[Полученный платеж]]+Y119),
AND(Z119&gt;0,Первоначальный[[#This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платеж]]+Y119),
AND(S119&gt;0,MAX((0&lt;&gt;S$12:S119)*ROW(S$12:S119),ROW($S$12))&gt;=MAX((1=Z$12:Z119)*ROW(Z$12:Z119),ROW($T$12)),TYPE(VLOOKUP("Да",(INDIRECT("AA"&amp;(MAX((1=Z$12:Z119)*ROW(Z$12:Z119),ROW($T$12))&amp;":AA"&amp;(ROW()-1)))),1,0))=16),MIN(LOOKUP(,-1/($Z$12:Z120=1),$C$12:C120)+LOOKUP(,-1/($Z$12:Z120=1),$H$12:H120)-SUM(INDIRECT("T"&amp;(MAX((1=Z$12:Z119)*ROW(Z$12:Z119),ROW($T$12))&amp;":T"&amp;(ROW()-1)))),Первоначальный[[#This Row],[Полученный платеж]]+Y119),
S119&gt;0,MIN(LOOKUP(,-1/($Z$12:Z120=1),$C$12:C120)+LOOKUP(,-1/($Z$12:Z120=1),$H$12:H120)-IF(Z119=1,0,SUM(INDIRECT("T"&amp;(MAX((1=Z$12:Z119)*ROW(Z$12:Z119)+1,ROW($T$12))&amp;":T"&amp;(ROW()-1))))),Первоначальный[[#This Row],[Полученный платеж]]+Y119)
)
)
)</f>
        <v>0</v>
      </c>
      <c r="U12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платеж]]+Y119-Первоначальный[[#This Row],[Полученный платёж по процентам]])</f>
        <v>0</v>
      </c>
      <c r="V120" s="55">
        <f t="shared" ca="1" si="13"/>
        <v>0</v>
      </c>
      <c r="W120" s="55" cm="1">
        <f t="array" aca="1" ref="W120" ca="1">IF(Первоначальный[[#This Row],[Итого остаток на начало периода]]&lt;1,0,
_xlfn.IFS(
AND(TYPE(VLOOKUP(1,$Z$12:Z120,1,0))=16,Первоначальный[[#This Row],[Досрочное погашение (да/"")]]=""),0,
AND(S119=0,Первоначальный[[#This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комиссиям]]),VLOOKUP(LOOKUP(,-1/($Z$12:Z120=1),$A$12:A120),График[[Срок конец]:[Возврат основной суммы долга]],3,0)),
AND(S119=0,Первоначальный[[#This Row],[Дата платежа из графика]]="",Первоначальный[[#This Row],[Досрочное погашение (да/"")]]&lt;&gt;"Да"),0,
AND(S119=0,Первоначальный[[#This Row],[Досрочное погашение (да/"")]]=""),MIN(Первоначальный[[#This Row],[Полученный платеж]]+Y119-SUM(Первоначальный[[#This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комиссиям]]),VLOOKUP(LOOKUP(,-1/($Z$12:Z120=1),$A$12:A120),График[[Срок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S119&gt;0,MIN(Первоначальный[[#This Row],[Полученный платеж]]+Y119-SUM(Первоначальный[[#This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комиссиям]]),SUM(INDIRECT("M"&amp;(MAX((1=S$12:S119)*ROW(S$12:S119),ROW($W$12))&amp;":M"&amp;(ROW()))))-SUM(INDIRECT("W"&amp;(MAX((1=S$12:S119)*ROW(S$12:S119),ROW($W$12))&amp;":W"&amp;(ROW()-1)))))
)
)</f>
        <v>0</v>
      </c>
      <c r="X120" s="55">
        <f t="shared" ca="1" si="14"/>
        <v>0</v>
      </c>
      <c r="Y120" s="101">
        <f t="shared" ca="1" si="21"/>
        <v>0</v>
      </c>
      <c r="Z120" s="133" t="str">
        <f>IF(TYPE((VLOOKUP(Первоначальный[[#This Row],[Дата платежа]],График[Срок конец],1,0)))=16,"",1)</f>
        <v/>
      </c>
      <c r="AA120" s="57"/>
      <c r="AB120" s="134"/>
      <c r="AC12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3736.860000000001</v>
      </c>
      <c r="AE12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3.0000000000000004</v>
      </c>
      <c r="AF12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230.69605245901641</v>
      </c>
      <c r="AH120" s="55"/>
      <c r="AI120" s="55"/>
      <c r="AJ120" s="55"/>
      <c r="AK120" s="101">
        <f t="shared" ca="1" si="22"/>
        <v>153603.89605245902</v>
      </c>
      <c r="AL120" s="129">
        <f t="array" ref="AL120">MAX((УслРестрактов[Характеристика]="Дата реструктуризации")*(УслРестрактов[Значение]=Первоначальный!$A120),0)</f>
        <v>0</v>
      </c>
    </row>
    <row r="121" spans="1:38" x14ac:dyDescent="0.25">
      <c r="A121" s="97">
        <f t="shared" si="15"/>
        <v>44252</v>
      </c>
      <c r="B121" s="100">
        <f t="shared" ca="1" si="16"/>
        <v>149633.34</v>
      </c>
      <c r="C121" s="55">
        <f t="shared" ca="1" si="24"/>
        <v>3736.860000000001</v>
      </c>
      <c r="D121" s="55">
        <f t="shared" ca="1" si="24"/>
        <v>3.0000000000000004</v>
      </c>
      <c r="E121" s="55">
        <f t="shared" ca="1" si="17"/>
        <v>0</v>
      </c>
      <c r="F121" s="55">
        <f t="shared" ca="1" si="18"/>
        <v>230.69605245901641</v>
      </c>
      <c r="G121" s="101">
        <f t="shared" ca="1" si="19"/>
        <v>153603.89605245902</v>
      </c>
      <c r="H121" s="100">
        <f ca="1">ROUND($B121*VLOOKUP($A121,$A$1:$B$10,2,1)/(365+IF(MOD(YEAR($A121),4),0,1)*($A121-$A120)),2)-Первоначальный[[#This Row],[Проценты на просроченный платеж по ОД за период]]</f>
        <v>81.38</v>
      </c>
      <c r="I121" s="55">
        <f t="shared" ca="1" si="20"/>
        <v>0.2</v>
      </c>
      <c r="J121" s="55">
        <v>0</v>
      </c>
      <c r="K121" s="55">
        <f t="shared" ca="1" si="23"/>
        <v>14.418503278688529</v>
      </c>
      <c r="L121" s="55">
        <v>0</v>
      </c>
      <c r="M121" s="113">
        <f>SUMIFS(График[Возврат основной суммы долга],График[Дата с учетом нерабочих дней],$A121)</f>
        <v>0</v>
      </c>
      <c r="N121" s="56">
        <f>SUMIFS(График[Возврат начисленных %],График[Дата с учетом нерабочих дней],$A121)</f>
        <v>0</v>
      </c>
      <c r="O121" s="101">
        <v>0</v>
      </c>
      <c r="P121" s="100" cm="1">
        <f t="array" aca="1" ref="P121" ca="1">MAX(IF(AA120="Да",0,SUM(INDIRECT("M"&amp;(MAX(("Да"=AA$12:AA120)*ROW(AA$12:AA120)+1,ROW($P$12))&amp;":M"&amp;(ROW()))))-SUM(INDIRECT("W"&amp;(MAX(("Да"=AA$12:AA120)*ROW(AA$12:AA120)+1,ROW($P$12))&amp;":W"&amp;(ROW()))))),0)</f>
        <v>368.03999999999951</v>
      </c>
      <c r="Q121" s="99">
        <f ca="1">MAX(SUM($N$13:N121)-SUM($T$13:T121),0)</f>
        <v>2515.6606557377063</v>
      </c>
      <c r="R121" s="99">
        <f ca="1">Первоначальный[[#This Row],[Просроченный платеж по ОД]]+Первоначальный[[#This Row],[Просроченный платеж по процентам]]</f>
        <v>2883.7006557377058</v>
      </c>
      <c r="S121" s="120">
        <f ca="1">IF(Первоначальный[[#This Row],[Просроченный платеж]]&lt;1,0,S120+1)</f>
        <v>17</v>
      </c>
      <c r="T121" s="100" cm="1">
        <f t="array" aca="1" ref="T121" ca="1">IF(Первоначальный[[#This Row],[Итого остаток на начало периода]]&lt;1,0,
IF(
AND(TYPE(VLOOKUP(1,$Z$12:Z121,1,0))=16,Первоначальный[[#This Row],[Досрочное погашение (да/"")]]=""),0,
_xlfn.IFS(AND(S120=0,Первоначальный[[#This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платеж]]&lt;&gt;0),MIN(LOOKUP(,-1/($Z$12:Z121=1),$C$12:C121)+LOOKUP(,-1/($Z$12:Z121=1),$H$12:H121),Первоначальный[[#This Row],[Полученный платеж]]+Y120),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платеж]]+Y120,SUM(Первоначальный[[#This Row],[Остаток процентов на начало периода]],Первоначальный[[#This Row],[Проценты за период]])),
AND(S120=0,Первоначальный[[#This Row],[Дата платежа из графика]]=""),0,
AND(S120=0,Первоначальный[[#This Row],[Дата платежа из графика]]=1,MAX((0&lt;&gt;S$12:S120)*ROW(S$12:S120),ROW($S$12))&gt;=MAX((1=Z$12:Z120)*ROW(Z$12:Z120),ROW($T$12)),TYPE(VLOOKUP("Да",(INDIRECT("AA"&amp;(MAX((1=Z$12:Z120)*ROW(Z$12:Z120),ROW($T$12))&amp;":AA"&amp;(ROW()-1)))),1,0))=16),MIN(LOOKUP(,-1/($Z$12:Z121=1),$C$12:C121)+LOOKUP(,-1/($Z$12:Z121=1),$H$12:H121),Первоначальный[[#This Row],[Полученный платеж]]+Y120),
AND(S120=0,TYPE(VLOOKUP("Да",(INDIRECT("AA"&amp;(MAX((1=Z$12:Z120)*ROW(Z$12:Z120),ROW($T$12))&amp;":AA"&amp;(ROW()-1)))),1,0))&lt;&gt;16),MIN(LOOKUP(,-1/($Z$12:Z121=1),$C$12:C121)+LOOKUP(,-1/($Z$12:Z121=1),$H$12:H121)-IF(AA120="Да",0,SUM(INDIRECT("T"&amp;(MAX(("Да"=AA$12:AA120)*ROW(AA$12:AA120)+1,ROW($T$12))&amp;":T"&amp;(ROW()-1))))),Первоначальный[[#This Row],[Полученный платеж]]+Y120),
AND(S120=0,MAX((0&lt;&gt;N$12:N120)*ROW(N$12:N120),ROW($S$12))&gt;=MAX((1=Z$12:Z120)*ROW(Z$12:Z120),ROW($T$12))),MIN(LOOKUP(,-1/($Z$12:Z121=1),$C$12:C121)+LOOKUP(,-1/($Z$12:Z121=1),$H$12:H121)-IF(N120&lt;&gt;0,0,SUM(INDIRECT("T"&amp;(MAX((0&lt;&gt;N$12:N120)*ROW(N$12:N120)+1,ROW($T$12))&amp;":T"&amp;(ROW()-1))))),Первоначальный[[#This Row],[Полученный платеж]]+Y120),
AND(S120=0,Первоначальный[[#This Row],[Дата платежа из графика]]=1),MIN(LOOKUP(,-1/($Z$12:Z121=1),$C$12:C121)+LOOKUP(,-1/($Z$12:Z121=1),$H$12:H121)-IF(Z120=1,0,SUM(INDIRECT("T"&amp;(MAX((1=Z$12:Z120)*ROW(Z$12:Z120)+1,ROW($T$12))&amp;":T"&amp;(ROW()-1))))),Первоначальный[[#This Row],[Полученный платеж]]+Y120),
AND(Z120&gt;0,Первоначальный[[#This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платеж]]+Y120),
AND(S120&gt;0,MAX((0&lt;&gt;S$12:S120)*ROW(S$12:S120),ROW($S$12))&gt;=MAX((1=Z$12:Z120)*ROW(Z$12:Z120),ROW($T$12)),TYPE(VLOOKUP("Да",(INDIRECT("AA"&amp;(MAX((1=Z$12:Z120)*ROW(Z$12:Z120),ROW($T$12))&amp;":AA"&amp;(ROW()-1)))),1,0))=16),MIN(LOOKUP(,-1/($Z$12:Z121=1),$C$12:C121)+LOOKUP(,-1/($Z$12:Z121=1),$H$12:H121)-SUM(INDIRECT("T"&amp;(MAX((1=Z$12:Z120)*ROW(Z$12:Z120),ROW($T$12))&amp;":T"&amp;(ROW()-1)))),Первоначальный[[#This Row],[Полученный платеж]]+Y120),
S120&gt;0,MIN(LOOKUP(,-1/($Z$12:Z121=1),$C$12:C121)+LOOKUP(,-1/($Z$12:Z121=1),$H$12:H121)-IF(Z120=1,0,SUM(INDIRECT("T"&amp;(MAX((1=Z$12:Z120)*ROW(Z$12:Z120)+1,ROW($T$12))&amp;":T"&amp;(ROW()-1))))),Первоначальный[[#This Row],[Полученный платеж]]+Y120)
)
)
)</f>
        <v>0</v>
      </c>
      <c r="U12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платеж]]+Y120-Первоначальный[[#This Row],[Полученный платёж по процентам]])</f>
        <v>0</v>
      </c>
      <c r="V121" s="55">
        <f t="shared" ca="1" si="13"/>
        <v>0</v>
      </c>
      <c r="W121" s="55" cm="1">
        <f t="array" aca="1" ref="W121" ca="1">IF(Первоначальный[[#This Row],[Итого остаток на начало периода]]&lt;1,0,
_xlfn.IFS(
AND(TYPE(VLOOKUP(1,$Z$12:Z121,1,0))=16,Первоначальный[[#This Row],[Досрочное погашение (да/"")]]=""),0,
AND(S120=0,Первоначальный[[#This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комиссиям]]),VLOOKUP(LOOKUP(,-1/($Z$12:Z121=1),$A$12:A121),График[[Срок конец]:[Возврат основной суммы долга]],3,0)),
AND(S120=0,Первоначальный[[#This Row],[Дата платежа из графика]]="",Первоначальный[[#This Row],[Досрочное погашение (да/"")]]&lt;&gt;"Да"),0,
AND(S120=0,Первоначальный[[#This Row],[Досрочное погашение (да/"")]]=""),MIN(Первоначальный[[#This Row],[Полученный платеж]]+Y120-SUM(Первоначальный[[#This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комиссиям]]),VLOOKUP(LOOKUP(,-1/($Z$12:Z121=1),$A$12:A121),График[[Срок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S120&gt;0,MIN(Первоначальный[[#This Row],[Полученный платеж]]+Y120-SUM(Первоначальный[[#This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комиссиям]]),SUM(INDIRECT("M"&amp;(MAX((1=S$12:S120)*ROW(S$12:S120),ROW($W$12))&amp;":M"&amp;(ROW()))))-SUM(INDIRECT("W"&amp;(MAX((1=S$12:S120)*ROW(S$12:S120),ROW($W$12))&amp;":W"&amp;(ROW()-1)))))
)
)</f>
        <v>0</v>
      </c>
      <c r="X121" s="55">
        <f t="shared" ca="1" si="14"/>
        <v>0</v>
      </c>
      <c r="Y121" s="101">
        <f t="shared" ca="1" si="21"/>
        <v>0</v>
      </c>
      <c r="Z121" s="133" t="str">
        <f>IF(TYPE((VLOOKUP(Первоначальный[[#This Row],[Дата платежа]],График[Срок конец],1,0)))=16,"",1)</f>
        <v/>
      </c>
      <c r="AA121" s="57"/>
      <c r="AB121" s="134"/>
      <c r="AC12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3818.2400000000011</v>
      </c>
      <c r="AE12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3.2000000000000006</v>
      </c>
      <c r="AF12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245.11455573770493</v>
      </c>
      <c r="AH121" s="55"/>
      <c r="AI121" s="55"/>
      <c r="AJ121" s="55"/>
      <c r="AK121" s="101">
        <f t="shared" ca="1" si="22"/>
        <v>153699.8945557377</v>
      </c>
      <c r="AL121" s="129">
        <f t="array" ref="AL121">MAX((УслРестрактов[Характеристика]="Дата реструктуризации")*(УслРестрактов[Значение]=Первоначальный!$A121),0)</f>
        <v>0</v>
      </c>
    </row>
    <row r="122" spans="1:38" x14ac:dyDescent="0.25">
      <c r="A122" s="97">
        <f t="shared" si="15"/>
        <v>44253</v>
      </c>
      <c r="B122" s="100">
        <f t="shared" ca="1" si="16"/>
        <v>149633.34</v>
      </c>
      <c r="C122" s="55">
        <f t="shared" ca="1" si="24"/>
        <v>3818.2400000000011</v>
      </c>
      <c r="D122" s="55">
        <f t="shared" ca="1" si="24"/>
        <v>3.2000000000000006</v>
      </c>
      <c r="E122" s="55">
        <f t="shared" ca="1" si="17"/>
        <v>0</v>
      </c>
      <c r="F122" s="55">
        <f t="shared" ca="1" si="18"/>
        <v>245.11455573770493</v>
      </c>
      <c r="G122" s="101">
        <f t="shared" ca="1" si="19"/>
        <v>153699.8945557377</v>
      </c>
      <c r="H122" s="100">
        <f ca="1">ROUND($B122*VLOOKUP($A122,$A$1:$B$10,2,1)/(365+IF(MOD(YEAR($A122),4),0,1)*($A122-$A121)),2)-Первоначальный[[#This Row],[Проценты на просроченный платеж по ОД за период]]</f>
        <v>81.38</v>
      </c>
      <c r="I122" s="55">
        <f t="shared" ca="1" si="20"/>
        <v>0.2</v>
      </c>
      <c r="J122" s="55">
        <v>0</v>
      </c>
      <c r="K122" s="55">
        <f t="shared" ca="1" si="23"/>
        <v>14.418503278688529</v>
      </c>
      <c r="L122" s="55">
        <v>0</v>
      </c>
      <c r="M122" s="113">
        <f>SUMIFS(График[Возврат основной суммы долга],График[Дата с учетом нерабочих дней],$A122)</f>
        <v>0</v>
      </c>
      <c r="N122" s="56">
        <f>SUMIFS(График[Возврат начисленных %],График[Дата с учетом нерабочих дней],$A122)</f>
        <v>0</v>
      </c>
      <c r="O122" s="101">
        <v>0</v>
      </c>
      <c r="P122" s="100" cm="1">
        <f t="array" aca="1" ref="P122" ca="1">MAX(IF(AA121="Да",0,SUM(INDIRECT("M"&amp;(MAX(("Да"=AA$12:AA121)*ROW(AA$12:AA121)+1,ROW($P$12))&amp;":M"&amp;(ROW()))))-SUM(INDIRECT("W"&amp;(MAX(("Да"=AA$12:AA121)*ROW(AA$12:AA121)+1,ROW($P$12))&amp;":W"&amp;(ROW()))))),0)</f>
        <v>368.03999999999951</v>
      </c>
      <c r="Q122" s="99">
        <f ca="1">MAX(SUM($N$13:N122)-SUM($T$13:T122),0)</f>
        <v>2515.6606557377063</v>
      </c>
      <c r="R122" s="99">
        <f ca="1">Первоначальный[[#This Row],[Просроченный платеж по ОД]]+Первоначальный[[#This Row],[Просроченный платеж по процентам]]</f>
        <v>2883.7006557377058</v>
      </c>
      <c r="S122" s="120">
        <f ca="1">IF(Первоначальный[[#This Row],[Просроченный платеж]]&lt;1,0,S121+1)</f>
        <v>18</v>
      </c>
      <c r="T122" s="100" cm="1">
        <f t="array" aca="1" ref="T122" ca="1">IF(Первоначальный[[#This Row],[Итого остаток на начало периода]]&lt;1,0,
IF(
AND(TYPE(VLOOKUP(1,$Z$12:Z122,1,0))=16,Первоначальный[[#This Row],[Досрочное погашение (да/"")]]=""),0,
_xlfn.IFS(AND(S121=0,Первоначальный[[#This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платеж]]&lt;&gt;0),MIN(LOOKUP(,-1/($Z$12:Z122=1),$C$12:C122)+LOOKUP(,-1/($Z$12:Z122=1),$H$12:H122),Первоначальный[[#This Row],[Полученный платеж]]+Y121),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платеж]]+Y121,SUM(Первоначальный[[#This Row],[Остаток процентов на начало периода]],Первоначальный[[#This Row],[Проценты за период]])),
AND(S121=0,Первоначальный[[#This Row],[Дата платежа из графика]]=""),0,
AND(S121=0,Первоначальный[[#This Row],[Дата платежа из графика]]=1,MAX((0&lt;&gt;S$12:S121)*ROW(S$12:S121),ROW($S$12))&gt;=MAX((1=Z$12:Z121)*ROW(Z$12:Z121),ROW($T$12)),TYPE(VLOOKUP("Да",(INDIRECT("AA"&amp;(MAX((1=Z$12:Z121)*ROW(Z$12:Z121),ROW($T$12))&amp;":AA"&amp;(ROW()-1)))),1,0))=16),MIN(LOOKUP(,-1/($Z$12:Z122=1),$C$12:C122)+LOOKUP(,-1/($Z$12:Z122=1),$H$12:H122),Первоначальный[[#This Row],[Полученный платеж]]+Y121),
AND(S121=0,TYPE(VLOOKUP("Да",(INDIRECT("AA"&amp;(MAX((1=Z$12:Z121)*ROW(Z$12:Z121),ROW($T$12))&amp;":AA"&amp;(ROW()-1)))),1,0))&lt;&gt;16),MIN(LOOKUP(,-1/($Z$12:Z122=1),$C$12:C122)+LOOKUP(,-1/($Z$12:Z122=1),$H$12:H122)-IF(AA121="Да",0,SUM(INDIRECT("T"&amp;(MAX(("Да"=AA$12:AA121)*ROW(AA$12:AA121)+1,ROW($T$12))&amp;":T"&amp;(ROW()-1))))),Первоначальный[[#This Row],[Полученный платеж]]+Y121),
AND(S121=0,MAX((0&lt;&gt;N$12:N121)*ROW(N$12:N121),ROW($S$12))&gt;=MAX((1=Z$12:Z121)*ROW(Z$12:Z121),ROW($T$12))),MIN(LOOKUP(,-1/($Z$12:Z122=1),$C$12:C122)+LOOKUP(,-1/($Z$12:Z122=1),$H$12:H122)-IF(N121&lt;&gt;0,0,SUM(INDIRECT("T"&amp;(MAX((0&lt;&gt;N$12:N121)*ROW(N$12:N121)+1,ROW($T$12))&amp;":T"&amp;(ROW()-1))))),Первоначальный[[#This Row],[Полученный платеж]]+Y121),
AND(S121=0,Первоначальный[[#This Row],[Дата платежа из графика]]=1),MIN(LOOKUP(,-1/($Z$12:Z122=1),$C$12:C122)+LOOKUP(,-1/($Z$12:Z122=1),$H$12:H122)-IF(Z121=1,0,SUM(INDIRECT("T"&amp;(MAX((1=Z$12:Z121)*ROW(Z$12:Z121)+1,ROW($T$12))&amp;":T"&amp;(ROW()-1))))),Первоначальный[[#This Row],[Полученный платеж]]+Y121),
AND(Z121&gt;0,Первоначальный[[#This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платеж]]+Y121),
AND(S121&gt;0,MAX((0&lt;&gt;S$12:S121)*ROW(S$12:S121),ROW($S$12))&gt;=MAX((1=Z$12:Z121)*ROW(Z$12:Z121),ROW($T$12)),TYPE(VLOOKUP("Да",(INDIRECT("AA"&amp;(MAX((1=Z$12:Z121)*ROW(Z$12:Z121),ROW($T$12))&amp;":AA"&amp;(ROW()-1)))),1,0))=16),MIN(LOOKUP(,-1/($Z$12:Z122=1),$C$12:C122)+LOOKUP(,-1/($Z$12:Z122=1),$H$12:H122)-SUM(INDIRECT("T"&amp;(MAX((1=Z$12:Z121)*ROW(Z$12:Z121),ROW($T$12))&amp;":T"&amp;(ROW()-1)))),Первоначальный[[#This Row],[Полученный платеж]]+Y121),
S121&gt;0,MIN(LOOKUP(,-1/($Z$12:Z122=1),$C$12:C122)+LOOKUP(,-1/($Z$12:Z122=1),$H$12:H122)-IF(Z121=1,0,SUM(INDIRECT("T"&amp;(MAX((1=Z$12:Z121)*ROW(Z$12:Z121)+1,ROW($T$12))&amp;":T"&amp;(ROW()-1))))),Первоначальный[[#This Row],[Полученный платеж]]+Y121)
)
)
)</f>
        <v>0</v>
      </c>
      <c r="U12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платеж]]+Y121-Первоначальный[[#This Row],[Полученный платёж по процентам]])</f>
        <v>0</v>
      </c>
      <c r="V122" s="55">
        <f t="shared" ca="1" si="13"/>
        <v>0</v>
      </c>
      <c r="W122" s="55" cm="1">
        <f t="array" aca="1" ref="W122" ca="1">IF(Первоначальный[[#This Row],[Итого остаток на начало периода]]&lt;1,0,
_xlfn.IFS(
AND(TYPE(VLOOKUP(1,$Z$12:Z122,1,0))=16,Первоначальный[[#This Row],[Досрочное погашение (да/"")]]=""),0,
AND(S121=0,Первоначальный[[#This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комиссиям]]),VLOOKUP(LOOKUP(,-1/($Z$12:Z122=1),$A$12:A122),График[[Срок конец]:[Возврат основной суммы долга]],3,0)),
AND(S121=0,Первоначальный[[#This Row],[Дата платежа из графика]]="",Первоначальный[[#This Row],[Досрочное погашение (да/"")]]&lt;&gt;"Да"),0,
AND(S121=0,Первоначальный[[#This Row],[Досрочное погашение (да/"")]]=""),MIN(Первоначальный[[#This Row],[Полученный платеж]]+Y121-SUM(Первоначальный[[#This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комиссиям]]),VLOOKUP(LOOKUP(,-1/($Z$12:Z122=1),$A$12:A122),График[[Срок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S121&gt;0,MIN(Первоначальный[[#This Row],[Полученный платеж]]+Y121-SUM(Первоначальный[[#This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комиссиям]]),SUM(INDIRECT("M"&amp;(MAX((1=S$12:S121)*ROW(S$12:S121),ROW($W$12))&amp;":M"&amp;(ROW()))))-SUM(INDIRECT("W"&amp;(MAX((1=S$12:S121)*ROW(S$12:S121),ROW($W$12))&amp;":W"&amp;(ROW()-1)))))
)
)</f>
        <v>0</v>
      </c>
      <c r="X122" s="55">
        <f t="shared" ca="1" si="14"/>
        <v>0</v>
      </c>
      <c r="Y122" s="101">
        <f t="shared" ca="1" si="21"/>
        <v>0</v>
      </c>
      <c r="Z122" s="133" t="str">
        <f>IF(TYPE((VLOOKUP(Первоначальный[[#This Row],[Дата платежа]],График[Срок конец],1,0)))=16,"",1)</f>
        <v/>
      </c>
      <c r="AA122" s="57"/>
      <c r="AB122" s="134"/>
      <c r="AC12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3899.6200000000013</v>
      </c>
      <c r="AE12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3.4000000000000008</v>
      </c>
      <c r="AF12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259.53305901639345</v>
      </c>
      <c r="AH122" s="55"/>
      <c r="AI122" s="55"/>
      <c r="AJ122" s="55"/>
      <c r="AK122" s="101">
        <f t="shared" ca="1" si="22"/>
        <v>153795.89305901638</v>
      </c>
      <c r="AL122" s="129">
        <f t="array" ref="AL122">MAX((УслРестрактов[Характеристика]="Дата реструктуризации")*(УслРестрактов[Значение]=Первоначальный!$A122),0)</f>
        <v>0</v>
      </c>
    </row>
    <row r="123" spans="1:38" x14ac:dyDescent="0.25">
      <c r="A123" s="97">
        <f t="shared" si="15"/>
        <v>44254</v>
      </c>
      <c r="B123" s="100">
        <f t="shared" ca="1" si="16"/>
        <v>149633.34</v>
      </c>
      <c r="C123" s="55">
        <f t="shared" ca="1" si="24"/>
        <v>3899.6200000000013</v>
      </c>
      <c r="D123" s="55">
        <f t="shared" ca="1" si="24"/>
        <v>3.4000000000000008</v>
      </c>
      <c r="E123" s="55">
        <f t="shared" ca="1" si="17"/>
        <v>0</v>
      </c>
      <c r="F123" s="55">
        <f t="shared" ca="1" si="18"/>
        <v>259.53305901639345</v>
      </c>
      <c r="G123" s="101">
        <f t="shared" ca="1" si="19"/>
        <v>153795.89305901638</v>
      </c>
      <c r="H123" s="100">
        <f ca="1">ROUND($B123*VLOOKUP($A123,$A$1:$B$10,2,1)/(365+IF(MOD(YEAR($A123),4),0,1)*($A123-$A122)),2)-Первоначальный[[#This Row],[Проценты на просроченный платеж по ОД за период]]</f>
        <v>81.38</v>
      </c>
      <c r="I123" s="55">
        <f t="shared" ca="1" si="20"/>
        <v>0.2</v>
      </c>
      <c r="J123" s="55">
        <v>0</v>
      </c>
      <c r="K123" s="55">
        <f t="shared" ca="1" si="23"/>
        <v>14.418503278688529</v>
      </c>
      <c r="L123" s="55">
        <v>0</v>
      </c>
      <c r="M123" s="113">
        <f>SUMIFS(График[Возврат основной суммы долга],График[Дата с учетом нерабочих дней],$A123)</f>
        <v>0</v>
      </c>
      <c r="N123" s="56">
        <f>SUMIFS(График[Возврат начисленных %],График[Дата с учетом нерабочих дней],$A123)</f>
        <v>0</v>
      </c>
      <c r="O123" s="101">
        <v>0</v>
      </c>
      <c r="P123" s="100" cm="1">
        <f t="array" aca="1" ref="P123" ca="1">MAX(IF(AA122="Да",0,SUM(INDIRECT("M"&amp;(MAX(("Да"=AA$12:AA122)*ROW(AA$12:AA122)+1,ROW($P$12))&amp;":M"&amp;(ROW()))))-SUM(INDIRECT("W"&amp;(MAX(("Да"=AA$12:AA122)*ROW(AA$12:AA122)+1,ROW($P$12))&amp;":W"&amp;(ROW()))))),0)</f>
        <v>368.03999999999951</v>
      </c>
      <c r="Q123" s="99">
        <f ca="1">MAX(SUM($N$13:N123)-SUM($T$13:T123),0)</f>
        <v>2515.6606557377063</v>
      </c>
      <c r="R123" s="99">
        <f ca="1">Первоначальный[[#This Row],[Просроченный платеж по ОД]]+Первоначальный[[#This Row],[Просроченный платеж по процентам]]</f>
        <v>2883.7006557377058</v>
      </c>
      <c r="S123" s="120">
        <f ca="1">IF(Первоначальный[[#This Row],[Просроченный платеж]]&lt;1,0,S122+1)</f>
        <v>19</v>
      </c>
      <c r="T123" s="100" cm="1">
        <f t="array" aca="1" ref="T123" ca="1">IF(Первоначальный[[#This Row],[Итого остаток на начало периода]]&lt;1,0,
IF(
AND(TYPE(VLOOKUP(1,$Z$12:Z123,1,0))=16,Первоначальный[[#This Row],[Досрочное погашение (да/"")]]=""),0,
_xlfn.IFS(AND(S122=0,Первоначальный[[#This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платеж]]&lt;&gt;0),MIN(LOOKUP(,-1/($Z$12:Z123=1),$C$12:C123)+LOOKUP(,-1/($Z$12:Z123=1),$H$12:H123),Первоначальный[[#This Row],[Полученный платеж]]+Y122),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платеж]]+Y122,SUM(Первоначальный[[#This Row],[Остаток процентов на начало периода]],Первоначальный[[#This Row],[Проценты за период]])),
AND(S122=0,Первоначальный[[#This Row],[Дата платежа из графика]]=""),0,
AND(S122=0,Первоначальный[[#This Row],[Дата платежа из графика]]=1,MAX((0&lt;&gt;S$12:S122)*ROW(S$12:S122),ROW($S$12))&gt;=MAX((1=Z$12:Z122)*ROW(Z$12:Z122),ROW($T$12)),TYPE(VLOOKUP("Да",(INDIRECT("AA"&amp;(MAX((1=Z$12:Z122)*ROW(Z$12:Z122),ROW($T$12))&amp;":AA"&amp;(ROW()-1)))),1,0))=16),MIN(LOOKUP(,-1/($Z$12:Z123=1),$C$12:C123)+LOOKUP(,-1/($Z$12:Z123=1),$H$12:H123),Первоначальный[[#This Row],[Полученный платеж]]+Y122),
AND(S122=0,TYPE(VLOOKUP("Да",(INDIRECT("AA"&amp;(MAX((1=Z$12:Z122)*ROW(Z$12:Z122),ROW($T$12))&amp;":AA"&amp;(ROW()-1)))),1,0))&lt;&gt;16),MIN(LOOKUP(,-1/($Z$12:Z123=1),$C$12:C123)+LOOKUP(,-1/($Z$12:Z123=1),$H$12:H123)-IF(AA122="Да",0,SUM(INDIRECT("T"&amp;(MAX(("Да"=AA$12:AA122)*ROW(AA$12:AA122)+1,ROW($T$12))&amp;":T"&amp;(ROW()-1))))),Первоначальный[[#This Row],[Полученный платеж]]+Y122),
AND(S122=0,MAX((0&lt;&gt;N$12:N122)*ROW(N$12:N122),ROW($S$12))&gt;=MAX((1=Z$12:Z122)*ROW(Z$12:Z122),ROW($T$12))),MIN(LOOKUP(,-1/($Z$12:Z123=1),$C$12:C123)+LOOKUP(,-1/($Z$12:Z123=1),$H$12:H123)-IF(N122&lt;&gt;0,0,SUM(INDIRECT("T"&amp;(MAX((0&lt;&gt;N$12:N122)*ROW(N$12:N122)+1,ROW($T$12))&amp;":T"&amp;(ROW()-1))))),Первоначальный[[#This Row],[Полученный платеж]]+Y122),
AND(S122=0,Первоначальный[[#This Row],[Дата платежа из графика]]=1),MIN(LOOKUP(,-1/($Z$12:Z123=1),$C$12:C123)+LOOKUP(,-1/($Z$12:Z123=1),$H$12:H123)-IF(Z122=1,0,SUM(INDIRECT("T"&amp;(MAX((1=Z$12:Z122)*ROW(Z$12:Z122)+1,ROW($T$12))&amp;":T"&amp;(ROW()-1))))),Первоначальный[[#This Row],[Полученный платеж]]+Y122),
AND(Z122&gt;0,Первоначальный[[#This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платеж]]+Y122),
AND(S122&gt;0,MAX((0&lt;&gt;S$12:S122)*ROW(S$12:S122),ROW($S$12))&gt;=MAX((1=Z$12:Z122)*ROW(Z$12:Z122),ROW($T$12)),TYPE(VLOOKUP("Да",(INDIRECT("AA"&amp;(MAX((1=Z$12:Z122)*ROW(Z$12:Z122),ROW($T$12))&amp;":AA"&amp;(ROW()-1)))),1,0))=16),MIN(LOOKUP(,-1/($Z$12:Z123=1),$C$12:C123)+LOOKUP(,-1/($Z$12:Z123=1),$H$12:H123)-SUM(INDIRECT("T"&amp;(MAX((1=Z$12:Z122)*ROW(Z$12:Z122),ROW($T$12))&amp;":T"&amp;(ROW()-1)))),Первоначальный[[#This Row],[Полученный платеж]]+Y122),
S122&gt;0,MIN(LOOKUP(,-1/($Z$12:Z123=1),$C$12:C123)+LOOKUP(,-1/($Z$12:Z123=1),$H$12:H123)-IF(Z122=1,0,SUM(INDIRECT("T"&amp;(MAX((1=Z$12:Z122)*ROW(Z$12:Z122)+1,ROW($T$12))&amp;":T"&amp;(ROW()-1))))),Первоначальный[[#This Row],[Полученный платеж]]+Y122)
)
)
)</f>
        <v>0</v>
      </c>
      <c r="U12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платеж]]+Y122-Первоначальный[[#This Row],[Полученный платёж по процентам]])</f>
        <v>0</v>
      </c>
      <c r="V123" s="55">
        <f t="shared" ca="1" si="13"/>
        <v>0</v>
      </c>
      <c r="W123" s="55" cm="1">
        <f t="array" aca="1" ref="W123" ca="1">IF(Первоначальный[[#This Row],[Итого остаток на начало периода]]&lt;1,0,
_xlfn.IFS(
AND(TYPE(VLOOKUP(1,$Z$12:Z123,1,0))=16,Первоначальный[[#This Row],[Досрочное погашение (да/"")]]=""),0,
AND(S122=0,Первоначальный[[#This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комиссиям]]),VLOOKUP(LOOKUP(,-1/($Z$12:Z123=1),$A$12:A123),График[[Срок конец]:[Возврат основной суммы долга]],3,0)),
AND(S122=0,Первоначальный[[#This Row],[Дата платежа из графика]]="",Первоначальный[[#This Row],[Досрочное погашение (да/"")]]&lt;&gt;"Да"),0,
AND(S122=0,Первоначальный[[#This Row],[Досрочное погашение (да/"")]]=""),MIN(Первоначальный[[#This Row],[Полученный платеж]]+Y122-SUM(Первоначальный[[#This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комиссиям]]),VLOOKUP(LOOKUP(,-1/($Z$12:Z123=1),$A$12:A123),График[[Срок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S122&gt;0,MIN(Первоначальный[[#This Row],[Полученный платеж]]+Y122-SUM(Первоначальный[[#This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комиссиям]]),SUM(INDIRECT("M"&amp;(MAX((1=S$12:S122)*ROW(S$12:S122),ROW($W$12))&amp;":M"&amp;(ROW()))))-SUM(INDIRECT("W"&amp;(MAX((1=S$12:S122)*ROW(S$12:S122),ROW($W$12))&amp;":W"&amp;(ROW()-1)))))
)
)</f>
        <v>0</v>
      </c>
      <c r="X123" s="55">
        <f t="shared" ca="1" si="14"/>
        <v>0</v>
      </c>
      <c r="Y123" s="101">
        <f t="shared" ca="1" si="21"/>
        <v>0</v>
      </c>
      <c r="Z123" s="133" t="str">
        <f>IF(TYPE((VLOOKUP(Первоначальный[[#This Row],[Дата платежа]],График[Срок конец],1,0)))=16,"",1)</f>
        <v/>
      </c>
      <c r="AA123" s="57"/>
      <c r="AB123" s="134"/>
      <c r="AC12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3981.0000000000014</v>
      </c>
      <c r="AE12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3.600000000000001</v>
      </c>
      <c r="AF12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273.951562295082</v>
      </c>
      <c r="AH123" s="55"/>
      <c r="AI123" s="55"/>
      <c r="AJ123" s="55"/>
      <c r="AK123" s="101">
        <f t="shared" ca="1" si="22"/>
        <v>153891.89156229509</v>
      </c>
      <c r="AL123" s="129">
        <f t="array" ref="AL123">MAX((УслРестрактов[Характеристика]="Дата реструктуризации")*(УслРестрактов[Значение]=Первоначальный!$A123),0)</f>
        <v>0</v>
      </c>
    </row>
    <row r="124" spans="1:38" x14ac:dyDescent="0.25">
      <c r="A124" s="97">
        <f t="shared" si="15"/>
        <v>44255</v>
      </c>
      <c r="B124" s="100">
        <f t="shared" ca="1" si="16"/>
        <v>149633.34</v>
      </c>
      <c r="C124" s="55">
        <f t="shared" ca="1" si="24"/>
        <v>3981.0000000000014</v>
      </c>
      <c r="D124" s="55">
        <f t="shared" ca="1" si="24"/>
        <v>3.600000000000001</v>
      </c>
      <c r="E124" s="55">
        <f t="shared" ca="1" si="17"/>
        <v>0</v>
      </c>
      <c r="F124" s="55">
        <f t="shared" ca="1" si="18"/>
        <v>273.951562295082</v>
      </c>
      <c r="G124" s="101">
        <f t="shared" ca="1" si="19"/>
        <v>153891.89156229509</v>
      </c>
      <c r="H124" s="100">
        <f ca="1">ROUND($B124*VLOOKUP($A124,$A$1:$B$10,2,1)/(365+IF(MOD(YEAR($A124),4),0,1)*($A124-$A123)),2)-Первоначальный[[#This Row],[Проценты на просроченный платеж по ОД за период]]</f>
        <v>81.38</v>
      </c>
      <c r="I124" s="55">
        <f t="shared" ca="1" si="20"/>
        <v>0.2</v>
      </c>
      <c r="J124" s="55">
        <v>0</v>
      </c>
      <c r="K124" s="55">
        <f t="shared" ca="1" si="23"/>
        <v>14.418503278688529</v>
      </c>
      <c r="L124" s="55">
        <v>0</v>
      </c>
      <c r="M124" s="113">
        <f>SUMIFS(График[Возврат основной суммы долга],График[Дата с учетом нерабочих дней],$A124)</f>
        <v>0</v>
      </c>
      <c r="N124" s="56">
        <f>SUMIFS(График[Возврат начисленных %],График[Дата с учетом нерабочих дней],$A124)</f>
        <v>0</v>
      </c>
      <c r="O124" s="101">
        <v>0</v>
      </c>
      <c r="P124" s="100" cm="1">
        <f t="array" aca="1" ref="P124" ca="1">MAX(IF(AA123="Да",0,SUM(INDIRECT("M"&amp;(MAX(("Да"=AA$12:AA123)*ROW(AA$12:AA123)+1,ROW($P$12))&amp;":M"&amp;(ROW()))))-SUM(INDIRECT("W"&amp;(MAX(("Да"=AA$12:AA123)*ROW(AA$12:AA123)+1,ROW($P$12))&amp;":W"&amp;(ROW()))))),0)</f>
        <v>368.03999999999951</v>
      </c>
      <c r="Q124" s="99">
        <f ca="1">MAX(SUM($N$13:N124)-SUM($T$13:T124),0)</f>
        <v>2515.6606557377063</v>
      </c>
      <c r="R124" s="99">
        <f ca="1">Первоначальный[[#This Row],[Просроченный платеж по ОД]]+Первоначальный[[#This Row],[Просроченный платеж по процентам]]</f>
        <v>2883.7006557377058</v>
      </c>
      <c r="S124" s="120">
        <f ca="1">IF(Первоначальный[[#This Row],[Просроченный платеж]]&lt;1,0,S123+1)</f>
        <v>20</v>
      </c>
      <c r="T124" s="100" cm="1">
        <f t="array" aca="1" ref="T124" ca="1">IF(Первоначальный[[#This Row],[Итого остаток на начало периода]]&lt;1,0,
IF(
AND(TYPE(VLOOKUP(1,$Z$12:Z124,1,0))=16,Первоначальный[[#This Row],[Досрочное погашение (да/"")]]=""),0,
_xlfn.IFS(AND(S123=0,Первоначальный[[#This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платеж]]&lt;&gt;0),MIN(LOOKUP(,-1/($Z$12:Z124=1),$C$12:C124)+LOOKUP(,-1/($Z$12:Z124=1),$H$12:H124),Первоначальный[[#This Row],[Полученный платеж]]+Y123),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платеж]]+Y123,SUM(Первоначальный[[#This Row],[Остаток процентов на начало периода]],Первоначальный[[#This Row],[Проценты за период]])),
AND(S123=0,Первоначальный[[#This Row],[Дата платежа из графика]]=""),0,
AND(S123=0,Первоначальный[[#This Row],[Дата платежа из графика]]=1,MAX((0&lt;&gt;S$12:S123)*ROW(S$12:S123),ROW($S$12))&gt;=MAX((1=Z$12:Z123)*ROW(Z$12:Z123),ROW($T$12)),TYPE(VLOOKUP("Да",(INDIRECT("AA"&amp;(MAX((1=Z$12:Z123)*ROW(Z$12:Z123),ROW($T$12))&amp;":AA"&amp;(ROW()-1)))),1,0))=16),MIN(LOOKUP(,-1/($Z$12:Z124=1),$C$12:C124)+LOOKUP(,-1/($Z$12:Z124=1),$H$12:H124),Первоначальный[[#This Row],[Полученный платеж]]+Y123),
AND(S123=0,TYPE(VLOOKUP("Да",(INDIRECT("AA"&amp;(MAX((1=Z$12:Z123)*ROW(Z$12:Z123),ROW($T$12))&amp;":AA"&amp;(ROW()-1)))),1,0))&lt;&gt;16),MIN(LOOKUP(,-1/($Z$12:Z124=1),$C$12:C124)+LOOKUP(,-1/($Z$12:Z124=1),$H$12:H124)-IF(AA123="Да",0,SUM(INDIRECT("T"&amp;(MAX(("Да"=AA$12:AA123)*ROW(AA$12:AA123)+1,ROW($T$12))&amp;":T"&amp;(ROW()-1))))),Первоначальный[[#This Row],[Полученный платеж]]+Y123),
AND(S123=0,MAX((0&lt;&gt;N$12:N123)*ROW(N$12:N123),ROW($S$12))&gt;=MAX((1=Z$12:Z123)*ROW(Z$12:Z123),ROW($T$12))),MIN(LOOKUP(,-1/($Z$12:Z124=1),$C$12:C124)+LOOKUP(,-1/($Z$12:Z124=1),$H$12:H124)-IF(N123&lt;&gt;0,0,SUM(INDIRECT("T"&amp;(MAX((0&lt;&gt;N$12:N123)*ROW(N$12:N123)+1,ROW($T$12))&amp;":T"&amp;(ROW()-1))))),Первоначальный[[#This Row],[Полученный платеж]]+Y123),
AND(S123=0,Первоначальный[[#This Row],[Дата платежа из графика]]=1),MIN(LOOKUP(,-1/($Z$12:Z124=1),$C$12:C124)+LOOKUP(,-1/($Z$12:Z124=1),$H$12:H124)-IF(Z123=1,0,SUM(INDIRECT("T"&amp;(MAX((1=Z$12:Z123)*ROW(Z$12:Z123)+1,ROW($T$12))&amp;":T"&amp;(ROW()-1))))),Первоначальный[[#This Row],[Полученный платеж]]+Y123),
AND(Z123&gt;0,Первоначальный[[#This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платеж]]+Y123),
AND(S123&gt;0,MAX((0&lt;&gt;S$12:S123)*ROW(S$12:S123),ROW($S$12))&gt;=MAX((1=Z$12:Z123)*ROW(Z$12:Z123),ROW($T$12)),TYPE(VLOOKUP("Да",(INDIRECT("AA"&amp;(MAX((1=Z$12:Z123)*ROW(Z$12:Z123),ROW($T$12))&amp;":AA"&amp;(ROW()-1)))),1,0))=16),MIN(LOOKUP(,-1/($Z$12:Z124=1),$C$12:C124)+LOOKUP(,-1/($Z$12:Z124=1),$H$12:H124)-SUM(INDIRECT("T"&amp;(MAX((1=Z$12:Z123)*ROW(Z$12:Z123),ROW($T$12))&amp;":T"&amp;(ROW()-1)))),Первоначальный[[#This Row],[Полученный платеж]]+Y123),
S123&gt;0,MIN(LOOKUP(,-1/($Z$12:Z124=1),$C$12:C124)+LOOKUP(,-1/($Z$12:Z124=1),$H$12:H124)-IF(Z123=1,0,SUM(INDIRECT("T"&amp;(MAX((1=Z$12:Z123)*ROW(Z$12:Z123)+1,ROW($T$12))&amp;":T"&amp;(ROW()-1))))),Первоначальный[[#This Row],[Полученный платеж]]+Y123)
)
)
)</f>
        <v>0</v>
      </c>
      <c r="U12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платеж]]+Y123-Первоначальный[[#This Row],[Полученный платёж по процентам]])</f>
        <v>0</v>
      </c>
      <c r="V124" s="55">
        <f t="shared" ca="1" si="13"/>
        <v>0</v>
      </c>
      <c r="W124" s="55" cm="1">
        <f t="array" aca="1" ref="W124" ca="1">IF(Первоначальный[[#This Row],[Итого остаток на начало периода]]&lt;1,0,
_xlfn.IFS(
AND(TYPE(VLOOKUP(1,$Z$12:Z124,1,0))=16,Первоначальный[[#This Row],[Досрочное погашение (да/"")]]=""),0,
AND(S123=0,Первоначальный[[#This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комиссиям]]),VLOOKUP(LOOKUP(,-1/($Z$12:Z124=1),$A$12:A124),График[[Срок конец]:[Возврат основной суммы долга]],3,0)),
AND(S123=0,Первоначальный[[#This Row],[Дата платежа из графика]]="",Первоначальный[[#This Row],[Досрочное погашение (да/"")]]&lt;&gt;"Да"),0,
AND(S123=0,Первоначальный[[#This Row],[Досрочное погашение (да/"")]]=""),MIN(Первоначальный[[#This Row],[Полученный платеж]]+Y123-SUM(Первоначальный[[#This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комиссиям]]),VLOOKUP(LOOKUP(,-1/($Z$12:Z124=1),$A$12:A124),График[[Срок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S123&gt;0,MIN(Первоначальный[[#This Row],[Полученный платеж]]+Y123-SUM(Первоначальный[[#This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комиссиям]]),SUM(INDIRECT("M"&amp;(MAX((1=S$12:S123)*ROW(S$12:S123),ROW($W$12))&amp;":M"&amp;(ROW()))))-SUM(INDIRECT("W"&amp;(MAX((1=S$12:S123)*ROW(S$12:S123),ROW($W$12))&amp;":W"&amp;(ROW()-1)))))
)
)</f>
        <v>0</v>
      </c>
      <c r="X124" s="55">
        <f t="shared" ca="1" si="14"/>
        <v>0</v>
      </c>
      <c r="Y124" s="101">
        <f t="shared" ca="1" si="21"/>
        <v>0</v>
      </c>
      <c r="Z124" s="133" t="str">
        <f>IF(TYPE((VLOOKUP(Первоначальный[[#This Row],[Дата платежа]],График[Срок конец],1,0)))=16,"",1)</f>
        <v/>
      </c>
      <c r="AA124" s="57"/>
      <c r="AB124" s="134"/>
      <c r="AC12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4062.3800000000015</v>
      </c>
      <c r="AE12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3.8000000000000012</v>
      </c>
      <c r="AF12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288.37006557377055</v>
      </c>
      <c r="AH124" s="55"/>
      <c r="AI124" s="55"/>
      <c r="AJ124" s="55"/>
      <c r="AK124" s="101">
        <f t="shared" ca="1" si="22"/>
        <v>153987.89006557377</v>
      </c>
      <c r="AL124" s="129">
        <f t="array" ref="AL124">MAX((УслРестрактов[Характеристика]="Дата реструктуризации")*(УслРестрактов[Значение]=Первоначальный!$A124),0)</f>
        <v>0</v>
      </c>
    </row>
    <row r="125" spans="1:38" x14ac:dyDescent="0.25">
      <c r="A125" s="97">
        <f t="shared" si="15"/>
        <v>44256</v>
      </c>
      <c r="B125" s="100">
        <f t="shared" ca="1" si="16"/>
        <v>149633.34</v>
      </c>
      <c r="C125" s="55">
        <f t="shared" ca="1" si="24"/>
        <v>4062.3800000000015</v>
      </c>
      <c r="D125" s="55">
        <f t="shared" ca="1" si="24"/>
        <v>3.8000000000000012</v>
      </c>
      <c r="E125" s="55">
        <f t="shared" ca="1" si="17"/>
        <v>0</v>
      </c>
      <c r="F125" s="55">
        <f t="shared" ca="1" si="18"/>
        <v>288.37006557377055</v>
      </c>
      <c r="G125" s="101">
        <f t="shared" ca="1" si="19"/>
        <v>153987.89006557377</v>
      </c>
      <c r="H125" s="100">
        <f ca="1">ROUND($B125*VLOOKUP($A125,$A$1:$B$10,2,1)/(365+IF(MOD(YEAR($A125),4),0,1)*($A125-$A124)),2)-Первоначальный[[#This Row],[Проценты на просроченный платеж по ОД за период]]</f>
        <v>81.38</v>
      </c>
      <c r="I125" s="55">
        <f t="shared" ca="1" si="20"/>
        <v>0.2</v>
      </c>
      <c r="J125" s="55">
        <v>0</v>
      </c>
      <c r="K125" s="55">
        <f t="shared" ca="1" si="23"/>
        <v>14.418503278688529</v>
      </c>
      <c r="L125" s="55">
        <v>0</v>
      </c>
      <c r="M125" s="113">
        <f>SUMIFS(График[Возврат основной суммы долга],График[Дата с учетом нерабочих дней],$A125)</f>
        <v>0</v>
      </c>
      <c r="N125" s="56">
        <f>SUMIFS(График[Возврат начисленных %],График[Дата с учетом нерабочих дней],$A125)</f>
        <v>0</v>
      </c>
      <c r="O125" s="101">
        <v>0</v>
      </c>
      <c r="P125" s="100" cm="1">
        <f t="array" aca="1" ref="P125" ca="1">MAX(IF(AA124="Да",0,SUM(INDIRECT("M"&amp;(MAX(("Да"=AA$12:AA124)*ROW(AA$12:AA124)+1,ROW($P$12))&amp;":M"&amp;(ROW()))))-SUM(INDIRECT("W"&amp;(MAX(("Да"=AA$12:AA124)*ROW(AA$12:AA124)+1,ROW($P$12))&amp;":W"&amp;(ROW()))))),0)</f>
        <v>368.03999999999951</v>
      </c>
      <c r="Q125" s="99">
        <f ca="1">MAX(SUM($N$13:N125)-SUM($T$13:T125),0)</f>
        <v>2515.6606557377063</v>
      </c>
      <c r="R125" s="99">
        <f ca="1">Первоначальный[[#This Row],[Просроченный платеж по ОД]]+Первоначальный[[#This Row],[Просроченный платеж по процентам]]</f>
        <v>2883.7006557377058</v>
      </c>
      <c r="S125" s="120">
        <f ca="1">IF(Первоначальный[[#This Row],[Просроченный платеж]]&lt;1,0,S124+1)</f>
        <v>21</v>
      </c>
      <c r="T125" s="100" cm="1">
        <f t="array" aca="1" ref="T125" ca="1">IF(Первоначальный[[#This Row],[Итого остаток на начало периода]]&lt;1,0,
IF(
AND(TYPE(VLOOKUP(1,$Z$12:Z125,1,0))=16,Первоначальный[[#This Row],[Досрочное погашение (да/"")]]=""),0,
_xlfn.IFS(AND(S124=0,Первоначальный[[#This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платеж]]&lt;&gt;0),MIN(LOOKUP(,-1/($Z$12:Z125=1),$C$12:C125)+LOOKUP(,-1/($Z$12:Z125=1),$H$12:H125),Первоначальный[[#This Row],[Полученный платеж]]+Y124),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платеж]]+Y124,SUM(Первоначальный[[#This Row],[Остаток процентов на начало периода]],Первоначальный[[#This Row],[Проценты за период]])),
AND(S124=0,Первоначальный[[#This Row],[Дата платежа из графика]]=""),0,
AND(S124=0,Первоначальный[[#This Row],[Дата платежа из графика]]=1,MAX((0&lt;&gt;S$12:S124)*ROW(S$12:S124),ROW($S$12))&gt;=MAX((1=Z$12:Z124)*ROW(Z$12:Z124),ROW($T$12)),TYPE(VLOOKUP("Да",(INDIRECT("AA"&amp;(MAX((1=Z$12:Z124)*ROW(Z$12:Z124),ROW($T$12))&amp;":AA"&amp;(ROW()-1)))),1,0))=16),MIN(LOOKUP(,-1/($Z$12:Z125=1),$C$12:C125)+LOOKUP(,-1/($Z$12:Z125=1),$H$12:H125),Первоначальный[[#This Row],[Полученный платеж]]+Y124),
AND(S124=0,TYPE(VLOOKUP("Да",(INDIRECT("AA"&amp;(MAX((1=Z$12:Z124)*ROW(Z$12:Z124),ROW($T$12))&amp;":AA"&amp;(ROW()-1)))),1,0))&lt;&gt;16),MIN(LOOKUP(,-1/($Z$12:Z125=1),$C$12:C125)+LOOKUP(,-1/($Z$12:Z125=1),$H$12:H125)-IF(AA124="Да",0,SUM(INDIRECT("T"&amp;(MAX(("Да"=AA$12:AA124)*ROW(AA$12:AA124)+1,ROW($T$12))&amp;":T"&amp;(ROW()-1))))),Первоначальный[[#This Row],[Полученный платеж]]+Y124),
AND(S124=0,MAX((0&lt;&gt;N$12:N124)*ROW(N$12:N124),ROW($S$12))&gt;=MAX((1=Z$12:Z124)*ROW(Z$12:Z124),ROW($T$12))),MIN(LOOKUP(,-1/($Z$12:Z125=1),$C$12:C125)+LOOKUP(,-1/($Z$12:Z125=1),$H$12:H125)-IF(N124&lt;&gt;0,0,SUM(INDIRECT("T"&amp;(MAX((0&lt;&gt;N$12:N124)*ROW(N$12:N124)+1,ROW($T$12))&amp;":T"&amp;(ROW()-1))))),Первоначальный[[#This Row],[Полученный платеж]]+Y124),
AND(S124=0,Первоначальный[[#This Row],[Дата платежа из графика]]=1),MIN(LOOKUP(,-1/($Z$12:Z125=1),$C$12:C125)+LOOKUP(,-1/($Z$12:Z125=1),$H$12:H125)-IF(Z124=1,0,SUM(INDIRECT("T"&amp;(MAX((1=Z$12:Z124)*ROW(Z$12:Z124)+1,ROW($T$12))&amp;":T"&amp;(ROW()-1))))),Первоначальный[[#This Row],[Полученный платеж]]+Y124),
AND(Z124&gt;0,Первоначальный[[#This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платеж]]+Y124),
AND(S124&gt;0,MAX((0&lt;&gt;S$12:S124)*ROW(S$12:S124),ROW($S$12))&gt;=MAX((1=Z$12:Z124)*ROW(Z$12:Z124),ROW($T$12)),TYPE(VLOOKUP("Да",(INDIRECT("AA"&amp;(MAX((1=Z$12:Z124)*ROW(Z$12:Z124),ROW($T$12))&amp;":AA"&amp;(ROW()-1)))),1,0))=16),MIN(LOOKUP(,-1/($Z$12:Z125=1),$C$12:C125)+LOOKUP(,-1/($Z$12:Z125=1),$H$12:H125)-SUM(INDIRECT("T"&amp;(MAX((1=Z$12:Z124)*ROW(Z$12:Z124),ROW($T$12))&amp;":T"&amp;(ROW()-1)))),Первоначальный[[#This Row],[Полученный платеж]]+Y124),
S124&gt;0,MIN(LOOKUP(,-1/($Z$12:Z125=1),$C$12:C125)+LOOKUP(,-1/($Z$12:Z125=1),$H$12:H125)-IF(Z124=1,0,SUM(INDIRECT("T"&amp;(MAX((1=Z$12:Z124)*ROW(Z$12:Z124)+1,ROW($T$12))&amp;":T"&amp;(ROW()-1))))),Первоначальный[[#This Row],[Полученный платеж]]+Y124)
)
)
)</f>
        <v>0</v>
      </c>
      <c r="U12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платеж]]+Y124-Первоначальный[[#This Row],[Полученный платёж по процентам]])</f>
        <v>0</v>
      </c>
      <c r="V125" s="55">
        <f t="shared" ca="1" si="13"/>
        <v>0</v>
      </c>
      <c r="W125" s="55" cm="1">
        <f t="array" aca="1" ref="W125" ca="1">IF(Первоначальный[[#This Row],[Итого остаток на начало периода]]&lt;1,0,
_xlfn.IFS(
AND(TYPE(VLOOKUP(1,$Z$12:Z125,1,0))=16,Первоначальный[[#This Row],[Досрочное погашение (да/"")]]=""),0,
AND(S124=0,Первоначальный[[#This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комиссиям]]),VLOOKUP(LOOKUP(,-1/($Z$12:Z125=1),$A$12:A125),График[[Срок конец]:[Возврат основной суммы долга]],3,0)),
AND(S124=0,Первоначальный[[#This Row],[Дата платежа из графика]]="",Первоначальный[[#This Row],[Досрочное погашение (да/"")]]&lt;&gt;"Да"),0,
AND(S124=0,Первоначальный[[#This Row],[Досрочное погашение (да/"")]]=""),MIN(Первоначальный[[#This Row],[Полученный платеж]]+Y124-SUM(Первоначальный[[#This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комиссиям]]),VLOOKUP(LOOKUP(,-1/($Z$12:Z125=1),$A$12:A125),График[[Срок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S124&gt;0,MIN(Первоначальный[[#This Row],[Полученный платеж]]+Y124-SUM(Первоначальный[[#This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комиссиям]]),SUM(INDIRECT("M"&amp;(MAX((1=S$12:S124)*ROW(S$12:S124),ROW($W$12))&amp;":M"&amp;(ROW()))))-SUM(INDIRECT("W"&amp;(MAX((1=S$12:S124)*ROW(S$12:S124),ROW($W$12))&amp;":W"&amp;(ROW()-1)))))
)
)</f>
        <v>0</v>
      </c>
      <c r="X125" s="55">
        <f t="shared" ca="1" si="14"/>
        <v>0</v>
      </c>
      <c r="Y125" s="101">
        <f t="shared" ca="1" si="21"/>
        <v>0</v>
      </c>
      <c r="Z125" s="133" t="str">
        <f>IF(TYPE((VLOOKUP(Первоначальный[[#This Row],[Дата платежа]],График[Срок конец],1,0)))=16,"",1)</f>
        <v/>
      </c>
      <c r="AA125" s="57"/>
      <c r="AB125" s="134"/>
      <c r="AC12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4143.7600000000011</v>
      </c>
      <c r="AE12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4.0000000000000009</v>
      </c>
      <c r="AF12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302.78856885245909</v>
      </c>
      <c r="AH125" s="55"/>
      <c r="AI125" s="55"/>
      <c r="AJ125" s="55"/>
      <c r="AK125" s="101">
        <f t="shared" ca="1" si="22"/>
        <v>154083.88856885248</v>
      </c>
      <c r="AL125" s="129">
        <f t="array" ref="AL125">MAX((УслРестрактов[Характеристика]="Дата реструктуризации")*(УслРестрактов[Значение]=Первоначальный!$A125),0)</f>
        <v>0</v>
      </c>
    </row>
    <row r="126" spans="1:38" x14ac:dyDescent="0.25">
      <c r="A126" s="97">
        <f t="shared" si="15"/>
        <v>44257</v>
      </c>
      <c r="B126" s="100">
        <f t="shared" ca="1" si="16"/>
        <v>149633.34</v>
      </c>
      <c r="C126" s="55">
        <f t="shared" ca="1" si="24"/>
        <v>4143.7600000000011</v>
      </c>
      <c r="D126" s="55">
        <f t="shared" ca="1" si="24"/>
        <v>4.0000000000000009</v>
      </c>
      <c r="E126" s="55">
        <f t="shared" ca="1" si="17"/>
        <v>0</v>
      </c>
      <c r="F126" s="55">
        <f t="shared" ca="1" si="18"/>
        <v>302.78856885245909</v>
      </c>
      <c r="G126" s="101">
        <f t="shared" ca="1" si="19"/>
        <v>154083.88856885248</v>
      </c>
      <c r="H126" s="100">
        <f ca="1">ROUND($B126*VLOOKUP($A126,$A$1:$B$10,2,1)/(365+IF(MOD(YEAR($A126),4),0,1)*($A126-$A125)),2)-Первоначальный[[#This Row],[Проценты на просроченный платеж по ОД за период]]</f>
        <v>81.38</v>
      </c>
      <c r="I126" s="55">
        <f t="shared" ca="1" si="20"/>
        <v>0.2</v>
      </c>
      <c r="J126" s="55">
        <v>0</v>
      </c>
      <c r="K126" s="55">
        <f t="shared" ca="1" si="23"/>
        <v>14.418503278688529</v>
      </c>
      <c r="L126" s="55">
        <v>0</v>
      </c>
      <c r="M126" s="113">
        <f>SUMIFS(График[Возврат основной суммы долга],График[Дата с учетом нерабочих дней],$A126)</f>
        <v>0</v>
      </c>
      <c r="N126" s="56">
        <f>SUMIFS(График[Возврат начисленных %],График[Дата с учетом нерабочих дней],$A126)</f>
        <v>0</v>
      </c>
      <c r="O126" s="101">
        <v>0</v>
      </c>
      <c r="P126" s="100" cm="1">
        <f t="array" aca="1" ref="P126" ca="1">MAX(IF(AA125="Да",0,SUM(INDIRECT("M"&amp;(MAX(("Да"=AA$12:AA125)*ROW(AA$12:AA125)+1,ROW($P$12))&amp;":M"&amp;(ROW()))))-SUM(INDIRECT("W"&amp;(MAX(("Да"=AA$12:AA125)*ROW(AA$12:AA125)+1,ROW($P$12))&amp;":W"&amp;(ROW()))))),0)</f>
        <v>368.03999999999951</v>
      </c>
      <c r="Q126" s="99">
        <f ca="1">MAX(SUM($N$13:N126)-SUM($T$13:T126),0)</f>
        <v>2515.6606557377063</v>
      </c>
      <c r="R126" s="99">
        <f ca="1">Первоначальный[[#This Row],[Просроченный платеж по ОД]]+Первоначальный[[#This Row],[Просроченный платеж по процентам]]</f>
        <v>2883.7006557377058</v>
      </c>
      <c r="S126" s="120">
        <f ca="1">IF(Первоначальный[[#This Row],[Просроченный платеж]]&lt;1,0,S125+1)</f>
        <v>22</v>
      </c>
      <c r="T126" s="100" cm="1">
        <f t="array" aca="1" ref="T126" ca="1">IF(Первоначальный[[#This Row],[Итого остаток на начало периода]]&lt;1,0,
IF(
AND(TYPE(VLOOKUP(1,$Z$12:Z126,1,0))=16,Первоначальный[[#This Row],[Досрочное погашение (да/"")]]=""),0,
_xlfn.IFS(AND(S125=0,Первоначальный[[#This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платеж]]&lt;&gt;0),MIN(LOOKUP(,-1/($Z$12:Z126=1),$C$12:C126)+LOOKUP(,-1/($Z$12:Z126=1),$H$12:H126),Первоначальный[[#This Row],[Полученный платеж]]+Y125),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платеж]]+Y125,SUM(Первоначальный[[#This Row],[Остаток процентов на начало периода]],Первоначальный[[#This Row],[Проценты за период]])),
AND(S125=0,Первоначальный[[#This Row],[Дата платежа из графика]]=""),0,
AND(S125=0,Первоначальный[[#This Row],[Дата платежа из графика]]=1,MAX((0&lt;&gt;S$12:S125)*ROW(S$12:S125),ROW($S$12))&gt;=MAX((1=Z$12:Z125)*ROW(Z$12:Z125),ROW($T$12)),TYPE(VLOOKUP("Да",(INDIRECT("AA"&amp;(MAX((1=Z$12:Z125)*ROW(Z$12:Z125),ROW($T$12))&amp;":AA"&amp;(ROW()-1)))),1,0))=16),MIN(LOOKUP(,-1/($Z$12:Z126=1),$C$12:C126)+LOOKUP(,-1/($Z$12:Z126=1),$H$12:H126),Первоначальный[[#This Row],[Полученный платеж]]+Y125),
AND(S125=0,TYPE(VLOOKUP("Да",(INDIRECT("AA"&amp;(MAX((1=Z$12:Z125)*ROW(Z$12:Z125),ROW($T$12))&amp;":AA"&amp;(ROW()-1)))),1,0))&lt;&gt;16),MIN(LOOKUP(,-1/($Z$12:Z126=1),$C$12:C126)+LOOKUP(,-1/($Z$12:Z126=1),$H$12:H126)-IF(AA125="Да",0,SUM(INDIRECT("T"&amp;(MAX(("Да"=AA$12:AA125)*ROW(AA$12:AA125)+1,ROW($T$12))&amp;":T"&amp;(ROW()-1))))),Первоначальный[[#This Row],[Полученный платеж]]+Y125),
AND(S125=0,MAX((0&lt;&gt;N$12:N125)*ROW(N$12:N125),ROW($S$12))&gt;=MAX((1=Z$12:Z125)*ROW(Z$12:Z125),ROW($T$12))),MIN(LOOKUP(,-1/($Z$12:Z126=1),$C$12:C126)+LOOKUP(,-1/($Z$12:Z126=1),$H$12:H126)-IF(N125&lt;&gt;0,0,SUM(INDIRECT("T"&amp;(MAX((0&lt;&gt;N$12:N125)*ROW(N$12:N125)+1,ROW($T$12))&amp;":T"&amp;(ROW()-1))))),Первоначальный[[#This Row],[Полученный платеж]]+Y125),
AND(S125=0,Первоначальный[[#This Row],[Дата платежа из графика]]=1),MIN(LOOKUP(,-1/($Z$12:Z126=1),$C$12:C126)+LOOKUP(,-1/($Z$12:Z126=1),$H$12:H126)-IF(Z125=1,0,SUM(INDIRECT("T"&amp;(MAX((1=Z$12:Z125)*ROW(Z$12:Z125)+1,ROW($T$12))&amp;":T"&amp;(ROW()-1))))),Первоначальный[[#This Row],[Полученный платеж]]+Y125),
AND(Z125&gt;0,Первоначальный[[#This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платеж]]+Y125),
AND(S125&gt;0,MAX((0&lt;&gt;S$12:S125)*ROW(S$12:S125),ROW($S$12))&gt;=MAX((1=Z$12:Z125)*ROW(Z$12:Z125),ROW($T$12)),TYPE(VLOOKUP("Да",(INDIRECT("AA"&amp;(MAX((1=Z$12:Z125)*ROW(Z$12:Z125),ROW($T$12))&amp;":AA"&amp;(ROW()-1)))),1,0))=16),MIN(LOOKUP(,-1/($Z$12:Z126=1),$C$12:C126)+LOOKUP(,-1/($Z$12:Z126=1),$H$12:H126)-SUM(INDIRECT("T"&amp;(MAX((1=Z$12:Z125)*ROW(Z$12:Z125),ROW($T$12))&amp;":T"&amp;(ROW()-1)))),Первоначальный[[#This Row],[Полученный платеж]]+Y125),
S125&gt;0,MIN(LOOKUP(,-1/($Z$12:Z126=1),$C$12:C126)+LOOKUP(,-1/($Z$12:Z126=1),$H$12:H126)-IF(Z125=1,0,SUM(INDIRECT("T"&amp;(MAX((1=Z$12:Z125)*ROW(Z$12:Z125)+1,ROW($T$12))&amp;":T"&amp;(ROW()-1))))),Первоначальный[[#This Row],[Полученный платеж]]+Y125)
)
)
)</f>
        <v>0</v>
      </c>
      <c r="U12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платеж]]+Y125-Первоначальный[[#This Row],[Полученный платёж по процентам]])</f>
        <v>0</v>
      </c>
      <c r="V126" s="55">
        <f t="shared" ca="1" si="13"/>
        <v>0</v>
      </c>
      <c r="W126" s="55" cm="1">
        <f t="array" aca="1" ref="W126" ca="1">IF(Первоначальный[[#This Row],[Итого остаток на начало периода]]&lt;1,0,
_xlfn.IFS(
AND(TYPE(VLOOKUP(1,$Z$12:Z126,1,0))=16,Первоначальный[[#This Row],[Досрочное погашение (да/"")]]=""),0,
AND(S125=0,Первоначальный[[#This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комиссиям]]),VLOOKUP(LOOKUP(,-1/($Z$12:Z126=1),$A$12:A126),График[[Срок конец]:[Возврат основной суммы долга]],3,0)),
AND(S125=0,Первоначальный[[#This Row],[Дата платежа из графика]]="",Первоначальный[[#This Row],[Досрочное погашение (да/"")]]&lt;&gt;"Да"),0,
AND(S125=0,Первоначальный[[#This Row],[Досрочное погашение (да/"")]]=""),MIN(Первоначальный[[#This Row],[Полученный платеж]]+Y125-SUM(Первоначальный[[#This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комиссиям]]),VLOOKUP(LOOKUP(,-1/($Z$12:Z126=1),$A$12:A126),График[[Срок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S125&gt;0,MIN(Первоначальный[[#This Row],[Полученный платеж]]+Y125-SUM(Первоначальный[[#This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комиссиям]]),SUM(INDIRECT("M"&amp;(MAX((1=S$12:S125)*ROW(S$12:S125),ROW($W$12))&amp;":M"&amp;(ROW()))))-SUM(INDIRECT("W"&amp;(MAX((1=S$12:S125)*ROW(S$12:S125),ROW($W$12))&amp;":W"&amp;(ROW()-1)))))
)
)</f>
        <v>0</v>
      </c>
      <c r="X126" s="55">
        <f t="shared" ca="1" si="14"/>
        <v>0</v>
      </c>
      <c r="Y126" s="101">
        <f t="shared" ca="1" si="21"/>
        <v>0</v>
      </c>
      <c r="Z126" s="133" t="str">
        <f>IF(TYPE((VLOOKUP(Первоначальный[[#This Row],[Дата платежа]],График[Срок конец],1,0)))=16,"",1)</f>
        <v/>
      </c>
      <c r="AA126" s="57"/>
      <c r="AB126" s="134"/>
      <c r="AC12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4225.1400000000012</v>
      </c>
      <c r="AE12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4.2000000000000011</v>
      </c>
      <c r="AF12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317.20707213114764</v>
      </c>
      <c r="AH126" s="55"/>
      <c r="AI126" s="55"/>
      <c r="AJ126" s="55"/>
      <c r="AK126" s="101">
        <f t="shared" ca="1" si="22"/>
        <v>154179.88707213118</v>
      </c>
      <c r="AL126" s="129">
        <f t="array" ref="AL126">MAX((УслРестрактов[Характеристика]="Дата реструктуризации")*(УслРестрактов[Значение]=Первоначальный!$A126),0)</f>
        <v>0</v>
      </c>
    </row>
    <row r="127" spans="1:38" x14ac:dyDescent="0.25">
      <c r="A127" s="97">
        <f t="shared" si="15"/>
        <v>44258</v>
      </c>
      <c r="B127" s="100">
        <f t="shared" ca="1" si="16"/>
        <v>149633.34</v>
      </c>
      <c r="C127" s="55">
        <f t="shared" ca="1" si="24"/>
        <v>4225.1400000000012</v>
      </c>
      <c r="D127" s="55">
        <f t="shared" ca="1" si="24"/>
        <v>4.2000000000000011</v>
      </c>
      <c r="E127" s="55">
        <f t="shared" ca="1" si="17"/>
        <v>0</v>
      </c>
      <c r="F127" s="55">
        <f t="shared" ca="1" si="18"/>
        <v>317.20707213114764</v>
      </c>
      <c r="G127" s="101">
        <f t="shared" ca="1" si="19"/>
        <v>154179.88707213118</v>
      </c>
      <c r="H127" s="100">
        <f ca="1">ROUND($B127*VLOOKUP($A127,$A$1:$B$10,2,1)/(365+IF(MOD(YEAR($A127),4),0,1)*($A127-$A126)),2)-Первоначальный[[#This Row],[Проценты на просроченный платеж по ОД за период]]</f>
        <v>81.38</v>
      </c>
      <c r="I127" s="55">
        <f t="shared" ca="1" si="20"/>
        <v>0.2</v>
      </c>
      <c r="J127" s="55">
        <v>0</v>
      </c>
      <c r="K127" s="55">
        <f t="shared" ca="1" si="23"/>
        <v>14.418503278688529</v>
      </c>
      <c r="L127" s="55">
        <v>0</v>
      </c>
      <c r="M127" s="113">
        <f>SUMIFS(График[Возврат основной суммы долга],График[Дата с учетом нерабочих дней],$A127)</f>
        <v>0</v>
      </c>
      <c r="N127" s="56">
        <f>SUMIFS(График[Возврат начисленных %],График[Дата с учетом нерабочих дней],$A127)</f>
        <v>0</v>
      </c>
      <c r="O127" s="101">
        <v>0</v>
      </c>
      <c r="P127" s="100" cm="1">
        <f t="array" aca="1" ref="P127" ca="1">MAX(IF(AA126="Да",0,SUM(INDIRECT("M"&amp;(MAX(("Да"=AA$12:AA126)*ROW(AA$12:AA126)+1,ROW($P$12))&amp;":M"&amp;(ROW()))))-SUM(INDIRECT("W"&amp;(MAX(("Да"=AA$12:AA126)*ROW(AA$12:AA126)+1,ROW($P$12))&amp;":W"&amp;(ROW()))))),0)</f>
        <v>368.03999999999951</v>
      </c>
      <c r="Q127" s="99">
        <f ca="1">MAX(SUM($N$13:N127)-SUM($T$13:T127),0)</f>
        <v>2515.6606557377063</v>
      </c>
      <c r="R127" s="99">
        <f ca="1">Первоначальный[[#This Row],[Просроченный платеж по ОД]]+Первоначальный[[#This Row],[Просроченный платеж по процентам]]</f>
        <v>2883.7006557377058</v>
      </c>
      <c r="S127" s="120">
        <f ca="1">IF(Первоначальный[[#This Row],[Просроченный платеж]]&lt;1,0,S126+1)</f>
        <v>23</v>
      </c>
      <c r="T127" s="100" cm="1">
        <f t="array" aca="1" ref="T127" ca="1">IF(Первоначальный[[#This Row],[Итого остаток на начало периода]]&lt;1,0,
IF(
AND(TYPE(VLOOKUP(1,$Z$12:Z127,1,0))=16,Первоначальный[[#This Row],[Досрочное погашение (да/"")]]=""),0,
_xlfn.IFS(AND(S126=0,Первоначальный[[#This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платеж]]&lt;&gt;0),MIN(LOOKUP(,-1/($Z$12:Z127=1),$C$12:C127)+LOOKUP(,-1/($Z$12:Z127=1),$H$12:H127),Первоначальный[[#This Row],[Полученный платеж]]+Y126),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платеж]]+Y126,SUM(Первоначальный[[#This Row],[Остаток процентов на начало периода]],Первоначальный[[#This Row],[Проценты за период]])),
AND(S126=0,Первоначальный[[#This Row],[Дата платежа из графика]]=""),0,
AND(S126=0,Первоначальный[[#This Row],[Дата платежа из графика]]=1,MAX((0&lt;&gt;S$12:S126)*ROW(S$12:S126),ROW($S$12))&gt;=MAX((1=Z$12:Z126)*ROW(Z$12:Z126),ROW($T$12)),TYPE(VLOOKUP("Да",(INDIRECT("AA"&amp;(MAX((1=Z$12:Z126)*ROW(Z$12:Z126),ROW($T$12))&amp;":AA"&amp;(ROW()-1)))),1,0))=16),MIN(LOOKUP(,-1/($Z$12:Z127=1),$C$12:C127)+LOOKUP(,-1/($Z$12:Z127=1),$H$12:H127),Первоначальный[[#This Row],[Полученный платеж]]+Y126),
AND(S126=0,TYPE(VLOOKUP("Да",(INDIRECT("AA"&amp;(MAX((1=Z$12:Z126)*ROW(Z$12:Z126),ROW($T$12))&amp;":AA"&amp;(ROW()-1)))),1,0))&lt;&gt;16),MIN(LOOKUP(,-1/($Z$12:Z127=1),$C$12:C127)+LOOKUP(,-1/($Z$12:Z127=1),$H$12:H127)-IF(AA126="Да",0,SUM(INDIRECT("T"&amp;(MAX(("Да"=AA$12:AA126)*ROW(AA$12:AA126)+1,ROW($T$12))&amp;":T"&amp;(ROW()-1))))),Первоначальный[[#This Row],[Полученный платеж]]+Y126),
AND(S126=0,MAX((0&lt;&gt;N$12:N126)*ROW(N$12:N126),ROW($S$12))&gt;=MAX((1=Z$12:Z126)*ROW(Z$12:Z126),ROW($T$12))),MIN(LOOKUP(,-1/($Z$12:Z127=1),$C$12:C127)+LOOKUP(,-1/($Z$12:Z127=1),$H$12:H127)-IF(N126&lt;&gt;0,0,SUM(INDIRECT("T"&amp;(MAX((0&lt;&gt;N$12:N126)*ROW(N$12:N126)+1,ROW($T$12))&amp;":T"&amp;(ROW()-1))))),Первоначальный[[#This Row],[Полученный платеж]]+Y126),
AND(S126=0,Первоначальный[[#This Row],[Дата платежа из графика]]=1),MIN(LOOKUP(,-1/($Z$12:Z127=1),$C$12:C127)+LOOKUP(,-1/($Z$12:Z127=1),$H$12:H127)-IF(Z126=1,0,SUM(INDIRECT("T"&amp;(MAX((1=Z$12:Z126)*ROW(Z$12:Z126)+1,ROW($T$12))&amp;":T"&amp;(ROW()-1))))),Первоначальный[[#This Row],[Полученный платеж]]+Y126),
AND(Z126&gt;0,Первоначальный[[#This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платеж]]+Y126),
AND(S126&gt;0,MAX((0&lt;&gt;S$12:S126)*ROW(S$12:S126),ROW($S$12))&gt;=MAX((1=Z$12:Z126)*ROW(Z$12:Z126),ROW($T$12)),TYPE(VLOOKUP("Да",(INDIRECT("AA"&amp;(MAX((1=Z$12:Z126)*ROW(Z$12:Z126),ROW($T$12))&amp;":AA"&amp;(ROW()-1)))),1,0))=16),MIN(LOOKUP(,-1/($Z$12:Z127=1),$C$12:C127)+LOOKUP(,-1/($Z$12:Z127=1),$H$12:H127)-SUM(INDIRECT("T"&amp;(MAX((1=Z$12:Z126)*ROW(Z$12:Z126),ROW($T$12))&amp;":T"&amp;(ROW()-1)))),Первоначальный[[#This Row],[Полученный платеж]]+Y126),
S126&gt;0,MIN(LOOKUP(,-1/($Z$12:Z127=1),$C$12:C127)+LOOKUP(,-1/($Z$12:Z127=1),$H$12:H127)-IF(Z126=1,0,SUM(INDIRECT("T"&amp;(MAX((1=Z$12:Z126)*ROW(Z$12:Z126)+1,ROW($T$12))&amp;":T"&amp;(ROW()-1))))),Первоначальный[[#This Row],[Полученный платеж]]+Y126)
)
)
)</f>
        <v>0</v>
      </c>
      <c r="U12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платеж]]+Y126-Первоначальный[[#This Row],[Полученный платёж по процентам]])</f>
        <v>0</v>
      </c>
      <c r="V127" s="55">
        <f t="shared" ca="1" si="13"/>
        <v>0</v>
      </c>
      <c r="W127" s="55" cm="1">
        <f t="array" aca="1" ref="W127" ca="1">IF(Первоначальный[[#This Row],[Итого остаток на начало периода]]&lt;1,0,
_xlfn.IFS(
AND(TYPE(VLOOKUP(1,$Z$12:Z127,1,0))=16,Первоначальный[[#This Row],[Досрочное погашение (да/"")]]=""),0,
AND(S126=0,Первоначальный[[#This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комиссиям]]),VLOOKUP(LOOKUP(,-1/($Z$12:Z127=1),$A$12:A127),График[[Срок конец]:[Возврат основной суммы долга]],3,0)),
AND(S126=0,Первоначальный[[#This Row],[Дата платежа из графика]]="",Первоначальный[[#This Row],[Досрочное погашение (да/"")]]&lt;&gt;"Да"),0,
AND(S126=0,Первоначальный[[#This Row],[Досрочное погашение (да/"")]]=""),MIN(Первоначальный[[#This Row],[Полученный платеж]]+Y126-SUM(Первоначальный[[#This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комиссиям]]),VLOOKUP(LOOKUP(,-1/($Z$12:Z127=1),$A$12:A127),График[[Срок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S126&gt;0,MIN(Первоначальный[[#This Row],[Полученный платеж]]+Y126-SUM(Первоначальный[[#This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комиссиям]]),SUM(INDIRECT("M"&amp;(MAX((1=S$12:S126)*ROW(S$12:S126),ROW($W$12))&amp;":M"&amp;(ROW()))))-SUM(INDIRECT("W"&amp;(MAX((1=S$12:S126)*ROW(S$12:S126),ROW($W$12))&amp;":W"&amp;(ROW()-1)))))
)
)</f>
        <v>0</v>
      </c>
      <c r="X127" s="55">
        <f t="shared" ca="1" si="14"/>
        <v>0</v>
      </c>
      <c r="Y127" s="101">
        <f t="shared" ca="1" si="21"/>
        <v>0</v>
      </c>
      <c r="Z127" s="133" t="str">
        <f>IF(TYPE((VLOOKUP(Первоначальный[[#This Row],[Дата платежа]],График[Срок конец],1,0)))=16,"",1)</f>
        <v/>
      </c>
      <c r="AA127" s="57"/>
      <c r="AB127" s="134"/>
      <c r="AC12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4306.5200000000013</v>
      </c>
      <c r="AE12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4.4000000000000012</v>
      </c>
      <c r="AF12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331.62557540983619</v>
      </c>
      <c r="AH127" s="55"/>
      <c r="AI127" s="55"/>
      <c r="AJ127" s="55"/>
      <c r="AK127" s="101">
        <f t="shared" ca="1" si="22"/>
        <v>154275.8855754098</v>
      </c>
      <c r="AL127" s="129">
        <f t="array" ref="AL127">MAX((УслРестрактов[Характеристика]="Дата реструктуризации")*(УслРестрактов[Значение]=Первоначальный!$A127),0)</f>
        <v>0</v>
      </c>
    </row>
    <row r="128" spans="1:38" x14ac:dyDescent="0.25">
      <c r="A128" s="97">
        <f t="shared" si="15"/>
        <v>44259</v>
      </c>
      <c r="B128" s="100">
        <f t="shared" ca="1" si="16"/>
        <v>149633.34</v>
      </c>
      <c r="C128" s="55">
        <f t="shared" ca="1" si="24"/>
        <v>4306.5200000000013</v>
      </c>
      <c r="D128" s="55">
        <f t="shared" ca="1" si="24"/>
        <v>4.4000000000000012</v>
      </c>
      <c r="E128" s="55">
        <f t="shared" ca="1" si="17"/>
        <v>0</v>
      </c>
      <c r="F128" s="55">
        <f t="shared" ca="1" si="18"/>
        <v>331.62557540983619</v>
      </c>
      <c r="G128" s="101">
        <f t="shared" ca="1" si="19"/>
        <v>154275.8855754098</v>
      </c>
      <c r="H128" s="100">
        <f ca="1">ROUND($B128*VLOOKUP($A128,$A$1:$B$10,2,1)/(365+IF(MOD(YEAR($A128),4),0,1)*($A128-$A127)),2)-Первоначальный[[#This Row],[Проценты на просроченный платеж по ОД за период]]</f>
        <v>81.38</v>
      </c>
      <c r="I128" s="55">
        <f t="shared" ca="1" si="20"/>
        <v>0.2</v>
      </c>
      <c r="J128" s="55">
        <v>0</v>
      </c>
      <c r="K128" s="55">
        <f t="shared" ca="1" si="23"/>
        <v>14.418503278688529</v>
      </c>
      <c r="L128" s="55">
        <v>0</v>
      </c>
      <c r="M128" s="113">
        <f>SUMIFS(График[Возврат основной суммы долга],График[Дата с учетом нерабочих дней],$A128)</f>
        <v>0</v>
      </c>
      <c r="N128" s="56">
        <f>SUMIFS(График[Возврат начисленных %],График[Дата с учетом нерабочих дней],$A128)</f>
        <v>0</v>
      </c>
      <c r="O128" s="101">
        <v>0</v>
      </c>
      <c r="P128" s="100" cm="1">
        <f t="array" aca="1" ref="P128" ca="1">MAX(IF(AA127="Да",0,SUM(INDIRECT("M"&amp;(MAX(("Да"=AA$12:AA127)*ROW(AA$12:AA127)+1,ROW($P$12))&amp;":M"&amp;(ROW()))))-SUM(INDIRECT("W"&amp;(MAX(("Да"=AA$12:AA127)*ROW(AA$12:AA127)+1,ROW($P$12))&amp;":W"&amp;(ROW()))))),0)</f>
        <v>368.03999999999951</v>
      </c>
      <c r="Q128" s="99">
        <f ca="1">MAX(SUM($N$13:N128)-SUM($T$13:T128),0)</f>
        <v>2515.6606557377063</v>
      </c>
      <c r="R128" s="99">
        <f ca="1">Первоначальный[[#This Row],[Просроченный платеж по ОД]]+Первоначальный[[#This Row],[Просроченный платеж по процентам]]</f>
        <v>2883.7006557377058</v>
      </c>
      <c r="S128" s="120">
        <f ca="1">IF(Первоначальный[[#This Row],[Просроченный платеж]]&lt;1,0,S127+1)</f>
        <v>24</v>
      </c>
      <c r="T128" s="100" cm="1">
        <f t="array" aca="1" ref="T128" ca="1">IF(Первоначальный[[#This Row],[Итого остаток на начало периода]]&lt;1,0,
IF(
AND(TYPE(VLOOKUP(1,$Z$12:Z128,1,0))=16,Первоначальный[[#This Row],[Досрочное погашение (да/"")]]=""),0,
_xlfn.IFS(AND(S127=0,Первоначальный[[#This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платеж]]&lt;&gt;0),MIN(LOOKUP(,-1/($Z$12:Z128=1),$C$12:C128)+LOOKUP(,-1/($Z$12:Z128=1),$H$12:H128),Первоначальный[[#This Row],[Полученный платеж]]+Y127),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платеж]]+Y127,SUM(Первоначальный[[#This Row],[Остаток процентов на начало периода]],Первоначальный[[#This Row],[Проценты за период]])),
AND(S127=0,Первоначальный[[#This Row],[Дата платежа из графика]]=""),0,
AND(S127=0,Первоначальный[[#This Row],[Дата платежа из графика]]=1,MAX((0&lt;&gt;S$12:S127)*ROW(S$12:S127),ROW($S$12))&gt;=MAX((1=Z$12:Z127)*ROW(Z$12:Z127),ROW($T$12)),TYPE(VLOOKUP("Да",(INDIRECT("AA"&amp;(MAX((1=Z$12:Z127)*ROW(Z$12:Z127),ROW($T$12))&amp;":AA"&amp;(ROW()-1)))),1,0))=16),MIN(LOOKUP(,-1/($Z$12:Z128=1),$C$12:C128)+LOOKUP(,-1/($Z$12:Z128=1),$H$12:H128),Первоначальный[[#This Row],[Полученный платеж]]+Y127),
AND(S127=0,TYPE(VLOOKUP("Да",(INDIRECT("AA"&amp;(MAX((1=Z$12:Z127)*ROW(Z$12:Z127),ROW($T$12))&amp;":AA"&amp;(ROW()-1)))),1,0))&lt;&gt;16),MIN(LOOKUP(,-1/($Z$12:Z128=1),$C$12:C128)+LOOKUP(,-1/($Z$12:Z128=1),$H$12:H128)-IF(AA127="Да",0,SUM(INDIRECT("T"&amp;(MAX(("Да"=AA$12:AA127)*ROW(AA$12:AA127)+1,ROW($T$12))&amp;":T"&amp;(ROW()-1))))),Первоначальный[[#This Row],[Полученный платеж]]+Y127),
AND(S127=0,MAX((0&lt;&gt;N$12:N127)*ROW(N$12:N127),ROW($S$12))&gt;=MAX((1=Z$12:Z127)*ROW(Z$12:Z127),ROW($T$12))),MIN(LOOKUP(,-1/($Z$12:Z128=1),$C$12:C128)+LOOKUP(,-1/($Z$12:Z128=1),$H$12:H128)-IF(N127&lt;&gt;0,0,SUM(INDIRECT("T"&amp;(MAX((0&lt;&gt;N$12:N127)*ROW(N$12:N127)+1,ROW($T$12))&amp;":T"&amp;(ROW()-1))))),Первоначальный[[#This Row],[Полученный платеж]]+Y127),
AND(S127=0,Первоначальный[[#This Row],[Дата платежа из графика]]=1),MIN(LOOKUP(,-1/($Z$12:Z128=1),$C$12:C128)+LOOKUP(,-1/($Z$12:Z128=1),$H$12:H128)-IF(Z127=1,0,SUM(INDIRECT("T"&amp;(MAX((1=Z$12:Z127)*ROW(Z$12:Z127)+1,ROW($T$12))&amp;":T"&amp;(ROW()-1))))),Первоначальный[[#This Row],[Полученный платеж]]+Y127),
AND(Z127&gt;0,Первоначальный[[#This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платеж]]+Y127),
AND(S127&gt;0,MAX((0&lt;&gt;S$12:S127)*ROW(S$12:S127),ROW($S$12))&gt;=MAX((1=Z$12:Z127)*ROW(Z$12:Z127),ROW($T$12)),TYPE(VLOOKUP("Да",(INDIRECT("AA"&amp;(MAX((1=Z$12:Z127)*ROW(Z$12:Z127),ROW($T$12))&amp;":AA"&amp;(ROW()-1)))),1,0))=16),MIN(LOOKUP(,-1/($Z$12:Z128=1),$C$12:C128)+LOOKUP(,-1/($Z$12:Z128=1),$H$12:H128)-SUM(INDIRECT("T"&amp;(MAX((1=Z$12:Z127)*ROW(Z$12:Z127),ROW($T$12))&amp;":T"&amp;(ROW()-1)))),Первоначальный[[#This Row],[Полученный платеж]]+Y127),
S127&gt;0,MIN(LOOKUP(,-1/($Z$12:Z128=1),$C$12:C128)+LOOKUP(,-1/($Z$12:Z128=1),$H$12:H128)-IF(Z127=1,0,SUM(INDIRECT("T"&amp;(MAX((1=Z$12:Z127)*ROW(Z$12:Z127)+1,ROW($T$12))&amp;":T"&amp;(ROW()-1))))),Первоначальный[[#This Row],[Полученный платеж]]+Y127)
)
)
)</f>
        <v>0</v>
      </c>
      <c r="U12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платеж]]+Y127-Первоначальный[[#This Row],[Полученный платёж по процентам]])</f>
        <v>0</v>
      </c>
      <c r="V128" s="55">
        <f t="shared" ca="1" si="13"/>
        <v>0</v>
      </c>
      <c r="W128" s="55" cm="1">
        <f t="array" aca="1" ref="W128" ca="1">IF(Первоначальный[[#This Row],[Итого остаток на начало периода]]&lt;1,0,
_xlfn.IFS(
AND(TYPE(VLOOKUP(1,$Z$12:Z128,1,0))=16,Первоначальный[[#This Row],[Досрочное погашение (да/"")]]=""),0,
AND(S127=0,Первоначальный[[#This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комиссиям]]),VLOOKUP(LOOKUP(,-1/($Z$12:Z128=1),$A$12:A128),График[[Срок конец]:[Возврат основной суммы долга]],3,0)),
AND(S127=0,Первоначальный[[#This Row],[Дата платежа из графика]]="",Первоначальный[[#This Row],[Досрочное погашение (да/"")]]&lt;&gt;"Да"),0,
AND(S127=0,Первоначальный[[#This Row],[Досрочное погашение (да/"")]]=""),MIN(Первоначальный[[#This Row],[Полученный платеж]]+Y127-SUM(Первоначальный[[#This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комиссиям]]),VLOOKUP(LOOKUP(,-1/($Z$12:Z128=1),$A$12:A128),График[[Срок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S127&gt;0,MIN(Первоначальный[[#This Row],[Полученный платеж]]+Y127-SUM(Первоначальный[[#This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комиссиям]]),SUM(INDIRECT("M"&amp;(MAX((1=S$12:S127)*ROW(S$12:S127),ROW($W$12))&amp;":M"&amp;(ROW()))))-SUM(INDIRECT("W"&amp;(MAX((1=S$12:S127)*ROW(S$12:S127),ROW($W$12))&amp;":W"&amp;(ROW()-1)))))
)
)</f>
        <v>0</v>
      </c>
      <c r="X128" s="55">
        <f t="shared" ca="1" si="14"/>
        <v>0</v>
      </c>
      <c r="Y128" s="101">
        <f t="shared" ca="1" si="21"/>
        <v>0</v>
      </c>
      <c r="Z128" s="133" t="str">
        <f>IF(TYPE((VLOOKUP(Первоначальный[[#This Row],[Дата платежа]],График[Срок конец],1,0)))=16,"",1)</f>
        <v/>
      </c>
      <c r="AA128" s="57"/>
      <c r="AB128" s="134"/>
      <c r="AC12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4387.9000000000015</v>
      </c>
      <c r="AE12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4.6000000000000014</v>
      </c>
      <c r="AF12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346.04407868852473</v>
      </c>
      <c r="AH128" s="55"/>
      <c r="AI128" s="55"/>
      <c r="AJ128" s="55"/>
      <c r="AK128" s="101">
        <f t="shared" ca="1" si="22"/>
        <v>154371.88407868851</v>
      </c>
      <c r="AL128" s="129">
        <f t="array" ref="AL128">MAX((УслРестрактов[Характеристика]="Дата реструктуризации")*(УслРестрактов[Значение]=Первоначальный!$A128),0)</f>
        <v>0</v>
      </c>
    </row>
    <row r="129" spans="1:38" x14ac:dyDescent="0.25">
      <c r="A129" s="97">
        <f t="shared" si="15"/>
        <v>44260</v>
      </c>
      <c r="B129" s="100">
        <f t="shared" ca="1" si="16"/>
        <v>149633.34</v>
      </c>
      <c r="C129" s="55">
        <f t="shared" ca="1" si="24"/>
        <v>4387.9000000000015</v>
      </c>
      <c r="D129" s="55">
        <f t="shared" ca="1" si="24"/>
        <v>4.6000000000000014</v>
      </c>
      <c r="E129" s="55">
        <f t="shared" ca="1" si="17"/>
        <v>0</v>
      </c>
      <c r="F129" s="55">
        <f t="shared" ca="1" si="18"/>
        <v>346.04407868852473</v>
      </c>
      <c r="G129" s="101">
        <f t="shared" ca="1" si="19"/>
        <v>154371.88407868851</v>
      </c>
      <c r="H129" s="100">
        <f ca="1">ROUND($B129*VLOOKUP($A129,$A$1:$B$10,2,1)/(365+IF(MOD(YEAR($A129),4),0,1)*($A129-$A128)),2)-Первоначальный[[#This Row],[Проценты на просроченный платеж по ОД за период]]</f>
        <v>81.38</v>
      </c>
      <c r="I129" s="55">
        <f t="shared" ca="1" si="20"/>
        <v>0.2</v>
      </c>
      <c r="J129" s="55">
        <v>0</v>
      </c>
      <c r="K129" s="55">
        <f t="shared" ca="1" si="23"/>
        <v>14.418503278688529</v>
      </c>
      <c r="L129" s="55">
        <v>0</v>
      </c>
      <c r="M129" s="113">
        <f>SUMIFS(График[Возврат основной суммы долга],График[Дата с учетом нерабочих дней],$A129)</f>
        <v>0</v>
      </c>
      <c r="N129" s="56">
        <f>SUMIFS(График[Возврат начисленных %],График[Дата с учетом нерабочих дней],$A129)</f>
        <v>0</v>
      </c>
      <c r="O129" s="101">
        <v>0</v>
      </c>
      <c r="P129" s="100" cm="1">
        <f t="array" aca="1" ref="P129" ca="1">MAX(IF(AA128="Да",0,SUM(INDIRECT("M"&amp;(MAX(("Да"=AA$12:AA128)*ROW(AA$12:AA128)+1,ROW($P$12))&amp;":M"&amp;(ROW()))))-SUM(INDIRECT("W"&amp;(MAX(("Да"=AA$12:AA128)*ROW(AA$12:AA128)+1,ROW($P$12))&amp;":W"&amp;(ROW()))))),0)</f>
        <v>368.03999999999951</v>
      </c>
      <c r="Q129" s="99">
        <f ca="1">MAX(SUM($N$13:N129)-SUM($T$13:T129),0)</f>
        <v>2515.6606557377063</v>
      </c>
      <c r="R129" s="99">
        <f ca="1">Первоначальный[[#This Row],[Просроченный платеж по ОД]]+Первоначальный[[#This Row],[Просроченный платеж по процентам]]</f>
        <v>2883.7006557377058</v>
      </c>
      <c r="S129" s="120">
        <f ca="1">IF(Первоначальный[[#This Row],[Просроченный платеж]]&lt;1,0,S128+1)</f>
        <v>25</v>
      </c>
      <c r="T129" s="100" cm="1">
        <f t="array" aca="1" ref="T129" ca="1">IF(Первоначальный[[#This Row],[Итого остаток на начало периода]]&lt;1,0,
IF(
AND(TYPE(VLOOKUP(1,$Z$12:Z129,1,0))=16,Первоначальный[[#This Row],[Досрочное погашение (да/"")]]=""),0,
_xlfn.IFS(AND(S128=0,Первоначальный[[#This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платеж]]&lt;&gt;0),MIN(LOOKUP(,-1/($Z$12:Z129=1),$C$12:C129)+LOOKUP(,-1/($Z$12:Z129=1),$H$12:H129),Первоначальный[[#This Row],[Полученный платеж]]+Y128),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платеж]]+Y128,SUM(Первоначальный[[#This Row],[Остаток процентов на начало периода]],Первоначальный[[#This Row],[Проценты за период]])),
AND(S128=0,Первоначальный[[#This Row],[Дата платежа из графика]]=""),0,
AND(S128=0,Первоначальный[[#This Row],[Дата платежа из графика]]=1,MAX((0&lt;&gt;S$12:S128)*ROW(S$12:S128),ROW($S$12))&gt;=MAX((1=Z$12:Z128)*ROW(Z$12:Z128),ROW($T$12)),TYPE(VLOOKUP("Да",(INDIRECT("AA"&amp;(MAX((1=Z$12:Z128)*ROW(Z$12:Z128),ROW($T$12))&amp;":AA"&amp;(ROW()-1)))),1,0))=16),MIN(LOOKUP(,-1/($Z$12:Z129=1),$C$12:C129)+LOOKUP(,-1/($Z$12:Z129=1),$H$12:H129),Первоначальный[[#This Row],[Полученный платеж]]+Y128),
AND(S128=0,TYPE(VLOOKUP("Да",(INDIRECT("AA"&amp;(MAX((1=Z$12:Z128)*ROW(Z$12:Z128),ROW($T$12))&amp;":AA"&amp;(ROW()-1)))),1,0))&lt;&gt;16),MIN(LOOKUP(,-1/($Z$12:Z129=1),$C$12:C129)+LOOKUP(,-1/($Z$12:Z129=1),$H$12:H129)-IF(AA128="Да",0,SUM(INDIRECT("T"&amp;(MAX(("Да"=AA$12:AA128)*ROW(AA$12:AA128)+1,ROW($T$12))&amp;":T"&amp;(ROW()-1))))),Первоначальный[[#This Row],[Полученный платеж]]+Y128),
AND(S128=0,MAX((0&lt;&gt;N$12:N128)*ROW(N$12:N128),ROW($S$12))&gt;=MAX((1=Z$12:Z128)*ROW(Z$12:Z128),ROW($T$12))),MIN(LOOKUP(,-1/($Z$12:Z129=1),$C$12:C129)+LOOKUP(,-1/($Z$12:Z129=1),$H$12:H129)-IF(N128&lt;&gt;0,0,SUM(INDIRECT("T"&amp;(MAX((0&lt;&gt;N$12:N128)*ROW(N$12:N128)+1,ROW($T$12))&amp;":T"&amp;(ROW()-1))))),Первоначальный[[#This Row],[Полученный платеж]]+Y128),
AND(S128=0,Первоначальный[[#This Row],[Дата платежа из графика]]=1),MIN(LOOKUP(,-1/($Z$12:Z129=1),$C$12:C129)+LOOKUP(,-1/($Z$12:Z129=1),$H$12:H129)-IF(Z128=1,0,SUM(INDIRECT("T"&amp;(MAX((1=Z$12:Z128)*ROW(Z$12:Z128)+1,ROW($T$12))&amp;":T"&amp;(ROW()-1))))),Первоначальный[[#This Row],[Полученный платеж]]+Y128),
AND(Z128&gt;0,Первоначальный[[#This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платеж]]+Y128),
AND(S128&gt;0,MAX((0&lt;&gt;S$12:S128)*ROW(S$12:S128),ROW($S$12))&gt;=MAX((1=Z$12:Z128)*ROW(Z$12:Z128),ROW($T$12)),TYPE(VLOOKUP("Да",(INDIRECT("AA"&amp;(MAX((1=Z$12:Z128)*ROW(Z$12:Z128),ROW($T$12))&amp;":AA"&amp;(ROW()-1)))),1,0))=16),MIN(LOOKUP(,-1/($Z$12:Z129=1),$C$12:C129)+LOOKUP(,-1/($Z$12:Z129=1),$H$12:H129)-SUM(INDIRECT("T"&amp;(MAX((1=Z$12:Z128)*ROW(Z$12:Z128),ROW($T$12))&amp;":T"&amp;(ROW()-1)))),Первоначальный[[#This Row],[Полученный платеж]]+Y128),
S128&gt;0,MIN(LOOKUP(,-1/($Z$12:Z129=1),$C$12:C129)+LOOKUP(,-1/($Z$12:Z129=1),$H$12:H129)-IF(Z128=1,0,SUM(INDIRECT("T"&amp;(MAX((1=Z$12:Z128)*ROW(Z$12:Z128)+1,ROW($T$12))&amp;":T"&amp;(ROW()-1))))),Первоначальный[[#This Row],[Полученный платеж]]+Y128)
)
)
)</f>
        <v>0</v>
      </c>
      <c r="U12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платеж]]+Y128-Первоначальный[[#This Row],[Полученный платёж по процентам]])</f>
        <v>0</v>
      </c>
      <c r="V129" s="55">
        <f t="shared" ca="1" si="13"/>
        <v>0</v>
      </c>
      <c r="W129" s="55" cm="1">
        <f t="array" aca="1" ref="W129" ca="1">IF(Первоначальный[[#This Row],[Итого остаток на начало периода]]&lt;1,0,
_xlfn.IFS(
AND(TYPE(VLOOKUP(1,$Z$12:Z129,1,0))=16,Первоначальный[[#This Row],[Досрочное погашение (да/"")]]=""),0,
AND(S128=0,Первоначальный[[#This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комиссиям]]),VLOOKUP(LOOKUP(,-1/($Z$12:Z129=1),$A$12:A129),График[[Срок конец]:[Возврат основной суммы долга]],3,0)),
AND(S128=0,Первоначальный[[#This Row],[Дата платежа из графика]]="",Первоначальный[[#This Row],[Досрочное погашение (да/"")]]&lt;&gt;"Да"),0,
AND(S128=0,Первоначальный[[#This Row],[Досрочное погашение (да/"")]]=""),MIN(Первоначальный[[#This Row],[Полученный платеж]]+Y128-SUM(Первоначальный[[#This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комиссиям]]),VLOOKUP(LOOKUP(,-1/($Z$12:Z129=1),$A$12:A129),График[[Срок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S128&gt;0,MIN(Первоначальный[[#This Row],[Полученный платеж]]+Y128-SUM(Первоначальный[[#This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комиссиям]]),SUM(INDIRECT("M"&amp;(MAX((1=S$12:S128)*ROW(S$12:S128),ROW($W$12))&amp;":M"&amp;(ROW()))))-SUM(INDIRECT("W"&amp;(MAX((1=S$12:S128)*ROW(S$12:S128),ROW($W$12))&amp;":W"&amp;(ROW()-1)))))
)
)</f>
        <v>0</v>
      </c>
      <c r="X129" s="55">
        <f t="shared" ca="1" si="14"/>
        <v>0</v>
      </c>
      <c r="Y129" s="101">
        <f t="shared" ca="1" si="21"/>
        <v>0</v>
      </c>
      <c r="Z129" s="133" t="str">
        <f>IF(TYPE((VLOOKUP(Первоначальный[[#This Row],[Дата платежа]],График[Срок конец],1,0)))=16,"",1)</f>
        <v/>
      </c>
      <c r="AA129" s="57"/>
      <c r="AB129" s="134"/>
      <c r="AC12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4469.2800000000016</v>
      </c>
      <c r="AE12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4.8000000000000016</v>
      </c>
      <c r="AF12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360.46258196721328</v>
      </c>
      <c r="AH129" s="55"/>
      <c r="AI129" s="55"/>
      <c r="AJ129" s="55"/>
      <c r="AK129" s="101">
        <f t="shared" ca="1" si="22"/>
        <v>154467.88258196719</v>
      </c>
      <c r="AL129" s="129">
        <f t="array" ref="AL129">MAX((УслРестрактов[Характеристика]="Дата реструктуризации")*(УслРестрактов[Значение]=Первоначальный!$A129),0)</f>
        <v>0</v>
      </c>
    </row>
    <row r="130" spans="1:38" x14ac:dyDescent="0.25">
      <c r="A130" s="97">
        <f t="shared" si="15"/>
        <v>44261</v>
      </c>
      <c r="B130" s="100">
        <f t="shared" ca="1" si="16"/>
        <v>149633.34</v>
      </c>
      <c r="C130" s="55">
        <f t="shared" ca="1" si="24"/>
        <v>4469.2800000000016</v>
      </c>
      <c r="D130" s="55">
        <f t="shared" ca="1" si="24"/>
        <v>4.8000000000000016</v>
      </c>
      <c r="E130" s="55">
        <f t="shared" ca="1" si="17"/>
        <v>0</v>
      </c>
      <c r="F130" s="55">
        <f t="shared" ca="1" si="18"/>
        <v>360.46258196721328</v>
      </c>
      <c r="G130" s="101">
        <f t="shared" ca="1" si="19"/>
        <v>154467.88258196719</v>
      </c>
      <c r="H130" s="100">
        <f ca="1">ROUND($B130*VLOOKUP($A130,$A$1:$B$10,2,1)/(365+IF(MOD(YEAR($A130),4),0,1)*($A130-$A129)),2)-Первоначальный[[#This Row],[Проценты на просроченный платеж по ОД за период]]</f>
        <v>81.38</v>
      </c>
      <c r="I130" s="55">
        <f t="shared" ca="1" si="20"/>
        <v>0.2</v>
      </c>
      <c r="J130" s="55">
        <v>0</v>
      </c>
      <c r="K130" s="55">
        <f t="shared" ca="1" si="23"/>
        <v>14.418503278688529</v>
      </c>
      <c r="L130" s="55">
        <v>0</v>
      </c>
      <c r="M130" s="113">
        <f>SUMIFS(График[Возврат основной суммы долга],График[Дата с учетом нерабочих дней],$A130)</f>
        <v>0</v>
      </c>
      <c r="N130" s="56">
        <f>SUMIFS(График[Возврат начисленных %],График[Дата с учетом нерабочих дней],$A130)</f>
        <v>0</v>
      </c>
      <c r="O130" s="101">
        <v>0</v>
      </c>
      <c r="P130" s="100" cm="1">
        <f t="array" aca="1" ref="P130" ca="1">MAX(IF(AA129="Да",0,SUM(INDIRECT("M"&amp;(MAX(("Да"=AA$12:AA129)*ROW(AA$12:AA129)+1,ROW($P$12))&amp;":M"&amp;(ROW()))))-SUM(INDIRECT("W"&amp;(MAX(("Да"=AA$12:AA129)*ROW(AA$12:AA129)+1,ROW($P$12))&amp;":W"&amp;(ROW()))))),0)</f>
        <v>368.03999999999951</v>
      </c>
      <c r="Q130" s="99">
        <f ca="1">MAX(SUM($N$13:N130)-SUM($T$13:T130),0)</f>
        <v>2515.6606557377063</v>
      </c>
      <c r="R130" s="99">
        <f ca="1">Первоначальный[[#This Row],[Просроченный платеж по ОД]]+Первоначальный[[#This Row],[Просроченный платеж по процентам]]</f>
        <v>2883.7006557377058</v>
      </c>
      <c r="S130" s="120">
        <f ca="1">IF(Первоначальный[[#This Row],[Просроченный платеж]]&lt;1,0,S129+1)</f>
        <v>26</v>
      </c>
      <c r="T130" s="100" cm="1">
        <f t="array" aca="1" ref="T130" ca="1">IF(Первоначальный[[#This Row],[Итого остаток на начало периода]]&lt;1,0,
IF(
AND(TYPE(VLOOKUP(1,$Z$12:Z130,1,0))=16,Первоначальный[[#This Row],[Досрочное погашение (да/"")]]=""),0,
_xlfn.IFS(AND(S129=0,Первоначальный[[#This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платеж]]&lt;&gt;0),MIN(LOOKUP(,-1/($Z$12:Z130=1),$C$12:C130)+LOOKUP(,-1/($Z$12:Z130=1),$H$12:H130),Первоначальный[[#This Row],[Полученный платеж]]+Y129),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платеж]]+Y129,SUM(Первоначальный[[#This Row],[Остаток процентов на начало периода]],Первоначальный[[#This Row],[Проценты за период]])),
AND(S129=0,Первоначальный[[#This Row],[Дата платежа из графика]]=""),0,
AND(S129=0,Первоначальный[[#This Row],[Дата платежа из графика]]=1,MAX((0&lt;&gt;S$12:S129)*ROW(S$12:S129),ROW($S$12))&gt;=MAX((1=Z$12:Z129)*ROW(Z$12:Z129),ROW($T$12)),TYPE(VLOOKUP("Да",(INDIRECT("AA"&amp;(MAX((1=Z$12:Z129)*ROW(Z$12:Z129),ROW($T$12))&amp;":AA"&amp;(ROW()-1)))),1,0))=16),MIN(LOOKUP(,-1/($Z$12:Z130=1),$C$12:C130)+LOOKUP(,-1/($Z$12:Z130=1),$H$12:H130),Первоначальный[[#This Row],[Полученный платеж]]+Y129),
AND(S129=0,TYPE(VLOOKUP("Да",(INDIRECT("AA"&amp;(MAX((1=Z$12:Z129)*ROW(Z$12:Z129),ROW($T$12))&amp;":AA"&amp;(ROW()-1)))),1,0))&lt;&gt;16),MIN(LOOKUP(,-1/($Z$12:Z130=1),$C$12:C130)+LOOKUP(,-1/($Z$12:Z130=1),$H$12:H130)-IF(AA129="Да",0,SUM(INDIRECT("T"&amp;(MAX(("Да"=AA$12:AA129)*ROW(AA$12:AA129)+1,ROW($T$12))&amp;":T"&amp;(ROW()-1))))),Первоначальный[[#This Row],[Полученный платеж]]+Y129),
AND(S129=0,MAX((0&lt;&gt;N$12:N129)*ROW(N$12:N129),ROW($S$12))&gt;=MAX((1=Z$12:Z129)*ROW(Z$12:Z129),ROW($T$12))),MIN(LOOKUP(,-1/($Z$12:Z130=1),$C$12:C130)+LOOKUP(,-1/($Z$12:Z130=1),$H$12:H130)-IF(N129&lt;&gt;0,0,SUM(INDIRECT("T"&amp;(MAX((0&lt;&gt;N$12:N129)*ROW(N$12:N129)+1,ROW($T$12))&amp;":T"&amp;(ROW()-1))))),Первоначальный[[#This Row],[Полученный платеж]]+Y129),
AND(S129=0,Первоначальный[[#This Row],[Дата платежа из графика]]=1),MIN(LOOKUP(,-1/($Z$12:Z130=1),$C$12:C130)+LOOKUP(,-1/($Z$12:Z130=1),$H$12:H130)-IF(Z129=1,0,SUM(INDIRECT("T"&amp;(MAX((1=Z$12:Z129)*ROW(Z$12:Z129)+1,ROW($T$12))&amp;":T"&amp;(ROW()-1))))),Первоначальный[[#This Row],[Полученный платеж]]+Y129),
AND(Z129&gt;0,Первоначальный[[#This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платеж]]+Y129),
AND(S129&gt;0,MAX((0&lt;&gt;S$12:S129)*ROW(S$12:S129),ROW($S$12))&gt;=MAX((1=Z$12:Z129)*ROW(Z$12:Z129),ROW($T$12)),TYPE(VLOOKUP("Да",(INDIRECT("AA"&amp;(MAX((1=Z$12:Z129)*ROW(Z$12:Z129),ROW($T$12))&amp;":AA"&amp;(ROW()-1)))),1,0))=16),MIN(LOOKUP(,-1/($Z$12:Z130=1),$C$12:C130)+LOOKUP(,-1/($Z$12:Z130=1),$H$12:H130)-SUM(INDIRECT("T"&amp;(MAX((1=Z$12:Z129)*ROW(Z$12:Z129),ROW($T$12))&amp;":T"&amp;(ROW()-1)))),Первоначальный[[#This Row],[Полученный платеж]]+Y129),
S129&gt;0,MIN(LOOKUP(,-1/($Z$12:Z130=1),$C$12:C130)+LOOKUP(,-1/($Z$12:Z130=1),$H$12:H130)-IF(Z129=1,0,SUM(INDIRECT("T"&amp;(MAX((1=Z$12:Z129)*ROW(Z$12:Z129)+1,ROW($T$12))&amp;":T"&amp;(ROW()-1))))),Первоначальный[[#This Row],[Полученный платеж]]+Y129)
)
)
)</f>
        <v>0</v>
      </c>
      <c r="U13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платеж]]+Y129-Первоначальный[[#This Row],[Полученный платёж по процентам]])</f>
        <v>0</v>
      </c>
      <c r="V130" s="55">
        <f t="shared" ca="1" si="13"/>
        <v>0</v>
      </c>
      <c r="W130" s="55" cm="1">
        <f t="array" aca="1" ref="W130" ca="1">IF(Первоначальный[[#This Row],[Итого остаток на начало периода]]&lt;1,0,
_xlfn.IFS(
AND(TYPE(VLOOKUP(1,$Z$12:Z130,1,0))=16,Первоначальный[[#This Row],[Досрочное погашение (да/"")]]=""),0,
AND(S129=0,Первоначальный[[#This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комиссиям]]),VLOOKUP(LOOKUP(,-1/($Z$12:Z130=1),$A$12:A130),График[[Срок конец]:[Возврат основной суммы долга]],3,0)),
AND(S129=0,Первоначальный[[#This Row],[Дата платежа из графика]]="",Первоначальный[[#This Row],[Досрочное погашение (да/"")]]&lt;&gt;"Да"),0,
AND(S129=0,Первоначальный[[#This Row],[Досрочное погашение (да/"")]]=""),MIN(Первоначальный[[#This Row],[Полученный платеж]]+Y129-SUM(Первоначальный[[#This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комиссиям]]),VLOOKUP(LOOKUP(,-1/($Z$12:Z130=1),$A$12:A130),График[[Срок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S129&gt;0,MIN(Первоначальный[[#This Row],[Полученный платеж]]+Y129-SUM(Первоначальный[[#This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комиссиям]]),SUM(INDIRECT("M"&amp;(MAX((1=S$12:S129)*ROW(S$12:S129),ROW($W$12))&amp;":M"&amp;(ROW()))))-SUM(INDIRECT("W"&amp;(MAX((1=S$12:S129)*ROW(S$12:S129),ROW($W$12))&amp;":W"&amp;(ROW()-1)))))
)
)</f>
        <v>0</v>
      </c>
      <c r="X130" s="55">
        <f t="shared" ca="1" si="14"/>
        <v>0</v>
      </c>
      <c r="Y130" s="101">
        <f t="shared" ca="1" si="21"/>
        <v>0</v>
      </c>
      <c r="Z130" s="133" t="str">
        <f>IF(TYPE((VLOOKUP(Первоначальный[[#This Row],[Дата платежа]],График[Срок конец],1,0)))=16,"",1)</f>
        <v/>
      </c>
      <c r="AA130" s="57"/>
      <c r="AB130" s="134"/>
      <c r="AC13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4550.6600000000017</v>
      </c>
      <c r="AE13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5.0000000000000018</v>
      </c>
      <c r="AF13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374.88108524590183</v>
      </c>
      <c r="AH130" s="55"/>
      <c r="AI130" s="55"/>
      <c r="AJ130" s="55"/>
      <c r="AK130" s="101">
        <f t="shared" ca="1" si="22"/>
        <v>154563.8810852459</v>
      </c>
      <c r="AL130" s="129">
        <f t="array" ref="AL130">MAX((УслРестрактов[Характеристика]="Дата реструктуризации")*(УслРестрактов[Значение]=Первоначальный!$A130),0)</f>
        <v>0</v>
      </c>
    </row>
    <row r="131" spans="1:38" x14ac:dyDescent="0.25">
      <c r="A131" s="97">
        <f t="shared" si="15"/>
        <v>44262</v>
      </c>
      <c r="B131" s="100">
        <f t="shared" ca="1" si="16"/>
        <v>149633.34</v>
      </c>
      <c r="C131" s="55">
        <f t="shared" ca="1" si="24"/>
        <v>4550.6600000000017</v>
      </c>
      <c r="D131" s="55">
        <f t="shared" ca="1" si="24"/>
        <v>5.0000000000000018</v>
      </c>
      <c r="E131" s="55">
        <f t="shared" ca="1" si="17"/>
        <v>0</v>
      </c>
      <c r="F131" s="55">
        <f t="shared" ca="1" si="18"/>
        <v>374.88108524590183</v>
      </c>
      <c r="G131" s="101">
        <f t="shared" ca="1" si="19"/>
        <v>154563.8810852459</v>
      </c>
      <c r="H131" s="100">
        <f ca="1">ROUND($B131*VLOOKUP($A131,$A$1:$B$10,2,1)/(365+IF(MOD(YEAR($A131),4),0,1)*($A131-$A130)),2)-Первоначальный[[#This Row],[Проценты на просроченный платеж по ОД за период]]</f>
        <v>81.38</v>
      </c>
      <c r="I131" s="55">
        <f t="shared" ca="1" si="20"/>
        <v>0.2</v>
      </c>
      <c r="J131" s="55">
        <v>0</v>
      </c>
      <c r="K131" s="55">
        <f t="shared" ca="1" si="23"/>
        <v>14.418503278688529</v>
      </c>
      <c r="L131" s="55">
        <v>0</v>
      </c>
      <c r="M131" s="113">
        <f>SUMIFS(График[Возврат основной суммы долга],График[Дата с учетом нерабочих дней],$A131)</f>
        <v>0</v>
      </c>
      <c r="N131" s="56">
        <f>SUMIFS(График[Возврат начисленных %],График[Дата с учетом нерабочих дней],$A131)</f>
        <v>0</v>
      </c>
      <c r="O131" s="101">
        <v>0</v>
      </c>
      <c r="P131" s="100" cm="1">
        <f t="array" aca="1" ref="P131" ca="1">MAX(IF(AA130="Да",0,SUM(INDIRECT("M"&amp;(MAX(("Да"=AA$12:AA130)*ROW(AA$12:AA130)+1,ROW($P$12))&amp;":M"&amp;(ROW()))))-SUM(INDIRECT("W"&amp;(MAX(("Да"=AA$12:AA130)*ROW(AA$12:AA130)+1,ROW($P$12))&amp;":W"&amp;(ROW()))))),0)</f>
        <v>368.03999999999951</v>
      </c>
      <c r="Q131" s="99">
        <f ca="1">MAX(SUM($N$13:N131)-SUM($T$13:T131),0)</f>
        <v>2515.6606557377063</v>
      </c>
      <c r="R131" s="99">
        <f ca="1">Первоначальный[[#This Row],[Просроченный платеж по ОД]]+Первоначальный[[#This Row],[Просроченный платеж по процентам]]</f>
        <v>2883.7006557377058</v>
      </c>
      <c r="S131" s="120">
        <f ca="1">IF(Первоначальный[[#This Row],[Просроченный платеж]]&lt;1,0,S130+1)</f>
        <v>27</v>
      </c>
      <c r="T131" s="100" cm="1">
        <f t="array" aca="1" ref="T131" ca="1">IF(Первоначальный[[#This Row],[Итого остаток на начало периода]]&lt;1,0,
IF(
AND(TYPE(VLOOKUP(1,$Z$12:Z131,1,0))=16,Первоначальный[[#This Row],[Досрочное погашение (да/"")]]=""),0,
_xlfn.IFS(AND(S130=0,Первоначальный[[#This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платеж]]&lt;&gt;0),MIN(LOOKUP(,-1/($Z$12:Z131=1),$C$12:C131)+LOOKUP(,-1/($Z$12:Z131=1),$H$12:H131),Первоначальный[[#This Row],[Полученный платеж]]+Y130),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платеж]]+Y130,SUM(Первоначальный[[#This Row],[Остаток процентов на начало периода]],Первоначальный[[#This Row],[Проценты за период]])),
AND(S130=0,Первоначальный[[#This Row],[Дата платежа из графика]]=""),0,
AND(S130=0,Первоначальный[[#This Row],[Дата платежа из графика]]=1,MAX((0&lt;&gt;S$12:S130)*ROW(S$12:S130),ROW($S$12))&gt;=MAX((1=Z$12:Z130)*ROW(Z$12:Z130),ROW($T$12)),TYPE(VLOOKUP("Да",(INDIRECT("AA"&amp;(MAX((1=Z$12:Z130)*ROW(Z$12:Z130),ROW($T$12))&amp;":AA"&amp;(ROW()-1)))),1,0))=16),MIN(LOOKUP(,-1/($Z$12:Z131=1),$C$12:C131)+LOOKUP(,-1/($Z$12:Z131=1),$H$12:H131),Первоначальный[[#This Row],[Полученный платеж]]+Y130),
AND(S130=0,TYPE(VLOOKUP("Да",(INDIRECT("AA"&amp;(MAX((1=Z$12:Z130)*ROW(Z$12:Z130),ROW($T$12))&amp;":AA"&amp;(ROW()-1)))),1,0))&lt;&gt;16),MIN(LOOKUP(,-1/($Z$12:Z131=1),$C$12:C131)+LOOKUP(,-1/($Z$12:Z131=1),$H$12:H131)-IF(AA130="Да",0,SUM(INDIRECT("T"&amp;(MAX(("Да"=AA$12:AA130)*ROW(AA$12:AA130)+1,ROW($T$12))&amp;":T"&amp;(ROW()-1))))),Первоначальный[[#This Row],[Полученный платеж]]+Y130),
AND(S130=0,MAX((0&lt;&gt;N$12:N130)*ROW(N$12:N130),ROW($S$12))&gt;=MAX((1=Z$12:Z130)*ROW(Z$12:Z130),ROW($T$12))),MIN(LOOKUP(,-1/($Z$12:Z131=1),$C$12:C131)+LOOKUP(,-1/($Z$12:Z131=1),$H$12:H131)-IF(N130&lt;&gt;0,0,SUM(INDIRECT("T"&amp;(MAX((0&lt;&gt;N$12:N130)*ROW(N$12:N130)+1,ROW($T$12))&amp;":T"&amp;(ROW()-1))))),Первоначальный[[#This Row],[Полученный платеж]]+Y130),
AND(S130=0,Первоначальный[[#This Row],[Дата платежа из графика]]=1),MIN(LOOKUP(,-1/($Z$12:Z131=1),$C$12:C131)+LOOKUP(,-1/($Z$12:Z131=1),$H$12:H131)-IF(Z130=1,0,SUM(INDIRECT("T"&amp;(MAX((1=Z$12:Z130)*ROW(Z$12:Z130)+1,ROW($T$12))&amp;":T"&amp;(ROW()-1))))),Первоначальный[[#This Row],[Полученный платеж]]+Y130),
AND(Z130&gt;0,Первоначальный[[#This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платеж]]+Y130),
AND(S130&gt;0,MAX((0&lt;&gt;S$12:S130)*ROW(S$12:S130),ROW($S$12))&gt;=MAX((1=Z$12:Z130)*ROW(Z$12:Z130),ROW($T$12)),TYPE(VLOOKUP("Да",(INDIRECT("AA"&amp;(MAX((1=Z$12:Z130)*ROW(Z$12:Z130),ROW($T$12))&amp;":AA"&amp;(ROW()-1)))),1,0))=16),MIN(LOOKUP(,-1/($Z$12:Z131=1),$C$12:C131)+LOOKUP(,-1/($Z$12:Z131=1),$H$12:H131)-SUM(INDIRECT("T"&amp;(MAX((1=Z$12:Z130)*ROW(Z$12:Z130),ROW($T$12))&amp;":T"&amp;(ROW()-1)))),Первоначальный[[#This Row],[Полученный платеж]]+Y130),
S130&gt;0,MIN(LOOKUP(,-1/($Z$12:Z131=1),$C$12:C131)+LOOKUP(,-1/($Z$12:Z131=1),$H$12:H131)-IF(Z130=1,0,SUM(INDIRECT("T"&amp;(MAX((1=Z$12:Z130)*ROW(Z$12:Z130)+1,ROW($T$12))&amp;":T"&amp;(ROW()-1))))),Первоначальный[[#This Row],[Полученный платеж]]+Y130)
)
)
)</f>
        <v>0</v>
      </c>
      <c r="U13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платеж]]+Y130-Первоначальный[[#This Row],[Полученный платёж по процентам]])</f>
        <v>0</v>
      </c>
      <c r="V131" s="55">
        <f t="shared" ca="1" si="13"/>
        <v>0</v>
      </c>
      <c r="W131" s="55" cm="1">
        <f t="array" aca="1" ref="W131" ca="1">IF(Первоначальный[[#This Row],[Итого остаток на начало периода]]&lt;1,0,
_xlfn.IFS(
AND(TYPE(VLOOKUP(1,$Z$12:Z131,1,0))=16,Первоначальный[[#This Row],[Досрочное погашение (да/"")]]=""),0,
AND(S130=0,Первоначальный[[#This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комиссиям]]),VLOOKUP(LOOKUP(,-1/($Z$12:Z131=1),$A$12:A131),График[[Срок конец]:[Возврат основной суммы долга]],3,0)),
AND(S130=0,Первоначальный[[#This Row],[Дата платежа из графика]]="",Первоначальный[[#This Row],[Досрочное погашение (да/"")]]&lt;&gt;"Да"),0,
AND(S130=0,Первоначальный[[#This Row],[Досрочное погашение (да/"")]]=""),MIN(Первоначальный[[#This Row],[Полученный платеж]]+Y130-SUM(Первоначальный[[#This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комиссиям]]),VLOOKUP(LOOKUP(,-1/($Z$12:Z131=1),$A$12:A131),График[[Срок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S130&gt;0,MIN(Первоначальный[[#This Row],[Полученный платеж]]+Y130-SUM(Первоначальный[[#This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комиссиям]]),SUM(INDIRECT("M"&amp;(MAX((1=S$12:S130)*ROW(S$12:S130),ROW($W$12))&amp;":M"&amp;(ROW()))))-SUM(INDIRECT("W"&amp;(MAX((1=S$12:S130)*ROW(S$12:S130),ROW($W$12))&amp;":W"&amp;(ROW()-1)))))
)
)</f>
        <v>0</v>
      </c>
      <c r="X131" s="55">
        <f t="shared" ca="1" si="14"/>
        <v>0</v>
      </c>
      <c r="Y131" s="101">
        <f t="shared" ca="1" si="21"/>
        <v>0</v>
      </c>
      <c r="Z131" s="133" t="str">
        <f>IF(TYPE((VLOOKUP(Первоначальный[[#This Row],[Дата платежа]],График[Срок конец],1,0)))=16,"",1)</f>
        <v/>
      </c>
      <c r="AA131" s="57"/>
      <c r="AB131" s="134"/>
      <c r="AC13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4632.0400000000018</v>
      </c>
      <c r="AE13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5.200000000000002</v>
      </c>
      <c r="AF13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389.29958852459038</v>
      </c>
      <c r="AH131" s="55"/>
      <c r="AI131" s="55"/>
      <c r="AJ131" s="55"/>
      <c r="AK131" s="101">
        <f t="shared" ca="1" si="22"/>
        <v>154659.87958852461</v>
      </c>
      <c r="AL131" s="129">
        <f t="array" ref="AL131">MAX((УслРестрактов[Характеристика]="Дата реструктуризации")*(УслРестрактов[Значение]=Первоначальный!$A131),0)</f>
        <v>0</v>
      </c>
    </row>
    <row r="132" spans="1:38" x14ac:dyDescent="0.25">
      <c r="A132" s="97">
        <f t="shared" si="15"/>
        <v>44263</v>
      </c>
      <c r="B132" s="100">
        <f t="shared" ca="1" si="16"/>
        <v>149633.34</v>
      </c>
      <c r="C132" s="55">
        <f t="shared" ca="1" si="24"/>
        <v>4632.0400000000018</v>
      </c>
      <c r="D132" s="55">
        <f t="shared" ca="1" si="24"/>
        <v>5.200000000000002</v>
      </c>
      <c r="E132" s="55">
        <f t="shared" ca="1" si="17"/>
        <v>0</v>
      </c>
      <c r="F132" s="55">
        <f t="shared" ca="1" si="18"/>
        <v>389.29958852459038</v>
      </c>
      <c r="G132" s="101">
        <f t="shared" ca="1" si="19"/>
        <v>154659.87958852461</v>
      </c>
      <c r="H132" s="100">
        <f ca="1">ROUND($B132*VLOOKUP($A132,$A$1:$B$10,2,1)/(365+IF(MOD(YEAR($A132),4),0,1)*($A132-$A131)),2)-Первоначальный[[#This Row],[Проценты на просроченный платеж по ОД за период]]</f>
        <v>81.38</v>
      </c>
      <c r="I132" s="55">
        <f t="shared" ca="1" si="20"/>
        <v>0.2</v>
      </c>
      <c r="J132" s="55">
        <v>0</v>
      </c>
      <c r="K132" s="55">
        <f t="shared" ca="1" si="23"/>
        <v>14.418503278688529</v>
      </c>
      <c r="L132" s="55">
        <v>0</v>
      </c>
      <c r="M132" s="113">
        <f>SUMIFS(График[Возврат основной суммы долга],График[Дата с учетом нерабочих дней],$A132)</f>
        <v>0</v>
      </c>
      <c r="N132" s="56">
        <f>SUMIFS(График[Возврат начисленных %],График[Дата с учетом нерабочих дней],$A132)</f>
        <v>0</v>
      </c>
      <c r="O132" s="101">
        <v>0</v>
      </c>
      <c r="P132" s="100" cm="1">
        <f t="array" aca="1" ref="P132" ca="1">MAX(IF(AA131="Да",0,SUM(INDIRECT("M"&amp;(MAX(("Да"=AA$12:AA131)*ROW(AA$12:AA131)+1,ROW($P$12))&amp;":M"&amp;(ROW()))))-SUM(INDIRECT("W"&amp;(MAX(("Да"=AA$12:AA131)*ROW(AA$12:AA131)+1,ROW($P$12))&amp;":W"&amp;(ROW()))))),0)</f>
        <v>368.03999999999951</v>
      </c>
      <c r="Q132" s="99">
        <f ca="1">MAX(SUM($N$13:N132)-SUM($T$13:T132),0)</f>
        <v>2515.6606557377063</v>
      </c>
      <c r="R132" s="99">
        <f ca="1">Первоначальный[[#This Row],[Просроченный платеж по ОД]]+Первоначальный[[#This Row],[Просроченный платеж по процентам]]</f>
        <v>2883.7006557377058</v>
      </c>
      <c r="S132" s="120">
        <f ca="1">IF(Первоначальный[[#This Row],[Просроченный платеж]]&lt;1,0,S131+1)</f>
        <v>28</v>
      </c>
      <c r="T132" s="100" cm="1">
        <f t="array" aca="1" ref="T132" ca="1">IF(Первоначальный[[#This Row],[Итого остаток на начало периода]]&lt;1,0,
IF(
AND(TYPE(VLOOKUP(1,$Z$12:Z132,1,0))=16,Первоначальный[[#This Row],[Досрочное погашение (да/"")]]=""),0,
_xlfn.IFS(AND(S131=0,Первоначальный[[#This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платеж]]&lt;&gt;0),MIN(LOOKUP(,-1/($Z$12:Z132=1),$C$12:C132)+LOOKUP(,-1/($Z$12:Z132=1),$H$12:H132),Первоначальный[[#This Row],[Полученный платеж]]+Y131),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платеж]]+Y131,SUM(Первоначальный[[#This Row],[Остаток процентов на начало периода]],Первоначальный[[#This Row],[Проценты за период]])),
AND(S131=0,Первоначальный[[#This Row],[Дата платежа из графика]]=""),0,
AND(S131=0,Первоначальный[[#This Row],[Дата платежа из графика]]=1,MAX((0&lt;&gt;S$12:S131)*ROW(S$12:S131),ROW($S$12))&gt;=MAX((1=Z$12:Z131)*ROW(Z$12:Z131),ROW($T$12)),TYPE(VLOOKUP("Да",(INDIRECT("AA"&amp;(MAX((1=Z$12:Z131)*ROW(Z$12:Z131),ROW($T$12))&amp;":AA"&amp;(ROW()-1)))),1,0))=16),MIN(LOOKUP(,-1/($Z$12:Z132=1),$C$12:C132)+LOOKUP(,-1/($Z$12:Z132=1),$H$12:H132),Первоначальный[[#This Row],[Полученный платеж]]+Y131),
AND(S131=0,TYPE(VLOOKUP("Да",(INDIRECT("AA"&amp;(MAX((1=Z$12:Z131)*ROW(Z$12:Z131),ROW($T$12))&amp;":AA"&amp;(ROW()-1)))),1,0))&lt;&gt;16),MIN(LOOKUP(,-1/($Z$12:Z132=1),$C$12:C132)+LOOKUP(,-1/($Z$12:Z132=1),$H$12:H132)-IF(AA131="Да",0,SUM(INDIRECT("T"&amp;(MAX(("Да"=AA$12:AA131)*ROW(AA$12:AA131)+1,ROW($T$12))&amp;":T"&amp;(ROW()-1))))),Первоначальный[[#This Row],[Полученный платеж]]+Y131),
AND(S131=0,MAX((0&lt;&gt;N$12:N131)*ROW(N$12:N131),ROW($S$12))&gt;=MAX((1=Z$12:Z131)*ROW(Z$12:Z131),ROW($T$12))),MIN(LOOKUP(,-1/($Z$12:Z132=1),$C$12:C132)+LOOKUP(,-1/($Z$12:Z132=1),$H$12:H132)-IF(N131&lt;&gt;0,0,SUM(INDIRECT("T"&amp;(MAX((0&lt;&gt;N$12:N131)*ROW(N$12:N131)+1,ROW($T$12))&amp;":T"&amp;(ROW()-1))))),Первоначальный[[#This Row],[Полученный платеж]]+Y131),
AND(S131=0,Первоначальный[[#This Row],[Дата платежа из графика]]=1),MIN(LOOKUP(,-1/($Z$12:Z132=1),$C$12:C132)+LOOKUP(,-1/($Z$12:Z132=1),$H$12:H132)-IF(Z131=1,0,SUM(INDIRECT("T"&amp;(MAX((1=Z$12:Z131)*ROW(Z$12:Z131)+1,ROW($T$12))&amp;":T"&amp;(ROW()-1))))),Первоначальный[[#This Row],[Полученный платеж]]+Y131),
AND(Z131&gt;0,Первоначальный[[#This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платеж]]+Y131),
AND(S131&gt;0,MAX((0&lt;&gt;S$12:S131)*ROW(S$12:S131),ROW($S$12))&gt;=MAX((1=Z$12:Z131)*ROW(Z$12:Z131),ROW($T$12)),TYPE(VLOOKUP("Да",(INDIRECT("AA"&amp;(MAX((1=Z$12:Z131)*ROW(Z$12:Z131),ROW($T$12))&amp;":AA"&amp;(ROW()-1)))),1,0))=16),MIN(LOOKUP(,-1/($Z$12:Z132=1),$C$12:C132)+LOOKUP(,-1/($Z$12:Z132=1),$H$12:H132)-SUM(INDIRECT("T"&amp;(MAX((1=Z$12:Z131)*ROW(Z$12:Z131),ROW($T$12))&amp;":T"&amp;(ROW()-1)))),Первоначальный[[#This Row],[Полученный платеж]]+Y131),
S131&gt;0,MIN(LOOKUP(,-1/($Z$12:Z132=1),$C$12:C132)+LOOKUP(,-1/($Z$12:Z132=1),$H$12:H132)-IF(Z131=1,0,SUM(INDIRECT("T"&amp;(MAX((1=Z$12:Z131)*ROW(Z$12:Z131)+1,ROW($T$12))&amp;":T"&amp;(ROW()-1))))),Первоначальный[[#This Row],[Полученный платеж]]+Y131)
)
)
)</f>
        <v>0</v>
      </c>
      <c r="U13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платеж]]+Y131-Первоначальный[[#This Row],[Полученный платёж по процентам]])</f>
        <v>0</v>
      </c>
      <c r="V132" s="55">
        <f t="shared" ca="1" si="13"/>
        <v>0</v>
      </c>
      <c r="W132" s="55" cm="1">
        <f t="array" aca="1" ref="W132" ca="1">IF(Первоначальный[[#This Row],[Итого остаток на начало периода]]&lt;1,0,
_xlfn.IFS(
AND(TYPE(VLOOKUP(1,$Z$12:Z132,1,0))=16,Первоначальный[[#This Row],[Досрочное погашение (да/"")]]=""),0,
AND(S131=0,Первоначальный[[#This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комиссиям]]),VLOOKUP(LOOKUP(,-1/($Z$12:Z132=1),$A$12:A132),График[[Срок конец]:[Возврат основной суммы долга]],3,0)),
AND(S131=0,Первоначальный[[#This Row],[Дата платежа из графика]]="",Первоначальный[[#This Row],[Досрочное погашение (да/"")]]&lt;&gt;"Да"),0,
AND(S131=0,Первоначальный[[#This Row],[Досрочное погашение (да/"")]]=""),MIN(Первоначальный[[#This Row],[Полученный платеж]]+Y131-SUM(Первоначальный[[#This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комиссиям]]),VLOOKUP(LOOKUP(,-1/($Z$12:Z132=1),$A$12:A132),График[[Срок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S131&gt;0,MIN(Первоначальный[[#This Row],[Полученный платеж]]+Y131-SUM(Первоначальный[[#This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комиссиям]]),SUM(INDIRECT("M"&amp;(MAX((1=S$12:S131)*ROW(S$12:S131),ROW($W$12))&amp;":M"&amp;(ROW()))))-SUM(INDIRECT("W"&amp;(MAX((1=S$12:S131)*ROW(S$12:S131),ROW($W$12))&amp;":W"&amp;(ROW()-1)))))
)
)</f>
        <v>0</v>
      </c>
      <c r="X132" s="55">
        <f t="shared" ca="1" si="14"/>
        <v>0</v>
      </c>
      <c r="Y132" s="101">
        <f t="shared" ca="1" si="21"/>
        <v>0</v>
      </c>
      <c r="Z132" s="133" t="str">
        <f>IF(TYPE((VLOOKUP(Первоначальный[[#This Row],[Дата платежа]],График[Срок конец],1,0)))=16,"",1)</f>
        <v/>
      </c>
      <c r="AA132" s="57"/>
      <c r="AB132" s="134"/>
      <c r="AC13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4713.4200000000019</v>
      </c>
      <c r="AE13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5.4000000000000021</v>
      </c>
      <c r="AF13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403.71809180327892</v>
      </c>
      <c r="AH132" s="55"/>
      <c r="AI132" s="55"/>
      <c r="AJ132" s="55"/>
      <c r="AK132" s="101">
        <f t="shared" ca="1" si="22"/>
        <v>154755.87809180329</v>
      </c>
      <c r="AL132" s="129">
        <f t="array" ref="AL132">MAX((УслРестрактов[Характеристика]="Дата реструктуризации")*(УслРестрактов[Значение]=Первоначальный!$A132),0)</f>
        <v>0</v>
      </c>
    </row>
    <row r="133" spans="1:38" x14ac:dyDescent="0.25">
      <c r="A133" s="97">
        <f t="shared" si="15"/>
        <v>44264</v>
      </c>
      <c r="B133" s="100">
        <f t="shared" ca="1" si="16"/>
        <v>149633.34</v>
      </c>
      <c r="C133" s="55">
        <f t="shared" ca="1" si="24"/>
        <v>4713.4200000000019</v>
      </c>
      <c r="D133" s="55">
        <f t="shared" ca="1" si="24"/>
        <v>5.4000000000000021</v>
      </c>
      <c r="E133" s="55">
        <f t="shared" ca="1" si="17"/>
        <v>0</v>
      </c>
      <c r="F133" s="55">
        <f t="shared" ca="1" si="18"/>
        <v>403.71809180327892</v>
      </c>
      <c r="G133" s="101">
        <f t="shared" ca="1" si="19"/>
        <v>154755.87809180329</v>
      </c>
      <c r="H133" s="100">
        <f ca="1">ROUND($B133*VLOOKUP($A133,$A$1:$B$10,2,1)/(365+IF(MOD(YEAR($A133),4),0,1)*($A133-$A132)),2)-Первоначальный[[#This Row],[Проценты на просроченный платеж по ОД за период]]</f>
        <v>81.38</v>
      </c>
      <c r="I133" s="55">
        <f t="shared" ca="1" si="20"/>
        <v>0.2</v>
      </c>
      <c r="J133" s="55">
        <v>0</v>
      </c>
      <c r="K133" s="55">
        <f t="shared" ca="1" si="23"/>
        <v>28.903503278688532</v>
      </c>
      <c r="L133" s="55">
        <v>0</v>
      </c>
      <c r="M133" s="113">
        <f>SUMIFS(График[Возврат основной суммы долга],График[Дата с учетом нерабочих дней],$A133)</f>
        <v>618.34999999999991</v>
      </c>
      <c r="N133" s="56">
        <f>SUMIFS(График[Возврат начисленных %],График[Дата с учетом нерабочих дней],$A133)</f>
        <v>2278.65</v>
      </c>
      <c r="O133" s="101">
        <v>0</v>
      </c>
      <c r="P133" s="100" cm="1">
        <f t="array" aca="1" ref="P133" ca="1">MAX(IF(AA132="Да",0,SUM(INDIRECT("M"&amp;(MAX(("Да"=AA$12:AA132)*ROW(AA$12:AA132)+1,ROW($P$12))&amp;":M"&amp;(ROW()))))-SUM(INDIRECT("W"&amp;(MAX(("Да"=AA$12:AA132)*ROW(AA$12:AA132)+1,ROW($P$12))&amp;":W"&amp;(ROW()))))),0)</f>
        <v>986.38999999999942</v>
      </c>
      <c r="Q133" s="99">
        <f ca="1">MAX(SUM($N$13:N133)-SUM($T$13:T133),0)</f>
        <v>4794.3106557377068</v>
      </c>
      <c r="R133" s="99">
        <f ca="1">Первоначальный[[#This Row],[Просроченный платеж по ОД]]+Первоначальный[[#This Row],[Просроченный платеж по процентам]]</f>
        <v>5780.7006557377063</v>
      </c>
      <c r="S133" s="120">
        <f ca="1">IF(Первоначальный[[#This Row],[Просроченный платеж]]&lt;1,0,S132+1)</f>
        <v>29</v>
      </c>
      <c r="T133" s="100" cm="1">
        <f t="array" aca="1" ref="T133" ca="1">IF(Первоначальный[[#This Row],[Итого остаток на начало периода]]&lt;1,0,
IF(
AND(TYPE(VLOOKUP(1,$Z$12:Z133,1,0))=16,Первоначальный[[#This Row],[Досрочное погашение (да/"")]]=""),0,
_xlfn.IFS(AND(S132=0,Первоначальный[[#This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платеж]]&lt;&gt;0),MIN(LOOKUP(,-1/($Z$12:Z133=1),$C$12:C133)+LOOKUP(,-1/($Z$12:Z133=1),$H$12:H133),Первоначальный[[#This Row],[Полученный платеж]]+Y132),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платеж]]+Y132,SUM(Первоначальный[[#This Row],[Остаток процентов на начало периода]],Первоначальный[[#This Row],[Проценты за период]])),
AND(S132=0,Первоначальный[[#This Row],[Дата платежа из графика]]=""),0,
AND(S132=0,Первоначальный[[#This Row],[Дата платежа из графика]]=1,MAX((0&lt;&gt;S$12:S132)*ROW(S$12:S132),ROW($S$12))&gt;=MAX((1=Z$12:Z132)*ROW(Z$12:Z132),ROW($T$12)),TYPE(VLOOKUP("Да",(INDIRECT("AA"&amp;(MAX((1=Z$12:Z132)*ROW(Z$12:Z132),ROW($T$12))&amp;":AA"&amp;(ROW()-1)))),1,0))=16),MIN(LOOKUP(,-1/($Z$12:Z133=1),$C$12:C133)+LOOKUP(,-1/($Z$12:Z133=1),$H$12:H133),Первоначальный[[#This Row],[Полученный платеж]]+Y132),
AND(S132=0,TYPE(VLOOKUP("Да",(INDIRECT("AA"&amp;(MAX((1=Z$12:Z132)*ROW(Z$12:Z132),ROW($T$12))&amp;":AA"&amp;(ROW()-1)))),1,0))&lt;&gt;16),MIN(LOOKUP(,-1/($Z$12:Z133=1),$C$12:C133)+LOOKUP(,-1/($Z$12:Z133=1),$H$12:H133)-IF(AA132="Да",0,SUM(INDIRECT("T"&amp;(MAX(("Да"=AA$12:AA132)*ROW(AA$12:AA132)+1,ROW($T$12))&amp;":T"&amp;(ROW()-1))))),Первоначальный[[#This Row],[Полученный платеж]]+Y132),
AND(S132=0,MAX((0&lt;&gt;N$12:N132)*ROW(N$12:N132),ROW($S$12))&gt;=MAX((1=Z$12:Z132)*ROW(Z$12:Z132),ROW($T$12))),MIN(LOOKUP(,-1/($Z$12:Z133=1),$C$12:C133)+LOOKUP(,-1/($Z$12:Z133=1),$H$12:H133)-IF(N132&lt;&gt;0,0,SUM(INDIRECT("T"&amp;(MAX((0&lt;&gt;N$12:N132)*ROW(N$12:N132)+1,ROW($T$12))&amp;":T"&amp;(ROW()-1))))),Первоначальный[[#This Row],[Полученный платеж]]+Y132),
AND(S132=0,Первоначальный[[#This Row],[Дата платежа из графика]]=1),MIN(LOOKUP(,-1/($Z$12:Z133=1),$C$12:C133)+LOOKUP(,-1/($Z$12:Z133=1),$H$12:H133)-IF(Z132=1,0,SUM(INDIRECT("T"&amp;(MAX((1=Z$12:Z132)*ROW(Z$12:Z132)+1,ROW($T$12))&amp;":T"&amp;(ROW()-1))))),Первоначальный[[#This Row],[Полученный платеж]]+Y132),
AND(Z132&gt;0,Первоначальный[[#This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платеж]]+Y132),
AND(S132&gt;0,MAX((0&lt;&gt;S$12:S132)*ROW(S$12:S132),ROW($S$12))&gt;=MAX((1=Z$12:Z132)*ROW(Z$12:Z132),ROW($T$12)),TYPE(VLOOKUP("Да",(INDIRECT("AA"&amp;(MAX((1=Z$12:Z132)*ROW(Z$12:Z132),ROW($T$12))&amp;":AA"&amp;(ROW()-1)))),1,0))=16),MIN(LOOKUP(,-1/($Z$12:Z133=1),$C$12:C133)+LOOKUP(,-1/($Z$12:Z133=1),$H$12:H133)-SUM(INDIRECT("T"&amp;(MAX((1=Z$12:Z132)*ROW(Z$12:Z132),ROW($T$12))&amp;":T"&amp;(ROW()-1)))),Первоначальный[[#This Row],[Полученный платеж]]+Y132),
S132&gt;0,MIN(LOOKUP(,-1/($Z$12:Z133=1),$C$12:C133)+LOOKUP(,-1/($Z$12:Z133=1),$H$12:H133)-IF(Z132=1,0,SUM(INDIRECT("T"&amp;(MAX((1=Z$12:Z132)*ROW(Z$12:Z132)+1,ROW($T$12))&amp;":T"&amp;(ROW()-1))))),Первоначальный[[#This Row],[Полученный платеж]]+Y132)
)
)
)</f>
        <v>0</v>
      </c>
      <c r="U13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платеж]]+Y132-Первоначальный[[#This Row],[Полученный платёж по процентам]])</f>
        <v>0</v>
      </c>
      <c r="V133" s="55">
        <f t="shared" ca="1" si="13"/>
        <v>0</v>
      </c>
      <c r="W133" s="55" cm="1">
        <f t="array" aca="1" ref="W133" ca="1">IF(Первоначальный[[#This Row],[Итого остаток на начало периода]]&lt;1,0,
_xlfn.IFS(
AND(TYPE(VLOOKUP(1,$Z$12:Z133,1,0))=16,Первоначальный[[#This Row],[Досрочное погашение (да/"")]]=""),0,
AND(S132=0,Первоначальный[[#This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комиссиям]]),VLOOKUP(LOOKUP(,-1/($Z$12:Z133=1),$A$12:A133),График[[Срок конец]:[Возврат основной суммы долга]],3,0)),
AND(S132=0,Первоначальный[[#This Row],[Дата платежа из графика]]="",Первоначальный[[#This Row],[Досрочное погашение (да/"")]]&lt;&gt;"Да"),0,
AND(S132=0,Первоначальный[[#This Row],[Досрочное погашение (да/"")]]=""),MIN(Первоначальный[[#This Row],[Полученный платеж]]+Y132-SUM(Первоначальный[[#This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комиссиям]]),VLOOKUP(LOOKUP(,-1/($Z$12:Z133=1),$A$12:A133),График[[Срок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S132&gt;0,MIN(Первоначальный[[#This Row],[Полученный платеж]]+Y132-SUM(Первоначальный[[#This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комиссиям]]),SUM(INDIRECT("M"&amp;(MAX((1=S$12:S132)*ROW(S$12:S132),ROW($W$12))&amp;":M"&amp;(ROW()))))-SUM(INDIRECT("W"&amp;(MAX((1=S$12:S132)*ROW(S$12:S132),ROW($W$12))&amp;":W"&amp;(ROW()-1)))))
)
)</f>
        <v>0</v>
      </c>
      <c r="X133" s="55">
        <f t="shared" ca="1" si="14"/>
        <v>0</v>
      </c>
      <c r="Y133" s="101">
        <f t="shared" ca="1" si="21"/>
        <v>0</v>
      </c>
      <c r="Z133" s="133">
        <f>IF(TYPE((VLOOKUP(Первоначальный[[#This Row],[Дата платежа]],График[Срок конец],1,0)))=16,"",1)</f>
        <v>1</v>
      </c>
      <c r="AA133" s="57"/>
      <c r="AB133" s="134"/>
      <c r="AC13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4794.800000000002</v>
      </c>
      <c r="AE13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5.6000000000000023</v>
      </c>
      <c r="AF13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432.62159508196748</v>
      </c>
      <c r="AH133" s="55"/>
      <c r="AI133" s="55"/>
      <c r="AJ133" s="55"/>
      <c r="AK133" s="101">
        <f t="shared" ca="1" si="22"/>
        <v>154866.36159508195</v>
      </c>
      <c r="AL133" s="129">
        <f t="array" ref="AL133">MAX((УслРестрактов[Характеристика]="Дата реструктуризации")*(УслРестрактов[Значение]=Первоначальный!$A133),0)</f>
        <v>0</v>
      </c>
    </row>
    <row r="134" spans="1:38" x14ac:dyDescent="0.25">
      <c r="A134" s="97">
        <f t="shared" si="15"/>
        <v>44265</v>
      </c>
      <c r="B134" s="100">
        <f t="shared" ca="1" si="16"/>
        <v>149633.34</v>
      </c>
      <c r="C134" s="55">
        <f t="shared" ca="1" si="24"/>
        <v>4794.800000000002</v>
      </c>
      <c r="D134" s="55">
        <f t="shared" ca="1" si="24"/>
        <v>5.6000000000000023</v>
      </c>
      <c r="E134" s="55">
        <f t="shared" ca="1" si="17"/>
        <v>0</v>
      </c>
      <c r="F134" s="55">
        <f t="shared" ca="1" si="18"/>
        <v>432.62159508196748</v>
      </c>
      <c r="G134" s="101">
        <f t="shared" ca="1" si="19"/>
        <v>154866.36159508195</v>
      </c>
      <c r="H134" s="100">
        <f ca="1">ROUND($B134*VLOOKUP($A134,$A$1:$B$10,2,1)/(365+IF(MOD(YEAR($A134),4),0,1)*($A134-$A133)),2)-Первоначальный[[#This Row],[Проценты на просроченный платеж по ОД за период]]</f>
        <v>81.039999999999992</v>
      </c>
      <c r="I134" s="55">
        <f t="shared" ca="1" si="20"/>
        <v>0.54</v>
      </c>
      <c r="J134" s="55">
        <v>0</v>
      </c>
      <c r="K134" s="55">
        <f t="shared" ca="1" si="23"/>
        <v>28.903503278688532</v>
      </c>
      <c r="L134" s="55">
        <v>0</v>
      </c>
      <c r="M134" s="113">
        <f>SUMIFS(График[Возврат основной суммы долга],График[Дата с учетом нерабочих дней],$A134)</f>
        <v>0</v>
      </c>
      <c r="N134" s="56">
        <f>SUMIFS(График[Возврат начисленных %],График[Дата с учетом нерабочих дней],$A134)</f>
        <v>0</v>
      </c>
      <c r="O134" s="101">
        <v>0</v>
      </c>
      <c r="P134" s="100" cm="1">
        <f t="array" aca="1" ref="P134" ca="1">MAX(IF(AA133="Да",0,SUM(INDIRECT("M"&amp;(MAX(("Да"=AA$12:AA133)*ROW(AA$12:AA133)+1,ROW($P$12))&amp;":M"&amp;(ROW()))))-SUM(INDIRECT("W"&amp;(MAX(("Да"=AA$12:AA133)*ROW(AA$12:AA133)+1,ROW($P$12))&amp;":W"&amp;(ROW()))))),0)</f>
        <v>986.38999999999942</v>
      </c>
      <c r="Q134" s="99">
        <f ca="1">MAX(SUM($N$13:N134)-SUM($T$13:T134),0)</f>
        <v>4794.3106557377068</v>
      </c>
      <c r="R134" s="99">
        <f ca="1">Первоначальный[[#This Row],[Просроченный платеж по ОД]]+Первоначальный[[#This Row],[Просроченный платеж по процентам]]</f>
        <v>5780.7006557377063</v>
      </c>
      <c r="S134" s="120">
        <f ca="1">IF(Первоначальный[[#This Row],[Просроченный платеж]]&lt;1,0,S133+1)</f>
        <v>30</v>
      </c>
      <c r="T134" s="100" cm="1">
        <f t="array" aca="1" ref="T134" ca="1">IF(Первоначальный[[#This Row],[Итого остаток на начало периода]]&lt;1,0,
IF(
AND(TYPE(VLOOKUP(1,$Z$12:Z134,1,0))=16,Первоначальный[[#This Row],[Досрочное погашение (да/"")]]=""),0,
_xlfn.IFS(AND(S133=0,Первоначальный[[#This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платеж]]&lt;&gt;0),MIN(LOOKUP(,-1/($Z$12:Z134=1),$C$12:C134)+LOOKUP(,-1/($Z$12:Z134=1),$H$12:H134),Первоначальный[[#This Row],[Полученный платеж]]+Y133),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платеж]]+Y133,SUM(Первоначальный[[#This Row],[Остаток процентов на начало периода]],Первоначальный[[#This Row],[Проценты за период]])),
AND(S133=0,Первоначальный[[#This Row],[Дата платежа из графика]]=""),0,
AND(S133=0,Первоначальный[[#This Row],[Дата платежа из графика]]=1,MAX((0&lt;&gt;S$12:S133)*ROW(S$12:S133),ROW($S$12))&gt;=MAX((1=Z$12:Z133)*ROW(Z$12:Z133),ROW($T$12)),TYPE(VLOOKUP("Да",(INDIRECT("AA"&amp;(MAX((1=Z$12:Z133)*ROW(Z$12:Z133),ROW($T$12))&amp;":AA"&amp;(ROW()-1)))),1,0))=16),MIN(LOOKUP(,-1/($Z$12:Z134=1),$C$12:C134)+LOOKUP(,-1/($Z$12:Z134=1),$H$12:H134),Первоначальный[[#This Row],[Полученный платеж]]+Y133),
AND(S133=0,TYPE(VLOOKUP("Да",(INDIRECT("AA"&amp;(MAX((1=Z$12:Z133)*ROW(Z$12:Z133),ROW($T$12))&amp;":AA"&amp;(ROW()-1)))),1,0))&lt;&gt;16),MIN(LOOKUP(,-1/($Z$12:Z134=1),$C$12:C134)+LOOKUP(,-1/($Z$12:Z134=1),$H$12:H134)-IF(AA133="Да",0,SUM(INDIRECT("T"&amp;(MAX(("Да"=AA$12:AA133)*ROW(AA$12:AA133)+1,ROW($T$12))&amp;":T"&amp;(ROW()-1))))),Первоначальный[[#This Row],[Полученный платеж]]+Y133),
AND(S133=0,MAX((0&lt;&gt;N$12:N133)*ROW(N$12:N133),ROW($S$12))&gt;=MAX((1=Z$12:Z133)*ROW(Z$12:Z133),ROW($T$12))),MIN(LOOKUP(,-1/($Z$12:Z134=1),$C$12:C134)+LOOKUP(,-1/($Z$12:Z134=1),$H$12:H134)-IF(N133&lt;&gt;0,0,SUM(INDIRECT("T"&amp;(MAX((0&lt;&gt;N$12:N133)*ROW(N$12:N133)+1,ROW($T$12))&amp;":T"&amp;(ROW()-1))))),Первоначальный[[#This Row],[Полученный платеж]]+Y133),
AND(S133=0,Первоначальный[[#This Row],[Дата платежа из графика]]=1),MIN(LOOKUP(,-1/($Z$12:Z134=1),$C$12:C134)+LOOKUP(,-1/($Z$12:Z134=1),$H$12:H134)-IF(Z133=1,0,SUM(INDIRECT("T"&amp;(MAX((1=Z$12:Z133)*ROW(Z$12:Z133)+1,ROW($T$12))&amp;":T"&amp;(ROW()-1))))),Первоначальный[[#This Row],[Полученный платеж]]+Y133),
AND(Z133&gt;0,Первоначальный[[#This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платеж]]+Y133),
AND(S133&gt;0,MAX((0&lt;&gt;S$12:S133)*ROW(S$12:S133),ROW($S$12))&gt;=MAX((1=Z$12:Z133)*ROW(Z$12:Z133),ROW($T$12)),TYPE(VLOOKUP("Да",(INDIRECT("AA"&amp;(MAX((1=Z$12:Z133)*ROW(Z$12:Z133),ROW($T$12))&amp;":AA"&amp;(ROW()-1)))),1,0))=16),MIN(LOOKUP(,-1/($Z$12:Z134=1),$C$12:C134)+LOOKUP(,-1/($Z$12:Z134=1),$H$12:H134)-SUM(INDIRECT("T"&amp;(MAX((1=Z$12:Z133)*ROW(Z$12:Z133),ROW($T$12))&amp;":T"&amp;(ROW()-1)))),Первоначальный[[#This Row],[Полученный платеж]]+Y133),
S133&gt;0,MIN(LOOKUP(,-1/($Z$12:Z134=1),$C$12:C134)+LOOKUP(,-1/($Z$12:Z134=1),$H$12:H134)-IF(Z133=1,0,SUM(INDIRECT("T"&amp;(MAX((1=Z$12:Z133)*ROW(Z$12:Z133)+1,ROW($T$12))&amp;":T"&amp;(ROW()-1))))),Первоначальный[[#This Row],[Полученный платеж]]+Y133)
)
)
)</f>
        <v>0</v>
      </c>
      <c r="U13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платеж]]+Y133-Первоначальный[[#This Row],[Полученный платёж по процентам]])</f>
        <v>0</v>
      </c>
      <c r="V134" s="55">
        <f t="shared" ca="1" si="13"/>
        <v>0</v>
      </c>
      <c r="W134" s="55" cm="1">
        <f t="array" aca="1" ref="W134" ca="1">IF(Первоначальный[[#This Row],[Итого остаток на начало периода]]&lt;1,0,
_xlfn.IFS(
AND(TYPE(VLOOKUP(1,$Z$12:Z134,1,0))=16,Первоначальный[[#This Row],[Досрочное погашение (да/"")]]=""),0,
AND(S133=0,Первоначальный[[#This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комиссиям]]),VLOOKUP(LOOKUP(,-1/($Z$12:Z134=1),$A$12:A134),График[[Срок конец]:[Возврат основной суммы долга]],3,0)),
AND(S133=0,Первоначальный[[#This Row],[Дата платежа из графика]]="",Первоначальный[[#This Row],[Досрочное погашение (да/"")]]&lt;&gt;"Да"),0,
AND(S133=0,Первоначальный[[#This Row],[Досрочное погашение (да/"")]]=""),MIN(Первоначальный[[#This Row],[Полученный платеж]]+Y133-SUM(Первоначальный[[#This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комиссиям]]),VLOOKUP(LOOKUP(,-1/($Z$12:Z134=1),$A$12:A134),График[[Срок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S133&gt;0,MIN(Первоначальный[[#This Row],[Полученный платеж]]+Y133-SUM(Первоначальный[[#This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комиссиям]]),SUM(INDIRECT("M"&amp;(MAX((1=S$12:S133)*ROW(S$12:S133),ROW($W$12))&amp;":M"&amp;(ROW()))))-SUM(INDIRECT("W"&amp;(MAX((1=S$12:S133)*ROW(S$12:S133),ROW($W$12))&amp;":W"&amp;(ROW()-1)))))
)
)</f>
        <v>0</v>
      </c>
      <c r="X134" s="55">
        <f t="shared" ca="1" si="14"/>
        <v>0</v>
      </c>
      <c r="Y134" s="101">
        <f t="shared" ca="1" si="21"/>
        <v>0</v>
      </c>
      <c r="Z134" s="133" t="str">
        <f>IF(TYPE((VLOOKUP(Первоначальный[[#This Row],[Дата платежа]],График[Срок конец],1,0)))=16,"",1)</f>
        <v/>
      </c>
      <c r="AA134" s="57"/>
      <c r="AB134" s="134"/>
      <c r="AC13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4875.840000000002</v>
      </c>
      <c r="AE13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6.1400000000000023</v>
      </c>
      <c r="AF13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461.52509836065599</v>
      </c>
      <c r="AH134" s="55"/>
      <c r="AI134" s="55"/>
      <c r="AJ134" s="55"/>
      <c r="AK134" s="101">
        <f t="shared" ca="1" si="22"/>
        <v>154976.84509836067</v>
      </c>
      <c r="AL134" s="129">
        <f t="array" ref="AL134">MAX((УслРестрактов[Характеристика]="Дата реструктуризации")*(УслРестрактов[Значение]=Первоначальный!$A134),0)</f>
        <v>0</v>
      </c>
    </row>
    <row r="135" spans="1:38" x14ac:dyDescent="0.25">
      <c r="A135" s="97">
        <f t="shared" si="15"/>
        <v>44266</v>
      </c>
      <c r="B135" s="100">
        <f t="shared" ca="1" si="16"/>
        <v>149633.34</v>
      </c>
      <c r="C135" s="55">
        <f t="shared" ca="1" si="24"/>
        <v>4875.840000000002</v>
      </c>
      <c r="D135" s="55">
        <f t="shared" ca="1" si="24"/>
        <v>6.1400000000000023</v>
      </c>
      <c r="E135" s="55">
        <f t="shared" ca="1" si="17"/>
        <v>0</v>
      </c>
      <c r="F135" s="55">
        <f t="shared" ca="1" si="18"/>
        <v>461.52509836065599</v>
      </c>
      <c r="G135" s="101">
        <f t="shared" ca="1" si="19"/>
        <v>154976.84509836067</v>
      </c>
      <c r="H135" s="100">
        <f ca="1">ROUND($B135*VLOOKUP($A135,$A$1:$B$10,2,1)/(365+IF(MOD(YEAR($A135),4),0,1)*($A135-$A134)),2)-Первоначальный[[#This Row],[Проценты на просроченный платеж по ОД за период]]</f>
        <v>81.039999999999992</v>
      </c>
      <c r="I135" s="55">
        <f t="shared" ca="1" si="20"/>
        <v>0.54</v>
      </c>
      <c r="J135" s="55">
        <v>0</v>
      </c>
      <c r="K135" s="55">
        <f t="shared" ca="1" si="23"/>
        <v>28.903503278688532</v>
      </c>
      <c r="L135" s="55">
        <v>0</v>
      </c>
      <c r="M135" s="113">
        <f>SUMIFS(График[Возврат основной суммы долга],График[Дата с учетом нерабочих дней],$A135)</f>
        <v>0</v>
      </c>
      <c r="N135" s="56">
        <f>SUMIFS(График[Возврат начисленных %],График[Дата с учетом нерабочих дней],$A135)</f>
        <v>0</v>
      </c>
      <c r="O135" s="101">
        <v>0</v>
      </c>
      <c r="P135" s="100" cm="1">
        <f t="array" aca="1" ref="P135" ca="1">MAX(IF(AA134="Да",0,SUM(INDIRECT("M"&amp;(MAX(("Да"=AA$12:AA134)*ROW(AA$12:AA134)+1,ROW($P$12))&amp;":M"&amp;(ROW()))))-SUM(INDIRECT("W"&amp;(MAX(("Да"=AA$12:AA134)*ROW(AA$12:AA134)+1,ROW($P$12))&amp;":W"&amp;(ROW()))))),0)</f>
        <v>986.38999999999942</v>
      </c>
      <c r="Q135" s="99">
        <f ca="1">MAX(SUM($N$13:N135)-SUM($T$13:T135),0)</f>
        <v>4794.3106557377068</v>
      </c>
      <c r="R135" s="99">
        <f ca="1">Первоначальный[[#This Row],[Просроченный платеж по ОД]]+Первоначальный[[#This Row],[Просроченный платеж по процентам]]</f>
        <v>5780.7006557377063</v>
      </c>
      <c r="S135" s="120">
        <f ca="1">IF(Первоначальный[[#This Row],[Просроченный платеж]]&lt;1,0,S134+1)</f>
        <v>31</v>
      </c>
      <c r="T135" s="100" cm="1">
        <f t="array" aca="1" ref="T135" ca="1">IF(Первоначальный[[#This Row],[Итого остаток на начало периода]]&lt;1,0,
IF(
AND(TYPE(VLOOKUP(1,$Z$12:Z135,1,0))=16,Первоначальный[[#This Row],[Досрочное погашение (да/"")]]=""),0,
_xlfn.IFS(AND(S134=0,Первоначальный[[#This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платеж]]&lt;&gt;0),MIN(LOOKUP(,-1/($Z$12:Z135=1),$C$12:C135)+LOOKUP(,-1/($Z$12:Z135=1),$H$12:H135),Первоначальный[[#This Row],[Полученный платеж]]+Y134),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платеж]]+Y134,SUM(Первоначальный[[#This Row],[Остаток процентов на начало периода]],Первоначальный[[#This Row],[Проценты за период]])),
AND(S134=0,Первоначальный[[#This Row],[Дата платежа из графика]]=""),0,
AND(S134=0,Первоначальный[[#This Row],[Дата платежа из графика]]=1,MAX((0&lt;&gt;S$12:S134)*ROW(S$12:S134),ROW($S$12))&gt;=MAX((1=Z$12:Z134)*ROW(Z$12:Z134),ROW($T$12)),TYPE(VLOOKUP("Да",(INDIRECT("AA"&amp;(MAX((1=Z$12:Z134)*ROW(Z$12:Z134),ROW($T$12))&amp;":AA"&amp;(ROW()-1)))),1,0))=16),MIN(LOOKUP(,-1/($Z$12:Z135=1),$C$12:C135)+LOOKUP(,-1/($Z$12:Z135=1),$H$12:H135),Первоначальный[[#This Row],[Полученный платеж]]+Y134),
AND(S134=0,TYPE(VLOOKUP("Да",(INDIRECT("AA"&amp;(MAX((1=Z$12:Z134)*ROW(Z$12:Z134),ROW($T$12))&amp;":AA"&amp;(ROW()-1)))),1,0))&lt;&gt;16),MIN(LOOKUP(,-1/($Z$12:Z135=1),$C$12:C135)+LOOKUP(,-1/($Z$12:Z135=1),$H$12:H135)-IF(AA134="Да",0,SUM(INDIRECT("T"&amp;(MAX(("Да"=AA$12:AA134)*ROW(AA$12:AA134)+1,ROW($T$12))&amp;":T"&amp;(ROW()-1))))),Первоначальный[[#This Row],[Полученный платеж]]+Y134),
AND(S134=0,MAX((0&lt;&gt;N$12:N134)*ROW(N$12:N134),ROW($S$12))&gt;=MAX((1=Z$12:Z134)*ROW(Z$12:Z134),ROW($T$12))),MIN(LOOKUP(,-1/($Z$12:Z135=1),$C$12:C135)+LOOKUP(,-1/($Z$12:Z135=1),$H$12:H135)-IF(N134&lt;&gt;0,0,SUM(INDIRECT("T"&amp;(MAX((0&lt;&gt;N$12:N134)*ROW(N$12:N134)+1,ROW($T$12))&amp;":T"&amp;(ROW()-1))))),Первоначальный[[#This Row],[Полученный платеж]]+Y134),
AND(S134=0,Первоначальный[[#This Row],[Дата платежа из графика]]=1),MIN(LOOKUP(,-1/($Z$12:Z135=1),$C$12:C135)+LOOKUP(,-1/($Z$12:Z135=1),$H$12:H135)-IF(Z134=1,0,SUM(INDIRECT("T"&amp;(MAX((1=Z$12:Z134)*ROW(Z$12:Z134)+1,ROW($T$12))&amp;":T"&amp;(ROW()-1))))),Первоначальный[[#This Row],[Полученный платеж]]+Y134),
AND(Z134&gt;0,Первоначальный[[#This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платеж]]+Y134),
AND(S134&gt;0,MAX((0&lt;&gt;S$12:S134)*ROW(S$12:S134),ROW($S$12))&gt;=MAX((1=Z$12:Z134)*ROW(Z$12:Z134),ROW($T$12)),TYPE(VLOOKUP("Да",(INDIRECT("AA"&amp;(MAX((1=Z$12:Z134)*ROW(Z$12:Z134),ROW($T$12))&amp;":AA"&amp;(ROW()-1)))),1,0))=16),MIN(LOOKUP(,-1/($Z$12:Z135=1),$C$12:C135)+LOOKUP(,-1/($Z$12:Z135=1),$H$12:H135)-SUM(INDIRECT("T"&amp;(MAX((1=Z$12:Z134)*ROW(Z$12:Z134),ROW($T$12))&amp;":T"&amp;(ROW()-1)))),Первоначальный[[#This Row],[Полученный платеж]]+Y134),
S134&gt;0,MIN(LOOKUP(,-1/($Z$12:Z135=1),$C$12:C135)+LOOKUP(,-1/($Z$12:Z135=1),$H$12:H135)-IF(Z134=1,0,SUM(INDIRECT("T"&amp;(MAX((1=Z$12:Z134)*ROW(Z$12:Z134)+1,ROW($T$12))&amp;":T"&amp;(ROW()-1))))),Первоначальный[[#This Row],[Полученный платеж]]+Y134)
)
)
)</f>
        <v>0</v>
      </c>
      <c r="U13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платеж]]+Y134-Первоначальный[[#This Row],[Полученный платёж по процентам]])</f>
        <v>0</v>
      </c>
      <c r="V135" s="55">
        <f t="shared" ca="1" si="13"/>
        <v>0</v>
      </c>
      <c r="W135" s="55" cm="1">
        <f t="array" aca="1" ref="W135" ca="1">IF(Первоначальный[[#This Row],[Итого остаток на начало периода]]&lt;1,0,
_xlfn.IFS(
AND(TYPE(VLOOKUP(1,$Z$12:Z135,1,0))=16,Первоначальный[[#This Row],[Досрочное погашение (да/"")]]=""),0,
AND(S134=0,Первоначальный[[#This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комиссиям]]),VLOOKUP(LOOKUP(,-1/($Z$12:Z135=1),$A$12:A135),График[[Срок конец]:[Возврат основной суммы долга]],3,0)),
AND(S134=0,Первоначальный[[#This Row],[Дата платежа из графика]]="",Первоначальный[[#This Row],[Досрочное погашение (да/"")]]&lt;&gt;"Да"),0,
AND(S134=0,Первоначальный[[#This Row],[Досрочное погашение (да/"")]]=""),MIN(Первоначальный[[#This Row],[Полученный платеж]]+Y134-SUM(Первоначальный[[#This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комиссиям]]),VLOOKUP(LOOKUP(,-1/($Z$12:Z135=1),$A$12:A135),График[[Срок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S134&gt;0,MIN(Первоначальный[[#This Row],[Полученный платеж]]+Y134-SUM(Первоначальный[[#This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комиссиям]]),SUM(INDIRECT("M"&amp;(MAX((1=S$12:S134)*ROW(S$12:S134),ROW($W$12))&amp;":M"&amp;(ROW()))))-SUM(INDIRECT("W"&amp;(MAX((1=S$12:S134)*ROW(S$12:S134),ROW($W$12))&amp;":W"&amp;(ROW()-1)))))
)
)</f>
        <v>0</v>
      </c>
      <c r="X135" s="55">
        <f t="shared" ca="1" si="14"/>
        <v>0</v>
      </c>
      <c r="Y135" s="101">
        <f t="shared" ca="1" si="21"/>
        <v>0</v>
      </c>
      <c r="Z135" s="133" t="str">
        <f>IF(TYPE((VLOOKUP(Первоначальный[[#This Row],[Дата платежа]],График[Срок конец],1,0)))=16,"",1)</f>
        <v/>
      </c>
      <c r="AA135" s="57"/>
      <c r="AB135" s="134"/>
      <c r="AC13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4956.8800000000019</v>
      </c>
      <c r="AE13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6.6800000000000024</v>
      </c>
      <c r="AF13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490.42860163934449</v>
      </c>
      <c r="AH135" s="55"/>
      <c r="AI135" s="55"/>
      <c r="AJ135" s="55"/>
      <c r="AK135" s="101">
        <f t="shared" ca="1" si="22"/>
        <v>155087.32860163934</v>
      </c>
      <c r="AL135" s="129">
        <f t="array" ref="AL135">MAX((УслРестрактов[Характеристика]="Дата реструктуризации")*(УслРестрактов[Значение]=Первоначальный!$A135),0)</f>
        <v>0</v>
      </c>
    </row>
    <row r="136" spans="1:38" x14ac:dyDescent="0.25">
      <c r="A136" s="97">
        <f t="shared" si="15"/>
        <v>44267</v>
      </c>
      <c r="B136" s="100">
        <f t="shared" ca="1" si="16"/>
        <v>149633.34</v>
      </c>
      <c r="C136" s="55">
        <f t="shared" ca="1" si="24"/>
        <v>4956.8800000000019</v>
      </c>
      <c r="D136" s="55">
        <f t="shared" ca="1" si="24"/>
        <v>6.6800000000000024</v>
      </c>
      <c r="E136" s="55">
        <f t="shared" ca="1" si="17"/>
        <v>0</v>
      </c>
      <c r="F136" s="55">
        <f t="shared" ca="1" si="18"/>
        <v>490.42860163934449</v>
      </c>
      <c r="G136" s="101">
        <f t="shared" ca="1" si="19"/>
        <v>155087.32860163934</v>
      </c>
      <c r="H136" s="100">
        <f ca="1">ROUND($B136*VLOOKUP($A136,$A$1:$B$10,2,1)/(365+IF(MOD(YEAR($A136),4),0,1)*($A136-$A135)),2)-Первоначальный[[#This Row],[Проценты на просроченный платеж по ОД за период]]</f>
        <v>81.039999999999992</v>
      </c>
      <c r="I136" s="55">
        <f t="shared" ca="1" si="20"/>
        <v>0.54</v>
      </c>
      <c r="J136" s="55">
        <v>0</v>
      </c>
      <c r="K136" s="55">
        <f t="shared" ca="1" si="23"/>
        <v>28.903503278688532</v>
      </c>
      <c r="L136" s="55">
        <v>0</v>
      </c>
      <c r="M136" s="113">
        <f>SUMIFS(График[Возврат основной суммы долга],График[Дата с учетом нерабочих дней],$A136)</f>
        <v>0</v>
      </c>
      <c r="N136" s="56">
        <f>SUMIFS(График[Возврат начисленных %],График[Дата с учетом нерабочих дней],$A136)</f>
        <v>0</v>
      </c>
      <c r="O136" s="101">
        <v>0</v>
      </c>
      <c r="P136" s="100" cm="1">
        <f t="array" aca="1" ref="P136" ca="1">MAX(IF(AA135="Да",0,SUM(INDIRECT("M"&amp;(MAX(("Да"=AA$12:AA135)*ROW(AA$12:AA135)+1,ROW($P$12))&amp;":M"&amp;(ROW()))))-SUM(INDIRECT("W"&amp;(MAX(("Да"=AA$12:AA135)*ROW(AA$12:AA135)+1,ROW($P$12))&amp;":W"&amp;(ROW()))))),0)</f>
        <v>986.38999999999942</v>
      </c>
      <c r="Q136" s="99">
        <f ca="1">MAX(SUM($N$13:N136)-SUM($T$13:T136),0)</f>
        <v>4794.3106557377068</v>
      </c>
      <c r="R136" s="99">
        <f ca="1">Первоначальный[[#This Row],[Просроченный платеж по ОД]]+Первоначальный[[#This Row],[Просроченный платеж по процентам]]</f>
        <v>5780.7006557377063</v>
      </c>
      <c r="S136" s="120">
        <f ca="1">IF(Первоначальный[[#This Row],[Просроченный платеж]]&lt;1,0,S135+1)</f>
        <v>32</v>
      </c>
      <c r="T136" s="100" cm="1">
        <f t="array" aca="1" ref="T136" ca="1">IF(Первоначальный[[#This Row],[Итого остаток на начало периода]]&lt;1,0,
IF(
AND(TYPE(VLOOKUP(1,$Z$12:Z136,1,0))=16,Первоначальный[[#This Row],[Досрочное погашение (да/"")]]=""),0,
_xlfn.IFS(AND(S135=0,Первоначальный[[#This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платеж]]&lt;&gt;0),MIN(LOOKUP(,-1/($Z$12:Z136=1),$C$12:C136)+LOOKUP(,-1/($Z$12:Z136=1),$H$12:H136),Первоначальный[[#This Row],[Полученный платеж]]+Y135),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платеж]]+Y135,SUM(Первоначальный[[#This Row],[Остаток процентов на начало периода]],Первоначальный[[#This Row],[Проценты за период]])),
AND(S135=0,Первоначальный[[#This Row],[Дата платежа из графика]]=""),0,
AND(S135=0,Первоначальный[[#This Row],[Дата платежа из графика]]=1,MAX((0&lt;&gt;S$12:S135)*ROW(S$12:S135),ROW($S$12))&gt;=MAX((1=Z$12:Z135)*ROW(Z$12:Z135),ROW($T$12)),TYPE(VLOOKUP("Да",(INDIRECT("AA"&amp;(MAX((1=Z$12:Z135)*ROW(Z$12:Z135),ROW($T$12))&amp;":AA"&amp;(ROW()-1)))),1,0))=16),MIN(LOOKUP(,-1/($Z$12:Z136=1),$C$12:C136)+LOOKUP(,-1/($Z$12:Z136=1),$H$12:H136),Первоначальный[[#This Row],[Полученный платеж]]+Y135),
AND(S135=0,TYPE(VLOOKUP("Да",(INDIRECT("AA"&amp;(MAX((1=Z$12:Z135)*ROW(Z$12:Z135),ROW($T$12))&amp;":AA"&amp;(ROW()-1)))),1,0))&lt;&gt;16),MIN(LOOKUP(,-1/($Z$12:Z136=1),$C$12:C136)+LOOKUP(,-1/($Z$12:Z136=1),$H$12:H136)-IF(AA135="Да",0,SUM(INDIRECT("T"&amp;(MAX(("Да"=AA$12:AA135)*ROW(AA$12:AA135)+1,ROW($T$12))&amp;":T"&amp;(ROW()-1))))),Первоначальный[[#This Row],[Полученный платеж]]+Y135),
AND(S135=0,MAX((0&lt;&gt;N$12:N135)*ROW(N$12:N135),ROW($S$12))&gt;=MAX((1=Z$12:Z135)*ROW(Z$12:Z135),ROW($T$12))),MIN(LOOKUP(,-1/($Z$12:Z136=1),$C$12:C136)+LOOKUP(,-1/($Z$12:Z136=1),$H$12:H136)-IF(N135&lt;&gt;0,0,SUM(INDIRECT("T"&amp;(MAX((0&lt;&gt;N$12:N135)*ROW(N$12:N135)+1,ROW($T$12))&amp;":T"&amp;(ROW()-1))))),Первоначальный[[#This Row],[Полученный платеж]]+Y135),
AND(S135=0,Первоначальный[[#This Row],[Дата платежа из графика]]=1),MIN(LOOKUP(,-1/($Z$12:Z136=1),$C$12:C136)+LOOKUP(,-1/($Z$12:Z136=1),$H$12:H136)-IF(Z135=1,0,SUM(INDIRECT("T"&amp;(MAX((1=Z$12:Z135)*ROW(Z$12:Z135)+1,ROW($T$12))&amp;":T"&amp;(ROW()-1))))),Первоначальный[[#This Row],[Полученный платеж]]+Y135),
AND(Z135&gt;0,Первоначальный[[#This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платеж]]+Y135),
AND(S135&gt;0,MAX((0&lt;&gt;S$12:S135)*ROW(S$12:S135),ROW($S$12))&gt;=MAX((1=Z$12:Z135)*ROW(Z$12:Z135),ROW($T$12)),TYPE(VLOOKUP("Да",(INDIRECT("AA"&amp;(MAX((1=Z$12:Z135)*ROW(Z$12:Z135),ROW($T$12))&amp;":AA"&amp;(ROW()-1)))),1,0))=16),MIN(LOOKUP(,-1/($Z$12:Z136=1),$C$12:C136)+LOOKUP(,-1/($Z$12:Z136=1),$H$12:H136)-SUM(INDIRECT("T"&amp;(MAX((1=Z$12:Z135)*ROW(Z$12:Z135),ROW($T$12))&amp;":T"&amp;(ROW()-1)))),Первоначальный[[#This Row],[Полученный платеж]]+Y135),
S135&gt;0,MIN(LOOKUP(,-1/($Z$12:Z136=1),$C$12:C136)+LOOKUP(,-1/($Z$12:Z136=1),$H$12:H136)-IF(Z135=1,0,SUM(INDIRECT("T"&amp;(MAX((1=Z$12:Z135)*ROW(Z$12:Z135)+1,ROW($T$12))&amp;":T"&amp;(ROW()-1))))),Первоначальный[[#This Row],[Полученный платеж]]+Y135)
)
)
)</f>
        <v>0</v>
      </c>
      <c r="U13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платеж]]+Y135-Первоначальный[[#This Row],[Полученный платёж по процентам]])</f>
        <v>0</v>
      </c>
      <c r="V136" s="55">
        <f t="shared" ca="1" si="13"/>
        <v>0</v>
      </c>
      <c r="W136" s="55" cm="1">
        <f t="array" aca="1" ref="W136" ca="1">IF(Первоначальный[[#This Row],[Итого остаток на начало периода]]&lt;1,0,
_xlfn.IFS(
AND(TYPE(VLOOKUP(1,$Z$12:Z136,1,0))=16,Первоначальный[[#This Row],[Досрочное погашение (да/"")]]=""),0,
AND(S135=0,Первоначальный[[#This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комиссиям]]),VLOOKUP(LOOKUP(,-1/($Z$12:Z136=1),$A$12:A136),График[[Срок конец]:[Возврат основной суммы долга]],3,0)),
AND(S135=0,Первоначальный[[#This Row],[Дата платежа из графика]]="",Первоначальный[[#This Row],[Досрочное погашение (да/"")]]&lt;&gt;"Да"),0,
AND(S135=0,Первоначальный[[#This Row],[Досрочное погашение (да/"")]]=""),MIN(Первоначальный[[#This Row],[Полученный платеж]]+Y135-SUM(Первоначальный[[#This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комиссиям]]),VLOOKUP(LOOKUP(,-1/($Z$12:Z136=1),$A$12:A136),График[[Срок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S135&gt;0,MIN(Первоначальный[[#This Row],[Полученный платеж]]+Y135-SUM(Первоначальный[[#This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комиссиям]]),SUM(INDIRECT("M"&amp;(MAX((1=S$12:S135)*ROW(S$12:S135),ROW($W$12))&amp;":M"&amp;(ROW()))))-SUM(INDIRECT("W"&amp;(MAX((1=S$12:S135)*ROW(S$12:S135),ROW($W$12))&amp;":W"&amp;(ROW()-1)))))
)
)</f>
        <v>0</v>
      </c>
      <c r="X136" s="55">
        <f t="shared" ca="1" si="14"/>
        <v>0</v>
      </c>
      <c r="Y136" s="101">
        <f t="shared" ca="1" si="21"/>
        <v>0</v>
      </c>
      <c r="Z136" s="133" t="str">
        <f>IF(TYPE((VLOOKUP(Первоначальный[[#This Row],[Дата платежа]],График[Срок конец],1,0)))=16,"",1)</f>
        <v/>
      </c>
      <c r="AA136" s="57"/>
      <c r="AB136" s="134"/>
      <c r="AC13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5037.9200000000019</v>
      </c>
      <c r="AE13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7.2200000000000024</v>
      </c>
      <c r="AF13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519.332104918033</v>
      </c>
      <c r="AH136" s="55"/>
      <c r="AI136" s="55"/>
      <c r="AJ136" s="55"/>
      <c r="AK136" s="101">
        <f t="shared" ca="1" si="22"/>
        <v>155197.81210491803</v>
      </c>
      <c r="AL136" s="129">
        <f t="array" ref="AL136">MAX((УслРестрактов[Характеристика]="Дата реструктуризации")*(УслРестрактов[Значение]=Первоначальный!$A136),0)</f>
        <v>0</v>
      </c>
    </row>
    <row r="137" spans="1:38" x14ac:dyDescent="0.25">
      <c r="A137" s="97">
        <f t="shared" si="15"/>
        <v>44268</v>
      </c>
      <c r="B137" s="100">
        <f t="shared" ca="1" si="16"/>
        <v>149633.34</v>
      </c>
      <c r="C137" s="55">
        <f t="shared" ca="1" si="24"/>
        <v>5037.9200000000019</v>
      </c>
      <c r="D137" s="55">
        <f t="shared" ca="1" si="24"/>
        <v>7.2200000000000024</v>
      </c>
      <c r="E137" s="55">
        <f t="shared" ca="1" si="17"/>
        <v>0</v>
      </c>
      <c r="F137" s="55">
        <f t="shared" ca="1" si="18"/>
        <v>519.332104918033</v>
      </c>
      <c r="G137" s="101">
        <f t="shared" ca="1" si="19"/>
        <v>155197.81210491803</v>
      </c>
      <c r="H137" s="100">
        <f ca="1">ROUND($B137*VLOOKUP($A137,$A$1:$B$10,2,1)/(365+IF(MOD(YEAR($A137),4),0,1)*($A137-$A136)),2)-Первоначальный[[#This Row],[Проценты на просроченный платеж по ОД за период]]</f>
        <v>81.039999999999992</v>
      </c>
      <c r="I137" s="55">
        <f t="shared" ca="1" si="20"/>
        <v>0.54</v>
      </c>
      <c r="J137" s="55">
        <v>0</v>
      </c>
      <c r="K137" s="55">
        <f t="shared" ca="1" si="23"/>
        <v>28.903503278688532</v>
      </c>
      <c r="L137" s="55">
        <v>0</v>
      </c>
      <c r="M137" s="113">
        <f>SUMIFS(График[Возврат основной суммы долга],График[Дата с учетом нерабочих дней],$A137)</f>
        <v>0</v>
      </c>
      <c r="N137" s="56">
        <f>SUMIFS(График[Возврат начисленных %],График[Дата с учетом нерабочих дней],$A137)</f>
        <v>0</v>
      </c>
      <c r="O137" s="101">
        <v>0</v>
      </c>
      <c r="P137" s="100" cm="1">
        <f t="array" aca="1" ref="P137" ca="1">MAX(IF(AA136="Да",0,SUM(INDIRECT("M"&amp;(MAX(("Да"=AA$12:AA136)*ROW(AA$12:AA136)+1,ROW($P$12))&amp;":M"&amp;(ROW()))))-SUM(INDIRECT("W"&amp;(MAX(("Да"=AA$12:AA136)*ROW(AA$12:AA136)+1,ROW($P$12))&amp;":W"&amp;(ROW()))))),0)</f>
        <v>986.38999999999942</v>
      </c>
      <c r="Q137" s="99">
        <f ca="1">MAX(SUM($N$13:N137)-SUM($T$13:T137),0)</f>
        <v>4794.3106557377068</v>
      </c>
      <c r="R137" s="99">
        <f ca="1">Первоначальный[[#This Row],[Просроченный платеж по ОД]]+Первоначальный[[#This Row],[Просроченный платеж по процентам]]</f>
        <v>5780.7006557377063</v>
      </c>
      <c r="S137" s="120">
        <f ca="1">IF(Первоначальный[[#This Row],[Просроченный платеж]]&lt;1,0,S136+1)</f>
        <v>33</v>
      </c>
      <c r="T137" s="100" cm="1">
        <f t="array" aca="1" ref="T137" ca="1">IF(Первоначальный[[#This Row],[Итого остаток на начало периода]]&lt;1,0,
IF(
AND(TYPE(VLOOKUP(1,$Z$12:Z137,1,0))=16,Первоначальный[[#This Row],[Досрочное погашение (да/"")]]=""),0,
_xlfn.IFS(AND(S136=0,Первоначальный[[#This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платеж]]&lt;&gt;0),MIN(LOOKUP(,-1/($Z$12:Z137=1),$C$12:C137)+LOOKUP(,-1/($Z$12:Z137=1),$H$12:H137),Первоначальный[[#This Row],[Полученный платеж]]+Y136),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платеж]]+Y136,SUM(Первоначальный[[#This Row],[Остаток процентов на начало периода]],Первоначальный[[#This Row],[Проценты за период]])),
AND(S136=0,Первоначальный[[#This Row],[Дата платежа из графика]]=""),0,
AND(S136=0,Первоначальный[[#This Row],[Дата платежа из графика]]=1,MAX((0&lt;&gt;S$12:S136)*ROW(S$12:S136),ROW($S$12))&gt;=MAX((1=Z$12:Z136)*ROW(Z$12:Z136),ROW($T$12)),TYPE(VLOOKUP("Да",(INDIRECT("AA"&amp;(MAX((1=Z$12:Z136)*ROW(Z$12:Z136),ROW($T$12))&amp;":AA"&amp;(ROW()-1)))),1,0))=16),MIN(LOOKUP(,-1/($Z$12:Z137=1),$C$12:C137)+LOOKUP(,-1/($Z$12:Z137=1),$H$12:H137),Первоначальный[[#This Row],[Полученный платеж]]+Y136),
AND(S136=0,TYPE(VLOOKUP("Да",(INDIRECT("AA"&amp;(MAX((1=Z$12:Z136)*ROW(Z$12:Z136),ROW($T$12))&amp;":AA"&amp;(ROW()-1)))),1,0))&lt;&gt;16),MIN(LOOKUP(,-1/($Z$12:Z137=1),$C$12:C137)+LOOKUP(,-1/($Z$12:Z137=1),$H$12:H137)-IF(AA136="Да",0,SUM(INDIRECT("T"&amp;(MAX(("Да"=AA$12:AA136)*ROW(AA$12:AA136)+1,ROW($T$12))&amp;":T"&amp;(ROW()-1))))),Первоначальный[[#This Row],[Полученный платеж]]+Y136),
AND(S136=0,MAX((0&lt;&gt;N$12:N136)*ROW(N$12:N136),ROW($S$12))&gt;=MAX((1=Z$12:Z136)*ROW(Z$12:Z136),ROW($T$12))),MIN(LOOKUP(,-1/($Z$12:Z137=1),$C$12:C137)+LOOKUP(,-1/($Z$12:Z137=1),$H$12:H137)-IF(N136&lt;&gt;0,0,SUM(INDIRECT("T"&amp;(MAX((0&lt;&gt;N$12:N136)*ROW(N$12:N136)+1,ROW($T$12))&amp;":T"&amp;(ROW()-1))))),Первоначальный[[#This Row],[Полученный платеж]]+Y136),
AND(S136=0,Первоначальный[[#This Row],[Дата платежа из графика]]=1),MIN(LOOKUP(,-1/($Z$12:Z137=1),$C$12:C137)+LOOKUP(,-1/($Z$12:Z137=1),$H$12:H137)-IF(Z136=1,0,SUM(INDIRECT("T"&amp;(MAX((1=Z$12:Z136)*ROW(Z$12:Z136)+1,ROW($T$12))&amp;":T"&amp;(ROW()-1))))),Первоначальный[[#This Row],[Полученный платеж]]+Y136),
AND(Z136&gt;0,Первоначальный[[#This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платеж]]+Y136),
AND(S136&gt;0,MAX((0&lt;&gt;S$12:S136)*ROW(S$12:S136),ROW($S$12))&gt;=MAX((1=Z$12:Z136)*ROW(Z$12:Z136),ROW($T$12)),TYPE(VLOOKUP("Да",(INDIRECT("AA"&amp;(MAX((1=Z$12:Z136)*ROW(Z$12:Z136),ROW($T$12))&amp;":AA"&amp;(ROW()-1)))),1,0))=16),MIN(LOOKUP(,-1/($Z$12:Z137=1),$C$12:C137)+LOOKUP(,-1/($Z$12:Z137=1),$H$12:H137)-SUM(INDIRECT("T"&amp;(MAX((1=Z$12:Z136)*ROW(Z$12:Z136),ROW($T$12))&amp;":T"&amp;(ROW()-1)))),Первоначальный[[#This Row],[Полученный платеж]]+Y136),
S136&gt;0,MIN(LOOKUP(,-1/($Z$12:Z137=1),$C$12:C137)+LOOKUP(,-1/($Z$12:Z137=1),$H$12:H137)-IF(Z136=1,0,SUM(INDIRECT("T"&amp;(MAX((1=Z$12:Z136)*ROW(Z$12:Z136)+1,ROW($T$12))&amp;":T"&amp;(ROW()-1))))),Первоначальный[[#This Row],[Полученный платеж]]+Y136)
)
)
)</f>
        <v>0</v>
      </c>
      <c r="U13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платеж]]+Y136-Первоначальный[[#This Row],[Полученный платёж по процентам]])</f>
        <v>0</v>
      </c>
      <c r="V137" s="55">
        <f t="shared" ca="1" si="13"/>
        <v>0</v>
      </c>
      <c r="W137" s="55" cm="1">
        <f t="array" aca="1" ref="W137" ca="1">IF(Первоначальный[[#This Row],[Итого остаток на начало периода]]&lt;1,0,
_xlfn.IFS(
AND(TYPE(VLOOKUP(1,$Z$12:Z137,1,0))=16,Первоначальный[[#This Row],[Досрочное погашение (да/"")]]=""),0,
AND(S136=0,Первоначальный[[#This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комиссиям]]),VLOOKUP(LOOKUP(,-1/($Z$12:Z137=1),$A$12:A137),График[[Срок конец]:[Возврат основной суммы долга]],3,0)),
AND(S136=0,Первоначальный[[#This Row],[Дата платежа из графика]]="",Первоначальный[[#This Row],[Досрочное погашение (да/"")]]&lt;&gt;"Да"),0,
AND(S136=0,Первоначальный[[#This Row],[Досрочное погашение (да/"")]]=""),MIN(Первоначальный[[#This Row],[Полученный платеж]]+Y136-SUM(Первоначальный[[#This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комиссиям]]),VLOOKUP(LOOKUP(,-1/($Z$12:Z137=1),$A$12:A137),График[[Срок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S136&gt;0,MIN(Первоначальный[[#This Row],[Полученный платеж]]+Y136-SUM(Первоначальный[[#This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комиссиям]]),SUM(INDIRECT("M"&amp;(MAX((1=S$12:S136)*ROW(S$12:S136),ROW($W$12))&amp;":M"&amp;(ROW()))))-SUM(INDIRECT("W"&amp;(MAX((1=S$12:S136)*ROW(S$12:S136),ROW($W$12))&amp;":W"&amp;(ROW()-1)))))
)
)</f>
        <v>0</v>
      </c>
      <c r="X137" s="55">
        <f t="shared" ca="1" si="14"/>
        <v>0</v>
      </c>
      <c r="Y137" s="101">
        <f t="shared" ca="1" si="21"/>
        <v>0</v>
      </c>
      <c r="Z137" s="133" t="str">
        <f>IF(TYPE((VLOOKUP(Первоначальный[[#This Row],[Дата платежа]],График[Срок конец],1,0)))=16,"",1)</f>
        <v/>
      </c>
      <c r="AA137" s="57"/>
      <c r="AB137" s="134"/>
      <c r="AC13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5118.9600000000019</v>
      </c>
      <c r="AE13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7.7600000000000025</v>
      </c>
      <c r="AF13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548.2356081967215</v>
      </c>
      <c r="AH137" s="55"/>
      <c r="AI137" s="55"/>
      <c r="AJ137" s="55"/>
      <c r="AK137" s="101">
        <f t="shared" ca="1" si="22"/>
        <v>155308.29560819673</v>
      </c>
      <c r="AL137" s="129">
        <f t="array" ref="AL137">MAX((УслРестрактов[Характеристика]="Дата реструктуризации")*(УслРестрактов[Значение]=Первоначальный!$A137),0)</f>
        <v>0</v>
      </c>
    </row>
    <row r="138" spans="1:38" x14ac:dyDescent="0.25">
      <c r="A138" s="97">
        <f t="shared" si="15"/>
        <v>44269</v>
      </c>
      <c r="B138" s="100">
        <f t="shared" ca="1" si="16"/>
        <v>149633.34</v>
      </c>
      <c r="C138" s="55">
        <f t="shared" ca="1" si="24"/>
        <v>5118.9600000000019</v>
      </c>
      <c r="D138" s="55">
        <f t="shared" ca="1" si="24"/>
        <v>7.7600000000000025</v>
      </c>
      <c r="E138" s="55">
        <f t="shared" ca="1" si="17"/>
        <v>0</v>
      </c>
      <c r="F138" s="55">
        <f t="shared" ca="1" si="18"/>
        <v>548.2356081967215</v>
      </c>
      <c r="G138" s="101">
        <f t="shared" ca="1" si="19"/>
        <v>155308.29560819673</v>
      </c>
      <c r="H138" s="100">
        <f ca="1">ROUND($B138*VLOOKUP($A138,$A$1:$B$10,2,1)/(365+IF(MOD(YEAR($A138),4),0,1)*($A138-$A137)),2)-Первоначальный[[#This Row],[Проценты на просроченный платеж по ОД за период]]</f>
        <v>81.039999999999992</v>
      </c>
      <c r="I138" s="55">
        <f t="shared" ca="1" si="20"/>
        <v>0.54</v>
      </c>
      <c r="J138" s="55">
        <v>0</v>
      </c>
      <c r="K138" s="55">
        <f t="shared" ca="1" si="23"/>
        <v>28.903503278688532</v>
      </c>
      <c r="L138" s="55">
        <v>0</v>
      </c>
      <c r="M138" s="113">
        <f>SUMIFS(График[Возврат основной суммы долга],График[Дата с учетом нерабочих дней],$A138)</f>
        <v>0</v>
      </c>
      <c r="N138" s="56">
        <f>SUMIFS(График[Возврат начисленных %],График[Дата с учетом нерабочих дней],$A138)</f>
        <v>0</v>
      </c>
      <c r="O138" s="101">
        <v>0</v>
      </c>
      <c r="P138" s="100" cm="1">
        <f t="array" aca="1" ref="P138" ca="1">MAX(IF(AA137="Да",0,SUM(INDIRECT("M"&amp;(MAX(("Да"=AA$12:AA137)*ROW(AA$12:AA137)+1,ROW($P$12))&amp;":M"&amp;(ROW()))))-SUM(INDIRECT("W"&amp;(MAX(("Да"=AA$12:AA137)*ROW(AA$12:AA137)+1,ROW($P$12))&amp;":W"&amp;(ROW()))))),0)</f>
        <v>986.38999999999942</v>
      </c>
      <c r="Q138" s="99">
        <f ca="1">MAX(SUM($N$13:N138)-SUM($T$13:T138),0)</f>
        <v>4794.3106557377068</v>
      </c>
      <c r="R138" s="99">
        <f ca="1">Первоначальный[[#This Row],[Просроченный платеж по ОД]]+Первоначальный[[#This Row],[Просроченный платеж по процентам]]</f>
        <v>5780.7006557377063</v>
      </c>
      <c r="S138" s="120">
        <f ca="1">IF(Первоначальный[[#This Row],[Просроченный платеж]]&lt;1,0,S137+1)</f>
        <v>34</v>
      </c>
      <c r="T138" s="100" cm="1">
        <f t="array" aca="1" ref="T138" ca="1">IF(Первоначальный[[#This Row],[Итого остаток на начало периода]]&lt;1,0,
IF(
AND(TYPE(VLOOKUP(1,$Z$12:Z138,1,0))=16,Первоначальный[[#This Row],[Досрочное погашение (да/"")]]=""),0,
_xlfn.IFS(AND(S137=0,Первоначальный[[#This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платеж]]&lt;&gt;0),MIN(LOOKUP(,-1/($Z$12:Z138=1),$C$12:C138)+LOOKUP(,-1/($Z$12:Z138=1),$H$12:H138),Первоначальный[[#This Row],[Полученный платеж]]+Y137),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платеж]]+Y137,SUM(Первоначальный[[#This Row],[Остаток процентов на начало периода]],Первоначальный[[#This Row],[Проценты за период]])),
AND(S137=0,Первоначальный[[#This Row],[Дата платежа из графика]]=""),0,
AND(S137=0,Первоначальный[[#This Row],[Дата платежа из графика]]=1,MAX((0&lt;&gt;S$12:S137)*ROW(S$12:S137),ROW($S$12))&gt;=MAX((1=Z$12:Z137)*ROW(Z$12:Z137),ROW($T$12)),TYPE(VLOOKUP("Да",(INDIRECT("AA"&amp;(MAX((1=Z$12:Z137)*ROW(Z$12:Z137),ROW($T$12))&amp;":AA"&amp;(ROW()-1)))),1,0))=16),MIN(LOOKUP(,-1/($Z$12:Z138=1),$C$12:C138)+LOOKUP(,-1/($Z$12:Z138=1),$H$12:H138),Первоначальный[[#This Row],[Полученный платеж]]+Y137),
AND(S137=0,TYPE(VLOOKUP("Да",(INDIRECT("AA"&amp;(MAX((1=Z$12:Z137)*ROW(Z$12:Z137),ROW($T$12))&amp;":AA"&amp;(ROW()-1)))),1,0))&lt;&gt;16),MIN(LOOKUP(,-1/($Z$12:Z138=1),$C$12:C138)+LOOKUP(,-1/($Z$12:Z138=1),$H$12:H138)-IF(AA137="Да",0,SUM(INDIRECT("T"&amp;(MAX(("Да"=AA$12:AA137)*ROW(AA$12:AA137)+1,ROW($T$12))&amp;":T"&amp;(ROW()-1))))),Первоначальный[[#This Row],[Полученный платеж]]+Y137),
AND(S137=0,MAX((0&lt;&gt;N$12:N137)*ROW(N$12:N137),ROW($S$12))&gt;=MAX((1=Z$12:Z137)*ROW(Z$12:Z137),ROW($T$12))),MIN(LOOKUP(,-1/($Z$12:Z138=1),$C$12:C138)+LOOKUP(,-1/($Z$12:Z138=1),$H$12:H138)-IF(N137&lt;&gt;0,0,SUM(INDIRECT("T"&amp;(MAX((0&lt;&gt;N$12:N137)*ROW(N$12:N137)+1,ROW($T$12))&amp;":T"&amp;(ROW()-1))))),Первоначальный[[#This Row],[Полученный платеж]]+Y137),
AND(S137=0,Первоначальный[[#This Row],[Дата платежа из графика]]=1),MIN(LOOKUP(,-1/($Z$12:Z138=1),$C$12:C138)+LOOKUP(,-1/($Z$12:Z138=1),$H$12:H138)-IF(Z137=1,0,SUM(INDIRECT("T"&amp;(MAX((1=Z$12:Z137)*ROW(Z$12:Z137)+1,ROW($T$12))&amp;":T"&amp;(ROW()-1))))),Первоначальный[[#This Row],[Полученный платеж]]+Y137),
AND(Z137&gt;0,Первоначальный[[#This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платеж]]+Y137),
AND(S137&gt;0,MAX((0&lt;&gt;S$12:S137)*ROW(S$12:S137),ROW($S$12))&gt;=MAX((1=Z$12:Z137)*ROW(Z$12:Z137),ROW($T$12)),TYPE(VLOOKUP("Да",(INDIRECT("AA"&amp;(MAX((1=Z$12:Z137)*ROW(Z$12:Z137),ROW($T$12))&amp;":AA"&amp;(ROW()-1)))),1,0))=16),MIN(LOOKUP(,-1/($Z$12:Z138=1),$C$12:C138)+LOOKUP(,-1/($Z$12:Z138=1),$H$12:H138)-SUM(INDIRECT("T"&amp;(MAX((1=Z$12:Z137)*ROW(Z$12:Z137),ROW($T$12))&amp;":T"&amp;(ROW()-1)))),Первоначальный[[#This Row],[Полученный платеж]]+Y137),
S137&gt;0,MIN(LOOKUP(,-1/($Z$12:Z138=1),$C$12:C138)+LOOKUP(,-1/($Z$12:Z138=1),$H$12:H138)-IF(Z137=1,0,SUM(INDIRECT("T"&amp;(MAX((1=Z$12:Z137)*ROW(Z$12:Z137)+1,ROW($T$12))&amp;":T"&amp;(ROW()-1))))),Первоначальный[[#This Row],[Полученный платеж]]+Y137)
)
)
)</f>
        <v>0</v>
      </c>
      <c r="U13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платеж]]+Y137-Первоначальный[[#This Row],[Полученный платёж по процентам]])</f>
        <v>0</v>
      </c>
      <c r="V138" s="55">
        <f t="shared" ca="1" si="13"/>
        <v>0</v>
      </c>
      <c r="W138" s="55" cm="1">
        <f t="array" aca="1" ref="W138" ca="1">IF(Первоначальный[[#This Row],[Итого остаток на начало периода]]&lt;1,0,
_xlfn.IFS(
AND(TYPE(VLOOKUP(1,$Z$12:Z138,1,0))=16,Первоначальный[[#This Row],[Досрочное погашение (да/"")]]=""),0,
AND(S137=0,Первоначальный[[#This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комиссиям]]),VLOOKUP(LOOKUP(,-1/($Z$12:Z138=1),$A$12:A138),График[[Срок конец]:[Возврат основной суммы долга]],3,0)),
AND(S137=0,Первоначальный[[#This Row],[Дата платежа из графика]]="",Первоначальный[[#This Row],[Досрочное погашение (да/"")]]&lt;&gt;"Да"),0,
AND(S137=0,Первоначальный[[#This Row],[Досрочное погашение (да/"")]]=""),MIN(Первоначальный[[#This Row],[Полученный платеж]]+Y137-SUM(Первоначальный[[#This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комиссиям]]),VLOOKUP(LOOKUP(,-1/($Z$12:Z138=1),$A$12:A138),График[[Срок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S137&gt;0,MIN(Первоначальный[[#This Row],[Полученный платеж]]+Y137-SUM(Первоначальный[[#This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комиссиям]]),SUM(INDIRECT("M"&amp;(MAX((1=S$12:S137)*ROW(S$12:S137),ROW($W$12))&amp;":M"&amp;(ROW()))))-SUM(INDIRECT("W"&amp;(MAX((1=S$12:S137)*ROW(S$12:S137),ROW($W$12))&amp;":W"&amp;(ROW()-1)))))
)
)</f>
        <v>0</v>
      </c>
      <c r="X138" s="55">
        <f t="shared" ca="1" si="14"/>
        <v>0</v>
      </c>
      <c r="Y138" s="101">
        <f t="shared" ca="1" si="21"/>
        <v>0</v>
      </c>
      <c r="Z138" s="133" t="str">
        <f>IF(TYPE((VLOOKUP(Первоначальный[[#This Row],[Дата платежа]],График[Срок конец],1,0)))=16,"",1)</f>
        <v/>
      </c>
      <c r="AA138" s="57"/>
      <c r="AB138" s="134"/>
      <c r="AC13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5200.0000000000018</v>
      </c>
      <c r="AE13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8.3000000000000025</v>
      </c>
      <c r="AF13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577.13911147541</v>
      </c>
      <c r="AH138" s="55"/>
      <c r="AI138" s="55"/>
      <c r="AJ138" s="55"/>
      <c r="AK138" s="101">
        <f t="shared" ca="1" si="22"/>
        <v>155418.77911147539</v>
      </c>
      <c r="AL138" s="129">
        <f t="array" ref="AL138">MAX((УслРестрактов[Характеристика]="Дата реструктуризации")*(УслРестрактов[Значение]=Первоначальный!$A138),0)</f>
        <v>0</v>
      </c>
    </row>
    <row r="139" spans="1:38" x14ac:dyDescent="0.25">
      <c r="A139" s="97">
        <f t="shared" si="15"/>
        <v>44270</v>
      </c>
      <c r="B139" s="100">
        <f t="shared" ca="1" si="16"/>
        <v>149633.34</v>
      </c>
      <c r="C139" s="55">
        <f t="shared" ca="1" si="24"/>
        <v>5200.0000000000018</v>
      </c>
      <c r="D139" s="55">
        <f t="shared" ca="1" si="24"/>
        <v>8.3000000000000025</v>
      </c>
      <c r="E139" s="55">
        <f t="shared" ca="1" si="17"/>
        <v>0</v>
      </c>
      <c r="F139" s="55">
        <f t="shared" ca="1" si="18"/>
        <v>577.13911147541</v>
      </c>
      <c r="G139" s="101">
        <f t="shared" ca="1" si="19"/>
        <v>155418.77911147539</v>
      </c>
      <c r="H139" s="100">
        <f ca="1">ROUND($B139*VLOOKUP($A139,$A$1:$B$10,2,1)/(365+IF(MOD(YEAR($A139),4),0,1)*($A139-$A138)),2)-Первоначальный[[#This Row],[Проценты на просроченный платеж по ОД за период]]</f>
        <v>81.039999999999992</v>
      </c>
      <c r="I139" s="55">
        <f t="shared" ca="1" si="20"/>
        <v>0.54</v>
      </c>
      <c r="J139" s="55">
        <v>0</v>
      </c>
      <c r="K139" s="55">
        <f t="shared" ca="1" si="23"/>
        <v>28.903503278688532</v>
      </c>
      <c r="L139" s="55">
        <v>0</v>
      </c>
      <c r="M139" s="113">
        <f>SUMIFS(График[Возврат основной суммы долга],График[Дата с учетом нерабочих дней],$A139)</f>
        <v>0</v>
      </c>
      <c r="N139" s="56">
        <f>SUMIFS(График[Возврат начисленных %],График[Дата с учетом нерабочих дней],$A139)</f>
        <v>0</v>
      </c>
      <c r="O139" s="101">
        <v>0</v>
      </c>
      <c r="P139" s="100" cm="1">
        <f t="array" aca="1" ref="P139" ca="1">MAX(IF(AA138="Да",0,SUM(INDIRECT("M"&amp;(MAX(("Да"=AA$12:AA138)*ROW(AA$12:AA138)+1,ROW($P$12))&amp;":M"&amp;(ROW()))))-SUM(INDIRECT("W"&amp;(MAX(("Да"=AA$12:AA138)*ROW(AA$12:AA138)+1,ROW($P$12))&amp;":W"&amp;(ROW()))))),0)</f>
        <v>986.38999999999942</v>
      </c>
      <c r="Q139" s="99">
        <f ca="1">MAX(SUM($N$13:N139)-SUM($T$13:T139),0)</f>
        <v>4794.3106557377068</v>
      </c>
      <c r="R139" s="99">
        <f ca="1">Первоначальный[[#This Row],[Просроченный платеж по ОД]]+Первоначальный[[#This Row],[Просроченный платеж по процентам]]</f>
        <v>5780.7006557377063</v>
      </c>
      <c r="S139" s="120">
        <f ca="1">IF(Первоначальный[[#This Row],[Просроченный платеж]]&lt;1,0,S138+1)</f>
        <v>35</v>
      </c>
      <c r="T139" s="100" cm="1">
        <f t="array" aca="1" ref="T139" ca="1">IF(Первоначальный[[#This Row],[Итого остаток на начало периода]]&lt;1,0,
IF(
AND(TYPE(VLOOKUP(1,$Z$12:Z139,1,0))=16,Первоначальный[[#This Row],[Досрочное погашение (да/"")]]=""),0,
_xlfn.IFS(AND(S138=0,Первоначальный[[#This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платеж]]&lt;&gt;0),MIN(LOOKUP(,-1/($Z$12:Z139=1),$C$12:C139)+LOOKUP(,-1/($Z$12:Z139=1),$H$12:H139),Первоначальный[[#This Row],[Полученный платеж]]+Y138),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платеж]]+Y138,SUM(Первоначальный[[#This Row],[Остаток процентов на начало периода]],Первоначальный[[#This Row],[Проценты за период]])),
AND(S138=0,Первоначальный[[#This Row],[Дата платежа из графика]]=""),0,
AND(S138=0,Первоначальный[[#This Row],[Дата платежа из графика]]=1,MAX((0&lt;&gt;S$12:S138)*ROW(S$12:S138),ROW($S$12))&gt;=MAX((1=Z$12:Z138)*ROW(Z$12:Z138),ROW($T$12)),TYPE(VLOOKUP("Да",(INDIRECT("AA"&amp;(MAX((1=Z$12:Z138)*ROW(Z$12:Z138),ROW($T$12))&amp;":AA"&amp;(ROW()-1)))),1,0))=16),MIN(LOOKUP(,-1/($Z$12:Z139=1),$C$12:C139)+LOOKUP(,-1/($Z$12:Z139=1),$H$12:H139),Первоначальный[[#This Row],[Полученный платеж]]+Y138),
AND(S138=0,TYPE(VLOOKUP("Да",(INDIRECT("AA"&amp;(MAX((1=Z$12:Z138)*ROW(Z$12:Z138),ROW($T$12))&amp;":AA"&amp;(ROW()-1)))),1,0))&lt;&gt;16),MIN(LOOKUP(,-1/($Z$12:Z139=1),$C$12:C139)+LOOKUP(,-1/($Z$12:Z139=1),$H$12:H139)-IF(AA138="Да",0,SUM(INDIRECT("T"&amp;(MAX(("Да"=AA$12:AA138)*ROW(AA$12:AA138)+1,ROW($T$12))&amp;":T"&amp;(ROW()-1))))),Первоначальный[[#This Row],[Полученный платеж]]+Y138),
AND(S138=0,MAX((0&lt;&gt;N$12:N138)*ROW(N$12:N138),ROW($S$12))&gt;=MAX((1=Z$12:Z138)*ROW(Z$12:Z138),ROW($T$12))),MIN(LOOKUP(,-1/($Z$12:Z139=1),$C$12:C139)+LOOKUP(,-1/($Z$12:Z139=1),$H$12:H139)-IF(N138&lt;&gt;0,0,SUM(INDIRECT("T"&amp;(MAX((0&lt;&gt;N$12:N138)*ROW(N$12:N138)+1,ROW($T$12))&amp;":T"&amp;(ROW()-1))))),Первоначальный[[#This Row],[Полученный платеж]]+Y138),
AND(S138=0,Первоначальный[[#This Row],[Дата платежа из графика]]=1),MIN(LOOKUP(,-1/($Z$12:Z139=1),$C$12:C139)+LOOKUP(,-1/($Z$12:Z139=1),$H$12:H139)-IF(Z138=1,0,SUM(INDIRECT("T"&amp;(MAX((1=Z$12:Z138)*ROW(Z$12:Z138)+1,ROW($T$12))&amp;":T"&amp;(ROW()-1))))),Первоначальный[[#This Row],[Полученный платеж]]+Y138),
AND(Z138&gt;0,Первоначальный[[#This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платеж]]+Y138),
AND(S138&gt;0,MAX((0&lt;&gt;S$12:S138)*ROW(S$12:S138),ROW($S$12))&gt;=MAX((1=Z$12:Z138)*ROW(Z$12:Z138),ROW($T$12)),TYPE(VLOOKUP("Да",(INDIRECT("AA"&amp;(MAX((1=Z$12:Z138)*ROW(Z$12:Z138),ROW($T$12))&amp;":AA"&amp;(ROW()-1)))),1,0))=16),MIN(LOOKUP(,-1/($Z$12:Z139=1),$C$12:C139)+LOOKUP(,-1/($Z$12:Z139=1),$H$12:H139)-SUM(INDIRECT("T"&amp;(MAX((1=Z$12:Z138)*ROW(Z$12:Z138),ROW($T$12))&amp;":T"&amp;(ROW()-1)))),Первоначальный[[#This Row],[Полученный платеж]]+Y138),
S138&gt;0,MIN(LOOKUP(,-1/($Z$12:Z139=1),$C$12:C139)+LOOKUP(,-1/($Z$12:Z139=1),$H$12:H139)-IF(Z138=1,0,SUM(INDIRECT("T"&amp;(MAX((1=Z$12:Z138)*ROW(Z$12:Z138)+1,ROW($T$12))&amp;":T"&amp;(ROW()-1))))),Первоначальный[[#This Row],[Полученный платеж]]+Y138)
)
)
)</f>
        <v>0</v>
      </c>
      <c r="U13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платеж]]+Y138-Первоначальный[[#This Row],[Полученный платёж по процентам]])</f>
        <v>0</v>
      </c>
      <c r="V139" s="55">
        <f t="shared" ca="1" si="13"/>
        <v>0</v>
      </c>
      <c r="W139" s="55" cm="1">
        <f t="array" aca="1" ref="W139" ca="1">IF(Первоначальный[[#This Row],[Итого остаток на начало периода]]&lt;1,0,
_xlfn.IFS(
AND(TYPE(VLOOKUP(1,$Z$12:Z139,1,0))=16,Первоначальный[[#This Row],[Досрочное погашение (да/"")]]=""),0,
AND(S138=0,Первоначальный[[#This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комиссиям]]),VLOOKUP(LOOKUP(,-1/($Z$12:Z139=1),$A$12:A139),График[[Срок конец]:[Возврат основной суммы долга]],3,0)),
AND(S138=0,Первоначальный[[#This Row],[Дата платежа из графика]]="",Первоначальный[[#This Row],[Досрочное погашение (да/"")]]&lt;&gt;"Да"),0,
AND(S138=0,Первоначальный[[#This Row],[Досрочное погашение (да/"")]]=""),MIN(Первоначальный[[#This Row],[Полученный платеж]]+Y138-SUM(Первоначальный[[#This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комиссиям]]),VLOOKUP(LOOKUP(,-1/($Z$12:Z139=1),$A$12:A139),График[[Срок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S138&gt;0,MIN(Первоначальный[[#This Row],[Полученный платеж]]+Y138-SUM(Первоначальный[[#This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комиссиям]]),SUM(INDIRECT("M"&amp;(MAX((1=S$12:S138)*ROW(S$12:S138),ROW($W$12))&amp;":M"&amp;(ROW()))))-SUM(INDIRECT("W"&amp;(MAX((1=S$12:S138)*ROW(S$12:S138),ROW($W$12))&amp;":W"&amp;(ROW()-1)))))
)
)</f>
        <v>0</v>
      </c>
      <c r="X139" s="55">
        <f t="shared" ca="1" si="14"/>
        <v>0</v>
      </c>
      <c r="Y139" s="101">
        <f t="shared" ca="1" si="21"/>
        <v>0</v>
      </c>
      <c r="Z139" s="133" t="str">
        <f>IF(TYPE((VLOOKUP(Первоначальный[[#This Row],[Дата платежа]],График[Срок конец],1,0)))=16,"",1)</f>
        <v/>
      </c>
      <c r="AA139" s="57"/>
      <c r="AB139" s="134"/>
      <c r="AC13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5281.0400000000018</v>
      </c>
      <c r="AE13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8.8400000000000034</v>
      </c>
      <c r="AF13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606.04261475409851</v>
      </c>
      <c r="AH139" s="55"/>
      <c r="AI139" s="55"/>
      <c r="AJ139" s="55"/>
      <c r="AK139" s="101">
        <f t="shared" ca="1" si="22"/>
        <v>155529.26261475409</v>
      </c>
      <c r="AL139" s="129">
        <f t="array" ref="AL139">MAX((УслРестрактов[Характеристика]="Дата реструктуризации")*(УслРестрактов[Значение]=Первоначальный!$A139),0)</f>
        <v>0</v>
      </c>
    </row>
    <row r="140" spans="1:38" x14ac:dyDescent="0.25">
      <c r="A140" s="97">
        <f t="shared" si="15"/>
        <v>44271</v>
      </c>
      <c r="B140" s="100">
        <f t="shared" ca="1" si="16"/>
        <v>149633.34</v>
      </c>
      <c r="C140" s="55">
        <f t="shared" ca="1" si="24"/>
        <v>5281.0400000000018</v>
      </c>
      <c r="D140" s="55">
        <f t="shared" ca="1" si="24"/>
        <v>8.8400000000000034</v>
      </c>
      <c r="E140" s="55">
        <f t="shared" ca="1" si="17"/>
        <v>0</v>
      </c>
      <c r="F140" s="55">
        <f t="shared" ca="1" si="18"/>
        <v>606.04261475409851</v>
      </c>
      <c r="G140" s="101">
        <f t="shared" ca="1" si="19"/>
        <v>155529.26261475409</v>
      </c>
      <c r="H140" s="100">
        <f ca="1">ROUND($B140*VLOOKUP($A140,$A$1:$B$10,2,1)/(365+IF(MOD(YEAR($A140),4),0,1)*($A140-$A139)),2)-Первоначальный[[#This Row],[Проценты на просроченный платеж по ОД за период]]</f>
        <v>81.039999999999992</v>
      </c>
      <c r="I140" s="55">
        <f t="shared" ca="1" si="20"/>
        <v>0.54</v>
      </c>
      <c r="J140" s="55">
        <v>0</v>
      </c>
      <c r="K140" s="55">
        <f t="shared" ca="1" si="23"/>
        <v>28.903503278688532</v>
      </c>
      <c r="L140" s="55">
        <v>0</v>
      </c>
      <c r="M140" s="113">
        <f>SUMIFS(График[Возврат основной суммы долга],График[Дата с учетом нерабочих дней],$A140)</f>
        <v>0</v>
      </c>
      <c r="N140" s="56">
        <f>SUMIFS(График[Возврат начисленных %],График[Дата с учетом нерабочих дней],$A140)</f>
        <v>0</v>
      </c>
      <c r="O140" s="101">
        <v>0</v>
      </c>
      <c r="P140" s="100" cm="1">
        <f t="array" aca="1" ref="P140" ca="1">MAX(IF(AA139="Да",0,SUM(INDIRECT("M"&amp;(MAX(("Да"=AA$12:AA139)*ROW(AA$12:AA139)+1,ROW($P$12))&amp;":M"&amp;(ROW()))))-SUM(INDIRECT("W"&amp;(MAX(("Да"=AA$12:AA139)*ROW(AA$12:AA139)+1,ROW($P$12))&amp;":W"&amp;(ROW()))))),0)</f>
        <v>986.38999999999942</v>
      </c>
      <c r="Q140" s="99">
        <f ca="1">MAX(SUM($N$13:N140)-SUM($T$13:T140),0)</f>
        <v>4794.3106557377068</v>
      </c>
      <c r="R140" s="99">
        <f ca="1">Первоначальный[[#This Row],[Просроченный платеж по ОД]]+Первоначальный[[#This Row],[Просроченный платеж по процентам]]</f>
        <v>5780.7006557377063</v>
      </c>
      <c r="S140" s="120">
        <f ca="1">IF(Первоначальный[[#This Row],[Просроченный платеж]]&lt;1,0,S139+1)</f>
        <v>36</v>
      </c>
      <c r="T140" s="100" cm="1">
        <f t="array" aca="1" ref="T140" ca="1">IF(Первоначальный[[#This Row],[Итого остаток на начало периода]]&lt;1,0,
IF(
AND(TYPE(VLOOKUP(1,$Z$12:Z140,1,0))=16,Первоначальный[[#This Row],[Досрочное погашение (да/"")]]=""),0,
_xlfn.IFS(AND(S139=0,Первоначальный[[#This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платеж]]&lt;&gt;0),MIN(LOOKUP(,-1/($Z$12:Z140=1),$C$12:C140)+LOOKUP(,-1/($Z$12:Z140=1),$H$12:H140),Первоначальный[[#This Row],[Полученный платеж]]+Y139),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платеж]]+Y139,SUM(Первоначальный[[#This Row],[Остаток процентов на начало периода]],Первоначальный[[#This Row],[Проценты за период]])),
AND(S139=0,Первоначальный[[#This Row],[Дата платежа из графика]]=""),0,
AND(S139=0,Первоначальный[[#This Row],[Дата платежа из графика]]=1,MAX((0&lt;&gt;S$12:S139)*ROW(S$12:S139),ROW($S$12))&gt;=MAX((1=Z$12:Z139)*ROW(Z$12:Z139),ROW($T$12)),TYPE(VLOOKUP("Да",(INDIRECT("AA"&amp;(MAX((1=Z$12:Z139)*ROW(Z$12:Z139),ROW($T$12))&amp;":AA"&amp;(ROW()-1)))),1,0))=16),MIN(LOOKUP(,-1/($Z$12:Z140=1),$C$12:C140)+LOOKUP(,-1/($Z$12:Z140=1),$H$12:H140),Первоначальный[[#This Row],[Полученный платеж]]+Y139),
AND(S139=0,TYPE(VLOOKUP("Да",(INDIRECT("AA"&amp;(MAX((1=Z$12:Z139)*ROW(Z$12:Z139),ROW($T$12))&amp;":AA"&amp;(ROW()-1)))),1,0))&lt;&gt;16),MIN(LOOKUP(,-1/($Z$12:Z140=1),$C$12:C140)+LOOKUP(,-1/($Z$12:Z140=1),$H$12:H140)-IF(AA139="Да",0,SUM(INDIRECT("T"&amp;(MAX(("Да"=AA$12:AA139)*ROW(AA$12:AA139)+1,ROW($T$12))&amp;":T"&amp;(ROW()-1))))),Первоначальный[[#This Row],[Полученный платеж]]+Y139),
AND(S139=0,MAX((0&lt;&gt;N$12:N139)*ROW(N$12:N139),ROW($S$12))&gt;=MAX((1=Z$12:Z139)*ROW(Z$12:Z139),ROW($T$12))),MIN(LOOKUP(,-1/($Z$12:Z140=1),$C$12:C140)+LOOKUP(,-1/($Z$12:Z140=1),$H$12:H140)-IF(N139&lt;&gt;0,0,SUM(INDIRECT("T"&amp;(MAX((0&lt;&gt;N$12:N139)*ROW(N$12:N139)+1,ROW($T$12))&amp;":T"&amp;(ROW()-1))))),Первоначальный[[#This Row],[Полученный платеж]]+Y139),
AND(S139=0,Первоначальный[[#This Row],[Дата платежа из графика]]=1),MIN(LOOKUP(,-1/($Z$12:Z140=1),$C$12:C140)+LOOKUP(,-1/($Z$12:Z140=1),$H$12:H140)-IF(Z139=1,0,SUM(INDIRECT("T"&amp;(MAX((1=Z$12:Z139)*ROW(Z$12:Z139)+1,ROW($T$12))&amp;":T"&amp;(ROW()-1))))),Первоначальный[[#This Row],[Полученный платеж]]+Y139),
AND(Z139&gt;0,Первоначальный[[#This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платеж]]+Y139),
AND(S139&gt;0,MAX((0&lt;&gt;S$12:S139)*ROW(S$12:S139),ROW($S$12))&gt;=MAX((1=Z$12:Z139)*ROW(Z$12:Z139),ROW($T$12)),TYPE(VLOOKUP("Да",(INDIRECT("AA"&amp;(MAX((1=Z$12:Z139)*ROW(Z$12:Z139),ROW($T$12))&amp;":AA"&amp;(ROW()-1)))),1,0))=16),MIN(LOOKUP(,-1/($Z$12:Z140=1),$C$12:C140)+LOOKUP(,-1/($Z$12:Z140=1),$H$12:H140)-SUM(INDIRECT("T"&amp;(MAX((1=Z$12:Z139)*ROW(Z$12:Z139),ROW($T$12))&amp;":T"&amp;(ROW()-1)))),Первоначальный[[#This Row],[Полученный платеж]]+Y139),
S139&gt;0,MIN(LOOKUP(,-1/($Z$12:Z140=1),$C$12:C140)+LOOKUP(,-1/($Z$12:Z140=1),$H$12:H140)-IF(Z139=1,0,SUM(INDIRECT("T"&amp;(MAX((1=Z$12:Z139)*ROW(Z$12:Z139)+1,ROW($T$12))&amp;":T"&amp;(ROW()-1))))),Первоначальный[[#This Row],[Полученный платеж]]+Y139)
)
)
)</f>
        <v>0</v>
      </c>
      <c r="U14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платеж]]+Y139-Первоначальный[[#This Row],[Полученный платёж по процентам]])</f>
        <v>0</v>
      </c>
      <c r="V140" s="55">
        <f t="shared" ca="1" si="13"/>
        <v>0</v>
      </c>
      <c r="W140" s="55" cm="1">
        <f t="array" aca="1" ref="W140" ca="1">IF(Первоначальный[[#This Row],[Итого остаток на начало периода]]&lt;1,0,
_xlfn.IFS(
AND(TYPE(VLOOKUP(1,$Z$12:Z140,1,0))=16,Первоначальный[[#This Row],[Досрочное погашение (да/"")]]=""),0,
AND(S139=0,Первоначальный[[#This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комиссиям]]),VLOOKUP(LOOKUP(,-1/($Z$12:Z140=1),$A$12:A140),График[[Срок конец]:[Возврат основной суммы долга]],3,0)),
AND(S139=0,Первоначальный[[#This Row],[Дата платежа из графика]]="",Первоначальный[[#This Row],[Досрочное погашение (да/"")]]&lt;&gt;"Да"),0,
AND(S139=0,Первоначальный[[#This Row],[Досрочное погашение (да/"")]]=""),MIN(Первоначальный[[#This Row],[Полученный платеж]]+Y139-SUM(Первоначальный[[#This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комиссиям]]),VLOOKUP(LOOKUP(,-1/($Z$12:Z140=1),$A$12:A140),График[[Срок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S139&gt;0,MIN(Первоначальный[[#This Row],[Полученный платеж]]+Y139-SUM(Первоначальный[[#This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комиссиям]]),SUM(INDIRECT("M"&amp;(MAX((1=S$12:S139)*ROW(S$12:S139),ROW($W$12))&amp;":M"&amp;(ROW()))))-SUM(INDIRECT("W"&amp;(MAX((1=S$12:S139)*ROW(S$12:S139),ROW($W$12))&amp;":W"&amp;(ROW()-1)))))
)
)</f>
        <v>0</v>
      </c>
      <c r="X140" s="55">
        <f t="shared" ca="1" si="14"/>
        <v>0</v>
      </c>
      <c r="Y140" s="101">
        <f t="shared" ca="1" si="21"/>
        <v>0</v>
      </c>
      <c r="Z140" s="133" t="str">
        <f>IF(TYPE((VLOOKUP(Первоначальный[[#This Row],[Дата платежа]],График[Срок конец],1,0)))=16,"",1)</f>
        <v/>
      </c>
      <c r="AA140" s="57"/>
      <c r="AB140" s="134"/>
      <c r="AC14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5362.0800000000017</v>
      </c>
      <c r="AE14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9.3800000000000026</v>
      </c>
      <c r="AF14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634.94611803278701</v>
      </c>
      <c r="AH140" s="55"/>
      <c r="AI140" s="55"/>
      <c r="AJ140" s="55"/>
      <c r="AK140" s="101">
        <f t="shared" ca="1" si="22"/>
        <v>155639.74611803278</v>
      </c>
      <c r="AL140" s="129">
        <f t="array" ref="AL140">MAX((УслРестрактов[Характеристика]="Дата реструктуризации")*(УслРестрактов[Значение]=Первоначальный!$A140),0)</f>
        <v>0</v>
      </c>
    </row>
    <row r="141" spans="1:38" x14ac:dyDescent="0.25">
      <c r="A141" s="97">
        <f t="shared" si="15"/>
        <v>44272</v>
      </c>
      <c r="B141" s="100">
        <f t="shared" ca="1" si="16"/>
        <v>149633.34</v>
      </c>
      <c r="C141" s="55">
        <f t="shared" ca="1" si="24"/>
        <v>5362.0800000000017</v>
      </c>
      <c r="D141" s="55">
        <f t="shared" ca="1" si="24"/>
        <v>9.3800000000000026</v>
      </c>
      <c r="E141" s="55">
        <f t="shared" ca="1" si="17"/>
        <v>0</v>
      </c>
      <c r="F141" s="55">
        <f t="shared" ca="1" si="18"/>
        <v>634.94611803278701</v>
      </c>
      <c r="G141" s="101">
        <f t="shared" ca="1" si="19"/>
        <v>155639.74611803278</v>
      </c>
      <c r="H141" s="100">
        <f ca="1">ROUND($B141*VLOOKUP($A141,$A$1:$B$10,2,1)/(365+IF(MOD(YEAR($A141),4),0,1)*($A141-$A140)),2)-Первоначальный[[#This Row],[Проценты на просроченный платеж по ОД за период]]</f>
        <v>81.039999999999992</v>
      </c>
      <c r="I141" s="55">
        <f t="shared" ca="1" si="20"/>
        <v>0.54</v>
      </c>
      <c r="J141" s="55">
        <v>0</v>
      </c>
      <c r="K141" s="55">
        <f t="shared" ca="1" si="23"/>
        <v>28.903503278688532</v>
      </c>
      <c r="L141" s="55">
        <v>0</v>
      </c>
      <c r="M141" s="113">
        <f>SUMIFS(График[Возврат основной суммы долга],График[Дата с учетом нерабочих дней],$A141)</f>
        <v>0</v>
      </c>
      <c r="N141" s="56">
        <f>SUMIFS(График[Возврат начисленных %],График[Дата с учетом нерабочих дней],$A141)</f>
        <v>0</v>
      </c>
      <c r="O141" s="101">
        <v>0</v>
      </c>
      <c r="P141" s="100" cm="1">
        <f t="array" aca="1" ref="P141" ca="1">MAX(IF(AA140="Да",0,SUM(INDIRECT("M"&amp;(MAX(("Да"=AA$12:AA140)*ROW(AA$12:AA140)+1,ROW($P$12))&amp;":M"&amp;(ROW()))))-SUM(INDIRECT("W"&amp;(MAX(("Да"=AA$12:AA140)*ROW(AA$12:AA140)+1,ROW($P$12))&amp;":W"&amp;(ROW()))))),0)</f>
        <v>986.38999999999942</v>
      </c>
      <c r="Q141" s="99">
        <f ca="1">MAX(SUM($N$13:N141)-SUM($T$13:T141),0)</f>
        <v>4794.3106557377068</v>
      </c>
      <c r="R141" s="99">
        <f ca="1">Первоначальный[[#This Row],[Просроченный платеж по ОД]]+Первоначальный[[#This Row],[Просроченный платеж по процентам]]</f>
        <v>5780.7006557377063</v>
      </c>
      <c r="S141" s="120">
        <f ca="1">IF(Первоначальный[[#This Row],[Просроченный платеж]]&lt;1,0,S140+1)</f>
        <v>37</v>
      </c>
      <c r="T141" s="100" cm="1">
        <f t="array" aca="1" ref="T141" ca="1">IF(Первоначальный[[#This Row],[Итого остаток на начало периода]]&lt;1,0,
IF(
AND(TYPE(VLOOKUP(1,$Z$12:Z141,1,0))=16,Первоначальный[[#This Row],[Досрочное погашение (да/"")]]=""),0,
_xlfn.IFS(AND(S140=0,Первоначальный[[#This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платеж]]&lt;&gt;0),MIN(LOOKUP(,-1/($Z$12:Z141=1),$C$12:C141)+LOOKUP(,-1/($Z$12:Z141=1),$H$12:H141),Первоначальный[[#This Row],[Полученный платеж]]+Y140),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платеж]]+Y140,SUM(Первоначальный[[#This Row],[Остаток процентов на начало периода]],Первоначальный[[#This Row],[Проценты за период]])),
AND(S140=0,Первоначальный[[#This Row],[Дата платежа из графика]]=""),0,
AND(S140=0,Первоначальный[[#This Row],[Дата платежа из графика]]=1,MAX((0&lt;&gt;S$12:S140)*ROW(S$12:S140),ROW($S$12))&gt;=MAX((1=Z$12:Z140)*ROW(Z$12:Z140),ROW($T$12)),TYPE(VLOOKUP("Да",(INDIRECT("AA"&amp;(MAX((1=Z$12:Z140)*ROW(Z$12:Z140),ROW($T$12))&amp;":AA"&amp;(ROW()-1)))),1,0))=16),MIN(LOOKUP(,-1/($Z$12:Z141=1),$C$12:C141)+LOOKUP(,-1/($Z$12:Z141=1),$H$12:H141),Первоначальный[[#This Row],[Полученный платеж]]+Y140),
AND(S140=0,TYPE(VLOOKUP("Да",(INDIRECT("AA"&amp;(MAX((1=Z$12:Z140)*ROW(Z$12:Z140),ROW($T$12))&amp;":AA"&amp;(ROW()-1)))),1,0))&lt;&gt;16),MIN(LOOKUP(,-1/($Z$12:Z141=1),$C$12:C141)+LOOKUP(,-1/($Z$12:Z141=1),$H$12:H141)-IF(AA140="Да",0,SUM(INDIRECT("T"&amp;(MAX(("Да"=AA$12:AA140)*ROW(AA$12:AA140)+1,ROW($T$12))&amp;":T"&amp;(ROW()-1))))),Первоначальный[[#This Row],[Полученный платеж]]+Y140),
AND(S140=0,MAX((0&lt;&gt;N$12:N140)*ROW(N$12:N140),ROW($S$12))&gt;=MAX((1=Z$12:Z140)*ROW(Z$12:Z140),ROW($T$12))),MIN(LOOKUP(,-1/($Z$12:Z141=1),$C$12:C141)+LOOKUP(,-1/($Z$12:Z141=1),$H$12:H141)-IF(N140&lt;&gt;0,0,SUM(INDIRECT("T"&amp;(MAX((0&lt;&gt;N$12:N140)*ROW(N$12:N140)+1,ROW($T$12))&amp;":T"&amp;(ROW()-1))))),Первоначальный[[#This Row],[Полученный платеж]]+Y140),
AND(S140=0,Первоначальный[[#This Row],[Дата платежа из графика]]=1),MIN(LOOKUP(,-1/($Z$12:Z141=1),$C$12:C141)+LOOKUP(,-1/($Z$12:Z141=1),$H$12:H141)-IF(Z140=1,0,SUM(INDIRECT("T"&amp;(MAX((1=Z$12:Z140)*ROW(Z$12:Z140)+1,ROW($T$12))&amp;":T"&amp;(ROW()-1))))),Первоначальный[[#This Row],[Полученный платеж]]+Y140),
AND(Z140&gt;0,Первоначальный[[#This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платеж]]+Y140),
AND(S140&gt;0,MAX((0&lt;&gt;S$12:S140)*ROW(S$12:S140),ROW($S$12))&gt;=MAX((1=Z$12:Z140)*ROW(Z$12:Z140),ROW($T$12)),TYPE(VLOOKUP("Да",(INDIRECT("AA"&amp;(MAX((1=Z$12:Z140)*ROW(Z$12:Z140),ROW($T$12))&amp;":AA"&amp;(ROW()-1)))),1,0))=16),MIN(LOOKUP(,-1/($Z$12:Z141=1),$C$12:C141)+LOOKUP(,-1/($Z$12:Z141=1),$H$12:H141)-SUM(INDIRECT("T"&amp;(MAX((1=Z$12:Z140)*ROW(Z$12:Z140),ROW($T$12))&amp;":T"&amp;(ROW()-1)))),Первоначальный[[#This Row],[Полученный платеж]]+Y140),
S140&gt;0,MIN(LOOKUP(,-1/($Z$12:Z141=1),$C$12:C141)+LOOKUP(,-1/($Z$12:Z141=1),$H$12:H141)-IF(Z140=1,0,SUM(INDIRECT("T"&amp;(MAX((1=Z$12:Z140)*ROW(Z$12:Z140)+1,ROW($T$12))&amp;":T"&amp;(ROW()-1))))),Первоначальный[[#This Row],[Полученный платеж]]+Y140)
)
)
)</f>
        <v>0</v>
      </c>
      <c r="U14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платеж]]+Y140-Первоначальный[[#This Row],[Полученный платёж по процентам]])</f>
        <v>0</v>
      </c>
      <c r="V141" s="55">
        <f t="shared" ref="V141:V204" ca="1" si="25">MAX(MIN(SUM(O141,Y140)-SUM(T141:T141),SUM(E141,J141)),0)</f>
        <v>0</v>
      </c>
      <c r="W141" s="55" cm="1">
        <f t="array" aca="1" ref="W141" ca="1">IF(Первоначальный[[#This Row],[Итого остаток на начало периода]]&lt;1,0,
_xlfn.IFS(
AND(TYPE(VLOOKUP(1,$Z$12:Z141,1,0))=16,Первоначальный[[#This Row],[Досрочное погашение (да/"")]]=""),0,
AND(S140=0,Первоначальный[[#This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комиссиям]]),VLOOKUP(LOOKUP(,-1/($Z$12:Z141=1),$A$12:A141),График[[Срок конец]:[Возврат основной суммы долга]],3,0)),
AND(S140=0,Первоначальный[[#This Row],[Дата платежа из графика]]="",Первоначальный[[#This Row],[Досрочное погашение (да/"")]]&lt;&gt;"Да"),0,
AND(S140=0,Первоначальный[[#This Row],[Досрочное погашение (да/"")]]=""),MIN(Первоначальный[[#This Row],[Полученный платеж]]+Y140-SUM(Первоначальный[[#This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комиссиям]]),VLOOKUP(LOOKUP(,-1/($Z$12:Z141=1),$A$12:A141),График[[Срок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S140&gt;0,MIN(Первоначальный[[#This Row],[Полученный платеж]]+Y140-SUM(Первоначальный[[#This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комиссиям]]),SUM(INDIRECT("M"&amp;(MAX((1=S$12:S140)*ROW(S$12:S140),ROW($W$12))&amp;":M"&amp;(ROW()))))-SUM(INDIRECT("W"&amp;(MAX((1=S$12:S140)*ROW(S$12:S140),ROW($W$12))&amp;":W"&amp;(ROW()-1)))))
)
)</f>
        <v>0</v>
      </c>
      <c r="X141" s="55">
        <f t="shared" ref="X141:X204" ca="1" si="26">MAX(MIN(SUM(O141,Y140)-SUM(T141:W141),SUM(F141,K141)),0)</f>
        <v>0</v>
      </c>
      <c r="Y141" s="101">
        <f t="shared" ca="1" si="21"/>
        <v>0</v>
      </c>
      <c r="Z141" s="133" t="str">
        <f>IF(TYPE((VLOOKUP(Первоначальный[[#This Row],[Дата платежа]],График[Срок конец],1,0)))=16,"",1)</f>
        <v/>
      </c>
      <c r="AA141" s="57"/>
      <c r="AB141" s="134"/>
      <c r="AC14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5443.1200000000017</v>
      </c>
      <c r="AE14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9.9200000000000017</v>
      </c>
      <c r="AF14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663.84962131147552</v>
      </c>
      <c r="AH141" s="55"/>
      <c r="AI141" s="55"/>
      <c r="AJ141" s="55"/>
      <c r="AK141" s="101">
        <f t="shared" ca="1" si="22"/>
        <v>155750.22962131148</v>
      </c>
      <c r="AL141" s="129">
        <f t="array" ref="AL141">MAX((УслРестрактов[Характеристика]="Дата реструктуризации")*(УслРестрактов[Значение]=Первоначальный!$A141),0)</f>
        <v>0</v>
      </c>
    </row>
    <row r="142" spans="1:38" x14ac:dyDescent="0.25">
      <c r="A142" s="97">
        <f t="shared" ref="A142:A205" si="27">A141+1</f>
        <v>44273</v>
      </c>
      <c r="B142" s="100">
        <f t="shared" ref="B142:B205" ca="1" si="28">AC141</f>
        <v>149633.34</v>
      </c>
      <c r="C142" s="55">
        <f t="shared" ca="1" si="24"/>
        <v>5443.1200000000017</v>
      </c>
      <c r="D142" s="55">
        <f t="shared" ca="1" si="24"/>
        <v>9.9200000000000017</v>
      </c>
      <c r="E142" s="55">
        <f t="shared" ref="E142:E205" ca="1" si="29">AF141</f>
        <v>0</v>
      </c>
      <c r="F142" s="55">
        <f t="shared" ref="F142:F205" ca="1" si="30">AG141+AH141</f>
        <v>663.84962131147552</v>
      </c>
      <c r="G142" s="101">
        <f t="shared" ref="G142:G205" ca="1" si="31">AK141</f>
        <v>155750.22962131148</v>
      </c>
      <c r="H142" s="100">
        <f ca="1">ROUND($B142*VLOOKUP($A142,$A$1:$B$10,2,1)/(365+IF(MOD(YEAR($A142),4),0,1)*($A142-$A141)),2)-Первоначальный[[#This Row],[Проценты на просроченный платеж по ОД за период]]</f>
        <v>81.039999999999992</v>
      </c>
      <c r="I142" s="55">
        <f t="shared" ref="I142:I205" ca="1" si="32">ROUND(P141*VLOOKUP($A142,$A$1:$B$10,2,1)/(365+IF(MOD(YEAR($A142),4),0,1)*($A142-$A141)),2)</f>
        <v>0.54</v>
      </c>
      <c r="J142" s="55">
        <v>0</v>
      </c>
      <c r="K142" s="55">
        <f t="shared" ca="1" si="23"/>
        <v>28.903503278688532</v>
      </c>
      <c r="L142" s="55">
        <v>0</v>
      </c>
      <c r="M142" s="113">
        <f>SUMIFS(График[Возврат основной суммы долга],График[Дата с учетом нерабочих дней],$A142)</f>
        <v>0</v>
      </c>
      <c r="N142" s="56">
        <f>SUMIFS(График[Возврат начисленных %],График[Дата с учетом нерабочих дней],$A142)</f>
        <v>0</v>
      </c>
      <c r="O142" s="101">
        <v>0</v>
      </c>
      <c r="P142" s="100" cm="1">
        <f t="array" aca="1" ref="P142" ca="1">MAX(IF(AA141="Да",0,SUM(INDIRECT("M"&amp;(MAX(("Да"=AA$12:AA141)*ROW(AA$12:AA141)+1,ROW($P$12))&amp;":M"&amp;(ROW()))))-SUM(INDIRECT("W"&amp;(MAX(("Да"=AA$12:AA141)*ROW(AA$12:AA141)+1,ROW($P$12))&amp;":W"&amp;(ROW()))))),0)</f>
        <v>986.38999999999942</v>
      </c>
      <c r="Q142" s="99">
        <f ca="1">MAX(SUM($N$13:N142)-SUM($T$13:T142),0)</f>
        <v>4794.3106557377068</v>
      </c>
      <c r="R142" s="99">
        <f ca="1">Первоначальный[[#This Row],[Просроченный платеж по ОД]]+Первоначальный[[#This Row],[Просроченный платеж по процентам]]</f>
        <v>5780.7006557377063</v>
      </c>
      <c r="S142" s="120">
        <f ca="1">IF(Первоначальный[[#This Row],[Просроченный платеж]]&lt;1,0,S141+1)</f>
        <v>38</v>
      </c>
      <c r="T142" s="100" cm="1">
        <f t="array" aca="1" ref="T142" ca="1">IF(Первоначальный[[#This Row],[Итого остаток на начало периода]]&lt;1,0,
IF(
AND(TYPE(VLOOKUP(1,$Z$12:Z142,1,0))=16,Первоначальный[[#This Row],[Досрочное погашение (да/"")]]=""),0,
_xlfn.IFS(AND(S141=0,Первоначальный[[#This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платеж]]&lt;&gt;0),MIN(LOOKUP(,-1/($Z$12:Z142=1),$C$12:C142)+LOOKUP(,-1/($Z$12:Z142=1),$H$12:H142),Первоначальный[[#This Row],[Полученный платеж]]+Y141),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платеж]]+Y141,SUM(Первоначальный[[#This Row],[Остаток процентов на начало периода]],Первоначальный[[#This Row],[Проценты за период]])),
AND(S141=0,Первоначальный[[#This Row],[Дата платежа из графика]]=""),0,
AND(S141=0,Первоначальный[[#This Row],[Дата платежа из графика]]=1,MAX((0&lt;&gt;S$12:S141)*ROW(S$12:S141),ROW($S$12))&gt;=MAX((1=Z$12:Z141)*ROW(Z$12:Z141),ROW($T$12)),TYPE(VLOOKUP("Да",(INDIRECT("AA"&amp;(MAX((1=Z$12:Z141)*ROW(Z$12:Z141),ROW($T$12))&amp;":AA"&amp;(ROW()-1)))),1,0))=16),MIN(LOOKUP(,-1/($Z$12:Z142=1),$C$12:C142)+LOOKUP(,-1/($Z$12:Z142=1),$H$12:H142),Первоначальный[[#This Row],[Полученный платеж]]+Y141),
AND(S141=0,TYPE(VLOOKUP("Да",(INDIRECT("AA"&amp;(MAX((1=Z$12:Z141)*ROW(Z$12:Z141),ROW($T$12))&amp;":AA"&amp;(ROW()-1)))),1,0))&lt;&gt;16),MIN(LOOKUP(,-1/($Z$12:Z142=1),$C$12:C142)+LOOKUP(,-1/($Z$12:Z142=1),$H$12:H142)-IF(AA141="Да",0,SUM(INDIRECT("T"&amp;(MAX(("Да"=AA$12:AA141)*ROW(AA$12:AA141)+1,ROW($T$12))&amp;":T"&amp;(ROW()-1))))),Первоначальный[[#This Row],[Полученный платеж]]+Y141),
AND(S141=0,MAX((0&lt;&gt;N$12:N141)*ROW(N$12:N141),ROW($S$12))&gt;=MAX((1=Z$12:Z141)*ROW(Z$12:Z141),ROW($T$12))),MIN(LOOKUP(,-1/($Z$12:Z142=1),$C$12:C142)+LOOKUP(,-1/($Z$12:Z142=1),$H$12:H142)-IF(N141&lt;&gt;0,0,SUM(INDIRECT("T"&amp;(MAX((0&lt;&gt;N$12:N141)*ROW(N$12:N141)+1,ROW($T$12))&amp;":T"&amp;(ROW()-1))))),Первоначальный[[#This Row],[Полученный платеж]]+Y141),
AND(S141=0,Первоначальный[[#This Row],[Дата платежа из графика]]=1),MIN(LOOKUP(,-1/($Z$12:Z142=1),$C$12:C142)+LOOKUP(,-1/($Z$12:Z142=1),$H$12:H142)-IF(Z141=1,0,SUM(INDIRECT("T"&amp;(MAX((1=Z$12:Z141)*ROW(Z$12:Z141)+1,ROW($T$12))&amp;":T"&amp;(ROW()-1))))),Первоначальный[[#This Row],[Полученный платеж]]+Y141),
AND(Z141&gt;0,Первоначальный[[#This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платеж]]+Y141),
AND(S141&gt;0,MAX((0&lt;&gt;S$12:S141)*ROW(S$12:S141),ROW($S$12))&gt;=MAX((1=Z$12:Z141)*ROW(Z$12:Z141),ROW($T$12)),TYPE(VLOOKUP("Да",(INDIRECT("AA"&amp;(MAX((1=Z$12:Z141)*ROW(Z$12:Z141),ROW($T$12))&amp;":AA"&amp;(ROW()-1)))),1,0))=16),MIN(LOOKUP(,-1/($Z$12:Z142=1),$C$12:C142)+LOOKUP(,-1/($Z$12:Z142=1),$H$12:H142)-SUM(INDIRECT("T"&amp;(MAX((1=Z$12:Z141)*ROW(Z$12:Z141),ROW($T$12))&amp;":T"&amp;(ROW()-1)))),Первоначальный[[#This Row],[Полученный платеж]]+Y141),
S141&gt;0,MIN(LOOKUP(,-1/($Z$12:Z142=1),$C$12:C142)+LOOKUP(,-1/($Z$12:Z142=1),$H$12:H142)-IF(Z141=1,0,SUM(INDIRECT("T"&amp;(MAX((1=Z$12:Z141)*ROW(Z$12:Z141)+1,ROW($T$12))&amp;":T"&amp;(ROW()-1))))),Первоначальный[[#This Row],[Полученный платеж]]+Y141)
)
)
)</f>
        <v>0</v>
      </c>
      <c r="U14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платеж]]+Y141-Первоначальный[[#This Row],[Полученный платёж по процентам]])</f>
        <v>0</v>
      </c>
      <c r="V142" s="55">
        <f t="shared" ca="1" si="25"/>
        <v>0</v>
      </c>
      <c r="W142" s="55" cm="1">
        <f t="array" aca="1" ref="W142" ca="1">IF(Первоначальный[[#This Row],[Итого остаток на начало периода]]&lt;1,0,
_xlfn.IFS(
AND(TYPE(VLOOKUP(1,$Z$12:Z142,1,0))=16,Первоначальный[[#This Row],[Досрочное погашение (да/"")]]=""),0,
AND(S141=0,Первоначальный[[#This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комиссиям]]),VLOOKUP(LOOKUP(,-1/($Z$12:Z142=1),$A$12:A142),График[[Срок конец]:[Возврат основной суммы долга]],3,0)),
AND(S141=0,Первоначальный[[#This Row],[Дата платежа из графика]]="",Первоначальный[[#This Row],[Досрочное погашение (да/"")]]&lt;&gt;"Да"),0,
AND(S141=0,Первоначальный[[#This Row],[Досрочное погашение (да/"")]]=""),MIN(Первоначальный[[#This Row],[Полученный платеж]]+Y141-SUM(Первоначальный[[#This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комиссиям]]),VLOOKUP(LOOKUP(,-1/($Z$12:Z142=1),$A$12:A142),График[[Срок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S141&gt;0,MIN(Первоначальный[[#This Row],[Полученный платеж]]+Y141-SUM(Первоначальный[[#This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комиссиям]]),SUM(INDIRECT("M"&amp;(MAX((1=S$12:S141)*ROW(S$12:S141),ROW($W$12))&amp;":M"&amp;(ROW()))))-SUM(INDIRECT("W"&amp;(MAX((1=S$12:S141)*ROW(S$12:S141),ROW($W$12))&amp;":W"&amp;(ROW()-1)))))
)
)</f>
        <v>0</v>
      </c>
      <c r="X142" s="55">
        <f t="shared" ca="1" si="26"/>
        <v>0</v>
      </c>
      <c r="Y142" s="101">
        <f t="shared" ref="Y142:Y205" ca="1" si="33">ROUND(Y141+O142-SUM(T142:X142),2)</f>
        <v>0</v>
      </c>
      <c r="Z142" s="133" t="str">
        <f>IF(TYPE((VLOOKUP(Первоначальный[[#This Row],[Дата платежа]],График[Срок конец],1,0)))=16,"",1)</f>
        <v/>
      </c>
      <c r="AA142" s="57"/>
      <c r="AB142" s="134"/>
      <c r="AC14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5524.1600000000017</v>
      </c>
      <c r="AE14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10.46</v>
      </c>
      <c r="AF14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692.75312459016402</v>
      </c>
      <c r="AH142" s="55"/>
      <c r="AI142" s="55"/>
      <c r="AJ142" s="55"/>
      <c r="AK142" s="101">
        <f t="shared" ref="AK142:AK205" ca="1" si="34">SUM(AC142:AJ142)</f>
        <v>155860.71312459017</v>
      </c>
      <c r="AL142" s="129">
        <f t="array" ref="AL142">MAX((УслРестрактов[Характеристика]="Дата реструктуризации")*(УслРестрактов[Значение]=Первоначальный!$A142),0)</f>
        <v>0</v>
      </c>
    </row>
    <row r="143" spans="1:38" x14ac:dyDescent="0.25">
      <c r="A143" s="97">
        <f t="shared" si="27"/>
        <v>44274</v>
      </c>
      <c r="B143" s="100">
        <f t="shared" ca="1" si="28"/>
        <v>149633.34</v>
      </c>
      <c r="C143" s="55">
        <f t="shared" ca="1" si="24"/>
        <v>5524.1600000000017</v>
      </c>
      <c r="D143" s="55">
        <f t="shared" ca="1" si="24"/>
        <v>10.46</v>
      </c>
      <c r="E143" s="55">
        <f t="shared" ca="1" si="29"/>
        <v>0</v>
      </c>
      <c r="F143" s="55">
        <f t="shared" ca="1" si="30"/>
        <v>692.75312459016402</v>
      </c>
      <c r="G143" s="101">
        <f t="shared" ca="1" si="31"/>
        <v>155860.71312459017</v>
      </c>
      <c r="H143" s="100">
        <f ca="1">ROUND($B143*VLOOKUP($A143,$A$1:$B$10,2,1)/(365+IF(MOD(YEAR($A143),4),0,1)*($A143-$A142)),2)-Первоначальный[[#This Row],[Проценты на просроченный платеж по ОД за период]]</f>
        <v>81.039999999999992</v>
      </c>
      <c r="I143" s="55">
        <f t="shared" ca="1" si="32"/>
        <v>0.54</v>
      </c>
      <c r="J143" s="55">
        <v>0</v>
      </c>
      <c r="K143" s="55">
        <f t="shared" ref="K143:K206" ca="1" si="35">IF(S143&lt;&gt;0,R143*$B$7,0)</f>
        <v>28.903503278688532</v>
      </c>
      <c r="L143" s="55">
        <v>0</v>
      </c>
      <c r="M143" s="113">
        <f>SUMIFS(График[Возврат основной суммы долга],График[Дата с учетом нерабочих дней],$A143)</f>
        <v>0</v>
      </c>
      <c r="N143" s="56">
        <f>SUMIFS(График[Возврат начисленных %],График[Дата с учетом нерабочих дней],$A143)</f>
        <v>0</v>
      </c>
      <c r="O143" s="101">
        <v>0</v>
      </c>
      <c r="P143" s="100" cm="1">
        <f t="array" aca="1" ref="P143" ca="1">MAX(IF(AA142="Да",0,SUM(INDIRECT("M"&amp;(MAX(("Да"=AA$12:AA142)*ROW(AA$12:AA142)+1,ROW($P$12))&amp;":M"&amp;(ROW()))))-SUM(INDIRECT("W"&amp;(MAX(("Да"=AA$12:AA142)*ROW(AA$12:AA142)+1,ROW($P$12))&amp;":W"&amp;(ROW()))))),0)</f>
        <v>986.38999999999942</v>
      </c>
      <c r="Q143" s="99">
        <f ca="1">MAX(SUM($N$13:N143)-SUM($T$13:T143),0)</f>
        <v>4794.3106557377068</v>
      </c>
      <c r="R143" s="99">
        <f ca="1">Первоначальный[[#This Row],[Просроченный платеж по ОД]]+Первоначальный[[#This Row],[Просроченный платеж по процентам]]</f>
        <v>5780.7006557377063</v>
      </c>
      <c r="S143" s="120">
        <f ca="1">IF(Первоначальный[[#This Row],[Просроченный платеж]]&lt;1,0,S142+1)</f>
        <v>39</v>
      </c>
      <c r="T143" s="100" cm="1">
        <f t="array" aca="1" ref="T143" ca="1">IF(Первоначальный[[#This Row],[Итого остаток на начало периода]]&lt;1,0,
IF(
AND(TYPE(VLOOKUP(1,$Z$12:Z143,1,0))=16,Первоначальный[[#This Row],[Досрочное погашение (да/"")]]=""),0,
_xlfn.IFS(AND(S142=0,Первоначальный[[#This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платеж]]&lt;&gt;0),MIN(LOOKUP(,-1/($Z$12:Z143=1),$C$12:C143)+LOOKUP(,-1/($Z$12:Z143=1),$H$12:H143),Первоначальный[[#This Row],[Полученный платеж]]+Y142),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платеж]]+Y142,SUM(Первоначальный[[#This Row],[Остаток процентов на начало периода]],Первоначальный[[#This Row],[Проценты за период]])),
AND(S142=0,Первоначальный[[#This Row],[Дата платежа из графика]]=""),0,
AND(S142=0,Первоначальный[[#This Row],[Дата платежа из графика]]=1,MAX((0&lt;&gt;S$12:S142)*ROW(S$12:S142),ROW($S$12))&gt;=MAX((1=Z$12:Z142)*ROW(Z$12:Z142),ROW($T$12)),TYPE(VLOOKUP("Да",(INDIRECT("AA"&amp;(MAX((1=Z$12:Z142)*ROW(Z$12:Z142),ROW($T$12))&amp;":AA"&amp;(ROW()-1)))),1,0))=16),MIN(LOOKUP(,-1/($Z$12:Z143=1),$C$12:C143)+LOOKUP(,-1/($Z$12:Z143=1),$H$12:H143),Первоначальный[[#This Row],[Полученный платеж]]+Y142),
AND(S142=0,TYPE(VLOOKUP("Да",(INDIRECT("AA"&amp;(MAX((1=Z$12:Z142)*ROW(Z$12:Z142),ROW($T$12))&amp;":AA"&amp;(ROW()-1)))),1,0))&lt;&gt;16),MIN(LOOKUP(,-1/($Z$12:Z143=1),$C$12:C143)+LOOKUP(,-1/($Z$12:Z143=1),$H$12:H143)-IF(AA142="Да",0,SUM(INDIRECT("T"&amp;(MAX(("Да"=AA$12:AA142)*ROW(AA$12:AA142)+1,ROW($T$12))&amp;":T"&amp;(ROW()-1))))),Первоначальный[[#This Row],[Полученный платеж]]+Y142),
AND(S142=0,MAX((0&lt;&gt;N$12:N142)*ROW(N$12:N142),ROW($S$12))&gt;=MAX((1=Z$12:Z142)*ROW(Z$12:Z142),ROW($T$12))),MIN(LOOKUP(,-1/($Z$12:Z143=1),$C$12:C143)+LOOKUP(,-1/($Z$12:Z143=1),$H$12:H143)-IF(N142&lt;&gt;0,0,SUM(INDIRECT("T"&amp;(MAX((0&lt;&gt;N$12:N142)*ROW(N$12:N142)+1,ROW($T$12))&amp;":T"&amp;(ROW()-1))))),Первоначальный[[#This Row],[Полученный платеж]]+Y142),
AND(S142=0,Первоначальный[[#This Row],[Дата платежа из графика]]=1),MIN(LOOKUP(,-1/($Z$12:Z143=1),$C$12:C143)+LOOKUP(,-1/($Z$12:Z143=1),$H$12:H143)-IF(Z142=1,0,SUM(INDIRECT("T"&amp;(MAX((1=Z$12:Z142)*ROW(Z$12:Z142)+1,ROW($T$12))&amp;":T"&amp;(ROW()-1))))),Первоначальный[[#This Row],[Полученный платеж]]+Y142),
AND(Z142&gt;0,Первоначальный[[#This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платеж]]+Y142),
AND(S142&gt;0,MAX((0&lt;&gt;S$12:S142)*ROW(S$12:S142),ROW($S$12))&gt;=MAX((1=Z$12:Z142)*ROW(Z$12:Z142),ROW($T$12)),TYPE(VLOOKUP("Да",(INDIRECT("AA"&amp;(MAX((1=Z$12:Z142)*ROW(Z$12:Z142),ROW($T$12))&amp;":AA"&amp;(ROW()-1)))),1,0))=16),MIN(LOOKUP(,-1/($Z$12:Z143=1),$C$12:C143)+LOOKUP(,-1/($Z$12:Z143=1),$H$12:H143)-SUM(INDIRECT("T"&amp;(MAX((1=Z$12:Z142)*ROW(Z$12:Z142),ROW($T$12))&amp;":T"&amp;(ROW()-1)))),Первоначальный[[#This Row],[Полученный платеж]]+Y142),
S142&gt;0,MIN(LOOKUP(,-1/($Z$12:Z143=1),$C$12:C143)+LOOKUP(,-1/($Z$12:Z143=1),$H$12:H143)-IF(Z142=1,0,SUM(INDIRECT("T"&amp;(MAX((1=Z$12:Z142)*ROW(Z$12:Z142)+1,ROW($T$12))&amp;":T"&amp;(ROW()-1))))),Первоначальный[[#This Row],[Полученный платеж]]+Y142)
)
)
)</f>
        <v>0</v>
      </c>
      <c r="U14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платеж]]+Y142-Первоначальный[[#This Row],[Полученный платёж по процентам]])</f>
        <v>0</v>
      </c>
      <c r="V143" s="55">
        <f t="shared" ca="1" si="25"/>
        <v>0</v>
      </c>
      <c r="W143" s="55" cm="1">
        <f t="array" aca="1" ref="W143" ca="1">IF(Первоначальный[[#This Row],[Итого остаток на начало периода]]&lt;1,0,
_xlfn.IFS(
AND(TYPE(VLOOKUP(1,$Z$12:Z143,1,0))=16,Первоначальный[[#This Row],[Досрочное погашение (да/"")]]=""),0,
AND(S142=0,Первоначальный[[#This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комиссиям]]),VLOOKUP(LOOKUP(,-1/($Z$12:Z143=1),$A$12:A143),График[[Срок конец]:[Возврат основной суммы долга]],3,0)),
AND(S142=0,Первоначальный[[#This Row],[Дата платежа из графика]]="",Первоначальный[[#This Row],[Досрочное погашение (да/"")]]&lt;&gt;"Да"),0,
AND(S142=0,Первоначальный[[#This Row],[Досрочное погашение (да/"")]]=""),MIN(Первоначальный[[#This Row],[Полученный платеж]]+Y142-SUM(Первоначальный[[#This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комиссиям]]),VLOOKUP(LOOKUP(,-1/($Z$12:Z143=1),$A$12:A143),График[[Срок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S142&gt;0,MIN(Первоначальный[[#This Row],[Полученный платеж]]+Y142-SUM(Первоначальный[[#This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комиссиям]]),SUM(INDIRECT("M"&amp;(MAX((1=S$12:S142)*ROW(S$12:S142),ROW($W$12))&amp;":M"&amp;(ROW()))))-SUM(INDIRECT("W"&amp;(MAX((1=S$12:S142)*ROW(S$12:S142),ROW($W$12))&amp;":W"&amp;(ROW()-1)))))
)
)</f>
        <v>0</v>
      </c>
      <c r="X143" s="55">
        <f t="shared" ca="1" si="26"/>
        <v>0</v>
      </c>
      <c r="Y143" s="101">
        <f t="shared" ca="1" si="33"/>
        <v>0</v>
      </c>
      <c r="Z143" s="133" t="str">
        <f>IF(TYPE((VLOOKUP(Первоначальный[[#This Row],[Дата платежа]],График[Срок конец],1,0)))=16,"",1)</f>
        <v/>
      </c>
      <c r="AA143" s="57"/>
      <c r="AB143" s="134"/>
      <c r="AC14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5605.2000000000016</v>
      </c>
      <c r="AE14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11</v>
      </c>
      <c r="AF14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721.65662786885252</v>
      </c>
      <c r="AH143" s="55"/>
      <c r="AI143" s="55"/>
      <c r="AJ143" s="55"/>
      <c r="AK143" s="101">
        <f t="shared" ca="1" si="34"/>
        <v>155971.19662786886</v>
      </c>
      <c r="AL143" s="129">
        <f t="array" ref="AL143">MAX((УслРестрактов[Характеристика]="Дата реструктуризации")*(УслРестрактов[Значение]=Первоначальный!$A143),0)</f>
        <v>0</v>
      </c>
    </row>
    <row r="144" spans="1:38" x14ac:dyDescent="0.25">
      <c r="A144" s="97">
        <f t="shared" si="27"/>
        <v>44275</v>
      </c>
      <c r="B144" s="100">
        <f t="shared" ca="1" si="28"/>
        <v>149633.34</v>
      </c>
      <c r="C144" s="55">
        <f t="shared" ca="1" si="24"/>
        <v>5605.2000000000016</v>
      </c>
      <c r="D144" s="55">
        <f t="shared" ca="1" si="24"/>
        <v>11</v>
      </c>
      <c r="E144" s="55">
        <f t="shared" ca="1" si="29"/>
        <v>0</v>
      </c>
      <c r="F144" s="55">
        <f t="shared" ca="1" si="30"/>
        <v>721.65662786885252</v>
      </c>
      <c r="G144" s="101">
        <f t="shared" ca="1" si="31"/>
        <v>155971.19662786886</v>
      </c>
      <c r="H144" s="100">
        <f ca="1">ROUND($B144*VLOOKUP($A144,$A$1:$B$10,2,1)/(365+IF(MOD(YEAR($A144),4),0,1)*($A144-$A143)),2)-Первоначальный[[#This Row],[Проценты на просроченный платеж по ОД за период]]</f>
        <v>81.039999999999992</v>
      </c>
      <c r="I144" s="55">
        <f t="shared" ca="1" si="32"/>
        <v>0.54</v>
      </c>
      <c r="J144" s="55">
        <v>0</v>
      </c>
      <c r="K144" s="55">
        <f t="shared" ca="1" si="35"/>
        <v>28.903503278688532</v>
      </c>
      <c r="L144" s="55">
        <v>0</v>
      </c>
      <c r="M144" s="113">
        <f>SUMIFS(График[Возврат основной суммы долга],График[Дата с учетом нерабочих дней],$A144)</f>
        <v>0</v>
      </c>
      <c r="N144" s="56">
        <f>SUMIFS(График[Возврат начисленных %],График[Дата с учетом нерабочих дней],$A144)</f>
        <v>0</v>
      </c>
      <c r="O144" s="101">
        <v>0</v>
      </c>
      <c r="P144" s="100" cm="1">
        <f t="array" aca="1" ref="P144" ca="1">MAX(IF(AA143="Да",0,SUM(INDIRECT("M"&amp;(MAX(("Да"=AA$12:AA143)*ROW(AA$12:AA143)+1,ROW($P$12))&amp;":M"&amp;(ROW()))))-SUM(INDIRECT("W"&amp;(MAX(("Да"=AA$12:AA143)*ROW(AA$12:AA143)+1,ROW($P$12))&amp;":W"&amp;(ROW()))))),0)</f>
        <v>986.38999999999942</v>
      </c>
      <c r="Q144" s="99">
        <f ca="1">MAX(SUM($N$13:N144)-SUM($T$13:T144),0)</f>
        <v>4794.3106557377068</v>
      </c>
      <c r="R144" s="99">
        <f ca="1">Первоначальный[[#This Row],[Просроченный платеж по ОД]]+Первоначальный[[#This Row],[Просроченный платеж по процентам]]</f>
        <v>5780.7006557377063</v>
      </c>
      <c r="S144" s="120">
        <f ca="1">IF(Первоначальный[[#This Row],[Просроченный платеж]]&lt;1,0,S143+1)</f>
        <v>40</v>
      </c>
      <c r="T144" s="100" cm="1">
        <f t="array" aca="1" ref="T144" ca="1">IF(Первоначальный[[#This Row],[Итого остаток на начало периода]]&lt;1,0,
IF(
AND(TYPE(VLOOKUP(1,$Z$12:Z144,1,0))=16,Первоначальный[[#This Row],[Досрочное погашение (да/"")]]=""),0,
_xlfn.IFS(AND(S143=0,Первоначальный[[#This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платеж]]&lt;&gt;0),MIN(LOOKUP(,-1/($Z$12:Z144=1),$C$12:C144)+LOOKUP(,-1/($Z$12:Z144=1),$H$12:H144),Первоначальный[[#This Row],[Полученный платеж]]+Y143),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платеж]]+Y143,SUM(Первоначальный[[#This Row],[Остаток процентов на начало периода]],Первоначальный[[#This Row],[Проценты за период]])),
AND(S143=0,Первоначальный[[#This Row],[Дата платежа из графика]]=""),0,
AND(S143=0,Первоначальный[[#This Row],[Дата платежа из графика]]=1,MAX((0&lt;&gt;S$12:S143)*ROW(S$12:S143),ROW($S$12))&gt;=MAX((1=Z$12:Z143)*ROW(Z$12:Z143),ROW($T$12)),TYPE(VLOOKUP("Да",(INDIRECT("AA"&amp;(MAX((1=Z$12:Z143)*ROW(Z$12:Z143),ROW($T$12))&amp;":AA"&amp;(ROW()-1)))),1,0))=16),MIN(LOOKUP(,-1/($Z$12:Z144=1),$C$12:C144)+LOOKUP(,-1/($Z$12:Z144=1),$H$12:H144),Первоначальный[[#This Row],[Полученный платеж]]+Y143),
AND(S143=0,TYPE(VLOOKUP("Да",(INDIRECT("AA"&amp;(MAX((1=Z$12:Z143)*ROW(Z$12:Z143),ROW($T$12))&amp;":AA"&amp;(ROW()-1)))),1,0))&lt;&gt;16),MIN(LOOKUP(,-1/($Z$12:Z144=1),$C$12:C144)+LOOKUP(,-1/($Z$12:Z144=1),$H$12:H144)-IF(AA143="Да",0,SUM(INDIRECT("T"&amp;(MAX(("Да"=AA$12:AA143)*ROW(AA$12:AA143)+1,ROW($T$12))&amp;":T"&amp;(ROW()-1))))),Первоначальный[[#This Row],[Полученный платеж]]+Y143),
AND(S143=0,MAX((0&lt;&gt;N$12:N143)*ROW(N$12:N143),ROW($S$12))&gt;=MAX((1=Z$12:Z143)*ROW(Z$12:Z143),ROW($T$12))),MIN(LOOKUP(,-1/($Z$12:Z144=1),$C$12:C144)+LOOKUP(,-1/($Z$12:Z144=1),$H$12:H144)-IF(N143&lt;&gt;0,0,SUM(INDIRECT("T"&amp;(MAX((0&lt;&gt;N$12:N143)*ROW(N$12:N143)+1,ROW($T$12))&amp;":T"&amp;(ROW()-1))))),Первоначальный[[#This Row],[Полученный платеж]]+Y143),
AND(S143=0,Первоначальный[[#This Row],[Дата платежа из графика]]=1),MIN(LOOKUP(,-1/($Z$12:Z144=1),$C$12:C144)+LOOKUP(,-1/($Z$12:Z144=1),$H$12:H144)-IF(Z143=1,0,SUM(INDIRECT("T"&amp;(MAX((1=Z$12:Z143)*ROW(Z$12:Z143)+1,ROW($T$12))&amp;":T"&amp;(ROW()-1))))),Первоначальный[[#This Row],[Полученный платеж]]+Y143),
AND(Z143&gt;0,Первоначальный[[#This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платеж]]+Y143),
AND(S143&gt;0,MAX((0&lt;&gt;S$12:S143)*ROW(S$12:S143),ROW($S$12))&gt;=MAX((1=Z$12:Z143)*ROW(Z$12:Z143),ROW($T$12)),TYPE(VLOOKUP("Да",(INDIRECT("AA"&amp;(MAX((1=Z$12:Z143)*ROW(Z$12:Z143),ROW($T$12))&amp;":AA"&amp;(ROW()-1)))),1,0))=16),MIN(LOOKUP(,-1/($Z$12:Z144=1),$C$12:C144)+LOOKUP(,-1/($Z$12:Z144=1),$H$12:H144)-SUM(INDIRECT("T"&amp;(MAX((1=Z$12:Z143)*ROW(Z$12:Z143),ROW($T$12))&amp;":T"&amp;(ROW()-1)))),Первоначальный[[#This Row],[Полученный платеж]]+Y143),
S143&gt;0,MIN(LOOKUP(,-1/($Z$12:Z144=1),$C$12:C144)+LOOKUP(,-1/($Z$12:Z144=1),$H$12:H144)-IF(Z143=1,0,SUM(INDIRECT("T"&amp;(MAX((1=Z$12:Z143)*ROW(Z$12:Z143)+1,ROW($T$12))&amp;":T"&amp;(ROW()-1))))),Первоначальный[[#This Row],[Полученный платеж]]+Y143)
)
)
)</f>
        <v>0</v>
      </c>
      <c r="U14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платеж]]+Y143-Первоначальный[[#This Row],[Полученный платёж по процентам]])</f>
        <v>0</v>
      </c>
      <c r="V144" s="55">
        <f t="shared" ca="1" si="25"/>
        <v>0</v>
      </c>
      <c r="W144" s="55" cm="1">
        <f t="array" aca="1" ref="W144" ca="1">IF(Первоначальный[[#This Row],[Итого остаток на начало периода]]&lt;1,0,
_xlfn.IFS(
AND(TYPE(VLOOKUP(1,$Z$12:Z144,1,0))=16,Первоначальный[[#This Row],[Досрочное погашение (да/"")]]=""),0,
AND(S143=0,Первоначальный[[#This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комиссиям]]),VLOOKUP(LOOKUP(,-1/($Z$12:Z144=1),$A$12:A144),График[[Срок конец]:[Возврат основной суммы долга]],3,0)),
AND(S143=0,Первоначальный[[#This Row],[Дата платежа из графика]]="",Первоначальный[[#This Row],[Досрочное погашение (да/"")]]&lt;&gt;"Да"),0,
AND(S143=0,Первоначальный[[#This Row],[Досрочное погашение (да/"")]]=""),MIN(Первоначальный[[#This Row],[Полученный платеж]]+Y143-SUM(Первоначальный[[#This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комиссиям]]),VLOOKUP(LOOKUP(,-1/($Z$12:Z144=1),$A$12:A144),График[[Срок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S143&gt;0,MIN(Первоначальный[[#This Row],[Полученный платеж]]+Y143-SUM(Первоначальный[[#This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комиссиям]]),SUM(INDIRECT("M"&amp;(MAX((1=S$12:S143)*ROW(S$12:S143),ROW($W$12))&amp;":M"&amp;(ROW()))))-SUM(INDIRECT("W"&amp;(MAX((1=S$12:S143)*ROW(S$12:S143),ROW($W$12))&amp;":W"&amp;(ROW()-1)))))
)
)</f>
        <v>0</v>
      </c>
      <c r="X144" s="55">
        <f t="shared" ca="1" si="26"/>
        <v>0</v>
      </c>
      <c r="Y144" s="101">
        <f t="shared" ca="1" si="33"/>
        <v>0</v>
      </c>
      <c r="Z144" s="133" t="str">
        <f>IF(TYPE((VLOOKUP(Первоначальный[[#This Row],[Дата платежа]],График[Срок конец],1,0)))=16,"",1)</f>
        <v/>
      </c>
      <c r="AA144" s="57"/>
      <c r="AB144" s="134"/>
      <c r="AC14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5686.2400000000016</v>
      </c>
      <c r="AE14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11.54</v>
      </c>
      <c r="AF14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750.56013114754103</v>
      </c>
      <c r="AH144" s="55"/>
      <c r="AI144" s="55"/>
      <c r="AJ144" s="55"/>
      <c r="AK144" s="101">
        <f t="shared" ca="1" si="34"/>
        <v>156081.68013114753</v>
      </c>
      <c r="AL144" s="129">
        <f t="array" ref="AL144">MAX((УслРестрактов[Характеристика]="Дата реструктуризации")*(УслРестрактов[Значение]=Первоначальный!$A144),0)</f>
        <v>0</v>
      </c>
    </row>
    <row r="145" spans="1:38" x14ac:dyDescent="0.25">
      <c r="A145" s="97">
        <f t="shared" si="27"/>
        <v>44276</v>
      </c>
      <c r="B145" s="100">
        <f t="shared" ca="1" si="28"/>
        <v>149633.34</v>
      </c>
      <c r="C145" s="55">
        <f t="shared" ca="1" si="24"/>
        <v>5686.2400000000016</v>
      </c>
      <c r="D145" s="55">
        <f t="shared" ca="1" si="24"/>
        <v>11.54</v>
      </c>
      <c r="E145" s="55">
        <f t="shared" ca="1" si="29"/>
        <v>0</v>
      </c>
      <c r="F145" s="55">
        <f t="shared" ca="1" si="30"/>
        <v>750.56013114754103</v>
      </c>
      <c r="G145" s="101">
        <f t="shared" ca="1" si="31"/>
        <v>156081.68013114753</v>
      </c>
      <c r="H145" s="100">
        <f ca="1">ROUND($B145*VLOOKUP($A145,$A$1:$B$10,2,1)/(365+IF(MOD(YEAR($A145),4),0,1)*($A145-$A144)),2)-Первоначальный[[#This Row],[Проценты на просроченный платеж по ОД за период]]</f>
        <v>81.039999999999992</v>
      </c>
      <c r="I145" s="55">
        <f t="shared" ca="1" si="32"/>
        <v>0.54</v>
      </c>
      <c r="J145" s="55">
        <v>0</v>
      </c>
      <c r="K145" s="55">
        <f t="shared" ca="1" si="35"/>
        <v>28.903503278688532</v>
      </c>
      <c r="L145" s="55">
        <v>0</v>
      </c>
      <c r="M145" s="113">
        <f>SUMIFS(График[Возврат основной суммы долга],График[Дата с учетом нерабочих дней],$A145)</f>
        <v>0</v>
      </c>
      <c r="N145" s="56">
        <f>SUMIFS(График[Возврат начисленных %],График[Дата с учетом нерабочих дней],$A145)</f>
        <v>0</v>
      </c>
      <c r="O145" s="101">
        <v>0</v>
      </c>
      <c r="P145" s="100" cm="1">
        <f t="array" aca="1" ref="P145" ca="1">MAX(IF(AA144="Да",0,SUM(INDIRECT("M"&amp;(MAX(("Да"=AA$12:AA144)*ROW(AA$12:AA144)+1,ROW($P$12))&amp;":M"&amp;(ROW()))))-SUM(INDIRECT("W"&amp;(MAX(("Да"=AA$12:AA144)*ROW(AA$12:AA144)+1,ROW($P$12))&amp;":W"&amp;(ROW()))))),0)</f>
        <v>986.38999999999942</v>
      </c>
      <c r="Q145" s="99">
        <f ca="1">MAX(SUM($N$13:N145)-SUM($T$13:T145),0)</f>
        <v>4794.3106557377068</v>
      </c>
      <c r="R145" s="99">
        <f ca="1">Первоначальный[[#This Row],[Просроченный платеж по ОД]]+Первоначальный[[#This Row],[Просроченный платеж по процентам]]</f>
        <v>5780.7006557377063</v>
      </c>
      <c r="S145" s="120">
        <f ca="1">IF(Первоначальный[[#This Row],[Просроченный платеж]]&lt;1,0,S144+1)</f>
        <v>41</v>
      </c>
      <c r="T145" s="100" cm="1">
        <f t="array" aca="1" ref="T145" ca="1">IF(Первоначальный[[#This Row],[Итого остаток на начало периода]]&lt;1,0,
IF(
AND(TYPE(VLOOKUP(1,$Z$12:Z145,1,0))=16,Первоначальный[[#This Row],[Досрочное погашение (да/"")]]=""),0,
_xlfn.IFS(AND(S144=0,Первоначальный[[#This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платеж]]&lt;&gt;0),MIN(LOOKUP(,-1/($Z$12:Z145=1),$C$12:C145)+LOOKUP(,-1/($Z$12:Z145=1),$H$12:H145),Первоначальный[[#This Row],[Полученный платеж]]+Y144),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платеж]]+Y144,SUM(Первоначальный[[#This Row],[Остаток процентов на начало периода]],Первоначальный[[#This Row],[Проценты за период]])),
AND(S144=0,Первоначальный[[#This Row],[Дата платежа из графика]]=""),0,
AND(S144=0,Первоначальный[[#This Row],[Дата платежа из графика]]=1,MAX((0&lt;&gt;S$12:S144)*ROW(S$12:S144),ROW($S$12))&gt;=MAX((1=Z$12:Z144)*ROW(Z$12:Z144),ROW($T$12)),TYPE(VLOOKUP("Да",(INDIRECT("AA"&amp;(MAX((1=Z$12:Z144)*ROW(Z$12:Z144),ROW($T$12))&amp;":AA"&amp;(ROW()-1)))),1,0))=16),MIN(LOOKUP(,-1/($Z$12:Z145=1),$C$12:C145)+LOOKUP(,-1/($Z$12:Z145=1),$H$12:H145),Первоначальный[[#This Row],[Полученный платеж]]+Y144),
AND(S144=0,TYPE(VLOOKUP("Да",(INDIRECT("AA"&amp;(MAX((1=Z$12:Z144)*ROW(Z$12:Z144),ROW($T$12))&amp;":AA"&amp;(ROW()-1)))),1,0))&lt;&gt;16),MIN(LOOKUP(,-1/($Z$12:Z145=1),$C$12:C145)+LOOKUP(,-1/($Z$12:Z145=1),$H$12:H145)-IF(AA144="Да",0,SUM(INDIRECT("T"&amp;(MAX(("Да"=AA$12:AA144)*ROW(AA$12:AA144)+1,ROW($T$12))&amp;":T"&amp;(ROW()-1))))),Первоначальный[[#This Row],[Полученный платеж]]+Y144),
AND(S144=0,MAX((0&lt;&gt;N$12:N144)*ROW(N$12:N144),ROW($S$12))&gt;=MAX((1=Z$12:Z144)*ROW(Z$12:Z144),ROW($T$12))),MIN(LOOKUP(,-1/($Z$12:Z145=1),$C$12:C145)+LOOKUP(,-1/($Z$12:Z145=1),$H$12:H145)-IF(N144&lt;&gt;0,0,SUM(INDIRECT("T"&amp;(MAX((0&lt;&gt;N$12:N144)*ROW(N$12:N144)+1,ROW($T$12))&amp;":T"&amp;(ROW()-1))))),Первоначальный[[#This Row],[Полученный платеж]]+Y144),
AND(S144=0,Первоначальный[[#This Row],[Дата платежа из графика]]=1),MIN(LOOKUP(,-1/($Z$12:Z145=1),$C$12:C145)+LOOKUP(,-1/($Z$12:Z145=1),$H$12:H145)-IF(Z144=1,0,SUM(INDIRECT("T"&amp;(MAX((1=Z$12:Z144)*ROW(Z$12:Z144)+1,ROW($T$12))&amp;":T"&amp;(ROW()-1))))),Первоначальный[[#This Row],[Полученный платеж]]+Y144),
AND(Z144&gt;0,Первоначальный[[#This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платеж]]+Y144),
AND(S144&gt;0,MAX((0&lt;&gt;S$12:S144)*ROW(S$12:S144),ROW($S$12))&gt;=MAX((1=Z$12:Z144)*ROW(Z$12:Z144),ROW($T$12)),TYPE(VLOOKUP("Да",(INDIRECT("AA"&amp;(MAX((1=Z$12:Z144)*ROW(Z$12:Z144),ROW($T$12))&amp;":AA"&amp;(ROW()-1)))),1,0))=16),MIN(LOOKUP(,-1/($Z$12:Z145=1),$C$12:C145)+LOOKUP(,-1/($Z$12:Z145=1),$H$12:H145)-SUM(INDIRECT("T"&amp;(MAX((1=Z$12:Z144)*ROW(Z$12:Z144),ROW($T$12))&amp;":T"&amp;(ROW()-1)))),Первоначальный[[#This Row],[Полученный платеж]]+Y144),
S144&gt;0,MIN(LOOKUP(,-1/($Z$12:Z145=1),$C$12:C145)+LOOKUP(,-1/($Z$12:Z145=1),$H$12:H145)-IF(Z144=1,0,SUM(INDIRECT("T"&amp;(MAX((1=Z$12:Z144)*ROW(Z$12:Z144)+1,ROW($T$12))&amp;":T"&amp;(ROW()-1))))),Первоначальный[[#This Row],[Полученный платеж]]+Y144)
)
)
)</f>
        <v>0</v>
      </c>
      <c r="U14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платеж]]+Y144-Первоначальный[[#This Row],[Полученный платёж по процентам]])</f>
        <v>0</v>
      </c>
      <c r="V145" s="55">
        <f t="shared" ca="1" si="25"/>
        <v>0</v>
      </c>
      <c r="W145" s="55" cm="1">
        <f t="array" aca="1" ref="W145" ca="1">IF(Первоначальный[[#This Row],[Итого остаток на начало периода]]&lt;1,0,
_xlfn.IFS(
AND(TYPE(VLOOKUP(1,$Z$12:Z145,1,0))=16,Первоначальный[[#This Row],[Досрочное погашение (да/"")]]=""),0,
AND(S144=0,Первоначальный[[#This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комиссиям]]),VLOOKUP(LOOKUP(,-1/($Z$12:Z145=1),$A$12:A145),График[[Срок конец]:[Возврат основной суммы долга]],3,0)),
AND(S144=0,Первоначальный[[#This Row],[Дата платежа из графика]]="",Первоначальный[[#This Row],[Досрочное погашение (да/"")]]&lt;&gt;"Да"),0,
AND(S144=0,Первоначальный[[#This Row],[Досрочное погашение (да/"")]]=""),MIN(Первоначальный[[#This Row],[Полученный платеж]]+Y144-SUM(Первоначальный[[#This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комиссиям]]),VLOOKUP(LOOKUP(,-1/($Z$12:Z145=1),$A$12:A145),График[[Срок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S144&gt;0,MIN(Первоначальный[[#This Row],[Полученный платеж]]+Y144-SUM(Первоначальный[[#This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комиссиям]]),SUM(INDIRECT("M"&amp;(MAX((1=S$12:S144)*ROW(S$12:S144),ROW($W$12))&amp;":M"&amp;(ROW()))))-SUM(INDIRECT("W"&amp;(MAX((1=S$12:S144)*ROW(S$12:S144),ROW($W$12))&amp;":W"&amp;(ROW()-1)))))
)
)</f>
        <v>0</v>
      </c>
      <c r="X145" s="55">
        <f t="shared" ca="1" si="26"/>
        <v>0</v>
      </c>
      <c r="Y145" s="101">
        <f t="shared" ca="1" si="33"/>
        <v>0</v>
      </c>
      <c r="Z145" s="133" t="str">
        <f>IF(TYPE((VLOOKUP(Первоначальный[[#This Row],[Дата платежа]],График[Срок конец],1,0)))=16,"",1)</f>
        <v/>
      </c>
      <c r="AA145" s="57"/>
      <c r="AB145" s="134"/>
      <c r="AC14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5767.2800000000016</v>
      </c>
      <c r="AE14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12.079999999999998</v>
      </c>
      <c r="AF14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779.46363442622953</v>
      </c>
      <c r="AH145" s="55"/>
      <c r="AI145" s="55"/>
      <c r="AJ145" s="55"/>
      <c r="AK145" s="101">
        <f t="shared" ca="1" si="34"/>
        <v>156192.16363442622</v>
      </c>
      <c r="AL145" s="129">
        <f t="array" ref="AL145">MAX((УслРестрактов[Характеристика]="Дата реструктуризации")*(УслРестрактов[Значение]=Первоначальный!$A145),0)</f>
        <v>0</v>
      </c>
    </row>
    <row r="146" spans="1:38" x14ac:dyDescent="0.25">
      <c r="A146" s="97">
        <f t="shared" si="27"/>
        <v>44277</v>
      </c>
      <c r="B146" s="100">
        <f t="shared" ca="1" si="28"/>
        <v>149633.34</v>
      </c>
      <c r="C146" s="55">
        <f t="shared" ca="1" si="24"/>
        <v>5767.2800000000016</v>
      </c>
      <c r="D146" s="55">
        <f t="shared" ca="1" si="24"/>
        <v>12.079999999999998</v>
      </c>
      <c r="E146" s="55">
        <f t="shared" ca="1" si="29"/>
        <v>0</v>
      </c>
      <c r="F146" s="55">
        <f t="shared" ca="1" si="30"/>
        <v>779.46363442622953</v>
      </c>
      <c r="G146" s="101">
        <f t="shared" ca="1" si="31"/>
        <v>156192.16363442622</v>
      </c>
      <c r="H146" s="100">
        <f ca="1">ROUND($B146*VLOOKUP($A146,$A$1:$B$10,2,1)/(365+IF(MOD(YEAR($A146),4),0,1)*($A146-$A145)),2)-Первоначальный[[#This Row],[Проценты на просроченный платеж по ОД за период]]</f>
        <v>81.039999999999992</v>
      </c>
      <c r="I146" s="55">
        <f t="shared" ca="1" si="32"/>
        <v>0.54</v>
      </c>
      <c r="J146" s="55">
        <v>0</v>
      </c>
      <c r="K146" s="55">
        <f t="shared" ca="1" si="35"/>
        <v>28.903503278688532</v>
      </c>
      <c r="L146" s="55">
        <v>0</v>
      </c>
      <c r="M146" s="113">
        <f>SUMIFS(График[Возврат основной суммы долга],График[Дата с учетом нерабочих дней],$A146)</f>
        <v>0</v>
      </c>
      <c r="N146" s="56">
        <f>SUMIFS(График[Возврат начисленных %],График[Дата с учетом нерабочих дней],$A146)</f>
        <v>0</v>
      </c>
      <c r="O146" s="101">
        <v>0</v>
      </c>
      <c r="P146" s="100" cm="1">
        <f t="array" aca="1" ref="P146" ca="1">MAX(IF(AA145="Да",0,SUM(INDIRECT("M"&amp;(MAX(("Да"=AA$12:AA145)*ROW(AA$12:AA145)+1,ROW($P$12))&amp;":M"&amp;(ROW()))))-SUM(INDIRECT("W"&amp;(MAX(("Да"=AA$12:AA145)*ROW(AA$12:AA145)+1,ROW($P$12))&amp;":W"&amp;(ROW()))))),0)</f>
        <v>986.38999999999942</v>
      </c>
      <c r="Q146" s="99">
        <f ca="1">MAX(SUM($N$13:N146)-SUM($T$13:T146),0)</f>
        <v>4794.3106557377068</v>
      </c>
      <c r="R146" s="99">
        <f ca="1">Первоначальный[[#This Row],[Просроченный платеж по ОД]]+Первоначальный[[#This Row],[Просроченный платеж по процентам]]</f>
        <v>5780.7006557377063</v>
      </c>
      <c r="S146" s="120">
        <f ca="1">IF(Первоначальный[[#This Row],[Просроченный платеж]]&lt;1,0,S145+1)</f>
        <v>42</v>
      </c>
      <c r="T146" s="100" cm="1">
        <f t="array" aca="1" ref="T146" ca="1">IF(Первоначальный[[#This Row],[Итого остаток на начало периода]]&lt;1,0,
IF(
AND(TYPE(VLOOKUP(1,$Z$12:Z146,1,0))=16,Первоначальный[[#This Row],[Досрочное погашение (да/"")]]=""),0,
_xlfn.IFS(AND(S145=0,Первоначальный[[#This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платеж]]&lt;&gt;0),MIN(LOOKUP(,-1/($Z$12:Z146=1),$C$12:C146)+LOOKUP(,-1/($Z$12:Z146=1),$H$12:H146),Первоначальный[[#This Row],[Полученный платеж]]+Y145),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платеж]]+Y145,SUM(Первоначальный[[#This Row],[Остаток процентов на начало периода]],Первоначальный[[#This Row],[Проценты за период]])),
AND(S145=0,Первоначальный[[#This Row],[Дата платежа из графика]]=""),0,
AND(S145=0,Первоначальный[[#This Row],[Дата платежа из графика]]=1,MAX((0&lt;&gt;S$12:S145)*ROW(S$12:S145),ROW($S$12))&gt;=MAX((1=Z$12:Z145)*ROW(Z$12:Z145),ROW($T$12)),TYPE(VLOOKUP("Да",(INDIRECT("AA"&amp;(MAX((1=Z$12:Z145)*ROW(Z$12:Z145),ROW($T$12))&amp;":AA"&amp;(ROW()-1)))),1,0))=16),MIN(LOOKUP(,-1/($Z$12:Z146=1),$C$12:C146)+LOOKUP(,-1/($Z$12:Z146=1),$H$12:H146),Первоначальный[[#This Row],[Полученный платеж]]+Y145),
AND(S145=0,TYPE(VLOOKUP("Да",(INDIRECT("AA"&amp;(MAX((1=Z$12:Z145)*ROW(Z$12:Z145),ROW($T$12))&amp;":AA"&amp;(ROW()-1)))),1,0))&lt;&gt;16),MIN(LOOKUP(,-1/($Z$12:Z146=1),$C$12:C146)+LOOKUP(,-1/($Z$12:Z146=1),$H$12:H146)-IF(AA145="Да",0,SUM(INDIRECT("T"&amp;(MAX(("Да"=AA$12:AA145)*ROW(AA$12:AA145)+1,ROW($T$12))&amp;":T"&amp;(ROW()-1))))),Первоначальный[[#This Row],[Полученный платеж]]+Y145),
AND(S145=0,MAX((0&lt;&gt;N$12:N145)*ROW(N$12:N145),ROW($S$12))&gt;=MAX((1=Z$12:Z145)*ROW(Z$12:Z145),ROW($T$12))),MIN(LOOKUP(,-1/($Z$12:Z146=1),$C$12:C146)+LOOKUP(,-1/($Z$12:Z146=1),$H$12:H146)-IF(N145&lt;&gt;0,0,SUM(INDIRECT("T"&amp;(MAX((0&lt;&gt;N$12:N145)*ROW(N$12:N145)+1,ROW($T$12))&amp;":T"&amp;(ROW()-1))))),Первоначальный[[#This Row],[Полученный платеж]]+Y145),
AND(S145=0,Первоначальный[[#This Row],[Дата платежа из графика]]=1),MIN(LOOKUP(,-1/($Z$12:Z146=1),$C$12:C146)+LOOKUP(,-1/($Z$12:Z146=1),$H$12:H146)-IF(Z145=1,0,SUM(INDIRECT("T"&amp;(MAX((1=Z$12:Z145)*ROW(Z$12:Z145)+1,ROW($T$12))&amp;":T"&amp;(ROW()-1))))),Первоначальный[[#This Row],[Полученный платеж]]+Y145),
AND(Z145&gt;0,Первоначальный[[#This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платеж]]+Y145),
AND(S145&gt;0,MAX((0&lt;&gt;S$12:S145)*ROW(S$12:S145),ROW($S$12))&gt;=MAX((1=Z$12:Z145)*ROW(Z$12:Z145),ROW($T$12)),TYPE(VLOOKUP("Да",(INDIRECT("AA"&amp;(MAX((1=Z$12:Z145)*ROW(Z$12:Z145),ROW($T$12))&amp;":AA"&amp;(ROW()-1)))),1,0))=16),MIN(LOOKUP(,-1/($Z$12:Z146=1),$C$12:C146)+LOOKUP(,-1/($Z$12:Z146=1),$H$12:H146)-SUM(INDIRECT("T"&amp;(MAX((1=Z$12:Z145)*ROW(Z$12:Z145),ROW($T$12))&amp;":T"&amp;(ROW()-1)))),Первоначальный[[#This Row],[Полученный платеж]]+Y145),
S145&gt;0,MIN(LOOKUP(,-1/($Z$12:Z146=1),$C$12:C146)+LOOKUP(,-1/($Z$12:Z146=1),$H$12:H146)-IF(Z145=1,0,SUM(INDIRECT("T"&amp;(MAX((1=Z$12:Z145)*ROW(Z$12:Z145)+1,ROW($T$12))&amp;":T"&amp;(ROW()-1))))),Первоначальный[[#This Row],[Полученный платеж]]+Y145)
)
)
)</f>
        <v>0</v>
      </c>
      <c r="U14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платеж]]+Y145-Первоначальный[[#This Row],[Полученный платёж по процентам]])</f>
        <v>0</v>
      </c>
      <c r="V146" s="55">
        <f t="shared" ca="1" si="25"/>
        <v>0</v>
      </c>
      <c r="W146" s="55" cm="1">
        <f t="array" aca="1" ref="W146" ca="1">IF(Первоначальный[[#This Row],[Итого остаток на начало периода]]&lt;1,0,
_xlfn.IFS(
AND(TYPE(VLOOKUP(1,$Z$12:Z146,1,0))=16,Первоначальный[[#This Row],[Досрочное погашение (да/"")]]=""),0,
AND(S145=0,Первоначальный[[#This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комиссиям]]),VLOOKUP(LOOKUP(,-1/($Z$12:Z146=1),$A$12:A146),График[[Срок конец]:[Возврат основной суммы долга]],3,0)),
AND(S145=0,Первоначальный[[#This Row],[Дата платежа из графика]]="",Первоначальный[[#This Row],[Досрочное погашение (да/"")]]&lt;&gt;"Да"),0,
AND(S145=0,Первоначальный[[#This Row],[Досрочное погашение (да/"")]]=""),MIN(Первоначальный[[#This Row],[Полученный платеж]]+Y145-SUM(Первоначальный[[#This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комиссиям]]),VLOOKUP(LOOKUP(,-1/($Z$12:Z146=1),$A$12:A146),График[[Срок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S145&gt;0,MIN(Первоначальный[[#This Row],[Полученный платеж]]+Y145-SUM(Первоначальный[[#This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комиссиям]]),SUM(INDIRECT("M"&amp;(MAX((1=S$12:S145)*ROW(S$12:S145),ROW($W$12))&amp;":M"&amp;(ROW()))))-SUM(INDIRECT("W"&amp;(MAX((1=S$12:S145)*ROW(S$12:S145),ROW($W$12))&amp;":W"&amp;(ROW()-1)))))
)
)</f>
        <v>0</v>
      </c>
      <c r="X146" s="55">
        <f t="shared" ca="1" si="26"/>
        <v>0</v>
      </c>
      <c r="Y146" s="101">
        <f t="shared" ca="1" si="33"/>
        <v>0</v>
      </c>
      <c r="Z146" s="133" t="str">
        <f>IF(TYPE((VLOOKUP(Первоначальный[[#This Row],[Дата платежа]],График[Срок конец],1,0)))=16,"",1)</f>
        <v/>
      </c>
      <c r="AA146" s="57"/>
      <c r="AB146" s="134"/>
      <c r="AC14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5848.3200000000015</v>
      </c>
      <c r="AE14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12.619999999999997</v>
      </c>
      <c r="AF14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808.36713770491804</v>
      </c>
      <c r="AH146" s="55"/>
      <c r="AI146" s="55"/>
      <c r="AJ146" s="55"/>
      <c r="AK146" s="101">
        <f t="shared" ca="1" si="34"/>
        <v>156302.64713770492</v>
      </c>
      <c r="AL146" s="129">
        <f t="array" ref="AL146">MAX((УслРестрактов[Характеристика]="Дата реструктуризации")*(УслРестрактов[Значение]=Первоначальный!$A146),0)</f>
        <v>0</v>
      </c>
    </row>
    <row r="147" spans="1:38" x14ac:dyDescent="0.25">
      <c r="A147" s="97">
        <f t="shared" si="27"/>
        <v>44278</v>
      </c>
      <c r="B147" s="100">
        <f t="shared" ca="1" si="28"/>
        <v>149633.34</v>
      </c>
      <c r="C147" s="55">
        <f t="shared" ca="1" si="24"/>
        <v>5848.3200000000015</v>
      </c>
      <c r="D147" s="55">
        <f t="shared" ca="1" si="24"/>
        <v>12.619999999999997</v>
      </c>
      <c r="E147" s="55">
        <f t="shared" ca="1" si="29"/>
        <v>0</v>
      </c>
      <c r="F147" s="55">
        <f t="shared" ca="1" si="30"/>
        <v>808.36713770491804</v>
      </c>
      <c r="G147" s="101">
        <f t="shared" ca="1" si="31"/>
        <v>156302.64713770492</v>
      </c>
      <c r="H147" s="100">
        <f ca="1">ROUND($B147*VLOOKUP($A147,$A$1:$B$10,2,1)/(365+IF(MOD(YEAR($A147),4),0,1)*($A147-$A146)),2)-Первоначальный[[#This Row],[Проценты на просроченный платеж по ОД за период]]</f>
        <v>81.039999999999992</v>
      </c>
      <c r="I147" s="55">
        <f t="shared" ca="1" si="32"/>
        <v>0.54</v>
      </c>
      <c r="J147" s="55">
        <v>0</v>
      </c>
      <c r="K147" s="55">
        <f t="shared" ca="1" si="35"/>
        <v>28.903503278688532</v>
      </c>
      <c r="L147" s="55">
        <v>0</v>
      </c>
      <c r="M147" s="113">
        <f>SUMIFS(График[Возврат основной суммы долга],График[Дата с учетом нерабочих дней],$A147)</f>
        <v>0</v>
      </c>
      <c r="N147" s="56">
        <f>SUMIFS(График[Возврат начисленных %],График[Дата с учетом нерабочих дней],$A147)</f>
        <v>0</v>
      </c>
      <c r="O147" s="101">
        <v>0</v>
      </c>
      <c r="P147" s="100" cm="1">
        <f t="array" aca="1" ref="P147" ca="1">MAX(IF(AA146="Да",0,SUM(INDIRECT("M"&amp;(MAX(("Да"=AA$12:AA146)*ROW(AA$12:AA146)+1,ROW($P$12))&amp;":M"&amp;(ROW()))))-SUM(INDIRECT("W"&amp;(MAX(("Да"=AA$12:AA146)*ROW(AA$12:AA146)+1,ROW($P$12))&amp;":W"&amp;(ROW()))))),0)</f>
        <v>986.38999999999942</v>
      </c>
      <c r="Q147" s="99">
        <f ca="1">MAX(SUM($N$13:N147)-SUM($T$13:T147),0)</f>
        <v>4794.3106557377068</v>
      </c>
      <c r="R147" s="99">
        <f ca="1">Первоначальный[[#This Row],[Просроченный платеж по ОД]]+Первоначальный[[#This Row],[Просроченный платеж по процентам]]</f>
        <v>5780.7006557377063</v>
      </c>
      <c r="S147" s="120">
        <f ca="1">IF(Первоначальный[[#This Row],[Просроченный платеж]]&lt;1,0,S146+1)</f>
        <v>43</v>
      </c>
      <c r="T147" s="100" cm="1">
        <f t="array" aca="1" ref="T147" ca="1">IF(Первоначальный[[#This Row],[Итого остаток на начало периода]]&lt;1,0,
IF(
AND(TYPE(VLOOKUP(1,$Z$12:Z147,1,0))=16,Первоначальный[[#This Row],[Досрочное погашение (да/"")]]=""),0,
_xlfn.IFS(AND(S146=0,Первоначальный[[#This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платеж]]&lt;&gt;0),MIN(LOOKUP(,-1/($Z$12:Z147=1),$C$12:C147)+LOOKUP(,-1/($Z$12:Z147=1),$H$12:H147),Первоначальный[[#This Row],[Полученный платеж]]+Y146),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платеж]]+Y146,SUM(Первоначальный[[#This Row],[Остаток процентов на начало периода]],Первоначальный[[#This Row],[Проценты за период]])),
AND(S146=0,Первоначальный[[#This Row],[Дата платежа из графика]]=""),0,
AND(S146=0,Первоначальный[[#This Row],[Дата платежа из графика]]=1,MAX((0&lt;&gt;S$12:S146)*ROW(S$12:S146),ROW($S$12))&gt;=MAX((1=Z$12:Z146)*ROW(Z$12:Z146),ROW($T$12)),TYPE(VLOOKUP("Да",(INDIRECT("AA"&amp;(MAX((1=Z$12:Z146)*ROW(Z$12:Z146),ROW($T$12))&amp;":AA"&amp;(ROW()-1)))),1,0))=16),MIN(LOOKUP(,-1/($Z$12:Z147=1),$C$12:C147)+LOOKUP(,-1/($Z$12:Z147=1),$H$12:H147),Первоначальный[[#This Row],[Полученный платеж]]+Y146),
AND(S146=0,TYPE(VLOOKUP("Да",(INDIRECT("AA"&amp;(MAX((1=Z$12:Z146)*ROW(Z$12:Z146),ROW($T$12))&amp;":AA"&amp;(ROW()-1)))),1,0))&lt;&gt;16),MIN(LOOKUP(,-1/($Z$12:Z147=1),$C$12:C147)+LOOKUP(,-1/($Z$12:Z147=1),$H$12:H147)-IF(AA146="Да",0,SUM(INDIRECT("T"&amp;(MAX(("Да"=AA$12:AA146)*ROW(AA$12:AA146)+1,ROW($T$12))&amp;":T"&amp;(ROW()-1))))),Первоначальный[[#This Row],[Полученный платеж]]+Y146),
AND(S146=0,MAX((0&lt;&gt;N$12:N146)*ROW(N$12:N146),ROW($S$12))&gt;=MAX((1=Z$12:Z146)*ROW(Z$12:Z146),ROW($T$12))),MIN(LOOKUP(,-1/($Z$12:Z147=1),$C$12:C147)+LOOKUP(,-1/($Z$12:Z147=1),$H$12:H147)-IF(N146&lt;&gt;0,0,SUM(INDIRECT("T"&amp;(MAX((0&lt;&gt;N$12:N146)*ROW(N$12:N146)+1,ROW($T$12))&amp;":T"&amp;(ROW()-1))))),Первоначальный[[#This Row],[Полученный платеж]]+Y146),
AND(S146=0,Первоначальный[[#This Row],[Дата платежа из графика]]=1),MIN(LOOKUP(,-1/($Z$12:Z147=1),$C$12:C147)+LOOKUP(,-1/($Z$12:Z147=1),$H$12:H147)-IF(Z146=1,0,SUM(INDIRECT("T"&amp;(MAX((1=Z$12:Z146)*ROW(Z$12:Z146)+1,ROW($T$12))&amp;":T"&amp;(ROW()-1))))),Первоначальный[[#This Row],[Полученный платеж]]+Y146),
AND(Z146&gt;0,Первоначальный[[#This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платеж]]+Y146),
AND(S146&gt;0,MAX((0&lt;&gt;S$12:S146)*ROW(S$12:S146),ROW($S$12))&gt;=MAX((1=Z$12:Z146)*ROW(Z$12:Z146),ROW($T$12)),TYPE(VLOOKUP("Да",(INDIRECT("AA"&amp;(MAX((1=Z$12:Z146)*ROW(Z$12:Z146),ROW($T$12))&amp;":AA"&amp;(ROW()-1)))),1,0))=16),MIN(LOOKUP(,-1/($Z$12:Z147=1),$C$12:C147)+LOOKUP(,-1/($Z$12:Z147=1),$H$12:H147)-SUM(INDIRECT("T"&amp;(MAX((1=Z$12:Z146)*ROW(Z$12:Z146),ROW($T$12))&amp;":T"&amp;(ROW()-1)))),Первоначальный[[#This Row],[Полученный платеж]]+Y146),
S146&gt;0,MIN(LOOKUP(,-1/($Z$12:Z147=1),$C$12:C147)+LOOKUP(,-1/($Z$12:Z147=1),$H$12:H147)-IF(Z146=1,0,SUM(INDIRECT("T"&amp;(MAX((1=Z$12:Z146)*ROW(Z$12:Z146)+1,ROW($T$12))&amp;":T"&amp;(ROW()-1))))),Первоначальный[[#This Row],[Полученный платеж]]+Y146)
)
)
)</f>
        <v>0</v>
      </c>
      <c r="U14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платеж]]+Y146-Первоначальный[[#This Row],[Полученный платёж по процентам]])</f>
        <v>0</v>
      </c>
      <c r="V147" s="55">
        <f t="shared" ca="1" si="25"/>
        <v>0</v>
      </c>
      <c r="W147" s="55" cm="1">
        <f t="array" aca="1" ref="W147" ca="1">IF(Первоначальный[[#This Row],[Итого остаток на начало периода]]&lt;1,0,
_xlfn.IFS(
AND(TYPE(VLOOKUP(1,$Z$12:Z147,1,0))=16,Первоначальный[[#This Row],[Досрочное погашение (да/"")]]=""),0,
AND(S146=0,Первоначальный[[#This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комиссиям]]),VLOOKUP(LOOKUP(,-1/($Z$12:Z147=1),$A$12:A147),График[[Срок конец]:[Возврат основной суммы долга]],3,0)),
AND(S146=0,Первоначальный[[#This Row],[Дата платежа из графика]]="",Первоначальный[[#This Row],[Досрочное погашение (да/"")]]&lt;&gt;"Да"),0,
AND(S146=0,Первоначальный[[#This Row],[Досрочное погашение (да/"")]]=""),MIN(Первоначальный[[#This Row],[Полученный платеж]]+Y146-SUM(Первоначальный[[#This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комиссиям]]),VLOOKUP(LOOKUP(,-1/($Z$12:Z147=1),$A$12:A147),График[[Срок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S146&gt;0,MIN(Первоначальный[[#This Row],[Полученный платеж]]+Y146-SUM(Первоначальный[[#This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комиссиям]]),SUM(INDIRECT("M"&amp;(MAX((1=S$12:S146)*ROW(S$12:S146),ROW($W$12))&amp;":M"&amp;(ROW()))))-SUM(INDIRECT("W"&amp;(MAX((1=S$12:S146)*ROW(S$12:S146),ROW($W$12))&amp;":W"&amp;(ROW()-1)))))
)
)</f>
        <v>0</v>
      </c>
      <c r="X147" s="55">
        <f t="shared" ca="1" si="26"/>
        <v>0</v>
      </c>
      <c r="Y147" s="101">
        <f t="shared" ca="1" si="33"/>
        <v>0</v>
      </c>
      <c r="Z147" s="133" t="str">
        <f>IF(TYPE((VLOOKUP(Первоначальный[[#This Row],[Дата платежа]],График[Срок конец],1,0)))=16,"",1)</f>
        <v/>
      </c>
      <c r="AA147" s="57"/>
      <c r="AB147" s="134"/>
      <c r="AC14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5929.3600000000015</v>
      </c>
      <c r="AE14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13.159999999999997</v>
      </c>
      <c r="AF14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837.27064098360654</v>
      </c>
      <c r="AH147" s="55"/>
      <c r="AI147" s="55"/>
      <c r="AJ147" s="55"/>
      <c r="AK147" s="101">
        <f t="shared" ca="1" si="34"/>
        <v>156413.13064098361</v>
      </c>
      <c r="AL147" s="129">
        <f t="array" ref="AL147">MAX((УслРестрактов[Характеристика]="Дата реструктуризации")*(УслРестрактов[Значение]=Первоначальный!$A147),0)</f>
        <v>0</v>
      </c>
    </row>
    <row r="148" spans="1:38" x14ac:dyDescent="0.25">
      <c r="A148" s="97">
        <f t="shared" si="27"/>
        <v>44279</v>
      </c>
      <c r="B148" s="100">
        <f t="shared" ca="1" si="28"/>
        <v>149633.34</v>
      </c>
      <c r="C148" s="55">
        <f t="shared" ca="1" si="24"/>
        <v>5929.3600000000015</v>
      </c>
      <c r="D148" s="55">
        <f t="shared" ca="1" si="24"/>
        <v>13.159999999999997</v>
      </c>
      <c r="E148" s="55">
        <f t="shared" ca="1" si="29"/>
        <v>0</v>
      </c>
      <c r="F148" s="55">
        <f t="shared" ca="1" si="30"/>
        <v>837.27064098360654</v>
      </c>
      <c r="G148" s="101">
        <f t="shared" ca="1" si="31"/>
        <v>156413.13064098361</v>
      </c>
      <c r="H148" s="100">
        <f ca="1">ROUND($B148*VLOOKUP($A148,$A$1:$B$10,2,1)/(365+IF(MOD(YEAR($A148),4),0,1)*($A148-$A147)),2)-Первоначальный[[#This Row],[Проценты на просроченный платеж по ОД за период]]</f>
        <v>81.039999999999992</v>
      </c>
      <c r="I148" s="55">
        <f t="shared" ca="1" si="32"/>
        <v>0.54</v>
      </c>
      <c r="J148" s="55">
        <v>0</v>
      </c>
      <c r="K148" s="55">
        <f t="shared" ca="1" si="35"/>
        <v>28.903503278688532</v>
      </c>
      <c r="L148" s="55">
        <v>0</v>
      </c>
      <c r="M148" s="113">
        <f>SUMIFS(График[Возврат основной суммы долга],График[Дата с учетом нерабочих дней],$A148)</f>
        <v>0</v>
      </c>
      <c r="N148" s="56">
        <f>SUMIFS(График[Возврат начисленных %],График[Дата с учетом нерабочих дней],$A148)</f>
        <v>0</v>
      </c>
      <c r="O148" s="101">
        <v>0</v>
      </c>
      <c r="P148" s="100" cm="1">
        <f t="array" aca="1" ref="P148" ca="1">MAX(IF(AA147="Да",0,SUM(INDIRECT("M"&amp;(MAX(("Да"=AA$12:AA147)*ROW(AA$12:AA147)+1,ROW($P$12))&amp;":M"&amp;(ROW()))))-SUM(INDIRECT("W"&amp;(MAX(("Да"=AA$12:AA147)*ROW(AA$12:AA147)+1,ROW($P$12))&amp;":W"&amp;(ROW()))))),0)</f>
        <v>986.38999999999942</v>
      </c>
      <c r="Q148" s="99">
        <f ca="1">MAX(SUM($N$13:N148)-SUM($T$13:T148),0)</f>
        <v>4794.3106557377068</v>
      </c>
      <c r="R148" s="99">
        <f ca="1">Первоначальный[[#This Row],[Просроченный платеж по ОД]]+Первоначальный[[#This Row],[Просроченный платеж по процентам]]</f>
        <v>5780.7006557377063</v>
      </c>
      <c r="S148" s="120">
        <f ca="1">IF(Первоначальный[[#This Row],[Просроченный платеж]]&lt;1,0,S147+1)</f>
        <v>44</v>
      </c>
      <c r="T148" s="100" cm="1">
        <f t="array" aca="1" ref="T148" ca="1">IF(Первоначальный[[#This Row],[Итого остаток на начало периода]]&lt;1,0,
IF(
AND(TYPE(VLOOKUP(1,$Z$12:Z148,1,0))=16,Первоначальный[[#This Row],[Досрочное погашение (да/"")]]=""),0,
_xlfn.IFS(AND(S147=0,Первоначальный[[#This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платеж]]&lt;&gt;0),MIN(LOOKUP(,-1/($Z$12:Z148=1),$C$12:C148)+LOOKUP(,-1/($Z$12:Z148=1),$H$12:H148),Первоначальный[[#This Row],[Полученный платеж]]+Y147),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платеж]]+Y147,SUM(Первоначальный[[#This Row],[Остаток процентов на начало периода]],Первоначальный[[#This Row],[Проценты за период]])),
AND(S147=0,Первоначальный[[#This Row],[Дата платежа из графика]]=""),0,
AND(S147=0,Первоначальный[[#This Row],[Дата платежа из графика]]=1,MAX((0&lt;&gt;S$12:S147)*ROW(S$12:S147),ROW($S$12))&gt;=MAX((1=Z$12:Z147)*ROW(Z$12:Z147),ROW($T$12)),TYPE(VLOOKUP("Да",(INDIRECT("AA"&amp;(MAX((1=Z$12:Z147)*ROW(Z$12:Z147),ROW($T$12))&amp;":AA"&amp;(ROW()-1)))),1,0))=16),MIN(LOOKUP(,-1/($Z$12:Z148=1),$C$12:C148)+LOOKUP(,-1/($Z$12:Z148=1),$H$12:H148),Первоначальный[[#This Row],[Полученный платеж]]+Y147),
AND(S147=0,TYPE(VLOOKUP("Да",(INDIRECT("AA"&amp;(MAX((1=Z$12:Z147)*ROW(Z$12:Z147),ROW($T$12))&amp;":AA"&amp;(ROW()-1)))),1,0))&lt;&gt;16),MIN(LOOKUP(,-1/($Z$12:Z148=1),$C$12:C148)+LOOKUP(,-1/($Z$12:Z148=1),$H$12:H148)-IF(AA147="Да",0,SUM(INDIRECT("T"&amp;(MAX(("Да"=AA$12:AA147)*ROW(AA$12:AA147)+1,ROW($T$12))&amp;":T"&amp;(ROW()-1))))),Первоначальный[[#This Row],[Полученный платеж]]+Y147),
AND(S147=0,MAX((0&lt;&gt;N$12:N147)*ROW(N$12:N147),ROW($S$12))&gt;=MAX((1=Z$12:Z147)*ROW(Z$12:Z147),ROW($T$12))),MIN(LOOKUP(,-1/($Z$12:Z148=1),$C$12:C148)+LOOKUP(,-1/($Z$12:Z148=1),$H$12:H148)-IF(N147&lt;&gt;0,0,SUM(INDIRECT("T"&amp;(MAX((0&lt;&gt;N$12:N147)*ROW(N$12:N147)+1,ROW($T$12))&amp;":T"&amp;(ROW()-1))))),Первоначальный[[#This Row],[Полученный платеж]]+Y147),
AND(S147=0,Первоначальный[[#This Row],[Дата платежа из графика]]=1),MIN(LOOKUP(,-1/($Z$12:Z148=1),$C$12:C148)+LOOKUP(,-1/($Z$12:Z148=1),$H$12:H148)-IF(Z147=1,0,SUM(INDIRECT("T"&amp;(MAX((1=Z$12:Z147)*ROW(Z$12:Z147)+1,ROW($T$12))&amp;":T"&amp;(ROW()-1))))),Первоначальный[[#This Row],[Полученный платеж]]+Y147),
AND(Z147&gt;0,Первоначальный[[#This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платеж]]+Y147),
AND(S147&gt;0,MAX((0&lt;&gt;S$12:S147)*ROW(S$12:S147),ROW($S$12))&gt;=MAX((1=Z$12:Z147)*ROW(Z$12:Z147),ROW($T$12)),TYPE(VLOOKUP("Да",(INDIRECT("AA"&amp;(MAX((1=Z$12:Z147)*ROW(Z$12:Z147),ROW($T$12))&amp;":AA"&amp;(ROW()-1)))),1,0))=16),MIN(LOOKUP(,-1/($Z$12:Z148=1),$C$12:C148)+LOOKUP(,-1/($Z$12:Z148=1),$H$12:H148)-SUM(INDIRECT("T"&amp;(MAX((1=Z$12:Z147)*ROW(Z$12:Z147),ROW($T$12))&amp;":T"&amp;(ROW()-1)))),Первоначальный[[#This Row],[Полученный платеж]]+Y147),
S147&gt;0,MIN(LOOKUP(,-1/($Z$12:Z148=1),$C$12:C148)+LOOKUP(,-1/($Z$12:Z148=1),$H$12:H148)-IF(Z147=1,0,SUM(INDIRECT("T"&amp;(MAX((1=Z$12:Z147)*ROW(Z$12:Z147)+1,ROW($T$12))&amp;":T"&amp;(ROW()-1))))),Первоначальный[[#This Row],[Полученный платеж]]+Y147)
)
)
)</f>
        <v>0</v>
      </c>
      <c r="U14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платеж]]+Y147-Первоначальный[[#This Row],[Полученный платёж по процентам]])</f>
        <v>0</v>
      </c>
      <c r="V148" s="55">
        <f t="shared" ca="1" si="25"/>
        <v>0</v>
      </c>
      <c r="W148" s="55" cm="1">
        <f t="array" aca="1" ref="W148" ca="1">IF(Первоначальный[[#This Row],[Итого остаток на начало периода]]&lt;1,0,
_xlfn.IFS(
AND(TYPE(VLOOKUP(1,$Z$12:Z148,1,0))=16,Первоначальный[[#This Row],[Досрочное погашение (да/"")]]=""),0,
AND(S147=0,Первоначальный[[#This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комиссиям]]),VLOOKUP(LOOKUP(,-1/($Z$12:Z148=1),$A$12:A148),График[[Срок конец]:[Возврат основной суммы долга]],3,0)),
AND(S147=0,Первоначальный[[#This Row],[Дата платежа из графика]]="",Первоначальный[[#This Row],[Досрочное погашение (да/"")]]&lt;&gt;"Да"),0,
AND(S147=0,Первоначальный[[#This Row],[Досрочное погашение (да/"")]]=""),MIN(Первоначальный[[#This Row],[Полученный платеж]]+Y147-SUM(Первоначальный[[#This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комиссиям]]),VLOOKUP(LOOKUP(,-1/($Z$12:Z148=1),$A$12:A148),График[[Срок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S147&gt;0,MIN(Первоначальный[[#This Row],[Полученный платеж]]+Y147-SUM(Первоначальный[[#This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комиссиям]]),SUM(INDIRECT("M"&amp;(MAX((1=S$12:S147)*ROW(S$12:S147),ROW($W$12))&amp;":M"&amp;(ROW()))))-SUM(INDIRECT("W"&amp;(MAX((1=S$12:S147)*ROW(S$12:S147),ROW($W$12))&amp;":W"&amp;(ROW()-1)))))
)
)</f>
        <v>0</v>
      </c>
      <c r="X148" s="55">
        <f t="shared" ca="1" si="26"/>
        <v>0</v>
      </c>
      <c r="Y148" s="101">
        <f t="shared" ca="1" si="33"/>
        <v>0</v>
      </c>
      <c r="Z148" s="133" t="str">
        <f>IF(TYPE((VLOOKUP(Первоначальный[[#This Row],[Дата платежа]],График[Срок конец],1,0)))=16,"",1)</f>
        <v/>
      </c>
      <c r="AA148" s="57"/>
      <c r="AB148" s="134"/>
      <c r="AC14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6010.4000000000015</v>
      </c>
      <c r="AE14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13.699999999999996</v>
      </c>
      <c r="AF14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866.17414426229504</v>
      </c>
      <c r="AH148" s="55"/>
      <c r="AI148" s="55"/>
      <c r="AJ148" s="55"/>
      <c r="AK148" s="101">
        <f t="shared" ca="1" si="34"/>
        <v>156523.6141442623</v>
      </c>
      <c r="AL148" s="129">
        <f t="array" ref="AL148">MAX((УслРестрактов[Характеристика]="Дата реструктуризации")*(УслРестрактов[Значение]=Первоначальный!$A148),0)</f>
        <v>0</v>
      </c>
    </row>
    <row r="149" spans="1:38" x14ac:dyDescent="0.25">
      <c r="A149" s="97">
        <f t="shared" si="27"/>
        <v>44280</v>
      </c>
      <c r="B149" s="100">
        <f t="shared" ca="1" si="28"/>
        <v>149633.34</v>
      </c>
      <c r="C149" s="55">
        <f t="shared" ca="1" si="24"/>
        <v>6010.4000000000015</v>
      </c>
      <c r="D149" s="55">
        <f t="shared" ca="1" si="24"/>
        <v>13.699999999999996</v>
      </c>
      <c r="E149" s="55">
        <f t="shared" ca="1" si="29"/>
        <v>0</v>
      </c>
      <c r="F149" s="55">
        <f t="shared" ca="1" si="30"/>
        <v>866.17414426229504</v>
      </c>
      <c r="G149" s="101">
        <f t="shared" ca="1" si="31"/>
        <v>156523.6141442623</v>
      </c>
      <c r="H149" s="100">
        <f ca="1">ROUND($B149*VLOOKUP($A149,$A$1:$B$10,2,1)/(365+IF(MOD(YEAR($A149),4),0,1)*($A149-$A148)),2)-Первоначальный[[#This Row],[Проценты на просроченный платеж по ОД за период]]</f>
        <v>81.039999999999992</v>
      </c>
      <c r="I149" s="55">
        <f t="shared" ca="1" si="32"/>
        <v>0.54</v>
      </c>
      <c r="J149" s="55">
        <v>0</v>
      </c>
      <c r="K149" s="55">
        <f t="shared" ca="1" si="35"/>
        <v>28.903503278688532</v>
      </c>
      <c r="L149" s="55">
        <v>0</v>
      </c>
      <c r="M149" s="113">
        <f>SUMIFS(График[Возврат основной суммы долга],График[Дата с учетом нерабочих дней],$A149)</f>
        <v>0</v>
      </c>
      <c r="N149" s="56">
        <f>SUMIFS(График[Возврат начисленных %],График[Дата с учетом нерабочих дней],$A149)</f>
        <v>0</v>
      </c>
      <c r="O149" s="101">
        <v>0</v>
      </c>
      <c r="P149" s="100" cm="1">
        <f t="array" aca="1" ref="P149" ca="1">MAX(IF(AA148="Да",0,SUM(INDIRECT("M"&amp;(MAX(("Да"=AA$12:AA148)*ROW(AA$12:AA148)+1,ROW($P$12))&amp;":M"&amp;(ROW()))))-SUM(INDIRECT("W"&amp;(MAX(("Да"=AA$12:AA148)*ROW(AA$12:AA148)+1,ROW($P$12))&amp;":W"&amp;(ROW()))))),0)</f>
        <v>986.38999999999942</v>
      </c>
      <c r="Q149" s="99">
        <f ca="1">MAX(SUM($N$13:N149)-SUM($T$13:T149),0)</f>
        <v>4794.3106557377068</v>
      </c>
      <c r="R149" s="99">
        <f ca="1">Первоначальный[[#This Row],[Просроченный платеж по ОД]]+Первоначальный[[#This Row],[Просроченный платеж по процентам]]</f>
        <v>5780.7006557377063</v>
      </c>
      <c r="S149" s="120">
        <f ca="1">IF(Первоначальный[[#This Row],[Просроченный платеж]]&lt;1,0,S148+1)</f>
        <v>45</v>
      </c>
      <c r="T149" s="100" cm="1">
        <f t="array" aca="1" ref="T149" ca="1">IF(Первоначальный[[#This Row],[Итого остаток на начало периода]]&lt;1,0,
IF(
AND(TYPE(VLOOKUP(1,$Z$12:Z149,1,0))=16,Первоначальный[[#This Row],[Досрочное погашение (да/"")]]=""),0,
_xlfn.IFS(AND(S148=0,Первоначальный[[#This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платеж]]&lt;&gt;0),MIN(LOOKUP(,-1/($Z$12:Z149=1),$C$12:C149)+LOOKUP(,-1/($Z$12:Z149=1),$H$12:H149),Первоначальный[[#This Row],[Полученный платеж]]+Y148),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платеж]]+Y148,SUM(Первоначальный[[#This Row],[Остаток процентов на начало периода]],Первоначальный[[#This Row],[Проценты за период]])),
AND(S148=0,Первоначальный[[#This Row],[Дата платежа из графика]]=""),0,
AND(S148=0,Первоначальный[[#This Row],[Дата платежа из графика]]=1,MAX((0&lt;&gt;S$12:S148)*ROW(S$12:S148),ROW($S$12))&gt;=MAX((1=Z$12:Z148)*ROW(Z$12:Z148),ROW($T$12)),TYPE(VLOOKUP("Да",(INDIRECT("AA"&amp;(MAX((1=Z$12:Z148)*ROW(Z$12:Z148),ROW($T$12))&amp;":AA"&amp;(ROW()-1)))),1,0))=16),MIN(LOOKUP(,-1/($Z$12:Z149=1),$C$12:C149)+LOOKUP(,-1/($Z$12:Z149=1),$H$12:H149),Первоначальный[[#This Row],[Полученный платеж]]+Y148),
AND(S148=0,TYPE(VLOOKUP("Да",(INDIRECT("AA"&amp;(MAX((1=Z$12:Z148)*ROW(Z$12:Z148),ROW($T$12))&amp;":AA"&amp;(ROW()-1)))),1,0))&lt;&gt;16),MIN(LOOKUP(,-1/($Z$12:Z149=1),$C$12:C149)+LOOKUP(,-1/($Z$12:Z149=1),$H$12:H149)-IF(AA148="Да",0,SUM(INDIRECT("T"&amp;(MAX(("Да"=AA$12:AA148)*ROW(AA$12:AA148)+1,ROW($T$12))&amp;":T"&amp;(ROW()-1))))),Первоначальный[[#This Row],[Полученный платеж]]+Y148),
AND(S148=0,MAX((0&lt;&gt;N$12:N148)*ROW(N$12:N148),ROW($S$12))&gt;=MAX((1=Z$12:Z148)*ROW(Z$12:Z148),ROW($T$12))),MIN(LOOKUP(,-1/($Z$12:Z149=1),$C$12:C149)+LOOKUP(,-1/($Z$12:Z149=1),$H$12:H149)-IF(N148&lt;&gt;0,0,SUM(INDIRECT("T"&amp;(MAX((0&lt;&gt;N$12:N148)*ROW(N$12:N148)+1,ROW($T$12))&amp;":T"&amp;(ROW()-1))))),Первоначальный[[#This Row],[Полученный платеж]]+Y148),
AND(S148=0,Первоначальный[[#This Row],[Дата платежа из графика]]=1),MIN(LOOKUP(,-1/($Z$12:Z149=1),$C$12:C149)+LOOKUP(,-1/($Z$12:Z149=1),$H$12:H149)-IF(Z148=1,0,SUM(INDIRECT("T"&amp;(MAX((1=Z$12:Z148)*ROW(Z$12:Z148)+1,ROW($T$12))&amp;":T"&amp;(ROW()-1))))),Первоначальный[[#This Row],[Полученный платеж]]+Y148),
AND(Z148&gt;0,Первоначальный[[#This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платеж]]+Y148),
AND(S148&gt;0,MAX((0&lt;&gt;S$12:S148)*ROW(S$12:S148),ROW($S$12))&gt;=MAX((1=Z$12:Z148)*ROW(Z$12:Z148),ROW($T$12)),TYPE(VLOOKUP("Да",(INDIRECT("AA"&amp;(MAX((1=Z$12:Z148)*ROW(Z$12:Z148),ROW($T$12))&amp;":AA"&amp;(ROW()-1)))),1,0))=16),MIN(LOOKUP(,-1/($Z$12:Z149=1),$C$12:C149)+LOOKUP(,-1/($Z$12:Z149=1),$H$12:H149)-SUM(INDIRECT("T"&amp;(MAX((1=Z$12:Z148)*ROW(Z$12:Z148),ROW($T$12))&amp;":T"&amp;(ROW()-1)))),Первоначальный[[#This Row],[Полученный платеж]]+Y148),
S148&gt;0,MIN(LOOKUP(,-1/($Z$12:Z149=1),$C$12:C149)+LOOKUP(,-1/($Z$12:Z149=1),$H$12:H149)-IF(Z148=1,0,SUM(INDIRECT("T"&amp;(MAX((1=Z$12:Z148)*ROW(Z$12:Z148)+1,ROW($T$12))&amp;":T"&amp;(ROW()-1))))),Первоначальный[[#This Row],[Полученный платеж]]+Y148)
)
)
)</f>
        <v>0</v>
      </c>
      <c r="U14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платеж]]+Y148-Первоначальный[[#This Row],[Полученный платёж по процентам]])</f>
        <v>0</v>
      </c>
      <c r="V149" s="55">
        <f t="shared" ca="1" si="25"/>
        <v>0</v>
      </c>
      <c r="W149" s="55" cm="1">
        <f t="array" aca="1" ref="W149" ca="1">IF(Первоначальный[[#This Row],[Итого остаток на начало периода]]&lt;1,0,
_xlfn.IFS(
AND(TYPE(VLOOKUP(1,$Z$12:Z149,1,0))=16,Первоначальный[[#This Row],[Досрочное погашение (да/"")]]=""),0,
AND(S148=0,Первоначальный[[#This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комиссиям]]),VLOOKUP(LOOKUP(,-1/($Z$12:Z149=1),$A$12:A149),График[[Срок конец]:[Возврат основной суммы долга]],3,0)),
AND(S148=0,Первоначальный[[#This Row],[Дата платежа из графика]]="",Первоначальный[[#This Row],[Досрочное погашение (да/"")]]&lt;&gt;"Да"),0,
AND(S148=0,Первоначальный[[#This Row],[Досрочное погашение (да/"")]]=""),MIN(Первоначальный[[#This Row],[Полученный платеж]]+Y148-SUM(Первоначальный[[#This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комиссиям]]),VLOOKUP(LOOKUP(,-1/($Z$12:Z149=1),$A$12:A149),График[[Срок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S148&gt;0,MIN(Первоначальный[[#This Row],[Полученный платеж]]+Y148-SUM(Первоначальный[[#This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комиссиям]]),SUM(INDIRECT("M"&amp;(MAX((1=S$12:S148)*ROW(S$12:S148),ROW($W$12))&amp;":M"&amp;(ROW()))))-SUM(INDIRECT("W"&amp;(MAX((1=S$12:S148)*ROW(S$12:S148),ROW($W$12))&amp;":W"&amp;(ROW()-1)))))
)
)</f>
        <v>0</v>
      </c>
      <c r="X149" s="55">
        <f t="shared" ca="1" si="26"/>
        <v>0</v>
      </c>
      <c r="Y149" s="101">
        <f t="shared" ca="1" si="33"/>
        <v>0</v>
      </c>
      <c r="Z149" s="133" t="str">
        <f>IF(TYPE((VLOOKUP(Первоначальный[[#This Row],[Дата платежа]],График[Срок конец],1,0)))=16,"",1)</f>
        <v/>
      </c>
      <c r="AA149" s="57"/>
      <c r="AB149" s="134"/>
      <c r="AC14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6091.4400000000014</v>
      </c>
      <c r="AE14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14.239999999999995</v>
      </c>
      <c r="AF14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895.07764754098355</v>
      </c>
      <c r="AH149" s="55"/>
      <c r="AI149" s="55"/>
      <c r="AJ149" s="55"/>
      <c r="AK149" s="101">
        <f t="shared" ca="1" si="34"/>
        <v>156634.09764754097</v>
      </c>
      <c r="AL149" s="129">
        <f t="array" ref="AL149">MAX((УслРестрактов[Характеристика]="Дата реструктуризации")*(УслРестрактов[Значение]=Первоначальный!$A149),0)</f>
        <v>0</v>
      </c>
    </row>
    <row r="150" spans="1:38" x14ac:dyDescent="0.25">
      <c r="A150" s="97">
        <f t="shared" si="27"/>
        <v>44281</v>
      </c>
      <c r="B150" s="100">
        <f t="shared" ca="1" si="28"/>
        <v>149633.34</v>
      </c>
      <c r="C150" s="55">
        <f t="shared" ca="1" si="24"/>
        <v>6091.4400000000014</v>
      </c>
      <c r="D150" s="55">
        <f t="shared" ca="1" si="24"/>
        <v>14.239999999999995</v>
      </c>
      <c r="E150" s="55">
        <f t="shared" ca="1" si="29"/>
        <v>0</v>
      </c>
      <c r="F150" s="55">
        <f t="shared" ca="1" si="30"/>
        <v>895.07764754098355</v>
      </c>
      <c r="G150" s="101">
        <f t="shared" ca="1" si="31"/>
        <v>156634.09764754097</v>
      </c>
      <c r="H150" s="100">
        <f ca="1">ROUND($B150*VLOOKUP($A150,$A$1:$B$10,2,1)/(365+IF(MOD(YEAR($A150),4),0,1)*($A150-$A149)),2)-Первоначальный[[#This Row],[Проценты на просроченный платеж по ОД за период]]</f>
        <v>81.039999999999992</v>
      </c>
      <c r="I150" s="55">
        <f t="shared" ca="1" si="32"/>
        <v>0.54</v>
      </c>
      <c r="J150" s="55">
        <v>0</v>
      </c>
      <c r="K150" s="55">
        <f t="shared" ca="1" si="35"/>
        <v>28.903503278688532</v>
      </c>
      <c r="L150" s="55">
        <v>0</v>
      </c>
      <c r="M150" s="113">
        <f>SUMIFS(График[Возврат основной суммы долга],График[Дата с учетом нерабочих дней],$A150)</f>
        <v>0</v>
      </c>
      <c r="N150" s="56">
        <f>SUMIFS(График[Возврат начисленных %],График[Дата с учетом нерабочих дней],$A150)</f>
        <v>0</v>
      </c>
      <c r="O150" s="101">
        <v>0</v>
      </c>
      <c r="P150" s="100" cm="1">
        <f t="array" aca="1" ref="P150" ca="1">MAX(IF(AA149="Да",0,SUM(INDIRECT("M"&amp;(MAX(("Да"=AA$12:AA149)*ROW(AA$12:AA149)+1,ROW($P$12))&amp;":M"&amp;(ROW()))))-SUM(INDIRECT("W"&amp;(MAX(("Да"=AA$12:AA149)*ROW(AA$12:AA149)+1,ROW($P$12))&amp;":W"&amp;(ROW()))))),0)</f>
        <v>986.38999999999942</v>
      </c>
      <c r="Q150" s="99">
        <f ca="1">MAX(SUM($N$13:N150)-SUM($T$13:T150),0)</f>
        <v>4794.3106557377068</v>
      </c>
      <c r="R150" s="99">
        <f ca="1">Первоначальный[[#This Row],[Просроченный платеж по ОД]]+Первоначальный[[#This Row],[Просроченный платеж по процентам]]</f>
        <v>5780.7006557377063</v>
      </c>
      <c r="S150" s="120">
        <f ca="1">IF(Первоначальный[[#This Row],[Просроченный платеж]]&lt;1,0,S149+1)</f>
        <v>46</v>
      </c>
      <c r="T150" s="100" cm="1">
        <f t="array" aca="1" ref="T150" ca="1">IF(Первоначальный[[#This Row],[Итого остаток на начало периода]]&lt;1,0,
IF(
AND(TYPE(VLOOKUP(1,$Z$12:Z150,1,0))=16,Первоначальный[[#This Row],[Досрочное погашение (да/"")]]=""),0,
_xlfn.IFS(AND(S149=0,Первоначальный[[#This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платеж]]&lt;&gt;0),MIN(LOOKUP(,-1/($Z$12:Z150=1),$C$12:C150)+LOOKUP(,-1/($Z$12:Z150=1),$H$12:H150),Первоначальный[[#This Row],[Полученный платеж]]+Y149),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платеж]]+Y149,SUM(Первоначальный[[#This Row],[Остаток процентов на начало периода]],Первоначальный[[#This Row],[Проценты за период]])),
AND(S149=0,Первоначальный[[#This Row],[Дата платежа из графика]]=""),0,
AND(S149=0,Первоначальный[[#This Row],[Дата платежа из графика]]=1,MAX((0&lt;&gt;S$12:S149)*ROW(S$12:S149),ROW($S$12))&gt;=MAX((1=Z$12:Z149)*ROW(Z$12:Z149),ROW($T$12)),TYPE(VLOOKUP("Да",(INDIRECT("AA"&amp;(MAX((1=Z$12:Z149)*ROW(Z$12:Z149),ROW($T$12))&amp;":AA"&amp;(ROW()-1)))),1,0))=16),MIN(LOOKUP(,-1/($Z$12:Z150=1),$C$12:C150)+LOOKUP(,-1/($Z$12:Z150=1),$H$12:H150),Первоначальный[[#This Row],[Полученный платеж]]+Y149),
AND(S149=0,TYPE(VLOOKUP("Да",(INDIRECT("AA"&amp;(MAX((1=Z$12:Z149)*ROW(Z$12:Z149),ROW($T$12))&amp;":AA"&amp;(ROW()-1)))),1,0))&lt;&gt;16),MIN(LOOKUP(,-1/($Z$12:Z150=1),$C$12:C150)+LOOKUP(,-1/($Z$12:Z150=1),$H$12:H150)-IF(AA149="Да",0,SUM(INDIRECT("T"&amp;(MAX(("Да"=AA$12:AA149)*ROW(AA$12:AA149)+1,ROW($T$12))&amp;":T"&amp;(ROW()-1))))),Первоначальный[[#This Row],[Полученный платеж]]+Y149),
AND(S149=0,MAX((0&lt;&gt;N$12:N149)*ROW(N$12:N149),ROW($S$12))&gt;=MAX((1=Z$12:Z149)*ROW(Z$12:Z149),ROW($T$12))),MIN(LOOKUP(,-1/($Z$12:Z150=1),$C$12:C150)+LOOKUP(,-1/($Z$12:Z150=1),$H$12:H150)-IF(N149&lt;&gt;0,0,SUM(INDIRECT("T"&amp;(MAX((0&lt;&gt;N$12:N149)*ROW(N$12:N149)+1,ROW($T$12))&amp;":T"&amp;(ROW()-1))))),Первоначальный[[#This Row],[Полученный платеж]]+Y149),
AND(S149=0,Первоначальный[[#This Row],[Дата платежа из графика]]=1),MIN(LOOKUP(,-1/($Z$12:Z150=1),$C$12:C150)+LOOKUP(,-1/($Z$12:Z150=1),$H$12:H150)-IF(Z149=1,0,SUM(INDIRECT("T"&amp;(MAX((1=Z$12:Z149)*ROW(Z$12:Z149)+1,ROW($T$12))&amp;":T"&amp;(ROW()-1))))),Первоначальный[[#This Row],[Полученный платеж]]+Y149),
AND(Z149&gt;0,Первоначальный[[#This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платеж]]+Y149),
AND(S149&gt;0,MAX((0&lt;&gt;S$12:S149)*ROW(S$12:S149),ROW($S$12))&gt;=MAX((1=Z$12:Z149)*ROW(Z$12:Z149),ROW($T$12)),TYPE(VLOOKUP("Да",(INDIRECT("AA"&amp;(MAX((1=Z$12:Z149)*ROW(Z$12:Z149),ROW($T$12))&amp;":AA"&amp;(ROW()-1)))),1,0))=16),MIN(LOOKUP(,-1/($Z$12:Z150=1),$C$12:C150)+LOOKUP(,-1/($Z$12:Z150=1),$H$12:H150)-SUM(INDIRECT("T"&amp;(MAX((1=Z$12:Z149)*ROW(Z$12:Z149),ROW($T$12))&amp;":T"&amp;(ROW()-1)))),Первоначальный[[#This Row],[Полученный платеж]]+Y149),
S149&gt;0,MIN(LOOKUP(,-1/($Z$12:Z150=1),$C$12:C150)+LOOKUP(,-1/($Z$12:Z150=1),$H$12:H150)-IF(Z149=1,0,SUM(INDIRECT("T"&amp;(MAX((1=Z$12:Z149)*ROW(Z$12:Z149)+1,ROW($T$12))&amp;":T"&amp;(ROW()-1))))),Первоначальный[[#This Row],[Полученный платеж]]+Y149)
)
)
)</f>
        <v>0</v>
      </c>
      <c r="U15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платеж]]+Y149-Первоначальный[[#This Row],[Полученный платёж по процентам]])</f>
        <v>0</v>
      </c>
      <c r="V150" s="55">
        <f t="shared" ca="1" si="25"/>
        <v>0</v>
      </c>
      <c r="W150" s="55" cm="1">
        <f t="array" aca="1" ref="W150" ca="1">IF(Первоначальный[[#This Row],[Итого остаток на начало периода]]&lt;1,0,
_xlfn.IFS(
AND(TYPE(VLOOKUP(1,$Z$12:Z150,1,0))=16,Первоначальный[[#This Row],[Досрочное погашение (да/"")]]=""),0,
AND(S149=0,Первоначальный[[#This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комиссиям]]),VLOOKUP(LOOKUP(,-1/($Z$12:Z150=1),$A$12:A150),График[[Срок конец]:[Возврат основной суммы долга]],3,0)),
AND(S149=0,Первоначальный[[#This Row],[Дата платежа из графика]]="",Первоначальный[[#This Row],[Досрочное погашение (да/"")]]&lt;&gt;"Да"),0,
AND(S149=0,Первоначальный[[#This Row],[Досрочное погашение (да/"")]]=""),MIN(Первоначальный[[#This Row],[Полученный платеж]]+Y149-SUM(Первоначальный[[#This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комиссиям]]),VLOOKUP(LOOKUP(,-1/($Z$12:Z150=1),$A$12:A150),График[[Срок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S149&gt;0,MIN(Первоначальный[[#This Row],[Полученный платеж]]+Y149-SUM(Первоначальный[[#This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комиссиям]]),SUM(INDIRECT("M"&amp;(MAX((1=S$12:S149)*ROW(S$12:S149),ROW($W$12))&amp;":M"&amp;(ROW()))))-SUM(INDIRECT("W"&amp;(MAX((1=S$12:S149)*ROW(S$12:S149),ROW($W$12))&amp;":W"&amp;(ROW()-1)))))
)
)</f>
        <v>0</v>
      </c>
      <c r="X150" s="55">
        <f t="shared" ca="1" si="26"/>
        <v>0</v>
      </c>
      <c r="Y150" s="101">
        <f t="shared" ca="1" si="33"/>
        <v>0</v>
      </c>
      <c r="Z150" s="133" t="str">
        <f>IF(TYPE((VLOOKUP(Первоначальный[[#This Row],[Дата платежа]],График[Срок конец],1,0)))=16,"",1)</f>
        <v/>
      </c>
      <c r="AA150" s="57"/>
      <c r="AB150" s="134"/>
      <c r="AC15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6172.4800000000014</v>
      </c>
      <c r="AE15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14.779999999999994</v>
      </c>
      <c r="AF15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923.98115081967205</v>
      </c>
      <c r="AH150" s="55"/>
      <c r="AI150" s="55"/>
      <c r="AJ150" s="55"/>
      <c r="AK150" s="101">
        <f t="shared" ca="1" si="34"/>
        <v>156744.58115081966</v>
      </c>
      <c r="AL150" s="129">
        <f t="array" ref="AL150">MAX((УслРестрактов[Характеристика]="Дата реструктуризации")*(УслРестрактов[Значение]=Первоначальный!$A150),0)</f>
        <v>0</v>
      </c>
    </row>
    <row r="151" spans="1:38" x14ac:dyDescent="0.25">
      <c r="A151" s="97">
        <f t="shared" si="27"/>
        <v>44282</v>
      </c>
      <c r="B151" s="100">
        <f t="shared" ca="1" si="28"/>
        <v>149633.34</v>
      </c>
      <c r="C151" s="55">
        <f t="shared" ca="1" si="24"/>
        <v>6172.4800000000014</v>
      </c>
      <c r="D151" s="55">
        <f t="shared" ca="1" si="24"/>
        <v>14.779999999999994</v>
      </c>
      <c r="E151" s="55">
        <f t="shared" ca="1" si="29"/>
        <v>0</v>
      </c>
      <c r="F151" s="55">
        <f t="shared" ca="1" si="30"/>
        <v>923.98115081967205</v>
      </c>
      <c r="G151" s="101">
        <f t="shared" ca="1" si="31"/>
        <v>156744.58115081966</v>
      </c>
      <c r="H151" s="100">
        <f ca="1">ROUND($B151*VLOOKUP($A151,$A$1:$B$10,2,1)/(365+IF(MOD(YEAR($A151),4),0,1)*($A151-$A150)),2)-Первоначальный[[#This Row],[Проценты на просроченный платеж по ОД за период]]</f>
        <v>81.039999999999992</v>
      </c>
      <c r="I151" s="55">
        <f t="shared" ca="1" si="32"/>
        <v>0.54</v>
      </c>
      <c r="J151" s="55">
        <v>0</v>
      </c>
      <c r="K151" s="55">
        <f t="shared" ca="1" si="35"/>
        <v>28.903503278688532</v>
      </c>
      <c r="L151" s="55">
        <v>0</v>
      </c>
      <c r="M151" s="113">
        <f>SUMIFS(График[Возврат основной суммы долга],График[Дата с учетом нерабочих дней],$A151)</f>
        <v>0</v>
      </c>
      <c r="N151" s="56">
        <f>SUMIFS(График[Возврат начисленных %],График[Дата с учетом нерабочих дней],$A151)</f>
        <v>0</v>
      </c>
      <c r="O151" s="101">
        <v>0</v>
      </c>
      <c r="P151" s="100" cm="1">
        <f t="array" aca="1" ref="P151" ca="1">MAX(IF(AA150="Да",0,SUM(INDIRECT("M"&amp;(MAX(("Да"=AA$12:AA150)*ROW(AA$12:AA150)+1,ROW($P$12))&amp;":M"&amp;(ROW()))))-SUM(INDIRECT("W"&amp;(MAX(("Да"=AA$12:AA150)*ROW(AA$12:AA150)+1,ROW($P$12))&amp;":W"&amp;(ROW()))))),0)</f>
        <v>986.38999999999942</v>
      </c>
      <c r="Q151" s="99">
        <f ca="1">MAX(SUM($N$13:N151)-SUM($T$13:T151),0)</f>
        <v>4794.3106557377068</v>
      </c>
      <c r="R151" s="99">
        <f ca="1">Первоначальный[[#This Row],[Просроченный платеж по ОД]]+Первоначальный[[#This Row],[Просроченный платеж по процентам]]</f>
        <v>5780.7006557377063</v>
      </c>
      <c r="S151" s="120">
        <f ca="1">IF(Первоначальный[[#This Row],[Просроченный платеж]]&lt;1,0,S150+1)</f>
        <v>47</v>
      </c>
      <c r="T151" s="100" cm="1">
        <f t="array" aca="1" ref="T151" ca="1">IF(Первоначальный[[#This Row],[Итого остаток на начало периода]]&lt;1,0,
IF(
AND(TYPE(VLOOKUP(1,$Z$12:Z151,1,0))=16,Первоначальный[[#This Row],[Досрочное погашение (да/"")]]=""),0,
_xlfn.IFS(AND(S150=0,Первоначальный[[#This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платеж]]&lt;&gt;0),MIN(LOOKUP(,-1/($Z$12:Z151=1),$C$12:C151)+LOOKUP(,-1/($Z$12:Z151=1),$H$12:H151),Первоначальный[[#This Row],[Полученный платеж]]+Y150),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платеж]]+Y150,SUM(Первоначальный[[#This Row],[Остаток процентов на начало периода]],Первоначальный[[#This Row],[Проценты за период]])),
AND(S150=0,Первоначальный[[#This Row],[Дата платежа из графика]]=""),0,
AND(S150=0,Первоначальный[[#This Row],[Дата платежа из графика]]=1,MAX((0&lt;&gt;S$12:S150)*ROW(S$12:S150),ROW($S$12))&gt;=MAX((1=Z$12:Z150)*ROW(Z$12:Z150),ROW($T$12)),TYPE(VLOOKUP("Да",(INDIRECT("AA"&amp;(MAX((1=Z$12:Z150)*ROW(Z$12:Z150),ROW($T$12))&amp;":AA"&amp;(ROW()-1)))),1,0))=16),MIN(LOOKUP(,-1/($Z$12:Z151=1),$C$12:C151)+LOOKUP(,-1/($Z$12:Z151=1),$H$12:H151),Первоначальный[[#This Row],[Полученный платеж]]+Y150),
AND(S150=0,TYPE(VLOOKUP("Да",(INDIRECT("AA"&amp;(MAX((1=Z$12:Z150)*ROW(Z$12:Z150),ROW($T$12))&amp;":AA"&amp;(ROW()-1)))),1,0))&lt;&gt;16),MIN(LOOKUP(,-1/($Z$12:Z151=1),$C$12:C151)+LOOKUP(,-1/($Z$12:Z151=1),$H$12:H151)-IF(AA150="Да",0,SUM(INDIRECT("T"&amp;(MAX(("Да"=AA$12:AA150)*ROW(AA$12:AA150)+1,ROW($T$12))&amp;":T"&amp;(ROW()-1))))),Первоначальный[[#This Row],[Полученный платеж]]+Y150),
AND(S150=0,MAX((0&lt;&gt;N$12:N150)*ROW(N$12:N150),ROW($S$12))&gt;=MAX((1=Z$12:Z150)*ROW(Z$12:Z150),ROW($T$12))),MIN(LOOKUP(,-1/($Z$12:Z151=1),$C$12:C151)+LOOKUP(,-1/($Z$12:Z151=1),$H$12:H151)-IF(N150&lt;&gt;0,0,SUM(INDIRECT("T"&amp;(MAX((0&lt;&gt;N$12:N150)*ROW(N$12:N150)+1,ROW($T$12))&amp;":T"&amp;(ROW()-1))))),Первоначальный[[#This Row],[Полученный платеж]]+Y150),
AND(S150=0,Первоначальный[[#This Row],[Дата платежа из графика]]=1),MIN(LOOKUP(,-1/($Z$12:Z151=1),$C$12:C151)+LOOKUP(,-1/($Z$12:Z151=1),$H$12:H151)-IF(Z150=1,0,SUM(INDIRECT("T"&amp;(MAX((1=Z$12:Z150)*ROW(Z$12:Z150)+1,ROW($T$12))&amp;":T"&amp;(ROW()-1))))),Первоначальный[[#This Row],[Полученный платеж]]+Y150),
AND(Z150&gt;0,Первоначальный[[#This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платеж]]+Y150),
AND(S150&gt;0,MAX((0&lt;&gt;S$12:S150)*ROW(S$12:S150),ROW($S$12))&gt;=MAX((1=Z$12:Z150)*ROW(Z$12:Z150),ROW($T$12)),TYPE(VLOOKUP("Да",(INDIRECT("AA"&amp;(MAX((1=Z$12:Z150)*ROW(Z$12:Z150),ROW($T$12))&amp;":AA"&amp;(ROW()-1)))),1,0))=16),MIN(LOOKUP(,-1/($Z$12:Z151=1),$C$12:C151)+LOOKUP(,-1/($Z$12:Z151=1),$H$12:H151)-SUM(INDIRECT("T"&amp;(MAX((1=Z$12:Z150)*ROW(Z$12:Z150),ROW($T$12))&amp;":T"&amp;(ROW()-1)))),Первоначальный[[#This Row],[Полученный платеж]]+Y150),
S150&gt;0,MIN(LOOKUP(,-1/($Z$12:Z151=1),$C$12:C151)+LOOKUP(,-1/($Z$12:Z151=1),$H$12:H151)-IF(Z150=1,0,SUM(INDIRECT("T"&amp;(MAX((1=Z$12:Z150)*ROW(Z$12:Z150)+1,ROW($T$12))&amp;":T"&amp;(ROW()-1))))),Первоначальный[[#This Row],[Полученный платеж]]+Y150)
)
)
)</f>
        <v>0</v>
      </c>
      <c r="U15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платеж]]+Y150-Первоначальный[[#This Row],[Полученный платёж по процентам]])</f>
        <v>0</v>
      </c>
      <c r="V151" s="55">
        <f t="shared" ca="1" si="25"/>
        <v>0</v>
      </c>
      <c r="W151" s="55" cm="1">
        <f t="array" aca="1" ref="W151" ca="1">IF(Первоначальный[[#This Row],[Итого остаток на начало периода]]&lt;1,0,
_xlfn.IFS(
AND(TYPE(VLOOKUP(1,$Z$12:Z151,1,0))=16,Первоначальный[[#This Row],[Досрочное погашение (да/"")]]=""),0,
AND(S150=0,Первоначальный[[#This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комиссиям]]),VLOOKUP(LOOKUP(,-1/($Z$12:Z151=1),$A$12:A151),График[[Срок конец]:[Возврат основной суммы долга]],3,0)),
AND(S150=0,Первоначальный[[#This Row],[Дата платежа из графика]]="",Первоначальный[[#This Row],[Досрочное погашение (да/"")]]&lt;&gt;"Да"),0,
AND(S150=0,Первоначальный[[#This Row],[Досрочное погашение (да/"")]]=""),MIN(Первоначальный[[#This Row],[Полученный платеж]]+Y150-SUM(Первоначальный[[#This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комиссиям]]),VLOOKUP(LOOKUP(,-1/($Z$12:Z151=1),$A$12:A151),График[[Срок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S150&gt;0,MIN(Первоначальный[[#This Row],[Полученный платеж]]+Y150-SUM(Первоначальный[[#This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комиссиям]]),SUM(INDIRECT("M"&amp;(MAX((1=S$12:S150)*ROW(S$12:S150),ROW($W$12))&amp;":M"&amp;(ROW()))))-SUM(INDIRECT("W"&amp;(MAX((1=S$12:S150)*ROW(S$12:S150),ROW($W$12))&amp;":W"&amp;(ROW()-1)))))
)
)</f>
        <v>0</v>
      </c>
      <c r="X151" s="55">
        <f t="shared" ca="1" si="26"/>
        <v>0</v>
      </c>
      <c r="Y151" s="101">
        <f t="shared" ca="1" si="33"/>
        <v>0</v>
      </c>
      <c r="Z151" s="133" t="str">
        <f>IF(TYPE((VLOOKUP(Первоначальный[[#This Row],[Дата платежа]],График[Срок конец],1,0)))=16,"",1)</f>
        <v/>
      </c>
      <c r="AA151" s="57"/>
      <c r="AB151" s="134"/>
      <c r="AC15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6253.5200000000013</v>
      </c>
      <c r="AE15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15.319999999999993</v>
      </c>
      <c r="AF15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952.88465409836056</v>
      </c>
      <c r="AH151" s="55"/>
      <c r="AI151" s="55"/>
      <c r="AJ151" s="55"/>
      <c r="AK151" s="101">
        <f t="shared" ca="1" si="34"/>
        <v>156855.06465409836</v>
      </c>
      <c r="AL151" s="129">
        <f t="array" ref="AL151">MAX((УслРестрактов[Характеристика]="Дата реструктуризации")*(УслРестрактов[Значение]=Первоначальный!$A151),0)</f>
        <v>0</v>
      </c>
    </row>
    <row r="152" spans="1:38" x14ac:dyDescent="0.25">
      <c r="A152" s="97">
        <f t="shared" si="27"/>
        <v>44283</v>
      </c>
      <c r="B152" s="100">
        <f t="shared" ca="1" si="28"/>
        <v>149633.34</v>
      </c>
      <c r="C152" s="55">
        <f t="shared" ca="1" si="24"/>
        <v>6253.5200000000013</v>
      </c>
      <c r="D152" s="55">
        <f t="shared" ca="1" si="24"/>
        <v>15.319999999999993</v>
      </c>
      <c r="E152" s="55">
        <f t="shared" ca="1" si="29"/>
        <v>0</v>
      </c>
      <c r="F152" s="55">
        <f t="shared" ca="1" si="30"/>
        <v>952.88465409836056</v>
      </c>
      <c r="G152" s="101">
        <f t="shared" ca="1" si="31"/>
        <v>156855.06465409836</v>
      </c>
      <c r="H152" s="100">
        <f ca="1">ROUND($B152*VLOOKUP($A152,$A$1:$B$10,2,1)/(365+IF(MOD(YEAR($A152),4),0,1)*($A152-$A151)),2)-Первоначальный[[#This Row],[Проценты на просроченный платеж по ОД за период]]</f>
        <v>81.039999999999992</v>
      </c>
      <c r="I152" s="55">
        <f t="shared" ca="1" si="32"/>
        <v>0.54</v>
      </c>
      <c r="J152" s="55">
        <v>0</v>
      </c>
      <c r="K152" s="55">
        <f t="shared" ca="1" si="35"/>
        <v>28.903503278688532</v>
      </c>
      <c r="L152" s="55">
        <v>0</v>
      </c>
      <c r="M152" s="113">
        <f>SUMIFS(График[Возврат основной суммы долга],График[Дата с учетом нерабочих дней],$A152)</f>
        <v>0</v>
      </c>
      <c r="N152" s="56">
        <f>SUMIFS(График[Возврат начисленных %],График[Дата с учетом нерабочих дней],$A152)</f>
        <v>0</v>
      </c>
      <c r="O152" s="101">
        <v>0</v>
      </c>
      <c r="P152" s="100" cm="1">
        <f t="array" aca="1" ref="P152" ca="1">MAX(IF(AA151="Да",0,SUM(INDIRECT("M"&amp;(MAX(("Да"=AA$12:AA151)*ROW(AA$12:AA151)+1,ROW($P$12))&amp;":M"&amp;(ROW()))))-SUM(INDIRECT("W"&amp;(MAX(("Да"=AA$12:AA151)*ROW(AA$12:AA151)+1,ROW($P$12))&amp;":W"&amp;(ROW()))))),0)</f>
        <v>986.38999999999942</v>
      </c>
      <c r="Q152" s="99">
        <f ca="1">MAX(SUM($N$13:N152)-SUM($T$13:T152),0)</f>
        <v>4794.3106557377068</v>
      </c>
      <c r="R152" s="99">
        <f ca="1">Первоначальный[[#This Row],[Просроченный платеж по ОД]]+Первоначальный[[#This Row],[Просроченный платеж по процентам]]</f>
        <v>5780.7006557377063</v>
      </c>
      <c r="S152" s="120">
        <f ca="1">IF(Первоначальный[[#This Row],[Просроченный платеж]]&lt;1,0,S151+1)</f>
        <v>48</v>
      </c>
      <c r="T152" s="100" cm="1">
        <f t="array" aca="1" ref="T152" ca="1">IF(Первоначальный[[#This Row],[Итого остаток на начало периода]]&lt;1,0,
IF(
AND(TYPE(VLOOKUP(1,$Z$12:Z152,1,0))=16,Первоначальный[[#This Row],[Досрочное погашение (да/"")]]=""),0,
_xlfn.IFS(AND(S151=0,Первоначальный[[#This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платеж]]&lt;&gt;0),MIN(LOOKUP(,-1/($Z$12:Z152=1),$C$12:C152)+LOOKUP(,-1/($Z$12:Z152=1),$H$12:H152),Первоначальный[[#This Row],[Полученный платеж]]+Y151),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платеж]]+Y151,SUM(Первоначальный[[#This Row],[Остаток процентов на начало периода]],Первоначальный[[#This Row],[Проценты за период]])),
AND(S151=0,Первоначальный[[#This Row],[Дата платежа из графика]]=""),0,
AND(S151=0,Первоначальный[[#This Row],[Дата платежа из графика]]=1,MAX((0&lt;&gt;S$12:S151)*ROW(S$12:S151),ROW($S$12))&gt;=MAX((1=Z$12:Z151)*ROW(Z$12:Z151),ROW($T$12)),TYPE(VLOOKUP("Да",(INDIRECT("AA"&amp;(MAX((1=Z$12:Z151)*ROW(Z$12:Z151),ROW($T$12))&amp;":AA"&amp;(ROW()-1)))),1,0))=16),MIN(LOOKUP(,-1/($Z$12:Z152=1),$C$12:C152)+LOOKUP(,-1/($Z$12:Z152=1),$H$12:H152),Первоначальный[[#This Row],[Полученный платеж]]+Y151),
AND(S151=0,TYPE(VLOOKUP("Да",(INDIRECT("AA"&amp;(MAX((1=Z$12:Z151)*ROW(Z$12:Z151),ROW($T$12))&amp;":AA"&amp;(ROW()-1)))),1,0))&lt;&gt;16),MIN(LOOKUP(,-1/($Z$12:Z152=1),$C$12:C152)+LOOKUP(,-1/($Z$12:Z152=1),$H$12:H152)-IF(AA151="Да",0,SUM(INDIRECT("T"&amp;(MAX(("Да"=AA$12:AA151)*ROW(AA$12:AA151)+1,ROW($T$12))&amp;":T"&amp;(ROW()-1))))),Первоначальный[[#This Row],[Полученный платеж]]+Y151),
AND(S151=0,MAX((0&lt;&gt;N$12:N151)*ROW(N$12:N151),ROW($S$12))&gt;=MAX((1=Z$12:Z151)*ROW(Z$12:Z151),ROW($T$12))),MIN(LOOKUP(,-1/($Z$12:Z152=1),$C$12:C152)+LOOKUP(,-1/($Z$12:Z152=1),$H$12:H152)-IF(N151&lt;&gt;0,0,SUM(INDIRECT("T"&amp;(MAX((0&lt;&gt;N$12:N151)*ROW(N$12:N151)+1,ROW($T$12))&amp;":T"&amp;(ROW()-1))))),Первоначальный[[#This Row],[Полученный платеж]]+Y151),
AND(S151=0,Первоначальный[[#This Row],[Дата платежа из графика]]=1),MIN(LOOKUP(,-1/($Z$12:Z152=1),$C$12:C152)+LOOKUP(,-1/($Z$12:Z152=1),$H$12:H152)-IF(Z151=1,0,SUM(INDIRECT("T"&amp;(MAX((1=Z$12:Z151)*ROW(Z$12:Z151)+1,ROW($T$12))&amp;":T"&amp;(ROW()-1))))),Первоначальный[[#This Row],[Полученный платеж]]+Y151),
AND(Z151&gt;0,Первоначальный[[#This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платеж]]+Y151),
AND(S151&gt;0,MAX((0&lt;&gt;S$12:S151)*ROW(S$12:S151),ROW($S$12))&gt;=MAX((1=Z$12:Z151)*ROW(Z$12:Z151),ROW($T$12)),TYPE(VLOOKUP("Да",(INDIRECT("AA"&amp;(MAX((1=Z$12:Z151)*ROW(Z$12:Z151),ROW($T$12))&amp;":AA"&amp;(ROW()-1)))),1,0))=16),MIN(LOOKUP(,-1/($Z$12:Z152=1),$C$12:C152)+LOOKUP(,-1/($Z$12:Z152=1),$H$12:H152)-SUM(INDIRECT("T"&amp;(MAX((1=Z$12:Z151)*ROW(Z$12:Z151),ROW($T$12))&amp;":T"&amp;(ROW()-1)))),Первоначальный[[#This Row],[Полученный платеж]]+Y151),
S151&gt;0,MIN(LOOKUP(,-1/($Z$12:Z152=1),$C$12:C152)+LOOKUP(,-1/($Z$12:Z152=1),$H$12:H152)-IF(Z151=1,0,SUM(INDIRECT("T"&amp;(MAX((1=Z$12:Z151)*ROW(Z$12:Z151)+1,ROW($T$12))&amp;":T"&amp;(ROW()-1))))),Первоначальный[[#This Row],[Полученный платеж]]+Y151)
)
)
)</f>
        <v>0</v>
      </c>
      <c r="U15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платеж]]+Y151-Первоначальный[[#This Row],[Полученный платёж по процентам]])</f>
        <v>0</v>
      </c>
      <c r="V152" s="55">
        <f t="shared" ca="1" si="25"/>
        <v>0</v>
      </c>
      <c r="W152" s="55" cm="1">
        <f t="array" aca="1" ref="W152" ca="1">IF(Первоначальный[[#This Row],[Итого остаток на начало периода]]&lt;1,0,
_xlfn.IFS(
AND(TYPE(VLOOKUP(1,$Z$12:Z152,1,0))=16,Первоначальный[[#This Row],[Досрочное погашение (да/"")]]=""),0,
AND(S151=0,Первоначальный[[#This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комиссиям]]),VLOOKUP(LOOKUP(,-1/($Z$12:Z152=1),$A$12:A152),График[[Срок конец]:[Возврат основной суммы долга]],3,0)),
AND(S151=0,Первоначальный[[#This Row],[Дата платежа из графика]]="",Первоначальный[[#This Row],[Досрочное погашение (да/"")]]&lt;&gt;"Да"),0,
AND(S151=0,Первоначальный[[#This Row],[Досрочное погашение (да/"")]]=""),MIN(Первоначальный[[#This Row],[Полученный платеж]]+Y151-SUM(Первоначальный[[#This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комиссиям]]),VLOOKUP(LOOKUP(,-1/($Z$12:Z152=1),$A$12:A152),График[[Срок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S151&gt;0,MIN(Первоначальный[[#This Row],[Полученный платеж]]+Y151-SUM(Первоначальный[[#This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комиссиям]]),SUM(INDIRECT("M"&amp;(MAX((1=S$12:S151)*ROW(S$12:S151),ROW($W$12))&amp;":M"&amp;(ROW()))))-SUM(INDIRECT("W"&amp;(MAX((1=S$12:S151)*ROW(S$12:S151),ROW($W$12))&amp;":W"&amp;(ROW()-1)))))
)
)</f>
        <v>0</v>
      </c>
      <c r="X152" s="55">
        <f t="shared" ca="1" si="26"/>
        <v>0</v>
      </c>
      <c r="Y152" s="101">
        <f t="shared" ca="1" si="33"/>
        <v>0</v>
      </c>
      <c r="Z152" s="133" t="str">
        <f>IF(TYPE((VLOOKUP(Первоначальный[[#This Row],[Дата платежа]],График[Срок конец],1,0)))=16,"",1)</f>
        <v/>
      </c>
      <c r="AA152" s="57"/>
      <c r="AB152" s="134"/>
      <c r="AC15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6334.5600000000013</v>
      </c>
      <c r="AE15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15.859999999999992</v>
      </c>
      <c r="AF15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981.78815737704906</v>
      </c>
      <c r="AH152" s="55"/>
      <c r="AI152" s="55"/>
      <c r="AJ152" s="55"/>
      <c r="AK152" s="101">
        <f t="shared" ca="1" si="34"/>
        <v>156965.54815737702</v>
      </c>
      <c r="AL152" s="129">
        <f t="array" ref="AL152">MAX((УслРестрактов[Характеристика]="Дата реструктуризации")*(УслРестрактов[Значение]=Первоначальный!$A152),0)</f>
        <v>0</v>
      </c>
    </row>
    <row r="153" spans="1:38" x14ac:dyDescent="0.25">
      <c r="A153" s="97">
        <f t="shared" si="27"/>
        <v>44284</v>
      </c>
      <c r="B153" s="100">
        <f t="shared" ca="1" si="28"/>
        <v>149633.34</v>
      </c>
      <c r="C153" s="55">
        <f t="shared" ca="1" si="24"/>
        <v>6334.5600000000013</v>
      </c>
      <c r="D153" s="55">
        <f t="shared" ca="1" si="24"/>
        <v>15.859999999999992</v>
      </c>
      <c r="E153" s="55">
        <f t="shared" ca="1" si="29"/>
        <v>0</v>
      </c>
      <c r="F153" s="55">
        <f t="shared" ca="1" si="30"/>
        <v>981.78815737704906</v>
      </c>
      <c r="G153" s="101">
        <f t="shared" ca="1" si="31"/>
        <v>156965.54815737702</v>
      </c>
      <c r="H153" s="100">
        <f ca="1">ROUND($B153*VLOOKUP($A153,$A$1:$B$10,2,1)/(365+IF(MOD(YEAR($A153),4),0,1)*($A153-$A152)),2)-Первоначальный[[#This Row],[Проценты на просроченный платеж по ОД за период]]</f>
        <v>81.039999999999992</v>
      </c>
      <c r="I153" s="55">
        <f t="shared" ca="1" si="32"/>
        <v>0.54</v>
      </c>
      <c r="J153" s="55">
        <v>0</v>
      </c>
      <c r="K153" s="55">
        <f t="shared" ca="1" si="35"/>
        <v>28.903503278688532</v>
      </c>
      <c r="L153" s="55">
        <v>0</v>
      </c>
      <c r="M153" s="113">
        <f>SUMIFS(График[Возврат основной суммы долга],График[Дата с учетом нерабочих дней],$A153)</f>
        <v>0</v>
      </c>
      <c r="N153" s="56">
        <f>SUMIFS(График[Возврат начисленных %],График[Дата с учетом нерабочих дней],$A153)</f>
        <v>0</v>
      </c>
      <c r="O153" s="101">
        <v>0</v>
      </c>
      <c r="P153" s="100" cm="1">
        <f t="array" aca="1" ref="P153" ca="1">MAX(IF(AA152="Да",0,SUM(INDIRECT("M"&amp;(MAX(("Да"=AA$12:AA152)*ROW(AA$12:AA152)+1,ROW($P$12))&amp;":M"&amp;(ROW()))))-SUM(INDIRECT("W"&amp;(MAX(("Да"=AA$12:AA152)*ROW(AA$12:AA152)+1,ROW($P$12))&amp;":W"&amp;(ROW()))))),0)</f>
        <v>986.38999999999942</v>
      </c>
      <c r="Q153" s="99">
        <f ca="1">MAX(SUM($N$13:N153)-SUM($T$13:T153),0)</f>
        <v>4794.3106557377068</v>
      </c>
      <c r="R153" s="99">
        <f ca="1">Первоначальный[[#This Row],[Просроченный платеж по ОД]]+Первоначальный[[#This Row],[Просроченный платеж по процентам]]</f>
        <v>5780.7006557377063</v>
      </c>
      <c r="S153" s="120">
        <f ca="1">IF(Первоначальный[[#This Row],[Просроченный платеж]]&lt;1,0,S152+1)</f>
        <v>49</v>
      </c>
      <c r="T153" s="100" cm="1">
        <f t="array" aca="1" ref="T153" ca="1">IF(Первоначальный[[#This Row],[Итого остаток на начало периода]]&lt;1,0,
IF(
AND(TYPE(VLOOKUP(1,$Z$12:Z153,1,0))=16,Первоначальный[[#This Row],[Досрочное погашение (да/"")]]=""),0,
_xlfn.IFS(AND(S152=0,Первоначальный[[#This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платеж]]&lt;&gt;0),MIN(LOOKUP(,-1/($Z$12:Z153=1),$C$12:C153)+LOOKUP(,-1/($Z$12:Z153=1),$H$12:H153),Первоначальный[[#This Row],[Полученный платеж]]+Y152),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платеж]]+Y152,SUM(Первоначальный[[#This Row],[Остаток процентов на начало периода]],Первоначальный[[#This Row],[Проценты за период]])),
AND(S152=0,Первоначальный[[#This Row],[Дата платежа из графика]]=""),0,
AND(S152=0,Первоначальный[[#This Row],[Дата платежа из графика]]=1,MAX((0&lt;&gt;S$12:S152)*ROW(S$12:S152),ROW($S$12))&gt;=MAX((1=Z$12:Z152)*ROW(Z$12:Z152),ROW($T$12)),TYPE(VLOOKUP("Да",(INDIRECT("AA"&amp;(MAX((1=Z$12:Z152)*ROW(Z$12:Z152),ROW($T$12))&amp;":AA"&amp;(ROW()-1)))),1,0))=16),MIN(LOOKUP(,-1/($Z$12:Z153=1),$C$12:C153)+LOOKUP(,-1/($Z$12:Z153=1),$H$12:H153),Первоначальный[[#This Row],[Полученный платеж]]+Y152),
AND(S152=0,TYPE(VLOOKUP("Да",(INDIRECT("AA"&amp;(MAX((1=Z$12:Z152)*ROW(Z$12:Z152),ROW($T$12))&amp;":AA"&amp;(ROW()-1)))),1,0))&lt;&gt;16),MIN(LOOKUP(,-1/($Z$12:Z153=1),$C$12:C153)+LOOKUP(,-1/($Z$12:Z153=1),$H$12:H153)-IF(AA152="Да",0,SUM(INDIRECT("T"&amp;(MAX(("Да"=AA$12:AA152)*ROW(AA$12:AA152)+1,ROW($T$12))&amp;":T"&amp;(ROW()-1))))),Первоначальный[[#This Row],[Полученный платеж]]+Y152),
AND(S152=0,MAX((0&lt;&gt;N$12:N152)*ROW(N$12:N152),ROW($S$12))&gt;=MAX((1=Z$12:Z152)*ROW(Z$12:Z152),ROW($T$12))),MIN(LOOKUP(,-1/($Z$12:Z153=1),$C$12:C153)+LOOKUP(,-1/($Z$12:Z153=1),$H$12:H153)-IF(N152&lt;&gt;0,0,SUM(INDIRECT("T"&amp;(MAX((0&lt;&gt;N$12:N152)*ROW(N$12:N152)+1,ROW($T$12))&amp;":T"&amp;(ROW()-1))))),Первоначальный[[#This Row],[Полученный платеж]]+Y152),
AND(S152=0,Первоначальный[[#This Row],[Дата платежа из графика]]=1),MIN(LOOKUP(,-1/($Z$12:Z153=1),$C$12:C153)+LOOKUP(,-1/($Z$12:Z153=1),$H$12:H153)-IF(Z152=1,0,SUM(INDIRECT("T"&amp;(MAX((1=Z$12:Z152)*ROW(Z$12:Z152)+1,ROW($T$12))&amp;":T"&amp;(ROW()-1))))),Первоначальный[[#This Row],[Полученный платеж]]+Y152),
AND(Z152&gt;0,Первоначальный[[#This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платеж]]+Y152),
AND(S152&gt;0,MAX((0&lt;&gt;S$12:S152)*ROW(S$12:S152),ROW($S$12))&gt;=MAX((1=Z$12:Z152)*ROW(Z$12:Z152),ROW($T$12)),TYPE(VLOOKUP("Да",(INDIRECT("AA"&amp;(MAX((1=Z$12:Z152)*ROW(Z$12:Z152),ROW($T$12))&amp;":AA"&amp;(ROW()-1)))),1,0))=16),MIN(LOOKUP(,-1/($Z$12:Z153=1),$C$12:C153)+LOOKUP(,-1/($Z$12:Z153=1),$H$12:H153)-SUM(INDIRECT("T"&amp;(MAX((1=Z$12:Z152)*ROW(Z$12:Z152),ROW($T$12))&amp;":T"&amp;(ROW()-1)))),Первоначальный[[#This Row],[Полученный платеж]]+Y152),
S152&gt;0,MIN(LOOKUP(,-1/($Z$12:Z153=1),$C$12:C153)+LOOKUP(,-1/($Z$12:Z153=1),$H$12:H153)-IF(Z152=1,0,SUM(INDIRECT("T"&amp;(MAX((1=Z$12:Z152)*ROW(Z$12:Z152)+1,ROW($T$12))&amp;":T"&amp;(ROW()-1))))),Первоначальный[[#This Row],[Полученный платеж]]+Y152)
)
)
)</f>
        <v>0</v>
      </c>
      <c r="U15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платеж]]+Y152-Первоначальный[[#This Row],[Полученный платёж по процентам]])</f>
        <v>0</v>
      </c>
      <c r="V153" s="55">
        <f t="shared" ca="1" si="25"/>
        <v>0</v>
      </c>
      <c r="W153" s="55" cm="1">
        <f t="array" aca="1" ref="W153" ca="1">IF(Первоначальный[[#This Row],[Итого остаток на начало периода]]&lt;1,0,
_xlfn.IFS(
AND(TYPE(VLOOKUP(1,$Z$12:Z153,1,0))=16,Первоначальный[[#This Row],[Досрочное погашение (да/"")]]=""),0,
AND(S152=0,Первоначальный[[#This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комиссиям]]),VLOOKUP(LOOKUP(,-1/($Z$12:Z153=1),$A$12:A153),График[[Срок конец]:[Возврат основной суммы долга]],3,0)),
AND(S152=0,Первоначальный[[#This Row],[Дата платежа из графика]]="",Первоначальный[[#This Row],[Досрочное погашение (да/"")]]&lt;&gt;"Да"),0,
AND(S152=0,Первоначальный[[#This Row],[Досрочное погашение (да/"")]]=""),MIN(Первоначальный[[#This Row],[Полученный платеж]]+Y152-SUM(Первоначальный[[#This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комиссиям]]),VLOOKUP(LOOKUP(,-1/($Z$12:Z153=1),$A$12:A153),График[[Срок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S152&gt;0,MIN(Первоначальный[[#This Row],[Полученный платеж]]+Y152-SUM(Первоначальный[[#This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комиссиям]]),SUM(INDIRECT("M"&amp;(MAX((1=S$12:S152)*ROW(S$12:S152),ROW($W$12))&amp;":M"&amp;(ROW()))))-SUM(INDIRECT("W"&amp;(MAX((1=S$12:S152)*ROW(S$12:S152),ROW($W$12))&amp;":W"&amp;(ROW()-1)))))
)
)</f>
        <v>0</v>
      </c>
      <c r="X153" s="55">
        <f t="shared" ca="1" si="26"/>
        <v>0</v>
      </c>
      <c r="Y153" s="101">
        <f t="shared" ca="1" si="33"/>
        <v>0</v>
      </c>
      <c r="Z153" s="133" t="str">
        <f>IF(TYPE((VLOOKUP(Первоначальный[[#This Row],[Дата платежа]],График[Срок конец],1,0)))=16,"",1)</f>
        <v/>
      </c>
      <c r="AA153" s="57"/>
      <c r="AB153" s="134"/>
      <c r="AC15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6415.6000000000013</v>
      </c>
      <c r="AE15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16.399999999999991</v>
      </c>
      <c r="AF15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1010.6916606557376</v>
      </c>
      <c r="AH153" s="55"/>
      <c r="AI153" s="55"/>
      <c r="AJ153" s="55"/>
      <c r="AK153" s="101">
        <f t="shared" ca="1" si="34"/>
        <v>157076.03166065575</v>
      </c>
      <c r="AL153" s="129">
        <f t="array" ref="AL153">MAX((УслРестрактов[Характеристика]="Дата реструктуризации")*(УслРестрактов[Значение]=Первоначальный!$A153),0)</f>
        <v>0</v>
      </c>
    </row>
    <row r="154" spans="1:38" x14ac:dyDescent="0.25">
      <c r="A154" s="97">
        <f t="shared" si="27"/>
        <v>44285</v>
      </c>
      <c r="B154" s="100">
        <f t="shared" ca="1" si="28"/>
        <v>149633.34</v>
      </c>
      <c r="C154" s="55">
        <f t="shared" ca="1" si="24"/>
        <v>6415.6000000000013</v>
      </c>
      <c r="D154" s="55">
        <f t="shared" ca="1" si="24"/>
        <v>16.399999999999991</v>
      </c>
      <c r="E154" s="55">
        <f t="shared" ca="1" si="29"/>
        <v>0</v>
      </c>
      <c r="F154" s="55">
        <f t="shared" ca="1" si="30"/>
        <v>1010.6916606557376</v>
      </c>
      <c r="G154" s="101">
        <f t="shared" ca="1" si="31"/>
        <v>157076.03166065575</v>
      </c>
      <c r="H154" s="100">
        <f ca="1">ROUND($B154*VLOOKUP($A154,$A$1:$B$10,2,1)/(365+IF(MOD(YEAR($A154),4),0,1)*($A154-$A153)),2)-Первоначальный[[#This Row],[Проценты на просроченный платеж по ОД за период]]</f>
        <v>81.039999999999992</v>
      </c>
      <c r="I154" s="55">
        <f t="shared" ca="1" si="32"/>
        <v>0.54</v>
      </c>
      <c r="J154" s="55">
        <v>0</v>
      </c>
      <c r="K154" s="55">
        <f t="shared" ca="1" si="35"/>
        <v>28.903503278688532</v>
      </c>
      <c r="L154" s="55">
        <v>0</v>
      </c>
      <c r="M154" s="113">
        <f>SUMIFS(График[Возврат основной суммы долга],График[Дата с учетом нерабочих дней],$A154)</f>
        <v>0</v>
      </c>
      <c r="N154" s="56">
        <f>SUMIFS(График[Возврат начисленных %],График[Дата с учетом нерабочих дней],$A154)</f>
        <v>0</v>
      </c>
      <c r="O154" s="101">
        <v>0</v>
      </c>
      <c r="P154" s="100" cm="1">
        <f t="array" aca="1" ref="P154" ca="1">MAX(IF(AA153="Да",0,SUM(INDIRECT("M"&amp;(MAX(("Да"=AA$12:AA153)*ROW(AA$12:AA153)+1,ROW($P$12))&amp;":M"&amp;(ROW()))))-SUM(INDIRECT("W"&amp;(MAX(("Да"=AA$12:AA153)*ROW(AA$12:AA153)+1,ROW($P$12))&amp;":W"&amp;(ROW()))))),0)</f>
        <v>986.38999999999942</v>
      </c>
      <c r="Q154" s="99">
        <f ca="1">MAX(SUM($N$13:N154)-SUM($T$13:T154),0)</f>
        <v>4794.3106557377068</v>
      </c>
      <c r="R154" s="99">
        <f ca="1">Первоначальный[[#This Row],[Просроченный платеж по ОД]]+Первоначальный[[#This Row],[Просроченный платеж по процентам]]</f>
        <v>5780.7006557377063</v>
      </c>
      <c r="S154" s="120">
        <f ca="1">IF(Первоначальный[[#This Row],[Просроченный платеж]]&lt;1,0,S153+1)</f>
        <v>50</v>
      </c>
      <c r="T154" s="100" cm="1">
        <f t="array" aca="1" ref="T154" ca="1">IF(Первоначальный[[#This Row],[Итого остаток на начало периода]]&lt;1,0,
IF(
AND(TYPE(VLOOKUP(1,$Z$12:Z154,1,0))=16,Первоначальный[[#This Row],[Досрочное погашение (да/"")]]=""),0,
_xlfn.IFS(AND(S153=0,Первоначальный[[#This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платеж]]&lt;&gt;0),MIN(LOOKUP(,-1/($Z$12:Z154=1),$C$12:C154)+LOOKUP(,-1/($Z$12:Z154=1),$H$12:H154),Первоначальный[[#This Row],[Полученный платеж]]+Y153),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платеж]]+Y153,SUM(Первоначальный[[#This Row],[Остаток процентов на начало периода]],Первоначальный[[#This Row],[Проценты за период]])),
AND(S153=0,Первоначальный[[#This Row],[Дата платежа из графика]]=""),0,
AND(S153=0,Первоначальный[[#This Row],[Дата платежа из графика]]=1,MAX((0&lt;&gt;S$12:S153)*ROW(S$12:S153),ROW($S$12))&gt;=MAX((1=Z$12:Z153)*ROW(Z$12:Z153),ROW($T$12)),TYPE(VLOOKUP("Да",(INDIRECT("AA"&amp;(MAX((1=Z$12:Z153)*ROW(Z$12:Z153),ROW($T$12))&amp;":AA"&amp;(ROW()-1)))),1,0))=16),MIN(LOOKUP(,-1/($Z$12:Z154=1),$C$12:C154)+LOOKUP(,-1/($Z$12:Z154=1),$H$12:H154),Первоначальный[[#This Row],[Полученный платеж]]+Y153),
AND(S153=0,TYPE(VLOOKUP("Да",(INDIRECT("AA"&amp;(MAX((1=Z$12:Z153)*ROW(Z$12:Z153),ROW($T$12))&amp;":AA"&amp;(ROW()-1)))),1,0))&lt;&gt;16),MIN(LOOKUP(,-1/($Z$12:Z154=1),$C$12:C154)+LOOKUP(,-1/($Z$12:Z154=1),$H$12:H154)-IF(AA153="Да",0,SUM(INDIRECT("T"&amp;(MAX(("Да"=AA$12:AA153)*ROW(AA$12:AA153)+1,ROW($T$12))&amp;":T"&amp;(ROW()-1))))),Первоначальный[[#This Row],[Полученный платеж]]+Y153),
AND(S153=0,MAX((0&lt;&gt;N$12:N153)*ROW(N$12:N153),ROW($S$12))&gt;=MAX((1=Z$12:Z153)*ROW(Z$12:Z153),ROW($T$12))),MIN(LOOKUP(,-1/($Z$12:Z154=1),$C$12:C154)+LOOKUP(,-1/($Z$12:Z154=1),$H$12:H154)-IF(N153&lt;&gt;0,0,SUM(INDIRECT("T"&amp;(MAX((0&lt;&gt;N$12:N153)*ROW(N$12:N153)+1,ROW($T$12))&amp;":T"&amp;(ROW()-1))))),Первоначальный[[#This Row],[Полученный платеж]]+Y153),
AND(S153=0,Первоначальный[[#This Row],[Дата платежа из графика]]=1),MIN(LOOKUP(,-1/($Z$12:Z154=1),$C$12:C154)+LOOKUP(,-1/($Z$12:Z154=1),$H$12:H154)-IF(Z153=1,0,SUM(INDIRECT("T"&amp;(MAX((1=Z$12:Z153)*ROW(Z$12:Z153)+1,ROW($T$12))&amp;":T"&amp;(ROW()-1))))),Первоначальный[[#This Row],[Полученный платеж]]+Y153),
AND(Z153&gt;0,Первоначальный[[#This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платеж]]+Y153),
AND(S153&gt;0,MAX((0&lt;&gt;S$12:S153)*ROW(S$12:S153),ROW($S$12))&gt;=MAX((1=Z$12:Z153)*ROW(Z$12:Z153),ROW($T$12)),TYPE(VLOOKUP("Да",(INDIRECT("AA"&amp;(MAX((1=Z$12:Z153)*ROW(Z$12:Z153),ROW($T$12))&amp;":AA"&amp;(ROW()-1)))),1,0))=16),MIN(LOOKUP(,-1/($Z$12:Z154=1),$C$12:C154)+LOOKUP(,-1/($Z$12:Z154=1),$H$12:H154)-SUM(INDIRECT("T"&amp;(MAX((1=Z$12:Z153)*ROW(Z$12:Z153),ROW($T$12))&amp;":T"&amp;(ROW()-1)))),Первоначальный[[#This Row],[Полученный платеж]]+Y153),
S153&gt;0,MIN(LOOKUP(,-1/($Z$12:Z154=1),$C$12:C154)+LOOKUP(,-1/($Z$12:Z154=1),$H$12:H154)-IF(Z153=1,0,SUM(INDIRECT("T"&amp;(MAX((1=Z$12:Z153)*ROW(Z$12:Z153)+1,ROW($T$12))&amp;":T"&amp;(ROW()-1))))),Первоначальный[[#This Row],[Полученный платеж]]+Y153)
)
)
)</f>
        <v>0</v>
      </c>
      <c r="U15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платеж]]+Y153-Первоначальный[[#This Row],[Полученный платёж по процентам]])</f>
        <v>0</v>
      </c>
      <c r="V154" s="55">
        <f t="shared" ca="1" si="25"/>
        <v>0</v>
      </c>
      <c r="W154" s="55" cm="1">
        <f t="array" aca="1" ref="W154" ca="1">IF(Первоначальный[[#This Row],[Итого остаток на начало периода]]&lt;1,0,
_xlfn.IFS(
AND(TYPE(VLOOKUP(1,$Z$12:Z154,1,0))=16,Первоначальный[[#This Row],[Досрочное погашение (да/"")]]=""),0,
AND(S153=0,Первоначальный[[#This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комиссиям]]),VLOOKUP(LOOKUP(,-1/($Z$12:Z154=1),$A$12:A154),График[[Срок конец]:[Возврат основной суммы долга]],3,0)),
AND(S153=0,Первоначальный[[#This Row],[Дата платежа из графика]]="",Первоначальный[[#This Row],[Досрочное погашение (да/"")]]&lt;&gt;"Да"),0,
AND(S153=0,Первоначальный[[#This Row],[Досрочное погашение (да/"")]]=""),MIN(Первоначальный[[#This Row],[Полученный платеж]]+Y153-SUM(Первоначальный[[#This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комиссиям]]),VLOOKUP(LOOKUP(,-1/($Z$12:Z154=1),$A$12:A154),График[[Срок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S153&gt;0,MIN(Первоначальный[[#This Row],[Полученный платеж]]+Y153-SUM(Первоначальный[[#This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комиссиям]]),SUM(INDIRECT("M"&amp;(MAX((1=S$12:S153)*ROW(S$12:S153),ROW($W$12))&amp;":M"&amp;(ROW()))))-SUM(INDIRECT("W"&amp;(MAX((1=S$12:S153)*ROW(S$12:S153),ROW($W$12))&amp;":W"&amp;(ROW()-1)))))
)
)</f>
        <v>0</v>
      </c>
      <c r="X154" s="55">
        <f t="shared" ca="1" si="26"/>
        <v>0</v>
      </c>
      <c r="Y154" s="101">
        <f t="shared" ca="1" si="33"/>
        <v>0</v>
      </c>
      <c r="Z154" s="133" t="str">
        <f>IF(TYPE((VLOOKUP(Первоначальный[[#This Row],[Дата платежа]],График[Срок конец],1,0)))=16,"",1)</f>
        <v/>
      </c>
      <c r="AA154" s="57"/>
      <c r="AB154" s="134"/>
      <c r="AC15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6496.6400000000012</v>
      </c>
      <c r="AE15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16.939999999999991</v>
      </c>
      <c r="AF15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1039.5951639344262</v>
      </c>
      <c r="AH154" s="55"/>
      <c r="AI154" s="55"/>
      <c r="AJ154" s="55"/>
      <c r="AK154" s="101">
        <f t="shared" ca="1" si="34"/>
        <v>157186.51516393444</v>
      </c>
      <c r="AL154" s="129">
        <f t="array" ref="AL154">MAX((УслРестрактов[Характеристика]="Дата реструктуризации")*(УслРестрактов[Значение]=Первоначальный!$A154),0)</f>
        <v>0</v>
      </c>
    </row>
    <row r="155" spans="1:38" x14ac:dyDescent="0.25">
      <c r="A155" s="97">
        <f t="shared" si="27"/>
        <v>44286</v>
      </c>
      <c r="B155" s="100">
        <f t="shared" ca="1" si="28"/>
        <v>149633.34</v>
      </c>
      <c r="C155" s="55">
        <f t="shared" ca="1" si="24"/>
        <v>6496.6400000000012</v>
      </c>
      <c r="D155" s="55">
        <f t="shared" ca="1" si="24"/>
        <v>16.939999999999991</v>
      </c>
      <c r="E155" s="55">
        <f t="shared" ca="1" si="29"/>
        <v>0</v>
      </c>
      <c r="F155" s="55">
        <f t="shared" ca="1" si="30"/>
        <v>1039.5951639344262</v>
      </c>
      <c r="G155" s="101">
        <f t="shared" ca="1" si="31"/>
        <v>157186.51516393444</v>
      </c>
      <c r="H155" s="100">
        <f ca="1">ROUND($B155*VLOOKUP($A155,$A$1:$B$10,2,1)/(365+IF(MOD(YEAR($A155),4),0,1)*($A155-$A154)),2)-Первоначальный[[#This Row],[Проценты на просроченный платеж по ОД за период]]</f>
        <v>81.039999999999992</v>
      </c>
      <c r="I155" s="55">
        <f t="shared" ca="1" si="32"/>
        <v>0.54</v>
      </c>
      <c r="J155" s="55">
        <v>0</v>
      </c>
      <c r="K155" s="55">
        <f t="shared" ca="1" si="35"/>
        <v>28.903503278688532</v>
      </c>
      <c r="L155" s="55">
        <v>0</v>
      </c>
      <c r="M155" s="113">
        <f>SUMIFS(График[Возврат основной суммы долга],График[Дата с учетом нерабочих дней],$A155)</f>
        <v>0</v>
      </c>
      <c r="N155" s="56">
        <f>SUMIFS(График[Возврат начисленных %],График[Дата с учетом нерабочих дней],$A155)</f>
        <v>0</v>
      </c>
      <c r="O155" s="101">
        <v>0</v>
      </c>
      <c r="P155" s="100" cm="1">
        <f t="array" aca="1" ref="P155" ca="1">MAX(IF(AA154="Да",0,SUM(INDIRECT("M"&amp;(MAX(("Да"=AA$12:AA154)*ROW(AA$12:AA154)+1,ROW($P$12))&amp;":M"&amp;(ROW()))))-SUM(INDIRECT("W"&amp;(MAX(("Да"=AA$12:AA154)*ROW(AA$12:AA154)+1,ROW($P$12))&amp;":W"&amp;(ROW()))))),0)</f>
        <v>986.38999999999942</v>
      </c>
      <c r="Q155" s="99">
        <f ca="1">MAX(SUM($N$13:N155)-SUM($T$13:T155),0)</f>
        <v>4794.3106557377068</v>
      </c>
      <c r="R155" s="99">
        <f ca="1">Первоначальный[[#This Row],[Просроченный платеж по ОД]]+Первоначальный[[#This Row],[Просроченный платеж по процентам]]</f>
        <v>5780.7006557377063</v>
      </c>
      <c r="S155" s="120">
        <f ca="1">IF(Первоначальный[[#This Row],[Просроченный платеж]]&lt;1,0,S154+1)</f>
        <v>51</v>
      </c>
      <c r="T155" s="100" cm="1">
        <f t="array" aca="1" ref="T155" ca="1">IF(Первоначальный[[#This Row],[Итого остаток на начало периода]]&lt;1,0,
IF(
AND(TYPE(VLOOKUP(1,$Z$12:Z155,1,0))=16,Первоначальный[[#This Row],[Досрочное погашение (да/"")]]=""),0,
_xlfn.IFS(AND(S154=0,Первоначальный[[#This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платеж]]&lt;&gt;0),MIN(LOOKUP(,-1/($Z$12:Z155=1),$C$12:C155)+LOOKUP(,-1/($Z$12:Z155=1),$H$12:H155),Первоначальный[[#This Row],[Полученный платеж]]+Y154),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платеж]]+Y154,SUM(Первоначальный[[#This Row],[Остаток процентов на начало периода]],Первоначальный[[#This Row],[Проценты за период]])),
AND(S154=0,Первоначальный[[#This Row],[Дата платежа из графика]]=""),0,
AND(S154=0,Первоначальный[[#This Row],[Дата платежа из графика]]=1,MAX((0&lt;&gt;S$12:S154)*ROW(S$12:S154),ROW($S$12))&gt;=MAX((1=Z$12:Z154)*ROW(Z$12:Z154),ROW($T$12)),TYPE(VLOOKUP("Да",(INDIRECT("AA"&amp;(MAX((1=Z$12:Z154)*ROW(Z$12:Z154),ROW($T$12))&amp;":AA"&amp;(ROW()-1)))),1,0))=16),MIN(LOOKUP(,-1/($Z$12:Z155=1),$C$12:C155)+LOOKUP(,-1/($Z$12:Z155=1),$H$12:H155),Первоначальный[[#This Row],[Полученный платеж]]+Y154),
AND(S154=0,TYPE(VLOOKUP("Да",(INDIRECT("AA"&amp;(MAX((1=Z$12:Z154)*ROW(Z$12:Z154),ROW($T$12))&amp;":AA"&amp;(ROW()-1)))),1,0))&lt;&gt;16),MIN(LOOKUP(,-1/($Z$12:Z155=1),$C$12:C155)+LOOKUP(,-1/($Z$12:Z155=1),$H$12:H155)-IF(AA154="Да",0,SUM(INDIRECT("T"&amp;(MAX(("Да"=AA$12:AA154)*ROW(AA$12:AA154)+1,ROW($T$12))&amp;":T"&amp;(ROW()-1))))),Первоначальный[[#This Row],[Полученный платеж]]+Y154),
AND(S154=0,MAX((0&lt;&gt;N$12:N154)*ROW(N$12:N154),ROW($S$12))&gt;=MAX((1=Z$12:Z154)*ROW(Z$12:Z154),ROW($T$12))),MIN(LOOKUP(,-1/($Z$12:Z155=1),$C$12:C155)+LOOKUP(,-1/($Z$12:Z155=1),$H$12:H155)-IF(N154&lt;&gt;0,0,SUM(INDIRECT("T"&amp;(MAX((0&lt;&gt;N$12:N154)*ROW(N$12:N154)+1,ROW($T$12))&amp;":T"&amp;(ROW()-1))))),Первоначальный[[#This Row],[Полученный платеж]]+Y154),
AND(S154=0,Первоначальный[[#This Row],[Дата платежа из графика]]=1),MIN(LOOKUP(,-1/($Z$12:Z155=1),$C$12:C155)+LOOKUP(,-1/($Z$12:Z155=1),$H$12:H155)-IF(Z154=1,0,SUM(INDIRECT("T"&amp;(MAX((1=Z$12:Z154)*ROW(Z$12:Z154)+1,ROW($T$12))&amp;":T"&amp;(ROW()-1))))),Первоначальный[[#This Row],[Полученный платеж]]+Y154),
AND(Z154&gt;0,Первоначальный[[#This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платеж]]+Y154),
AND(S154&gt;0,MAX((0&lt;&gt;S$12:S154)*ROW(S$12:S154),ROW($S$12))&gt;=MAX((1=Z$12:Z154)*ROW(Z$12:Z154),ROW($T$12)),TYPE(VLOOKUP("Да",(INDIRECT("AA"&amp;(MAX((1=Z$12:Z154)*ROW(Z$12:Z154),ROW($T$12))&amp;":AA"&amp;(ROW()-1)))),1,0))=16),MIN(LOOKUP(,-1/($Z$12:Z155=1),$C$12:C155)+LOOKUP(,-1/($Z$12:Z155=1),$H$12:H155)-SUM(INDIRECT("T"&amp;(MAX((1=Z$12:Z154)*ROW(Z$12:Z154),ROW($T$12))&amp;":T"&amp;(ROW()-1)))),Первоначальный[[#This Row],[Полученный платеж]]+Y154),
S154&gt;0,MIN(LOOKUP(,-1/($Z$12:Z155=1),$C$12:C155)+LOOKUP(,-1/($Z$12:Z155=1),$H$12:H155)-IF(Z154=1,0,SUM(INDIRECT("T"&amp;(MAX((1=Z$12:Z154)*ROW(Z$12:Z154)+1,ROW($T$12))&amp;":T"&amp;(ROW()-1))))),Первоначальный[[#This Row],[Полученный платеж]]+Y154)
)
)
)</f>
        <v>0</v>
      </c>
      <c r="U15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платеж]]+Y154-Первоначальный[[#This Row],[Полученный платёж по процентам]])</f>
        <v>0</v>
      </c>
      <c r="V155" s="55">
        <f t="shared" ca="1" si="25"/>
        <v>0</v>
      </c>
      <c r="W155" s="55" cm="1">
        <f t="array" aca="1" ref="W155" ca="1">IF(Первоначальный[[#This Row],[Итого остаток на начало периода]]&lt;1,0,
_xlfn.IFS(
AND(TYPE(VLOOKUP(1,$Z$12:Z155,1,0))=16,Первоначальный[[#This Row],[Досрочное погашение (да/"")]]=""),0,
AND(S154=0,Первоначальный[[#This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комиссиям]]),VLOOKUP(LOOKUP(,-1/($Z$12:Z155=1),$A$12:A155),График[[Срок конец]:[Возврат основной суммы долга]],3,0)),
AND(S154=0,Первоначальный[[#This Row],[Дата платежа из графика]]="",Первоначальный[[#This Row],[Досрочное погашение (да/"")]]&lt;&gt;"Да"),0,
AND(S154=0,Первоначальный[[#This Row],[Досрочное погашение (да/"")]]=""),MIN(Первоначальный[[#This Row],[Полученный платеж]]+Y154-SUM(Первоначальный[[#This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комиссиям]]),VLOOKUP(LOOKUP(,-1/($Z$12:Z155=1),$A$12:A155),График[[Срок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S154&gt;0,MIN(Первоначальный[[#This Row],[Полученный платеж]]+Y154-SUM(Первоначальный[[#This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комиссиям]]),SUM(INDIRECT("M"&amp;(MAX((1=S$12:S154)*ROW(S$12:S154),ROW($W$12))&amp;":M"&amp;(ROW()))))-SUM(INDIRECT("W"&amp;(MAX((1=S$12:S154)*ROW(S$12:S154),ROW($W$12))&amp;":W"&amp;(ROW()-1)))))
)
)</f>
        <v>0</v>
      </c>
      <c r="X155" s="55">
        <f t="shared" ca="1" si="26"/>
        <v>0</v>
      </c>
      <c r="Y155" s="101">
        <f t="shared" ca="1" si="33"/>
        <v>0</v>
      </c>
      <c r="Z155" s="133" t="str">
        <f>IF(TYPE((VLOOKUP(Первоначальный[[#This Row],[Дата платежа]],График[Срок конец],1,0)))=16,"",1)</f>
        <v/>
      </c>
      <c r="AA155" s="57"/>
      <c r="AB155" s="134"/>
      <c r="AC15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6577.6800000000012</v>
      </c>
      <c r="AE15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17.47999999999999</v>
      </c>
      <c r="AF15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1068.4986672131147</v>
      </c>
      <c r="AH155" s="55"/>
      <c r="AI155" s="55"/>
      <c r="AJ155" s="55"/>
      <c r="AK155" s="101">
        <f t="shared" ca="1" si="34"/>
        <v>157296.99866721311</v>
      </c>
      <c r="AL155" s="129">
        <f t="array" ref="AL155">MAX((УслРестрактов[Характеристика]="Дата реструктуризации")*(УслРестрактов[Значение]=Первоначальный!$A155),0)</f>
        <v>0</v>
      </c>
    </row>
    <row r="156" spans="1:38" x14ac:dyDescent="0.25">
      <c r="A156" s="97">
        <f t="shared" si="27"/>
        <v>44287</v>
      </c>
      <c r="B156" s="100">
        <f t="shared" ca="1" si="28"/>
        <v>149633.34</v>
      </c>
      <c r="C156" s="55">
        <f t="shared" ca="1" si="24"/>
        <v>6577.6800000000012</v>
      </c>
      <c r="D156" s="55">
        <f t="shared" ca="1" si="24"/>
        <v>17.47999999999999</v>
      </c>
      <c r="E156" s="55">
        <f t="shared" ca="1" si="29"/>
        <v>0</v>
      </c>
      <c r="F156" s="55">
        <f t="shared" ca="1" si="30"/>
        <v>1068.4986672131147</v>
      </c>
      <c r="G156" s="101">
        <f t="shared" ca="1" si="31"/>
        <v>157296.99866721311</v>
      </c>
      <c r="H156" s="100">
        <f ca="1">ROUND($B156*VLOOKUP($A156,$A$1:$B$10,2,1)/(365+IF(MOD(YEAR($A156),4),0,1)*($A156-$A155)),2)-Первоначальный[[#This Row],[Проценты на просроченный платеж по ОД за период]]</f>
        <v>81.039999999999992</v>
      </c>
      <c r="I156" s="55">
        <f t="shared" ca="1" si="32"/>
        <v>0.54</v>
      </c>
      <c r="J156" s="55">
        <v>0</v>
      </c>
      <c r="K156" s="55">
        <f t="shared" ca="1" si="35"/>
        <v>28.903503278688532</v>
      </c>
      <c r="L156" s="55">
        <v>0</v>
      </c>
      <c r="M156" s="113">
        <f>SUMIFS(График[Возврат основной суммы долга],График[Дата с учетом нерабочих дней],$A156)</f>
        <v>0</v>
      </c>
      <c r="N156" s="56">
        <f>SUMIFS(График[Возврат начисленных %],График[Дата с учетом нерабочих дней],$A156)</f>
        <v>0</v>
      </c>
      <c r="O156" s="101">
        <v>0</v>
      </c>
      <c r="P156" s="100" cm="1">
        <f t="array" aca="1" ref="P156" ca="1">MAX(IF(AA155="Да",0,SUM(INDIRECT("M"&amp;(MAX(("Да"=AA$12:AA155)*ROW(AA$12:AA155)+1,ROW($P$12))&amp;":M"&amp;(ROW()))))-SUM(INDIRECT("W"&amp;(MAX(("Да"=AA$12:AA155)*ROW(AA$12:AA155)+1,ROW($P$12))&amp;":W"&amp;(ROW()))))),0)</f>
        <v>986.38999999999942</v>
      </c>
      <c r="Q156" s="99">
        <f ca="1">MAX(SUM($N$13:N156)-SUM($T$13:T156),0)</f>
        <v>4794.3106557377068</v>
      </c>
      <c r="R156" s="99">
        <f ca="1">Первоначальный[[#This Row],[Просроченный платеж по ОД]]+Первоначальный[[#This Row],[Просроченный платеж по процентам]]</f>
        <v>5780.7006557377063</v>
      </c>
      <c r="S156" s="120">
        <f ca="1">IF(Первоначальный[[#This Row],[Просроченный платеж]]&lt;1,0,S155+1)</f>
        <v>52</v>
      </c>
      <c r="T156" s="100" cm="1">
        <f t="array" aca="1" ref="T156" ca="1">IF(Первоначальный[[#This Row],[Итого остаток на начало периода]]&lt;1,0,
IF(
AND(TYPE(VLOOKUP(1,$Z$12:Z156,1,0))=16,Первоначальный[[#This Row],[Досрочное погашение (да/"")]]=""),0,
_xlfn.IFS(AND(S155=0,Первоначальный[[#This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платеж]]&lt;&gt;0),MIN(LOOKUP(,-1/($Z$12:Z156=1),$C$12:C156)+LOOKUP(,-1/($Z$12:Z156=1),$H$12:H156),Первоначальный[[#This Row],[Полученный платеж]]+Y155),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платеж]]+Y155,SUM(Первоначальный[[#This Row],[Остаток процентов на начало периода]],Первоначальный[[#This Row],[Проценты за период]])),
AND(S155=0,Первоначальный[[#This Row],[Дата платежа из графика]]=""),0,
AND(S155=0,Первоначальный[[#This Row],[Дата платежа из графика]]=1,MAX((0&lt;&gt;S$12:S155)*ROW(S$12:S155),ROW($S$12))&gt;=MAX((1=Z$12:Z155)*ROW(Z$12:Z155),ROW($T$12)),TYPE(VLOOKUP("Да",(INDIRECT("AA"&amp;(MAX((1=Z$12:Z155)*ROW(Z$12:Z155),ROW($T$12))&amp;":AA"&amp;(ROW()-1)))),1,0))=16),MIN(LOOKUP(,-1/($Z$12:Z156=1),$C$12:C156)+LOOKUP(,-1/($Z$12:Z156=1),$H$12:H156),Первоначальный[[#This Row],[Полученный платеж]]+Y155),
AND(S155=0,TYPE(VLOOKUP("Да",(INDIRECT("AA"&amp;(MAX((1=Z$12:Z155)*ROW(Z$12:Z155),ROW($T$12))&amp;":AA"&amp;(ROW()-1)))),1,0))&lt;&gt;16),MIN(LOOKUP(,-1/($Z$12:Z156=1),$C$12:C156)+LOOKUP(,-1/($Z$12:Z156=1),$H$12:H156)-IF(AA155="Да",0,SUM(INDIRECT("T"&amp;(MAX(("Да"=AA$12:AA155)*ROW(AA$12:AA155)+1,ROW($T$12))&amp;":T"&amp;(ROW()-1))))),Первоначальный[[#This Row],[Полученный платеж]]+Y155),
AND(S155=0,MAX((0&lt;&gt;N$12:N155)*ROW(N$12:N155),ROW($S$12))&gt;=MAX((1=Z$12:Z155)*ROW(Z$12:Z155),ROW($T$12))),MIN(LOOKUP(,-1/($Z$12:Z156=1),$C$12:C156)+LOOKUP(,-1/($Z$12:Z156=1),$H$12:H156)-IF(N155&lt;&gt;0,0,SUM(INDIRECT("T"&amp;(MAX((0&lt;&gt;N$12:N155)*ROW(N$12:N155)+1,ROW($T$12))&amp;":T"&amp;(ROW()-1))))),Первоначальный[[#This Row],[Полученный платеж]]+Y155),
AND(S155=0,Первоначальный[[#This Row],[Дата платежа из графика]]=1),MIN(LOOKUP(,-1/($Z$12:Z156=1),$C$12:C156)+LOOKUP(,-1/($Z$12:Z156=1),$H$12:H156)-IF(Z155=1,0,SUM(INDIRECT("T"&amp;(MAX((1=Z$12:Z155)*ROW(Z$12:Z155)+1,ROW($T$12))&amp;":T"&amp;(ROW()-1))))),Первоначальный[[#This Row],[Полученный платеж]]+Y155),
AND(Z155&gt;0,Первоначальный[[#This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платеж]]+Y155),
AND(S155&gt;0,MAX((0&lt;&gt;S$12:S155)*ROW(S$12:S155),ROW($S$12))&gt;=MAX((1=Z$12:Z155)*ROW(Z$12:Z155),ROW($T$12)),TYPE(VLOOKUP("Да",(INDIRECT("AA"&amp;(MAX((1=Z$12:Z155)*ROW(Z$12:Z155),ROW($T$12))&amp;":AA"&amp;(ROW()-1)))),1,0))=16),MIN(LOOKUP(,-1/($Z$12:Z156=1),$C$12:C156)+LOOKUP(,-1/($Z$12:Z156=1),$H$12:H156)-SUM(INDIRECT("T"&amp;(MAX((1=Z$12:Z155)*ROW(Z$12:Z155),ROW($T$12))&amp;":T"&amp;(ROW()-1)))),Первоначальный[[#This Row],[Полученный платеж]]+Y155),
S155&gt;0,MIN(LOOKUP(,-1/($Z$12:Z156=1),$C$12:C156)+LOOKUP(,-1/($Z$12:Z156=1),$H$12:H156)-IF(Z155=1,0,SUM(INDIRECT("T"&amp;(MAX((1=Z$12:Z155)*ROW(Z$12:Z155)+1,ROW($T$12))&amp;":T"&amp;(ROW()-1))))),Первоначальный[[#This Row],[Полученный платеж]]+Y155)
)
)
)</f>
        <v>0</v>
      </c>
      <c r="U15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платеж]]+Y155-Первоначальный[[#This Row],[Полученный платёж по процентам]])</f>
        <v>0</v>
      </c>
      <c r="V156" s="55">
        <f t="shared" ca="1" si="25"/>
        <v>0</v>
      </c>
      <c r="W156" s="55" cm="1">
        <f t="array" aca="1" ref="W156" ca="1">IF(Первоначальный[[#This Row],[Итого остаток на начало периода]]&lt;1,0,
_xlfn.IFS(
AND(TYPE(VLOOKUP(1,$Z$12:Z156,1,0))=16,Первоначальный[[#This Row],[Досрочное погашение (да/"")]]=""),0,
AND(S155=0,Первоначальный[[#This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комиссиям]]),VLOOKUP(LOOKUP(,-1/($Z$12:Z156=1),$A$12:A156),График[[Срок конец]:[Возврат основной суммы долга]],3,0)),
AND(S155=0,Первоначальный[[#This Row],[Дата платежа из графика]]="",Первоначальный[[#This Row],[Досрочное погашение (да/"")]]&lt;&gt;"Да"),0,
AND(S155=0,Первоначальный[[#This Row],[Досрочное погашение (да/"")]]=""),MIN(Первоначальный[[#This Row],[Полученный платеж]]+Y155-SUM(Первоначальный[[#This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комиссиям]]),VLOOKUP(LOOKUP(,-1/($Z$12:Z156=1),$A$12:A156),График[[Срок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S155&gt;0,MIN(Первоначальный[[#This Row],[Полученный платеж]]+Y155-SUM(Первоначальный[[#This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комиссиям]]),SUM(INDIRECT("M"&amp;(MAX((1=S$12:S155)*ROW(S$12:S155),ROW($W$12))&amp;":M"&amp;(ROW()))))-SUM(INDIRECT("W"&amp;(MAX((1=S$12:S155)*ROW(S$12:S155),ROW($W$12))&amp;":W"&amp;(ROW()-1)))))
)
)</f>
        <v>0</v>
      </c>
      <c r="X156" s="55">
        <f t="shared" ca="1" si="26"/>
        <v>0</v>
      </c>
      <c r="Y156" s="101">
        <f t="shared" ca="1" si="33"/>
        <v>0</v>
      </c>
      <c r="Z156" s="133" t="str">
        <f>IF(TYPE((VLOOKUP(Первоначальный[[#This Row],[Дата платежа]],График[Срок конец],1,0)))=16,"",1)</f>
        <v/>
      </c>
      <c r="AA156" s="57"/>
      <c r="AB156" s="134"/>
      <c r="AC15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6658.7200000000012</v>
      </c>
      <c r="AE15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18.019999999999989</v>
      </c>
      <c r="AF15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1097.4021704918032</v>
      </c>
      <c r="AH156" s="55"/>
      <c r="AI156" s="55"/>
      <c r="AJ156" s="55"/>
      <c r="AK156" s="101">
        <f t="shared" ca="1" si="34"/>
        <v>157407.4821704918</v>
      </c>
      <c r="AL156" s="129">
        <f t="array" ref="AL156">MAX((УслРестрактов[Характеристика]="Дата реструктуризации")*(УслРестрактов[Значение]=Первоначальный!$A156),0)</f>
        <v>0</v>
      </c>
    </row>
    <row r="157" spans="1:38" x14ac:dyDescent="0.25">
      <c r="A157" s="97">
        <f t="shared" si="27"/>
        <v>44288</v>
      </c>
      <c r="B157" s="100">
        <f t="shared" ca="1" si="28"/>
        <v>149633.34</v>
      </c>
      <c r="C157" s="55">
        <f t="shared" ref="C157:D220" ca="1" si="36">AD156+AI156</f>
        <v>6658.7200000000012</v>
      </c>
      <c r="D157" s="55">
        <f t="shared" ca="1" si="36"/>
        <v>18.019999999999989</v>
      </c>
      <c r="E157" s="55">
        <f t="shared" ca="1" si="29"/>
        <v>0</v>
      </c>
      <c r="F157" s="55">
        <f t="shared" ca="1" si="30"/>
        <v>1097.4021704918032</v>
      </c>
      <c r="G157" s="101">
        <f t="shared" ca="1" si="31"/>
        <v>157407.4821704918</v>
      </c>
      <c r="H157" s="100">
        <f ca="1">ROUND($B157*VLOOKUP($A157,$A$1:$B$10,2,1)/(365+IF(MOD(YEAR($A157),4),0,1)*($A157-$A156)),2)-Первоначальный[[#This Row],[Проценты на просроченный платеж по ОД за период]]</f>
        <v>81.039999999999992</v>
      </c>
      <c r="I157" s="55">
        <f t="shared" ca="1" si="32"/>
        <v>0.54</v>
      </c>
      <c r="J157" s="55">
        <v>0</v>
      </c>
      <c r="K157" s="55">
        <f t="shared" ca="1" si="35"/>
        <v>28.903503278688532</v>
      </c>
      <c r="L157" s="55">
        <v>0</v>
      </c>
      <c r="M157" s="113">
        <f>SUMIFS(График[Возврат основной суммы долга],График[Дата с учетом нерабочих дней],$A157)</f>
        <v>0</v>
      </c>
      <c r="N157" s="56">
        <f>SUMIFS(График[Возврат начисленных %],График[Дата с учетом нерабочих дней],$A157)</f>
        <v>0</v>
      </c>
      <c r="O157" s="101">
        <v>0</v>
      </c>
      <c r="P157" s="100" cm="1">
        <f t="array" aca="1" ref="P157" ca="1">MAX(IF(AA156="Да",0,SUM(INDIRECT("M"&amp;(MAX(("Да"=AA$12:AA156)*ROW(AA$12:AA156)+1,ROW($P$12))&amp;":M"&amp;(ROW()))))-SUM(INDIRECT("W"&amp;(MAX(("Да"=AA$12:AA156)*ROW(AA$12:AA156)+1,ROW($P$12))&amp;":W"&amp;(ROW()))))),0)</f>
        <v>986.38999999999942</v>
      </c>
      <c r="Q157" s="99">
        <f ca="1">MAX(SUM($N$13:N157)-SUM($T$13:T157),0)</f>
        <v>4794.3106557377068</v>
      </c>
      <c r="R157" s="99">
        <f ca="1">Первоначальный[[#This Row],[Просроченный платеж по ОД]]+Первоначальный[[#This Row],[Просроченный платеж по процентам]]</f>
        <v>5780.7006557377063</v>
      </c>
      <c r="S157" s="120">
        <f ca="1">IF(Первоначальный[[#This Row],[Просроченный платеж]]&lt;1,0,S156+1)</f>
        <v>53</v>
      </c>
      <c r="T157" s="100" cm="1">
        <f t="array" aca="1" ref="T157" ca="1">IF(Первоначальный[[#This Row],[Итого остаток на начало периода]]&lt;1,0,
IF(
AND(TYPE(VLOOKUP(1,$Z$12:Z157,1,0))=16,Первоначальный[[#This Row],[Досрочное погашение (да/"")]]=""),0,
_xlfn.IFS(AND(S156=0,Первоначальный[[#This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платеж]]&lt;&gt;0),MIN(LOOKUP(,-1/($Z$12:Z157=1),$C$12:C157)+LOOKUP(,-1/($Z$12:Z157=1),$H$12:H157),Первоначальный[[#This Row],[Полученный платеж]]+Y156),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платеж]]+Y156,SUM(Первоначальный[[#This Row],[Остаток процентов на начало периода]],Первоначальный[[#This Row],[Проценты за период]])),
AND(S156=0,Первоначальный[[#This Row],[Дата платежа из графика]]=""),0,
AND(S156=0,Первоначальный[[#This Row],[Дата платежа из графика]]=1,MAX((0&lt;&gt;S$12:S156)*ROW(S$12:S156),ROW($S$12))&gt;=MAX((1=Z$12:Z156)*ROW(Z$12:Z156),ROW($T$12)),TYPE(VLOOKUP("Да",(INDIRECT("AA"&amp;(MAX((1=Z$12:Z156)*ROW(Z$12:Z156),ROW($T$12))&amp;":AA"&amp;(ROW()-1)))),1,0))=16),MIN(LOOKUP(,-1/($Z$12:Z157=1),$C$12:C157)+LOOKUP(,-1/($Z$12:Z157=1),$H$12:H157),Первоначальный[[#This Row],[Полученный платеж]]+Y156),
AND(S156=0,TYPE(VLOOKUP("Да",(INDIRECT("AA"&amp;(MAX((1=Z$12:Z156)*ROW(Z$12:Z156),ROW($T$12))&amp;":AA"&amp;(ROW()-1)))),1,0))&lt;&gt;16),MIN(LOOKUP(,-1/($Z$12:Z157=1),$C$12:C157)+LOOKUP(,-1/($Z$12:Z157=1),$H$12:H157)-IF(AA156="Да",0,SUM(INDIRECT("T"&amp;(MAX(("Да"=AA$12:AA156)*ROW(AA$12:AA156)+1,ROW($T$12))&amp;":T"&amp;(ROW()-1))))),Первоначальный[[#This Row],[Полученный платеж]]+Y156),
AND(S156=0,MAX((0&lt;&gt;N$12:N156)*ROW(N$12:N156),ROW($S$12))&gt;=MAX((1=Z$12:Z156)*ROW(Z$12:Z156),ROW($T$12))),MIN(LOOKUP(,-1/($Z$12:Z157=1),$C$12:C157)+LOOKUP(,-1/($Z$12:Z157=1),$H$12:H157)-IF(N156&lt;&gt;0,0,SUM(INDIRECT("T"&amp;(MAX((0&lt;&gt;N$12:N156)*ROW(N$12:N156)+1,ROW($T$12))&amp;":T"&amp;(ROW()-1))))),Первоначальный[[#This Row],[Полученный платеж]]+Y156),
AND(S156=0,Первоначальный[[#This Row],[Дата платежа из графика]]=1),MIN(LOOKUP(,-1/($Z$12:Z157=1),$C$12:C157)+LOOKUP(,-1/($Z$12:Z157=1),$H$12:H157)-IF(Z156=1,0,SUM(INDIRECT("T"&amp;(MAX((1=Z$12:Z156)*ROW(Z$12:Z156)+1,ROW($T$12))&amp;":T"&amp;(ROW()-1))))),Первоначальный[[#This Row],[Полученный платеж]]+Y156),
AND(Z156&gt;0,Первоначальный[[#This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платеж]]+Y156),
AND(S156&gt;0,MAX((0&lt;&gt;S$12:S156)*ROW(S$12:S156),ROW($S$12))&gt;=MAX((1=Z$12:Z156)*ROW(Z$12:Z156),ROW($T$12)),TYPE(VLOOKUP("Да",(INDIRECT("AA"&amp;(MAX((1=Z$12:Z156)*ROW(Z$12:Z156),ROW($T$12))&amp;":AA"&amp;(ROW()-1)))),1,0))=16),MIN(LOOKUP(,-1/($Z$12:Z157=1),$C$12:C157)+LOOKUP(,-1/($Z$12:Z157=1),$H$12:H157)-SUM(INDIRECT("T"&amp;(MAX((1=Z$12:Z156)*ROW(Z$12:Z156),ROW($T$12))&amp;":T"&amp;(ROW()-1)))),Первоначальный[[#This Row],[Полученный платеж]]+Y156),
S156&gt;0,MIN(LOOKUP(,-1/($Z$12:Z157=1),$C$12:C157)+LOOKUP(,-1/($Z$12:Z157=1),$H$12:H157)-IF(Z156=1,0,SUM(INDIRECT("T"&amp;(MAX((1=Z$12:Z156)*ROW(Z$12:Z156)+1,ROW($T$12))&amp;":T"&amp;(ROW()-1))))),Первоначальный[[#This Row],[Полученный платеж]]+Y156)
)
)
)</f>
        <v>0</v>
      </c>
      <c r="U15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платеж]]+Y156-Первоначальный[[#This Row],[Полученный платёж по процентам]])</f>
        <v>0</v>
      </c>
      <c r="V157" s="55">
        <f t="shared" ca="1" si="25"/>
        <v>0</v>
      </c>
      <c r="W157" s="55" cm="1">
        <f t="array" aca="1" ref="W157" ca="1">IF(Первоначальный[[#This Row],[Итого остаток на начало периода]]&lt;1,0,
_xlfn.IFS(
AND(TYPE(VLOOKUP(1,$Z$12:Z157,1,0))=16,Первоначальный[[#This Row],[Досрочное погашение (да/"")]]=""),0,
AND(S156=0,Первоначальный[[#This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комиссиям]]),VLOOKUP(LOOKUP(,-1/($Z$12:Z157=1),$A$12:A157),График[[Срок конец]:[Возврат основной суммы долга]],3,0)),
AND(S156=0,Первоначальный[[#This Row],[Дата платежа из графика]]="",Первоначальный[[#This Row],[Досрочное погашение (да/"")]]&lt;&gt;"Да"),0,
AND(S156=0,Первоначальный[[#This Row],[Досрочное погашение (да/"")]]=""),MIN(Первоначальный[[#This Row],[Полученный платеж]]+Y156-SUM(Первоначальный[[#This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комиссиям]]),VLOOKUP(LOOKUP(,-1/($Z$12:Z157=1),$A$12:A157),График[[Срок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S156&gt;0,MIN(Первоначальный[[#This Row],[Полученный платеж]]+Y156-SUM(Первоначальный[[#This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комиссиям]]),SUM(INDIRECT("M"&amp;(MAX((1=S$12:S156)*ROW(S$12:S156),ROW($W$12))&amp;":M"&amp;(ROW()))))-SUM(INDIRECT("W"&amp;(MAX((1=S$12:S156)*ROW(S$12:S156),ROW($W$12))&amp;":W"&amp;(ROW()-1)))))
)
)</f>
        <v>0</v>
      </c>
      <c r="X157" s="55">
        <f t="shared" ca="1" si="26"/>
        <v>0</v>
      </c>
      <c r="Y157" s="101">
        <f t="shared" ca="1" si="33"/>
        <v>0</v>
      </c>
      <c r="Z157" s="133" t="str">
        <f>IF(TYPE((VLOOKUP(Первоначальный[[#This Row],[Дата платежа]],График[Срок конец],1,0)))=16,"",1)</f>
        <v/>
      </c>
      <c r="AA157" s="57"/>
      <c r="AB157" s="134"/>
      <c r="AC15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6739.7600000000011</v>
      </c>
      <c r="AE15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18.559999999999988</v>
      </c>
      <c r="AF15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1126.3056737704917</v>
      </c>
      <c r="AH157" s="55"/>
      <c r="AI157" s="55"/>
      <c r="AJ157" s="55"/>
      <c r="AK157" s="101">
        <f t="shared" ca="1" si="34"/>
        <v>157517.96567377049</v>
      </c>
      <c r="AL157" s="129">
        <f t="array" ref="AL157">MAX((УслРестрактов[Характеристика]="Дата реструктуризации")*(УслРестрактов[Значение]=Первоначальный!$A157),0)</f>
        <v>0</v>
      </c>
    </row>
    <row r="158" spans="1:38" x14ac:dyDescent="0.25">
      <c r="A158" s="97">
        <f t="shared" si="27"/>
        <v>44289</v>
      </c>
      <c r="B158" s="100">
        <f t="shared" ca="1" si="28"/>
        <v>149633.34</v>
      </c>
      <c r="C158" s="55">
        <f t="shared" ca="1" si="36"/>
        <v>6739.7600000000011</v>
      </c>
      <c r="D158" s="55">
        <f t="shared" ca="1" si="36"/>
        <v>18.559999999999988</v>
      </c>
      <c r="E158" s="55">
        <f t="shared" ca="1" si="29"/>
        <v>0</v>
      </c>
      <c r="F158" s="55">
        <f t="shared" ca="1" si="30"/>
        <v>1126.3056737704917</v>
      </c>
      <c r="G158" s="101">
        <f t="shared" ca="1" si="31"/>
        <v>157517.96567377049</v>
      </c>
      <c r="H158" s="100">
        <f ca="1">ROUND($B158*VLOOKUP($A158,$A$1:$B$10,2,1)/(365+IF(MOD(YEAR($A158),4),0,1)*($A158-$A157)),2)-Первоначальный[[#This Row],[Проценты на просроченный платеж по ОД за период]]</f>
        <v>81.039999999999992</v>
      </c>
      <c r="I158" s="55">
        <f t="shared" ca="1" si="32"/>
        <v>0.54</v>
      </c>
      <c r="J158" s="55">
        <v>0</v>
      </c>
      <c r="K158" s="55">
        <f t="shared" ca="1" si="35"/>
        <v>28.903503278688532</v>
      </c>
      <c r="L158" s="55">
        <v>0</v>
      </c>
      <c r="M158" s="113">
        <f>SUMIFS(График[Возврат основной суммы долга],График[Дата с учетом нерабочих дней],$A158)</f>
        <v>0</v>
      </c>
      <c r="N158" s="56">
        <f>SUMIFS(График[Возврат начисленных %],График[Дата с учетом нерабочих дней],$A158)</f>
        <v>0</v>
      </c>
      <c r="O158" s="101">
        <v>0</v>
      </c>
      <c r="P158" s="100" cm="1">
        <f t="array" aca="1" ref="P158" ca="1">MAX(IF(AA157="Да",0,SUM(INDIRECT("M"&amp;(MAX(("Да"=AA$12:AA157)*ROW(AA$12:AA157)+1,ROW($P$12))&amp;":M"&amp;(ROW()))))-SUM(INDIRECT("W"&amp;(MAX(("Да"=AA$12:AA157)*ROW(AA$12:AA157)+1,ROW($P$12))&amp;":W"&amp;(ROW()))))),0)</f>
        <v>986.38999999999942</v>
      </c>
      <c r="Q158" s="99">
        <f ca="1">MAX(SUM($N$13:N158)-SUM($T$13:T158),0)</f>
        <v>4794.3106557377068</v>
      </c>
      <c r="R158" s="99">
        <f ca="1">Первоначальный[[#This Row],[Просроченный платеж по ОД]]+Первоначальный[[#This Row],[Просроченный платеж по процентам]]</f>
        <v>5780.7006557377063</v>
      </c>
      <c r="S158" s="120">
        <f ca="1">IF(Первоначальный[[#This Row],[Просроченный платеж]]&lt;1,0,S157+1)</f>
        <v>54</v>
      </c>
      <c r="T158" s="100" cm="1">
        <f t="array" aca="1" ref="T158" ca="1">IF(Первоначальный[[#This Row],[Итого остаток на начало периода]]&lt;1,0,
IF(
AND(TYPE(VLOOKUP(1,$Z$12:Z158,1,0))=16,Первоначальный[[#This Row],[Досрочное погашение (да/"")]]=""),0,
_xlfn.IFS(AND(S157=0,Первоначальный[[#This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платеж]]&lt;&gt;0),MIN(LOOKUP(,-1/($Z$12:Z158=1),$C$12:C158)+LOOKUP(,-1/($Z$12:Z158=1),$H$12:H158),Первоначальный[[#This Row],[Полученный платеж]]+Y157),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платеж]]+Y157,SUM(Первоначальный[[#This Row],[Остаток процентов на начало периода]],Первоначальный[[#This Row],[Проценты за период]])),
AND(S157=0,Первоначальный[[#This Row],[Дата платежа из графика]]=""),0,
AND(S157=0,Первоначальный[[#This Row],[Дата платежа из графика]]=1,MAX((0&lt;&gt;S$12:S157)*ROW(S$12:S157),ROW($S$12))&gt;=MAX((1=Z$12:Z157)*ROW(Z$12:Z157),ROW($T$12)),TYPE(VLOOKUP("Да",(INDIRECT("AA"&amp;(MAX((1=Z$12:Z157)*ROW(Z$12:Z157),ROW($T$12))&amp;":AA"&amp;(ROW()-1)))),1,0))=16),MIN(LOOKUP(,-1/($Z$12:Z158=1),$C$12:C158)+LOOKUP(,-1/($Z$12:Z158=1),$H$12:H158),Первоначальный[[#This Row],[Полученный платеж]]+Y157),
AND(S157=0,TYPE(VLOOKUP("Да",(INDIRECT("AA"&amp;(MAX((1=Z$12:Z157)*ROW(Z$12:Z157),ROW($T$12))&amp;":AA"&amp;(ROW()-1)))),1,0))&lt;&gt;16),MIN(LOOKUP(,-1/($Z$12:Z158=1),$C$12:C158)+LOOKUP(,-1/($Z$12:Z158=1),$H$12:H158)-IF(AA157="Да",0,SUM(INDIRECT("T"&amp;(MAX(("Да"=AA$12:AA157)*ROW(AA$12:AA157)+1,ROW($T$12))&amp;":T"&amp;(ROW()-1))))),Первоначальный[[#This Row],[Полученный платеж]]+Y157),
AND(S157=0,MAX((0&lt;&gt;N$12:N157)*ROW(N$12:N157),ROW($S$12))&gt;=MAX((1=Z$12:Z157)*ROW(Z$12:Z157),ROW($T$12))),MIN(LOOKUP(,-1/($Z$12:Z158=1),$C$12:C158)+LOOKUP(,-1/($Z$12:Z158=1),$H$12:H158)-IF(N157&lt;&gt;0,0,SUM(INDIRECT("T"&amp;(MAX((0&lt;&gt;N$12:N157)*ROW(N$12:N157)+1,ROW($T$12))&amp;":T"&amp;(ROW()-1))))),Первоначальный[[#This Row],[Полученный платеж]]+Y157),
AND(S157=0,Первоначальный[[#This Row],[Дата платежа из графика]]=1),MIN(LOOKUP(,-1/($Z$12:Z158=1),$C$12:C158)+LOOKUP(,-1/($Z$12:Z158=1),$H$12:H158)-IF(Z157=1,0,SUM(INDIRECT("T"&amp;(MAX((1=Z$12:Z157)*ROW(Z$12:Z157)+1,ROW($T$12))&amp;":T"&amp;(ROW()-1))))),Первоначальный[[#This Row],[Полученный платеж]]+Y157),
AND(Z157&gt;0,Первоначальный[[#This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платеж]]+Y157),
AND(S157&gt;0,MAX((0&lt;&gt;S$12:S157)*ROW(S$12:S157),ROW($S$12))&gt;=MAX((1=Z$12:Z157)*ROW(Z$12:Z157),ROW($T$12)),TYPE(VLOOKUP("Да",(INDIRECT("AA"&amp;(MAX((1=Z$12:Z157)*ROW(Z$12:Z157),ROW($T$12))&amp;":AA"&amp;(ROW()-1)))),1,0))=16),MIN(LOOKUP(,-1/($Z$12:Z158=1),$C$12:C158)+LOOKUP(,-1/($Z$12:Z158=1),$H$12:H158)-SUM(INDIRECT("T"&amp;(MAX((1=Z$12:Z157)*ROW(Z$12:Z157),ROW($T$12))&amp;":T"&amp;(ROW()-1)))),Первоначальный[[#This Row],[Полученный платеж]]+Y157),
S157&gt;0,MIN(LOOKUP(,-1/($Z$12:Z158=1),$C$12:C158)+LOOKUP(,-1/($Z$12:Z158=1),$H$12:H158)-IF(Z157=1,0,SUM(INDIRECT("T"&amp;(MAX((1=Z$12:Z157)*ROW(Z$12:Z157)+1,ROW($T$12))&amp;":T"&amp;(ROW()-1))))),Первоначальный[[#This Row],[Полученный платеж]]+Y157)
)
)
)</f>
        <v>0</v>
      </c>
      <c r="U15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платеж]]+Y157-Первоначальный[[#This Row],[Полученный платёж по процентам]])</f>
        <v>0</v>
      </c>
      <c r="V158" s="55">
        <f t="shared" ca="1" si="25"/>
        <v>0</v>
      </c>
      <c r="W158" s="55" cm="1">
        <f t="array" aca="1" ref="W158" ca="1">IF(Первоначальный[[#This Row],[Итого остаток на начало периода]]&lt;1,0,
_xlfn.IFS(
AND(TYPE(VLOOKUP(1,$Z$12:Z158,1,0))=16,Первоначальный[[#This Row],[Досрочное погашение (да/"")]]=""),0,
AND(S157=0,Первоначальный[[#This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комиссиям]]),VLOOKUP(LOOKUP(,-1/($Z$12:Z158=1),$A$12:A158),График[[Срок конец]:[Возврат основной суммы долга]],3,0)),
AND(S157=0,Первоначальный[[#This Row],[Дата платежа из графика]]="",Первоначальный[[#This Row],[Досрочное погашение (да/"")]]&lt;&gt;"Да"),0,
AND(S157=0,Первоначальный[[#This Row],[Досрочное погашение (да/"")]]=""),MIN(Первоначальный[[#This Row],[Полученный платеж]]+Y157-SUM(Первоначальный[[#This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комиссиям]]),VLOOKUP(LOOKUP(,-1/($Z$12:Z158=1),$A$12:A158),График[[Срок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S157&gt;0,MIN(Первоначальный[[#This Row],[Полученный платеж]]+Y157-SUM(Первоначальный[[#This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комиссиям]]),SUM(INDIRECT("M"&amp;(MAX((1=S$12:S157)*ROW(S$12:S157),ROW($W$12))&amp;":M"&amp;(ROW()))))-SUM(INDIRECT("W"&amp;(MAX((1=S$12:S157)*ROW(S$12:S157),ROW($W$12))&amp;":W"&amp;(ROW()-1)))))
)
)</f>
        <v>0</v>
      </c>
      <c r="X158" s="55">
        <f t="shared" ca="1" si="26"/>
        <v>0</v>
      </c>
      <c r="Y158" s="101">
        <f t="shared" ca="1" si="33"/>
        <v>0</v>
      </c>
      <c r="Z158" s="133" t="str">
        <f>IF(TYPE((VLOOKUP(Первоначальный[[#This Row],[Дата платежа]],График[Срок конец],1,0)))=16,"",1)</f>
        <v/>
      </c>
      <c r="AA158" s="57"/>
      <c r="AB158" s="134"/>
      <c r="AC15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6820.8000000000011</v>
      </c>
      <c r="AE15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19.099999999999987</v>
      </c>
      <c r="AF15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1155.2091770491802</v>
      </c>
      <c r="AH158" s="55"/>
      <c r="AI158" s="55"/>
      <c r="AJ158" s="55"/>
      <c r="AK158" s="101">
        <f t="shared" ca="1" si="34"/>
        <v>157628.44917704916</v>
      </c>
      <c r="AL158" s="129">
        <f t="array" ref="AL158">MAX((УслРестрактов[Характеристика]="Дата реструктуризации")*(УслРестрактов[Значение]=Первоначальный!$A158),0)</f>
        <v>0</v>
      </c>
    </row>
    <row r="159" spans="1:38" x14ac:dyDescent="0.25">
      <c r="A159" s="97">
        <f t="shared" si="27"/>
        <v>44290</v>
      </c>
      <c r="B159" s="100">
        <f t="shared" ca="1" si="28"/>
        <v>149633.34</v>
      </c>
      <c r="C159" s="55">
        <f t="shared" ca="1" si="36"/>
        <v>6820.8000000000011</v>
      </c>
      <c r="D159" s="55">
        <f t="shared" ca="1" si="36"/>
        <v>19.099999999999987</v>
      </c>
      <c r="E159" s="55">
        <f t="shared" ca="1" si="29"/>
        <v>0</v>
      </c>
      <c r="F159" s="55">
        <f t="shared" ca="1" si="30"/>
        <v>1155.2091770491802</v>
      </c>
      <c r="G159" s="101">
        <f t="shared" ca="1" si="31"/>
        <v>157628.44917704916</v>
      </c>
      <c r="H159" s="100">
        <f ca="1">ROUND($B159*VLOOKUP($A159,$A$1:$B$10,2,1)/(365+IF(MOD(YEAR($A159),4),0,1)*($A159-$A158)),2)-Первоначальный[[#This Row],[Проценты на просроченный платеж по ОД за период]]</f>
        <v>81.039999999999992</v>
      </c>
      <c r="I159" s="55">
        <f t="shared" ca="1" si="32"/>
        <v>0.54</v>
      </c>
      <c r="J159" s="55">
        <v>0</v>
      </c>
      <c r="K159" s="55">
        <f t="shared" ca="1" si="35"/>
        <v>28.903503278688532</v>
      </c>
      <c r="L159" s="55">
        <v>0</v>
      </c>
      <c r="M159" s="113">
        <f>SUMIFS(График[Возврат основной суммы долга],График[Дата с учетом нерабочих дней],$A159)</f>
        <v>0</v>
      </c>
      <c r="N159" s="56">
        <f>SUMIFS(График[Возврат начисленных %],График[Дата с учетом нерабочих дней],$A159)</f>
        <v>0</v>
      </c>
      <c r="O159" s="101">
        <v>0</v>
      </c>
      <c r="P159" s="100" cm="1">
        <f t="array" aca="1" ref="P159" ca="1">MAX(IF(AA158="Да",0,SUM(INDIRECT("M"&amp;(MAX(("Да"=AA$12:AA158)*ROW(AA$12:AA158)+1,ROW($P$12))&amp;":M"&amp;(ROW()))))-SUM(INDIRECT("W"&amp;(MAX(("Да"=AA$12:AA158)*ROW(AA$12:AA158)+1,ROW($P$12))&amp;":W"&amp;(ROW()))))),0)</f>
        <v>986.38999999999942</v>
      </c>
      <c r="Q159" s="99">
        <f ca="1">MAX(SUM($N$13:N159)-SUM($T$13:T159),0)</f>
        <v>4794.3106557377068</v>
      </c>
      <c r="R159" s="99">
        <f ca="1">Первоначальный[[#This Row],[Просроченный платеж по ОД]]+Первоначальный[[#This Row],[Просроченный платеж по процентам]]</f>
        <v>5780.7006557377063</v>
      </c>
      <c r="S159" s="120">
        <f ca="1">IF(Первоначальный[[#This Row],[Просроченный платеж]]&lt;1,0,S158+1)</f>
        <v>55</v>
      </c>
      <c r="T159" s="100" cm="1">
        <f t="array" aca="1" ref="T159" ca="1">IF(Первоначальный[[#This Row],[Итого остаток на начало периода]]&lt;1,0,
IF(
AND(TYPE(VLOOKUP(1,$Z$12:Z159,1,0))=16,Первоначальный[[#This Row],[Досрочное погашение (да/"")]]=""),0,
_xlfn.IFS(AND(S158=0,Первоначальный[[#This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платеж]]&lt;&gt;0),MIN(LOOKUP(,-1/($Z$12:Z159=1),$C$12:C159)+LOOKUP(,-1/($Z$12:Z159=1),$H$12:H159),Первоначальный[[#This Row],[Полученный платеж]]+Y158),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платеж]]+Y158,SUM(Первоначальный[[#This Row],[Остаток процентов на начало периода]],Первоначальный[[#This Row],[Проценты за период]])),
AND(S158=0,Первоначальный[[#This Row],[Дата платежа из графика]]=""),0,
AND(S158=0,Первоначальный[[#This Row],[Дата платежа из графика]]=1,MAX((0&lt;&gt;S$12:S158)*ROW(S$12:S158),ROW($S$12))&gt;=MAX((1=Z$12:Z158)*ROW(Z$12:Z158),ROW($T$12)),TYPE(VLOOKUP("Да",(INDIRECT("AA"&amp;(MAX((1=Z$12:Z158)*ROW(Z$12:Z158),ROW($T$12))&amp;":AA"&amp;(ROW()-1)))),1,0))=16),MIN(LOOKUP(,-1/($Z$12:Z159=1),$C$12:C159)+LOOKUP(,-1/($Z$12:Z159=1),$H$12:H159),Первоначальный[[#This Row],[Полученный платеж]]+Y158),
AND(S158=0,TYPE(VLOOKUP("Да",(INDIRECT("AA"&amp;(MAX((1=Z$12:Z158)*ROW(Z$12:Z158),ROW($T$12))&amp;":AA"&amp;(ROW()-1)))),1,0))&lt;&gt;16),MIN(LOOKUP(,-1/($Z$12:Z159=1),$C$12:C159)+LOOKUP(,-1/($Z$12:Z159=1),$H$12:H159)-IF(AA158="Да",0,SUM(INDIRECT("T"&amp;(MAX(("Да"=AA$12:AA158)*ROW(AA$12:AA158)+1,ROW($T$12))&amp;":T"&amp;(ROW()-1))))),Первоначальный[[#This Row],[Полученный платеж]]+Y158),
AND(S158=0,MAX((0&lt;&gt;N$12:N158)*ROW(N$12:N158),ROW($S$12))&gt;=MAX((1=Z$12:Z158)*ROW(Z$12:Z158),ROW($T$12))),MIN(LOOKUP(,-1/($Z$12:Z159=1),$C$12:C159)+LOOKUP(,-1/($Z$12:Z159=1),$H$12:H159)-IF(N158&lt;&gt;0,0,SUM(INDIRECT("T"&amp;(MAX((0&lt;&gt;N$12:N158)*ROW(N$12:N158)+1,ROW($T$12))&amp;":T"&amp;(ROW()-1))))),Первоначальный[[#This Row],[Полученный платеж]]+Y158),
AND(S158=0,Первоначальный[[#This Row],[Дата платежа из графика]]=1),MIN(LOOKUP(,-1/($Z$12:Z159=1),$C$12:C159)+LOOKUP(,-1/($Z$12:Z159=1),$H$12:H159)-IF(Z158=1,0,SUM(INDIRECT("T"&amp;(MAX((1=Z$12:Z158)*ROW(Z$12:Z158)+1,ROW($T$12))&amp;":T"&amp;(ROW()-1))))),Первоначальный[[#This Row],[Полученный платеж]]+Y158),
AND(Z158&gt;0,Первоначальный[[#This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платеж]]+Y158),
AND(S158&gt;0,MAX((0&lt;&gt;S$12:S158)*ROW(S$12:S158),ROW($S$12))&gt;=MAX((1=Z$12:Z158)*ROW(Z$12:Z158),ROW($T$12)),TYPE(VLOOKUP("Да",(INDIRECT("AA"&amp;(MAX((1=Z$12:Z158)*ROW(Z$12:Z158),ROW($T$12))&amp;":AA"&amp;(ROW()-1)))),1,0))=16),MIN(LOOKUP(,-1/($Z$12:Z159=1),$C$12:C159)+LOOKUP(,-1/($Z$12:Z159=1),$H$12:H159)-SUM(INDIRECT("T"&amp;(MAX((1=Z$12:Z158)*ROW(Z$12:Z158),ROW($T$12))&amp;":T"&amp;(ROW()-1)))),Первоначальный[[#This Row],[Полученный платеж]]+Y158),
S158&gt;0,MIN(LOOKUP(,-1/($Z$12:Z159=1),$C$12:C159)+LOOKUP(,-1/($Z$12:Z159=1),$H$12:H159)-IF(Z158=1,0,SUM(INDIRECT("T"&amp;(MAX((1=Z$12:Z158)*ROW(Z$12:Z158)+1,ROW($T$12))&amp;":T"&amp;(ROW()-1))))),Первоначальный[[#This Row],[Полученный платеж]]+Y158)
)
)
)</f>
        <v>0</v>
      </c>
      <c r="U15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платеж]]+Y158-Первоначальный[[#This Row],[Полученный платёж по процентам]])</f>
        <v>0</v>
      </c>
      <c r="V159" s="55">
        <f t="shared" ca="1" si="25"/>
        <v>0</v>
      </c>
      <c r="W159" s="55" cm="1">
        <f t="array" aca="1" ref="W159" ca="1">IF(Первоначальный[[#This Row],[Итого остаток на начало периода]]&lt;1,0,
_xlfn.IFS(
AND(TYPE(VLOOKUP(1,$Z$12:Z159,1,0))=16,Первоначальный[[#This Row],[Досрочное погашение (да/"")]]=""),0,
AND(S158=0,Первоначальный[[#This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комиссиям]]),VLOOKUP(LOOKUP(,-1/($Z$12:Z159=1),$A$12:A159),График[[Срок конец]:[Возврат основной суммы долга]],3,0)),
AND(S158=0,Первоначальный[[#This Row],[Дата платежа из графика]]="",Первоначальный[[#This Row],[Досрочное погашение (да/"")]]&lt;&gt;"Да"),0,
AND(S158=0,Первоначальный[[#This Row],[Досрочное погашение (да/"")]]=""),MIN(Первоначальный[[#This Row],[Полученный платеж]]+Y158-SUM(Первоначальный[[#This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комиссиям]]),VLOOKUP(LOOKUP(,-1/($Z$12:Z159=1),$A$12:A159),График[[Срок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S158&gt;0,MIN(Первоначальный[[#This Row],[Полученный платеж]]+Y158-SUM(Первоначальный[[#This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комиссиям]]),SUM(INDIRECT("M"&amp;(MAX((1=S$12:S158)*ROW(S$12:S158),ROW($W$12))&amp;":M"&amp;(ROW()))))-SUM(INDIRECT("W"&amp;(MAX((1=S$12:S158)*ROW(S$12:S158),ROW($W$12))&amp;":W"&amp;(ROW()-1)))))
)
)</f>
        <v>0</v>
      </c>
      <c r="X159" s="55">
        <f t="shared" ca="1" si="26"/>
        <v>0</v>
      </c>
      <c r="Y159" s="101">
        <f t="shared" ca="1" si="33"/>
        <v>0</v>
      </c>
      <c r="Z159" s="133" t="str">
        <f>IF(TYPE((VLOOKUP(Первоначальный[[#This Row],[Дата платежа]],График[Срок конец],1,0)))=16,"",1)</f>
        <v/>
      </c>
      <c r="AA159" s="57"/>
      <c r="AB159" s="134"/>
      <c r="AC15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6901.8400000000011</v>
      </c>
      <c r="AE15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19.639999999999986</v>
      </c>
      <c r="AF15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1184.1126803278687</v>
      </c>
      <c r="AH159" s="55"/>
      <c r="AI159" s="55"/>
      <c r="AJ159" s="55"/>
      <c r="AK159" s="101">
        <f t="shared" ca="1" si="34"/>
        <v>157738.93268032788</v>
      </c>
      <c r="AL159" s="129">
        <f t="array" ref="AL159">MAX((УслРестрактов[Характеристика]="Дата реструктуризации")*(УслРестрактов[Значение]=Первоначальный!$A159),0)</f>
        <v>0</v>
      </c>
    </row>
    <row r="160" spans="1:38" x14ac:dyDescent="0.25">
      <c r="A160" s="97">
        <f t="shared" si="27"/>
        <v>44291</v>
      </c>
      <c r="B160" s="100">
        <f t="shared" ca="1" si="28"/>
        <v>149633.34</v>
      </c>
      <c r="C160" s="55">
        <f t="shared" ca="1" si="36"/>
        <v>6901.8400000000011</v>
      </c>
      <c r="D160" s="55">
        <f t="shared" ca="1" si="36"/>
        <v>19.639999999999986</v>
      </c>
      <c r="E160" s="55">
        <f t="shared" ca="1" si="29"/>
        <v>0</v>
      </c>
      <c r="F160" s="55">
        <f t="shared" ca="1" si="30"/>
        <v>1184.1126803278687</v>
      </c>
      <c r="G160" s="101">
        <f t="shared" ca="1" si="31"/>
        <v>157738.93268032788</v>
      </c>
      <c r="H160" s="100">
        <f ca="1">ROUND($B160*VLOOKUP($A160,$A$1:$B$10,2,1)/(365+IF(MOD(YEAR($A160),4),0,1)*($A160-$A159)),2)-Первоначальный[[#This Row],[Проценты на просроченный платеж по ОД за период]]</f>
        <v>81.039999999999992</v>
      </c>
      <c r="I160" s="55">
        <f t="shared" ca="1" si="32"/>
        <v>0.54</v>
      </c>
      <c r="J160" s="55">
        <v>0</v>
      </c>
      <c r="K160" s="55">
        <f t="shared" ca="1" si="35"/>
        <v>28.903503278688532</v>
      </c>
      <c r="L160" s="55">
        <v>0</v>
      </c>
      <c r="M160" s="113">
        <f>SUMIFS(График[Возврат основной суммы долга],График[Дата с учетом нерабочих дней],$A160)</f>
        <v>0</v>
      </c>
      <c r="N160" s="56">
        <f>SUMIFS(График[Возврат начисленных %],График[Дата с учетом нерабочих дней],$A160)</f>
        <v>0</v>
      </c>
      <c r="O160" s="101">
        <v>0</v>
      </c>
      <c r="P160" s="100" cm="1">
        <f t="array" aca="1" ref="P160" ca="1">MAX(IF(AA159="Да",0,SUM(INDIRECT("M"&amp;(MAX(("Да"=AA$12:AA159)*ROW(AA$12:AA159)+1,ROW($P$12))&amp;":M"&amp;(ROW()))))-SUM(INDIRECT("W"&amp;(MAX(("Да"=AA$12:AA159)*ROW(AA$12:AA159)+1,ROW($P$12))&amp;":W"&amp;(ROW()))))),0)</f>
        <v>986.38999999999942</v>
      </c>
      <c r="Q160" s="99">
        <f ca="1">MAX(SUM($N$13:N160)-SUM($T$13:T160),0)</f>
        <v>4794.3106557377068</v>
      </c>
      <c r="R160" s="99">
        <f ca="1">Первоначальный[[#This Row],[Просроченный платеж по ОД]]+Первоначальный[[#This Row],[Просроченный платеж по процентам]]</f>
        <v>5780.7006557377063</v>
      </c>
      <c r="S160" s="120">
        <f ca="1">IF(Первоначальный[[#This Row],[Просроченный платеж]]&lt;1,0,S159+1)</f>
        <v>56</v>
      </c>
      <c r="T160" s="100" cm="1">
        <f t="array" aca="1" ref="T160" ca="1">IF(Первоначальный[[#This Row],[Итого остаток на начало периода]]&lt;1,0,
IF(
AND(TYPE(VLOOKUP(1,$Z$12:Z160,1,0))=16,Первоначальный[[#This Row],[Досрочное погашение (да/"")]]=""),0,
_xlfn.IFS(AND(S159=0,Первоначальный[[#This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платеж]]&lt;&gt;0),MIN(LOOKUP(,-1/($Z$12:Z160=1),$C$12:C160)+LOOKUP(,-1/($Z$12:Z160=1),$H$12:H160),Первоначальный[[#This Row],[Полученный платеж]]+Y159),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платеж]]+Y159,SUM(Первоначальный[[#This Row],[Остаток процентов на начало периода]],Первоначальный[[#This Row],[Проценты за период]])),
AND(S159=0,Первоначальный[[#This Row],[Дата платежа из графика]]=""),0,
AND(S159=0,Первоначальный[[#This Row],[Дата платежа из графика]]=1,MAX((0&lt;&gt;S$12:S159)*ROW(S$12:S159),ROW($S$12))&gt;=MAX((1=Z$12:Z159)*ROW(Z$12:Z159),ROW($T$12)),TYPE(VLOOKUP("Да",(INDIRECT("AA"&amp;(MAX((1=Z$12:Z159)*ROW(Z$12:Z159),ROW($T$12))&amp;":AA"&amp;(ROW()-1)))),1,0))=16),MIN(LOOKUP(,-1/($Z$12:Z160=1),$C$12:C160)+LOOKUP(,-1/($Z$12:Z160=1),$H$12:H160),Первоначальный[[#This Row],[Полученный платеж]]+Y159),
AND(S159=0,TYPE(VLOOKUP("Да",(INDIRECT("AA"&amp;(MAX((1=Z$12:Z159)*ROW(Z$12:Z159),ROW($T$12))&amp;":AA"&amp;(ROW()-1)))),1,0))&lt;&gt;16),MIN(LOOKUP(,-1/($Z$12:Z160=1),$C$12:C160)+LOOKUP(,-1/($Z$12:Z160=1),$H$12:H160)-IF(AA159="Да",0,SUM(INDIRECT("T"&amp;(MAX(("Да"=AA$12:AA159)*ROW(AA$12:AA159)+1,ROW($T$12))&amp;":T"&amp;(ROW()-1))))),Первоначальный[[#This Row],[Полученный платеж]]+Y159),
AND(S159=0,MAX((0&lt;&gt;N$12:N159)*ROW(N$12:N159),ROW($S$12))&gt;=MAX((1=Z$12:Z159)*ROW(Z$12:Z159),ROW($T$12))),MIN(LOOKUP(,-1/($Z$12:Z160=1),$C$12:C160)+LOOKUP(,-1/($Z$12:Z160=1),$H$12:H160)-IF(N159&lt;&gt;0,0,SUM(INDIRECT("T"&amp;(MAX((0&lt;&gt;N$12:N159)*ROW(N$12:N159)+1,ROW($T$12))&amp;":T"&amp;(ROW()-1))))),Первоначальный[[#This Row],[Полученный платеж]]+Y159),
AND(S159=0,Первоначальный[[#This Row],[Дата платежа из графика]]=1),MIN(LOOKUP(,-1/($Z$12:Z160=1),$C$12:C160)+LOOKUP(,-1/($Z$12:Z160=1),$H$12:H160)-IF(Z159=1,0,SUM(INDIRECT("T"&amp;(MAX((1=Z$12:Z159)*ROW(Z$12:Z159)+1,ROW($T$12))&amp;":T"&amp;(ROW()-1))))),Первоначальный[[#This Row],[Полученный платеж]]+Y159),
AND(Z159&gt;0,Первоначальный[[#This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платеж]]+Y159),
AND(S159&gt;0,MAX((0&lt;&gt;S$12:S159)*ROW(S$12:S159),ROW($S$12))&gt;=MAX((1=Z$12:Z159)*ROW(Z$12:Z159),ROW($T$12)),TYPE(VLOOKUP("Да",(INDIRECT("AA"&amp;(MAX((1=Z$12:Z159)*ROW(Z$12:Z159),ROW($T$12))&amp;":AA"&amp;(ROW()-1)))),1,0))=16),MIN(LOOKUP(,-1/($Z$12:Z160=1),$C$12:C160)+LOOKUP(,-1/($Z$12:Z160=1),$H$12:H160)-SUM(INDIRECT("T"&amp;(MAX((1=Z$12:Z159)*ROW(Z$12:Z159),ROW($T$12))&amp;":T"&amp;(ROW()-1)))),Первоначальный[[#This Row],[Полученный платеж]]+Y159),
S159&gt;0,MIN(LOOKUP(,-1/($Z$12:Z160=1),$C$12:C160)+LOOKUP(,-1/($Z$12:Z160=1),$H$12:H160)-IF(Z159=1,0,SUM(INDIRECT("T"&amp;(MAX((1=Z$12:Z159)*ROW(Z$12:Z159)+1,ROW($T$12))&amp;":T"&amp;(ROW()-1))))),Первоначальный[[#This Row],[Полученный платеж]]+Y159)
)
)
)</f>
        <v>0</v>
      </c>
      <c r="U16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платеж]]+Y159-Первоначальный[[#This Row],[Полученный платёж по процентам]])</f>
        <v>0</v>
      </c>
      <c r="V160" s="55">
        <f t="shared" ca="1" si="25"/>
        <v>0</v>
      </c>
      <c r="W160" s="55" cm="1">
        <f t="array" aca="1" ref="W160" ca="1">IF(Первоначальный[[#This Row],[Итого остаток на начало периода]]&lt;1,0,
_xlfn.IFS(
AND(TYPE(VLOOKUP(1,$Z$12:Z160,1,0))=16,Первоначальный[[#This Row],[Досрочное погашение (да/"")]]=""),0,
AND(S159=0,Первоначальный[[#This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комиссиям]]),VLOOKUP(LOOKUP(,-1/($Z$12:Z160=1),$A$12:A160),График[[Срок конец]:[Возврат основной суммы долга]],3,0)),
AND(S159=0,Первоначальный[[#This Row],[Дата платежа из графика]]="",Первоначальный[[#This Row],[Досрочное погашение (да/"")]]&lt;&gt;"Да"),0,
AND(S159=0,Первоначальный[[#This Row],[Досрочное погашение (да/"")]]=""),MIN(Первоначальный[[#This Row],[Полученный платеж]]+Y159-SUM(Первоначальный[[#This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комиссиям]]),VLOOKUP(LOOKUP(,-1/($Z$12:Z160=1),$A$12:A160),График[[Срок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S159&gt;0,MIN(Первоначальный[[#This Row],[Полученный платеж]]+Y159-SUM(Первоначальный[[#This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комиссиям]]),SUM(INDIRECT("M"&amp;(MAX((1=S$12:S159)*ROW(S$12:S159),ROW($W$12))&amp;":M"&amp;(ROW()))))-SUM(INDIRECT("W"&amp;(MAX((1=S$12:S159)*ROW(S$12:S159),ROW($W$12))&amp;":W"&amp;(ROW()-1)))))
)
)</f>
        <v>0</v>
      </c>
      <c r="X160" s="55">
        <f t="shared" ca="1" si="26"/>
        <v>0</v>
      </c>
      <c r="Y160" s="101">
        <f t="shared" ca="1" si="33"/>
        <v>0</v>
      </c>
      <c r="Z160" s="133" t="str">
        <f>IF(TYPE((VLOOKUP(Первоначальный[[#This Row],[Дата платежа]],График[Срок конец],1,0)))=16,"",1)</f>
        <v/>
      </c>
      <c r="AA160" s="57"/>
      <c r="AB160" s="134"/>
      <c r="AC16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6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6982.880000000001</v>
      </c>
      <c r="AE16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20.179999999999986</v>
      </c>
      <c r="AF16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6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1213.0161836065572</v>
      </c>
      <c r="AH160" s="55"/>
      <c r="AI160" s="55"/>
      <c r="AJ160" s="55"/>
      <c r="AK160" s="101">
        <f t="shared" ca="1" si="34"/>
        <v>157849.41618360655</v>
      </c>
      <c r="AL160" s="129">
        <f t="array" ref="AL160">MAX((УслРестрактов[Характеристика]="Дата реструктуризации")*(УслРестрактов[Значение]=Первоначальный!$A160),0)</f>
        <v>0</v>
      </c>
    </row>
    <row r="161" spans="1:38" x14ac:dyDescent="0.25">
      <c r="A161" s="97">
        <f t="shared" si="27"/>
        <v>44292</v>
      </c>
      <c r="B161" s="100">
        <f t="shared" ca="1" si="28"/>
        <v>149633.34</v>
      </c>
      <c r="C161" s="55">
        <f t="shared" ca="1" si="36"/>
        <v>6982.880000000001</v>
      </c>
      <c r="D161" s="55">
        <f t="shared" ca="1" si="36"/>
        <v>20.179999999999986</v>
      </c>
      <c r="E161" s="55">
        <f t="shared" ca="1" si="29"/>
        <v>0</v>
      </c>
      <c r="F161" s="55">
        <f t="shared" ca="1" si="30"/>
        <v>1213.0161836065572</v>
      </c>
      <c r="G161" s="101">
        <f t="shared" ca="1" si="31"/>
        <v>157849.41618360655</v>
      </c>
      <c r="H161" s="100">
        <f ca="1">ROUND($B161*VLOOKUP($A161,$A$1:$B$10,2,1)/(365+IF(MOD(YEAR($A161),4),0,1)*($A161-$A160)),2)-Первоначальный[[#This Row],[Проценты на просроченный платеж по ОД за период]]</f>
        <v>81.039999999999992</v>
      </c>
      <c r="I161" s="55">
        <f t="shared" ca="1" si="32"/>
        <v>0.54</v>
      </c>
      <c r="J161" s="55">
        <v>0</v>
      </c>
      <c r="K161" s="55">
        <f t="shared" ca="1" si="35"/>
        <v>28.903503278688532</v>
      </c>
      <c r="L161" s="55">
        <v>0</v>
      </c>
      <c r="M161" s="113">
        <f>SUMIFS(График[Возврат основной суммы долга],График[Дата с учетом нерабочих дней],$A161)</f>
        <v>0</v>
      </c>
      <c r="N161" s="56">
        <f>SUMIFS(График[Возврат начисленных %],График[Дата с учетом нерабочих дней],$A161)</f>
        <v>0</v>
      </c>
      <c r="O161" s="101">
        <v>0</v>
      </c>
      <c r="P161" s="100" cm="1">
        <f t="array" aca="1" ref="P161" ca="1">MAX(IF(AA160="Да",0,SUM(INDIRECT("M"&amp;(MAX(("Да"=AA$12:AA160)*ROW(AA$12:AA160)+1,ROW($P$12))&amp;":M"&amp;(ROW()))))-SUM(INDIRECT("W"&amp;(MAX(("Да"=AA$12:AA160)*ROW(AA$12:AA160)+1,ROW($P$12))&amp;":W"&amp;(ROW()))))),0)</f>
        <v>986.38999999999942</v>
      </c>
      <c r="Q161" s="99">
        <f ca="1">MAX(SUM($N$13:N161)-SUM($T$13:T161),0)</f>
        <v>4794.3106557377068</v>
      </c>
      <c r="R161" s="99">
        <f ca="1">Первоначальный[[#This Row],[Просроченный платеж по ОД]]+Первоначальный[[#This Row],[Просроченный платеж по процентам]]</f>
        <v>5780.7006557377063</v>
      </c>
      <c r="S161" s="120">
        <f ca="1">IF(Первоначальный[[#This Row],[Просроченный платеж]]&lt;1,0,S160+1)</f>
        <v>57</v>
      </c>
      <c r="T161" s="100" cm="1">
        <f t="array" aca="1" ref="T161" ca="1">IF(Первоначальный[[#This Row],[Итого остаток на начало периода]]&lt;1,0,
IF(
AND(TYPE(VLOOKUP(1,$Z$12:Z161,1,0))=16,Первоначальный[[#This Row],[Досрочное погашение (да/"")]]=""),0,
_xlfn.IFS(AND(S160=0,Первоначальный[[#This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платеж]]&lt;&gt;0),MIN(LOOKUP(,-1/($Z$12:Z161=1),$C$12:C161)+LOOKUP(,-1/($Z$12:Z161=1),$H$12:H161),Первоначальный[[#This Row],[Полученный платеж]]+Y160),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платеж]]+Y160,SUM(Первоначальный[[#This Row],[Остаток процентов на начало периода]],Первоначальный[[#This Row],[Проценты за период]])),
AND(S160=0,Первоначальный[[#This Row],[Дата платежа из графика]]=""),0,
AND(S160=0,Первоначальный[[#This Row],[Дата платежа из графика]]=1,MAX((0&lt;&gt;S$12:S160)*ROW(S$12:S160),ROW($S$12))&gt;=MAX((1=Z$12:Z160)*ROW(Z$12:Z160),ROW($T$12)),TYPE(VLOOKUP("Да",(INDIRECT("AA"&amp;(MAX((1=Z$12:Z160)*ROW(Z$12:Z160),ROW($T$12))&amp;":AA"&amp;(ROW()-1)))),1,0))=16),MIN(LOOKUP(,-1/($Z$12:Z161=1),$C$12:C161)+LOOKUP(,-1/($Z$12:Z161=1),$H$12:H161),Первоначальный[[#This Row],[Полученный платеж]]+Y160),
AND(S160=0,TYPE(VLOOKUP("Да",(INDIRECT("AA"&amp;(MAX((1=Z$12:Z160)*ROW(Z$12:Z160),ROW($T$12))&amp;":AA"&amp;(ROW()-1)))),1,0))&lt;&gt;16),MIN(LOOKUP(,-1/($Z$12:Z161=1),$C$12:C161)+LOOKUP(,-1/($Z$12:Z161=1),$H$12:H161)-IF(AA160="Да",0,SUM(INDIRECT("T"&amp;(MAX(("Да"=AA$12:AA160)*ROW(AA$12:AA160)+1,ROW($T$12))&amp;":T"&amp;(ROW()-1))))),Первоначальный[[#This Row],[Полученный платеж]]+Y160),
AND(S160=0,MAX((0&lt;&gt;N$12:N160)*ROW(N$12:N160),ROW($S$12))&gt;=MAX((1=Z$12:Z160)*ROW(Z$12:Z160),ROW($T$12))),MIN(LOOKUP(,-1/($Z$12:Z161=1),$C$12:C161)+LOOKUP(,-1/($Z$12:Z161=1),$H$12:H161)-IF(N160&lt;&gt;0,0,SUM(INDIRECT("T"&amp;(MAX((0&lt;&gt;N$12:N160)*ROW(N$12:N160)+1,ROW($T$12))&amp;":T"&amp;(ROW()-1))))),Первоначальный[[#This Row],[Полученный платеж]]+Y160),
AND(S160=0,Первоначальный[[#This Row],[Дата платежа из графика]]=1),MIN(LOOKUP(,-1/($Z$12:Z161=1),$C$12:C161)+LOOKUP(,-1/($Z$12:Z161=1),$H$12:H161)-IF(Z160=1,0,SUM(INDIRECT("T"&amp;(MAX((1=Z$12:Z160)*ROW(Z$12:Z160)+1,ROW($T$12))&amp;":T"&amp;(ROW()-1))))),Первоначальный[[#This Row],[Полученный платеж]]+Y160),
AND(Z160&gt;0,Первоначальный[[#This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платеж]]+Y160),
AND(S160&gt;0,MAX((0&lt;&gt;S$12:S160)*ROW(S$12:S160),ROW($S$12))&gt;=MAX((1=Z$12:Z160)*ROW(Z$12:Z160),ROW($T$12)),TYPE(VLOOKUP("Да",(INDIRECT("AA"&amp;(MAX((1=Z$12:Z160)*ROW(Z$12:Z160),ROW($T$12))&amp;":AA"&amp;(ROW()-1)))),1,0))=16),MIN(LOOKUP(,-1/($Z$12:Z161=1),$C$12:C161)+LOOKUP(,-1/($Z$12:Z161=1),$H$12:H161)-SUM(INDIRECT("T"&amp;(MAX((1=Z$12:Z160)*ROW(Z$12:Z160),ROW($T$12))&amp;":T"&amp;(ROW()-1)))),Первоначальный[[#This Row],[Полученный платеж]]+Y160),
S160&gt;0,MIN(LOOKUP(,-1/($Z$12:Z161=1),$C$12:C161)+LOOKUP(,-1/($Z$12:Z161=1),$H$12:H161)-IF(Z160=1,0,SUM(INDIRECT("T"&amp;(MAX((1=Z$12:Z160)*ROW(Z$12:Z160)+1,ROW($T$12))&amp;":T"&amp;(ROW()-1))))),Первоначальный[[#This Row],[Полученный платеж]]+Y160)
)
)
)</f>
        <v>0</v>
      </c>
      <c r="U16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платеж]]+Y160-Первоначальный[[#This Row],[Полученный платёж по процентам]])</f>
        <v>0</v>
      </c>
      <c r="V161" s="55">
        <f t="shared" ca="1" si="25"/>
        <v>0</v>
      </c>
      <c r="W161" s="55" cm="1">
        <f t="array" aca="1" ref="W161" ca="1">IF(Первоначальный[[#This Row],[Итого остаток на начало периода]]&lt;1,0,
_xlfn.IFS(
AND(TYPE(VLOOKUP(1,$Z$12:Z161,1,0))=16,Первоначальный[[#This Row],[Досрочное погашение (да/"")]]=""),0,
AND(S160=0,Первоначальный[[#This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платеж]]+Y160-SUM(Первоначальный[[#This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комиссиям]]),VLOOKUP(LOOKUP(,-1/($Z$12:Z161=1),$A$12:A161),График[[Срок конец]:[Возврат основной суммы долга]],3,0)),
AND(S160=0,Первоначальный[[#This Row],[Дата платежа из графика]]="",Первоначальный[[#This Row],[Досрочное погашение (да/"")]]&lt;&gt;"Да"),0,
AND(S160=0,Первоначальный[[#This Row],[Досрочное погашение (да/"")]]=""),MIN(Первоначальный[[#This Row],[Полученный платеж]]+Y160-SUM(Первоначальный[[#This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комиссиям]]),VLOOKUP(LOOKUP(,-1/($Z$12:Z161=1),$A$12:A161),График[[Срок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платеж]]+Y160-SUM(Первоначальный[[#This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S160&gt;0,MIN(Первоначальный[[#This Row],[Полученный платеж]]+Y160-SUM(Первоначальный[[#This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комиссиям]]),SUM(INDIRECT("M"&amp;(MAX((1=S$12:S160)*ROW(S$12:S160),ROW($W$12))&amp;":M"&amp;(ROW()))))-SUM(INDIRECT("W"&amp;(MAX((1=S$12:S160)*ROW(S$12:S160),ROW($W$12))&amp;":W"&amp;(ROW()-1)))))
)
)</f>
        <v>0</v>
      </c>
      <c r="X161" s="55">
        <f t="shared" ca="1" si="26"/>
        <v>0</v>
      </c>
      <c r="Y161" s="101">
        <f t="shared" ca="1" si="33"/>
        <v>0</v>
      </c>
      <c r="Z161" s="133" t="str">
        <f>IF(TYPE((VLOOKUP(Первоначальный[[#This Row],[Дата платежа]],График[Срок конец],1,0)))=16,"",1)</f>
        <v/>
      </c>
      <c r="AA161" s="57"/>
      <c r="AB161" s="134"/>
      <c r="AC16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6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7063.920000000001</v>
      </c>
      <c r="AE16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20.719999999999985</v>
      </c>
      <c r="AF16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6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1241.9196868852457</v>
      </c>
      <c r="AH161" s="55"/>
      <c r="AI161" s="55"/>
      <c r="AJ161" s="55"/>
      <c r="AK161" s="101">
        <f t="shared" ca="1" si="34"/>
        <v>157959.89968688527</v>
      </c>
      <c r="AL161" s="129">
        <f t="array" ref="AL161">MAX((УслРестрактов[Характеристика]="Дата реструктуризации")*(УслРестрактов[Значение]=Первоначальный!$A161),0)</f>
        <v>0</v>
      </c>
    </row>
    <row r="162" spans="1:38" x14ac:dyDescent="0.25">
      <c r="A162" s="97">
        <f t="shared" si="27"/>
        <v>44293</v>
      </c>
      <c r="B162" s="100">
        <f t="shared" ca="1" si="28"/>
        <v>149633.34</v>
      </c>
      <c r="C162" s="55">
        <f t="shared" ca="1" si="36"/>
        <v>7063.920000000001</v>
      </c>
      <c r="D162" s="55">
        <f t="shared" ca="1" si="36"/>
        <v>20.719999999999985</v>
      </c>
      <c r="E162" s="55">
        <f t="shared" ca="1" si="29"/>
        <v>0</v>
      </c>
      <c r="F162" s="55">
        <f t="shared" ca="1" si="30"/>
        <v>1241.9196868852457</v>
      </c>
      <c r="G162" s="101">
        <f t="shared" ca="1" si="31"/>
        <v>157959.89968688527</v>
      </c>
      <c r="H162" s="100">
        <f ca="1">ROUND($B162*VLOOKUP($A162,$A$1:$B$10,2,1)/(365+IF(MOD(YEAR($A162),4),0,1)*($A162-$A161)),2)-Первоначальный[[#This Row],[Проценты на просроченный платеж по ОД за период]]</f>
        <v>81.039999999999992</v>
      </c>
      <c r="I162" s="55">
        <f t="shared" ca="1" si="32"/>
        <v>0.54</v>
      </c>
      <c r="J162" s="55">
        <v>0</v>
      </c>
      <c r="K162" s="55">
        <f t="shared" ca="1" si="35"/>
        <v>28.903503278688532</v>
      </c>
      <c r="L162" s="55">
        <v>0</v>
      </c>
      <c r="M162" s="113">
        <f>SUMIFS(График[Возврат основной суммы долга],График[Дата с учетом нерабочих дней],$A162)</f>
        <v>0</v>
      </c>
      <c r="N162" s="56">
        <f>SUMIFS(График[Возврат начисленных %],График[Дата с учетом нерабочих дней],$A162)</f>
        <v>0</v>
      </c>
      <c r="O162" s="101">
        <v>0</v>
      </c>
      <c r="P162" s="100" cm="1">
        <f t="array" aca="1" ref="P162" ca="1">MAX(IF(AA161="Да",0,SUM(INDIRECT("M"&amp;(MAX(("Да"=AA$12:AA161)*ROW(AA$12:AA161)+1,ROW($P$12))&amp;":M"&amp;(ROW()))))-SUM(INDIRECT("W"&amp;(MAX(("Да"=AA$12:AA161)*ROW(AA$12:AA161)+1,ROW($P$12))&amp;":W"&amp;(ROW()))))),0)</f>
        <v>986.38999999999942</v>
      </c>
      <c r="Q162" s="99">
        <f ca="1">MAX(SUM($N$13:N162)-SUM($T$13:T162),0)</f>
        <v>4794.3106557377068</v>
      </c>
      <c r="R162" s="99">
        <f ca="1">Первоначальный[[#This Row],[Просроченный платеж по ОД]]+Первоначальный[[#This Row],[Просроченный платеж по процентам]]</f>
        <v>5780.7006557377063</v>
      </c>
      <c r="S162" s="120">
        <f ca="1">IF(Первоначальный[[#This Row],[Просроченный платеж]]&lt;1,0,S161+1)</f>
        <v>58</v>
      </c>
      <c r="T162" s="100" cm="1">
        <f t="array" aca="1" ref="T162" ca="1">IF(Первоначальный[[#This Row],[Итого остаток на начало периода]]&lt;1,0,
IF(
AND(TYPE(VLOOKUP(1,$Z$12:Z162,1,0))=16,Первоначальный[[#This Row],[Досрочное погашение (да/"")]]=""),0,
_xlfn.IFS(AND(S161=0,Первоначальный[[#This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платеж]]&lt;&gt;0),MIN(LOOKUP(,-1/($Z$12:Z162=1),$C$12:C162)+LOOKUP(,-1/($Z$12:Z162=1),$H$12:H162),Первоначальный[[#This Row],[Полученный платеж]]+Y161),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платеж]]+Y161,SUM(Первоначальный[[#This Row],[Остаток процентов на начало периода]],Первоначальный[[#This Row],[Проценты за период]])),
AND(S161=0,Первоначальный[[#This Row],[Дата платежа из графика]]=""),0,
AND(S161=0,Первоначальный[[#This Row],[Дата платежа из графика]]=1,MAX((0&lt;&gt;S$12:S161)*ROW(S$12:S161),ROW($S$12))&gt;=MAX((1=Z$12:Z161)*ROW(Z$12:Z161),ROW($T$12)),TYPE(VLOOKUP("Да",(INDIRECT("AA"&amp;(MAX((1=Z$12:Z161)*ROW(Z$12:Z161),ROW($T$12))&amp;":AA"&amp;(ROW()-1)))),1,0))=16),MIN(LOOKUP(,-1/($Z$12:Z162=1),$C$12:C162)+LOOKUP(,-1/($Z$12:Z162=1),$H$12:H162),Первоначальный[[#This Row],[Полученный платеж]]+Y161),
AND(S161=0,TYPE(VLOOKUP("Да",(INDIRECT("AA"&amp;(MAX((1=Z$12:Z161)*ROW(Z$12:Z161),ROW($T$12))&amp;":AA"&amp;(ROW()-1)))),1,0))&lt;&gt;16),MIN(LOOKUP(,-1/($Z$12:Z162=1),$C$12:C162)+LOOKUP(,-1/($Z$12:Z162=1),$H$12:H162)-IF(AA161="Да",0,SUM(INDIRECT("T"&amp;(MAX(("Да"=AA$12:AA161)*ROW(AA$12:AA161)+1,ROW($T$12))&amp;":T"&amp;(ROW()-1))))),Первоначальный[[#This Row],[Полученный платеж]]+Y161),
AND(S161=0,MAX((0&lt;&gt;N$12:N161)*ROW(N$12:N161),ROW($S$12))&gt;=MAX((1=Z$12:Z161)*ROW(Z$12:Z161),ROW($T$12))),MIN(LOOKUP(,-1/($Z$12:Z162=1),$C$12:C162)+LOOKUP(,-1/($Z$12:Z162=1),$H$12:H162)-IF(N161&lt;&gt;0,0,SUM(INDIRECT("T"&amp;(MAX((0&lt;&gt;N$12:N161)*ROW(N$12:N161)+1,ROW($T$12))&amp;":T"&amp;(ROW()-1))))),Первоначальный[[#This Row],[Полученный платеж]]+Y161),
AND(S161=0,Первоначальный[[#This Row],[Дата платежа из графика]]=1),MIN(LOOKUP(,-1/($Z$12:Z162=1),$C$12:C162)+LOOKUP(,-1/($Z$12:Z162=1),$H$12:H162)-IF(Z161=1,0,SUM(INDIRECT("T"&amp;(MAX((1=Z$12:Z161)*ROW(Z$12:Z161)+1,ROW($T$12))&amp;":T"&amp;(ROW()-1))))),Первоначальный[[#This Row],[Полученный платеж]]+Y161),
AND(Z161&gt;0,Первоначальный[[#This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платеж]]+Y161),
AND(S161&gt;0,MAX((0&lt;&gt;S$12:S161)*ROW(S$12:S161),ROW($S$12))&gt;=MAX((1=Z$12:Z161)*ROW(Z$12:Z161),ROW($T$12)),TYPE(VLOOKUP("Да",(INDIRECT("AA"&amp;(MAX((1=Z$12:Z161)*ROW(Z$12:Z161),ROW($T$12))&amp;":AA"&amp;(ROW()-1)))),1,0))=16),MIN(LOOKUP(,-1/($Z$12:Z162=1),$C$12:C162)+LOOKUP(,-1/($Z$12:Z162=1),$H$12:H162)-SUM(INDIRECT("T"&amp;(MAX((1=Z$12:Z161)*ROW(Z$12:Z161),ROW($T$12))&amp;":T"&amp;(ROW()-1)))),Первоначальный[[#This Row],[Полученный платеж]]+Y161),
S161&gt;0,MIN(LOOKUP(,-1/($Z$12:Z162=1),$C$12:C162)+LOOKUP(,-1/($Z$12:Z162=1),$H$12:H162)-IF(Z161=1,0,SUM(INDIRECT("T"&amp;(MAX((1=Z$12:Z161)*ROW(Z$12:Z161)+1,ROW($T$12))&amp;":T"&amp;(ROW()-1))))),Первоначальный[[#This Row],[Полученный платеж]]+Y161)
)
)
)</f>
        <v>0</v>
      </c>
      <c r="U16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платеж]]+Y161-Первоначальный[[#This Row],[Полученный платёж по процентам]])</f>
        <v>0</v>
      </c>
      <c r="V162" s="55">
        <f t="shared" ca="1" si="25"/>
        <v>0</v>
      </c>
      <c r="W162" s="55" cm="1">
        <f t="array" aca="1" ref="W162" ca="1">IF(Первоначальный[[#This Row],[Итого остаток на начало периода]]&lt;1,0,
_xlfn.IFS(
AND(TYPE(VLOOKUP(1,$Z$12:Z162,1,0))=16,Первоначальный[[#This Row],[Досрочное погашение (да/"")]]=""),0,
AND(S161=0,Первоначальный[[#This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платеж]]+Y161-SUM(Первоначальный[[#This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комиссиям]]),VLOOKUP(LOOKUP(,-1/($Z$12:Z162=1),$A$12:A162),График[[Срок конец]:[Возврат основной суммы долга]],3,0)),
AND(S161=0,Первоначальный[[#This Row],[Дата платежа из графика]]="",Первоначальный[[#This Row],[Досрочное погашение (да/"")]]&lt;&gt;"Да"),0,
AND(S161=0,Первоначальный[[#This Row],[Досрочное погашение (да/"")]]=""),MIN(Первоначальный[[#This Row],[Полученный платеж]]+Y161-SUM(Первоначальный[[#This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комиссиям]]),VLOOKUP(LOOKUP(,-1/($Z$12:Z162=1),$A$12:A162),График[[Срок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платеж]]+Y161-SUM(Первоначальный[[#This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S161&gt;0,MIN(Первоначальный[[#This Row],[Полученный платеж]]+Y161-SUM(Первоначальный[[#This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комиссиям]]),SUM(INDIRECT("M"&amp;(MAX((1=S$12:S161)*ROW(S$12:S161),ROW($W$12))&amp;":M"&amp;(ROW()))))-SUM(INDIRECT("W"&amp;(MAX((1=S$12:S161)*ROW(S$12:S161),ROW($W$12))&amp;":W"&amp;(ROW()-1)))))
)
)</f>
        <v>0</v>
      </c>
      <c r="X162" s="55">
        <f t="shared" ca="1" si="26"/>
        <v>0</v>
      </c>
      <c r="Y162" s="101">
        <f t="shared" ca="1" si="33"/>
        <v>0</v>
      </c>
      <c r="Z162" s="133" t="str">
        <f>IF(TYPE((VLOOKUP(Первоначальный[[#This Row],[Дата платежа]],График[Срок конец],1,0)))=16,"",1)</f>
        <v/>
      </c>
      <c r="AA162" s="57"/>
      <c r="AB162" s="134"/>
      <c r="AC16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6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7144.9600000000009</v>
      </c>
      <c r="AE16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21.259999999999984</v>
      </c>
      <c r="AF16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6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1270.8231901639342</v>
      </c>
      <c r="AH162" s="55"/>
      <c r="AI162" s="55"/>
      <c r="AJ162" s="55"/>
      <c r="AK162" s="101">
        <f t="shared" ca="1" si="34"/>
        <v>158070.38319016394</v>
      </c>
      <c r="AL162" s="129">
        <f t="array" ref="AL162">MAX((УслРестрактов[Характеристика]="Дата реструктуризации")*(УслРестрактов[Значение]=Первоначальный!$A162),0)</f>
        <v>0</v>
      </c>
    </row>
    <row r="163" spans="1:38" x14ac:dyDescent="0.25">
      <c r="A163" s="97">
        <f t="shared" si="27"/>
        <v>44294</v>
      </c>
      <c r="B163" s="100">
        <f t="shared" ca="1" si="28"/>
        <v>149633.34</v>
      </c>
      <c r="C163" s="55">
        <f t="shared" ca="1" si="36"/>
        <v>7144.9600000000009</v>
      </c>
      <c r="D163" s="55">
        <f t="shared" ca="1" si="36"/>
        <v>21.259999999999984</v>
      </c>
      <c r="E163" s="55">
        <f t="shared" ca="1" si="29"/>
        <v>0</v>
      </c>
      <c r="F163" s="55">
        <f t="shared" ca="1" si="30"/>
        <v>1270.8231901639342</v>
      </c>
      <c r="G163" s="101">
        <f t="shared" ca="1" si="31"/>
        <v>158070.38319016394</v>
      </c>
      <c r="H163" s="100">
        <f ca="1">ROUND($B163*VLOOKUP($A163,$A$1:$B$10,2,1)/(365+IF(MOD(YEAR($A163),4),0,1)*($A163-$A162)),2)-Первоначальный[[#This Row],[Проценты на просроченный платеж по ОД за период]]</f>
        <v>81.039999999999992</v>
      </c>
      <c r="I163" s="55">
        <f t="shared" ca="1" si="32"/>
        <v>0.54</v>
      </c>
      <c r="J163" s="55">
        <v>0</v>
      </c>
      <c r="K163" s="55">
        <f t="shared" ca="1" si="35"/>
        <v>28.903503278688532</v>
      </c>
      <c r="L163" s="55">
        <v>0</v>
      </c>
      <c r="M163" s="113">
        <f>SUMIFS(График[Возврат основной суммы долга],График[Дата с учетом нерабочих дней],$A163)</f>
        <v>0</v>
      </c>
      <c r="N163" s="56">
        <f>SUMIFS(График[Возврат начисленных %],График[Дата с учетом нерабочих дней],$A163)</f>
        <v>0</v>
      </c>
      <c r="O163" s="101">
        <v>0</v>
      </c>
      <c r="P163" s="100" cm="1">
        <f t="array" aca="1" ref="P163" ca="1">MAX(IF(AA162="Да",0,SUM(INDIRECT("M"&amp;(MAX(("Да"=AA$12:AA162)*ROW(AA$12:AA162)+1,ROW($P$12))&amp;":M"&amp;(ROW()))))-SUM(INDIRECT("W"&amp;(MAX(("Да"=AA$12:AA162)*ROW(AA$12:AA162)+1,ROW($P$12))&amp;":W"&amp;(ROW()))))),0)</f>
        <v>986.38999999999942</v>
      </c>
      <c r="Q163" s="99">
        <f ca="1">MAX(SUM($N$13:N163)-SUM($T$13:T163),0)</f>
        <v>4794.3106557377068</v>
      </c>
      <c r="R163" s="99">
        <f ca="1">Первоначальный[[#This Row],[Просроченный платеж по ОД]]+Первоначальный[[#This Row],[Просроченный платеж по процентам]]</f>
        <v>5780.7006557377063</v>
      </c>
      <c r="S163" s="120">
        <f ca="1">IF(Первоначальный[[#This Row],[Просроченный платеж]]&lt;1,0,S162+1)</f>
        <v>59</v>
      </c>
      <c r="T163" s="100" cm="1">
        <f t="array" aca="1" ref="T163" ca="1">IF(Первоначальный[[#This Row],[Итого остаток на начало периода]]&lt;1,0,
IF(
AND(TYPE(VLOOKUP(1,$Z$12:Z163,1,0))=16,Первоначальный[[#This Row],[Досрочное погашение (да/"")]]=""),0,
_xlfn.IFS(AND(S162=0,Первоначальный[[#This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платеж]]&lt;&gt;0),MIN(LOOKUP(,-1/($Z$12:Z163=1),$C$12:C163)+LOOKUP(,-1/($Z$12:Z163=1),$H$12:H163),Первоначальный[[#This Row],[Полученный платеж]]+Y162),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платеж]]+Y162,SUM(Первоначальный[[#This Row],[Остаток процентов на начало периода]],Первоначальный[[#This Row],[Проценты за период]])),
AND(S162=0,Первоначальный[[#This Row],[Дата платежа из графика]]=""),0,
AND(S162=0,Первоначальный[[#This Row],[Дата платежа из графика]]=1,MAX((0&lt;&gt;S$12:S162)*ROW(S$12:S162),ROW($S$12))&gt;=MAX((1=Z$12:Z162)*ROW(Z$12:Z162),ROW($T$12)),TYPE(VLOOKUP("Да",(INDIRECT("AA"&amp;(MAX((1=Z$12:Z162)*ROW(Z$12:Z162),ROW($T$12))&amp;":AA"&amp;(ROW()-1)))),1,0))=16),MIN(LOOKUP(,-1/($Z$12:Z163=1),$C$12:C163)+LOOKUP(,-1/($Z$12:Z163=1),$H$12:H163),Первоначальный[[#This Row],[Полученный платеж]]+Y162),
AND(S162=0,TYPE(VLOOKUP("Да",(INDIRECT("AA"&amp;(MAX((1=Z$12:Z162)*ROW(Z$12:Z162),ROW($T$12))&amp;":AA"&amp;(ROW()-1)))),1,0))&lt;&gt;16),MIN(LOOKUP(,-1/($Z$12:Z163=1),$C$12:C163)+LOOKUP(,-1/($Z$12:Z163=1),$H$12:H163)-IF(AA162="Да",0,SUM(INDIRECT("T"&amp;(MAX(("Да"=AA$12:AA162)*ROW(AA$12:AA162)+1,ROW($T$12))&amp;":T"&amp;(ROW()-1))))),Первоначальный[[#This Row],[Полученный платеж]]+Y162),
AND(S162=0,MAX((0&lt;&gt;N$12:N162)*ROW(N$12:N162),ROW($S$12))&gt;=MAX((1=Z$12:Z162)*ROW(Z$12:Z162),ROW($T$12))),MIN(LOOKUP(,-1/($Z$12:Z163=1),$C$12:C163)+LOOKUP(,-1/($Z$12:Z163=1),$H$12:H163)-IF(N162&lt;&gt;0,0,SUM(INDIRECT("T"&amp;(MAX((0&lt;&gt;N$12:N162)*ROW(N$12:N162)+1,ROW($T$12))&amp;":T"&amp;(ROW()-1))))),Первоначальный[[#This Row],[Полученный платеж]]+Y162),
AND(S162=0,Первоначальный[[#This Row],[Дата платежа из графика]]=1),MIN(LOOKUP(,-1/($Z$12:Z163=1),$C$12:C163)+LOOKUP(,-1/($Z$12:Z163=1),$H$12:H163)-IF(Z162=1,0,SUM(INDIRECT("T"&amp;(MAX((1=Z$12:Z162)*ROW(Z$12:Z162)+1,ROW($T$12))&amp;":T"&amp;(ROW()-1))))),Первоначальный[[#This Row],[Полученный платеж]]+Y162),
AND(Z162&gt;0,Первоначальный[[#This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платеж]]+Y162),
AND(S162&gt;0,MAX((0&lt;&gt;S$12:S162)*ROW(S$12:S162),ROW($S$12))&gt;=MAX((1=Z$12:Z162)*ROW(Z$12:Z162),ROW($T$12)),TYPE(VLOOKUP("Да",(INDIRECT("AA"&amp;(MAX((1=Z$12:Z162)*ROW(Z$12:Z162),ROW($T$12))&amp;":AA"&amp;(ROW()-1)))),1,0))=16),MIN(LOOKUP(,-1/($Z$12:Z163=1),$C$12:C163)+LOOKUP(,-1/($Z$12:Z163=1),$H$12:H163)-SUM(INDIRECT("T"&amp;(MAX((1=Z$12:Z162)*ROW(Z$12:Z162),ROW($T$12))&amp;":T"&amp;(ROW()-1)))),Первоначальный[[#This Row],[Полученный платеж]]+Y162),
S162&gt;0,MIN(LOOKUP(,-1/($Z$12:Z163=1),$C$12:C163)+LOOKUP(,-1/($Z$12:Z163=1),$H$12:H163)-IF(Z162=1,0,SUM(INDIRECT("T"&amp;(MAX((1=Z$12:Z162)*ROW(Z$12:Z162)+1,ROW($T$12))&amp;":T"&amp;(ROW()-1))))),Первоначальный[[#This Row],[Полученный платеж]]+Y162)
)
)
)</f>
        <v>0</v>
      </c>
      <c r="U16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платеж]]+Y162-Первоначальный[[#This Row],[Полученный платёж по процентам]])</f>
        <v>0</v>
      </c>
      <c r="V163" s="55">
        <f t="shared" ca="1" si="25"/>
        <v>0</v>
      </c>
      <c r="W163" s="55" cm="1">
        <f t="array" aca="1" ref="W163" ca="1">IF(Первоначальный[[#This Row],[Итого остаток на начало периода]]&lt;1,0,
_xlfn.IFS(
AND(TYPE(VLOOKUP(1,$Z$12:Z163,1,0))=16,Первоначальный[[#This Row],[Досрочное погашение (да/"")]]=""),0,
AND(S162=0,Первоначальный[[#This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платеж]]+Y162-SUM(Первоначальный[[#This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комиссиям]]),VLOOKUP(LOOKUP(,-1/($Z$12:Z163=1),$A$12:A163),График[[Срок конец]:[Возврат основной суммы долга]],3,0)),
AND(S162=0,Первоначальный[[#This Row],[Дата платежа из графика]]="",Первоначальный[[#This Row],[Досрочное погашение (да/"")]]&lt;&gt;"Да"),0,
AND(S162=0,Первоначальный[[#This Row],[Досрочное погашение (да/"")]]=""),MIN(Первоначальный[[#This Row],[Полученный платеж]]+Y162-SUM(Первоначальный[[#This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комиссиям]]),VLOOKUP(LOOKUP(,-1/($Z$12:Z163=1),$A$12:A163),График[[Срок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платеж]]+Y162-SUM(Первоначальный[[#This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S162&gt;0,MIN(Первоначальный[[#This Row],[Полученный платеж]]+Y162-SUM(Первоначальный[[#This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комиссиям]]),SUM(INDIRECT("M"&amp;(MAX((1=S$12:S162)*ROW(S$12:S162),ROW($W$12))&amp;":M"&amp;(ROW()))))-SUM(INDIRECT("W"&amp;(MAX((1=S$12:S162)*ROW(S$12:S162),ROW($W$12))&amp;":W"&amp;(ROW()-1)))))
)
)</f>
        <v>0</v>
      </c>
      <c r="X163" s="55">
        <f t="shared" ca="1" si="26"/>
        <v>0</v>
      </c>
      <c r="Y163" s="101">
        <f t="shared" ca="1" si="33"/>
        <v>0</v>
      </c>
      <c r="Z163" s="133" t="str">
        <f>IF(TYPE((VLOOKUP(Первоначальный[[#This Row],[Дата платежа]],График[Срок конец],1,0)))=16,"",1)</f>
        <v/>
      </c>
      <c r="AA163" s="57"/>
      <c r="AB163" s="134"/>
      <c r="AC16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6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7226.0000000000009</v>
      </c>
      <c r="AE16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21.799999999999983</v>
      </c>
      <c r="AF16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6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1299.7266934426227</v>
      </c>
      <c r="AH163" s="55"/>
      <c r="AI163" s="55"/>
      <c r="AJ163" s="55"/>
      <c r="AK163" s="101">
        <f t="shared" ca="1" si="34"/>
        <v>158180.8666934426</v>
      </c>
      <c r="AL163" s="129">
        <f t="array" ref="AL163">MAX((УслРестрактов[Характеристика]="Дата реструктуризации")*(УслРестрактов[Значение]=Первоначальный!$A163),0)</f>
        <v>0</v>
      </c>
    </row>
    <row r="164" spans="1:38" x14ac:dyDescent="0.25">
      <c r="A164" s="97">
        <f t="shared" si="27"/>
        <v>44295</v>
      </c>
      <c r="B164" s="100">
        <f t="shared" ca="1" si="28"/>
        <v>149633.34</v>
      </c>
      <c r="C164" s="55">
        <f t="shared" ca="1" si="36"/>
        <v>7226.0000000000009</v>
      </c>
      <c r="D164" s="55">
        <f t="shared" ca="1" si="36"/>
        <v>21.799999999999983</v>
      </c>
      <c r="E164" s="55">
        <f t="shared" ca="1" si="29"/>
        <v>0</v>
      </c>
      <c r="F164" s="55">
        <f t="shared" ca="1" si="30"/>
        <v>1299.7266934426227</v>
      </c>
      <c r="G164" s="101">
        <f t="shared" ca="1" si="31"/>
        <v>158180.8666934426</v>
      </c>
      <c r="H164" s="100">
        <f ca="1">ROUND($B164*VLOOKUP($A164,$A$1:$B$10,2,1)/(365+IF(MOD(YEAR($A164),4),0,1)*($A164-$A163)),2)-Первоначальный[[#This Row],[Проценты на просроченный платеж по ОД за период]]</f>
        <v>81.039999999999992</v>
      </c>
      <c r="I164" s="55">
        <f t="shared" ca="1" si="32"/>
        <v>0.54</v>
      </c>
      <c r="J164" s="55">
        <v>0</v>
      </c>
      <c r="K164" s="55">
        <f t="shared" ca="1" si="35"/>
        <v>43.388503278688532</v>
      </c>
      <c r="L164" s="55">
        <v>0</v>
      </c>
      <c r="M164" s="113">
        <f>SUMIFS(График[Возврат основной суммы долга],График[Дата с учетом нерабочих дней],$A164)</f>
        <v>384.65999999999985</v>
      </c>
      <c r="N164" s="56">
        <f>SUMIFS(График[Возврат начисленных %],График[Дата с учетом нерабочих дней],$A164)</f>
        <v>2512.34</v>
      </c>
      <c r="O164" s="101">
        <v>0</v>
      </c>
      <c r="P164" s="100" cm="1">
        <f t="array" aca="1" ref="P164" ca="1">MAX(IF(AA163="Да",0,SUM(INDIRECT("M"&amp;(MAX(("Да"=AA$12:AA163)*ROW(AA$12:AA163)+1,ROW($P$12))&amp;":M"&amp;(ROW()))))-SUM(INDIRECT("W"&amp;(MAX(("Да"=AA$12:AA163)*ROW(AA$12:AA163)+1,ROW($P$12))&amp;":W"&amp;(ROW()))))),0)</f>
        <v>1371.0499999999993</v>
      </c>
      <c r="Q164" s="99">
        <f ca="1">MAX(SUM($N$13:N164)-SUM($T$13:T164),0)</f>
        <v>7306.650655737707</v>
      </c>
      <c r="R164" s="99">
        <f ca="1">Первоначальный[[#This Row],[Просроченный платеж по ОД]]+Первоначальный[[#This Row],[Просроченный платеж по процентам]]</f>
        <v>8677.7006557377063</v>
      </c>
      <c r="S164" s="120">
        <f ca="1">IF(Первоначальный[[#This Row],[Просроченный платеж]]&lt;1,0,S163+1)</f>
        <v>60</v>
      </c>
      <c r="T164" s="100" cm="1">
        <f t="array" aca="1" ref="T164" ca="1">IF(Первоначальный[[#This Row],[Итого остаток на начало периода]]&lt;1,0,
IF(
AND(TYPE(VLOOKUP(1,$Z$12:Z164,1,0))=16,Первоначальный[[#This Row],[Досрочное погашение (да/"")]]=""),0,
_xlfn.IFS(AND(S163=0,Первоначальный[[#This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платеж]]&lt;&gt;0),MIN(LOOKUP(,-1/($Z$12:Z164=1),$C$12:C164)+LOOKUP(,-1/($Z$12:Z164=1),$H$12:H164),Первоначальный[[#This Row],[Полученный платеж]]+Y163),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платеж]]+Y163,SUM(Первоначальный[[#This Row],[Остаток процентов на начало периода]],Первоначальный[[#This Row],[Проценты за период]])),
AND(S163=0,Первоначальный[[#This Row],[Дата платежа из графика]]=""),0,
AND(S163=0,Первоначальный[[#This Row],[Дата платежа из графика]]=1,MAX((0&lt;&gt;S$12:S163)*ROW(S$12:S163),ROW($S$12))&gt;=MAX((1=Z$12:Z163)*ROW(Z$12:Z163),ROW($T$12)),TYPE(VLOOKUP("Да",(INDIRECT("AA"&amp;(MAX((1=Z$12:Z163)*ROW(Z$12:Z163),ROW($T$12))&amp;":AA"&amp;(ROW()-1)))),1,0))=16),MIN(LOOKUP(,-1/($Z$12:Z164=1),$C$12:C164)+LOOKUP(,-1/($Z$12:Z164=1),$H$12:H164),Первоначальный[[#This Row],[Полученный платеж]]+Y163),
AND(S163=0,TYPE(VLOOKUP("Да",(INDIRECT("AA"&amp;(MAX((1=Z$12:Z163)*ROW(Z$12:Z163),ROW($T$12))&amp;":AA"&amp;(ROW()-1)))),1,0))&lt;&gt;16),MIN(LOOKUP(,-1/($Z$12:Z164=1),$C$12:C164)+LOOKUP(,-1/($Z$12:Z164=1),$H$12:H164)-IF(AA163="Да",0,SUM(INDIRECT("T"&amp;(MAX(("Да"=AA$12:AA163)*ROW(AA$12:AA163)+1,ROW($T$12))&amp;":T"&amp;(ROW()-1))))),Первоначальный[[#This Row],[Полученный платеж]]+Y163),
AND(S163=0,MAX((0&lt;&gt;N$12:N163)*ROW(N$12:N163),ROW($S$12))&gt;=MAX((1=Z$12:Z163)*ROW(Z$12:Z163),ROW($T$12))),MIN(LOOKUP(,-1/($Z$12:Z164=1),$C$12:C164)+LOOKUP(,-1/($Z$12:Z164=1),$H$12:H164)-IF(N163&lt;&gt;0,0,SUM(INDIRECT("T"&amp;(MAX((0&lt;&gt;N$12:N163)*ROW(N$12:N163)+1,ROW($T$12))&amp;":T"&amp;(ROW()-1))))),Первоначальный[[#This Row],[Полученный платеж]]+Y163),
AND(S163=0,Первоначальный[[#This Row],[Дата платежа из графика]]=1),MIN(LOOKUP(,-1/($Z$12:Z164=1),$C$12:C164)+LOOKUP(,-1/($Z$12:Z164=1),$H$12:H164)-IF(Z163=1,0,SUM(INDIRECT("T"&amp;(MAX((1=Z$12:Z163)*ROW(Z$12:Z163)+1,ROW($T$12))&amp;":T"&amp;(ROW()-1))))),Первоначальный[[#This Row],[Полученный платеж]]+Y163),
AND(Z163&gt;0,Первоначальный[[#This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платеж]]+Y163),
AND(S163&gt;0,MAX((0&lt;&gt;S$12:S163)*ROW(S$12:S163),ROW($S$12))&gt;=MAX((1=Z$12:Z163)*ROW(Z$12:Z163),ROW($T$12)),TYPE(VLOOKUP("Да",(INDIRECT("AA"&amp;(MAX((1=Z$12:Z163)*ROW(Z$12:Z163),ROW($T$12))&amp;":AA"&amp;(ROW()-1)))),1,0))=16),MIN(LOOKUP(,-1/($Z$12:Z164=1),$C$12:C164)+LOOKUP(,-1/($Z$12:Z164=1),$H$12:H164)-SUM(INDIRECT("T"&amp;(MAX((1=Z$12:Z163)*ROW(Z$12:Z163),ROW($T$12))&amp;":T"&amp;(ROW()-1)))),Первоначальный[[#This Row],[Полученный платеж]]+Y163),
S163&gt;0,MIN(LOOKUP(,-1/($Z$12:Z164=1),$C$12:C164)+LOOKUP(,-1/($Z$12:Z164=1),$H$12:H164)-IF(Z163=1,0,SUM(INDIRECT("T"&amp;(MAX((1=Z$12:Z163)*ROW(Z$12:Z163)+1,ROW($T$12))&amp;":T"&amp;(ROW()-1))))),Первоначальный[[#This Row],[Полученный платеж]]+Y163)
)
)
)</f>
        <v>0</v>
      </c>
      <c r="U16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платеж]]+Y163-Первоначальный[[#This Row],[Полученный платёж по процентам]])</f>
        <v>0</v>
      </c>
      <c r="V164" s="55">
        <f t="shared" ca="1" si="25"/>
        <v>0</v>
      </c>
      <c r="W164" s="55" cm="1">
        <f t="array" aca="1" ref="W164" ca="1">IF(Первоначальный[[#This Row],[Итого остаток на начало периода]]&lt;1,0,
_xlfn.IFS(
AND(TYPE(VLOOKUP(1,$Z$12:Z164,1,0))=16,Первоначальный[[#This Row],[Досрочное погашение (да/"")]]=""),0,
AND(S163=0,Первоначальный[[#This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платеж]]+Y163-SUM(Первоначальный[[#This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комиссиям]]),VLOOKUP(LOOKUP(,-1/($Z$12:Z164=1),$A$12:A164),График[[Срок конец]:[Возврат основной суммы долга]],3,0)),
AND(S163=0,Первоначальный[[#This Row],[Дата платежа из графика]]="",Первоначальный[[#This Row],[Досрочное погашение (да/"")]]&lt;&gt;"Да"),0,
AND(S163=0,Первоначальный[[#This Row],[Досрочное погашение (да/"")]]=""),MIN(Первоначальный[[#This Row],[Полученный платеж]]+Y163-SUM(Первоначальный[[#This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комиссиям]]),VLOOKUP(LOOKUP(,-1/($Z$12:Z164=1),$A$12:A164),График[[Срок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платеж]]+Y163-SUM(Первоначальный[[#This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S163&gt;0,MIN(Первоначальный[[#This Row],[Полученный платеж]]+Y163-SUM(Первоначальный[[#This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комиссиям]]),SUM(INDIRECT("M"&amp;(MAX((1=S$12:S163)*ROW(S$12:S163),ROW($W$12))&amp;":M"&amp;(ROW()))))-SUM(INDIRECT("W"&amp;(MAX((1=S$12:S163)*ROW(S$12:S163),ROW($W$12))&amp;":W"&amp;(ROW()-1)))))
)
)</f>
        <v>0</v>
      </c>
      <c r="X164" s="55">
        <f t="shared" ca="1" si="26"/>
        <v>0</v>
      </c>
      <c r="Y164" s="101">
        <f t="shared" ca="1" si="33"/>
        <v>0</v>
      </c>
      <c r="Z164" s="133">
        <f>IF(TYPE((VLOOKUP(Первоначальный[[#This Row],[Дата платежа]],График[Срок конец],1,0)))=16,"",1)</f>
        <v>1</v>
      </c>
      <c r="AA164" s="57"/>
      <c r="AB164" s="134"/>
      <c r="AC16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6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7307.0400000000009</v>
      </c>
      <c r="AE16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22.339999999999982</v>
      </c>
      <c r="AF16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6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1343.1151967213113</v>
      </c>
      <c r="AH164" s="55"/>
      <c r="AI164" s="55"/>
      <c r="AJ164" s="55"/>
      <c r="AK164" s="101">
        <f t="shared" ca="1" si="34"/>
        <v>158305.83519672131</v>
      </c>
      <c r="AL164" s="129">
        <f t="array" ref="AL164">MAX((УслРестрактов[Характеристика]="Дата реструктуризации")*(УслРестрактов[Значение]=Первоначальный!$A164),0)</f>
        <v>0</v>
      </c>
    </row>
    <row r="165" spans="1:38" x14ac:dyDescent="0.25">
      <c r="A165" s="97">
        <f t="shared" si="27"/>
        <v>44296</v>
      </c>
      <c r="B165" s="100">
        <f t="shared" ca="1" si="28"/>
        <v>149633.34</v>
      </c>
      <c r="C165" s="55">
        <f t="shared" ca="1" si="36"/>
        <v>7307.0400000000009</v>
      </c>
      <c r="D165" s="55">
        <f t="shared" ca="1" si="36"/>
        <v>22.339999999999982</v>
      </c>
      <c r="E165" s="55">
        <f t="shared" ca="1" si="29"/>
        <v>0</v>
      </c>
      <c r="F165" s="55">
        <f t="shared" ca="1" si="30"/>
        <v>1343.1151967213113</v>
      </c>
      <c r="G165" s="101">
        <f t="shared" ca="1" si="31"/>
        <v>158305.83519672131</v>
      </c>
      <c r="H165" s="100">
        <f ca="1">ROUND($B165*VLOOKUP($A165,$A$1:$B$10,2,1)/(365+IF(MOD(YEAR($A165),4),0,1)*($A165-$A164)),2)-Первоначальный[[#This Row],[Проценты на просроченный платеж по ОД за период]]</f>
        <v>80.83</v>
      </c>
      <c r="I165" s="55">
        <f t="shared" ca="1" si="32"/>
        <v>0.75</v>
      </c>
      <c r="J165" s="55">
        <v>0</v>
      </c>
      <c r="K165" s="55">
        <f t="shared" ca="1" si="35"/>
        <v>43.388503278688532</v>
      </c>
      <c r="L165" s="55">
        <v>0</v>
      </c>
      <c r="M165" s="113">
        <f>SUMIFS(График[Возврат основной суммы долга],График[Дата с учетом нерабочих дней],$A165)</f>
        <v>0</v>
      </c>
      <c r="N165" s="56">
        <f>SUMIFS(График[Возврат начисленных %],График[Дата с учетом нерабочих дней],$A165)</f>
        <v>0</v>
      </c>
      <c r="O165" s="101">
        <v>0</v>
      </c>
      <c r="P165" s="100" cm="1">
        <f t="array" aca="1" ref="P165" ca="1">MAX(IF(AA164="Да",0,SUM(INDIRECT("M"&amp;(MAX(("Да"=AA$12:AA164)*ROW(AA$12:AA164)+1,ROW($P$12))&amp;":M"&amp;(ROW()))))-SUM(INDIRECT("W"&amp;(MAX(("Да"=AA$12:AA164)*ROW(AA$12:AA164)+1,ROW($P$12))&amp;":W"&amp;(ROW()))))),0)</f>
        <v>1371.0499999999993</v>
      </c>
      <c r="Q165" s="99">
        <f ca="1">MAX(SUM($N$13:N165)-SUM($T$13:T165),0)</f>
        <v>7306.650655737707</v>
      </c>
      <c r="R165" s="99">
        <f ca="1">Первоначальный[[#This Row],[Просроченный платеж по ОД]]+Первоначальный[[#This Row],[Просроченный платеж по процентам]]</f>
        <v>8677.7006557377063</v>
      </c>
      <c r="S165" s="120">
        <f ca="1">IF(Первоначальный[[#This Row],[Просроченный платеж]]&lt;1,0,S164+1)</f>
        <v>61</v>
      </c>
      <c r="T165" s="100" cm="1">
        <f t="array" aca="1" ref="T165" ca="1">IF(Первоначальный[[#This Row],[Итого остаток на начало периода]]&lt;1,0,
IF(
AND(TYPE(VLOOKUP(1,$Z$12:Z165,1,0))=16,Первоначальный[[#This Row],[Досрочное погашение (да/"")]]=""),0,
_xlfn.IFS(AND(S164=0,Первоначальный[[#This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платеж]]&lt;&gt;0),MIN(LOOKUP(,-1/($Z$12:Z165=1),$C$12:C165)+LOOKUP(,-1/($Z$12:Z165=1),$H$12:H165),Первоначальный[[#This Row],[Полученный платеж]]+Y164),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платеж]]+Y164,SUM(Первоначальный[[#This Row],[Остаток процентов на начало периода]],Первоначальный[[#This Row],[Проценты за период]])),
AND(S164=0,Первоначальный[[#This Row],[Дата платежа из графика]]=""),0,
AND(S164=0,Первоначальный[[#This Row],[Дата платежа из графика]]=1,MAX((0&lt;&gt;S$12:S164)*ROW(S$12:S164),ROW($S$12))&gt;=MAX((1=Z$12:Z164)*ROW(Z$12:Z164),ROW($T$12)),TYPE(VLOOKUP("Да",(INDIRECT("AA"&amp;(MAX((1=Z$12:Z164)*ROW(Z$12:Z164),ROW($T$12))&amp;":AA"&amp;(ROW()-1)))),1,0))=16),MIN(LOOKUP(,-1/($Z$12:Z165=1),$C$12:C165)+LOOKUP(,-1/($Z$12:Z165=1),$H$12:H165),Первоначальный[[#This Row],[Полученный платеж]]+Y164),
AND(S164=0,TYPE(VLOOKUP("Да",(INDIRECT("AA"&amp;(MAX((1=Z$12:Z164)*ROW(Z$12:Z164),ROW($T$12))&amp;":AA"&amp;(ROW()-1)))),1,0))&lt;&gt;16),MIN(LOOKUP(,-1/($Z$12:Z165=1),$C$12:C165)+LOOKUP(,-1/($Z$12:Z165=1),$H$12:H165)-IF(AA164="Да",0,SUM(INDIRECT("T"&amp;(MAX(("Да"=AA$12:AA164)*ROW(AA$12:AA164)+1,ROW($T$12))&amp;":T"&amp;(ROW()-1))))),Первоначальный[[#This Row],[Полученный платеж]]+Y164),
AND(S164=0,MAX((0&lt;&gt;N$12:N164)*ROW(N$12:N164),ROW($S$12))&gt;=MAX((1=Z$12:Z164)*ROW(Z$12:Z164),ROW($T$12))),MIN(LOOKUP(,-1/($Z$12:Z165=1),$C$12:C165)+LOOKUP(,-1/($Z$12:Z165=1),$H$12:H165)-IF(N164&lt;&gt;0,0,SUM(INDIRECT("T"&amp;(MAX((0&lt;&gt;N$12:N164)*ROW(N$12:N164)+1,ROW($T$12))&amp;":T"&amp;(ROW()-1))))),Первоначальный[[#This Row],[Полученный платеж]]+Y164),
AND(S164=0,Первоначальный[[#This Row],[Дата платежа из графика]]=1),MIN(LOOKUP(,-1/($Z$12:Z165=1),$C$12:C165)+LOOKUP(,-1/($Z$12:Z165=1),$H$12:H165)-IF(Z164=1,0,SUM(INDIRECT("T"&amp;(MAX((1=Z$12:Z164)*ROW(Z$12:Z164)+1,ROW($T$12))&amp;":T"&amp;(ROW()-1))))),Первоначальный[[#This Row],[Полученный платеж]]+Y164),
AND(Z164&gt;0,Первоначальный[[#This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платеж]]+Y164),
AND(S164&gt;0,MAX((0&lt;&gt;S$12:S164)*ROW(S$12:S164),ROW($S$12))&gt;=MAX((1=Z$12:Z164)*ROW(Z$12:Z164),ROW($T$12)),TYPE(VLOOKUP("Да",(INDIRECT("AA"&amp;(MAX((1=Z$12:Z164)*ROW(Z$12:Z164),ROW($T$12))&amp;":AA"&amp;(ROW()-1)))),1,0))=16),MIN(LOOKUP(,-1/($Z$12:Z165=1),$C$12:C165)+LOOKUP(,-1/($Z$12:Z165=1),$H$12:H165)-SUM(INDIRECT("T"&amp;(MAX((1=Z$12:Z164)*ROW(Z$12:Z164),ROW($T$12))&amp;":T"&amp;(ROW()-1)))),Первоначальный[[#This Row],[Полученный платеж]]+Y164),
S164&gt;0,MIN(LOOKUP(,-1/($Z$12:Z165=1),$C$12:C165)+LOOKUP(,-1/($Z$12:Z165=1),$H$12:H165)-IF(Z164=1,0,SUM(INDIRECT("T"&amp;(MAX((1=Z$12:Z164)*ROW(Z$12:Z164)+1,ROW($T$12))&amp;":T"&amp;(ROW()-1))))),Первоначальный[[#This Row],[Полученный платеж]]+Y164)
)
)
)</f>
        <v>0</v>
      </c>
      <c r="U16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платеж]]+Y164-Первоначальный[[#This Row],[Полученный платёж по процентам]])</f>
        <v>0</v>
      </c>
      <c r="V165" s="55">
        <f t="shared" ca="1" si="25"/>
        <v>0</v>
      </c>
      <c r="W165" s="55" cm="1">
        <f t="array" aca="1" ref="W165" ca="1">IF(Первоначальный[[#This Row],[Итого остаток на начало периода]]&lt;1,0,
_xlfn.IFS(
AND(TYPE(VLOOKUP(1,$Z$12:Z165,1,0))=16,Первоначальный[[#This Row],[Досрочное погашение (да/"")]]=""),0,
AND(S164=0,Первоначальный[[#This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платеж]]+Y164-SUM(Первоначальный[[#This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комиссиям]]),VLOOKUP(LOOKUP(,-1/($Z$12:Z165=1),$A$12:A165),График[[Срок конец]:[Возврат основной суммы долга]],3,0)),
AND(S164=0,Первоначальный[[#This Row],[Дата платежа из графика]]="",Первоначальный[[#This Row],[Досрочное погашение (да/"")]]&lt;&gt;"Да"),0,
AND(S164=0,Первоначальный[[#This Row],[Досрочное погашение (да/"")]]=""),MIN(Первоначальный[[#This Row],[Полученный платеж]]+Y164-SUM(Первоначальный[[#This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комиссиям]]),VLOOKUP(LOOKUP(,-1/($Z$12:Z165=1),$A$12:A165),График[[Срок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платеж]]+Y164-SUM(Первоначальный[[#This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S164&gt;0,MIN(Первоначальный[[#This Row],[Полученный платеж]]+Y164-SUM(Первоначальный[[#This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комиссиям]]),SUM(INDIRECT("M"&amp;(MAX((1=S$12:S164)*ROW(S$12:S164),ROW($W$12))&amp;":M"&amp;(ROW()))))-SUM(INDIRECT("W"&amp;(MAX((1=S$12:S164)*ROW(S$12:S164),ROW($W$12))&amp;":W"&amp;(ROW()-1)))))
)
)</f>
        <v>0</v>
      </c>
      <c r="X165" s="55">
        <f t="shared" ca="1" si="26"/>
        <v>0</v>
      </c>
      <c r="Y165" s="101">
        <f t="shared" ca="1" si="33"/>
        <v>0</v>
      </c>
      <c r="Z165" s="133" t="str">
        <f>IF(TYPE((VLOOKUP(Первоначальный[[#This Row],[Дата платежа]],График[Срок конец],1,0)))=16,"",1)</f>
        <v/>
      </c>
      <c r="AA165" s="57"/>
      <c r="AB165" s="134"/>
      <c r="AC16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6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7387.8700000000008</v>
      </c>
      <c r="AE16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23.089999999999982</v>
      </c>
      <c r="AF16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6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1386.5037</v>
      </c>
      <c r="AH165" s="55"/>
      <c r="AI165" s="55"/>
      <c r="AJ165" s="55"/>
      <c r="AK165" s="101">
        <f t="shared" ca="1" si="34"/>
        <v>158430.80369999999</v>
      </c>
      <c r="AL165" s="129">
        <f t="array" ref="AL165">MAX((УслРестрактов[Характеристика]="Дата реструктуризации")*(УслРестрактов[Значение]=Первоначальный!$A165),0)</f>
        <v>0</v>
      </c>
    </row>
    <row r="166" spans="1:38" x14ac:dyDescent="0.25">
      <c r="A166" s="97">
        <f t="shared" si="27"/>
        <v>44297</v>
      </c>
      <c r="B166" s="100">
        <f t="shared" ca="1" si="28"/>
        <v>149633.34</v>
      </c>
      <c r="C166" s="55">
        <f t="shared" ca="1" si="36"/>
        <v>7387.8700000000008</v>
      </c>
      <c r="D166" s="55">
        <f t="shared" ca="1" si="36"/>
        <v>23.089999999999982</v>
      </c>
      <c r="E166" s="55">
        <f t="shared" ca="1" si="29"/>
        <v>0</v>
      </c>
      <c r="F166" s="55">
        <f t="shared" ca="1" si="30"/>
        <v>1386.5037</v>
      </c>
      <c r="G166" s="101">
        <f t="shared" ca="1" si="31"/>
        <v>158430.80369999999</v>
      </c>
      <c r="H166" s="100">
        <f ca="1">ROUND($B166*VLOOKUP($A166,$A$1:$B$10,2,1)/(365+IF(MOD(YEAR($A166),4),0,1)*($A166-$A165)),2)-Первоначальный[[#This Row],[Проценты на просроченный платеж по ОД за период]]</f>
        <v>80.83</v>
      </c>
      <c r="I166" s="55">
        <f t="shared" ca="1" si="32"/>
        <v>0.75</v>
      </c>
      <c r="J166" s="55">
        <v>0</v>
      </c>
      <c r="K166" s="55">
        <f t="shared" ca="1" si="35"/>
        <v>43.388503278688532</v>
      </c>
      <c r="L166" s="55">
        <v>0</v>
      </c>
      <c r="M166" s="113">
        <f>SUMIFS(График[Возврат основной суммы долга],График[Дата с учетом нерабочих дней],$A166)</f>
        <v>0</v>
      </c>
      <c r="N166" s="56">
        <f>SUMIFS(График[Возврат начисленных %],График[Дата с учетом нерабочих дней],$A166)</f>
        <v>0</v>
      </c>
      <c r="O166" s="101">
        <v>0</v>
      </c>
      <c r="P166" s="100" cm="1">
        <f t="array" aca="1" ref="P166" ca="1">MAX(IF(AA165="Да",0,SUM(INDIRECT("M"&amp;(MAX(("Да"=AA$12:AA165)*ROW(AA$12:AA165)+1,ROW($P$12))&amp;":M"&amp;(ROW()))))-SUM(INDIRECT("W"&amp;(MAX(("Да"=AA$12:AA165)*ROW(AA$12:AA165)+1,ROW($P$12))&amp;":W"&amp;(ROW()))))),0)</f>
        <v>1371.0499999999993</v>
      </c>
      <c r="Q166" s="99">
        <f ca="1">MAX(SUM($N$13:N166)-SUM($T$13:T166),0)</f>
        <v>7306.650655737707</v>
      </c>
      <c r="R166" s="99">
        <f ca="1">Первоначальный[[#This Row],[Просроченный платеж по ОД]]+Первоначальный[[#This Row],[Просроченный платеж по процентам]]</f>
        <v>8677.7006557377063</v>
      </c>
      <c r="S166" s="120">
        <f ca="1">IF(Первоначальный[[#This Row],[Просроченный платеж]]&lt;1,0,S165+1)</f>
        <v>62</v>
      </c>
      <c r="T166" s="100" cm="1">
        <f t="array" aca="1" ref="T166" ca="1">IF(Первоначальный[[#This Row],[Итого остаток на начало периода]]&lt;1,0,
IF(
AND(TYPE(VLOOKUP(1,$Z$12:Z166,1,0))=16,Первоначальный[[#This Row],[Досрочное погашение (да/"")]]=""),0,
_xlfn.IFS(AND(S165=0,Первоначальный[[#This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платеж]]&lt;&gt;0),MIN(LOOKUP(,-1/($Z$12:Z166=1),$C$12:C166)+LOOKUP(,-1/($Z$12:Z166=1),$H$12:H166),Первоначальный[[#This Row],[Полученный платеж]]+Y165),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платеж]]+Y165,SUM(Первоначальный[[#This Row],[Остаток процентов на начало периода]],Первоначальный[[#This Row],[Проценты за период]])),
AND(S165=0,Первоначальный[[#This Row],[Дата платежа из графика]]=""),0,
AND(S165=0,Первоначальный[[#This Row],[Дата платежа из графика]]=1,MAX((0&lt;&gt;S$12:S165)*ROW(S$12:S165),ROW($S$12))&gt;=MAX((1=Z$12:Z165)*ROW(Z$12:Z165),ROW($T$12)),TYPE(VLOOKUP("Да",(INDIRECT("AA"&amp;(MAX((1=Z$12:Z165)*ROW(Z$12:Z165),ROW($T$12))&amp;":AA"&amp;(ROW()-1)))),1,0))=16),MIN(LOOKUP(,-1/($Z$12:Z166=1),$C$12:C166)+LOOKUP(,-1/($Z$12:Z166=1),$H$12:H166),Первоначальный[[#This Row],[Полученный платеж]]+Y165),
AND(S165=0,TYPE(VLOOKUP("Да",(INDIRECT("AA"&amp;(MAX((1=Z$12:Z165)*ROW(Z$12:Z165),ROW($T$12))&amp;":AA"&amp;(ROW()-1)))),1,0))&lt;&gt;16),MIN(LOOKUP(,-1/($Z$12:Z166=1),$C$12:C166)+LOOKUP(,-1/($Z$12:Z166=1),$H$12:H166)-IF(AA165="Да",0,SUM(INDIRECT("T"&amp;(MAX(("Да"=AA$12:AA165)*ROW(AA$12:AA165)+1,ROW($T$12))&amp;":T"&amp;(ROW()-1))))),Первоначальный[[#This Row],[Полученный платеж]]+Y165),
AND(S165=0,MAX((0&lt;&gt;N$12:N165)*ROW(N$12:N165),ROW($S$12))&gt;=MAX((1=Z$12:Z165)*ROW(Z$12:Z165),ROW($T$12))),MIN(LOOKUP(,-1/($Z$12:Z166=1),$C$12:C166)+LOOKUP(,-1/($Z$12:Z166=1),$H$12:H166)-IF(N165&lt;&gt;0,0,SUM(INDIRECT("T"&amp;(MAX((0&lt;&gt;N$12:N165)*ROW(N$12:N165)+1,ROW($T$12))&amp;":T"&amp;(ROW()-1))))),Первоначальный[[#This Row],[Полученный платеж]]+Y165),
AND(S165=0,Первоначальный[[#This Row],[Дата платежа из графика]]=1),MIN(LOOKUP(,-1/($Z$12:Z166=1),$C$12:C166)+LOOKUP(,-1/($Z$12:Z166=1),$H$12:H166)-IF(Z165=1,0,SUM(INDIRECT("T"&amp;(MAX((1=Z$12:Z165)*ROW(Z$12:Z165)+1,ROW($T$12))&amp;":T"&amp;(ROW()-1))))),Первоначальный[[#This Row],[Полученный платеж]]+Y165),
AND(Z165&gt;0,Первоначальный[[#This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платеж]]+Y165),
AND(S165&gt;0,MAX((0&lt;&gt;S$12:S165)*ROW(S$12:S165),ROW($S$12))&gt;=MAX((1=Z$12:Z165)*ROW(Z$12:Z165),ROW($T$12)),TYPE(VLOOKUP("Да",(INDIRECT("AA"&amp;(MAX((1=Z$12:Z165)*ROW(Z$12:Z165),ROW($T$12))&amp;":AA"&amp;(ROW()-1)))),1,0))=16),MIN(LOOKUP(,-1/($Z$12:Z166=1),$C$12:C166)+LOOKUP(,-1/($Z$12:Z166=1),$H$12:H166)-SUM(INDIRECT("T"&amp;(MAX((1=Z$12:Z165)*ROW(Z$12:Z165),ROW($T$12))&amp;":T"&amp;(ROW()-1)))),Первоначальный[[#This Row],[Полученный платеж]]+Y165),
S165&gt;0,MIN(LOOKUP(,-1/($Z$12:Z166=1),$C$12:C166)+LOOKUP(,-1/($Z$12:Z166=1),$H$12:H166)-IF(Z165=1,0,SUM(INDIRECT("T"&amp;(MAX((1=Z$12:Z165)*ROW(Z$12:Z165)+1,ROW($T$12))&amp;":T"&amp;(ROW()-1))))),Первоначальный[[#This Row],[Полученный платеж]]+Y165)
)
)
)</f>
        <v>0</v>
      </c>
      <c r="U16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платеж]]+Y165-Первоначальный[[#This Row],[Полученный платёж по процентам]])</f>
        <v>0</v>
      </c>
      <c r="V166" s="55">
        <f t="shared" ca="1" si="25"/>
        <v>0</v>
      </c>
      <c r="W166" s="55" cm="1">
        <f t="array" aca="1" ref="W166" ca="1">IF(Первоначальный[[#This Row],[Итого остаток на начало периода]]&lt;1,0,
_xlfn.IFS(
AND(TYPE(VLOOKUP(1,$Z$12:Z166,1,0))=16,Первоначальный[[#This Row],[Досрочное погашение (да/"")]]=""),0,
AND(S165=0,Первоначальный[[#This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платеж]]+Y165-SUM(Первоначальный[[#This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комиссиям]]),VLOOKUP(LOOKUP(,-1/($Z$12:Z166=1),$A$12:A166),График[[Срок конец]:[Возврат основной суммы долга]],3,0)),
AND(S165=0,Первоначальный[[#This Row],[Дата платежа из графика]]="",Первоначальный[[#This Row],[Досрочное погашение (да/"")]]&lt;&gt;"Да"),0,
AND(S165=0,Первоначальный[[#This Row],[Досрочное погашение (да/"")]]=""),MIN(Первоначальный[[#This Row],[Полученный платеж]]+Y165-SUM(Первоначальный[[#This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комиссиям]]),VLOOKUP(LOOKUP(,-1/($Z$12:Z166=1),$A$12:A166),График[[Срок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платеж]]+Y165-SUM(Первоначальный[[#This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S165&gt;0,MIN(Первоначальный[[#This Row],[Полученный платеж]]+Y165-SUM(Первоначальный[[#This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комиссиям]]),SUM(INDIRECT("M"&amp;(MAX((1=S$12:S165)*ROW(S$12:S165),ROW($W$12))&amp;":M"&amp;(ROW()))))-SUM(INDIRECT("W"&amp;(MAX((1=S$12:S165)*ROW(S$12:S165),ROW($W$12))&amp;":W"&amp;(ROW()-1)))))
)
)</f>
        <v>0</v>
      </c>
      <c r="X166" s="55">
        <f t="shared" ca="1" si="26"/>
        <v>0</v>
      </c>
      <c r="Y166" s="101">
        <f t="shared" ca="1" si="33"/>
        <v>0</v>
      </c>
      <c r="Z166" s="133" t="str">
        <f>IF(TYPE((VLOOKUP(Первоначальный[[#This Row],[Дата платежа]],График[Срок конец],1,0)))=16,"",1)</f>
        <v/>
      </c>
      <c r="AA166" s="57"/>
      <c r="AB166" s="134"/>
      <c r="AC16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6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7468.7000000000007</v>
      </c>
      <c r="AE16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23.839999999999982</v>
      </c>
      <c r="AF16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6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1429.8922032786886</v>
      </c>
      <c r="AH166" s="55"/>
      <c r="AI166" s="55"/>
      <c r="AJ166" s="55"/>
      <c r="AK166" s="101">
        <f t="shared" ca="1" si="34"/>
        <v>158555.7722032787</v>
      </c>
      <c r="AL166" s="129">
        <f t="array" ref="AL166">MAX((УслРестрактов[Характеристика]="Дата реструктуризации")*(УслРестрактов[Значение]=Первоначальный!$A166),0)</f>
        <v>0</v>
      </c>
    </row>
    <row r="167" spans="1:38" x14ac:dyDescent="0.25">
      <c r="A167" s="97">
        <f t="shared" si="27"/>
        <v>44298</v>
      </c>
      <c r="B167" s="100">
        <f t="shared" ca="1" si="28"/>
        <v>149633.34</v>
      </c>
      <c r="C167" s="55">
        <f t="shared" ca="1" si="36"/>
        <v>7468.7000000000007</v>
      </c>
      <c r="D167" s="55">
        <f t="shared" ca="1" si="36"/>
        <v>23.839999999999982</v>
      </c>
      <c r="E167" s="55">
        <f t="shared" ca="1" si="29"/>
        <v>0</v>
      </c>
      <c r="F167" s="55">
        <f t="shared" ca="1" si="30"/>
        <v>1429.8922032786886</v>
      </c>
      <c r="G167" s="101">
        <f t="shared" ca="1" si="31"/>
        <v>158555.7722032787</v>
      </c>
      <c r="H167" s="100">
        <f ca="1">ROUND($B167*VLOOKUP($A167,$A$1:$B$10,2,1)/(365+IF(MOD(YEAR($A167),4),0,1)*($A167-$A166)),2)-Первоначальный[[#This Row],[Проценты на просроченный платеж по ОД за период]]</f>
        <v>80.83</v>
      </c>
      <c r="I167" s="55">
        <f t="shared" ca="1" si="32"/>
        <v>0.75</v>
      </c>
      <c r="J167" s="55">
        <v>0</v>
      </c>
      <c r="K167" s="55">
        <f t="shared" ca="1" si="35"/>
        <v>43.388503278688532</v>
      </c>
      <c r="L167" s="55">
        <v>0</v>
      </c>
      <c r="M167" s="113">
        <f>SUMIFS(График[Возврат основной суммы долга],График[Дата с учетом нерабочих дней],$A167)</f>
        <v>0</v>
      </c>
      <c r="N167" s="56">
        <f>SUMIFS(График[Возврат начисленных %],График[Дата с учетом нерабочих дней],$A167)</f>
        <v>0</v>
      </c>
      <c r="O167" s="101">
        <v>0</v>
      </c>
      <c r="P167" s="100" cm="1">
        <f t="array" aca="1" ref="P167" ca="1">MAX(IF(AA166="Да",0,SUM(INDIRECT("M"&amp;(MAX(("Да"=AA$12:AA166)*ROW(AA$12:AA166)+1,ROW($P$12))&amp;":M"&amp;(ROW()))))-SUM(INDIRECT("W"&amp;(MAX(("Да"=AA$12:AA166)*ROW(AA$12:AA166)+1,ROW($P$12))&amp;":W"&amp;(ROW()))))),0)</f>
        <v>1371.0499999999993</v>
      </c>
      <c r="Q167" s="99">
        <f ca="1">MAX(SUM($N$13:N167)-SUM($T$13:T167),0)</f>
        <v>7306.650655737707</v>
      </c>
      <c r="R167" s="99">
        <f ca="1">Первоначальный[[#This Row],[Просроченный платеж по ОД]]+Первоначальный[[#This Row],[Просроченный платеж по процентам]]</f>
        <v>8677.7006557377063</v>
      </c>
      <c r="S167" s="120">
        <f ca="1">IF(Первоначальный[[#This Row],[Просроченный платеж]]&lt;1,0,S166+1)</f>
        <v>63</v>
      </c>
      <c r="T167" s="100" cm="1">
        <f t="array" aca="1" ref="T167" ca="1">IF(Первоначальный[[#This Row],[Итого остаток на начало периода]]&lt;1,0,
IF(
AND(TYPE(VLOOKUP(1,$Z$12:Z167,1,0))=16,Первоначальный[[#This Row],[Досрочное погашение (да/"")]]=""),0,
_xlfn.IFS(AND(S166=0,Первоначальный[[#This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платеж]]&lt;&gt;0),MIN(LOOKUP(,-1/($Z$12:Z167=1),$C$12:C167)+LOOKUP(,-1/($Z$12:Z167=1),$H$12:H167),Первоначальный[[#This Row],[Полученный платеж]]+Y166),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платеж]]+Y166,SUM(Первоначальный[[#This Row],[Остаток процентов на начало периода]],Первоначальный[[#This Row],[Проценты за период]])),
AND(S166=0,Первоначальный[[#This Row],[Дата платежа из графика]]=""),0,
AND(S166=0,Первоначальный[[#This Row],[Дата платежа из графика]]=1,MAX((0&lt;&gt;S$12:S166)*ROW(S$12:S166),ROW($S$12))&gt;=MAX((1=Z$12:Z166)*ROW(Z$12:Z166),ROW($T$12)),TYPE(VLOOKUP("Да",(INDIRECT("AA"&amp;(MAX((1=Z$12:Z166)*ROW(Z$12:Z166),ROW($T$12))&amp;":AA"&amp;(ROW()-1)))),1,0))=16),MIN(LOOKUP(,-1/($Z$12:Z167=1),$C$12:C167)+LOOKUP(,-1/($Z$12:Z167=1),$H$12:H167),Первоначальный[[#This Row],[Полученный платеж]]+Y166),
AND(S166=0,TYPE(VLOOKUP("Да",(INDIRECT("AA"&amp;(MAX((1=Z$12:Z166)*ROW(Z$12:Z166),ROW($T$12))&amp;":AA"&amp;(ROW()-1)))),1,0))&lt;&gt;16),MIN(LOOKUP(,-1/($Z$12:Z167=1),$C$12:C167)+LOOKUP(,-1/($Z$12:Z167=1),$H$12:H167)-IF(AA166="Да",0,SUM(INDIRECT("T"&amp;(MAX(("Да"=AA$12:AA166)*ROW(AA$12:AA166)+1,ROW($T$12))&amp;":T"&amp;(ROW()-1))))),Первоначальный[[#This Row],[Полученный платеж]]+Y166),
AND(S166=0,MAX((0&lt;&gt;N$12:N166)*ROW(N$12:N166),ROW($S$12))&gt;=MAX((1=Z$12:Z166)*ROW(Z$12:Z166),ROW($T$12))),MIN(LOOKUP(,-1/($Z$12:Z167=1),$C$12:C167)+LOOKUP(,-1/($Z$12:Z167=1),$H$12:H167)-IF(N166&lt;&gt;0,0,SUM(INDIRECT("T"&amp;(MAX((0&lt;&gt;N$12:N166)*ROW(N$12:N166)+1,ROW($T$12))&amp;":T"&amp;(ROW()-1))))),Первоначальный[[#This Row],[Полученный платеж]]+Y166),
AND(S166=0,Первоначальный[[#This Row],[Дата платежа из графика]]=1),MIN(LOOKUP(,-1/($Z$12:Z167=1),$C$12:C167)+LOOKUP(,-1/($Z$12:Z167=1),$H$12:H167)-IF(Z166=1,0,SUM(INDIRECT("T"&amp;(MAX((1=Z$12:Z166)*ROW(Z$12:Z166)+1,ROW($T$12))&amp;":T"&amp;(ROW()-1))))),Первоначальный[[#This Row],[Полученный платеж]]+Y166),
AND(Z166&gt;0,Первоначальный[[#This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платеж]]+Y166),
AND(S166&gt;0,MAX((0&lt;&gt;S$12:S166)*ROW(S$12:S166),ROW($S$12))&gt;=MAX((1=Z$12:Z166)*ROW(Z$12:Z166),ROW($T$12)),TYPE(VLOOKUP("Да",(INDIRECT("AA"&amp;(MAX((1=Z$12:Z166)*ROW(Z$12:Z166),ROW($T$12))&amp;":AA"&amp;(ROW()-1)))),1,0))=16),MIN(LOOKUP(,-1/($Z$12:Z167=1),$C$12:C167)+LOOKUP(,-1/($Z$12:Z167=1),$H$12:H167)-SUM(INDIRECT("T"&amp;(MAX((1=Z$12:Z166)*ROW(Z$12:Z166),ROW($T$12))&amp;":T"&amp;(ROW()-1)))),Первоначальный[[#This Row],[Полученный платеж]]+Y166),
S166&gt;0,MIN(LOOKUP(,-1/($Z$12:Z167=1),$C$12:C167)+LOOKUP(,-1/($Z$12:Z167=1),$H$12:H167)-IF(Z166=1,0,SUM(INDIRECT("T"&amp;(MAX((1=Z$12:Z166)*ROW(Z$12:Z166)+1,ROW($T$12))&amp;":T"&amp;(ROW()-1))))),Первоначальный[[#This Row],[Полученный платеж]]+Y166)
)
)
)</f>
        <v>0</v>
      </c>
      <c r="U16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платеж]]+Y166-Первоначальный[[#This Row],[Полученный платёж по процентам]])</f>
        <v>0</v>
      </c>
      <c r="V167" s="55">
        <f t="shared" ca="1" si="25"/>
        <v>0</v>
      </c>
      <c r="W167" s="55" cm="1">
        <f t="array" aca="1" ref="W167" ca="1">IF(Первоначальный[[#This Row],[Итого остаток на начало периода]]&lt;1,0,
_xlfn.IFS(
AND(TYPE(VLOOKUP(1,$Z$12:Z167,1,0))=16,Первоначальный[[#This Row],[Досрочное погашение (да/"")]]=""),0,
AND(S166=0,Первоначальный[[#This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платеж]]+Y166-SUM(Первоначальный[[#This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комиссиям]]),VLOOKUP(LOOKUP(,-1/($Z$12:Z167=1),$A$12:A167),График[[Срок конец]:[Возврат основной суммы долга]],3,0)),
AND(S166=0,Первоначальный[[#This Row],[Дата платежа из графика]]="",Первоначальный[[#This Row],[Досрочное погашение (да/"")]]&lt;&gt;"Да"),0,
AND(S166=0,Первоначальный[[#This Row],[Досрочное погашение (да/"")]]=""),MIN(Первоначальный[[#This Row],[Полученный платеж]]+Y166-SUM(Первоначальный[[#This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комиссиям]]),VLOOKUP(LOOKUP(,-1/($Z$12:Z167=1),$A$12:A167),График[[Срок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платеж]]+Y166-SUM(Первоначальный[[#This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S166&gt;0,MIN(Первоначальный[[#This Row],[Полученный платеж]]+Y166-SUM(Первоначальный[[#This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комиссиям]]),SUM(INDIRECT("M"&amp;(MAX((1=S$12:S166)*ROW(S$12:S166),ROW($W$12))&amp;":M"&amp;(ROW()))))-SUM(INDIRECT("W"&amp;(MAX((1=S$12:S166)*ROW(S$12:S166),ROW($W$12))&amp;":W"&amp;(ROW()-1)))))
)
)</f>
        <v>0</v>
      </c>
      <c r="X167" s="55">
        <f t="shared" ca="1" si="26"/>
        <v>0</v>
      </c>
      <c r="Y167" s="101">
        <f t="shared" ca="1" si="33"/>
        <v>0</v>
      </c>
      <c r="Z167" s="133" t="str">
        <f>IF(TYPE((VLOOKUP(Первоначальный[[#This Row],[Дата платежа]],График[Срок конец],1,0)))=16,"",1)</f>
        <v/>
      </c>
      <c r="AA167" s="57"/>
      <c r="AB167" s="134"/>
      <c r="AC16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6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7549.5300000000007</v>
      </c>
      <c r="AE16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24.589999999999982</v>
      </c>
      <c r="AF16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6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1473.2807065573772</v>
      </c>
      <c r="AH167" s="55"/>
      <c r="AI167" s="55"/>
      <c r="AJ167" s="55"/>
      <c r="AK167" s="101">
        <f t="shared" ca="1" si="34"/>
        <v>158680.74070655738</v>
      </c>
      <c r="AL167" s="129">
        <f t="array" ref="AL167">MAX((УслРестрактов[Характеристика]="Дата реструктуризации")*(УслРестрактов[Значение]=Первоначальный!$A167),0)</f>
        <v>0</v>
      </c>
    </row>
    <row r="168" spans="1:38" x14ac:dyDescent="0.25">
      <c r="A168" s="97">
        <f t="shared" si="27"/>
        <v>44299</v>
      </c>
      <c r="B168" s="100">
        <f t="shared" ca="1" si="28"/>
        <v>149633.34</v>
      </c>
      <c r="C168" s="55">
        <f t="shared" ca="1" si="36"/>
        <v>7549.5300000000007</v>
      </c>
      <c r="D168" s="55">
        <f t="shared" ca="1" si="36"/>
        <v>24.589999999999982</v>
      </c>
      <c r="E168" s="55">
        <f t="shared" ca="1" si="29"/>
        <v>0</v>
      </c>
      <c r="F168" s="55">
        <f t="shared" ca="1" si="30"/>
        <v>1473.2807065573772</v>
      </c>
      <c r="G168" s="101">
        <f t="shared" ca="1" si="31"/>
        <v>158680.74070655738</v>
      </c>
      <c r="H168" s="100">
        <f ca="1">ROUND($B168*VLOOKUP($A168,$A$1:$B$10,2,1)/(365+IF(MOD(YEAR($A168),4),0,1)*($A168-$A167)),2)-Первоначальный[[#This Row],[Проценты на просроченный платеж по ОД за период]]</f>
        <v>80.83</v>
      </c>
      <c r="I168" s="55">
        <f t="shared" ca="1" si="32"/>
        <v>0.75</v>
      </c>
      <c r="J168" s="55">
        <v>0</v>
      </c>
      <c r="K168" s="55">
        <f t="shared" ca="1" si="35"/>
        <v>43.388503278688532</v>
      </c>
      <c r="L168" s="55">
        <v>0</v>
      </c>
      <c r="M168" s="113">
        <f>SUMIFS(График[Возврат основной суммы долга],График[Дата с учетом нерабочих дней],$A168)</f>
        <v>0</v>
      </c>
      <c r="N168" s="56">
        <f>SUMIFS(График[Возврат начисленных %],График[Дата с учетом нерабочих дней],$A168)</f>
        <v>0</v>
      </c>
      <c r="O168" s="101">
        <v>0</v>
      </c>
      <c r="P168" s="100" cm="1">
        <f t="array" aca="1" ref="P168" ca="1">MAX(IF(AA167="Да",0,SUM(INDIRECT("M"&amp;(MAX(("Да"=AA$12:AA167)*ROW(AA$12:AA167)+1,ROW($P$12))&amp;":M"&amp;(ROW()))))-SUM(INDIRECT("W"&amp;(MAX(("Да"=AA$12:AA167)*ROW(AA$12:AA167)+1,ROW($P$12))&amp;":W"&amp;(ROW()))))),0)</f>
        <v>1371.0499999999993</v>
      </c>
      <c r="Q168" s="99">
        <f ca="1">MAX(SUM($N$13:N168)-SUM($T$13:T168),0)</f>
        <v>7306.650655737707</v>
      </c>
      <c r="R168" s="99">
        <f ca="1">Первоначальный[[#This Row],[Просроченный платеж по ОД]]+Первоначальный[[#This Row],[Просроченный платеж по процентам]]</f>
        <v>8677.7006557377063</v>
      </c>
      <c r="S168" s="120">
        <f ca="1">IF(Первоначальный[[#This Row],[Просроченный платеж]]&lt;1,0,S167+1)</f>
        <v>64</v>
      </c>
      <c r="T168" s="100" cm="1">
        <f t="array" aca="1" ref="T168" ca="1">IF(Первоначальный[[#This Row],[Итого остаток на начало периода]]&lt;1,0,
IF(
AND(TYPE(VLOOKUP(1,$Z$12:Z168,1,0))=16,Первоначальный[[#This Row],[Досрочное погашение (да/"")]]=""),0,
_xlfn.IFS(AND(S167=0,Первоначальный[[#This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платеж]]&lt;&gt;0),MIN(LOOKUP(,-1/($Z$12:Z168=1),$C$12:C168)+LOOKUP(,-1/($Z$12:Z168=1),$H$12:H168),Первоначальный[[#This Row],[Полученный платеж]]+Y167),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платеж]]+Y167,SUM(Первоначальный[[#This Row],[Остаток процентов на начало периода]],Первоначальный[[#This Row],[Проценты за период]])),
AND(S167=0,Первоначальный[[#This Row],[Дата платежа из графика]]=""),0,
AND(S167=0,Первоначальный[[#This Row],[Дата платежа из графика]]=1,MAX((0&lt;&gt;S$12:S167)*ROW(S$12:S167),ROW($S$12))&gt;=MAX((1=Z$12:Z167)*ROW(Z$12:Z167),ROW($T$12)),TYPE(VLOOKUP("Да",(INDIRECT("AA"&amp;(MAX((1=Z$12:Z167)*ROW(Z$12:Z167),ROW($T$12))&amp;":AA"&amp;(ROW()-1)))),1,0))=16),MIN(LOOKUP(,-1/($Z$12:Z168=1),$C$12:C168)+LOOKUP(,-1/($Z$12:Z168=1),$H$12:H168),Первоначальный[[#This Row],[Полученный платеж]]+Y167),
AND(S167=0,TYPE(VLOOKUP("Да",(INDIRECT("AA"&amp;(MAX((1=Z$12:Z167)*ROW(Z$12:Z167),ROW($T$12))&amp;":AA"&amp;(ROW()-1)))),1,0))&lt;&gt;16),MIN(LOOKUP(,-1/($Z$12:Z168=1),$C$12:C168)+LOOKUP(,-1/($Z$12:Z168=1),$H$12:H168)-IF(AA167="Да",0,SUM(INDIRECT("T"&amp;(MAX(("Да"=AA$12:AA167)*ROW(AA$12:AA167)+1,ROW($T$12))&amp;":T"&amp;(ROW()-1))))),Первоначальный[[#This Row],[Полученный платеж]]+Y167),
AND(S167=0,MAX((0&lt;&gt;N$12:N167)*ROW(N$12:N167),ROW($S$12))&gt;=MAX((1=Z$12:Z167)*ROW(Z$12:Z167),ROW($T$12))),MIN(LOOKUP(,-1/($Z$12:Z168=1),$C$12:C168)+LOOKUP(,-1/($Z$12:Z168=1),$H$12:H168)-IF(N167&lt;&gt;0,0,SUM(INDIRECT("T"&amp;(MAX((0&lt;&gt;N$12:N167)*ROW(N$12:N167)+1,ROW($T$12))&amp;":T"&amp;(ROW()-1))))),Первоначальный[[#This Row],[Полученный платеж]]+Y167),
AND(S167=0,Первоначальный[[#This Row],[Дата платежа из графика]]=1),MIN(LOOKUP(,-1/($Z$12:Z168=1),$C$12:C168)+LOOKUP(,-1/($Z$12:Z168=1),$H$12:H168)-IF(Z167=1,0,SUM(INDIRECT("T"&amp;(MAX((1=Z$12:Z167)*ROW(Z$12:Z167)+1,ROW($T$12))&amp;":T"&amp;(ROW()-1))))),Первоначальный[[#This Row],[Полученный платеж]]+Y167),
AND(Z167&gt;0,Первоначальный[[#This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платеж]]+Y167),
AND(S167&gt;0,MAX((0&lt;&gt;S$12:S167)*ROW(S$12:S167),ROW($S$12))&gt;=MAX((1=Z$12:Z167)*ROW(Z$12:Z167),ROW($T$12)),TYPE(VLOOKUP("Да",(INDIRECT("AA"&amp;(MAX((1=Z$12:Z167)*ROW(Z$12:Z167),ROW($T$12))&amp;":AA"&amp;(ROW()-1)))),1,0))=16),MIN(LOOKUP(,-1/($Z$12:Z168=1),$C$12:C168)+LOOKUP(,-1/($Z$12:Z168=1),$H$12:H168)-SUM(INDIRECT("T"&amp;(MAX((1=Z$12:Z167)*ROW(Z$12:Z167),ROW($T$12))&amp;":T"&amp;(ROW()-1)))),Первоначальный[[#This Row],[Полученный платеж]]+Y167),
S167&gt;0,MIN(LOOKUP(,-1/($Z$12:Z168=1),$C$12:C168)+LOOKUP(,-1/($Z$12:Z168=1),$H$12:H168)-IF(Z167=1,0,SUM(INDIRECT("T"&amp;(MAX((1=Z$12:Z167)*ROW(Z$12:Z167)+1,ROW($T$12))&amp;":T"&amp;(ROW()-1))))),Первоначальный[[#This Row],[Полученный платеж]]+Y167)
)
)
)</f>
        <v>0</v>
      </c>
      <c r="U16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платеж]]+Y167-Первоначальный[[#This Row],[Полученный платёж по процентам]])</f>
        <v>0</v>
      </c>
      <c r="V168" s="55">
        <f t="shared" ca="1" si="25"/>
        <v>0</v>
      </c>
      <c r="W168" s="55" cm="1">
        <f t="array" aca="1" ref="W168" ca="1">IF(Первоначальный[[#This Row],[Итого остаток на начало периода]]&lt;1,0,
_xlfn.IFS(
AND(TYPE(VLOOKUP(1,$Z$12:Z168,1,0))=16,Первоначальный[[#This Row],[Досрочное погашение (да/"")]]=""),0,
AND(S167=0,Первоначальный[[#This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платеж]]+Y167-SUM(Первоначальный[[#This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комиссиям]]),VLOOKUP(LOOKUP(,-1/($Z$12:Z168=1),$A$12:A168),График[[Срок конец]:[Возврат основной суммы долга]],3,0)),
AND(S167=0,Первоначальный[[#This Row],[Дата платежа из графика]]="",Первоначальный[[#This Row],[Досрочное погашение (да/"")]]&lt;&gt;"Да"),0,
AND(S167=0,Первоначальный[[#This Row],[Досрочное погашение (да/"")]]=""),MIN(Первоначальный[[#This Row],[Полученный платеж]]+Y167-SUM(Первоначальный[[#This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комиссиям]]),VLOOKUP(LOOKUP(,-1/($Z$12:Z168=1),$A$12:A168),График[[Срок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платеж]]+Y167-SUM(Первоначальный[[#This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S167&gt;0,MIN(Первоначальный[[#This Row],[Полученный платеж]]+Y167-SUM(Первоначальный[[#This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комиссиям]]),SUM(INDIRECT("M"&amp;(MAX((1=S$12:S167)*ROW(S$12:S167),ROW($W$12))&amp;":M"&amp;(ROW()))))-SUM(INDIRECT("W"&amp;(MAX((1=S$12:S167)*ROW(S$12:S167),ROW($W$12))&amp;":W"&amp;(ROW()-1)))))
)
)</f>
        <v>0</v>
      </c>
      <c r="X168" s="55">
        <f t="shared" ca="1" si="26"/>
        <v>0</v>
      </c>
      <c r="Y168" s="101">
        <f t="shared" ca="1" si="33"/>
        <v>0</v>
      </c>
      <c r="Z168" s="133" t="str">
        <f>IF(TYPE((VLOOKUP(Первоначальный[[#This Row],[Дата платежа]],График[Срок конец],1,0)))=16,"",1)</f>
        <v/>
      </c>
      <c r="AA168" s="57"/>
      <c r="AB168" s="134"/>
      <c r="AC16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6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7630.3600000000006</v>
      </c>
      <c r="AE16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25.339999999999982</v>
      </c>
      <c r="AF16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6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1516.6692098360659</v>
      </c>
      <c r="AH168" s="55"/>
      <c r="AI168" s="55"/>
      <c r="AJ168" s="55"/>
      <c r="AK168" s="101">
        <f t="shared" ca="1" si="34"/>
        <v>158805.70920983609</v>
      </c>
      <c r="AL168" s="129">
        <f t="array" ref="AL168">MAX((УслРестрактов[Характеристика]="Дата реструктуризации")*(УслРестрактов[Значение]=Первоначальный!$A168),0)</f>
        <v>0</v>
      </c>
    </row>
    <row r="169" spans="1:38" x14ac:dyDescent="0.25">
      <c r="A169" s="97">
        <f t="shared" si="27"/>
        <v>44300</v>
      </c>
      <c r="B169" s="100">
        <f t="shared" ca="1" si="28"/>
        <v>149633.34</v>
      </c>
      <c r="C169" s="55">
        <f t="shared" ca="1" si="36"/>
        <v>7630.3600000000006</v>
      </c>
      <c r="D169" s="55">
        <f t="shared" ca="1" si="36"/>
        <v>25.339999999999982</v>
      </c>
      <c r="E169" s="55">
        <f t="shared" ca="1" si="29"/>
        <v>0</v>
      </c>
      <c r="F169" s="55">
        <f t="shared" ca="1" si="30"/>
        <v>1516.6692098360659</v>
      </c>
      <c r="G169" s="101">
        <f t="shared" ca="1" si="31"/>
        <v>158805.70920983609</v>
      </c>
      <c r="H169" s="100">
        <f ca="1">ROUND($B169*VLOOKUP($A169,$A$1:$B$10,2,1)/(365+IF(MOD(YEAR($A169),4),0,1)*($A169-$A168)),2)-Первоначальный[[#This Row],[Проценты на просроченный платеж по ОД за период]]</f>
        <v>80.83</v>
      </c>
      <c r="I169" s="55">
        <f t="shared" ca="1" si="32"/>
        <v>0.75</v>
      </c>
      <c r="J169" s="55">
        <v>0</v>
      </c>
      <c r="K169" s="55">
        <f t="shared" ca="1" si="35"/>
        <v>43.388503278688532</v>
      </c>
      <c r="L169" s="55">
        <v>0</v>
      </c>
      <c r="M169" s="113">
        <f>SUMIFS(График[Возврат основной суммы долга],График[Дата с учетом нерабочих дней],$A169)</f>
        <v>0</v>
      </c>
      <c r="N169" s="56">
        <f>SUMIFS(График[Возврат начисленных %],График[Дата с учетом нерабочих дней],$A169)</f>
        <v>0</v>
      </c>
      <c r="O169" s="101">
        <v>0</v>
      </c>
      <c r="P169" s="100" cm="1">
        <f t="array" aca="1" ref="P169" ca="1">MAX(IF(AA168="Да",0,SUM(INDIRECT("M"&amp;(MAX(("Да"=AA$12:AA168)*ROW(AA$12:AA168)+1,ROW($P$12))&amp;":M"&amp;(ROW()))))-SUM(INDIRECT("W"&amp;(MAX(("Да"=AA$12:AA168)*ROW(AA$12:AA168)+1,ROW($P$12))&amp;":W"&amp;(ROW()))))),0)</f>
        <v>1371.0499999999993</v>
      </c>
      <c r="Q169" s="99">
        <f ca="1">MAX(SUM($N$13:N169)-SUM($T$13:T169),0)</f>
        <v>7306.650655737707</v>
      </c>
      <c r="R169" s="99">
        <f ca="1">Первоначальный[[#This Row],[Просроченный платеж по ОД]]+Первоначальный[[#This Row],[Просроченный платеж по процентам]]</f>
        <v>8677.7006557377063</v>
      </c>
      <c r="S169" s="120">
        <f ca="1">IF(Первоначальный[[#This Row],[Просроченный платеж]]&lt;1,0,S168+1)</f>
        <v>65</v>
      </c>
      <c r="T169" s="100" cm="1">
        <f t="array" aca="1" ref="T169" ca="1">IF(Первоначальный[[#This Row],[Итого остаток на начало периода]]&lt;1,0,
IF(
AND(TYPE(VLOOKUP(1,$Z$12:Z169,1,0))=16,Первоначальный[[#This Row],[Досрочное погашение (да/"")]]=""),0,
_xlfn.IFS(AND(S168=0,Первоначальный[[#This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платеж]]&lt;&gt;0),MIN(LOOKUP(,-1/($Z$12:Z169=1),$C$12:C169)+LOOKUP(,-1/($Z$12:Z169=1),$H$12:H169),Первоначальный[[#This Row],[Полученный платеж]]+Y168),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платеж]]+Y168,SUM(Первоначальный[[#This Row],[Остаток процентов на начало периода]],Первоначальный[[#This Row],[Проценты за период]])),
AND(S168=0,Первоначальный[[#This Row],[Дата платежа из графика]]=""),0,
AND(S168=0,Первоначальный[[#This Row],[Дата платежа из графика]]=1,MAX((0&lt;&gt;S$12:S168)*ROW(S$12:S168),ROW($S$12))&gt;=MAX((1=Z$12:Z168)*ROW(Z$12:Z168),ROW($T$12)),TYPE(VLOOKUP("Да",(INDIRECT("AA"&amp;(MAX((1=Z$12:Z168)*ROW(Z$12:Z168),ROW($T$12))&amp;":AA"&amp;(ROW()-1)))),1,0))=16),MIN(LOOKUP(,-1/($Z$12:Z169=1),$C$12:C169)+LOOKUP(,-1/($Z$12:Z169=1),$H$12:H169),Первоначальный[[#This Row],[Полученный платеж]]+Y168),
AND(S168=0,TYPE(VLOOKUP("Да",(INDIRECT("AA"&amp;(MAX((1=Z$12:Z168)*ROW(Z$12:Z168),ROW($T$12))&amp;":AA"&amp;(ROW()-1)))),1,0))&lt;&gt;16),MIN(LOOKUP(,-1/($Z$12:Z169=1),$C$12:C169)+LOOKUP(,-1/($Z$12:Z169=1),$H$12:H169)-IF(AA168="Да",0,SUM(INDIRECT("T"&amp;(MAX(("Да"=AA$12:AA168)*ROW(AA$12:AA168)+1,ROW($T$12))&amp;":T"&amp;(ROW()-1))))),Первоначальный[[#This Row],[Полученный платеж]]+Y168),
AND(S168=0,MAX((0&lt;&gt;N$12:N168)*ROW(N$12:N168),ROW($S$12))&gt;=MAX((1=Z$12:Z168)*ROW(Z$12:Z168),ROW($T$12))),MIN(LOOKUP(,-1/($Z$12:Z169=1),$C$12:C169)+LOOKUP(,-1/($Z$12:Z169=1),$H$12:H169)-IF(N168&lt;&gt;0,0,SUM(INDIRECT("T"&amp;(MAX((0&lt;&gt;N$12:N168)*ROW(N$12:N168)+1,ROW($T$12))&amp;":T"&amp;(ROW()-1))))),Первоначальный[[#This Row],[Полученный платеж]]+Y168),
AND(S168=0,Первоначальный[[#This Row],[Дата платежа из графика]]=1),MIN(LOOKUP(,-1/($Z$12:Z169=1),$C$12:C169)+LOOKUP(,-1/($Z$12:Z169=1),$H$12:H169)-IF(Z168=1,0,SUM(INDIRECT("T"&amp;(MAX((1=Z$12:Z168)*ROW(Z$12:Z168)+1,ROW($T$12))&amp;":T"&amp;(ROW()-1))))),Первоначальный[[#This Row],[Полученный платеж]]+Y168),
AND(Z168&gt;0,Первоначальный[[#This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платеж]]+Y168),
AND(S168&gt;0,MAX((0&lt;&gt;S$12:S168)*ROW(S$12:S168),ROW($S$12))&gt;=MAX((1=Z$12:Z168)*ROW(Z$12:Z168),ROW($T$12)),TYPE(VLOOKUP("Да",(INDIRECT("AA"&amp;(MAX((1=Z$12:Z168)*ROW(Z$12:Z168),ROW($T$12))&amp;":AA"&amp;(ROW()-1)))),1,0))=16),MIN(LOOKUP(,-1/($Z$12:Z169=1),$C$12:C169)+LOOKUP(,-1/($Z$12:Z169=1),$H$12:H169)-SUM(INDIRECT("T"&amp;(MAX((1=Z$12:Z168)*ROW(Z$12:Z168),ROW($T$12))&amp;":T"&amp;(ROW()-1)))),Первоначальный[[#This Row],[Полученный платеж]]+Y168),
S168&gt;0,MIN(LOOKUP(,-1/($Z$12:Z169=1),$C$12:C169)+LOOKUP(,-1/($Z$12:Z169=1),$H$12:H169)-IF(Z168=1,0,SUM(INDIRECT("T"&amp;(MAX((1=Z$12:Z168)*ROW(Z$12:Z168)+1,ROW($T$12))&amp;":T"&amp;(ROW()-1))))),Первоначальный[[#This Row],[Полученный платеж]]+Y168)
)
)
)</f>
        <v>0</v>
      </c>
      <c r="U16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платеж]]+Y168-Первоначальный[[#This Row],[Полученный платёж по процентам]])</f>
        <v>0</v>
      </c>
      <c r="V169" s="55">
        <f t="shared" ca="1" si="25"/>
        <v>0</v>
      </c>
      <c r="W169" s="55" cm="1">
        <f t="array" aca="1" ref="W169" ca="1">IF(Первоначальный[[#This Row],[Итого остаток на начало периода]]&lt;1,0,
_xlfn.IFS(
AND(TYPE(VLOOKUP(1,$Z$12:Z169,1,0))=16,Первоначальный[[#This Row],[Досрочное погашение (да/"")]]=""),0,
AND(S168=0,Первоначальный[[#This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платеж]]+Y168-SUM(Первоначальный[[#This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комиссиям]]),VLOOKUP(LOOKUP(,-1/($Z$12:Z169=1),$A$12:A169),График[[Срок конец]:[Возврат основной суммы долга]],3,0)),
AND(S168=0,Первоначальный[[#This Row],[Дата платежа из графика]]="",Первоначальный[[#This Row],[Досрочное погашение (да/"")]]&lt;&gt;"Да"),0,
AND(S168=0,Первоначальный[[#This Row],[Досрочное погашение (да/"")]]=""),MIN(Первоначальный[[#This Row],[Полученный платеж]]+Y168-SUM(Первоначальный[[#This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комиссиям]]),VLOOKUP(LOOKUP(,-1/($Z$12:Z169=1),$A$12:A169),График[[Срок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платеж]]+Y168-SUM(Первоначальный[[#This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S168&gt;0,MIN(Первоначальный[[#This Row],[Полученный платеж]]+Y168-SUM(Первоначальный[[#This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комиссиям]]),SUM(INDIRECT("M"&amp;(MAX((1=S$12:S168)*ROW(S$12:S168),ROW($W$12))&amp;":M"&amp;(ROW()))))-SUM(INDIRECT("W"&amp;(MAX((1=S$12:S168)*ROW(S$12:S168),ROW($W$12))&amp;":W"&amp;(ROW()-1)))))
)
)</f>
        <v>0</v>
      </c>
      <c r="X169" s="55">
        <f t="shared" ca="1" si="26"/>
        <v>0</v>
      </c>
      <c r="Y169" s="101">
        <f t="shared" ca="1" si="33"/>
        <v>0</v>
      </c>
      <c r="Z169" s="133" t="str">
        <f>IF(TYPE((VLOOKUP(Первоначальный[[#This Row],[Дата платежа]],График[Срок конец],1,0)))=16,"",1)</f>
        <v/>
      </c>
      <c r="AA169" s="57"/>
      <c r="AB169" s="134"/>
      <c r="AC16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6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7711.1900000000005</v>
      </c>
      <c r="AE16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26.089999999999982</v>
      </c>
      <c r="AF16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6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1560.0577131147545</v>
      </c>
      <c r="AH169" s="55"/>
      <c r="AI169" s="55"/>
      <c r="AJ169" s="55"/>
      <c r="AK169" s="101">
        <f t="shared" ca="1" si="34"/>
        <v>158930.67771311474</v>
      </c>
      <c r="AL169" s="129">
        <f t="array" ref="AL169">MAX((УслРестрактов[Характеристика]="Дата реструктуризации")*(УслРестрактов[Значение]=Первоначальный!$A169),0)</f>
        <v>0</v>
      </c>
    </row>
    <row r="170" spans="1:38" x14ac:dyDescent="0.25">
      <c r="A170" s="97">
        <f t="shared" si="27"/>
        <v>44301</v>
      </c>
      <c r="B170" s="100">
        <f t="shared" ca="1" si="28"/>
        <v>149633.34</v>
      </c>
      <c r="C170" s="55">
        <f t="shared" ca="1" si="36"/>
        <v>7711.1900000000005</v>
      </c>
      <c r="D170" s="55">
        <f t="shared" ca="1" si="36"/>
        <v>26.089999999999982</v>
      </c>
      <c r="E170" s="55">
        <f t="shared" ca="1" si="29"/>
        <v>0</v>
      </c>
      <c r="F170" s="55">
        <f t="shared" ca="1" si="30"/>
        <v>1560.0577131147545</v>
      </c>
      <c r="G170" s="101">
        <f t="shared" ca="1" si="31"/>
        <v>158930.67771311474</v>
      </c>
      <c r="H170" s="100">
        <f ca="1">ROUND($B170*VLOOKUP($A170,$A$1:$B$10,2,1)/(365+IF(MOD(YEAR($A170),4),0,1)*($A170-$A169)),2)-Первоначальный[[#This Row],[Проценты на просроченный платеж по ОД за период]]</f>
        <v>80.83</v>
      </c>
      <c r="I170" s="55">
        <f t="shared" ca="1" si="32"/>
        <v>0.75</v>
      </c>
      <c r="J170" s="55">
        <v>0</v>
      </c>
      <c r="K170" s="55">
        <f t="shared" ca="1" si="35"/>
        <v>43.388503278688532</v>
      </c>
      <c r="L170" s="55">
        <v>0</v>
      </c>
      <c r="M170" s="113">
        <f>SUMIFS(График[Возврат основной суммы долга],График[Дата с учетом нерабочих дней],$A170)</f>
        <v>0</v>
      </c>
      <c r="N170" s="56">
        <f>SUMIFS(График[Возврат начисленных %],График[Дата с учетом нерабочих дней],$A170)</f>
        <v>0</v>
      </c>
      <c r="O170" s="101">
        <v>0</v>
      </c>
      <c r="P170" s="100" cm="1">
        <f t="array" aca="1" ref="P170" ca="1">MAX(IF(AA169="Да",0,SUM(INDIRECT("M"&amp;(MAX(("Да"=AA$12:AA169)*ROW(AA$12:AA169)+1,ROW($P$12))&amp;":M"&amp;(ROW()))))-SUM(INDIRECT("W"&amp;(MAX(("Да"=AA$12:AA169)*ROW(AA$12:AA169)+1,ROW($P$12))&amp;":W"&amp;(ROW()))))),0)</f>
        <v>1371.0499999999993</v>
      </c>
      <c r="Q170" s="99">
        <f ca="1">MAX(SUM($N$13:N170)-SUM($T$13:T170),0)</f>
        <v>7306.650655737707</v>
      </c>
      <c r="R170" s="99">
        <f ca="1">Первоначальный[[#This Row],[Просроченный платеж по ОД]]+Первоначальный[[#This Row],[Просроченный платеж по процентам]]</f>
        <v>8677.7006557377063</v>
      </c>
      <c r="S170" s="120">
        <f ca="1">IF(Первоначальный[[#This Row],[Просроченный платеж]]&lt;1,0,S169+1)</f>
        <v>66</v>
      </c>
      <c r="T170" s="100" cm="1">
        <f t="array" aca="1" ref="T170" ca="1">IF(Первоначальный[[#This Row],[Итого остаток на начало периода]]&lt;1,0,
IF(
AND(TYPE(VLOOKUP(1,$Z$12:Z170,1,0))=16,Первоначальный[[#This Row],[Досрочное погашение (да/"")]]=""),0,
_xlfn.IFS(AND(S169=0,Первоначальный[[#This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платеж]]&lt;&gt;0),MIN(LOOKUP(,-1/($Z$12:Z170=1),$C$12:C170)+LOOKUP(,-1/($Z$12:Z170=1),$H$12:H170),Первоначальный[[#This Row],[Полученный платеж]]+Y169),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платеж]]+Y169,SUM(Первоначальный[[#This Row],[Остаток процентов на начало периода]],Первоначальный[[#This Row],[Проценты за период]])),
AND(S169=0,Первоначальный[[#This Row],[Дата платежа из графика]]=""),0,
AND(S169=0,Первоначальный[[#This Row],[Дата платежа из графика]]=1,MAX((0&lt;&gt;S$12:S169)*ROW(S$12:S169),ROW($S$12))&gt;=MAX((1=Z$12:Z169)*ROW(Z$12:Z169),ROW($T$12)),TYPE(VLOOKUP("Да",(INDIRECT("AA"&amp;(MAX((1=Z$12:Z169)*ROW(Z$12:Z169),ROW($T$12))&amp;":AA"&amp;(ROW()-1)))),1,0))=16),MIN(LOOKUP(,-1/($Z$12:Z170=1),$C$12:C170)+LOOKUP(,-1/($Z$12:Z170=1),$H$12:H170),Первоначальный[[#This Row],[Полученный платеж]]+Y169),
AND(S169=0,TYPE(VLOOKUP("Да",(INDIRECT("AA"&amp;(MAX((1=Z$12:Z169)*ROW(Z$12:Z169),ROW($T$12))&amp;":AA"&amp;(ROW()-1)))),1,0))&lt;&gt;16),MIN(LOOKUP(,-1/($Z$12:Z170=1),$C$12:C170)+LOOKUP(,-1/($Z$12:Z170=1),$H$12:H170)-IF(AA169="Да",0,SUM(INDIRECT("T"&amp;(MAX(("Да"=AA$12:AA169)*ROW(AA$12:AA169)+1,ROW($T$12))&amp;":T"&amp;(ROW()-1))))),Первоначальный[[#This Row],[Полученный платеж]]+Y169),
AND(S169=0,MAX((0&lt;&gt;N$12:N169)*ROW(N$12:N169),ROW($S$12))&gt;=MAX((1=Z$12:Z169)*ROW(Z$12:Z169),ROW($T$12))),MIN(LOOKUP(,-1/($Z$12:Z170=1),$C$12:C170)+LOOKUP(,-1/($Z$12:Z170=1),$H$12:H170)-IF(N169&lt;&gt;0,0,SUM(INDIRECT("T"&amp;(MAX((0&lt;&gt;N$12:N169)*ROW(N$12:N169)+1,ROW($T$12))&amp;":T"&amp;(ROW()-1))))),Первоначальный[[#This Row],[Полученный платеж]]+Y169),
AND(S169=0,Первоначальный[[#This Row],[Дата платежа из графика]]=1),MIN(LOOKUP(,-1/($Z$12:Z170=1),$C$12:C170)+LOOKUP(,-1/($Z$12:Z170=1),$H$12:H170)-IF(Z169=1,0,SUM(INDIRECT("T"&amp;(MAX((1=Z$12:Z169)*ROW(Z$12:Z169)+1,ROW($T$12))&amp;":T"&amp;(ROW()-1))))),Первоначальный[[#This Row],[Полученный платеж]]+Y169),
AND(Z169&gt;0,Первоначальный[[#This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платеж]]+Y169),
AND(S169&gt;0,MAX((0&lt;&gt;S$12:S169)*ROW(S$12:S169),ROW($S$12))&gt;=MAX((1=Z$12:Z169)*ROW(Z$12:Z169),ROW($T$12)),TYPE(VLOOKUP("Да",(INDIRECT("AA"&amp;(MAX((1=Z$12:Z169)*ROW(Z$12:Z169),ROW($T$12))&amp;":AA"&amp;(ROW()-1)))),1,0))=16),MIN(LOOKUP(,-1/($Z$12:Z170=1),$C$12:C170)+LOOKUP(,-1/($Z$12:Z170=1),$H$12:H170)-SUM(INDIRECT("T"&amp;(MAX((1=Z$12:Z169)*ROW(Z$12:Z169),ROW($T$12))&amp;":T"&amp;(ROW()-1)))),Первоначальный[[#This Row],[Полученный платеж]]+Y169),
S169&gt;0,MIN(LOOKUP(,-1/($Z$12:Z170=1),$C$12:C170)+LOOKUP(,-1/($Z$12:Z170=1),$H$12:H170)-IF(Z169=1,0,SUM(INDIRECT("T"&amp;(MAX((1=Z$12:Z169)*ROW(Z$12:Z169)+1,ROW($T$12))&amp;":T"&amp;(ROW()-1))))),Первоначальный[[#This Row],[Полученный платеж]]+Y169)
)
)
)</f>
        <v>0</v>
      </c>
      <c r="U17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платеж]]+Y169-Первоначальный[[#This Row],[Полученный платёж по процентам]])</f>
        <v>0</v>
      </c>
      <c r="V170" s="55">
        <f t="shared" ca="1" si="25"/>
        <v>0</v>
      </c>
      <c r="W170" s="55" cm="1">
        <f t="array" aca="1" ref="W170" ca="1">IF(Первоначальный[[#This Row],[Итого остаток на начало периода]]&lt;1,0,
_xlfn.IFS(
AND(TYPE(VLOOKUP(1,$Z$12:Z170,1,0))=16,Первоначальный[[#This Row],[Досрочное погашение (да/"")]]=""),0,
AND(S169=0,Первоначальный[[#This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платеж]]+Y169-SUM(Первоначальный[[#This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комиссиям]]),VLOOKUP(LOOKUP(,-1/($Z$12:Z170=1),$A$12:A170),График[[Срок конец]:[Возврат основной суммы долга]],3,0)),
AND(S169=0,Первоначальный[[#This Row],[Дата платежа из графика]]="",Первоначальный[[#This Row],[Досрочное погашение (да/"")]]&lt;&gt;"Да"),0,
AND(S169=0,Первоначальный[[#This Row],[Досрочное погашение (да/"")]]=""),MIN(Первоначальный[[#This Row],[Полученный платеж]]+Y169-SUM(Первоначальный[[#This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комиссиям]]),VLOOKUP(LOOKUP(,-1/($Z$12:Z170=1),$A$12:A170),График[[Срок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платеж]]+Y169-SUM(Первоначальный[[#This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S169&gt;0,MIN(Первоначальный[[#This Row],[Полученный платеж]]+Y169-SUM(Первоначальный[[#This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комиссиям]]),SUM(INDIRECT("M"&amp;(MAX((1=S$12:S169)*ROW(S$12:S169),ROW($W$12))&amp;":M"&amp;(ROW()))))-SUM(INDIRECT("W"&amp;(MAX((1=S$12:S169)*ROW(S$12:S169),ROW($W$12))&amp;":W"&amp;(ROW()-1)))))
)
)</f>
        <v>0</v>
      </c>
      <c r="X170" s="55">
        <f t="shared" ca="1" si="26"/>
        <v>0</v>
      </c>
      <c r="Y170" s="101">
        <f t="shared" ca="1" si="33"/>
        <v>0</v>
      </c>
      <c r="Z170" s="133" t="str">
        <f>IF(TYPE((VLOOKUP(Первоначальный[[#This Row],[Дата платежа]],График[Срок конец],1,0)))=16,"",1)</f>
        <v/>
      </c>
      <c r="AA170" s="57"/>
      <c r="AB170" s="134"/>
      <c r="AC17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7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7792.02</v>
      </c>
      <c r="AE17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26.839999999999982</v>
      </c>
      <c r="AF17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7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1603.4462163934431</v>
      </c>
      <c r="AH170" s="55"/>
      <c r="AI170" s="55"/>
      <c r="AJ170" s="55"/>
      <c r="AK170" s="101">
        <f t="shared" ca="1" si="34"/>
        <v>159055.64621639342</v>
      </c>
      <c r="AL170" s="129">
        <f t="array" ref="AL170">MAX((УслРестрактов[Характеристика]="Дата реструктуризации")*(УслРестрактов[Значение]=Первоначальный!$A170),0)</f>
        <v>0</v>
      </c>
    </row>
    <row r="171" spans="1:38" x14ac:dyDescent="0.25">
      <c r="A171" s="97">
        <f t="shared" si="27"/>
        <v>44302</v>
      </c>
      <c r="B171" s="100">
        <f t="shared" ca="1" si="28"/>
        <v>149633.34</v>
      </c>
      <c r="C171" s="55">
        <f t="shared" ca="1" si="36"/>
        <v>7792.02</v>
      </c>
      <c r="D171" s="55">
        <f t="shared" ca="1" si="36"/>
        <v>26.839999999999982</v>
      </c>
      <c r="E171" s="55">
        <f t="shared" ca="1" si="29"/>
        <v>0</v>
      </c>
      <c r="F171" s="55">
        <f t="shared" ca="1" si="30"/>
        <v>1603.4462163934431</v>
      </c>
      <c r="G171" s="101">
        <f t="shared" ca="1" si="31"/>
        <v>159055.64621639342</v>
      </c>
      <c r="H171" s="100">
        <f ca="1">ROUND($B171*VLOOKUP($A171,$A$1:$B$10,2,1)/(365+IF(MOD(YEAR($A171),4),0,1)*($A171-$A170)),2)-Первоначальный[[#This Row],[Проценты на просроченный платеж по ОД за период]]</f>
        <v>80.83</v>
      </c>
      <c r="I171" s="55">
        <f t="shared" ca="1" si="32"/>
        <v>0.75</v>
      </c>
      <c r="J171" s="55">
        <v>0</v>
      </c>
      <c r="K171" s="55">
        <f t="shared" ca="1" si="35"/>
        <v>43.388503278688532</v>
      </c>
      <c r="L171" s="55">
        <v>0</v>
      </c>
      <c r="M171" s="113">
        <f>SUMIFS(График[Возврат основной суммы долга],График[Дата с учетом нерабочих дней],$A171)</f>
        <v>0</v>
      </c>
      <c r="N171" s="56">
        <f>SUMIFS(График[Возврат начисленных %],График[Дата с учетом нерабочих дней],$A171)</f>
        <v>0</v>
      </c>
      <c r="O171" s="101">
        <v>0</v>
      </c>
      <c r="P171" s="100" cm="1">
        <f t="array" aca="1" ref="P171" ca="1">MAX(IF(AA170="Да",0,SUM(INDIRECT("M"&amp;(MAX(("Да"=AA$12:AA170)*ROW(AA$12:AA170)+1,ROW($P$12))&amp;":M"&amp;(ROW()))))-SUM(INDIRECT("W"&amp;(MAX(("Да"=AA$12:AA170)*ROW(AA$12:AA170)+1,ROW($P$12))&amp;":W"&amp;(ROW()))))),0)</f>
        <v>1371.0499999999993</v>
      </c>
      <c r="Q171" s="99">
        <f ca="1">MAX(SUM($N$13:N171)-SUM($T$13:T171),0)</f>
        <v>7306.650655737707</v>
      </c>
      <c r="R171" s="99">
        <f ca="1">Первоначальный[[#This Row],[Просроченный платеж по ОД]]+Первоначальный[[#This Row],[Просроченный платеж по процентам]]</f>
        <v>8677.7006557377063</v>
      </c>
      <c r="S171" s="120">
        <f ca="1">IF(Первоначальный[[#This Row],[Просроченный платеж]]&lt;1,0,S170+1)</f>
        <v>67</v>
      </c>
      <c r="T171" s="100" cm="1">
        <f t="array" aca="1" ref="T171" ca="1">IF(Первоначальный[[#This Row],[Итого остаток на начало периода]]&lt;1,0,
IF(
AND(TYPE(VLOOKUP(1,$Z$12:Z171,1,0))=16,Первоначальный[[#This Row],[Досрочное погашение (да/"")]]=""),0,
_xlfn.IFS(AND(S170=0,Первоначальный[[#This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платеж]]&lt;&gt;0),MIN(LOOKUP(,-1/($Z$12:Z171=1),$C$12:C171)+LOOKUP(,-1/($Z$12:Z171=1),$H$12:H171),Первоначальный[[#This Row],[Полученный платеж]]+Y170),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платеж]]+Y170,SUM(Первоначальный[[#This Row],[Остаток процентов на начало периода]],Первоначальный[[#This Row],[Проценты за период]])),
AND(S170=0,Первоначальный[[#This Row],[Дата платежа из графика]]=""),0,
AND(S170=0,Первоначальный[[#This Row],[Дата платежа из графика]]=1,MAX((0&lt;&gt;S$12:S170)*ROW(S$12:S170),ROW($S$12))&gt;=MAX((1=Z$12:Z170)*ROW(Z$12:Z170),ROW($T$12)),TYPE(VLOOKUP("Да",(INDIRECT("AA"&amp;(MAX((1=Z$12:Z170)*ROW(Z$12:Z170),ROW($T$12))&amp;":AA"&amp;(ROW()-1)))),1,0))=16),MIN(LOOKUP(,-1/($Z$12:Z171=1),$C$12:C171)+LOOKUP(,-1/($Z$12:Z171=1),$H$12:H171),Первоначальный[[#This Row],[Полученный платеж]]+Y170),
AND(S170=0,TYPE(VLOOKUP("Да",(INDIRECT("AA"&amp;(MAX((1=Z$12:Z170)*ROW(Z$12:Z170),ROW($T$12))&amp;":AA"&amp;(ROW()-1)))),1,0))&lt;&gt;16),MIN(LOOKUP(,-1/($Z$12:Z171=1),$C$12:C171)+LOOKUP(,-1/($Z$12:Z171=1),$H$12:H171)-IF(AA170="Да",0,SUM(INDIRECT("T"&amp;(MAX(("Да"=AA$12:AA170)*ROW(AA$12:AA170)+1,ROW($T$12))&amp;":T"&amp;(ROW()-1))))),Первоначальный[[#This Row],[Полученный платеж]]+Y170),
AND(S170=0,MAX((0&lt;&gt;N$12:N170)*ROW(N$12:N170),ROW($S$12))&gt;=MAX((1=Z$12:Z170)*ROW(Z$12:Z170),ROW($T$12))),MIN(LOOKUP(,-1/($Z$12:Z171=1),$C$12:C171)+LOOKUP(,-1/($Z$12:Z171=1),$H$12:H171)-IF(N170&lt;&gt;0,0,SUM(INDIRECT("T"&amp;(MAX((0&lt;&gt;N$12:N170)*ROW(N$12:N170)+1,ROW($T$12))&amp;":T"&amp;(ROW()-1))))),Первоначальный[[#This Row],[Полученный платеж]]+Y170),
AND(S170=0,Первоначальный[[#This Row],[Дата платежа из графика]]=1),MIN(LOOKUP(,-1/($Z$12:Z171=1),$C$12:C171)+LOOKUP(,-1/($Z$12:Z171=1),$H$12:H171)-IF(Z170=1,0,SUM(INDIRECT("T"&amp;(MAX((1=Z$12:Z170)*ROW(Z$12:Z170)+1,ROW($T$12))&amp;":T"&amp;(ROW()-1))))),Первоначальный[[#This Row],[Полученный платеж]]+Y170),
AND(Z170&gt;0,Первоначальный[[#This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платеж]]+Y170),
AND(S170&gt;0,MAX((0&lt;&gt;S$12:S170)*ROW(S$12:S170),ROW($S$12))&gt;=MAX((1=Z$12:Z170)*ROW(Z$12:Z170),ROW($T$12)),TYPE(VLOOKUP("Да",(INDIRECT("AA"&amp;(MAX((1=Z$12:Z170)*ROW(Z$12:Z170),ROW($T$12))&amp;":AA"&amp;(ROW()-1)))),1,0))=16),MIN(LOOKUP(,-1/($Z$12:Z171=1),$C$12:C171)+LOOKUP(,-1/($Z$12:Z171=1),$H$12:H171)-SUM(INDIRECT("T"&amp;(MAX((1=Z$12:Z170)*ROW(Z$12:Z170),ROW($T$12))&amp;":T"&amp;(ROW()-1)))),Первоначальный[[#This Row],[Полученный платеж]]+Y170),
S170&gt;0,MIN(LOOKUP(,-1/($Z$12:Z171=1),$C$12:C171)+LOOKUP(,-1/($Z$12:Z171=1),$H$12:H171)-IF(Z170=1,0,SUM(INDIRECT("T"&amp;(MAX((1=Z$12:Z170)*ROW(Z$12:Z170)+1,ROW($T$12))&amp;":T"&amp;(ROW()-1))))),Первоначальный[[#This Row],[Полученный платеж]]+Y170)
)
)
)</f>
        <v>0</v>
      </c>
      <c r="U17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платеж]]+Y170-Первоначальный[[#This Row],[Полученный платёж по процентам]])</f>
        <v>0</v>
      </c>
      <c r="V171" s="55">
        <f t="shared" ca="1" si="25"/>
        <v>0</v>
      </c>
      <c r="W171" s="55" cm="1">
        <f t="array" aca="1" ref="W171" ca="1">IF(Первоначальный[[#This Row],[Итого остаток на начало периода]]&lt;1,0,
_xlfn.IFS(
AND(TYPE(VLOOKUP(1,$Z$12:Z171,1,0))=16,Первоначальный[[#This Row],[Досрочное погашение (да/"")]]=""),0,
AND(S170=0,Первоначальный[[#This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платеж]]+Y170-SUM(Первоначальный[[#This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комиссиям]]),VLOOKUP(LOOKUP(,-1/($Z$12:Z171=1),$A$12:A171),График[[Срок конец]:[Возврат основной суммы долга]],3,0)),
AND(S170=0,Первоначальный[[#This Row],[Дата платежа из графика]]="",Первоначальный[[#This Row],[Досрочное погашение (да/"")]]&lt;&gt;"Да"),0,
AND(S170=0,Первоначальный[[#This Row],[Досрочное погашение (да/"")]]=""),MIN(Первоначальный[[#This Row],[Полученный платеж]]+Y170-SUM(Первоначальный[[#This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комиссиям]]),VLOOKUP(LOOKUP(,-1/($Z$12:Z171=1),$A$12:A171),График[[Срок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платеж]]+Y170-SUM(Первоначальный[[#This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S170&gt;0,MIN(Первоначальный[[#This Row],[Полученный платеж]]+Y170-SUM(Первоначальный[[#This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комиссиям]]),SUM(INDIRECT("M"&amp;(MAX((1=S$12:S170)*ROW(S$12:S170),ROW($W$12))&amp;":M"&amp;(ROW()))))-SUM(INDIRECT("W"&amp;(MAX((1=S$12:S170)*ROW(S$12:S170),ROW($W$12))&amp;":W"&amp;(ROW()-1)))))
)
)</f>
        <v>0</v>
      </c>
      <c r="X171" s="55">
        <f t="shared" ca="1" si="26"/>
        <v>0</v>
      </c>
      <c r="Y171" s="101">
        <f t="shared" ca="1" si="33"/>
        <v>0</v>
      </c>
      <c r="Z171" s="133" t="str">
        <f>IF(TYPE((VLOOKUP(Первоначальный[[#This Row],[Дата платежа]],График[Срок конец],1,0)))=16,"",1)</f>
        <v/>
      </c>
      <c r="AA171" s="57"/>
      <c r="AB171" s="134"/>
      <c r="AC17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7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7872.85</v>
      </c>
      <c r="AE17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27.589999999999982</v>
      </c>
      <c r="AF17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7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1646.8347196721318</v>
      </c>
      <c r="AH171" s="55"/>
      <c r="AI171" s="55"/>
      <c r="AJ171" s="55"/>
      <c r="AK171" s="101">
        <f t="shared" ca="1" si="34"/>
        <v>159180.61471967213</v>
      </c>
      <c r="AL171" s="129">
        <f t="array" ref="AL171">MAX((УслРестрактов[Характеристика]="Дата реструктуризации")*(УслРестрактов[Значение]=Первоначальный!$A171),0)</f>
        <v>0</v>
      </c>
    </row>
    <row r="172" spans="1:38" x14ac:dyDescent="0.25">
      <c r="A172" s="97">
        <f t="shared" si="27"/>
        <v>44303</v>
      </c>
      <c r="B172" s="100">
        <f t="shared" ca="1" si="28"/>
        <v>149633.34</v>
      </c>
      <c r="C172" s="55">
        <f t="shared" ca="1" si="36"/>
        <v>7872.85</v>
      </c>
      <c r="D172" s="55">
        <f t="shared" ca="1" si="36"/>
        <v>27.589999999999982</v>
      </c>
      <c r="E172" s="55">
        <f t="shared" ca="1" si="29"/>
        <v>0</v>
      </c>
      <c r="F172" s="55">
        <f t="shared" ca="1" si="30"/>
        <v>1646.8347196721318</v>
      </c>
      <c r="G172" s="101">
        <f t="shared" ca="1" si="31"/>
        <v>159180.61471967213</v>
      </c>
      <c r="H172" s="100">
        <f ca="1">ROUND($B172*VLOOKUP($A172,$A$1:$B$10,2,1)/(365+IF(MOD(YEAR($A172),4),0,1)*($A172-$A171)),2)-Первоначальный[[#This Row],[Проценты на просроченный платеж по ОД за период]]</f>
        <v>80.83</v>
      </c>
      <c r="I172" s="55">
        <f t="shared" ca="1" si="32"/>
        <v>0.75</v>
      </c>
      <c r="J172" s="55">
        <v>0</v>
      </c>
      <c r="K172" s="55">
        <f t="shared" ca="1" si="35"/>
        <v>43.388503278688532</v>
      </c>
      <c r="L172" s="55">
        <v>0</v>
      </c>
      <c r="M172" s="113">
        <f>SUMIFS(График[Возврат основной суммы долга],График[Дата с учетом нерабочих дней],$A172)</f>
        <v>0</v>
      </c>
      <c r="N172" s="56">
        <f>SUMIFS(График[Возврат начисленных %],График[Дата с учетом нерабочих дней],$A172)</f>
        <v>0</v>
      </c>
      <c r="O172" s="101">
        <v>0</v>
      </c>
      <c r="P172" s="100" cm="1">
        <f t="array" aca="1" ref="P172" ca="1">MAX(IF(AA171="Да",0,SUM(INDIRECT("M"&amp;(MAX(("Да"=AA$12:AA171)*ROW(AA$12:AA171)+1,ROW($P$12))&amp;":M"&amp;(ROW()))))-SUM(INDIRECT("W"&amp;(MAX(("Да"=AA$12:AA171)*ROW(AA$12:AA171)+1,ROW($P$12))&amp;":W"&amp;(ROW()))))),0)</f>
        <v>1371.0499999999993</v>
      </c>
      <c r="Q172" s="99">
        <f ca="1">MAX(SUM($N$13:N172)-SUM($T$13:T172),0)</f>
        <v>7306.650655737707</v>
      </c>
      <c r="R172" s="99">
        <f ca="1">Первоначальный[[#This Row],[Просроченный платеж по ОД]]+Первоначальный[[#This Row],[Просроченный платеж по процентам]]</f>
        <v>8677.7006557377063</v>
      </c>
      <c r="S172" s="120">
        <f ca="1">IF(Первоначальный[[#This Row],[Просроченный платеж]]&lt;1,0,S171+1)</f>
        <v>68</v>
      </c>
      <c r="T172" s="100" cm="1">
        <f t="array" aca="1" ref="T172" ca="1">IF(Первоначальный[[#This Row],[Итого остаток на начало периода]]&lt;1,0,
IF(
AND(TYPE(VLOOKUP(1,$Z$12:Z172,1,0))=16,Первоначальный[[#This Row],[Досрочное погашение (да/"")]]=""),0,
_xlfn.IFS(AND(S171=0,Первоначальный[[#This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платеж]]&lt;&gt;0),MIN(LOOKUP(,-1/($Z$12:Z172=1),$C$12:C172)+LOOKUP(,-1/($Z$12:Z172=1),$H$12:H172),Первоначальный[[#This Row],[Полученный платеж]]+Y171),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платеж]]+Y171,SUM(Первоначальный[[#This Row],[Остаток процентов на начало периода]],Первоначальный[[#This Row],[Проценты за период]])),
AND(S171=0,Первоначальный[[#This Row],[Дата платежа из графика]]=""),0,
AND(S171=0,Первоначальный[[#This Row],[Дата платежа из графика]]=1,MAX((0&lt;&gt;S$12:S171)*ROW(S$12:S171),ROW($S$12))&gt;=MAX((1=Z$12:Z171)*ROW(Z$12:Z171),ROW($T$12)),TYPE(VLOOKUP("Да",(INDIRECT("AA"&amp;(MAX((1=Z$12:Z171)*ROW(Z$12:Z171),ROW($T$12))&amp;":AA"&amp;(ROW()-1)))),1,0))=16),MIN(LOOKUP(,-1/($Z$12:Z172=1),$C$12:C172)+LOOKUP(,-1/($Z$12:Z172=1),$H$12:H172),Первоначальный[[#This Row],[Полученный платеж]]+Y171),
AND(S171=0,TYPE(VLOOKUP("Да",(INDIRECT("AA"&amp;(MAX((1=Z$12:Z171)*ROW(Z$12:Z171),ROW($T$12))&amp;":AA"&amp;(ROW()-1)))),1,0))&lt;&gt;16),MIN(LOOKUP(,-1/($Z$12:Z172=1),$C$12:C172)+LOOKUP(,-1/($Z$12:Z172=1),$H$12:H172)-IF(AA171="Да",0,SUM(INDIRECT("T"&amp;(MAX(("Да"=AA$12:AA171)*ROW(AA$12:AA171)+1,ROW($T$12))&amp;":T"&amp;(ROW()-1))))),Первоначальный[[#This Row],[Полученный платеж]]+Y171),
AND(S171=0,MAX((0&lt;&gt;N$12:N171)*ROW(N$12:N171),ROW($S$12))&gt;=MAX((1=Z$12:Z171)*ROW(Z$12:Z171),ROW($T$12))),MIN(LOOKUP(,-1/($Z$12:Z172=1),$C$12:C172)+LOOKUP(,-1/($Z$12:Z172=1),$H$12:H172)-IF(N171&lt;&gt;0,0,SUM(INDIRECT("T"&amp;(MAX((0&lt;&gt;N$12:N171)*ROW(N$12:N171)+1,ROW($T$12))&amp;":T"&amp;(ROW()-1))))),Первоначальный[[#This Row],[Полученный платеж]]+Y171),
AND(S171=0,Первоначальный[[#This Row],[Дата платежа из графика]]=1),MIN(LOOKUP(,-1/($Z$12:Z172=1),$C$12:C172)+LOOKUP(,-1/($Z$12:Z172=1),$H$12:H172)-IF(Z171=1,0,SUM(INDIRECT("T"&amp;(MAX((1=Z$12:Z171)*ROW(Z$12:Z171)+1,ROW($T$12))&amp;":T"&amp;(ROW()-1))))),Первоначальный[[#This Row],[Полученный платеж]]+Y171),
AND(Z171&gt;0,Первоначальный[[#This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платеж]]+Y171),
AND(S171&gt;0,MAX((0&lt;&gt;S$12:S171)*ROW(S$12:S171),ROW($S$12))&gt;=MAX((1=Z$12:Z171)*ROW(Z$12:Z171),ROW($T$12)),TYPE(VLOOKUP("Да",(INDIRECT("AA"&amp;(MAX((1=Z$12:Z171)*ROW(Z$12:Z171),ROW($T$12))&amp;":AA"&amp;(ROW()-1)))),1,0))=16),MIN(LOOKUP(,-1/($Z$12:Z172=1),$C$12:C172)+LOOKUP(,-1/($Z$12:Z172=1),$H$12:H172)-SUM(INDIRECT("T"&amp;(MAX((1=Z$12:Z171)*ROW(Z$12:Z171),ROW($T$12))&amp;":T"&amp;(ROW()-1)))),Первоначальный[[#This Row],[Полученный платеж]]+Y171),
S171&gt;0,MIN(LOOKUP(,-1/($Z$12:Z172=1),$C$12:C172)+LOOKUP(,-1/($Z$12:Z172=1),$H$12:H172)-IF(Z171=1,0,SUM(INDIRECT("T"&amp;(MAX((1=Z$12:Z171)*ROW(Z$12:Z171)+1,ROW($T$12))&amp;":T"&amp;(ROW()-1))))),Первоначальный[[#This Row],[Полученный платеж]]+Y171)
)
)
)</f>
        <v>0</v>
      </c>
      <c r="U17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платеж]]+Y171-Первоначальный[[#This Row],[Полученный платёж по процентам]])</f>
        <v>0</v>
      </c>
      <c r="V172" s="55">
        <f t="shared" ca="1" si="25"/>
        <v>0</v>
      </c>
      <c r="W172" s="55" cm="1">
        <f t="array" aca="1" ref="W172" ca="1">IF(Первоначальный[[#This Row],[Итого остаток на начало периода]]&lt;1,0,
_xlfn.IFS(
AND(TYPE(VLOOKUP(1,$Z$12:Z172,1,0))=16,Первоначальный[[#This Row],[Досрочное погашение (да/"")]]=""),0,
AND(S171=0,Первоначальный[[#This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платеж]]+Y171-SUM(Первоначальный[[#This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комиссиям]]),VLOOKUP(LOOKUP(,-1/($Z$12:Z172=1),$A$12:A172),График[[Срок конец]:[Возврат основной суммы долга]],3,0)),
AND(S171=0,Первоначальный[[#This Row],[Дата платежа из графика]]="",Первоначальный[[#This Row],[Досрочное погашение (да/"")]]&lt;&gt;"Да"),0,
AND(S171=0,Первоначальный[[#This Row],[Досрочное погашение (да/"")]]=""),MIN(Первоначальный[[#This Row],[Полученный платеж]]+Y171-SUM(Первоначальный[[#This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комиссиям]]),VLOOKUP(LOOKUP(,-1/($Z$12:Z172=1),$A$12:A172),График[[Срок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платеж]]+Y171-SUM(Первоначальный[[#This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S171&gt;0,MIN(Первоначальный[[#This Row],[Полученный платеж]]+Y171-SUM(Первоначальный[[#This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комиссиям]]),SUM(INDIRECT("M"&amp;(MAX((1=S$12:S171)*ROW(S$12:S171),ROW($W$12))&amp;":M"&amp;(ROW()))))-SUM(INDIRECT("W"&amp;(MAX((1=S$12:S171)*ROW(S$12:S171),ROW($W$12))&amp;":W"&amp;(ROW()-1)))))
)
)</f>
        <v>0</v>
      </c>
      <c r="X172" s="55">
        <f t="shared" ca="1" si="26"/>
        <v>0</v>
      </c>
      <c r="Y172" s="101">
        <f t="shared" ca="1" si="33"/>
        <v>0</v>
      </c>
      <c r="Z172" s="133" t="str">
        <f>IF(TYPE((VLOOKUP(Первоначальный[[#This Row],[Дата платежа]],График[Срок конец],1,0)))=16,"",1)</f>
        <v/>
      </c>
      <c r="AA172" s="57"/>
      <c r="AB172" s="134"/>
      <c r="AC17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7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7953.68</v>
      </c>
      <c r="AE17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28.339999999999982</v>
      </c>
      <c r="AF17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7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1690.2232229508204</v>
      </c>
      <c r="AH172" s="55"/>
      <c r="AI172" s="55"/>
      <c r="AJ172" s="55"/>
      <c r="AK172" s="101">
        <f t="shared" ca="1" si="34"/>
        <v>159305.58322295081</v>
      </c>
      <c r="AL172" s="129">
        <f t="array" ref="AL172">MAX((УслРестрактов[Характеристика]="Дата реструктуризации")*(УслРестрактов[Значение]=Первоначальный!$A172),0)</f>
        <v>0</v>
      </c>
    </row>
    <row r="173" spans="1:38" x14ac:dyDescent="0.25">
      <c r="A173" s="97">
        <f t="shared" si="27"/>
        <v>44304</v>
      </c>
      <c r="B173" s="100">
        <f t="shared" ca="1" si="28"/>
        <v>149633.34</v>
      </c>
      <c r="C173" s="55">
        <f t="shared" ca="1" si="36"/>
        <v>7953.68</v>
      </c>
      <c r="D173" s="55">
        <f t="shared" ca="1" si="36"/>
        <v>28.339999999999982</v>
      </c>
      <c r="E173" s="55">
        <f t="shared" ca="1" si="29"/>
        <v>0</v>
      </c>
      <c r="F173" s="55">
        <f t="shared" ca="1" si="30"/>
        <v>1690.2232229508204</v>
      </c>
      <c r="G173" s="101">
        <f t="shared" ca="1" si="31"/>
        <v>159305.58322295081</v>
      </c>
      <c r="H173" s="100">
        <f ca="1">ROUND($B173*VLOOKUP($A173,$A$1:$B$10,2,1)/(365+IF(MOD(YEAR($A173),4),0,1)*($A173-$A172)),2)-Первоначальный[[#This Row],[Проценты на просроченный платеж по ОД за период]]</f>
        <v>80.83</v>
      </c>
      <c r="I173" s="55">
        <f t="shared" ca="1" si="32"/>
        <v>0.75</v>
      </c>
      <c r="J173" s="55">
        <v>0</v>
      </c>
      <c r="K173" s="55">
        <f t="shared" ca="1" si="35"/>
        <v>43.388503278688532</v>
      </c>
      <c r="L173" s="55">
        <v>0</v>
      </c>
      <c r="M173" s="113">
        <f>SUMIFS(График[Возврат основной суммы долга],График[Дата с учетом нерабочих дней],$A173)</f>
        <v>0</v>
      </c>
      <c r="N173" s="56">
        <f>SUMIFS(График[Возврат начисленных %],График[Дата с учетом нерабочих дней],$A173)</f>
        <v>0</v>
      </c>
      <c r="O173" s="101">
        <v>0</v>
      </c>
      <c r="P173" s="100" cm="1">
        <f t="array" aca="1" ref="P173" ca="1">MAX(IF(AA172="Да",0,SUM(INDIRECT("M"&amp;(MAX(("Да"=AA$12:AA172)*ROW(AA$12:AA172)+1,ROW($P$12))&amp;":M"&amp;(ROW()))))-SUM(INDIRECT("W"&amp;(MAX(("Да"=AA$12:AA172)*ROW(AA$12:AA172)+1,ROW($P$12))&amp;":W"&amp;(ROW()))))),0)</f>
        <v>1371.0499999999993</v>
      </c>
      <c r="Q173" s="99">
        <f ca="1">MAX(SUM($N$13:N173)-SUM($T$13:T173),0)</f>
        <v>7306.650655737707</v>
      </c>
      <c r="R173" s="99">
        <f ca="1">Первоначальный[[#This Row],[Просроченный платеж по ОД]]+Первоначальный[[#This Row],[Просроченный платеж по процентам]]</f>
        <v>8677.7006557377063</v>
      </c>
      <c r="S173" s="120">
        <f ca="1">IF(Первоначальный[[#This Row],[Просроченный платеж]]&lt;1,0,S172+1)</f>
        <v>69</v>
      </c>
      <c r="T173" s="100" cm="1">
        <f t="array" aca="1" ref="T173" ca="1">IF(Первоначальный[[#This Row],[Итого остаток на начало периода]]&lt;1,0,
IF(
AND(TYPE(VLOOKUP(1,$Z$12:Z173,1,0))=16,Первоначальный[[#This Row],[Досрочное погашение (да/"")]]=""),0,
_xlfn.IFS(AND(S172=0,Первоначальный[[#This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платеж]]&lt;&gt;0),MIN(LOOKUP(,-1/($Z$12:Z173=1),$C$12:C173)+LOOKUP(,-1/($Z$12:Z173=1),$H$12:H173),Первоначальный[[#This Row],[Полученный платеж]]+Y172),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платеж]]+Y172,SUM(Первоначальный[[#This Row],[Остаток процентов на начало периода]],Первоначальный[[#This Row],[Проценты за период]])),
AND(S172=0,Первоначальный[[#This Row],[Дата платежа из графика]]=""),0,
AND(S172=0,Первоначальный[[#This Row],[Дата платежа из графика]]=1,MAX((0&lt;&gt;S$12:S172)*ROW(S$12:S172),ROW($S$12))&gt;=MAX((1=Z$12:Z172)*ROW(Z$12:Z172),ROW($T$12)),TYPE(VLOOKUP("Да",(INDIRECT("AA"&amp;(MAX((1=Z$12:Z172)*ROW(Z$12:Z172),ROW($T$12))&amp;":AA"&amp;(ROW()-1)))),1,0))=16),MIN(LOOKUP(,-1/($Z$12:Z173=1),$C$12:C173)+LOOKUP(,-1/($Z$12:Z173=1),$H$12:H173),Первоначальный[[#This Row],[Полученный платеж]]+Y172),
AND(S172=0,TYPE(VLOOKUP("Да",(INDIRECT("AA"&amp;(MAX((1=Z$12:Z172)*ROW(Z$12:Z172),ROW($T$12))&amp;":AA"&amp;(ROW()-1)))),1,0))&lt;&gt;16),MIN(LOOKUP(,-1/($Z$12:Z173=1),$C$12:C173)+LOOKUP(,-1/($Z$12:Z173=1),$H$12:H173)-IF(AA172="Да",0,SUM(INDIRECT("T"&amp;(MAX(("Да"=AA$12:AA172)*ROW(AA$12:AA172)+1,ROW($T$12))&amp;":T"&amp;(ROW()-1))))),Первоначальный[[#This Row],[Полученный платеж]]+Y172),
AND(S172=0,MAX((0&lt;&gt;N$12:N172)*ROW(N$12:N172),ROW($S$12))&gt;=MAX((1=Z$12:Z172)*ROW(Z$12:Z172),ROW($T$12))),MIN(LOOKUP(,-1/($Z$12:Z173=1),$C$12:C173)+LOOKUP(,-1/($Z$12:Z173=1),$H$12:H173)-IF(N172&lt;&gt;0,0,SUM(INDIRECT("T"&amp;(MAX((0&lt;&gt;N$12:N172)*ROW(N$12:N172)+1,ROW($T$12))&amp;":T"&amp;(ROW()-1))))),Первоначальный[[#This Row],[Полученный платеж]]+Y172),
AND(S172=0,Первоначальный[[#This Row],[Дата платежа из графика]]=1),MIN(LOOKUP(,-1/($Z$12:Z173=1),$C$12:C173)+LOOKUP(,-1/($Z$12:Z173=1),$H$12:H173)-IF(Z172=1,0,SUM(INDIRECT("T"&amp;(MAX((1=Z$12:Z172)*ROW(Z$12:Z172)+1,ROW($T$12))&amp;":T"&amp;(ROW()-1))))),Первоначальный[[#This Row],[Полученный платеж]]+Y172),
AND(Z172&gt;0,Первоначальный[[#This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платеж]]+Y172),
AND(S172&gt;0,MAX((0&lt;&gt;S$12:S172)*ROW(S$12:S172),ROW($S$12))&gt;=MAX((1=Z$12:Z172)*ROW(Z$12:Z172),ROW($T$12)),TYPE(VLOOKUP("Да",(INDIRECT("AA"&amp;(MAX((1=Z$12:Z172)*ROW(Z$12:Z172),ROW($T$12))&amp;":AA"&amp;(ROW()-1)))),1,0))=16),MIN(LOOKUP(,-1/($Z$12:Z173=1),$C$12:C173)+LOOKUP(,-1/($Z$12:Z173=1),$H$12:H173)-SUM(INDIRECT("T"&amp;(MAX((1=Z$12:Z172)*ROW(Z$12:Z172),ROW($T$12))&amp;":T"&amp;(ROW()-1)))),Первоначальный[[#This Row],[Полученный платеж]]+Y172),
S172&gt;0,MIN(LOOKUP(,-1/($Z$12:Z173=1),$C$12:C173)+LOOKUP(,-1/($Z$12:Z173=1),$H$12:H173)-IF(Z172=1,0,SUM(INDIRECT("T"&amp;(MAX((1=Z$12:Z172)*ROW(Z$12:Z172)+1,ROW($T$12))&amp;":T"&amp;(ROW()-1))))),Первоначальный[[#This Row],[Полученный платеж]]+Y172)
)
)
)</f>
        <v>0</v>
      </c>
      <c r="U17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платеж]]+Y172-Первоначальный[[#This Row],[Полученный платёж по процентам]])</f>
        <v>0</v>
      </c>
      <c r="V173" s="55">
        <f t="shared" ca="1" si="25"/>
        <v>0</v>
      </c>
      <c r="W173" s="55" cm="1">
        <f t="array" aca="1" ref="W173" ca="1">IF(Первоначальный[[#This Row],[Итого остаток на начало периода]]&lt;1,0,
_xlfn.IFS(
AND(TYPE(VLOOKUP(1,$Z$12:Z173,1,0))=16,Первоначальный[[#This Row],[Досрочное погашение (да/"")]]=""),0,
AND(S172=0,Первоначальный[[#This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платеж]]+Y172-SUM(Первоначальный[[#This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комиссиям]]),VLOOKUP(LOOKUP(,-1/($Z$12:Z173=1),$A$12:A173),График[[Срок конец]:[Возврат основной суммы долга]],3,0)),
AND(S172=0,Первоначальный[[#This Row],[Дата платежа из графика]]="",Первоначальный[[#This Row],[Досрочное погашение (да/"")]]&lt;&gt;"Да"),0,
AND(S172=0,Первоначальный[[#This Row],[Досрочное погашение (да/"")]]=""),MIN(Первоначальный[[#This Row],[Полученный платеж]]+Y172-SUM(Первоначальный[[#This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комиссиям]]),VLOOKUP(LOOKUP(,-1/($Z$12:Z173=1),$A$12:A173),График[[Срок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платеж]]+Y172-SUM(Первоначальный[[#This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S172&gt;0,MIN(Первоначальный[[#This Row],[Полученный платеж]]+Y172-SUM(Первоначальный[[#This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комиссиям]]),SUM(INDIRECT("M"&amp;(MAX((1=S$12:S172)*ROW(S$12:S172),ROW($W$12))&amp;":M"&amp;(ROW()))))-SUM(INDIRECT("W"&amp;(MAX((1=S$12:S172)*ROW(S$12:S172),ROW($W$12))&amp;":W"&amp;(ROW()-1)))))
)
)</f>
        <v>0</v>
      </c>
      <c r="X173" s="55">
        <f t="shared" ca="1" si="26"/>
        <v>0</v>
      </c>
      <c r="Y173" s="101">
        <f t="shared" ca="1" si="33"/>
        <v>0</v>
      </c>
      <c r="Z173" s="133" t="str">
        <f>IF(TYPE((VLOOKUP(Первоначальный[[#This Row],[Дата платежа]],График[Срок конец],1,0)))=16,"",1)</f>
        <v/>
      </c>
      <c r="AA173" s="57"/>
      <c r="AB173" s="134"/>
      <c r="AC17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7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8034.51</v>
      </c>
      <c r="AE17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29.089999999999982</v>
      </c>
      <c r="AF17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7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1733.611726229509</v>
      </c>
      <c r="AH173" s="55"/>
      <c r="AI173" s="55"/>
      <c r="AJ173" s="55"/>
      <c r="AK173" s="101">
        <f t="shared" ca="1" si="34"/>
        <v>159430.55172622952</v>
      </c>
      <c r="AL173" s="129">
        <f t="array" ref="AL173">MAX((УслРестрактов[Характеристика]="Дата реструктуризации")*(УслРестрактов[Значение]=Первоначальный!$A173),0)</f>
        <v>0</v>
      </c>
    </row>
    <row r="174" spans="1:38" x14ac:dyDescent="0.25">
      <c r="A174" s="97">
        <f t="shared" si="27"/>
        <v>44305</v>
      </c>
      <c r="B174" s="100">
        <f t="shared" ca="1" si="28"/>
        <v>149633.34</v>
      </c>
      <c r="C174" s="55">
        <f t="shared" ca="1" si="36"/>
        <v>8034.51</v>
      </c>
      <c r="D174" s="55">
        <f t="shared" ca="1" si="36"/>
        <v>29.089999999999982</v>
      </c>
      <c r="E174" s="55">
        <f t="shared" ca="1" si="29"/>
        <v>0</v>
      </c>
      <c r="F174" s="55">
        <f t="shared" ca="1" si="30"/>
        <v>1733.611726229509</v>
      </c>
      <c r="G174" s="101">
        <f t="shared" ca="1" si="31"/>
        <v>159430.55172622952</v>
      </c>
      <c r="H174" s="100">
        <f ca="1">ROUND($B174*VLOOKUP($A174,$A$1:$B$10,2,1)/(365+IF(MOD(YEAR($A174),4),0,1)*($A174-$A173)),2)-Первоначальный[[#This Row],[Проценты на просроченный платеж по ОД за период]]</f>
        <v>80.83</v>
      </c>
      <c r="I174" s="55">
        <f t="shared" ca="1" si="32"/>
        <v>0.75</v>
      </c>
      <c r="J174" s="55">
        <v>0</v>
      </c>
      <c r="K174" s="55">
        <f t="shared" ca="1" si="35"/>
        <v>43.388503278688532</v>
      </c>
      <c r="L174" s="55">
        <v>0</v>
      </c>
      <c r="M174" s="113">
        <f>SUMIFS(График[Возврат основной суммы долга],График[Дата с учетом нерабочих дней],$A174)</f>
        <v>0</v>
      </c>
      <c r="N174" s="56">
        <f>SUMIFS(График[Возврат начисленных %],График[Дата с учетом нерабочих дней],$A174)</f>
        <v>0</v>
      </c>
      <c r="O174" s="101">
        <v>0</v>
      </c>
      <c r="P174" s="100" cm="1">
        <f t="array" aca="1" ref="P174" ca="1">MAX(IF(AA173="Да",0,SUM(INDIRECT("M"&amp;(MAX(("Да"=AA$12:AA173)*ROW(AA$12:AA173)+1,ROW($P$12))&amp;":M"&amp;(ROW()))))-SUM(INDIRECT("W"&amp;(MAX(("Да"=AA$12:AA173)*ROW(AA$12:AA173)+1,ROW($P$12))&amp;":W"&amp;(ROW()))))),0)</f>
        <v>1371.0499999999993</v>
      </c>
      <c r="Q174" s="99">
        <f ca="1">MAX(SUM($N$13:N174)-SUM($T$13:T174),0)</f>
        <v>7306.650655737707</v>
      </c>
      <c r="R174" s="99">
        <f ca="1">Первоначальный[[#This Row],[Просроченный платеж по ОД]]+Первоначальный[[#This Row],[Просроченный платеж по процентам]]</f>
        <v>8677.7006557377063</v>
      </c>
      <c r="S174" s="120">
        <f ca="1">IF(Первоначальный[[#This Row],[Просроченный платеж]]&lt;1,0,S173+1)</f>
        <v>70</v>
      </c>
      <c r="T174" s="100" cm="1">
        <f t="array" aca="1" ref="T174" ca="1">IF(Первоначальный[[#This Row],[Итого остаток на начало периода]]&lt;1,0,
IF(
AND(TYPE(VLOOKUP(1,$Z$12:Z174,1,0))=16,Первоначальный[[#This Row],[Досрочное погашение (да/"")]]=""),0,
_xlfn.IFS(AND(S173=0,Первоначальный[[#This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платеж]]&lt;&gt;0),MIN(LOOKUP(,-1/($Z$12:Z174=1),$C$12:C174)+LOOKUP(,-1/($Z$12:Z174=1),$H$12:H174),Первоначальный[[#This Row],[Полученный платеж]]+Y173),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платеж]]+Y173,SUM(Первоначальный[[#This Row],[Остаток процентов на начало периода]],Первоначальный[[#This Row],[Проценты за период]])),
AND(S173=0,Первоначальный[[#This Row],[Дата платежа из графика]]=""),0,
AND(S173=0,Первоначальный[[#This Row],[Дата платежа из графика]]=1,MAX((0&lt;&gt;S$12:S173)*ROW(S$12:S173),ROW($S$12))&gt;=MAX((1=Z$12:Z173)*ROW(Z$12:Z173),ROW($T$12)),TYPE(VLOOKUP("Да",(INDIRECT("AA"&amp;(MAX((1=Z$12:Z173)*ROW(Z$12:Z173),ROW($T$12))&amp;":AA"&amp;(ROW()-1)))),1,0))=16),MIN(LOOKUP(,-1/($Z$12:Z174=1),$C$12:C174)+LOOKUP(,-1/($Z$12:Z174=1),$H$12:H174),Первоначальный[[#This Row],[Полученный платеж]]+Y173),
AND(S173=0,TYPE(VLOOKUP("Да",(INDIRECT("AA"&amp;(MAX((1=Z$12:Z173)*ROW(Z$12:Z173),ROW($T$12))&amp;":AA"&amp;(ROW()-1)))),1,0))&lt;&gt;16),MIN(LOOKUP(,-1/($Z$12:Z174=1),$C$12:C174)+LOOKUP(,-1/($Z$12:Z174=1),$H$12:H174)-IF(AA173="Да",0,SUM(INDIRECT("T"&amp;(MAX(("Да"=AA$12:AA173)*ROW(AA$12:AA173)+1,ROW($T$12))&amp;":T"&amp;(ROW()-1))))),Первоначальный[[#This Row],[Полученный платеж]]+Y173),
AND(S173=0,MAX((0&lt;&gt;N$12:N173)*ROW(N$12:N173),ROW($S$12))&gt;=MAX((1=Z$12:Z173)*ROW(Z$12:Z173),ROW($T$12))),MIN(LOOKUP(,-1/($Z$12:Z174=1),$C$12:C174)+LOOKUP(,-1/($Z$12:Z174=1),$H$12:H174)-IF(N173&lt;&gt;0,0,SUM(INDIRECT("T"&amp;(MAX((0&lt;&gt;N$12:N173)*ROW(N$12:N173)+1,ROW($T$12))&amp;":T"&amp;(ROW()-1))))),Первоначальный[[#This Row],[Полученный платеж]]+Y173),
AND(S173=0,Первоначальный[[#This Row],[Дата платежа из графика]]=1),MIN(LOOKUP(,-1/($Z$12:Z174=1),$C$12:C174)+LOOKUP(,-1/($Z$12:Z174=1),$H$12:H174)-IF(Z173=1,0,SUM(INDIRECT("T"&amp;(MAX((1=Z$12:Z173)*ROW(Z$12:Z173)+1,ROW($T$12))&amp;":T"&amp;(ROW()-1))))),Первоначальный[[#This Row],[Полученный платеж]]+Y173),
AND(Z173&gt;0,Первоначальный[[#This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платеж]]+Y173),
AND(S173&gt;0,MAX((0&lt;&gt;S$12:S173)*ROW(S$12:S173),ROW($S$12))&gt;=MAX((1=Z$12:Z173)*ROW(Z$12:Z173),ROW($T$12)),TYPE(VLOOKUP("Да",(INDIRECT("AA"&amp;(MAX((1=Z$12:Z173)*ROW(Z$12:Z173),ROW($T$12))&amp;":AA"&amp;(ROW()-1)))),1,0))=16),MIN(LOOKUP(,-1/($Z$12:Z174=1),$C$12:C174)+LOOKUP(,-1/($Z$12:Z174=1),$H$12:H174)-SUM(INDIRECT("T"&amp;(MAX((1=Z$12:Z173)*ROW(Z$12:Z173),ROW($T$12))&amp;":T"&amp;(ROW()-1)))),Первоначальный[[#This Row],[Полученный платеж]]+Y173),
S173&gt;0,MIN(LOOKUP(,-1/($Z$12:Z174=1),$C$12:C174)+LOOKUP(,-1/($Z$12:Z174=1),$H$12:H174)-IF(Z173=1,0,SUM(INDIRECT("T"&amp;(MAX((1=Z$12:Z173)*ROW(Z$12:Z173)+1,ROW($T$12))&amp;":T"&amp;(ROW()-1))))),Первоначальный[[#This Row],[Полученный платеж]]+Y173)
)
)
)</f>
        <v>0</v>
      </c>
      <c r="U17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платеж]]+Y173-Первоначальный[[#This Row],[Полученный платёж по процентам]])</f>
        <v>0</v>
      </c>
      <c r="V174" s="55">
        <f t="shared" ca="1" si="25"/>
        <v>0</v>
      </c>
      <c r="W174" s="55" cm="1">
        <f t="array" aca="1" ref="W174" ca="1">IF(Первоначальный[[#This Row],[Итого остаток на начало периода]]&lt;1,0,
_xlfn.IFS(
AND(TYPE(VLOOKUP(1,$Z$12:Z174,1,0))=16,Первоначальный[[#This Row],[Досрочное погашение (да/"")]]=""),0,
AND(S173=0,Первоначальный[[#This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платеж]]+Y173-SUM(Первоначальный[[#This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комиссиям]]),VLOOKUP(LOOKUP(,-1/($Z$12:Z174=1),$A$12:A174),График[[Срок конец]:[Возврат основной суммы долга]],3,0)),
AND(S173=0,Первоначальный[[#This Row],[Дата платежа из графика]]="",Первоначальный[[#This Row],[Досрочное погашение (да/"")]]&lt;&gt;"Да"),0,
AND(S173=0,Первоначальный[[#This Row],[Досрочное погашение (да/"")]]=""),MIN(Первоначальный[[#This Row],[Полученный платеж]]+Y173-SUM(Первоначальный[[#This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комиссиям]]),VLOOKUP(LOOKUP(,-1/($Z$12:Z174=1),$A$12:A174),График[[Срок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платеж]]+Y173-SUM(Первоначальный[[#This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S173&gt;0,MIN(Первоначальный[[#This Row],[Полученный платеж]]+Y173-SUM(Первоначальный[[#This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комиссиям]]),SUM(INDIRECT("M"&amp;(MAX((1=S$12:S173)*ROW(S$12:S173),ROW($W$12))&amp;":M"&amp;(ROW()))))-SUM(INDIRECT("W"&amp;(MAX((1=S$12:S173)*ROW(S$12:S173),ROW($W$12))&amp;":W"&amp;(ROW()-1)))))
)
)</f>
        <v>0</v>
      </c>
      <c r="X174" s="55">
        <f t="shared" ca="1" si="26"/>
        <v>0</v>
      </c>
      <c r="Y174" s="101">
        <f t="shared" ca="1" si="33"/>
        <v>0</v>
      </c>
      <c r="Z174" s="133" t="str">
        <f>IF(TYPE((VLOOKUP(Первоначальный[[#This Row],[Дата платежа]],График[Срок конец],1,0)))=16,"",1)</f>
        <v/>
      </c>
      <c r="AA174" s="57"/>
      <c r="AB174" s="134"/>
      <c r="AC17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7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8115.34</v>
      </c>
      <c r="AE17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29.839999999999982</v>
      </c>
      <c r="AF17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7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1777.0002295081977</v>
      </c>
      <c r="AH174" s="55"/>
      <c r="AI174" s="55"/>
      <c r="AJ174" s="55"/>
      <c r="AK174" s="101">
        <f t="shared" ca="1" si="34"/>
        <v>159555.5202295082</v>
      </c>
      <c r="AL174" s="129">
        <f t="array" ref="AL174">MAX((УслРестрактов[Характеристика]="Дата реструктуризации")*(УслРестрактов[Значение]=Первоначальный!$A174),0)</f>
        <v>0</v>
      </c>
    </row>
    <row r="175" spans="1:38" x14ac:dyDescent="0.25">
      <c r="A175" s="97">
        <f t="shared" si="27"/>
        <v>44306</v>
      </c>
      <c r="B175" s="100">
        <f t="shared" ca="1" si="28"/>
        <v>149633.34</v>
      </c>
      <c r="C175" s="55">
        <f t="shared" ca="1" si="36"/>
        <v>8115.34</v>
      </c>
      <c r="D175" s="55">
        <f t="shared" ca="1" si="36"/>
        <v>29.839999999999982</v>
      </c>
      <c r="E175" s="55">
        <f t="shared" ca="1" si="29"/>
        <v>0</v>
      </c>
      <c r="F175" s="55">
        <f t="shared" ca="1" si="30"/>
        <v>1777.0002295081977</v>
      </c>
      <c r="G175" s="101">
        <f t="shared" ca="1" si="31"/>
        <v>159555.5202295082</v>
      </c>
      <c r="H175" s="100">
        <f ca="1">ROUND($B175*VLOOKUP($A175,$A$1:$B$10,2,1)/(365+IF(MOD(YEAR($A175),4),0,1)*($A175-$A174)),2)-Первоначальный[[#This Row],[Проценты на просроченный платеж по ОД за период]]</f>
        <v>80.83</v>
      </c>
      <c r="I175" s="55">
        <f t="shared" ca="1" si="32"/>
        <v>0.75</v>
      </c>
      <c r="J175" s="55">
        <v>0</v>
      </c>
      <c r="K175" s="55">
        <f t="shared" ca="1" si="35"/>
        <v>43.388503278688532</v>
      </c>
      <c r="L175" s="55">
        <v>0</v>
      </c>
      <c r="M175" s="113">
        <f>SUMIFS(График[Возврат основной суммы долга],График[Дата с учетом нерабочих дней],$A175)</f>
        <v>0</v>
      </c>
      <c r="N175" s="56">
        <f>SUMIFS(График[Возврат начисленных %],График[Дата с учетом нерабочих дней],$A175)</f>
        <v>0</v>
      </c>
      <c r="O175" s="101">
        <v>0</v>
      </c>
      <c r="P175" s="100" cm="1">
        <f t="array" aca="1" ref="P175" ca="1">MAX(IF(AA174="Да",0,SUM(INDIRECT("M"&amp;(MAX(("Да"=AA$12:AA174)*ROW(AA$12:AA174)+1,ROW($P$12))&amp;":M"&amp;(ROW()))))-SUM(INDIRECT("W"&amp;(MAX(("Да"=AA$12:AA174)*ROW(AA$12:AA174)+1,ROW($P$12))&amp;":W"&amp;(ROW()))))),0)</f>
        <v>1371.0499999999993</v>
      </c>
      <c r="Q175" s="99">
        <f ca="1">MAX(SUM($N$13:N175)-SUM($T$13:T175),0)</f>
        <v>7306.650655737707</v>
      </c>
      <c r="R175" s="99">
        <f ca="1">Первоначальный[[#This Row],[Просроченный платеж по ОД]]+Первоначальный[[#This Row],[Просроченный платеж по процентам]]</f>
        <v>8677.7006557377063</v>
      </c>
      <c r="S175" s="120">
        <f ca="1">IF(Первоначальный[[#This Row],[Просроченный платеж]]&lt;1,0,S174+1)</f>
        <v>71</v>
      </c>
      <c r="T175" s="100" cm="1">
        <f t="array" aca="1" ref="T175" ca="1">IF(Первоначальный[[#This Row],[Итого остаток на начало периода]]&lt;1,0,
IF(
AND(TYPE(VLOOKUP(1,$Z$12:Z175,1,0))=16,Первоначальный[[#This Row],[Досрочное погашение (да/"")]]=""),0,
_xlfn.IFS(AND(S174=0,Первоначальный[[#This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платеж]]&lt;&gt;0),MIN(LOOKUP(,-1/($Z$12:Z175=1),$C$12:C175)+LOOKUP(,-1/($Z$12:Z175=1),$H$12:H175),Первоначальный[[#This Row],[Полученный платеж]]+Y174),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платеж]]+Y174,SUM(Первоначальный[[#This Row],[Остаток процентов на начало периода]],Первоначальный[[#This Row],[Проценты за период]])),
AND(S174=0,Первоначальный[[#This Row],[Дата платежа из графика]]=""),0,
AND(S174=0,Первоначальный[[#This Row],[Дата платежа из графика]]=1,MAX((0&lt;&gt;S$12:S174)*ROW(S$12:S174),ROW($S$12))&gt;=MAX((1=Z$12:Z174)*ROW(Z$12:Z174),ROW($T$12)),TYPE(VLOOKUP("Да",(INDIRECT("AA"&amp;(MAX((1=Z$12:Z174)*ROW(Z$12:Z174),ROW($T$12))&amp;":AA"&amp;(ROW()-1)))),1,0))=16),MIN(LOOKUP(,-1/($Z$12:Z175=1),$C$12:C175)+LOOKUP(,-1/($Z$12:Z175=1),$H$12:H175),Первоначальный[[#This Row],[Полученный платеж]]+Y174),
AND(S174=0,TYPE(VLOOKUP("Да",(INDIRECT("AA"&amp;(MAX((1=Z$12:Z174)*ROW(Z$12:Z174),ROW($T$12))&amp;":AA"&amp;(ROW()-1)))),1,0))&lt;&gt;16),MIN(LOOKUP(,-1/($Z$12:Z175=1),$C$12:C175)+LOOKUP(,-1/($Z$12:Z175=1),$H$12:H175)-IF(AA174="Да",0,SUM(INDIRECT("T"&amp;(MAX(("Да"=AA$12:AA174)*ROW(AA$12:AA174)+1,ROW($T$12))&amp;":T"&amp;(ROW()-1))))),Первоначальный[[#This Row],[Полученный платеж]]+Y174),
AND(S174=0,MAX((0&lt;&gt;N$12:N174)*ROW(N$12:N174),ROW($S$12))&gt;=MAX((1=Z$12:Z174)*ROW(Z$12:Z174),ROW($T$12))),MIN(LOOKUP(,-1/($Z$12:Z175=1),$C$12:C175)+LOOKUP(,-1/($Z$12:Z175=1),$H$12:H175)-IF(N174&lt;&gt;0,0,SUM(INDIRECT("T"&amp;(MAX((0&lt;&gt;N$12:N174)*ROW(N$12:N174)+1,ROW($T$12))&amp;":T"&amp;(ROW()-1))))),Первоначальный[[#This Row],[Полученный платеж]]+Y174),
AND(S174=0,Первоначальный[[#This Row],[Дата платежа из графика]]=1),MIN(LOOKUP(,-1/($Z$12:Z175=1),$C$12:C175)+LOOKUP(,-1/($Z$12:Z175=1),$H$12:H175)-IF(Z174=1,0,SUM(INDIRECT("T"&amp;(MAX((1=Z$12:Z174)*ROW(Z$12:Z174)+1,ROW($T$12))&amp;":T"&amp;(ROW()-1))))),Первоначальный[[#This Row],[Полученный платеж]]+Y174),
AND(Z174&gt;0,Первоначальный[[#This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платеж]]+Y174),
AND(S174&gt;0,MAX((0&lt;&gt;S$12:S174)*ROW(S$12:S174),ROW($S$12))&gt;=MAX((1=Z$12:Z174)*ROW(Z$12:Z174),ROW($T$12)),TYPE(VLOOKUP("Да",(INDIRECT("AA"&amp;(MAX((1=Z$12:Z174)*ROW(Z$12:Z174),ROW($T$12))&amp;":AA"&amp;(ROW()-1)))),1,0))=16),MIN(LOOKUP(,-1/($Z$12:Z175=1),$C$12:C175)+LOOKUP(,-1/($Z$12:Z175=1),$H$12:H175)-SUM(INDIRECT("T"&amp;(MAX((1=Z$12:Z174)*ROW(Z$12:Z174),ROW($T$12))&amp;":T"&amp;(ROW()-1)))),Первоначальный[[#This Row],[Полученный платеж]]+Y174),
S174&gt;0,MIN(LOOKUP(,-1/($Z$12:Z175=1),$C$12:C175)+LOOKUP(,-1/($Z$12:Z175=1),$H$12:H175)-IF(Z174=1,0,SUM(INDIRECT("T"&amp;(MAX((1=Z$12:Z174)*ROW(Z$12:Z174)+1,ROW($T$12))&amp;":T"&amp;(ROW()-1))))),Первоначальный[[#This Row],[Полученный платеж]]+Y174)
)
)
)</f>
        <v>0</v>
      </c>
      <c r="U17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платеж]]+Y174-Первоначальный[[#This Row],[Полученный платёж по процентам]])</f>
        <v>0</v>
      </c>
      <c r="V175" s="55">
        <f t="shared" ca="1" si="25"/>
        <v>0</v>
      </c>
      <c r="W175" s="55" cm="1">
        <f t="array" aca="1" ref="W175" ca="1">IF(Первоначальный[[#This Row],[Итого остаток на начало периода]]&lt;1,0,
_xlfn.IFS(
AND(TYPE(VLOOKUP(1,$Z$12:Z175,1,0))=16,Первоначальный[[#This Row],[Досрочное погашение (да/"")]]=""),0,
AND(S174=0,Первоначальный[[#This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платеж]]+Y174-SUM(Первоначальный[[#This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комиссиям]]),VLOOKUP(LOOKUP(,-1/($Z$12:Z175=1),$A$12:A175),График[[Срок конец]:[Возврат основной суммы долга]],3,0)),
AND(S174=0,Первоначальный[[#This Row],[Дата платежа из графика]]="",Первоначальный[[#This Row],[Досрочное погашение (да/"")]]&lt;&gt;"Да"),0,
AND(S174=0,Первоначальный[[#This Row],[Досрочное погашение (да/"")]]=""),MIN(Первоначальный[[#This Row],[Полученный платеж]]+Y174-SUM(Первоначальный[[#This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комиссиям]]),VLOOKUP(LOOKUP(,-1/($Z$12:Z175=1),$A$12:A175),График[[Срок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платеж]]+Y174-SUM(Первоначальный[[#This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S174&gt;0,MIN(Первоначальный[[#This Row],[Полученный платеж]]+Y174-SUM(Первоначальный[[#This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комиссиям]]),SUM(INDIRECT("M"&amp;(MAX((1=S$12:S174)*ROW(S$12:S174),ROW($W$12))&amp;":M"&amp;(ROW()))))-SUM(INDIRECT("W"&amp;(MAX((1=S$12:S174)*ROW(S$12:S174),ROW($W$12))&amp;":W"&amp;(ROW()-1)))))
)
)</f>
        <v>0</v>
      </c>
      <c r="X175" s="55">
        <f t="shared" ca="1" si="26"/>
        <v>0</v>
      </c>
      <c r="Y175" s="101">
        <f t="shared" ca="1" si="33"/>
        <v>0</v>
      </c>
      <c r="Z175" s="133" t="str">
        <f>IF(TYPE((VLOOKUP(Первоначальный[[#This Row],[Дата платежа]],График[Срок конец],1,0)))=16,"",1)</f>
        <v/>
      </c>
      <c r="AA175" s="57"/>
      <c r="AB175" s="134"/>
      <c r="AC17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7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8196.17</v>
      </c>
      <c r="AE17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30.589999999999982</v>
      </c>
      <c r="AF17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7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1820.3887327868863</v>
      </c>
      <c r="AH175" s="55"/>
      <c r="AI175" s="55"/>
      <c r="AJ175" s="55"/>
      <c r="AK175" s="101">
        <f t="shared" ca="1" si="34"/>
        <v>159680.48873278688</v>
      </c>
      <c r="AL175" s="129">
        <f t="array" ref="AL175">MAX((УслРестрактов[Характеристика]="Дата реструктуризации")*(УслРестрактов[Значение]=Первоначальный!$A175),0)</f>
        <v>0</v>
      </c>
    </row>
    <row r="176" spans="1:38" x14ac:dyDescent="0.25">
      <c r="A176" s="97">
        <f t="shared" si="27"/>
        <v>44307</v>
      </c>
      <c r="B176" s="100">
        <f t="shared" ca="1" si="28"/>
        <v>149633.34</v>
      </c>
      <c r="C176" s="55">
        <f t="shared" ca="1" si="36"/>
        <v>8196.17</v>
      </c>
      <c r="D176" s="55">
        <f t="shared" ca="1" si="36"/>
        <v>30.589999999999982</v>
      </c>
      <c r="E176" s="55">
        <f t="shared" ca="1" si="29"/>
        <v>0</v>
      </c>
      <c r="F176" s="55">
        <f t="shared" ca="1" si="30"/>
        <v>1820.3887327868863</v>
      </c>
      <c r="G176" s="101">
        <f t="shared" ca="1" si="31"/>
        <v>159680.48873278688</v>
      </c>
      <c r="H176" s="100">
        <f ca="1">ROUND($B176*VLOOKUP($A176,$A$1:$B$10,2,1)/(365+IF(MOD(YEAR($A176),4),0,1)*($A176-$A175)),2)-Первоначальный[[#This Row],[Проценты на просроченный платеж по ОД за период]]</f>
        <v>80.83</v>
      </c>
      <c r="I176" s="55">
        <f t="shared" ca="1" si="32"/>
        <v>0.75</v>
      </c>
      <c r="J176" s="55">
        <v>0</v>
      </c>
      <c r="K176" s="55">
        <f t="shared" ca="1" si="35"/>
        <v>43.388503278688532</v>
      </c>
      <c r="L176" s="55">
        <v>0</v>
      </c>
      <c r="M176" s="113">
        <f>SUMIFS(График[Возврат основной суммы долга],График[Дата с учетом нерабочих дней],$A176)</f>
        <v>0</v>
      </c>
      <c r="N176" s="56">
        <f>SUMIFS(График[Возврат начисленных %],График[Дата с учетом нерабочих дней],$A176)</f>
        <v>0</v>
      </c>
      <c r="O176" s="101">
        <v>0</v>
      </c>
      <c r="P176" s="100" cm="1">
        <f t="array" aca="1" ref="P176" ca="1">MAX(IF(AA175="Да",0,SUM(INDIRECT("M"&amp;(MAX(("Да"=AA$12:AA175)*ROW(AA$12:AA175)+1,ROW($P$12))&amp;":M"&amp;(ROW()))))-SUM(INDIRECT("W"&amp;(MAX(("Да"=AA$12:AA175)*ROW(AA$12:AA175)+1,ROW($P$12))&amp;":W"&amp;(ROW()))))),0)</f>
        <v>1371.0499999999993</v>
      </c>
      <c r="Q176" s="99">
        <f ca="1">MAX(SUM($N$13:N176)-SUM($T$13:T176),0)</f>
        <v>7306.650655737707</v>
      </c>
      <c r="R176" s="99">
        <f ca="1">Первоначальный[[#This Row],[Просроченный платеж по ОД]]+Первоначальный[[#This Row],[Просроченный платеж по процентам]]</f>
        <v>8677.7006557377063</v>
      </c>
      <c r="S176" s="120">
        <f ca="1">IF(Первоначальный[[#This Row],[Просроченный платеж]]&lt;1,0,S175+1)</f>
        <v>72</v>
      </c>
      <c r="T176" s="100" cm="1">
        <f t="array" aca="1" ref="T176" ca="1">IF(Первоначальный[[#This Row],[Итого остаток на начало периода]]&lt;1,0,
IF(
AND(TYPE(VLOOKUP(1,$Z$12:Z176,1,0))=16,Первоначальный[[#This Row],[Досрочное погашение (да/"")]]=""),0,
_xlfn.IFS(AND(S175=0,Первоначальный[[#This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платеж]]&lt;&gt;0),MIN(LOOKUP(,-1/($Z$12:Z176=1),$C$12:C176)+LOOKUP(,-1/($Z$12:Z176=1),$H$12:H176),Первоначальный[[#This Row],[Полученный платеж]]+Y175),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платеж]]+Y175,SUM(Первоначальный[[#This Row],[Остаток процентов на начало периода]],Первоначальный[[#This Row],[Проценты за период]])),
AND(S175=0,Первоначальный[[#This Row],[Дата платежа из графика]]=""),0,
AND(S175=0,Первоначальный[[#This Row],[Дата платежа из графика]]=1,MAX((0&lt;&gt;S$12:S175)*ROW(S$12:S175),ROW($S$12))&gt;=MAX((1=Z$12:Z175)*ROW(Z$12:Z175),ROW($T$12)),TYPE(VLOOKUP("Да",(INDIRECT("AA"&amp;(MAX((1=Z$12:Z175)*ROW(Z$12:Z175),ROW($T$12))&amp;":AA"&amp;(ROW()-1)))),1,0))=16),MIN(LOOKUP(,-1/($Z$12:Z176=1),$C$12:C176)+LOOKUP(,-1/($Z$12:Z176=1),$H$12:H176),Первоначальный[[#This Row],[Полученный платеж]]+Y175),
AND(S175=0,TYPE(VLOOKUP("Да",(INDIRECT("AA"&amp;(MAX((1=Z$12:Z175)*ROW(Z$12:Z175),ROW($T$12))&amp;":AA"&amp;(ROW()-1)))),1,0))&lt;&gt;16),MIN(LOOKUP(,-1/($Z$12:Z176=1),$C$12:C176)+LOOKUP(,-1/($Z$12:Z176=1),$H$12:H176)-IF(AA175="Да",0,SUM(INDIRECT("T"&amp;(MAX(("Да"=AA$12:AA175)*ROW(AA$12:AA175)+1,ROW($T$12))&amp;":T"&amp;(ROW()-1))))),Первоначальный[[#This Row],[Полученный платеж]]+Y175),
AND(S175=0,MAX((0&lt;&gt;N$12:N175)*ROW(N$12:N175),ROW($S$12))&gt;=MAX((1=Z$12:Z175)*ROW(Z$12:Z175),ROW($T$12))),MIN(LOOKUP(,-1/($Z$12:Z176=1),$C$12:C176)+LOOKUP(,-1/($Z$12:Z176=1),$H$12:H176)-IF(N175&lt;&gt;0,0,SUM(INDIRECT("T"&amp;(MAX((0&lt;&gt;N$12:N175)*ROW(N$12:N175)+1,ROW($T$12))&amp;":T"&amp;(ROW()-1))))),Первоначальный[[#This Row],[Полученный платеж]]+Y175),
AND(S175=0,Первоначальный[[#This Row],[Дата платежа из графика]]=1),MIN(LOOKUP(,-1/($Z$12:Z176=1),$C$12:C176)+LOOKUP(,-1/($Z$12:Z176=1),$H$12:H176)-IF(Z175=1,0,SUM(INDIRECT("T"&amp;(MAX((1=Z$12:Z175)*ROW(Z$12:Z175)+1,ROW($T$12))&amp;":T"&amp;(ROW()-1))))),Первоначальный[[#This Row],[Полученный платеж]]+Y175),
AND(Z175&gt;0,Первоначальный[[#This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платеж]]+Y175),
AND(S175&gt;0,MAX((0&lt;&gt;S$12:S175)*ROW(S$12:S175),ROW($S$12))&gt;=MAX((1=Z$12:Z175)*ROW(Z$12:Z175),ROW($T$12)),TYPE(VLOOKUP("Да",(INDIRECT("AA"&amp;(MAX((1=Z$12:Z175)*ROW(Z$12:Z175),ROW($T$12))&amp;":AA"&amp;(ROW()-1)))),1,0))=16),MIN(LOOKUP(,-1/($Z$12:Z176=1),$C$12:C176)+LOOKUP(,-1/($Z$12:Z176=1),$H$12:H176)-SUM(INDIRECT("T"&amp;(MAX((1=Z$12:Z175)*ROW(Z$12:Z175),ROW($T$12))&amp;":T"&amp;(ROW()-1)))),Первоначальный[[#This Row],[Полученный платеж]]+Y175),
S175&gt;0,MIN(LOOKUP(,-1/($Z$12:Z176=1),$C$12:C176)+LOOKUP(,-1/($Z$12:Z176=1),$H$12:H176)-IF(Z175=1,0,SUM(INDIRECT("T"&amp;(MAX((1=Z$12:Z175)*ROW(Z$12:Z175)+1,ROW($T$12))&amp;":T"&amp;(ROW()-1))))),Первоначальный[[#This Row],[Полученный платеж]]+Y175)
)
)
)</f>
        <v>0</v>
      </c>
      <c r="U17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платеж]]+Y175-Первоначальный[[#This Row],[Полученный платёж по процентам]])</f>
        <v>0</v>
      </c>
      <c r="V176" s="55">
        <f t="shared" ca="1" si="25"/>
        <v>0</v>
      </c>
      <c r="W176" s="55" cm="1">
        <f t="array" aca="1" ref="W176" ca="1">IF(Первоначальный[[#This Row],[Итого остаток на начало периода]]&lt;1,0,
_xlfn.IFS(
AND(TYPE(VLOOKUP(1,$Z$12:Z176,1,0))=16,Первоначальный[[#This Row],[Досрочное погашение (да/"")]]=""),0,
AND(S175=0,Первоначальный[[#This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платеж]]+Y175-SUM(Первоначальный[[#This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комиссиям]]),VLOOKUP(LOOKUP(,-1/($Z$12:Z176=1),$A$12:A176),График[[Срок конец]:[Возврат основной суммы долга]],3,0)),
AND(S175=0,Первоначальный[[#This Row],[Дата платежа из графика]]="",Первоначальный[[#This Row],[Досрочное погашение (да/"")]]&lt;&gt;"Да"),0,
AND(S175=0,Первоначальный[[#This Row],[Досрочное погашение (да/"")]]=""),MIN(Первоначальный[[#This Row],[Полученный платеж]]+Y175-SUM(Первоначальный[[#This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комиссиям]]),VLOOKUP(LOOKUP(,-1/($Z$12:Z176=1),$A$12:A176),График[[Срок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платеж]]+Y175-SUM(Первоначальный[[#This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S175&gt;0,MIN(Первоначальный[[#This Row],[Полученный платеж]]+Y175-SUM(Первоначальный[[#This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комиссиям]]),SUM(INDIRECT("M"&amp;(MAX((1=S$12:S175)*ROW(S$12:S175),ROW($W$12))&amp;":M"&amp;(ROW()))))-SUM(INDIRECT("W"&amp;(MAX((1=S$12:S175)*ROW(S$12:S175),ROW($W$12))&amp;":W"&amp;(ROW()-1)))))
)
)</f>
        <v>0</v>
      </c>
      <c r="X176" s="55">
        <f t="shared" ca="1" si="26"/>
        <v>0</v>
      </c>
      <c r="Y176" s="101">
        <f t="shared" ca="1" si="33"/>
        <v>0</v>
      </c>
      <c r="Z176" s="133" t="str">
        <f>IF(TYPE((VLOOKUP(Первоначальный[[#This Row],[Дата платежа]],График[Срок конец],1,0)))=16,"",1)</f>
        <v/>
      </c>
      <c r="AA176" s="57"/>
      <c r="AB176" s="134"/>
      <c r="AC17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7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8277</v>
      </c>
      <c r="AE17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31.339999999999982</v>
      </c>
      <c r="AF17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7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1863.7772360655749</v>
      </c>
      <c r="AH176" s="55"/>
      <c r="AI176" s="55"/>
      <c r="AJ176" s="55"/>
      <c r="AK176" s="101">
        <f t="shared" ca="1" si="34"/>
        <v>159805.45723606556</v>
      </c>
      <c r="AL176" s="129">
        <f t="array" ref="AL176">MAX((УслРестрактов[Характеристика]="Дата реструктуризации")*(УслРестрактов[Значение]=Первоначальный!$A176),0)</f>
        <v>0</v>
      </c>
    </row>
    <row r="177" spans="1:38" x14ac:dyDescent="0.25">
      <c r="A177" s="97">
        <f t="shared" si="27"/>
        <v>44308</v>
      </c>
      <c r="B177" s="100">
        <f t="shared" ca="1" si="28"/>
        <v>149633.34</v>
      </c>
      <c r="C177" s="55">
        <f t="shared" ca="1" si="36"/>
        <v>8277</v>
      </c>
      <c r="D177" s="55">
        <f t="shared" ca="1" si="36"/>
        <v>31.339999999999982</v>
      </c>
      <c r="E177" s="55">
        <f t="shared" ca="1" si="29"/>
        <v>0</v>
      </c>
      <c r="F177" s="55">
        <f t="shared" ca="1" si="30"/>
        <v>1863.7772360655749</v>
      </c>
      <c r="G177" s="101">
        <f t="shared" ca="1" si="31"/>
        <v>159805.45723606556</v>
      </c>
      <c r="H177" s="100">
        <f ca="1">ROUND($B177*VLOOKUP($A177,$A$1:$B$10,2,1)/(365+IF(MOD(YEAR($A177),4),0,1)*($A177-$A176)),2)-Первоначальный[[#This Row],[Проценты на просроченный платеж по ОД за период]]</f>
        <v>80.83</v>
      </c>
      <c r="I177" s="55">
        <f t="shared" ca="1" si="32"/>
        <v>0.75</v>
      </c>
      <c r="J177" s="55">
        <v>0</v>
      </c>
      <c r="K177" s="55">
        <f t="shared" ca="1" si="35"/>
        <v>43.388503278688532</v>
      </c>
      <c r="L177" s="55">
        <v>0</v>
      </c>
      <c r="M177" s="113">
        <f>SUMIFS(График[Возврат основной суммы долга],График[Дата с учетом нерабочих дней],$A177)</f>
        <v>0</v>
      </c>
      <c r="N177" s="56">
        <f>SUMIFS(График[Возврат начисленных %],График[Дата с учетом нерабочих дней],$A177)</f>
        <v>0</v>
      </c>
      <c r="O177" s="101">
        <v>0</v>
      </c>
      <c r="P177" s="100" cm="1">
        <f t="array" aca="1" ref="P177" ca="1">MAX(IF(AA176="Да",0,SUM(INDIRECT("M"&amp;(MAX(("Да"=AA$12:AA176)*ROW(AA$12:AA176)+1,ROW($P$12))&amp;":M"&amp;(ROW()))))-SUM(INDIRECT("W"&amp;(MAX(("Да"=AA$12:AA176)*ROW(AA$12:AA176)+1,ROW($P$12))&amp;":W"&amp;(ROW()))))),0)</f>
        <v>1371.0499999999993</v>
      </c>
      <c r="Q177" s="99">
        <f ca="1">MAX(SUM($N$13:N177)-SUM($T$13:T177),0)</f>
        <v>7306.650655737707</v>
      </c>
      <c r="R177" s="99">
        <f ca="1">Первоначальный[[#This Row],[Просроченный платеж по ОД]]+Первоначальный[[#This Row],[Просроченный платеж по процентам]]</f>
        <v>8677.7006557377063</v>
      </c>
      <c r="S177" s="120">
        <f ca="1">IF(Первоначальный[[#This Row],[Просроченный платеж]]&lt;1,0,S176+1)</f>
        <v>73</v>
      </c>
      <c r="T177" s="100" cm="1">
        <f t="array" aca="1" ref="T177" ca="1">IF(Первоначальный[[#This Row],[Итого остаток на начало периода]]&lt;1,0,
IF(
AND(TYPE(VLOOKUP(1,$Z$12:Z177,1,0))=16,Первоначальный[[#This Row],[Досрочное погашение (да/"")]]=""),0,
_xlfn.IFS(AND(S176=0,Первоначальный[[#This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платеж]]&lt;&gt;0),MIN(LOOKUP(,-1/($Z$12:Z177=1),$C$12:C177)+LOOKUP(,-1/($Z$12:Z177=1),$H$12:H177),Первоначальный[[#This Row],[Полученный платеж]]+Y176),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платеж]]+Y176,SUM(Первоначальный[[#This Row],[Остаток процентов на начало периода]],Первоначальный[[#This Row],[Проценты за период]])),
AND(S176=0,Первоначальный[[#This Row],[Дата платежа из графика]]=""),0,
AND(S176=0,Первоначальный[[#This Row],[Дата платежа из графика]]=1,MAX((0&lt;&gt;S$12:S176)*ROW(S$12:S176),ROW($S$12))&gt;=MAX((1=Z$12:Z176)*ROW(Z$12:Z176),ROW($T$12)),TYPE(VLOOKUP("Да",(INDIRECT("AA"&amp;(MAX((1=Z$12:Z176)*ROW(Z$12:Z176),ROW($T$12))&amp;":AA"&amp;(ROW()-1)))),1,0))=16),MIN(LOOKUP(,-1/($Z$12:Z177=1),$C$12:C177)+LOOKUP(,-1/($Z$12:Z177=1),$H$12:H177),Первоначальный[[#This Row],[Полученный платеж]]+Y176),
AND(S176=0,TYPE(VLOOKUP("Да",(INDIRECT("AA"&amp;(MAX((1=Z$12:Z176)*ROW(Z$12:Z176),ROW($T$12))&amp;":AA"&amp;(ROW()-1)))),1,0))&lt;&gt;16),MIN(LOOKUP(,-1/($Z$12:Z177=1),$C$12:C177)+LOOKUP(,-1/($Z$12:Z177=1),$H$12:H177)-IF(AA176="Да",0,SUM(INDIRECT("T"&amp;(MAX(("Да"=AA$12:AA176)*ROW(AA$12:AA176)+1,ROW($T$12))&amp;":T"&amp;(ROW()-1))))),Первоначальный[[#This Row],[Полученный платеж]]+Y176),
AND(S176=0,MAX((0&lt;&gt;N$12:N176)*ROW(N$12:N176),ROW($S$12))&gt;=MAX((1=Z$12:Z176)*ROW(Z$12:Z176),ROW($T$12))),MIN(LOOKUP(,-1/($Z$12:Z177=1),$C$12:C177)+LOOKUP(,-1/($Z$12:Z177=1),$H$12:H177)-IF(N176&lt;&gt;0,0,SUM(INDIRECT("T"&amp;(MAX((0&lt;&gt;N$12:N176)*ROW(N$12:N176)+1,ROW($T$12))&amp;":T"&amp;(ROW()-1))))),Первоначальный[[#This Row],[Полученный платеж]]+Y176),
AND(S176=0,Первоначальный[[#This Row],[Дата платежа из графика]]=1),MIN(LOOKUP(,-1/($Z$12:Z177=1),$C$12:C177)+LOOKUP(,-1/($Z$12:Z177=1),$H$12:H177)-IF(Z176=1,0,SUM(INDIRECT("T"&amp;(MAX((1=Z$12:Z176)*ROW(Z$12:Z176)+1,ROW($T$12))&amp;":T"&amp;(ROW()-1))))),Первоначальный[[#This Row],[Полученный платеж]]+Y176),
AND(Z176&gt;0,Первоначальный[[#This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платеж]]+Y176),
AND(S176&gt;0,MAX((0&lt;&gt;S$12:S176)*ROW(S$12:S176),ROW($S$12))&gt;=MAX((1=Z$12:Z176)*ROW(Z$12:Z176),ROW($T$12)),TYPE(VLOOKUP("Да",(INDIRECT("AA"&amp;(MAX((1=Z$12:Z176)*ROW(Z$12:Z176),ROW($T$12))&amp;":AA"&amp;(ROW()-1)))),1,0))=16),MIN(LOOKUP(,-1/($Z$12:Z177=1),$C$12:C177)+LOOKUP(,-1/($Z$12:Z177=1),$H$12:H177)-SUM(INDIRECT("T"&amp;(MAX((1=Z$12:Z176)*ROW(Z$12:Z176),ROW($T$12))&amp;":T"&amp;(ROW()-1)))),Первоначальный[[#This Row],[Полученный платеж]]+Y176),
S176&gt;0,MIN(LOOKUP(,-1/($Z$12:Z177=1),$C$12:C177)+LOOKUP(,-1/($Z$12:Z177=1),$H$12:H177)-IF(Z176=1,0,SUM(INDIRECT("T"&amp;(MAX((1=Z$12:Z176)*ROW(Z$12:Z176)+1,ROW($T$12))&amp;":T"&amp;(ROW()-1))))),Первоначальный[[#This Row],[Полученный платеж]]+Y176)
)
)
)</f>
        <v>0</v>
      </c>
      <c r="U17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платеж]]+Y176-Первоначальный[[#This Row],[Полученный платёж по процентам]])</f>
        <v>0</v>
      </c>
      <c r="V177" s="55">
        <f t="shared" ca="1" si="25"/>
        <v>0</v>
      </c>
      <c r="W177" s="55" cm="1">
        <f t="array" aca="1" ref="W177" ca="1">IF(Первоначальный[[#This Row],[Итого остаток на начало периода]]&lt;1,0,
_xlfn.IFS(
AND(TYPE(VLOOKUP(1,$Z$12:Z177,1,0))=16,Первоначальный[[#This Row],[Досрочное погашение (да/"")]]=""),0,
AND(S176=0,Первоначальный[[#This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платеж]]+Y176-SUM(Первоначальный[[#This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комиссиям]]),VLOOKUP(LOOKUP(,-1/($Z$12:Z177=1),$A$12:A177),График[[Срок конец]:[Возврат основной суммы долга]],3,0)),
AND(S176=0,Первоначальный[[#This Row],[Дата платежа из графика]]="",Первоначальный[[#This Row],[Досрочное погашение (да/"")]]&lt;&gt;"Да"),0,
AND(S176=0,Первоначальный[[#This Row],[Досрочное погашение (да/"")]]=""),MIN(Первоначальный[[#This Row],[Полученный платеж]]+Y176-SUM(Первоначальный[[#This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комиссиям]]),VLOOKUP(LOOKUP(,-1/($Z$12:Z177=1),$A$12:A177),График[[Срок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платеж]]+Y176-SUM(Первоначальный[[#This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S176&gt;0,MIN(Первоначальный[[#This Row],[Полученный платеж]]+Y176-SUM(Первоначальный[[#This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комиссиям]]),SUM(INDIRECT("M"&amp;(MAX((1=S$12:S176)*ROW(S$12:S176),ROW($W$12))&amp;":M"&amp;(ROW()))))-SUM(INDIRECT("W"&amp;(MAX((1=S$12:S176)*ROW(S$12:S176),ROW($W$12))&amp;":W"&amp;(ROW()-1)))))
)
)</f>
        <v>0</v>
      </c>
      <c r="X177" s="55">
        <f t="shared" ca="1" si="26"/>
        <v>0</v>
      </c>
      <c r="Y177" s="101">
        <f t="shared" ca="1" si="33"/>
        <v>0</v>
      </c>
      <c r="Z177" s="133" t="str">
        <f>IF(TYPE((VLOOKUP(Первоначальный[[#This Row],[Дата платежа]],График[Срок конец],1,0)))=16,"",1)</f>
        <v/>
      </c>
      <c r="AA177" s="57"/>
      <c r="AB177" s="134"/>
      <c r="AC17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7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8357.83</v>
      </c>
      <c r="AE17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32.089999999999982</v>
      </c>
      <c r="AF17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7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1907.1657393442636</v>
      </c>
      <c r="AH177" s="55"/>
      <c r="AI177" s="55"/>
      <c r="AJ177" s="55"/>
      <c r="AK177" s="101">
        <f t="shared" ca="1" si="34"/>
        <v>159930.42573934424</v>
      </c>
      <c r="AL177" s="129">
        <f t="array" ref="AL177">MAX((УслРестрактов[Характеристика]="Дата реструктуризации")*(УслРестрактов[Значение]=Первоначальный!$A177),0)</f>
        <v>0</v>
      </c>
    </row>
    <row r="178" spans="1:38" x14ac:dyDescent="0.25">
      <c r="A178" s="97">
        <f t="shared" si="27"/>
        <v>44309</v>
      </c>
      <c r="B178" s="100">
        <f t="shared" ca="1" si="28"/>
        <v>149633.34</v>
      </c>
      <c r="C178" s="55">
        <f t="shared" ca="1" si="36"/>
        <v>8357.83</v>
      </c>
      <c r="D178" s="55">
        <f t="shared" ca="1" si="36"/>
        <v>32.089999999999982</v>
      </c>
      <c r="E178" s="55">
        <f t="shared" ca="1" si="29"/>
        <v>0</v>
      </c>
      <c r="F178" s="55">
        <f t="shared" ca="1" si="30"/>
        <v>1907.1657393442636</v>
      </c>
      <c r="G178" s="101">
        <f t="shared" ca="1" si="31"/>
        <v>159930.42573934424</v>
      </c>
      <c r="H178" s="100">
        <f ca="1">ROUND($B178*VLOOKUP($A178,$A$1:$B$10,2,1)/(365+IF(MOD(YEAR($A178),4),0,1)*($A178-$A177)),2)-Первоначальный[[#This Row],[Проценты на просроченный платеж по ОД за период]]</f>
        <v>80.83</v>
      </c>
      <c r="I178" s="55">
        <f t="shared" ca="1" si="32"/>
        <v>0.75</v>
      </c>
      <c r="J178" s="55">
        <v>0</v>
      </c>
      <c r="K178" s="55">
        <f t="shared" ca="1" si="35"/>
        <v>43.388503278688532</v>
      </c>
      <c r="L178" s="55">
        <v>0</v>
      </c>
      <c r="M178" s="113">
        <f>SUMIFS(График[Возврат основной суммы долга],График[Дата с учетом нерабочих дней],$A178)</f>
        <v>0</v>
      </c>
      <c r="N178" s="56">
        <f>SUMIFS(График[Возврат начисленных %],График[Дата с учетом нерабочих дней],$A178)</f>
        <v>0</v>
      </c>
      <c r="O178" s="101">
        <v>0</v>
      </c>
      <c r="P178" s="100" cm="1">
        <f t="array" aca="1" ref="P178" ca="1">MAX(IF(AA177="Да",0,SUM(INDIRECT("M"&amp;(MAX(("Да"=AA$12:AA177)*ROW(AA$12:AA177)+1,ROW($P$12))&amp;":M"&amp;(ROW()))))-SUM(INDIRECT("W"&amp;(MAX(("Да"=AA$12:AA177)*ROW(AA$12:AA177)+1,ROW($P$12))&amp;":W"&amp;(ROW()))))),0)</f>
        <v>1371.0499999999993</v>
      </c>
      <c r="Q178" s="99">
        <f ca="1">MAX(SUM($N$13:N178)-SUM($T$13:T178),0)</f>
        <v>7306.650655737707</v>
      </c>
      <c r="R178" s="99">
        <f ca="1">Первоначальный[[#This Row],[Просроченный платеж по ОД]]+Первоначальный[[#This Row],[Просроченный платеж по процентам]]</f>
        <v>8677.7006557377063</v>
      </c>
      <c r="S178" s="120">
        <f ca="1">IF(Первоначальный[[#This Row],[Просроченный платеж]]&lt;1,0,S177+1)</f>
        <v>74</v>
      </c>
      <c r="T178" s="100" cm="1">
        <f t="array" aca="1" ref="T178" ca="1">IF(Первоначальный[[#This Row],[Итого остаток на начало периода]]&lt;1,0,
IF(
AND(TYPE(VLOOKUP(1,$Z$12:Z178,1,0))=16,Первоначальный[[#This Row],[Досрочное погашение (да/"")]]=""),0,
_xlfn.IFS(AND(S177=0,Первоначальный[[#This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платеж]]&lt;&gt;0),MIN(LOOKUP(,-1/($Z$12:Z178=1),$C$12:C178)+LOOKUP(,-1/($Z$12:Z178=1),$H$12:H178),Первоначальный[[#This Row],[Полученный платеж]]+Y177),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платеж]]+Y177,SUM(Первоначальный[[#This Row],[Остаток процентов на начало периода]],Первоначальный[[#This Row],[Проценты за период]])),
AND(S177=0,Первоначальный[[#This Row],[Дата платежа из графика]]=""),0,
AND(S177=0,Первоначальный[[#This Row],[Дата платежа из графика]]=1,MAX((0&lt;&gt;S$12:S177)*ROW(S$12:S177),ROW($S$12))&gt;=MAX((1=Z$12:Z177)*ROW(Z$12:Z177),ROW($T$12)),TYPE(VLOOKUP("Да",(INDIRECT("AA"&amp;(MAX((1=Z$12:Z177)*ROW(Z$12:Z177),ROW($T$12))&amp;":AA"&amp;(ROW()-1)))),1,0))=16),MIN(LOOKUP(,-1/($Z$12:Z178=1),$C$12:C178)+LOOKUP(,-1/($Z$12:Z178=1),$H$12:H178),Первоначальный[[#This Row],[Полученный платеж]]+Y177),
AND(S177=0,TYPE(VLOOKUP("Да",(INDIRECT("AA"&amp;(MAX((1=Z$12:Z177)*ROW(Z$12:Z177),ROW($T$12))&amp;":AA"&amp;(ROW()-1)))),1,0))&lt;&gt;16),MIN(LOOKUP(,-1/($Z$12:Z178=1),$C$12:C178)+LOOKUP(,-1/($Z$12:Z178=1),$H$12:H178)-IF(AA177="Да",0,SUM(INDIRECT("T"&amp;(MAX(("Да"=AA$12:AA177)*ROW(AA$12:AA177)+1,ROW($T$12))&amp;":T"&amp;(ROW()-1))))),Первоначальный[[#This Row],[Полученный платеж]]+Y177),
AND(S177=0,MAX((0&lt;&gt;N$12:N177)*ROW(N$12:N177),ROW($S$12))&gt;=MAX((1=Z$12:Z177)*ROW(Z$12:Z177),ROW($T$12))),MIN(LOOKUP(,-1/($Z$12:Z178=1),$C$12:C178)+LOOKUP(,-1/($Z$12:Z178=1),$H$12:H178)-IF(N177&lt;&gt;0,0,SUM(INDIRECT("T"&amp;(MAX((0&lt;&gt;N$12:N177)*ROW(N$12:N177)+1,ROW($T$12))&amp;":T"&amp;(ROW()-1))))),Первоначальный[[#This Row],[Полученный платеж]]+Y177),
AND(S177=0,Первоначальный[[#This Row],[Дата платежа из графика]]=1),MIN(LOOKUP(,-1/($Z$12:Z178=1),$C$12:C178)+LOOKUP(,-1/($Z$12:Z178=1),$H$12:H178)-IF(Z177=1,0,SUM(INDIRECT("T"&amp;(MAX((1=Z$12:Z177)*ROW(Z$12:Z177)+1,ROW($T$12))&amp;":T"&amp;(ROW()-1))))),Первоначальный[[#This Row],[Полученный платеж]]+Y177),
AND(Z177&gt;0,Первоначальный[[#This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платеж]]+Y177),
AND(S177&gt;0,MAX((0&lt;&gt;S$12:S177)*ROW(S$12:S177),ROW($S$12))&gt;=MAX((1=Z$12:Z177)*ROW(Z$12:Z177),ROW($T$12)),TYPE(VLOOKUP("Да",(INDIRECT("AA"&amp;(MAX((1=Z$12:Z177)*ROW(Z$12:Z177),ROW($T$12))&amp;":AA"&amp;(ROW()-1)))),1,0))=16),MIN(LOOKUP(,-1/($Z$12:Z178=1),$C$12:C178)+LOOKUP(,-1/($Z$12:Z178=1),$H$12:H178)-SUM(INDIRECT("T"&amp;(MAX((1=Z$12:Z177)*ROW(Z$12:Z177),ROW($T$12))&amp;":T"&amp;(ROW()-1)))),Первоначальный[[#This Row],[Полученный платеж]]+Y177),
S177&gt;0,MIN(LOOKUP(,-1/($Z$12:Z178=1),$C$12:C178)+LOOKUP(,-1/($Z$12:Z178=1),$H$12:H178)-IF(Z177=1,0,SUM(INDIRECT("T"&amp;(MAX((1=Z$12:Z177)*ROW(Z$12:Z177)+1,ROW($T$12))&amp;":T"&amp;(ROW()-1))))),Первоначальный[[#This Row],[Полученный платеж]]+Y177)
)
)
)</f>
        <v>0</v>
      </c>
      <c r="U17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платеж]]+Y177-Первоначальный[[#This Row],[Полученный платёж по процентам]])</f>
        <v>0</v>
      </c>
      <c r="V178" s="55">
        <f t="shared" ca="1" si="25"/>
        <v>0</v>
      </c>
      <c r="W178" s="55" cm="1">
        <f t="array" aca="1" ref="W178" ca="1">IF(Первоначальный[[#This Row],[Итого остаток на начало периода]]&lt;1,0,
_xlfn.IFS(
AND(TYPE(VLOOKUP(1,$Z$12:Z178,1,0))=16,Первоначальный[[#This Row],[Досрочное погашение (да/"")]]=""),0,
AND(S177=0,Первоначальный[[#This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платеж]]+Y177-SUM(Первоначальный[[#This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комиссиям]]),VLOOKUP(LOOKUP(,-1/($Z$12:Z178=1),$A$12:A178),График[[Срок конец]:[Возврат основной суммы долга]],3,0)),
AND(S177=0,Первоначальный[[#This Row],[Дата платежа из графика]]="",Первоначальный[[#This Row],[Досрочное погашение (да/"")]]&lt;&gt;"Да"),0,
AND(S177=0,Первоначальный[[#This Row],[Досрочное погашение (да/"")]]=""),MIN(Первоначальный[[#This Row],[Полученный платеж]]+Y177-SUM(Первоначальный[[#This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комиссиям]]),VLOOKUP(LOOKUP(,-1/($Z$12:Z178=1),$A$12:A178),График[[Срок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платеж]]+Y177-SUM(Первоначальный[[#This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S177&gt;0,MIN(Первоначальный[[#This Row],[Полученный платеж]]+Y177-SUM(Первоначальный[[#This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комиссиям]]),SUM(INDIRECT("M"&amp;(MAX((1=S$12:S177)*ROW(S$12:S177),ROW($W$12))&amp;":M"&amp;(ROW()))))-SUM(INDIRECT("W"&amp;(MAX((1=S$12:S177)*ROW(S$12:S177),ROW($W$12))&amp;":W"&amp;(ROW()-1)))))
)
)</f>
        <v>0</v>
      </c>
      <c r="X178" s="55">
        <f t="shared" ca="1" si="26"/>
        <v>0</v>
      </c>
      <c r="Y178" s="101">
        <f t="shared" ca="1" si="33"/>
        <v>0</v>
      </c>
      <c r="Z178" s="133" t="str">
        <f>IF(TYPE((VLOOKUP(Первоначальный[[#This Row],[Дата платежа]],График[Срок конец],1,0)))=16,"",1)</f>
        <v/>
      </c>
      <c r="AA178" s="57"/>
      <c r="AB178" s="134"/>
      <c r="AC17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7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8438.66</v>
      </c>
      <c r="AE17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32.839999999999982</v>
      </c>
      <c r="AF17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7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1950.5542426229522</v>
      </c>
      <c r="AH178" s="55"/>
      <c r="AI178" s="55"/>
      <c r="AJ178" s="55"/>
      <c r="AK178" s="101">
        <f t="shared" ca="1" si="34"/>
        <v>160055.39424262295</v>
      </c>
      <c r="AL178" s="129">
        <f t="array" ref="AL178">MAX((УслРестрактов[Характеристика]="Дата реструктуризации")*(УслРестрактов[Значение]=Первоначальный!$A178),0)</f>
        <v>0</v>
      </c>
    </row>
    <row r="179" spans="1:38" x14ac:dyDescent="0.25">
      <c r="A179" s="97">
        <f t="shared" si="27"/>
        <v>44310</v>
      </c>
      <c r="B179" s="100">
        <f t="shared" ca="1" si="28"/>
        <v>149633.34</v>
      </c>
      <c r="C179" s="55">
        <f t="shared" ca="1" si="36"/>
        <v>8438.66</v>
      </c>
      <c r="D179" s="55">
        <f t="shared" ca="1" si="36"/>
        <v>32.839999999999982</v>
      </c>
      <c r="E179" s="55">
        <f t="shared" ca="1" si="29"/>
        <v>0</v>
      </c>
      <c r="F179" s="55">
        <f t="shared" ca="1" si="30"/>
        <v>1950.5542426229522</v>
      </c>
      <c r="G179" s="101">
        <f t="shared" ca="1" si="31"/>
        <v>160055.39424262295</v>
      </c>
      <c r="H179" s="100">
        <f ca="1">ROUND($B179*VLOOKUP($A179,$A$1:$B$10,2,1)/(365+IF(MOD(YEAR($A179),4),0,1)*($A179-$A178)),2)-Первоначальный[[#This Row],[Проценты на просроченный платеж по ОД за период]]</f>
        <v>80.83</v>
      </c>
      <c r="I179" s="55">
        <f t="shared" ca="1" si="32"/>
        <v>0.75</v>
      </c>
      <c r="J179" s="55">
        <v>0</v>
      </c>
      <c r="K179" s="55">
        <f t="shared" ca="1" si="35"/>
        <v>43.388503278688532</v>
      </c>
      <c r="L179" s="55">
        <v>0</v>
      </c>
      <c r="M179" s="113">
        <f>SUMIFS(График[Возврат основной суммы долга],График[Дата с учетом нерабочих дней],$A179)</f>
        <v>0</v>
      </c>
      <c r="N179" s="56">
        <f>SUMIFS(График[Возврат начисленных %],График[Дата с учетом нерабочих дней],$A179)</f>
        <v>0</v>
      </c>
      <c r="O179" s="101">
        <v>0</v>
      </c>
      <c r="P179" s="100" cm="1">
        <f t="array" aca="1" ref="P179" ca="1">MAX(IF(AA178="Да",0,SUM(INDIRECT("M"&amp;(MAX(("Да"=AA$12:AA178)*ROW(AA$12:AA178)+1,ROW($P$12))&amp;":M"&amp;(ROW()))))-SUM(INDIRECT("W"&amp;(MAX(("Да"=AA$12:AA178)*ROW(AA$12:AA178)+1,ROW($P$12))&amp;":W"&amp;(ROW()))))),0)</f>
        <v>1371.0499999999993</v>
      </c>
      <c r="Q179" s="99">
        <f ca="1">MAX(SUM($N$13:N179)-SUM($T$13:T179),0)</f>
        <v>7306.650655737707</v>
      </c>
      <c r="R179" s="99">
        <f ca="1">Первоначальный[[#This Row],[Просроченный платеж по ОД]]+Первоначальный[[#This Row],[Просроченный платеж по процентам]]</f>
        <v>8677.7006557377063</v>
      </c>
      <c r="S179" s="120">
        <f ca="1">IF(Первоначальный[[#This Row],[Просроченный платеж]]&lt;1,0,S178+1)</f>
        <v>75</v>
      </c>
      <c r="T179" s="100" cm="1">
        <f t="array" aca="1" ref="T179" ca="1">IF(Первоначальный[[#This Row],[Итого остаток на начало периода]]&lt;1,0,
IF(
AND(TYPE(VLOOKUP(1,$Z$12:Z179,1,0))=16,Первоначальный[[#This Row],[Досрочное погашение (да/"")]]=""),0,
_xlfn.IFS(AND(S178=0,Первоначальный[[#This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платеж]]&lt;&gt;0),MIN(LOOKUP(,-1/($Z$12:Z179=1),$C$12:C179)+LOOKUP(,-1/($Z$12:Z179=1),$H$12:H179),Первоначальный[[#This Row],[Полученный платеж]]+Y178),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платеж]]+Y178,SUM(Первоначальный[[#This Row],[Остаток процентов на начало периода]],Первоначальный[[#This Row],[Проценты за период]])),
AND(S178=0,Первоначальный[[#This Row],[Дата платежа из графика]]=""),0,
AND(S178=0,Первоначальный[[#This Row],[Дата платежа из графика]]=1,MAX((0&lt;&gt;S$12:S178)*ROW(S$12:S178),ROW($S$12))&gt;=MAX((1=Z$12:Z178)*ROW(Z$12:Z178),ROW($T$12)),TYPE(VLOOKUP("Да",(INDIRECT("AA"&amp;(MAX((1=Z$12:Z178)*ROW(Z$12:Z178),ROW($T$12))&amp;":AA"&amp;(ROW()-1)))),1,0))=16),MIN(LOOKUP(,-1/($Z$12:Z179=1),$C$12:C179)+LOOKUP(,-1/($Z$12:Z179=1),$H$12:H179),Первоначальный[[#This Row],[Полученный платеж]]+Y178),
AND(S178=0,TYPE(VLOOKUP("Да",(INDIRECT("AA"&amp;(MAX((1=Z$12:Z178)*ROW(Z$12:Z178),ROW($T$12))&amp;":AA"&amp;(ROW()-1)))),1,0))&lt;&gt;16),MIN(LOOKUP(,-1/($Z$12:Z179=1),$C$12:C179)+LOOKUP(,-1/($Z$12:Z179=1),$H$12:H179)-IF(AA178="Да",0,SUM(INDIRECT("T"&amp;(MAX(("Да"=AA$12:AA178)*ROW(AA$12:AA178)+1,ROW($T$12))&amp;":T"&amp;(ROW()-1))))),Первоначальный[[#This Row],[Полученный платеж]]+Y178),
AND(S178=0,MAX((0&lt;&gt;N$12:N178)*ROW(N$12:N178),ROW($S$12))&gt;=MAX((1=Z$12:Z178)*ROW(Z$12:Z178),ROW($T$12))),MIN(LOOKUP(,-1/($Z$12:Z179=1),$C$12:C179)+LOOKUP(,-1/($Z$12:Z179=1),$H$12:H179)-IF(N178&lt;&gt;0,0,SUM(INDIRECT("T"&amp;(MAX((0&lt;&gt;N$12:N178)*ROW(N$12:N178)+1,ROW($T$12))&amp;":T"&amp;(ROW()-1))))),Первоначальный[[#This Row],[Полученный платеж]]+Y178),
AND(S178=0,Первоначальный[[#This Row],[Дата платежа из графика]]=1),MIN(LOOKUP(,-1/($Z$12:Z179=1),$C$12:C179)+LOOKUP(,-1/($Z$12:Z179=1),$H$12:H179)-IF(Z178=1,0,SUM(INDIRECT("T"&amp;(MAX((1=Z$12:Z178)*ROW(Z$12:Z178)+1,ROW($T$12))&amp;":T"&amp;(ROW()-1))))),Первоначальный[[#This Row],[Полученный платеж]]+Y178),
AND(Z178&gt;0,Первоначальный[[#This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платеж]]+Y178),
AND(S178&gt;0,MAX((0&lt;&gt;S$12:S178)*ROW(S$12:S178),ROW($S$12))&gt;=MAX((1=Z$12:Z178)*ROW(Z$12:Z178),ROW($T$12)),TYPE(VLOOKUP("Да",(INDIRECT("AA"&amp;(MAX((1=Z$12:Z178)*ROW(Z$12:Z178),ROW($T$12))&amp;":AA"&amp;(ROW()-1)))),1,0))=16),MIN(LOOKUP(,-1/($Z$12:Z179=1),$C$12:C179)+LOOKUP(,-1/($Z$12:Z179=1),$H$12:H179)-SUM(INDIRECT("T"&amp;(MAX((1=Z$12:Z178)*ROW(Z$12:Z178),ROW($T$12))&amp;":T"&amp;(ROW()-1)))),Первоначальный[[#This Row],[Полученный платеж]]+Y178),
S178&gt;0,MIN(LOOKUP(,-1/($Z$12:Z179=1),$C$12:C179)+LOOKUP(,-1/($Z$12:Z179=1),$H$12:H179)-IF(Z178=1,0,SUM(INDIRECT("T"&amp;(MAX((1=Z$12:Z178)*ROW(Z$12:Z178)+1,ROW($T$12))&amp;":T"&amp;(ROW()-1))))),Первоначальный[[#This Row],[Полученный платеж]]+Y178)
)
)
)</f>
        <v>0</v>
      </c>
      <c r="U17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платеж]]+Y178-Первоначальный[[#This Row],[Полученный платёж по процентам]])</f>
        <v>0</v>
      </c>
      <c r="V179" s="55">
        <f t="shared" ca="1" si="25"/>
        <v>0</v>
      </c>
      <c r="W179" s="55" cm="1">
        <f t="array" aca="1" ref="W179" ca="1">IF(Первоначальный[[#This Row],[Итого остаток на начало периода]]&lt;1,0,
_xlfn.IFS(
AND(TYPE(VLOOKUP(1,$Z$12:Z179,1,0))=16,Первоначальный[[#This Row],[Досрочное погашение (да/"")]]=""),0,
AND(S178=0,Первоначальный[[#This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платеж]]+Y178-SUM(Первоначальный[[#This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комиссиям]]),VLOOKUP(LOOKUP(,-1/($Z$12:Z179=1),$A$12:A179),График[[Срок конец]:[Возврат основной суммы долга]],3,0)),
AND(S178=0,Первоначальный[[#This Row],[Дата платежа из графика]]="",Первоначальный[[#This Row],[Досрочное погашение (да/"")]]&lt;&gt;"Да"),0,
AND(S178=0,Первоначальный[[#This Row],[Досрочное погашение (да/"")]]=""),MIN(Первоначальный[[#This Row],[Полученный платеж]]+Y178-SUM(Первоначальный[[#This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комиссиям]]),VLOOKUP(LOOKUP(,-1/($Z$12:Z179=1),$A$12:A179),График[[Срок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платеж]]+Y178-SUM(Первоначальный[[#This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S178&gt;0,MIN(Первоначальный[[#This Row],[Полученный платеж]]+Y178-SUM(Первоначальный[[#This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комиссиям]]),SUM(INDIRECT("M"&amp;(MAX((1=S$12:S178)*ROW(S$12:S178),ROW($W$12))&amp;":M"&amp;(ROW()))))-SUM(INDIRECT("W"&amp;(MAX((1=S$12:S178)*ROW(S$12:S178),ROW($W$12))&amp;":W"&amp;(ROW()-1)))))
)
)</f>
        <v>0</v>
      </c>
      <c r="X179" s="55">
        <f t="shared" ca="1" si="26"/>
        <v>0</v>
      </c>
      <c r="Y179" s="101">
        <f t="shared" ca="1" si="33"/>
        <v>0</v>
      </c>
      <c r="Z179" s="133" t="str">
        <f>IF(TYPE((VLOOKUP(Первоначальный[[#This Row],[Дата платежа]],График[Срок конец],1,0)))=16,"",1)</f>
        <v/>
      </c>
      <c r="AA179" s="57"/>
      <c r="AB179" s="134"/>
      <c r="AC17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7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8519.49</v>
      </c>
      <c r="AE17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33.589999999999982</v>
      </c>
      <c r="AF17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7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1993.9427459016408</v>
      </c>
      <c r="AH179" s="55"/>
      <c r="AI179" s="55"/>
      <c r="AJ179" s="55"/>
      <c r="AK179" s="101">
        <f t="shared" ca="1" si="34"/>
        <v>160180.36274590163</v>
      </c>
      <c r="AL179" s="129">
        <f t="array" ref="AL179">MAX((УслРестрактов[Характеристика]="Дата реструктуризации")*(УслРестрактов[Значение]=Первоначальный!$A179),0)</f>
        <v>0</v>
      </c>
    </row>
    <row r="180" spans="1:38" x14ac:dyDescent="0.25">
      <c r="A180" s="97">
        <f t="shared" si="27"/>
        <v>44311</v>
      </c>
      <c r="B180" s="100">
        <f t="shared" ca="1" si="28"/>
        <v>149633.34</v>
      </c>
      <c r="C180" s="55">
        <f t="shared" ca="1" si="36"/>
        <v>8519.49</v>
      </c>
      <c r="D180" s="55">
        <f t="shared" ca="1" si="36"/>
        <v>33.589999999999982</v>
      </c>
      <c r="E180" s="55">
        <f t="shared" ca="1" si="29"/>
        <v>0</v>
      </c>
      <c r="F180" s="55">
        <f t="shared" ca="1" si="30"/>
        <v>1993.9427459016408</v>
      </c>
      <c r="G180" s="101">
        <f t="shared" ca="1" si="31"/>
        <v>160180.36274590163</v>
      </c>
      <c r="H180" s="100">
        <f ca="1">ROUND($B180*VLOOKUP($A180,$A$1:$B$10,2,1)/(365+IF(MOD(YEAR($A180),4),0,1)*($A180-$A179)),2)-Первоначальный[[#This Row],[Проценты на просроченный платеж по ОД за период]]</f>
        <v>80.83</v>
      </c>
      <c r="I180" s="55">
        <f t="shared" ca="1" si="32"/>
        <v>0.75</v>
      </c>
      <c r="J180" s="55">
        <v>0</v>
      </c>
      <c r="K180" s="55">
        <f t="shared" ca="1" si="35"/>
        <v>43.388503278688532</v>
      </c>
      <c r="L180" s="55">
        <v>0</v>
      </c>
      <c r="M180" s="113">
        <f>SUMIFS(График[Возврат основной суммы долга],График[Дата с учетом нерабочих дней],$A180)</f>
        <v>0</v>
      </c>
      <c r="N180" s="56">
        <f>SUMIFS(График[Возврат начисленных %],График[Дата с учетом нерабочих дней],$A180)</f>
        <v>0</v>
      </c>
      <c r="O180" s="101">
        <v>0</v>
      </c>
      <c r="P180" s="100" cm="1">
        <f t="array" aca="1" ref="P180" ca="1">MAX(IF(AA179="Да",0,SUM(INDIRECT("M"&amp;(MAX(("Да"=AA$12:AA179)*ROW(AA$12:AA179)+1,ROW($P$12))&amp;":M"&amp;(ROW()))))-SUM(INDIRECT("W"&amp;(MAX(("Да"=AA$12:AA179)*ROW(AA$12:AA179)+1,ROW($P$12))&amp;":W"&amp;(ROW()))))),0)</f>
        <v>1371.0499999999993</v>
      </c>
      <c r="Q180" s="99">
        <f ca="1">MAX(SUM($N$13:N180)-SUM($T$13:T180),0)</f>
        <v>7306.650655737707</v>
      </c>
      <c r="R180" s="99">
        <f ca="1">Первоначальный[[#This Row],[Просроченный платеж по ОД]]+Первоначальный[[#This Row],[Просроченный платеж по процентам]]</f>
        <v>8677.7006557377063</v>
      </c>
      <c r="S180" s="120">
        <f ca="1">IF(Первоначальный[[#This Row],[Просроченный платеж]]&lt;1,0,S179+1)</f>
        <v>76</v>
      </c>
      <c r="T180" s="100" cm="1">
        <f t="array" aca="1" ref="T180" ca="1">IF(Первоначальный[[#This Row],[Итого остаток на начало периода]]&lt;1,0,
IF(
AND(TYPE(VLOOKUP(1,$Z$12:Z180,1,0))=16,Первоначальный[[#This Row],[Досрочное погашение (да/"")]]=""),0,
_xlfn.IFS(AND(S179=0,Первоначальный[[#This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платеж]]&lt;&gt;0),MIN(LOOKUP(,-1/($Z$12:Z180=1),$C$12:C180)+LOOKUP(,-1/($Z$12:Z180=1),$H$12:H180),Первоначальный[[#This Row],[Полученный платеж]]+Y179),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платеж]]+Y179,SUM(Первоначальный[[#This Row],[Остаток процентов на начало периода]],Первоначальный[[#This Row],[Проценты за период]])),
AND(S179=0,Первоначальный[[#This Row],[Дата платежа из графика]]=""),0,
AND(S179=0,Первоначальный[[#This Row],[Дата платежа из графика]]=1,MAX((0&lt;&gt;S$12:S179)*ROW(S$12:S179),ROW($S$12))&gt;=MAX((1=Z$12:Z179)*ROW(Z$12:Z179),ROW($T$12)),TYPE(VLOOKUP("Да",(INDIRECT("AA"&amp;(MAX((1=Z$12:Z179)*ROW(Z$12:Z179),ROW($T$12))&amp;":AA"&amp;(ROW()-1)))),1,0))=16),MIN(LOOKUP(,-1/($Z$12:Z180=1),$C$12:C180)+LOOKUP(,-1/($Z$12:Z180=1),$H$12:H180),Первоначальный[[#This Row],[Полученный платеж]]+Y179),
AND(S179=0,TYPE(VLOOKUP("Да",(INDIRECT("AA"&amp;(MAX((1=Z$12:Z179)*ROW(Z$12:Z179),ROW($T$12))&amp;":AA"&amp;(ROW()-1)))),1,0))&lt;&gt;16),MIN(LOOKUP(,-1/($Z$12:Z180=1),$C$12:C180)+LOOKUP(,-1/($Z$12:Z180=1),$H$12:H180)-IF(AA179="Да",0,SUM(INDIRECT("T"&amp;(MAX(("Да"=AA$12:AA179)*ROW(AA$12:AA179)+1,ROW($T$12))&amp;":T"&amp;(ROW()-1))))),Первоначальный[[#This Row],[Полученный платеж]]+Y179),
AND(S179=0,MAX((0&lt;&gt;N$12:N179)*ROW(N$12:N179),ROW($S$12))&gt;=MAX((1=Z$12:Z179)*ROW(Z$12:Z179),ROW($T$12))),MIN(LOOKUP(,-1/($Z$12:Z180=1),$C$12:C180)+LOOKUP(,-1/($Z$12:Z180=1),$H$12:H180)-IF(N179&lt;&gt;0,0,SUM(INDIRECT("T"&amp;(MAX((0&lt;&gt;N$12:N179)*ROW(N$12:N179)+1,ROW($T$12))&amp;":T"&amp;(ROW()-1))))),Первоначальный[[#This Row],[Полученный платеж]]+Y179),
AND(S179=0,Первоначальный[[#This Row],[Дата платежа из графика]]=1),MIN(LOOKUP(,-1/($Z$12:Z180=1),$C$12:C180)+LOOKUP(,-1/($Z$12:Z180=1),$H$12:H180)-IF(Z179=1,0,SUM(INDIRECT("T"&amp;(MAX((1=Z$12:Z179)*ROW(Z$12:Z179)+1,ROW($T$12))&amp;":T"&amp;(ROW()-1))))),Первоначальный[[#This Row],[Полученный платеж]]+Y179),
AND(Z179&gt;0,Первоначальный[[#This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платеж]]+Y179),
AND(S179&gt;0,MAX((0&lt;&gt;S$12:S179)*ROW(S$12:S179),ROW($S$12))&gt;=MAX((1=Z$12:Z179)*ROW(Z$12:Z179),ROW($T$12)),TYPE(VLOOKUP("Да",(INDIRECT("AA"&amp;(MAX((1=Z$12:Z179)*ROW(Z$12:Z179),ROW($T$12))&amp;":AA"&amp;(ROW()-1)))),1,0))=16),MIN(LOOKUP(,-1/($Z$12:Z180=1),$C$12:C180)+LOOKUP(,-1/($Z$12:Z180=1),$H$12:H180)-SUM(INDIRECT("T"&amp;(MAX((1=Z$12:Z179)*ROW(Z$12:Z179),ROW($T$12))&amp;":T"&amp;(ROW()-1)))),Первоначальный[[#This Row],[Полученный платеж]]+Y179),
S179&gt;0,MIN(LOOKUP(,-1/($Z$12:Z180=1),$C$12:C180)+LOOKUP(,-1/($Z$12:Z180=1),$H$12:H180)-IF(Z179=1,0,SUM(INDIRECT("T"&amp;(MAX((1=Z$12:Z179)*ROW(Z$12:Z179)+1,ROW($T$12))&amp;":T"&amp;(ROW()-1))))),Первоначальный[[#This Row],[Полученный платеж]]+Y179)
)
)
)</f>
        <v>0</v>
      </c>
      <c r="U18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платеж]]+Y179-Первоначальный[[#This Row],[Полученный платёж по процентам]])</f>
        <v>0</v>
      </c>
      <c r="V180" s="55">
        <f t="shared" ca="1" si="25"/>
        <v>0</v>
      </c>
      <c r="W180" s="55" cm="1">
        <f t="array" aca="1" ref="W180" ca="1">IF(Первоначальный[[#This Row],[Итого остаток на начало периода]]&lt;1,0,
_xlfn.IFS(
AND(TYPE(VLOOKUP(1,$Z$12:Z180,1,0))=16,Первоначальный[[#This Row],[Досрочное погашение (да/"")]]=""),0,
AND(S179=0,Первоначальный[[#This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платеж]]+Y179-SUM(Первоначальный[[#This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комиссиям]]),VLOOKUP(LOOKUP(,-1/($Z$12:Z180=1),$A$12:A180),График[[Срок конец]:[Возврат основной суммы долга]],3,0)),
AND(S179=0,Первоначальный[[#This Row],[Дата платежа из графика]]="",Первоначальный[[#This Row],[Досрочное погашение (да/"")]]&lt;&gt;"Да"),0,
AND(S179=0,Первоначальный[[#This Row],[Досрочное погашение (да/"")]]=""),MIN(Первоначальный[[#This Row],[Полученный платеж]]+Y179-SUM(Первоначальный[[#This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комиссиям]]),VLOOKUP(LOOKUP(,-1/($Z$12:Z180=1),$A$12:A180),График[[Срок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платеж]]+Y179-SUM(Первоначальный[[#This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S179&gt;0,MIN(Первоначальный[[#This Row],[Полученный платеж]]+Y179-SUM(Первоначальный[[#This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комиссиям]]),SUM(INDIRECT("M"&amp;(MAX((1=S$12:S179)*ROW(S$12:S179),ROW($W$12))&amp;":M"&amp;(ROW()))))-SUM(INDIRECT("W"&amp;(MAX((1=S$12:S179)*ROW(S$12:S179),ROW($W$12))&amp;":W"&amp;(ROW()-1)))))
)
)</f>
        <v>0</v>
      </c>
      <c r="X180" s="55">
        <f t="shared" ca="1" si="26"/>
        <v>0</v>
      </c>
      <c r="Y180" s="101">
        <f t="shared" ca="1" si="33"/>
        <v>0</v>
      </c>
      <c r="Z180" s="133" t="str">
        <f>IF(TYPE((VLOOKUP(Первоначальный[[#This Row],[Дата платежа]],График[Срок конец],1,0)))=16,"",1)</f>
        <v/>
      </c>
      <c r="AA180" s="57"/>
      <c r="AB180" s="134"/>
      <c r="AC18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8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8600.32</v>
      </c>
      <c r="AE18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34.339999999999982</v>
      </c>
      <c r="AF18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8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2037.3312491803295</v>
      </c>
      <c r="AH180" s="55"/>
      <c r="AI180" s="55"/>
      <c r="AJ180" s="55"/>
      <c r="AK180" s="101">
        <f t="shared" ca="1" si="34"/>
        <v>160305.33124918034</v>
      </c>
      <c r="AL180" s="129">
        <f t="array" ref="AL180">MAX((УслРестрактов[Характеристика]="Дата реструктуризации")*(УслРестрактов[Значение]=Первоначальный!$A180),0)</f>
        <v>0</v>
      </c>
    </row>
    <row r="181" spans="1:38" x14ac:dyDescent="0.25">
      <c r="A181" s="97">
        <f t="shared" si="27"/>
        <v>44312</v>
      </c>
      <c r="B181" s="100">
        <f t="shared" ca="1" si="28"/>
        <v>149633.34</v>
      </c>
      <c r="C181" s="55">
        <f t="shared" ca="1" si="36"/>
        <v>8600.32</v>
      </c>
      <c r="D181" s="55">
        <f t="shared" ca="1" si="36"/>
        <v>34.339999999999982</v>
      </c>
      <c r="E181" s="55">
        <f t="shared" ca="1" si="29"/>
        <v>0</v>
      </c>
      <c r="F181" s="55">
        <f t="shared" ca="1" si="30"/>
        <v>2037.3312491803295</v>
      </c>
      <c r="G181" s="101">
        <f t="shared" ca="1" si="31"/>
        <v>160305.33124918034</v>
      </c>
      <c r="H181" s="100">
        <f ca="1">ROUND($B181*VLOOKUP($A181,$A$1:$B$10,2,1)/(365+IF(MOD(YEAR($A181),4),0,1)*($A181-$A180)),2)-Первоначальный[[#This Row],[Проценты на просроченный платеж по ОД за период]]</f>
        <v>80.83</v>
      </c>
      <c r="I181" s="55">
        <f t="shared" ca="1" si="32"/>
        <v>0.75</v>
      </c>
      <c r="J181" s="55">
        <v>0</v>
      </c>
      <c r="K181" s="55">
        <f t="shared" ca="1" si="35"/>
        <v>43.388503278688532</v>
      </c>
      <c r="L181" s="55">
        <v>0</v>
      </c>
      <c r="M181" s="113">
        <f>SUMIFS(График[Возврат основной суммы долга],График[Дата с учетом нерабочих дней],$A181)</f>
        <v>0</v>
      </c>
      <c r="N181" s="56">
        <f>SUMIFS(График[Возврат начисленных %],График[Дата с учетом нерабочих дней],$A181)</f>
        <v>0</v>
      </c>
      <c r="O181" s="101">
        <v>0</v>
      </c>
      <c r="P181" s="100" cm="1">
        <f t="array" aca="1" ref="P181" ca="1">MAX(IF(AA180="Да",0,SUM(INDIRECT("M"&amp;(MAX(("Да"=AA$12:AA180)*ROW(AA$12:AA180)+1,ROW($P$12))&amp;":M"&amp;(ROW()))))-SUM(INDIRECT("W"&amp;(MAX(("Да"=AA$12:AA180)*ROW(AA$12:AA180)+1,ROW($P$12))&amp;":W"&amp;(ROW()))))),0)</f>
        <v>1371.0499999999993</v>
      </c>
      <c r="Q181" s="99">
        <f ca="1">MAX(SUM($N$13:N181)-SUM($T$13:T181),0)</f>
        <v>7306.650655737707</v>
      </c>
      <c r="R181" s="99">
        <f ca="1">Первоначальный[[#This Row],[Просроченный платеж по ОД]]+Первоначальный[[#This Row],[Просроченный платеж по процентам]]</f>
        <v>8677.7006557377063</v>
      </c>
      <c r="S181" s="120">
        <f ca="1">IF(Первоначальный[[#This Row],[Просроченный платеж]]&lt;1,0,S180+1)</f>
        <v>77</v>
      </c>
      <c r="T181" s="100" cm="1">
        <f t="array" aca="1" ref="T181" ca="1">IF(Первоначальный[[#This Row],[Итого остаток на начало периода]]&lt;1,0,
IF(
AND(TYPE(VLOOKUP(1,$Z$12:Z181,1,0))=16,Первоначальный[[#This Row],[Досрочное погашение (да/"")]]=""),0,
_xlfn.IFS(AND(S180=0,Первоначальный[[#This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платеж]]&lt;&gt;0),MIN(LOOKUP(,-1/($Z$12:Z181=1),$C$12:C181)+LOOKUP(,-1/($Z$12:Z181=1),$H$12:H181),Первоначальный[[#This Row],[Полученный платеж]]+Y180),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платеж]]+Y180,SUM(Первоначальный[[#This Row],[Остаток процентов на начало периода]],Первоначальный[[#This Row],[Проценты за период]])),
AND(S180=0,Первоначальный[[#This Row],[Дата платежа из графика]]=""),0,
AND(S180=0,Первоначальный[[#This Row],[Дата платежа из графика]]=1,MAX((0&lt;&gt;S$12:S180)*ROW(S$12:S180),ROW($S$12))&gt;=MAX((1=Z$12:Z180)*ROW(Z$12:Z180),ROW($T$12)),TYPE(VLOOKUP("Да",(INDIRECT("AA"&amp;(MAX((1=Z$12:Z180)*ROW(Z$12:Z180),ROW($T$12))&amp;":AA"&amp;(ROW()-1)))),1,0))=16),MIN(LOOKUP(,-1/($Z$12:Z181=1),$C$12:C181)+LOOKUP(,-1/($Z$12:Z181=1),$H$12:H181),Первоначальный[[#This Row],[Полученный платеж]]+Y180),
AND(S180=0,TYPE(VLOOKUP("Да",(INDIRECT("AA"&amp;(MAX((1=Z$12:Z180)*ROW(Z$12:Z180),ROW($T$12))&amp;":AA"&amp;(ROW()-1)))),1,0))&lt;&gt;16),MIN(LOOKUP(,-1/($Z$12:Z181=1),$C$12:C181)+LOOKUP(,-1/($Z$12:Z181=1),$H$12:H181)-IF(AA180="Да",0,SUM(INDIRECT("T"&amp;(MAX(("Да"=AA$12:AA180)*ROW(AA$12:AA180)+1,ROW($T$12))&amp;":T"&amp;(ROW()-1))))),Первоначальный[[#This Row],[Полученный платеж]]+Y180),
AND(S180=0,MAX((0&lt;&gt;N$12:N180)*ROW(N$12:N180),ROW($S$12))&gt;=MAX((1=Z$12:Z180)*ROW(Z$12:Z180),ROW($T$12))),MIN(LOOKUP(,-1/($Z$12:Z181=1),$C$12:C181)+LOOKUP(,-1/($Z$12:Z181=1),$H$12:H181)-IF(N180&lt;&gt;0,0,SUM(INDIRECT("T"&amp;(MAX((0&lt;&gt;N$12:N180)*ROW(N$12:N180)+1,ROW($T$12))&amp;":T"&amp;(ROW()-1))))),Первоначальный[[#This Row],[Полученный платеж]]+Y180),
AND(S180=0,Первоначальный[[#This Row],[Дата платежа из графика]]=1),MIN(LOOKUP(,-1/($Z$12:Z181=1),$C$12:C181)+LOOKUP(,-1/($Z$12:Z181=1),$H$12:H181)-IF(Z180=1,0,SUM(INDIRECT("T"&amp;(MAX((1=Z$12:Z180)*ROW(Z$12:Z180)+1,ROW($T$12))&amp;":T"&amp;(ROW()-1))))),Первоначальный[[#This Row],[Полученный платеж]]+Y180),
AND(Z180&gt;0,Первоначальный[[#This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платеж]]+Y180),
AND(S180&gt;0,MAX((0&lt;&gt;S$12:S180)*ROW(S$12:S180),ROW($S$12))&gt;=MAX((1=Z$12:Z180)*ROW(Z$12:Z180),ROW($T$12)),TYPE(VLOOKUP("Да",(INDIRECT("AA"&amp;(MAX((1=Z$12:Z180)*ROW(Z$12:Z180),ROW($T$12))&amp;":AA"&amp;(ROW()-1)))),1,0))=16),MIN(LOOKUP(,-1/($Z$12:Z181=1),$C$12:C181)+LOOKUP(,-1/($Z$12:Z181=1),$H$12:H181)-SUM(INDIRECT("T"&amp;(MAX((1=Z$12:Z180)*ROW(Z$12:Z180),ROW($T$12))&amp;":T"&amp;(ROW()-1)))),Первоначальный[[#This Row],[Полученный платеж]]+Y180),
S180&gt;0,MIN(LOOKUP(,-1/($Z$12:Z181=1),$C$12:C181)+LOOKUP(,-1/($Z$12:Z181=1),$H$12:H181)-IF(Z180=1,0,SUM(INDIRECT("T"&amp;(MAX((1=Z$12:Z180)*ROW(Z$12:Z180)+1,ROW($T$12))&amp;":T"&amp;(ROW()-1))))),Первоначальный[[#This Row],[Полученный платеж]]+Y180)
)
)
)</f>
        <v>0</v>
      </c>
      <c r="U18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платеж]]+Y180-Первоначальный[[#This Row],[Полученный платёж по процентам]])</f>
        <v>0</v>
      </c>
      <c r="V181" s="55">
        <f t="shared" ca="1" si="25"/>
        <v>0</v>
      </c>
      <c r="W181" s="55" cm="1">
        <f t="array" aca="1" ref="W181" ca="1">IF(Первоначальный[[#This Row],[Итого остаток на начало периода]]&lt;1,0,
_xlfn.IFS(
AND(TYPE(VLOOKUP(1,$Z$12:Z181,1,0))=16,Первоначальный[[#This Row],[Досрочное погашение (да/"")]]=""),0,
AND(S180=0,Первоначальный[[#This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платеж]]+Y180-SUM(Первоначальный[[#This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комиссиям]]),VLOOKUP(LOOKUP(,-1/($Z$12:Z181=1),$A$12:A181),График[[Срок конец]:[Возврат основной суммы долга]],3,0)),
AND(S180=0,Первоначальный[[#This Row],[Дата платежа из графика]]="",Первоначальный[[#This Row],[Досрочное погашение (да/"")]]&lt;&gt;"Да"),0,
AND(S180=0,Первоначальный[[#This Row],[Досрочное погашение (да/"")]]=""),MIN(Первоначальный[[#This Row],[Полученный платеж]]+Y180-SUM(Первоначальный[[#This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комиссиям]]),VLOOKUP(LOOKUP(,-1/($Z$12:Z181=1),$A$12:A181),График[[Срок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платеж]]+Y180-SUM(Первоначальный[[#This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S180&gt;0,MIN(Первоначальный[[#This Row],[Полученный платеж]]+Y180-SUM(Первоначальный[[#This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комиссиям]]),SUM(INDIRECT("M"&amp;(MAX((1=S$12:S180)*ROW(S$12:S180),ROW($W$12))&amp;":M"&amp;(ROW()))))-SUM(INDIRECT("W"&amp;(MAX((1=S$12:S180)*ROW(S$12:S180),ROW($W$12))&amp;":W"&amp;(ROW()-1)))))
)
)</f>
        <v>0</v>
      </c>
      <c r="X181" s="55">
        <f t="shared" ca="1" si="26"/>
        <v>0</v>
      </c>
      <c r="Y181" s="101">
        <f t="shared" ca="1" si="33"/>
        <v>0</v>
      </c>
      <c r="Z181" s="133" t="str">
        <f>IF(TYPE((VLOOKUP(Первоначальный[[#This Row],[Дата платежа]],График[Срок конец],1,0)))=16,"",1)</f>
        <v/>
      </c>
      <c r="AA181" s="57"/>
      <c r="AB181" s="134"/>
      <c r="AC18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8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8681.15</v>
      </c>
      <c r="AE18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35.089999999999982</v>
      </c>
      <c r="AF18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8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2080.7197524590179</v>
      </c>
      <c r="AH181" s="55"/>
      <c r="AI181" s="55"/>
      <c r="AJ181" s="55"/>
      <c r="AK181" s="101">
        <f t="shared" ca="1" si="34"/>
        <v>160430.29975245902</v>
      </c>
      <c r="AL181" s="129">
        <f t="array" ref="AL181">MAX((УслРестрактов[Характеристика]="Дата реструктуризации")*(УслРестрактов[Значение]=Первоначальный!$A181),0)</f>
        <v>0</v>
      </c>
    </row>
    <row r="182" spans="1:38" x14ac:dyDescent="0.25">
      <c r="A182" s="97">
        <f t="shared" si="27"/>
        <v>44313</v>
      </c>
      <c r="B182" s="100">
        <f t="shared" ca="1" si="28"/>
        <v>149633.34</v>
      </c>
      <c r="C182" s="55">
        <f t="shared" ca="1" si="36"/>
        <v>8681.15</v>
      </c>
      <c r="D182" s="55">
        <f t="shared" ca="1" si="36"/>
        <v>35.089999999999982</v>
      </c>
      <c r="E182" s="55">
        <f t="shared" ca="1" si="29"/>
        <v>0</v>
      </c>
      <c r="F182" s="55">
        <f t="shared" ca="1" si="30"/>
        <v>2080.7197524590179</v>
      </c>
      <c r="G182" s="101">
        <f t="shared" ca="1" si="31"/>
        <v>160430.29975245902</v>
      </c>
      <c r="H182" s="100">
        <f ca="1">ROUND($B182*VLOOKUP($A182,$A$1:$B$10,2,1)/(365+IF(MOD(YEAR($A182),4),0,1)*($A182-$A181)),2)-Первоначальный[[#This Row],[Проценты на просроченный платеж по ОД за период]]</f>
        <v>80.83</v>
      </c>
      <c r="I182" s="55">
        <f t="shared" ca="1" si="32"/>
        <v>0.75</v>
      </c>
      <c r="J182" s="55">
        <v>0</v>
      </c>
      <c r="K182" s="55">
        <f t="shared" ca="1" si="35"/>
        <v>43.388503278688532</v>
      </c>
      <c r="L182" s="55">
        <v>0</v>
      </c>
      <c r="M182" s="113">
        <f>SUMIFS(График[Возврат основной суммы долга],График[Дата с учетом нерабочих дней],$A182)</f>
        <v>0</v>
      </c>
      <c r="N182" s="56">
        <f>SUMIFS(График[Возврат начисленных %],График[Дата с учетом нерабочих дней],$A182)</f>
        <v>0</v>
      </c>
      <c r="O182" s="101">
        <v>0</v>
      </c>
      <c r="P182" s="100" cm="1">
        <f t="array" aca="1" ref="P182" ca="1">MAX(IF(AA181="Да",0,SUM(INDIRECT("M"&amp;(MAX(("Да"=AA$12:AA181)*ROW(AA$12:AA181)+1,ROW($P$12))&amp;":M"&amp;(ROW()))))-SUM(INDIRECT("W"&amp;(MAX(("Да"=AA$12:AA181)*ROW(AA$12:AA181)+1,ROW($P$12))&amp;":W"&amp;(ROW()))))),0)</f>
        <v>1371.0499999999993</v>
      </c>
      <c r="Q182" s="99">
        <f ca="1">MAX(SUM($N$13:N182)-SUM($T$13:T182),0)</f>
        <v>7306.650655737707</v>
      </c>
      <c r="R182" s="99">
        <f ca="1">Первоначальный[[#This Row],[Просроченный платеж по ОД]]+Первоначальный[[#This Row],[Просроченный платеж по процентам]]</f>
        <v>8677.7006557377063</v>
      </c>
      <c r="S182" s="120">
        <f ca="1">IF(Первоначальный[[#This Row],[Просроченный платеж]]&lt;1,0,S181+1)</f>
        <v>78</v>
      </c>
      <c r="T182" s="100" cm="1">
        <f t="array" aca="1" ref="T182" ca="1">IF(Первоначальный[[#This Row],[Итого остаток на начало периода]]&lt;1,0,
IF(
AND(TYPE(VLOOKUP(1,$Z$12:Z182,1,0))=16,Первоначальный[[#This Row],[Досрочное погашение (да/"")]]=""),0,
_xlfn.IFS(AND(S181=0,Первоначальный[[#This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платеж]]&lt;&gt;0),MIN(LOOKUP(,-1/($Z$12:Z182=1),$C$12:C182)+LOOKUP(,-1/($Z$12:Z182=1),$H$12:H182),Первоначальный[[#This Row],[Полученный платеж]]+Y181),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платеж]]+Y181,SUM(Первоначальный[[#This Row],[Остаток процентов на начало периода]],Первоначальный[[#This Row],[Проценты за период]])),
AND(S181=0,Первоначальный[[#This Row],[Дата платежа из графика]]=""),0,
AND(S181=0,Первоначальный[[#This Row],[Дата платежа из графика]]=1,MAX((0&lt;&gt;S$12:S181)*ROW(S$12:S181),ROW($S$12))&gt;=MAX((1=Z$12:Z181)*ROW(Z$12:Z181),ROW($T$12)),TYPE(VLOOKUP("Да",(INDIRECT("AA"&amp;(MAX((1=Z$12:Z181)*ROW(Z$12:Z181),ROW($T$12))&amp;":AA"&amp;(ROW()-1)))),1,0))=16),MIN(LOOKUP(,-1/($Z$12:Z182=1),$C$12:C182)+LOOKUP(,-1/($Z$12:Z182=1),$H$12:H182),Первоначальный[[#This Row],[Полученный платеж]]+Y181),
AND(S181=0,TYPE(VLOOKUP("Да",(INDIRECT("AA"&amp;(MAX((1=Z$12:Z181)*ROW(Z$12:Z181),ROW($T$12))&amp;":AA"&amp;(ROW()-1)))),1,0))&lt;&gt;16),MIN(LOOKUP(,-1/($Z$12:Z182=1),$C$12:C182)+LOOKUP(,-1/($Z$12:Z182=1),$H$12:H182)-IF(AA181="Да",0,SUM(INDIRECT("T"&amp;(MAX(("Да"=AA$12:AA181)*ROW(AA$12:AA181)+1,ROW($T$12))&amp;":T"&amp;(ROW()-1))))),Первоначальный[[#This Row],[Полученный платеж]]+Y181),
AND(S181=0,MAX((0&lt;&gt;N$12:N181)*ROW(N$12:N181),ROW($S$12))&gt;=MAX((1=Z$12:Z181)*ROW(Z$12:Z181),ROW($T$12))),MIN(LOOKUP(,-1/($Z$12:Z182=1),$C$12:C182)+LOOKUP(,-1/($Z$12:Z182=1),$H$12:H182)-IF(N181&lt;&gt;0,0,SUM(INDIRECT("T"&amp;(MAX((0&lt;&gt;N$12:N181)*ROW(N$12:N181)+1,ROW($T$12))&amp;":T"&amp;(ROW()-1))))),Первоначальный[[#This Row],[Полученный платеж]]+Y181),
AND(S181=0,Первоначальный[[#This Row],[Дата платежа из графика]]=1),MIN(LOOKUP(,-1/($Z$12:Z182=1),$C$12:C182)+LOOKUP(,-1/($Z$12:Z182=1),$H$12:H182)-IF(Z181=1,0,SUM(INDIRECT("T"&amp;(MAX((1=Z$12:Z181)*ROW(Z$12:Z181)+1,ROW($T$12))&amp;":T"&amp;(ROW()-1))))),Первоначальный[[#This Row],[Полученный платеж]]+Y181),
AND(Z181&gt;0,Первоначальный[[#This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платеж]]+Y181),
AND(S181&gt;0,MAX((0&lt;&gt;S$12:S181)*ROW(S$12:S181),ROW($S$12))&gt;=MAX((1=Z$12:Z181)*ROW(Z$12:Z181),ROW($T$12)),TYPE(VLOOKUP("Да",(INDIRECT("AA"&amp;(MAX((1=Z$12:Z181)*ROW(Z$12:Z181),ROW($T$12))&amp;":AA"&amp;(ROW()-1)))),1,0))=16),MIN(LOOKUP(,-1/($Z$12:Z182=1),$C$12:C182)+LOOKUP(,-1/($Z$12:Z182=1),$H$12:H182)-SUM(INDIRECT("T"&amp;(MAX((1=Z$12:Z181)*ROW(Z$12:Z181),ROW($T$12))&amp;":T"&amp;(ROW()-1)))),Первоначальный[[#This Row],[Полученный платеж]]+Y181),
S181&gt;0,MIN(LOOKUP(,-1/($Z$12:Z182=1),$C$12:C182)+LOOKUP(,-1/($Z$12:Z182=1),$H$12:H182)-IF(Z181=1,0,SUM(INDIRECT("T"&amp;(MAX((1=Z$12:Z181)*ROW(Z$12:Z181)+1,ROW($T$12))&amp;":T"&amp;(ROW()-1))))),Первоначальный[[#This Row],[Полученный платеж]]+Y181)
)
)
)</f>
        <v>0</v>
      </c>
      <c r="U18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платеж]]+Y181-Первоначальный[[#This Row],[Полученный платёж по процентам]])</f>
        <v>0</v>
      </c>
      <c r="V182" s="55">
        <f t="shared" ca="1" si="25"/>
        <v>0</v>
      </c>
      <c r="W182" s="55" cm="1">
        <f t="array" aca="1" ref="W182" ca="1">IF(Первоначальный[[#This Row],[Итого остаток на начало периода]]&lt;1,0,
_xlfn.IFS(
AND(TYPE(VLOOKUP(1,$Z$12:Z182,1,0))=16,Первоначальный[[#This Row],[Досрочное погашение (да/"")]]=""),0,
AND(S181=0,Первоначальный[[#This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платеж]]+Y181-SUM(Первоначальный[[#This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комиссиям]]),VLOOKUP(LOOKUP(,-1/($Z$12:Z182=1),$A$12:A182),График[[Срок конец]:[Возврат основной суммы долга]],3,0)),
AND(S181=0,Первоначальный[[#This Row],[Дата платежа из графика]]="",Первоначальный[[#This Row],[Досрочное погашение (да/"")]]&lt;&gt;"Да"),0,
AND(S181=0,Первоначальный[[#This Row],[Досрочное погашение (да/"")]]=""),MIN(Первоначальный[[#This Row],[Полученный платеж]]+Y181-SUM(Первоначальный[[#This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комиссиям]]),VLOOKUP(LOOKUP(,-1/($Z$12:Z182=1),$A$12:A182),График[[Срок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платеж]]+Y181-SUM(Первоначальный[[#This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S181&gt;0,MIN(Первоначальный[[#This Row],[Полученный платеж]]+Y181-SUM(Первоначальный[[#This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комиссиям]]),SUM(INDIRECT("M"&amp;(MAX((1=S$12:S181)*ROW(S$12:S181),ROW($W$12))&amp;":M"&amp;(ROW()))))-SUM(INDIRECT("W"&amp;(MAX((1=S$12:S181)*ROW(S$12:S181),ROW($W$12))&amp;":W"&amp;(ROW()-1)))))
)
)</f>
        <v>0</v>
      </c>
      <c r="X182" s="55">
        <f t="shared" ca="1" si="26"/>
        <v>0</v>
      </c>
      <c r="Y182" s="101">
        <f t="shared" ca="1" si="33"/>
        <v>0</v>
      </c>
      <c r="Z182" s="133" t="str">
        <f>IF(TYPE((VLOOKUP(Первоначальный[[#This Row],[Дата платежа]],График[Срок конец],1,0)))=16,"",1)</f>
        <v/>
      </c>
      <c r="AA182" s="57"/>
      <c r="AB182" s="134"/>
      <c r="AC18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8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8761.98</v>
      </c>
      <c r="AE18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35.839999999999982</v>
      </c>
      <c r="AF18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8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2124.1082557377063</v>
      </c>
      <c r="AH182" s="55"/>
      <c r="AI182" s="55"/>
      <c r="AJ182" s="55"/>
      <c r="AK182" s="101">
        <f t="shared" ca="1" si="34"/>
        <v>160555.2682557377</v>
      </c>
      <c r="AL182" s="129">
        <f t="array" ref="AL182">MAX((УслРестрактов[Характеристика]="Дата реструктуризации")*(УслРестрактов[Значение]=Первоначальный!$A182),0)</f>
        <v>0</v>
      </c>
    </row>
    <row r="183" spans="1:38" x14ac:dyDescent="0.25">
      <c r="A183" s="97">
        <f t="shared" si="27"/>
        <v>44314</v>
      </c>
      <c r="B183" s="100">
        <f t="shared" ca="1" si="28"/>
        <v>149633.34</v>
      </c>
      <c r="C183" s="55">
        <f t="shared" ca="1" si="36"/>
        <v>8761.98</v>
      </c>
      <c r="D183" s="55">
        <f t="shared" ca="1" si="36"/>
        <v>35.839999999999982</v>
      </c>
      <c r="E183" s="55">
        <f t="shared" ca="1" si="29"/>
        <v>0</v>
      </c>
      <c r="F183" s="55">
        <f t="shared" ca="1" si="30"/>
        <v>2124.1082557377063</v>
      </c>
      <c r="G183" s="101">
        <f t="shared" ca="1" si="31"/>
        <v>160555.2682557377</v>
      </c>
      <c r="H183" s="100">
        <f ca="1">ROUND($B183*VLOOKUP($A183,$A$1:$B$10,2,1)/(365+IF(MOD(YEAR($A183),4),0,1)*($A183-$A182)),2)-Первоначальный[[#This Row],[Проценты на просроченный платеж по ОД за период]]</f>
        <v>80.83</v>
      </c>
      <c r="I183" s="55">
        <f t="shared" ca="1" si="32"/>
        <v>0.75</v>
      </c>
      <c r="J183" s="55">
        <v>0</v>
      </c>
      <c r="K183" s="55">
        <f t="shared" ca="1" si="35"/>
        <v>43.388503278688532</v>
      </c>
      <c r="L183" s="55">
        <v>0</v>
      </c>
      <c r="M183" s="113">
        <f>SUMIFS(График[Возврат основной суммы долга],График[Дата с учетом нерабочих дней],$A183)</f>
        <v>0</v>
      </c>
      <c r="N183" s="56">
        <f>SUMIFS(График[Возврат начисленных %],График[Дата с учетом нерабочих дней],$A183)</f>
        <v>0</v>
      </c>
      <c r="O183" s="101">
        <v>0</v>
      </c>
      <c r="P183" s="100" cm="1">
        <f t="array" aca="1" ref="P183" ca="1">MAX(IF(AA182="Да",0,SUM(INDIRECT("M"&amp;(MAX(("Да"=AA$12:AA182)*ROW(AA$12:AA182)+1,ROW($P$12))&amp;":M"&amp;(ROW()))))-SUM(INDIRECT("W"&amp;(MAX(("Да"=AA$12:AA182)*ROW(AA$12:AA182)+1,ROW($P$12))&amp;":W"&amp;(ROW()))))),0)</f>
        <v>1371.0499999999993</v>
      </c>
      <c r="Q183" s="99">
        <f ca="1">MAX(SUM($N$13:N183)-SUM($T$13:T183),0)</f>
        <v>7306.650655737707</v>
      </c>
      <c r="R183" s="99">
        <f ca="1">Первоначальный[[#This Row],[Просроченный платеж по ОД]]+Первоначальный[[#This Row],[Просроченный платеж по процентам]]</f>
        <v>8677.7006557377063</v>
      </c>
      <c r="S183" s="120">
        <f ca="1">IF(Первоначальный[[#This Row],[Просроченный платеж]]&lt;1,0,S182+1)</f>
        <v>79</v>
      </c>
      <c r="T183" s="100" cm="1">
        <f t="array" aca="1" ref="T183" ca="1">IF(Первоначальный[[#This Row],[Итого остаток на начало периода]]&lt;1,0,
IF(
AND(TYPE(VLOOKUP(1,$Z$12:Z183,1,0))=16,Первоначальный[[#This Row],[Досрочное погашение (да/"")]]=""),0,
_xlfn.IFS(AND(S182=0,Первоначальный[[#This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платеж]]&lt;&gt;0),MIN(LOOKUP(,-1/($Z$12:Z183=1),$C$12:C183)+LOOKUP(,-1/($Z$12:Z183=1),$H$12:H183),Первоначальный[[#This Row],[Полученный платеж]]+Y182),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платеж]]+Y182,SUM(Первоначальный[[#This Row],[Остаток процентов на начало периода]],Первоначальный[[#This Row],[Проценты за период]])),
AND(S182=0,Первоначальный[[#This Row],[Дата платежа из графика]]=""),0,
AND(S182=0,Первоначальный[[#This Row],[Дата платежа из графика]]=1,MAX((0&lt;&gt;S$12:S182)*ROW(S$12:S182),ROW($S$12))&gt;=MAX((1=Z$12:Z182)*ROW(Z$12:Z182),ROW($T$12)),TYPE(VLOOKUP("Да",(INDIRECT("AA"&amp;(MAX((1=Z$12:Z182)*ROW(Z$12:Z182),ROW($T$12))&amp;":AA"&amp;(ROW()-1)))),1,0))=16),MIN(LOOKUP(,-1/($Z$12:Z183=1),$C$12:C183)+LOOKUP(,-1/($Z$12:Z183=1),$H$12:H183),Первоначальный[[#This Row],[Полученный платеж]]+Y182),
AND(S182=0,TYPE(VLOOKUP("Да",(INDIRECT("AA"&amp;(MAX((1=Z$12:Z182)*ROW(Z$12:Z182),ROW($T$12))&amp;":AA"&amp;(ROW()-1)))),1,0))&lt;&gt;16),MIN(LOOKUP(,-1/($Z$12:Z183=1),$C$12:C183)+LOOKUP(,-1/($Z$12:Z183=1),$H$12:H183)-IF(AA182="Да",0,SUM(INDIRECT("T"&amp;(MAX(("Да"=AA$12:AA182)*ROW(AA$12:AA182)+1,ROW($T$12))&amp;":T"&amp;(ROW()-1))))),Первоначальный[[#This Row],[Полученный платеж]]+Y182),
AND(S182=0,MAX((0&lt;&gt;N$12:N182)*ROW(N$12:N182),ROW($S$12))&gt;=MAX((1=Z$12:Z182)*ROW(Z$12:Z182),ROW($T$12))),MIN(LOOKUP(,-1/($Z$12:Z183=1),$C$12:C183)+LOOKUP(,-1/($Z$12:Z183=1),$H$12:H183)-IF(N182&lt;&gt;0,0,SUM(INDIRECT("T"&amp;(MAX((0&lt;&gt;N$12:N182)*ROW(N$12:N182)+1,ROW($T$12))&amp;":T"&amp;(ROW()-1))))),Первоначальный[[#This Row],[Полученный платеж]]+Y182),
AND(S182=0,Первоначальный[[#This Row],[Дата платежа из графика]]=1),MIN(LOOKUP(,-1/($Z$12:Z183=1),$C$12:C183)+LOOKUP(,-1/($Z$12:Z183=1),$H$12:H183)-IF(Z182=1,0,SUM(INDIRECT("T"&amp;(MAX((1=Z$12:Z182)*ROW(Z$12:Z182)+1,ROW($T$12))&amp;":T"&amp;(ROW()-1))))),Первоначальный[[#This Row],[Полученный платеж]]+Y182),
AND(Z182&gt;0,Первоначальный[[#This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платеж]]+Y182),
AND(S182&gt;0,MAX((0&lt;&gt;S$12:S182)*ROW(S$12:S182),ROW($S$12))&gt;=MAX((1=Z$12:Z182)*ROW(Z$12:Z182),ROW($T$12)),TYPE(VLOOKUP("Да",(INDIRECT("AA"&amp;(MAX((1=Z$12:Z182)*ROW(Z$12:Z182),ROW($T$12))&amp;":AA"&amp;(ROW()-1)))),1,0))=16),MIN(LOOKUP(,-1/($Z$12:Z183=1),$C$12:C183)+LOOKUP(,-1/($Z$12:Z183=1),$H$12:H183)-SUM(INDIRECT("T"&amp;(MAX((1=Z$12:Z182)*ROW(Z$12:Z182),ROW($T$12))&amp;":T"&amp;(ROW()-1)))),Первоначальный[[#This Row],[Полученный платеж]]+Y182),
S182&gt;0,MIN(LOOKUP(,-1/($Z$12:Z183=1),$C$12:C183)+LOOKUP(,-1/($Z$12:Z183=1),$H$12:H183)-IF(Z182=1,0,SUM(INDIRECT("T"&amp;(MAX((1=Z$12:Z182)*ROW(Z$12:Z182)+1,ROW($T$12))&amp;":T"&amp;(ROW()-1))))),Первоначальный[[#This Row],[Полученный платеж]]+Y182)
)
)
)</f>
        <v>0</v>
      </c>
      <c r="U18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платеж]]+Y182-Первоначальный[[#This Row],[Полученный платёж по процентам]])</f>
        <v>0</v>
      </c>
      <c r="V183" s="55">
        <f t="shared" ca="1" si="25"/>
        <v>0</v>
      </c>
      <c r="W183" s="55" cm="1">
        <f t="array" aca="1" ref="W183" ca="1">IF(Первоначальный[[#This Row],[Итого остаток на начало периода]]&lt;1,0,
_xlfn.IFS(
AND(TYPE(VLOOKUP(1,$Z$12:Z183,1,0))=16,Первоначальный[[#This Row],[Досрочное погашение (да/"")]]=""),0,
AND(S182=0,Первоначальный[[#This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платеж]]+Y182-SUM(Первоначальный[[#This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комиссиям]]),VLOOKUP(LOOKUP(,-1/($Z$12:Z183=1),$A$12:A183),График[[Срок конец]:[Возврат основной суммы долга]],3,0)),
AND(S182=0,Первоначальный[[#This Row],[Дата платежа из графика]]="",Первоначальный[[#This Row],[Досрочное погашение (да/"")]]&lt;&gt;"Да"),0,
AND(S182=0,Первоначальный[[#This Row],[Досрочное погашение (да/"")]]=""),MIN(Первоначальный[[#This Row],[Полученный платеж]]+Y182-SUM(Первоначальный[[#This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комиссиям]]),VLOOKUP(LOOKUP(,-1/($Z$12:Z183=1),$A$12:A183),График[[Срок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платеж]]+Y182-SUM(Первоначальный[[#This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S182&gt;0,MIN(Первоначальный[[#This Row],[Полученный платеж]]+Y182-SUM(Первоначальный[[#This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комиссиям]]),SUM(INDIRECT("M"&amp;(MAX((1=S$12:S182)*ROW(S$12:S182),ROW($W$12))&amp;":M"&amp;(ROW()))))-SUM(INDIRECT("W"&amp;(MAX((1=S$12:S182)*ROW(S$12:S182),ROW($W$12))&amp;":W"&amp;(ROW()-1)))))
)
)</f>
        <v>0</v>
      </c>
      <c r="X183" s="55">
        <f t="shared" ca="1" si="26"/>
        <v>0</v>
      </c>
      <c r="Y183" s="101">
        <f t="shared" ca="1" si="33"/>
        <v>0</v>
      </c>
      <c r="Z183" s="133" t="str">
        <f>IF(TYPE((VLOOKUP(Первоначальный[[#This Row],[Дата платежа]],График[Срок конец],1,0)))=16,"",1)</f>
        <v/>
      </c>
      <c r="AA183" s="57"/>
      <c r="AB183" s="134"/>
      <c r="AC18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8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8842.81</v>
      </c>
      <c r="AE18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36.589999999999982</v>
      </c>
      <c r="AF18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8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2167.4967590163947</v>
      </c>
      <c r="AH183" s="55"/>
      <c r="AI183" s="55"/>
      <c r="AJ183" s="55"/>
      <c r="AK183" s="101">
        <f t="shared" ca="1" si="34"/>
        <v>160680.23675901638</v>
      </c>
      <c r="AL183" s="129">
        <f t="array" ref="AL183">MAX((УслРестрактов[Характеристика]="Дата реструктуризации")*(УслРестрактов[Значение]=Первоначальный!$A183),0)</f>
        <v>0</v>
      </c>
    </row>
    <row r="184" spans="1:38" x14ac:dyDescent="0.25">
      <c r="A184" s="97">
        <f t="shared" si="27"/>
        <v>44315</v>
      </c>
      <c r="B184" s="100">
        <f t="shared" ca="1" si="28"/>
        <v>149633.34</v>
      </c>
      <c r="C184" s="55">
        <f t="shared" ca="1" si="36"/>
        <v>8842.81</v>
      </c>
      <c r="D184" s="55">
        <f t="shared" ca="1" si="36"/>
        <v>36.589999999999982</v>
      </c>
      <c r="E184" s="55">
        <f t="shared" ca="1" si="29"/>
        <v>0</v>
      </c>
      <c r="F184" s="55">
        <f t="shared" ca="1" si="30"/>
        <v>2167.4967590163947</v>
      </c>
      <c r="G184" s="101">
        <f t="shared" ca="1" si="31"/>
        <v>160680.23675901638</v>
      </c>
      <c r="H184" s="100">
        <f ca="1">ROUND($B184*VLOOKUP($A184,$A$1:$B$10,2,1)/(365+IF(MOD(YEAR($A184),4),0,1)*($A184-$A183)),2)-Первоначальный[[#This Row],[Проценты на просроченный платеж по ОД за период]]</f>
        <v>80.83</v>
      </c>
      <c r="I184" s="55">
        <f t="shared" ca="1" si="32"/>
        <v>0.75</v>
      </c>
      <c r="J184" s="55">
        <v>0</v>
      </c>
      <c r="K184" s="55">
        <f t="shared" ca="1" si="35"/>
        <v>43.388503278688532</v>
      </c>
      <c r="L184" s="55">
        <v>0</v>
      </c>
      <c r="M184" s="113">
        <f>SUMIFS(График[Возврат основной суммы долга],График[Дата с учетом нерабочих дней],$A184)</f>
        <v>0</v>
      </c>
      <c r="N184" s="56">
        <f>SUMIFS(График[Возврат начисленных %],График[Дата с учетом нерабочих дней],$A184)</f>
        <v>0</v>
      </c>
      <c r="O184" s="101">
        <v>0</v>
      </c>
      <c r="P184" s="100" cm="1">
        <f t="array" aca="1" ref="P184" ca="1">MAX(IF(AA183="Да",0,SUM(INDIRECT("M"&amp;(MAX(("Да"=AA$12:AA183)*ROW(AA$12:AA183)+1,ROW($P$12))&amp;":M"&amp;(ROW()))))-SUM(INDIRECT("W"&amp;(MAX(("Да"=AA$12:AA183)*ROW(AA$12:AA183)+1,ROW($P$12))&amp;":W"&amp;(ROW()))))),0)</f>
        <v>1371.0499999999993</v>
      </c>
      <c r="Q184" s="99">
        <f ca="1">MAX(SUM($N$13:N184)-SUM($T$13:T184),0)</f>
        <v>7306.650655737707</v>
      </c>
      <c r="R184" s="99">
        <f ca="1">Первоначальный[[#This Row],[Просроченный платеж по ОД]]+Первоначальный[[#This Row],[Просроченный платеж по процентам]]</f>
        <v>8677.7006557377063</v>
      </c>
      <c r="S184" s="120">
        <f ca="1">IF(Первоначальный[[#This Row],[Просроченный платеж]]&lt;1,0,S183+1)</f>
        <v>80</v>
      </c>
      <c r="T184" s="100" cm="1">
        <f t="array" aca="1" ref="T184" ca="1">IF(Первоначальный[[#This Row],[Итого остаток на начало периода]]&lt;1,0,
IF(
AND(TYPE(VLOOKUP(1,$Z$12:Z184,1,0))=16,Первоначальный[[#This Row],[Досрочное погашение (да/"")]]=""),0,
_xlfn.IFS(AND(S183=0,Первоначальный[[#This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платеж]]&lt;&gt;0),MIN(LOOKUP(,-1/($Z$12:Z184=1),$C$12:C184)+LOOKUP(,-1/($Z$12:Z184=1),$H$12:H184),Первоначальный[[#This Row],[Полученный платеж]]+Y183),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платеж]]+Y183,SUM(Первоначальный[[#This Row],[Остаток процентов на начало периода]],Первоначальный[[#This Row],[Проценты за период]])),
AND(S183=0,Первоначальный[[#This Row],[Дата платежа из графика]]=""),0,
AND(S183=0,Первоначальный[[#This Row],[Дата платежа из графика]]=1,MAX((0&lt;&gt;S$12:S183)*ROW(S$12:S183),ROW($S$12))&gt;=MAX((1=Z$12:Z183)*ROW(Z$12:Z183),ROW($T$12)),TYPE(VLOOKUP("Да",(INDIRECT("AA"&amp;(MAX((1=Z$12:Z183)*ROW(Z$12:Z183),ROW($T$12))&amp;":AA"&amp;(ROW()-1)))),1,0))=16),MIN(LOOKUP(,-1/($Z$12:Z184=1),$C$12:C184)+LOOKUP(,-1/($Z$12:Z184=1),$H$12:H184),Первоначальный[[#This Row],[Полученный платеж]]+Y183),
AND(S183=0,TYPE(VLOOKUP("Да",(INDIRECT("AA"&amp;(MAX((1=Z$12:Z183)*ROW(Z$12:Z183),ROW($T$12))&amp;":AA"&amp;(ROW()-1)))),1,0))&lt;&gt;16),MIN(LOOKUP(,-1/($Z$12:Z184=1),$C$12:C184)+LOOKUP(,-1/($Z$12:Z184=1),$H$12:H184)-IF(AA183="Да",0,SUM(INDIRECT("T"&amp;(MAX(("Да"=AA$12:AA183)*ROW(AA$12:AA183)+1,ROW($T$12))&amp;":T"&amp;(ROW()-1))))),Первоначальный[[#This Row],[Полученный платеж]]+Y183),
AND(S183=0,MAX((0&lt;&gt;N$12:N183)*ROW(N$12:N183),ROW($S$12))&gt;=MAX((1=Z$12:Z183)*ROW(Z$12:Z183),ROW($T$12))),MIN(LOOKUP(,-1/($Z$12:Z184=1),$C$12:C184)+LOOKUP(,-1/($Z$12:Z184=1),$H$12:H184)-IF(N183&lt;&gt;0,0,SUM(INDIRECT("T"&amp;(MAX((0&lt;&gt;N$12:N183)*ROW(N$12:N183)+1,ROW($T$12))&amp;":T"&amp;(ROW()-1))))),Первоначальный[[#This Row],[Полученный платеж]]+Y183),
AND(S183=0,Первоначальный[[#This Row],[Дата платежа из графика]]=1),MIN(LOOKUP(,-1/($Z$12:Z184=1),$C$12:C184)+LOOKUP(,-1/($Z$12:Z184=1),$H$12:H184)-IF(Z183=1,0,SUM(INDIRECT("T"&amp;(MAX((1=Z$12:Z183)*ROW(Z$12:Z183)+1,ROW($T$12))&amp;":T"&amp;(ROW()-1))))),Первоначальный[[#This Row],[Полученный платеж]]+Y183),
AND(Z183&gt;0,Первоначальный[[#This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платеж]]+Y183),
AND(S183&gt;0,MAX((0&lt;&gt;S$12:S183)*ROW(S$12:S183),ROW($S$12))&gt;=MAX((1=Z$12:Z183)*ROW(Z$12:Z183),ROW($T$12)),TYPE(VLOOKUP("Да",(INDIRECT("AA"&amp;(MAX((1=Z$12:Z183)*ROW(Z$12:Z183),ROW($T$12))&amp;":AA"&amp;(ROW()-1)))),1,0))=16),MIN(LOOKUP(,-1/($Z$12:Z184=1),$C$12:C184)+LOOKUP(,-1/($Z$12:Z184=1),$H$12:H184)-SUM(INDIRECT("T"&amp;(MAX((1=Z$12:Z183)*ROW(Z$12:Z183),ROW($T$12))&amp;":T"&amp;(ROW()-1)))),Первоначальный[[#This Row],[Полученный платеж]]+Y183),
S183&gt;0,MIN(LOOKUP(,-1/($Z$12:Z184=1),$C$12:C184)+LOOKUP(,-1/($Z$12:Z184=1),$H$12:H184)-IF(Z183=1,0,SUM(INDIRECT("T"&amp;(MAX((1=Z$12:Z183)*ROW(Z$12:Z183)+1,ROW($T$12))&amp;":T"&amp;(ROW()-1))))),Первоначальный[[#This Row],[Полученный платеж]]+Y183)
)
)
)</f>
        <v>0</v>
      </c>
      <c r="U18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платеж]]+Y183-Первоначальный[[#This Row],[Полученный платёж по процентам]])</f>
        <v>0</v>
      </c>
      <c r="V184" s="55">
        <f t="shared" ca="1" si="25"/>
        <v>0</v>
      </c>
      <c r="W184" s="55" cm="1">
        <f t="array" aca="1" ref="W184" ca="1">IF(Первоначальный[[#This Row],[Итого остаток на начало периода]]&lt;1,0,
_xlfn.IFS(
AND(TYPE(VLOOKUP(1,$Z$12:Z184,1,0))=16,Первоначальный[[#This Row],[Досрочное погашение (да/"")]]=""),0,
AND(S183=0,Первоначальный[[#This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платеж]]+Y183-SUM(Первоначальный[[#This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комиссиям]]),VLOOKUP(LOOKUP(,-1/($Z$12:Z184=1),$A$12:A184),График[[Срок конец]:[Возврат основной суммы долга]],3,0)),
AND(S183=0,Первоначальный[[#This Row],[Дата платежа из графика]]="",Первоначальный[[#This Row],[Досрочное погашение (да/"")]]&lt;&gt;"Да"),0,
AND(S183=0,Первоначальный[[#This Row],[Досрочное погашение (да/"")]]=""),MIN(Первоначальный[[#This Row],[Полученный платеж]]+Y183-SUM(Первоначальный[[#This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комиссиям]]),VLOOKUP(LOOKUP(,-1/($Z$12:Z184=1),$A$12:A184),График[[Срок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платеж]]+Y183-SUM(Первоначальный[[#This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S183&gt;0,MIN(Первоначальный[[#This Row],[Полученный платеж]]+Y183-SUM(Первоначальный[[#This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комиссиям]]),SUM(INDIRECT("M"&amp;(MAX((1=S$12:S183)*ROW(S$12:S183),ROW($W$12))&amp;":M"&amp;(ROW()))))-SUM(INDIRECT("W"&amp;(MAX((1=S$12:S183)*ROW(S$12:S183),ROW($W$12))&amp;":W"&amp;(ROW()-1)))))
)
)</f>
        <v>0</v>
      </c>
      <c r="X184" s="55">
        <f t="shared" ca="1" si="26"/>
        <v>0</v>
      </c>
      <c r="Y184" s="101">
        <f t="shared" ca="1" si="33"/>
        <v>0</v>
      </c>
      <c r="Z184" s="133" t="str">
        <f>IF(TYPE((VLOOKUP(Первоначальный[[#This Row],[Дата платежа]],График[Срок конец],1,0)))=16,"",1)</f>
        <v/>
      </c>
      <c r="AA184" s="57"/>
      <c r="AB184" s="134"/>
      <c r="AC18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8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8923.64</v>
      </c>
      <c r="AE18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37.339999999999982</v>
      </c>
      <c r="AF18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8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2210.8852622950831</v>
      </c>
      <c r="AH184" s="55"/>
      <c r="AI184" s="55"/>
      <c r="AJ184" s="55"/>
      <c r="AK184" s="101">
        <f t="shared" ca="1" si="34"/>
        <v>160805.20526229506</v>
      </c>
      <c r="AL184" s="129">
        <f t="array" ref="AL184">MAX((УслРестрактов[Характеристика]="Дата реструктуризации")*(УслРестрактов[Значение]=Первоначальный!$A184),0)</f>
        <v>0</v>
      </c>
    </row>
    <row r="185" spans="1:38" x14ac:dyDescent="0.25">
      <c r="A185" s="97">
        <f t="shared" si="27"/>
        <v>44316</v>
      </c>
      <c r="B185" s="100">
        <f t="shared" ca="1" si="28"/>
        <v>149633.34</v>
      </c>
      <c r="C185" s="55">
        <f t="shared" ca="1" si="36"/>
        <v>8923.64</v>
      </c>
      <c r="D185" s="55">
        <f t="shared" ca="1" si="36"/>
        <v>37.339999999999982</v>
      </c>
      <c r="E185" s="55">
        <f t="shared" ca="1" si="29"/>
        <v>0</v>
      </c>
      <c r="F185" s="55">
        <f t="shared" ca="1" si="30"/>
        <v>2210.8852622950831</v>
      </c>
      <c r="G185" s="101">
        <f t="shared" ca="1" si="31"/>
        <v>160805.20526229506</v>
      </c>
      <c r="H185" s="100">
        <f ca="1">ROUND($B185*VLOOKUP($A185,$A$1:$B$10,2,1)/(365+IF(MOD(YEAR($A185),4),0,1)*($A185-$A184)),2)-Первоначальный[[#This Row],[Проценты на просроченный платеж по ОД за период]]</f>
        <v>80.83</v>
      </c>
      <c r="I185" s="55">
        <f t="shared" ca="1" si="32"/>
        <v>0.75</v>
      </c>
      <c r="J185" s="55">
        <v>0</v>
      </c>
      <c r="K185" s="55">
        <f t="shared" ca="1" si="35"/>
        <v>43.388503278688532</v>
      </c>
      <c r="L185" s="55">
        <v>0</v>
      </c>
      <c r="M185" s="113">
        <f>SUMIFS(График[Возврат основной суммы долга],График[Дата с учетом нерабочих дней],$A185)</f>
        <v>0</v>
      </c>
      <c r="N185" s="56">
        <f>SUMIFS(График[Возврат начисленных %],График[Дата с учетом нерабочих дней],$A185)</f>
        <v>0</v>
      </c>
      <c r="O185" s="101">
        <v>0</v>
      </c>
      <c r="P185" s="100" cm="1">
        <f t="array" aca="1" ref="P185" ca="1">MAX(IF(AA184="Да",0,SUM(INDIRECT("M"&amp;(MAX(("Да"=AA$12:AA184)*ROW(AA$12:AA184)+1,ROW($P$12))&amp;":M"&amp;(ROW()))))-SUM(INDIRECT("W"&amp;(MAX(("Да"=AA$12:AA184)*ROW(AA$12:AA184)+1,ROW($P$12))&amp;":W"&amp;(ROW()))))),0)</f>
        <v>1371.0499999999993</v>
      </c>
      <c r="Q185" s="99">
        <f ca="1">MAX(SUM($N$13:N185)-SUM($T$13:T185),0)</f>
        <v>7306.650655737707</v>
      </c>
      <c r="R185" s="99">
        <f ca="1">Первоначальный[[#This Row],[Просроченный платеж по ОД]]+Первоначальный[[#This Row],[Просроченный платеж по процентам]]</f>
        <v>8677.7006557377063</v>
      </c>
      <c r="S185" s="120">
        <f ca="1">IF(Первоначальный[[#This Row],[Просроченный платеж]]&lt;1,0,S184+1)</f>
        <v>81</v>
      </c>
      <c r="T185" s="100" cm="1">
        <f t="array" aca="1" ref="T185" ca="1">IF(Первоначальный[[#This Row],[Итого остаток на начало периода]]&lt;1,0,
IF(
AND(TYPE(VLOOKUP(1,$Z$12:Z185,1,0))=16,Первоначальный[[#This Row],[Досрочное погашение (да/"")]]=""),0,
_xlfn.IFS(AND(S184=0,Первоначальный[[#This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платеж]]&lt;&gt;0),MIN(LOOKUP(,-1/($Z$12:Z185=1),$C$12:C185)+LOOKUP(,-1/($Z$12:Z185=1),$H$12:H185),Первоначальный[[#This Row],[Полученный платеж]]+Y184),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платеж]]+Y184,SUM(Первоначальный[[#This Row],[Остаток процентов на начало периода]],Первоначальный[[#This Row],[Проценты за период]])),
AND(S184=0,Первоначальный[[#This Row],[Дата платежа из графика]]=""),0,
AND(S184=0,Первоначальный[[#This Row],[Дата платежа из графика]]=1,MAX((0&lt;&gt;S$12:S184)*ROW(S$12:S184),ROW($S$12))&gt;=MAX((1=Z$12:Z184)*ROW(Z$12:Z184),ROW($T$12)),TYPE(VLOOKUP("Да",(INDIRECT("AA"&amp;(MAX((1=Z$12:Z184)*ROW(Z$12:Z184),ROW($T$12))&amp;":AA"&amp;(ROW()-1)))),1,0))=16),MIN(LOOKUP(,-1/($Z$12:Z185=1),$C$12:C185)+LOOKUP(,-1/($Z$12:Z185=1),$H$12:H185),Первоначальный[[#This Row],[Полученный платеж]]+Y184),
AND(S184=0,TYPE(VLOOKUP("Да",(INDIRECT("AA"&amp;(MAX((1=Z$12:Z184)*ROW(Z$12:Z184),ROW($T$12))&amp;":AA"&amp;(ROW()-1)))),1,0))&lt;&gt;16),MIN(LOOKUP(,-1/($Z$12:Z185=1),$C$12:C185)+LOOKUP(,-1/($Z$12:Z185=1),$H$12:H185)-IF(AA184="Да",0,SUM(INDIRECT("T"&amp;(MAX(("Да"=AA$12:AA184)*ROW(AA$12:AA184)+1,ROW($T$12))&amp;":T"&amp;(ROW()-1))))),Первоначальный[[#This Row],[Полученный платеж]]+Y184),
AND(S184=0,MAX((0&lt;&gt;N$12:N184)*ROW(N$12:N184),ROW($S$12))&gt;=MAX((1=Z$12:Z184)*ROW(Z$12:Z184),ROW($T$12))),MIN(LOOKUP(,-1/($Z$12:Z185=1),$C$12:C185)+LOOKUP(,-1/($Z$12:Z185=1),$H$12:H185)-IF(N184&lt;&gt;0,0,SUM(INDIRECT("T"&amp;(MAX((0&lt;&gt;N$12:N184)*ROW(N$12:N184)+1,ROW($T$12))&amp;":T"&amp;(ROW()-1))))),Первоначальный[[#This Row],[Полученный платеж]]+Y184),
AND(S184=0,Первоначальный[[#This Row],[Дата платежа из графика]]=1),MIN(LOOKUP(,-1/($Z$12:Z185=1),$C$12:C185)+LOOKUP(,-1/($Z$12:Z185=1),$H$12:H185)-IF(Z184=1,0,SUM(INDIRECT("T"&amp;(MAX((1=Z$12:Z184)*ROW(Z$12:Z184)+1,ROW($T$12))&amp;":T"&amp;(ROW()-1))))),Первоначальный[[#This Row],[Полученный платеж]]+Y184),
AND(Z184&gt;0,Первоначальный[[#This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платеж]]+Y184),
AND(S184&gt;0,MAX((0&lt;&gt;S$12:S184)*ROW(S$12:S184),ROW($S$12))&gt;=MAX((1=Z$12:Z184)*ROW(Z$12:Z184),ROW($T$12)),TYPE(VLOOKUP("Да",(INDIRECT("AA"&amp;(MAX((1=Z$12:Z184)*ROW(Z$12:Z184),ROW($T$12))&amp;":AA"&amp;(ROW()-1)))),1,0))=16),MIN(LOOKUP(,-1/($Z$12:Z185=1),$C$12:C185)+LOOKUP(,-1/($Z$12:Z185=1),$H$12:H185)-SUM(INDIRECT("T"&amp;(MAX((1=Z$12:Z184)*ROW(Z$12:Z184),ROW($T$12))&amp;":T"&amp;(ROW()-1)))),Первоначальный[[#This Row],[Полученный платеж]]+Y184),
S184&gt;0,MIN(LOOKUP(,-1/($Z$12:Z185=1),$C$12:C185)+LOOKUP(,-1/($Z$12:Z185=1),$H$12:H185)-IF(Z184=1,0,SUM(INDIRECT("T"&amp;(MAX((1=Z$12:Z184)*ROW(Z$12:Z184)+1,ROW($T$12))&amp;":T"&amp;(ROW()-1))))),Первоначальный[[#This Row],[Полученный платеж]]+Y184)
)
)
)</f>
        <v>0</v>
      </c>
      <c r="U18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платеж]]+Y184-Первоначальный[[#This Row],[Полученный платёж по процентам]])</f>
        <v>0</v>
      </c>
      <c r="V185" s="55">
        <f t="shared" ca="1" si="25"/>
        <v>0</v>
      </c>
      <c r="W185" s="55" cm="1">
        <f t="array" aca="1" ref="W185" ca="1">IF(Первоначальный[[#This Row],[Итого остаток на начало периода]]&lt;1,0,
_xlfn.IFS(
AND(TYPE(VLOOKUP(1,$Z$12:Z185,1,0))=16,Первоначальный[[#This Row],[Досрочное погашение (да/"")]]=""),0,
AND(S184=0,Первоначальный[[#This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платеж]]+Y184-SUM(Первоначальный[[#This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комиссиям]]),VLOOKUP(LOOKUP(,-1/($Z$12:Z185=1),$A$12:A185),График[[Срок конец]:[Возврат основной суммы долга]],3,0)),
AND(S184=0,Первоначальный[[#This Row],[Дата платежа из графика]]="",Первоначальный[[#This Row],[Досрочное погашение (да/"")]]&lt;&gt;"Да"),0,
AND(S184=0,Первоначальный[[#This Row],[Досрочное погашение (да/"")]]=""),MIN(Первоначальный[[#This Row],[Полученный платеж]]+Y184-SUM(Первоначальный[[#This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комиссиям]]),VLOOKUP(LOOKUP(,-1/($Z$12:Z185=1),$A$12:A185),График[[Срок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платеж]]+Y184-SUM(Первоначальный[[#This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S184&gt;0,MIN(Первоначальный[[#This Row],[Полученный платеж]]+Y184-SUM(Первоначальный[[#This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комиссиям]]),SUM(INDIRECT("M"&amp;(MAX((1=S$12:S184)*ROW(S$12:S184),ROW($W$12))&amp;":M"&amp;(ROW()))))-SUM(INDIRECT("W"&amp;(MAX((1=S$12:S184)*ROW(S$12:S184),ROW($W$12))&amp;":W"&amp;(ROW()-1)))))
)
)</f>
        <v>0</v>
      </c>
      <c r="X185" s="55">
        <f t="shared" ca="1" si="26"/>
        <v>0</v>
      </c>
      <c r="Y185" s="101">
        <f t="shared" ca="1" si="33"/>
        <v>0</v>
      </c>
      <c r="Z185" s="133" t="str">
        <f>IF(TYPE((VLOOKUP(Первоначальный[[#This Row],[Дата платежа]],График[Срок конец],1,0)))=16,"",1)</f>
        <v/>
      </c>
      <c r="AA185" s="57"/>
      <c r="AB185" s="134"/>
      <c r="AC18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8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9004.4699999999993</v>
      </c>
      <c r="AE18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38.089999999999982</v>
      </c>
      <c r="AF18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8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2254.2737655737715</v>
      </c>
      <c r="AH185" s="55"/>
      <c r="AI185" s="55"/>
      <c r="AJ185" s="55"/>
      <c r="AK185" s="101">
        <f t="shared" ca="1" si="34"/>
        <v>160930.17376557377</v>
      </c>
      <c r="AL185" s="129">
        <f t="array" ref="AL185">MAX((УслРестрактов[Характеристика]="Дата реструктуризации")*(УслРестрактов[Значение]=Первоначальный!$A185),0)</f>
        <v>0</v>
      </c>
    </row>
    <row r="186" spans="1:38" x14ac:dyDescent="0.25">
      <c r="A186" s="97">
        <f t="shared" si="27"/>
        <v>44317</v>
      </c>
      <c r="B186" s="100">
        <f t="shared" ca="1" si="28"/>
        <v>149633.34</v>
      </c>
      <c r="C186" s="55">
        <f t="shared" ca="1" si="36"/>
        <v>9004.4699999999993</v>
      </c>
      <c r="D186" s="55">
        <f t="shared" ca="1" si="36"/>
        <v>38.089999999999982</v>
      </c>
      <c r="E186" s="55">
        <f t="shared" ca="1" si="29"/>
        <v>0</v>
      </c>
      <c r="F186" s="55">
        <f t="shared" ca="1" si="30"/>
        <v>2254.2737655737715</v>
      </c>
      <c r="G186" s="101">
        <f t="shared" ca="1" si="31"/>
        <v>160930.17376557377</v>
      </c>
      <c r="H186" s="100">
        <f ca="1">ROUND($B186*VLOOKUP($A186,$A$1:$B$10,2,1)/(365+IF(MOD(YEAR($A186),4),0,1)*($A186-$A185)),2)-Первоначальный[[#This Row],[Проценты на просроченный платеж по ОД за период]]</f>
        <v>80.83</v>
      </c>
      <c r="I186" s="55">
        <f t="shared" ca="1" si="32"/>
        <v>0.75</v>
      </c>
      <c r="J186" s="55">
        <v>0</v>
      </c>
      <c r="K186" s="55">
        <f t="shared" ca="1" si="35"/>
        <v>43.388503278688532</v>
      </c>
      <c r="L186" s="55">
        <v>0</v>
      </c>
      <c r="M186" s="113">
        <f>SUMIFS(График[Возврат основной суммы долга],График[Дата с учетом нерабочих дней],$A186)</f>
        <v>0</v>
      </c>
      <c r="N186" s="56">
        <f>SUMIFS(График[Возврат начисленных %],График[Дата с учетом нерабочих дней],$A186)</f>
        <v>0</v>
      </c>
      <c r="O186" s="101">
        <v>0</v>
      </c>
      <c r="P186" s="100" cm="1">
        <f t="array" aca="1" ref="P186" ca="1">MAX(IF(AA185="Да",0,SUM(INDIRECT("M"&amp;(MAX(("Да"=AA$12:AA185)*ROW(AA$12:AA185)+1,ROW($P$12))&amp;":M"&amp;(ROW()))))-SUM(INDIRECT("W"&amp;(MAX(("Да"=AA$12:AA185)*ROW(AA$12:AA185)+1,ROW($P$12))&amp;":W"&amp;(ROW()))))),0)</f>
        <v>1371.0499999999993</v>
      </c>
      <c r="Q186" s="99">
        <f ca="1">MAX(SUM($N$13:N186)-SUM($T$13:T186),0)</f>
        <v>7306.650655737707</v>
      </c>
      <c r="R186" s="99">
        <f ca="1">Первоначальный[[#This Row],[Просроченный платеж по ОД]]+Первоначальный[[#This Row],[Просроченный платеж по процентам]]</f>
        <v>8677.7006557377063</v>
      </c>
      <c r="S186" s="120">
        <f ca="1">IF(Первоначальный[[#This Row],[Просроченный платеж]]&lt;1,0,S185+1)</f>
        <v>82</v>
      </c>
      <c r="T186" s="100" cm="1">
        <f t="array" aca="1" ref="T186" ca="1">IF(Первоначальный[[#This Row],[Итого остаток на начало периода]]&lt;1,0,
IF(
AND(TYPE(VLOOKUP(1,$Z$12:Z186,1,0))=16,Первоначальный[[#This Row],[Досрочное погашение (да/"")]]=""),0,
_xlfn.IFS(AND(S185=0,Первоначальный[[#This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платеж]]&lt;&gt;0),MIN(LOOKUP(,-1/($Z$12:Z186=1),$C$12:C186)+LOOKUP(,-1/($Z$12:Z186=1),$H$12:H186),Первоначальный[[#This Row],[Полученный платеж]]+Y185),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платеж]]+Y185,SUM(Первоначальный[[#This Row],[Остаток процентов на начало периода]],Первоначальный[[#This Row],[Проценты за период]])),
AND(S185=0,Первоначальный[[#This Row],[Дата платежа из графика]]=""),0,
AND(S185=0,Первоначальный[[#This Row],[Дата платежа из графика]]=1,MAX((0&lt;&gt;S$12:S185)*ROW(S$12:S185),ROW($S$12))&gt;=MAX((1=Z$12:Z185)*ROW(Z$12:Z185),ROW($T$12)),TYPE(VLOOKUP("Да",(INDIRECT("AA"&amp;(MAX((1=Z$12:Z185)*ROW(Z$12:Z185),ROW($T$12))&amp;":AA"&amp;(ROW()-1)))),1,0))=16),MIN(LOOKUP(,-1/($Z$12:Z186=1),$C$12:C186)+LOOKUP(,-1/($Z$12:Z186=1),$H$12:H186),Первоначальный[[#This Row],[Полученный платеж]]+Y185),
AND(S185=0,TYPE(VLOOKUP("Да",(INDIRECT("AA"&amp;(MAX((1=Z$12:Z185)*ROW(Z$12:Z185),ROW($T$12))&amp;":AA"&amp;(ROW()-1)))),1,0))&lt;&gt;16),MIN(LOOKUP(,-1/($Z$12:Z186=1),$C$12:C186)+LOOKUP(,-1/($Z$12:Z186=1),$H$12:H186)-IF(AA185="Да",0,SUM(INDIRECT("T"&amp;(MAX(("Да"=AA$12:AA185)*ROW(AA$12:AA185)+1,ROW($T$12))&amp;":T"&amp;(ROW()-1))))),Первоначальный[[#This Row],[Полученный платеж]]+Y185),
AND(S185=0,MAX((0&lt;&gt;N$12:N185)*ROW(N$12:N185),ROW($S$12))&gt;=MAX((1=Z$12:Z185)*ROW(Z$12:Z185),ROW($T$12))),MIN(LOOKUP(,-1/($Z$12:Z186=1),$C$12:C186)+LOOKUP(,-1/($Z$12:Z186=1),$H$12:H186)-IF(N185&lt;&gt;0,0,SUM(INDIRECT("T"&amp;(MAX((0&lt;&gt;N$12:N185)*ROW(N$12:N185)+1,ROW($T$12))&amp;":T"&amp;(ROW()-1))))),Первоначальный[[#This Row],[Полученный платеж]]+Y185),
AND(S185=0,Первоначальный[[#This Row],[Дата платежа из графика]]=1),MIN(LOOKUP(,-1/($Z$12:Z186=1),$C$12:C186)+LOOKUP(,-1/($Z$12:Z186=1),$H$12:H186)-IF(Z185=1,0,SUM(INDIRECT("T"&amp;(MAX((1=Z$12:Z185)*ROW(Z$12:Z185)+1,ROW($T$12))&amp;":T"&amp;(ROW()-1))))),Первоначальный[[#This Row],[Полученный платеж]]+Y185),
AND(Z185&gt;0,Первоначальный[[#This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платеж]]+Y185),
AND(S185&gt;0,MAX((0&lt;&gt;S$12:S185)*ROW(S$12:S185),ROW($S$12))&gt;=MAX((1=Z$12:Z185)*ROW(Z$12:Z185),ROW($T$12)),TYPE(VLOOKUP("Да",(INDIRECT("AA"&amp;(MAX((1=Z$12:Z185)*ROW(Z$12:Z185),ROW($T$12))&amp;":AA"&amp;(ROW()-1)))),1,0))=16),MIN(LOOKUP(,-1/($Z$12:Z186=1),$C$12:C186)+LOOKUP(,-1/($Z$12:Z186=1),$H$12:H186)-SUM(INDIRECT("T"&amp;(MAX((1=Z$12:Z185)*ROW(Z$12:Z185),ROW($T$12))&amp;":T"&amp;(ROW()-1)))),Первоначальный[[#This Row],[Полученный платеж]]+Y185),
S185&gt;0,MIN(LOOKUP(,-1/($Z$12:Z186=1),$C$12:C186)+LOOKUP(,-1/($Z$12:Z186=1),$H$12:H186)-IF(Z185=1,0,SUM(INDIRECT("T"&amp;(MAX((1=Z$12:Z185)*ROW(Z$12:Z185)+1,ROW($T$12))&amp;":T"&amp;(ROW()-1))))),Первоначальный[[#This Row],[Полученный платеж]]+Y185)
)
)
)</f>
        <v>0</v>
      </c>
      <c r="U18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платеж]]+Y185-Первоначальный[[#This Row],[Полученный платёж по процентам]])</f>
        <v>0</v>
      </c>
      <c r="V186" s="55">
        <f t="shared" ca="1" si="25"/>
        <v>0</v>
      </c>
      <c r="W186" s="55" cm="1">
        <f t="array" aca="1" ref="W186" ca="1">IF(Первоначальный[[#This Row],[Итого остаток на начало периода]]&lt;1,0,
_xlfn.IFS(
AND(TYPE(VLOOKUP(1,$Z$12:Z186,1,0))=16,Первоначальный[[#This Row],[Досрочное погашение (да/"")]]=""),0,
AND(S185=0,Первоначальный[[#This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платеж]]+Y185-SUM(Первоначальный[[#This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комиссиям]]),VLOOKUP(LOOKUP(,-1/($Z$12:Z186=1),$A$12:A186),График[[Срок конец]:[Возврат основной суммы долга]],3,0)),
AND(S185=0,Первоначальный[[#This Row],[Дата платежа из графика]]="",Первоначальный[[#This Row],[Досрочное погашение (да/"")]]&lt;&gt;"Да"),0,
AND(S185=0,Первоначальный[[#This Row],[Досрочное погашение (да/"")]]=""),MIN(Первоначальный[[#This Row],[Полученный платеж]]+Y185-SUM(Первоначальный[[#This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комиссиям]]),VLOOKUP(LOOKUP(,-1/($Z$12:Z186=1),$A$12:A186),График[[Срок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платеж]]+Y185-SUM(Первоначальный[[#This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S185&gt;0,MIN(Первоначальный[[#This Row],[Полученный платеж]]+Y185-SUM(Первоначальный[[#This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комиссиям]]),SUM(INDIRECT("M"&amp;(MAX((1=S$12:S185)*ROW(S$12:S185),ROW($W$12))&amp;":M"&amp;(ROW()))))-SUM(INDIRECT("W"&amp;(MAX((1=S$12:S185)*ROW(S$12:S185),ROW($W$12))&amp;":W"&amp;(ROW()-1)))))
)
)</f>
        <v>0</v>
      </c>
      <c r="X186" s="55">
        <f t="shared" ca="1" si="26"/>
        <v>0</v>
      </c>
      <c r="Y186" s="101">
        <f t="shared" ca="1" si="33"/>
        <v>0</v>
      </c>
      <c r="Z186" s="133" t="str">
        <f>IF(TYPE((VLOOKUP(Первоначальный[[#This Row],[Дата платежа]],График[Срок конец],1,0)))=16,"",1)</f>
        <v/>
      </c>
      <c r="AA186" s="57"/>
      <c r="AB186" s="134"/>
      <c r="AC18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8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9085.2999999999993</v>
      </c>
      <c r="AE18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38.839999999999982</v>
      </c>
      <c r="AF18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8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2297.6622688524599</v>
      </c>
      <c r="AH186" s="55"/>
      <c r="AI186" s="55"/>
      <c r="AJ186" s="55"/>
      <c r="AK186" s="101">
        <f t="shared" ca="1" si="34"/>
        <v>161055.14226885245</v>
      </c>
      <c r="AL186" s="129">
        <f t="array" ref="AL186">MAX((УслРестрактов[Характеристика]="Дата реструктуризации")*(УслРестрактов[Значение]=Первоначальный!$A186),0)</f>
        <v>0</v>
      </c>
    </row>
    <row r="187" spans="1:38" x14ac:dyDescent="0.25">
      <c r="A187" s="97">
        <f t="shared" si="27"/>
        <v>44318</v>
      </c>
      <c r="B187" s="100">
        <f t="shared" ca="1" si="28"/>
        <v>149633.34</v>
      </c>
      <c r="C187" s="55">
        <f t="shared" ca="1" si="36"/>
        <v>9085.2999999999993</v>
      </c>
      <c r="D187" s="55">
        <f t="shared" ca="1" si="36"/>
        <v>38.839999999999982</v>
      </c>
      <c r="E187" s="55">
        <f t="shared" ca="1" si="29"/>
        <v>0</v>
      </c>
      <c r="F187" s="55">
        <f t="shared" ca="1" si="30"/>
        <v>2297.6622688524599</v>
      </c>
      <c r="G187" s="101">
        <f t="shared" ca="1" si="31"/>
        <v>161055.14226885245</v>
      </c>
      <c r="H187" s="100">
        <f ca="1">ROUND($B187*VLOOKUP($A187,$A$1:$B$10,2,1)/(365+IF(MOD(YEAR($A187),4),0,1)*($A187-$A186)),2)-Первоначальный[[#This Row],[Проценты на просроченный платеж по ОД за период]]</f>
        <v>80.83</v>
      </c>
      <c r="I187" s="55">
        <f t="shared" ca="1" si="32"/>
        <v>0.75</v>
      </c>
      <c r="J187" s="55">
        <v>0</v>
      </c>
      <c r="K187" s="55">
        <f t="shared" ca="1" si="35"/>
        <v>43.388503278688532</v>
      </c>
      <c r="L187" s="55">
        <v>0</v>
      </c>
      <c r="M187" s="113">
        <f>SUMIFS(График[Возврат основной суммы долга],График[Дата с учетом нерабочих дней],$A187)</f>
        <v>0</v>
      </c>
      <c r="N187" s="56">
        <f>SUMIFS(График[Возврат начисленных %],График[Дата с учетом нерабочих дней],$A187)</f>
        <v>0</v>
      </c>
      <c r="O187" s="101">
        <v>0</v>
      </c>
      <c r="P187" s="100" cm="1">
        <f t="array" aca="1" ref="P187" ca="1">MAX(IF(AA186="Да",0,SUM(INDIRECT("M"&amp;(MAX(("Да"=AA$12:AA186)*ROW(AA$12:AA186)+1,ROW($P$12))&amp;":M"&amp;(ROW()))))-SUM(INDIRECT("W"&amp;(MAX(("Да"=AA$12:AA186)*ROW(AA$12:AA186)+1,ROW($P$12))&amp;":W"&amp;(ROW()))))),0)</f>
        <v>1371.0499999999993</v>
      </c>
      <c r="Q187" s="99">
        <f ca="1">MAX(SUM($N$13:N187)-SUM($T$13:T187),0)</f>
        <v>7306.650655737707</v>
      </c>
      <c r="R187" s="99">
        <f ca="1">Первоначальный[[#This Row],[Просроченный платеж по ОД]]+Первоначальный[[#This Row],[Просроченный платеж по процентам]]</f>
        <v>8677.7006557377063</v>
      </c>
      <c r="S187" s="120">
        <f ca="1">IF(Первоначальный[[#This Row],[Просроченный платеж]]&lt;1,0,S186+1)</f>
        <v>83</v>
      </c>
      <c r="T187" s="100" cm="1">
        <f t="array" aca="1" ref="T187" ca="1">IF(Первоначальный[[#This Row],[Итого остаток на начало периода]]&lt;1,0,
IF(
AND(TYPE(VLOOKUP(1,$Z$12:Z187,1,0))=16,Первоначальный[[#This Row],[Досрочное погашение (да/"")]]=""),0,
_xlfn.IFS(AND(S186=0,Первоначальный[[#This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платеж]]&lt;&gt;0),MIN(LOOKUP(,-1/($Z$12:Z187=1),$C$12:C187)+LOOKUP(,-1/($Z$12:Z187=1),$H$12:H187),Первоначальный[[#This Row],[Полученный платеж]]+Y186),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платеж]]+Y186,SUM(Первоначальный[[#This Row],[Остаток процентов на начало периода]],Первоначальный[[#This Row],[Проценты за период]])),
AND(S186=0,Первоначальный[[#This Row],[Дата платежа из графика]]=""),0,
AND(S186=0,Первоначальный[[#This Row],[Дата платежа из графика]]=1,MAX((0&lt;&gt;S$12:S186)*ROW(S$12:S186),ROW($S$12))&gt;=MAX((1=Z$12:Z186)*ROW(Z$12:Z186),ROW($T$12)),TYPE(VLOOKUP("Да",(INDIRECT("AA"&amp;(MAX((1=Z$12:Z186)*ROW(Z$12:Z186),ROW($T$12))&amp;":AA"&amp;(ROW()-1)))),1,0))=16),MIN(LOOKUP(,-1/($Z$12:Z187=1),$C$12:C187)+LOOKUP(,-1/($Z$12:Z187=1),$H$12:H187),Первоначальный[[#This Row],[Полученный платеж]]+Y186),
AND(S186=0,TYPE(VLOOKUP("Да",(INDIRECT("AA"&amp;(MAX((1=Z$12:Z186)*ROW(Z$12:Z186),ROW($T$12))&amp;":AA"&amp;(ROW()-1)))),1,0))&lt;&gt;16),MIN(LOOKUP(,-1/($Z$12:Z187=1),$C$12:C187)+LOOKUP(,-1/($Z$12:Z187=1),$H$12:H187)-IF(AA186="Да",0,SUM(INDIRECT("T"&amp;(MAX(("Да"=AA$12:AA186)*ROW(AA$12:AA186)+1,ROW($T$12))&amp;":T"&amp;(ROW()-1))))),Первоначальный[[#This Row],[Полученный платеж]]+Y186),
AND(S186=0,MAX((0&lt;&gt;N$12:N186)*ROW(N$12:N186),ROW($S$12))&gt;=MAX((1=Z$12:Z186)*ROW(Z$12:Z186),ROW($T$12))),MIN(LOOKUP(,-1/($Z$12:Z187=1),$C$12:C187)+LOOKUP(,-1/($Z$12:Z187=1),$H$12:H187)-IF(N186&lt;&gt;0,0,SUM(INDIRECT("T"&amp;(MAX((0&lt;&gt;N$12:N186)*ROW(N$12:N186)+1,ROW($T$12))&amp;":T"&amp;(ROW()-1))))),Первоначальный[[#This Row],[Полученный платеж]]+Y186),
AND(S186=0,Первоначальный[[#This Row],[Дата платежа из графика]]=1),MIN(LOOKUP(,-1/($Z$12:Z187=1),$C$12:C187)+LOOKUP(,-1/($Z$12:Z187=1),$H$12:H187)-IF(Z186=1,0,SUM(INDIRECT("T"&amp;(MAX((1=Z$12:Z186)*ROW(Z$12:Z186)+1,ROW($T$12))&amp;":T"&amp;(ROW()-1))))),Первоначальный[[#This Row],[Полученный платеж]]+Y186),
AND(Z186&gt;0,Первоначальный[[#This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платеж]]+Y186),
AND(S186&gt;0,MAX((0&lt;&gt;S$12:S186)*ROW(S$12:S186),ROW($S$12))&gt;=MAX((1=Z$12:Z186)*ROW(Z$12:Z186),ROW($T$12)),TYPE(VLOOKUP("Да",(INDIRECT("AA"&amp;(MAX((1=Z$12:Z186)*ROW(Z$12:Z186),ROW($T$12))&amp;":AA"&amp;(ROW()-1)))),1,0))=16),MIN(LOOKUP(,-1/($Z$12:Z187=1),$C$12:C187)+LOOKUP(,-1/($Z$12:Z187=1),$H$12:H187)-SUM(INDIRECT("T"&amp;(MAX((1=Z$12:Z186)*ROW(Z$12:Z186),ROW($T$12))&amp;":T"&amp;(ROW()-1)))),Первоначальный[[#This Row],[Полученный платеж]]+Y186),
S186&gt;0,MIN(LOOKUP(,-1/($Z$12:Z187=1),$C$12:C187)+LOOKUP(,-1/($Z$12:Z187=1),$H$12:H187)-IF(Z186=1,0,SUM(INDIRECT("T"&amp;(MAX((1=Z$12:Z186)*ROW(Z$12:Z186)+1,ROW($T$12))&amp;":T"&amp;(ROW()-1))))),Первоначальный[[#This Row],[Полученный платеж]]+Y186)
)
)
)</f>
        <v>0</v>
      </c>
      <c r="U18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платеж]]+Y186-Первоначальный[[#This Row],[Полученный платёж по процентам]])</f>
        <v>0</v>
      </c>
      <c r="V187" s="55">
        <f t="shared" ca="1" si="25"/>
        <v>0</v>
      </c>
      <c r="W187" s="55" cm="1">
        <f t="array" aca="1" ref="W187" ca="1">IF(Первоначальный[[#This Row],[Итого остаток на начало периода]]&lt;1,0,
_xlfn.IFS(
AND(TYPE(VLOOKUP(1,$Z$12:Z187,1,0))=16,Первоначальный[[#This Row],[Досрочное погашение (да/"")]]=""),0,
AND(S186=0,Первоначальный[[#This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платеж]]+Y186-SUM(Первоначальный[[#This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комиссиям]]),VLOOKUP(LOOKUP(,-1/($Z$12:Z187=1),$A$12:A187),График[[Срок конец]:[Возврат основной суммы долга]],3,0)),
AND(S186=0,Первоначальный[[#This Row],[Дата платежа из графика]]="",Первоначальный[[#This Row],[Досрочное погашение (да/"")]]&lt;&gt;"Да"),0,
AND(S186=0,Первоначальный[[#This Row],[Досрочное погашение (да/"")]]=""),MIN(Первоначальный[[#This Row],[Полученный платеж]]+Y186-SUM(Первоначальный[[#This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комиссиям]]),VLOOKUP(LOOKUP(,-1/($Z$12:Z187=1),$A$12:A187),График[[Срок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платеж]]+Y186-SUM(Первоначальный[[#This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S186&gt;0,MIN(Первоначальный[[#This Row],[Полученный платеж]]+Y186-SUM(Первоначальный[[#This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комиссиям]]),SUM(INDIRECT("M"&amp;(MAX((1=S$12:S186)*ROW(S$12:S186),ROW($W$12))&amp;":M"&amp;(ROW()))))-SUM(INDIRECT("W"&amp;(MAX((1=S$12:S186)*ROW(S$12:S186),ROW($W$12))&amp;":W"&amp;(ROW()-1)))))
)
)</f>
        <v>0</v>
      </c>
      <c r="X187" s="55">
        <f t="shared" ca="1" si="26"/>
        <v>0</v>
      </c>
      <c r="Y187" s="101">
        <f t="shared" ca="1" si="33"/>
        <v>0</v>
      </c>
      <c r="Z187" s="133" t="str">
        <f>IF(TYPE((VLOOKUP(Первоначальный[[#This Row],[Дата платежа]],График[Срок конец],1,0)))=16,"",1)</f>
        <v/>
      </c>
      <c r="AA187" s="57"/>
      <c r="AB187" s="134"/>
      <c r="AC18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8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9166.1299999999992</v>
      </c>
      <c r="AE18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39.589999999999982</v>
      </c>
      <c r="AF18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8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2341.0507721311483</v>
      </c>
      <c r="AH187" s="55"/>
      <c r="AI187" s="55"/>
      <c r="AJ187" s="55"/>
      <c r="AK187" s="101">
        <f t="shared" ca="1" si="34"/>
        <v>161180.11077213116</v>
      </c>
      <c r="AL187" s="129">
        <f t="array" ref="AL187">MAX((УслРестрактов[Характеристика]="Дата реструктуризации")*(УслРестрактов[Значение]=Первоначальный!$A187),0)</f>
        <v>0</v>
      </c>
    </row>
    <row r="188" spans="1:38" x14ac:dyDescent="0.25">
      <c r="A188" s="97">
        <f t="shared" si="27"/>
        <v>44319</v>
      </c>
      <c r="B188" s="100">
        <f t="shared" ca="1" si="28"/>
        <v>149633.34</v>
      </c>
      <c r="C188" s="55">
        <f t="shared" ca="1" si="36"/>
        <v>9166.1299999999992</v>
      </c>
      <c r="D188" s="55">
        <f t="shared" ca="1" si="36"/>
        <v>39.589999999999982</v>
      </c>
      <c r="E188" s="55">
        <f t="shared" ca="1" si="29"/>
        <v>0</v>
      </c>
      <c r="F188" s="55">
        <f t="shared" ca="1" si="30"/>
        <v>2341.0507721311483</v>
      </c>
      <c r="G188" s="101">
        <f t="shared" ca="1" si="31"/>
        <v>161180.11077213116</v>
      </c>
      <c r="H188" s="100">
        <f ca="1">ROUND($B188*VLOOKUP($A188,$A$1:$B$10,2,1)/(365+IF(MOD(YEAR($A188),4),0,1)*($A188-$A187)),2)-Первоначальный[[#This Row],[Проценты на просроченный платеж по ОД за период]]</f>
        <v>80.83</v>
      </c>
      <c r="I188" s="55">
        <f t="shared" ca="1" si="32"/>
        <v>0.75</v>
      </c>
      <c r="J188" s="55">
        <v>0</v>
      </c>
      <c r="K188" s="55">
        <f t="shared" ca="1" si="35"/>
        <v>43.388503278688532</v>
      </c>
      <c r="L188" s="55">
        <v>0</v>
      </c>
      <c r="M188" s="113">
        <f>SUMIFS(График[Возврат основной суммы долга],График[Дата с учетом нерабочих дней],$A188)</f>
        <v>0</v>
      </c>
      <c r="N188" s="56">
        <f>SUMIFS(График[Возврат начисленных %],График[Дата с учетом нерабочих дней],$A188)</f>
        <v>0</v>
      </c>
      <c r="O188" s="101">
        <v>0</v>
      </c>
      <c r="P188" s="100" cm="1">
        <f t="array" aca="1" ref="P188" ca="1">MAX(IF(AA187="Да",0,SUM(INDIRECT("M"&amp;(MAX(("Да"=AA$12:AA187)*ROW(AA$12:AA187)+1,ROW($P$12))&amp;":M"&amp;(ROW()))))-SUM(INDIRECT("W"&amp;(MAX(("Да"=AA$12:AA187)*ROW(AA$12:AA187)+1,ROW($P$12))&amp;":W"&amp;(ROW()))))),0)</f>
        <v>1371.0499999999993</v>
      </c>
      <c r="Q188" s="99">
        <f ca="1">MAX(SUM($N$13:N188)-SUM($T$13:T188),0)</f>
        <v>7306.650655737707</v>
      </c>
      <c r="R188" s="99">
        <f ca="1">Первоначальный[[#This Row],[Просроченный платеж по ОД]]+Первоначальный[[#This Row],[Просроченный платеж по процентам]]</f>
        <v>8677.7006557377063</v>
      </c>
      <c r="S188" s="120">
        <f ca="1">IF(Первоначальный[[#This Row],[Просроченный платеж]]&lt;1,0,S187+1)</f>
        <v>84</v>
      </c>
      <c r="T188" s="100" cm="1">
        <f t="array" aca="1" ref="T188" ca="1">IF(Первоначальный[[#This Row],[Итого остаток на начало периода]]&lt;1,0,
IF(
AND(TYPE(VLOOKUP(1,$Z$12:Z188,1,0))=16,Первоначальный[[#This Row],[Досрочное погашение (да/"")]]=""),0,
_xlfn.IFS(AND(S187=0,Первоначальный[[#This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платеж]]&lt;&gt;0),MIN(LOOKUP(,-1/($Z$12:Z188=1),$C$12:C188)+LOOKUP(,-1/($Z$12:Z188=1),$H$12:H188),Первоначальный[[#This Row],[Полученный платеж]]+Y187),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платеж]]+Y187,SUM(Первоначальный[[#This Row],[Остаток процентов на начало периода]],Первоначальный[[#This Row],[Проценты за период]])),
AND(S187=0,Первоначальный[[#This Row],[Дата платежа из графика]]=""),0,
AND(S187=0,Первоначальный[[#This Row],[Дата платежа из графика]]=1,MAX((0&lt;&gt;S$12:S187)*ROW(S$12:S187),ROW($S$12))&gt;=MAX((1=Z$12:Z187)*ROW(Z$12:Z187),ROW($T$12)),TYPE(VLOOKUP("Да",(INDIRECT("AA"&amp;(MAX((1=Z$12:Z187)*ROW(Z$12:Z187),ROW($T$12))&amp;":AA"&amp;(ROW()-1)))),1,0))=16),MIN(LOOKUP(,-1/($Z$12:Z188=1),$C$12:C188)+LOOKUP(,-1/($Z$12:Z188=1),$H$12:H188),Первоначальный[[#This Row],[Полученный платеж]]+Y187),
AND(S187=0,TYPE(VLOOKUP("Да",(INDIRECT("AA"&amp;(MAX((1=Z$12:Z187)*ROW(Z$12:Z187),ROW($T$12))&amp;":AA"&amp;(ROW()-1)))),1,0))&lt;&gt;16),MIN(LOOKUP(,-1/($Z$12:Z188=1),$C$12:C188)+LOOKUP(,-1/($Z$12:Z188=1),$H$12:H188)-IF(AA187="Да",0,SUM(INDIRECT("T"&amp;(MAX(("Да"=AA$12:AA187)*ROW(AA$12:AA187)+1,ROW($T$12))&amp;":T"&amp;(ROW()-1))))),Первоначальный[[#This Row],[Полученный платеж]]+Y187),
AND(S187=0,MAX((0&lt;&gt;N$12:N187)*ROW(N$12:N187),ROW($S$12))&gt;=MAX((1=Z$12:Z187)*ROW(Z$12:Z187),ROW($T$12))),MIN(LOOKUP(,-1/($Z$12:Z188=1),$C$12:C188)+LOOKUP(,-1/($Z$12:Z188=1),$H$12:H188)-IF(N187&lt;&gt;0,0,SUM(INDIRECT("T"&amp;(MAX((0&lt;&gt;N$12:N187)*ROW(N$12:N187)+1,ROW($T$12))&amp;":T"&amp;(ROW()-1))))),Первоначальный[[#This Row],[Полученный платеж]]+Y187),
AND(S187=0,Первоначальный[[#This Row],[Дата платежа из графика]]=1),MIN(LOOKUP(,-1/($Z$12:Z188=1),$C$12:C188)+LOOKUP(,-1/($Z$12:Z188=1),$H$12:H188)-IF(Z187=1,0,SUM(INDIRECT("T"&amp;(MAX((1=Z$12:Z187)*ROW(Z$12:Z187)+1,ROW($T$12))&amp;":T"&amp;(ROW()-1))))),Первоначальный[[#This Row],[Полученный платеж]]+Y187),
AND(Z187&gt;0,Первоначальный[[#This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платеж]]+Y187),
AND(S187&gt;0,MAX((0&lt;&gt;S$12:S187)*ROW(S$12:S187),ROW($S$12))&gt;=MAX((1=Z$12:Z187)*ROW(Z$12:Z187),ROW($T$12)),TYPE(VLOOKUP("Да",(INDIRECT("AA"&amp;(MAX((1=Z$12:Z187)*ROW(Z$12:Z187),ROW($T$12))&amp;":AA"&amp;(ROW()-1)))),1,0))=16),MIN(LOOKUP(,-1/($Z$12:Z188=1),$C$12:C188)+LOOKUP(,-1/($Z$12:Z188=1),$H$12:H188)-SUM(INDIRECT("T"&amp;(MAX((1=Z$12:Z187)*ROW(Z$12:Z187),ROW($T$12))&amp;":T"&amp;(ROW()-1)))),Первоначальный[[#This Row],[Полученный платеж]]+Y187),
S187&gt;0,MIN(LOOKUP(,-1/($Z$12:Z188=1),$C$12:C188)+LOOKUP(,-1/($Z$12:Z188=1),$H$12:H188)-IF(Z187=1,0,SUM(INDIRECT("T"&amp;(MAX((1=Z$12:Z187)*ROW(Z$12:Z187)+1,ROW($T$12))&amp;":T"&amp;(ROW()-1))))),Первоначальный[[#This Row],[Полученный платеж]]+Y187)
)
)
)</f>
        <v>0</v>
      </c>
      <c r="U18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платеж]]+Y187-Первоначальный[[#This Row],[Полученный платёж по процентам]])</f>
        <v>0</v>
      </c>
      <c r="V188" s="55">
        <f t="shared" ca="1" si="25"/>
        <v>0</v>
      </c>
      <c r="W188" s="55" cm="1">
        <f t="array" aca="1" ref="W188" ca="1">IF(Первоначальный[[#This Row],[Итого остаток на начало периода]]&lt;1,0,
_xlfn.IFS(
AND(TYPE(VLOOKUP(1,$Z$12:Z188,1,0))=16,Первоначальный[[#This Row],[Досрочное погашение (да/"")]]=""),0,
AND(S187=0,Первоначальный[[#This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платеж]]+Y187-SUM(Первоначальный[[#This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комиссиям]]),VLOOKUP(LOOKUP(,-1/($Z$12:Z188=1),$A$12:A188),График[[Срок конец]:[Возврат основной суммы долга]],3,0)),
AND(S187=0,Первоначальный[[#This Row],[Дата платежа из графика]]="",Первоначальный[[#This Row],[Досрочное погашение (да/"")]]&lt;&gt;"Да"),0,
AND(S187=0,Первоначальный[[#This Row],[Досрочное погашение (да/"")]]=""),MIN(Первоначальный[[#This Row],[Полученный платеж]]+Y187-SUM(Первоначальный[[#This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комиссиям]]),VLOOKUP(LOOKUP(,-1/($Z$12:Z188=1),$A$12:A188),График[[Срок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платеж]]+Y187-SUM(Первоначальный[[#This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S187&gt;0,MIN(Первоначальный[[#This Row],[Полученный платеж]]+Y187-SUM(Первоначальный[[#This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комиссиям]]),SUM(INDIRECT("M"&amp;(MAX((1=S$12:S187)*ROW(S$12:S187),ROW($W$12))&amp;":M"&amp;(ROW()))))-SUM(INDIRECT("W"&amp;(MAX((1=S$12:S187)*ROW(S$12:S187),ROW($W$12))&amp;":W"&amp;(ROW()-1)))))
)
)</f>
        <v>0</v>
      </c>
      <c r="X188" s="55">
        <f t="shared" ca="1" si="26"/>
        <v>0</v>
      </c>
      <c r="Y188" s="101">
        <f t="shared" ca="1" si="33"/>
        <v>0</v>
      </c>
      <c r="Z188" s="133" t="str">
        <f>IF(TYPE((VLOOKUP(Первоначальный[[#This Row],[Дата платежа]],График[Срок конец],1,0)))=16,"",1)</f>
        <v/>
      </c>
      <c r="AA188" s="57"/>
      <c r="AB188" s="134"/>
      <c r="AC18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8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9246.9599999999991</v>
      </c>
      <c r="AE18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40.339999999999982</v>
      </c>
      <c r="AF18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8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2384.4392754098367</v>
      </c>
      <c r="AH188" s="55"/>
      <c r="AI188" s="55"/>
      <c r="AJ188" s="55"/>
      <c r="AK188" s="101">
        <f t="shared" ca="1" si="34"/>
        <v>161305.07927540981</v>
      </c>
      <c r="AL188" s="129">
        <f t="array" ref="AL188">MAX((УслРестрактов[Характеристика]="Дата реструктуризации")*(УслРестрактов[Значение]=Первоначальный!$A188),0)</f>
        <v>0</v>
      </c>
    </row>
    <row r="189" spans="1:38" x14ac:dyDescent="0.25">
      <c r="A189" s="97">
        <f t="shared" si="27"/>
        <v>44320</v>
      </c>
      <c r="B189" s="100">
        <f t="shared" ca="1" si="28"/>
        <v>149633.34</v>
      </c>
      <c r="C189" s="55">
        <f t="shared" ca="1" si="36"/>
        <v>9246.9599999999991</v>
      </c>
      <c r="D189" s="55">
        <f t="shared" ca="1" si="36"/>
        <v>40.339999999999982</v>
      </c>
      <c r="E189" s="55">
        <f t="shared" ca="1" si="29"/>
        <v>0</v>
      </c>
      <c r="F189" s="55">
        <f t="shared" ca="1" si="30"/>
        <v>2384.4392754098367</v>
      </c>
      <c r="G189" s="101">
        <f t="shared" ca="1" si="31"/>
        <v>161305.07927540981</v>
      </c>
      <c r="H189" s="100">
        <f ca="1">ROUND($B189*VLOOKUP($A189,$A$1:$B$10,2,1)/(365+IF(MOD(YEAR($A189),4),0,1)*($A189-$A188)),2)-Первоначальный[[#This Row],[Проценты на просроченный платеж по ОД за период]]</f>
        <v>80.83</v>
      </c>
      <c r="I189" s="55">
        <f t="shared" ca="1" si="32"/>
        <v>0.75</v>
      </c>
      <c r="J189" s="55">
        <v>0</v>
      </c>
      <c r="K189" s="55">
        <f t="shared" ca="1" si="35"/>
        <v>43.388503278688532</v>
      </c>
      <c r="L189" s="55">
        <v>0</v>
      </c>
      <c r="M189" s="113">
        <f>SUMIFS(График[Возврат основной суммы долга],График[Дата с учетом нерабочих дней],$A189)</f>
        <v>0</v>
      </c>
      <c r="N189" s="56">
        <f>SUMIFS(График[Возврат начисленных %],График[Дата с учетом нерабочих дней],$A189)</f>
        <v>0</v>
      </c>
      <c r="O189" s="101">
        <v>0</v>
      </c>
      <c r="P189" s="100" cm="1">
        <f t="array" aca="1" ref="P189" ca="1">MAX(IF(AA188="Да",0,SUM(INDIRECT("M"&amp;(MAX(("Да"=AA$12:AA188)*ROW(AA$12:AA188)+1,ROW($P$12))&amp;":M"&amp;(ROW()))))-SUM(INDIRECT("W"&amp;(MAX(("Да"=AA$12:AA188)*ROW(AA$12:AA188)+1,ROW($P$12))&amp;":W"&amp;(ROW()))))),0)</f>
        <v>1371.0499999999993</v>
      </c>
      <c r="Q189" s="99">
        <f ca="1">MAX(SUM($N$13:N189)-SUM($T$13:T189),0)</f>
        <v>7306.650655737707</v>
      </c>
      <c r="R189" s="99">
        <f ca="1">Первоначальный[[#This Row],[Просроченный платеж по ОД]]+Первоначальный[[#This Row],[Просроченный платеж по процентам]]</f>
        <v>8677.7006557377063</v>
      </c>
      <c r="S189" s="120">
        <f ca="1">IF(Первоначальный[[#This Row],[Просроченный платеж]]&lt;1,0,S188+1)</f>
        <v>85</v>
      </c>
      <c r="T189" s="100" cm="1">
        <f t="array" aca="1" ref="T189" ca="1">IF(Первоначальный[[#This Row],[Итого остаток на начало периода]]&lt;1,0,
IF(
AND(TYPE(VLOOKUP(1,$Z$12:Z189,1,0))=16,Первоначальный[[#This Row],[Досрочное погашение (да/"")]]=""),0,
_xlfn.IFS(AND(S188=0,Первоначальный[[#This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платеж]]&lt;&gt;0),MIN(LOOKUP(,-1/($Z$12:Z189=1),$C$12:C189)+LOOKUP(,-1/($Z$12:Z189=1),$H$12:H189),Первоначальный[[#This Row],[Полученный платеж]]+Y188),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платеж]]+Y188,SUM(Первоначальный[[#This Row],[Остаток процентов на начало периода]],Первоначальный[[#This Row],[Проценты за период]])),
AND(S188=0,Первоначальный[[#This Row],[Дата платежа из графика]]=""),0,
AND(S188=0,Первоначальный[[#This Row],[Дата платежа из графика]]=1,MAX((0&lt;&gt;S$12:S188)*ROW(S$12:S188),ROW($S$12))&gt;=MAX((1=Z$12:Z188)*ROW(Z$12:Z188),ROW($T$12)),TYPE(VLOOKUP("Да",(INDIRECT("AA"&amp;(MAX((1=Z$12:Z188)*ROW(Z$12:Z188),ROW($T$12))&amp;":AA"&amp;(ROW()-1)))),1,0))=16),MIN(LOOKUP(,-1/($Z$12:Z189=1),$C$12:C189)+LOOKUP(,-1/($Z$12:Z189=1),$H$12:H189),Первоначальный[[#This Row],[Полученный платеж]]+Y188),
AND(S188=0,TYPE(VLOOKUP("Да",(INDIRECT("AA"&amp;(MAX((1=Z$12:Z188)*ROW(Z$12:Z188),ROW($T$12))&amp;":AA"&amp;(ROW()-1)))),1,0))&lt;&gt;16),MIN(LOOKUP(,-1/($Z$12:Z189=1),$C$12:C189)+LOOKUP(,-1/($Z$12:Z189=1),$H$12:H189)-IF(AA188="Да",0,SUM(INDIRECT("T"&amp;(MAX(("Да"=AA$12:AA188)*ROW(AA$12:AA188)+1,ROW($T$12))&amp;":T"&amp;(ROW()-1))))),Первоначальный[[#This Row],[Полученный платеж]]+Y188),
AND(S188=0,MAX((0&lt;&gt;N$12:N188)*ROW(N$12:N188),ROW($S$12))&gt;=MAX((1=Z$12:Z188)*ROW(Z$12:Z188),ROW($T$12))),MIN(LOOKUP(,-1/($Z$12:Z189=1),$C$12:C189)+LOOKUP(,-1/($Z$12:Z189=1),$H$12:H189)-IF(N188&lt;&gt;0,0,SUM(INDIRECT("T"&amp;(MAX((0&lt;&gt;N$12:N188)*ROW(N$12:N188)+1,ROW($T$12))&amp;":T"&amp;(ROW()-1))))),Первоначальный[[#This Row],[Полученный платеж]]+Y188),
AND(S188=0,Первоначальный[[#This Row],[Дата платежа из графика]]=1),MIN(LOOKUP(,-1/($Z$12:Z189=1),$C$12:C189)+LOOKUP(,-1/($Z$12:Z189=1),$H$12:H189)-IF(Z188=1,0,SUM(INDIRECT("T"&amp;(MAX((1=Z$12:Z188)*ROW(Z$12:Z188)+1,ROW($T$12))&amp;":T"&amp;(ROW()-1))))),Первоначальный[[#This Row],[Полученный платеж]]+Y188),
AND(Z188&gt;0,Первоначальный[[#This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платеж]]+Y188),
AND(S188&gt;0,MAX((0&lt;&gt;S$12:S188)*ROW(S$12:S188),ROW($S$12))&gt;=MAX((1=Z$12:Z188)*ROW(Z$12:Z188),ROW($T$12)),TYPE(VLOOKUP("Да",(INDIRECT("AA"&amp;(MAX((1=Z$12:Z188)*ROW(Z$12:Z188),ROW($T$12))&amp;":AA"&amp;(ROW()-1)))),1,0))=16),MIN(LOOKUP(,-1/($Z$12:Z189=1),$C$12:C189)+LOOKUP(,-1/($Z$12:Z189=1),$H$12:H189)-SUM(INDIRECT("T"&amp;(MAX((1=Z$12:Z188)*ROW(Z$12:Z188),ROW($T$12))&amp;":T"&amp;(ROW()-1)))),Первоначальный[[#This Row],[Полученный платеж]]+Y188),
S188&gt;0,MIN(LOOKUP(,-1/($Z$12:Z189=1),$C$12:C189)+LOOKUP(,-1/($Z$12:Z189=1),$H$12:H189)-IF(Z188=1,0,SUM(INDIRECT("T"&amp;(MAX((1=Z$12:Z188)*ROW(Z$12:Z188)+1,ROW($T$12))&amp;":T"&amp;(ROW()-1))))),Первоначальный[[#This Row],[Полученный платеж]]+Y188)
)
)
)</f>
        <v>0</v>
      </c>
      <c r="U18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платеж]]+Y188-Первоначальный[[#This Row],[Полученный платёж по процентам]])</f>
        <v>0</v>
      </c>
      <c r="V189" s="55">
        <f t="shared" ca="1" si="25"/>
        <v>0</v>
      </c>
      <c r="W189" s="55" cm="1">
        <f t="array" aca="1" ref="W189" ca="1">IF(Первоначальный[[#This Row],[Итого остаток на начало периода]]&lt;1,0,
_xlfn.IFS(
AND(TYPE(VLOOKUP(1,$Z$12:Z189,1,0))=16,Первоначальный[[#This Row],[Досрочное погашение (да/"")]]=""),0,
AND(S188=0,Первоначальный[[#This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платеж]]+Y188-SUM(Первоначальный[[#This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комиссиям]]),VLOOKUP(LOOKUP(,-1/($Z$12:Z189=1),$A$12:A189),График[[Срок конец]:[Возврат основной суммы долга]],3,0)),
AND(S188=0,Первоначальный[[#This Row],[Дата платежа из графика]]="",Первоначальный[[#This Row],[Досрочное погашение (да/"")]]&lt;&gt;"Да"),0,
AND(S188=0,Первоначальный[[#This Row],[Досрочное погашение (да/"")]]=""),MIN(Первоначальный[[#This Row],[Полученный платеж]]+Y188-SUM(Первоначальный[[#This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комиссиям]]),VLOOKUP(LOOKUP(,-1/($Z$12:Z189=1),$A$12:A189),График[[Срок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платеж]]+Y188-SUM(Первоначальный[[#This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S188&gt;0,MIN(Первоначальный[[#This Row],[Полученный платеж]]+Y188-SUM(Первоначальный[[#This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комиссиям]]),SUM(INDIRECT("M"&amp;(MAX((1=S$12:S188)*ROW(S$12:S188),ROW($W$12))&amp;":M"&amp;(ROW()))))-SUM(INDIRECT("W"&amp;(MAX((1=S$12:S188)*ROW(S$12:S188),ROW($W$12))&amp;":W"&amp;(ROW()-1)))))
)
)</f>
        <v>0</v>
      </c>
      <c r="X189" s="55">
        <f t="shared" ca="1" si="26"/>
        <v>0</v>
      </c>
      <c r="Y189" s="101">
        <f t="shared" ca="1" si="33"/>
        <v>0</v>
      </c>
      <c r="Z189" s="133" t="str">
        <f>IF(TYPE((VLOOKUP(Первоначальный[[#This Row],[Дата платежа]],График[Срок конец],1,0)))=16,"",1)</f>
        <v/>
      </c>
      <c r="AA189" s="57"/>
      <c r="AB189" s="134"/>
      <c r="AC18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8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9327.7899999999991</v>
      </c>
      <c r="AE18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41.089999999999982</v>
      </c>
      <c r="AF18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8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2427.8277786885251</v>
      </c>
      <c r="AH189" s="55"/>
      <c r="AI189" s="55"/>
      <c r="AJ189" s="55"/>
      <c r="AK189" s="101">
        <f t="shared" ca="1" si="34"/>
        <v>161430.04777868852</v>
      </c>
      <c r="AL189" s="129">
        <f t="array" ref="AL189">MAX((УслРестрактов[Характеристика]="Дата реструктуризации")*(УслРестрактов[Значение]=Первоначальный!$A189),0)</f>
        <v>0</v>
      </c>
    </row>
    <row r="190" spans="1:38" x14ac:dyDescent="0.25">
      <c r="A190" s="97">
        <f t="shared" si="27"/>
        <v>44321</v>
      </c>
      <c r="B190" s="100">
        <f t="shared" ca="1" si="28"/>
        <v>149633.34</v>
      </c>
      <c r="C190" s="55">
        <f t="shared" ca="1" si="36"/>
        <v>9327.7899999999991</v>
      </c>
      <c r="D190" s="55">
        <f t="shared" ca="1" si="36"/>
        <v>41.089999999999982</v>
      </c>
      <c r="E190" s="55">
        <f t="shared" ca="1" si="29"/>
        <v>0</v>
      </c>
      <c r="F190" s="55">
        <f t="shared" ca="1" si="30"/>
        <v>2427.8277786885251</v>
      </c>
      <c r="G190" s="101">
        <f t="shared" ca="1" si="31"/>
        <v>161430.04777868852</v>
      </c>
      <c r="H190" s="100">
        <f ca="1">ROUND($B190*VLOOKUP($A190,$A$1:$B$10,2,1)/(365+IF(MOD(YEAR($A190),4),0,1)*($A190-$A189)),2)-Первоначальный[[#This Row],[Проценты на просроченный платеж по ОД за период]]</f>
        <v>80.83</v>
      </c>
      <c r="I190" s="55">
        <f t="shared" ca="1" si="32"/>
        <v>0.75</v>
      </c>
      <c r="J190" s="55">
        <v>0</v>
      </c>
      <c r="K190" s="55">
        <f t="shared" ca="1" si="35"/>
        <v>43.388503278688532</v>
      </c>
      <c r="L190" s="55">
        <v>0</v>
      </c>
      <c r="M190" s="113">
        <f>SUMIFS(График[Возврат основной суммы долга],График[Дата с учетом нерабочих дней],$A190)</f>
        <v>0</v>
      </c>
      <c r="N190" s="56">
        <f>SUMIFS(График[Возврат начисленных %],График[Дата с учетом нерабочих дней],$A190)</f>
        <v>0</v>
      </c>
      <c r="O190" s="101">
        <v>0</v>
      </c>
      <c r="P190" s="100" cm="1">
        <f t="array" aca="1" ref="P190" ca="1">MAX(IF(AA189="Да",0,SUM(INDIRECT("M"&amp;(MAX(("Да"=AA$12:AA189)*ROW(AA$12:AA189)+1,ROW($P$12))&amp;":M"&amp;(ROW()))))-SUM(INDIRECT("W"&amp;(MAX(("Да"=AA$12:AA189)*ROW(AA$12:AA189)+1,ROW($P$12))&amp;":W"&amp;(ROW()))))),0)</f>
        <v>1371.0499999999993</v>
      </c>
      <c r="Q190" s="99">
        <f ca="1">MAX(SUM($N$13:N190)-SUM($T$13:T190),0)</f>
        <v>7306.650655737707</v>
      </c>
      <c r="R190" s="99">
        <f ca="1">Первоначальный[[#This Row],[Просроченный платеж по ОД]]+Первоначальный[[#This Row],[Просроченный платеж по процентам]]</f>
        <v>8677.7006557377063</v>
      </c>
      <c r="S190" s="120">
        <f ca="1">IF(Первоначальный[[#This Row],[Просроченный платеж]]&lt;1,0,S189+1)</f>
        <v>86</v>
      </c>
      <c r="T190" s="100" cm="1">
        <f t="array" aca="1" ref="T190" ca="1">IF(Первоначальный[[#This Row],[Итого остаток на начало периода]]&lt;1,0,
IF(
AND(TYPE(VLOOKUP(1,$Z$12:Z190,1,0))=16,Первоначальный[[#This Row],[Досрочное погашение (да/"")]]=""),0,
_xlfn.IFS(AND(S189=0,Первоначальный[[#This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платеж]]&lt;&gt;0),MIN(LOOKUP(,-1/($Z$12:Z190=1),$C$12:C190)+LOOKUP(,-1/($Z$12:Z190=1),$H$12:H190),Первоначальный[[#This Row],[Полученный платеж]]+Y189),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платеж]]+Y189,SUM(Первоначальный[[#This Row],[Остаток процентов на начало периода]],Первоначальный[[#This Row],[Проценты за период]])),
AND(S189=0,Первоначальный[[#This Row],[Дата платежа из графика]]=""),0,
AND(S189=0,Первоначальный[[#This Row],[Дата платежа из графика]]=1,MAX((0&lt;&gt;S$12:S189)*ROW(S$12:S189),ROW($S$12))&gt;=MAX((1=Z$12:Z189)*ROW(Z$12:Z189),ROW($T$12)),TYPE(VLOOKUP("Да",(INDIRECT("AA"&amp;(MAX((1=Z$12:Z189)*ROW(Z$12:Z189),ROW($T$12))&amp;":AA"&amp;(ROW()-1)))),1,0))=16),MIN(LOOKUP(,-1/($Z$12:Z190=1),$C$12:C190)+LOOKUP(,-1/($Z$12:Z190=1),$H$12:H190),Первоначальный[[#This Row],[Полученный платеж]]+Y189),
AND(S189=0,TYPE(VLOOKUP("Да",(INDIRECT("AA"&amp;(MAX((1=Z$12:Z189)*ROW(Z$12:Z189),ROW($T$12))&amp;":AA"&amp;(ROW()-1)))),1,0))&lt;&gt;16),MIN(LOOKUP(,-1/($Z$12:Z190=1),$C$12:C190)+LOOKUP(,-1/($Z$12:Z190=1),$H$12:H190)-IF(AA189="Да",0,SUM(INDIRECT("T"&amp;(MAX(("Да"=AA$12:AA189)*ROW(AA$12:AA189)+1,ROW($T$12))&amp;":T"&amp;(ROW()-1))))),Первоначальный[[#This Row],[Полученный платеж]]+Y189),
AND(S189=0,MAX((0&lt;&gt;N$12:N189)*ROW(N$12:N189),ROW($S$12))&gt;=MAX((1=Z$12:Z189)*ROW(Z$12:Z189),ROW($T$12))),MIN(LOOKUP(,-1/($Z$12:Z190=1),$C$12:C190)+LOOKUP(,-1/($Z$12:Z190=1),$H$12:H190)-IF(N189&lt;&gt;0,0,SUM(INDIRECT("T"&amp;(MAX((0&lt;&gt;N$12:N189)*ROW(N$12:N189)+1,ROW($T$12))&amp;":T"&amp;(ROW()-1))))),Первоначальный[[#This Row],[Полученный платеж]]+Y189),
AND(S189=0,Первоначальный[[#This Row],[Дата платежа из графика]]=1),MIN(LOOKUP(,-1/($Z$12:Z190=1),$C$12:C190)+LOOKUP(,-1/($Z$12:Z190=1),$H$12:H190)-IF(Z189=1,0,SUM(INDIRECT("T"&amp;(MAX((1=Z$12:Z189)*ROW(Z$12:Z189)+1,ROW($T$12))&amp;":T"&amp;(ROW()-1))))),Первоначальный[[#This Row],[Полученный платеж]]+Y189),
AND(Z189&gt;0,Первоначальный[[#This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платеж]]+Y189),
AND(S189&gt;0,MAX((0&lt;&gt;S$12:S189)*ROW(S$12:S189),ROW($S$12))&gt;=MAX((1=Z$12:Z189)*ROW(Z$12:Z189),ROW($T$12)),TYPE(VLOOKUP("Да",(INDIRECT("AA"&amp;(MAX((1=Z$12:Z189)*ROW(Z$12:Z189),ROW($T$12))&amp;":AA"&amp;(ROW()-1)))),1,0))=16),MIN(LOOKUP(,-1/($Z$12:Z190=1),$C$12:C190)+LOOKUP(,-1/($Z$12:Z190=1),$H$12:H190)-SUM(INDIRECT("T"&amp;(MAX((1=Z$12:Z189)*ROW(Z$12:Z189),ROW($T$12))&amp;":T"&amp;(ROW()-1)))),Первоначальный[[#This Row],[Полученный платеж]]+Y189),
S189&gt;0,MIN(LOOKUP(,-1/($Z$12:Z190=1),$C$12:C190)+LOOKUP(,-1/($Z$12:Z190=1),$H$12:H190)-IF(Z189=1,0,SUM(INDIRECT("T"&amp;(MAX((1=Z$12:Z189)*ROW(Z$12:Z189)+1,ROW($T$12))&amp;":T"&amp;(ROW()-1))))),Первоначальный[[#This Row],[Полученный платеж]]+Y189)
)
)
)</f>
        <v>0</v>
      </c>
      <c r="U19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платеж]]+Y189-Первоначальный[[#This Row],[Полученный платёж по процентам]])</f>
        <v>0</v>
      </c>
      <c r="V190" s="55">
        <f t="shared" ca="1" si="25"/>
        <v>0</v>
      </c>
      <c r="W190" s="55" cm="1">
        <f t="array" aca="1" ref="W190" ca="1">IF(Первоначальный[[#This Row],[Итого остаток на начало периода]]&lt;1,0,
_xlfn.IFS(
AND(TYPE(VLOOKUP(1,$Z$12:Z190,1,0))=16,Первоначальный[[#This Row],[Досрочное погашение (да/"")]]=""),0,
AND(S189=0,Первоначальный[[#This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платеж]]+Y189-SUM(Первоначальный[[#This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комиссиям]]),VLOOKUP(LOOKUP(,-1/($Z$12:Z190=1),$A$12:A190),График[[Срок конец]:[Возврат основной суммы долга]],3,0)),
AND(S189=0,Первоначальный[[#This Row],[Дата платежа из графика]]="",Первоначальный[[#This Row],[Досрочное погашение (да/"")]]&lt;&gt;"Да"),0,
AND(S189=0,Первоначальный[[#This Row],[Досрочное погашение (да/"")]]=""),MIN(Первоначальный[[#This Row],[Полученный платеж]]+Y189-SUM(Первоначальный[[#This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комиссиям]]),VLOOKUP(LOOKUP(,-1/($Z$12:Z190=1),$A$12:A190),График[[Срок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платеж]]+Y189-SUM(Первоначальный[[#This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S189&gt;0,MIN(Первоначальный[[#This Row],[Полученный платеж]]+Y189-SUM(Первоначальный[[#This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комиссиям]]),SUM(INDIRECT("M"&amp;(MAX((1=S$12:S189)*ROW(S$12:S189),ROW($W$12))&amp;":M"&amp;(ROW()))))-SUM(INDIRECT("W"&amp;(MAX((1=S$12:S189)*ROW(S$12:S189),ROW($W$12))&amp;":W"&amp;(ROW()-1)))))
)
)</f>
        <v>0</v>
      </c>
      <c r="X190" s="55">
        <f t="shared" ca="1" si="26"/>
        <v>0</v>
      </c>
      <c r="Y190" s="101">
        <f t="shared" ca="1" si="33"/>
        <v>0</v>
      </c>
      <c r="Z190" s="133" t="str">
        <f>IF(TYPE((VLOOKUP(Первоначальный[[#This Row],[Дата платежа]],График[Срок конец],1,0)))=16,"",1)</f>
        <v/>
      </c>
      <c r="AA190" s="57"/>
      <c r="AB190" s="134"/>
      <c r="AC19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9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9408.619999999999</v>
      </c>
      <c r="AE19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41.839999999999982</v>
      </c>
      <c r="AF19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9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2471.2162819672135</v>
      </c>
      <c r="AH190" s="55"/>
      <c r="AI190" s="55"/>
      <c r="AJ190" s="55"/>
      <c r="AK190" s="101">
        <f t="shared" ca="1" si="34"/>
        <v>161555.0162819672</v>
      </c>
      <c r="AL190" s="129">
        <f t="array" ref="AL190">MAX((УслРестрактов[Характеристика]="Дата реструктуризации")*(УслРестрактов[Значение]=Первоначальный!$A190),0)</f>
        <v>0</v>
      </c>
    </row>
    <row r="191" spans="1:38" x14ac:dyDescent="0.25">
      <c r="A191" s="97">
        <f t="shared" si="27"/>
        <v>44322</v>
      </c>
      <c r="B191" s="100">
        <f t="shared" ca="1" si="28"/>
        <v>149633.34</v>
      </c>
      <c r="C191" s="55">
        <f t="shared" ca="1" si="36"/>
        <v>9408.619999999999</v>
      </c>
      <c r="D191" s="55">
        <f t="shared" ca="1" si="36"/>
        <v>41.839999999999982</v>
      </c>
      <c r="E191" s="55">
        <f t="shared" ca="1" si="29"/>
        <v>0</v>
      </c>
      <c r="F191" s="55">
        <f t="shared" ca="1" si="30"/>
        <v>2471.2162819672135</v>
      </c>
      <c r="G191" s="101">
        <f t="shared" ca="1" si="31"/>
        <v>161555.0162819672</v>
      </c>
      <c r="H191" s="100">
        <f ca="1">ROUND($B191*VLOOKUP($A191,$A$1:$B$10,2,1)/(365+IF(MOD(YEAR($A191),4),0,1)*($A191-$A190)),2)-Первоначальный[[#This Row],[Проценты на просроченный платеж по ОД за период]]</f>
        <v>80.83</v>
      </c>
      <c r="I191" s="55">
        <f t="shared" ca="1" si="32"/>
        <v>0.75</v>
      </c>
      <c r="J191" s="55">
        <v>0</v>
      </c>
      <c r="K191" s="55">
        <f t="shared" ca="1" si="35"/>
        <v>43.388503278688532</v>
      </c>
      <c r="L191" s="55">
        <v>0</v>
      </c>
      <c r="M191" s="113">
        <f>SUMIFS(График[Возврат основной суммы долга],График[Дата с учетом нерабочих дней],$A191)</f>
        <v>0</v>
      </c>
      <c r="N191" s="56">
        <f>SUMIFS(График[Возврат начисленных %],График[Дата с учетом нерабочих дней],$A191)</f>
        <v>0</v>
      </c>
      <c r="O191" s="101">
        <v>0</v>
      </c>
      <c r="P191" s="100" cm="1">
        <f t="array" aca="1" ref="P191" ca="1">MAX(IF(AA190="Да",0,SUM(INDIRECT("M"&amp;(MAX(("Да"=AA$12:AA190)*ROW(AA$12:AA190)+1,ROW($P$12))&amp;":M"&amp;(ROW()))))-SUM(INDIRECT("W"&amp;(MAX(("Да"=AA$12:AA190)*ROW(AA$12:AA190)+1,ROW($P$12))&amp;":W"&amp;(ROW()))))),0)</f>
        <v>1371.0499999999993</v>
      </c>
      <c r="Q191" s="99">
        <f ca="1">MAX(SUM($N$13:N191)-SUM($T$13:T191),0)</f>
        <v>7306.650655737707</v>
      </c>
      <c r="R191" s="99">
        <f ca="1">Первоначальный[[#This Row],[Просроченный платеж по ОД]]+Первоначальный[[#This Row],[Просроченный платеж по процентам]]</f>
        <v>8677.7006557377063</v>
      </c>
      <c r="S191" s="120">
        <f ca="1">IF(Первоначальный[[#This Row],[Просроченный платеж]]&lt;1,0,S190+1)</f>
        <v>87</v>
      </c>
      <c r="T191" s="100" cm="1">
        <f t="array" aca="1" ref="T191" ca="1">IF(Первоначальный[[#This Row],[Итого остаток на начало периода]]&lt;1,0,
IF(
AND(TYPE(VLOOKUP(1,$Z$12:Z191,1,0))=16,Первоначальный[[#This Row],[Досрочное погашение (да/"")]]=""),0,
_xlfn.IFS(AND(S190=0,Первоначальный[[#This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платеж]]&lt;&gt;0),MIN(LOOKUP(,-1/($Z$12:Z191=1),$C$12:C191)+LOOKUP(,-1/($Z$12:Z191=1),$H$12:H191),Первоначальный[[#This Row],[Полученный платеж]]+Y190),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платеж]]+Y190,SUM(Первоначальный[[#This Row],[Остаток процентов на начало периода]],Первоначальный[[#This Row],[Проценты за период]])),
AND(S190=0,Первоначальный[[#This Row],[Дата платежа из графика]]=""),0,
AND(S190=0,Первоначальный[[#This Row],[Дата платежа из графика]]=1,MAX((0&lt;&gt;S$12:S190)*ROW(S$12:S190),ROW($S$12))&gt;=MAX((1=Z$12:Z190)*ROW(Z$12:Z190),ROW($T$12)),TYPE(VLOOKUP("Да",(INDIRECT("AA"&amp;(MAX((1=Z$12:Z190)*ROW(Z$12:Z190),ROW($T$12))&amp;":AA"&amp;(ROW()-1)))),1,0))=16),MIN(LOOKUP(,-1/($Z$12:Z191=1),$C$12:C191)+LOOKUP(,-1/($Z$12:Z191=1),$H$12:H191),Первоначальный[[#This Row],[Полученный платеж]]+Y190),
AND(S190=0,TYPE(VLOOKUP("Да",(INDIRECT("AA"&amp;(MAX((1=Z$12:Z190)*ROW(Z$12:Z190),ROW($T$12))&amp;":AA"&amp;(ROW()-1)))),1,0))&lt;&gt;16),MIN(LOOKUP(,-1/($Z$12:Z191=1),$C$12:C191)+LOOKUP(,-1/($Z$12:Z191=1),$H$12:H191)-IF(AA190="Да",0,SUM(INDIRECT("T"&amp;(MAX(("Да"=AA$12:AA190)*ROW(AA$12:AA190)+1,ROW($T$12))&amp;":T"&amp;(ROW()-1))))),Первоначальный[[#This Row],[Полученный платеж]]+Y190),
AND(S190=0,MAX((0&lt;&gt;N$12:N190)*ROW(N$12:N190),ROW($S$12))&gt;=MAX((1=Z$12:Z190)*ROW(Z$12:Z190),ROW($T$12))),MIN(LOOKUP(,-1/($Z$12:Z191=1),$C$12:C191)+LOOKUP(,-1/($Z$12:Z191=1),$H$12:H191)-IF(N190&lt;&gt;0,0,SUM(INDIRECT("T"&amp;(MAX((0&lt;&gt;N$12:N190)*ROW(N$12:N190)+1,ROW($T$12))&amp;":T"&amp;(ROW()-1))))),Первоначальный[[#This Row],[Полученный платеж]]+Y190),
AND(S190=0,Первоначальный[[#This Row],[Дата платежа из графика]]=1),MIN(LOOKUP(,-1/($Z$12:Z191=1),$C$12:C191)+LOOKUP(,-1/($Z$12:Z191=1),$H$12:H191)-IF(Z190=1,0,SUM(INDIRECT("T"&amp;(MAX((1=Z$12:Z190)*ROW(Z$12:Z190)+1,ROW($T$12))&amp;":T"&amp;(ROW()-1))))),Первоначальный[[#This Row],[Полученный платеж]]+Y190),
AND(Z190&gt;0,Первоначальный[[#This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платеж]]+Y190),
AND(S190&gt;0,MAX((0&lt;&gt;S$12:S190)*ROW(S$12:S190),ROW($S$12))&gt;=MAX((1=Z$12:Z190)*ROW(Z$12:Z190),ROW($T$12)),TYPE(VLOOKUP("Да",(INDIRECT("AA"&amp;(MAX((1=Z$12:Z190)*ROW(Z$12:Z190),ROW($T$12))&amp;":AA"&amp;(ROW()-1)))),1,0))=16),MIN(LOOKUP(,-1/($Z$12:Z191=1),$C$12:C191)+LOOKUP(,-1/($Z$12:Z191=1),$H$12:H191)-SUM(INDIRECT("T"&amp;(MAX((1=Z$12:Z190)*ROW(Z$12:Z190),ROW($T$12))&amp;":T"&amp;(ROW()-1)))),Первоначальный[[#This Row],[Полученный платеж]]+Y190),
S190&gt;0,MIN(LOOKUP(,-1/($Z$12:Z191=1),$C$12:C191)+LOOKUP(,-1/($Z$12:Z191=1),$H$12:H191)-IF(Z190=1,0,SUM(INDIRECT("T"&amp;(MAX((1=Z$12:Z190)*ROW(Z$12:Z190)+1,ROW($T$12))&amp;":T"&amp;(ROW()-1))))),Первоначальный[[#This Row],[Полученный платеж]]+Y190)
)
)
)</f>
        <v>0</v>
      </c>
      <c r="U19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платеж]]+Y190-Первоначальный[[#This Row],[Полученный платёж по процентам]])</f>
        <v>0</v>
      </c>
      <c r="V191" s="55">
        <f t="shared" ca="1" si="25"/>
        <v>0</v>
      </c>
      <c r="W191" s="55" cm="1">
        <f t="array" aca="1" ref="W191" ca="1">IF(Первоначальный[[#This Row],[Итого остаток на начало периода]]&lt;1,0,
_xlfn.IFS(
AND(TYPE(VLOOKUP(1,$Z$12:Z191,1,0))=16,Первоначальный[[#This Row],[Досрочное погашение (да/"")]]=""),0,
AND(S190=0,Первоначальный[[#This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платеж]]+Y190-SUM(Первоначальный[[#This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комиссиям]]),VLOOKUP(LOOKUP(,-1/($Z$12:Z191=1),$A$12:A191),График[[Срок конец]:[Возврат основной суммы долга]],3,0)),
AND(S190=0,Первоначальный[[#This Row],[Дата платежа из графика]]="",Первоначальный[[#This Row],[Досрочное погашение (да/"")]]&lt;&gt;"Да"),0,
AND(S190=0,Первоначальный[[#This Row],[Досрочное погашение (да/"")]]=""),MIN(Первоначальный[[#This Row],[Полученный платеж]]+Y190-SUM(Первоначальный[[#This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комиссиям]]),VLOOKUP(LOOKUP(,-1/($Z$12:Z191=1),$A$12:A191),График[[Срок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платеж]]+Y190-SUM(Первоначальный[[#This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S190&gt;0,MIN(Первоначальный[[#This Row],[Полученный платеж]]+Y190-SUM(Первоначальный[[#This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комиссиям]]),SUM(INDIRECT("M"&amp;(MAX((1=S$12:S190)*ROW(S$12:S190),ROW($W$12))&amp;":M"&amp;(ROW()))))-SUM(INDIRECT("W"&amp;(MAX((1=S$12:S190)*ROW(S$12:S190),ROW($W$12))&amp;":W"&amp;(ROW()-1)))))
)
)</f>
        <v>0</v>
      </c>
      <c r="X191" s="55">
        <f t="shared" ca="1" si="26"/>
        <v>0</v>
      </c>
      <c r="Y191" s="101">
        <f t="shared" ca="1" si="33"/>
        <v>0</v>
      </c>
      <c r="Z191" s="133" t="str">
        <f>IF(TYPE((VLOOKUP(Первоначальный[[#This Row],[Дата платежа]],График[Срок конец],1,0)))=16,"",1)</f>
        <v/>
      </c>
      <c r="AA191" s="57"/>
      <c r="AB191" s="134"/>
      <c r="AC19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9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9489.4499999999989</v>
      </c>
      <c r="AE19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42.589999999999982</v>
      </c>
      <c r="AF19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9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2514.6047852459019</v>
      </c>
      <c r="AH191" s="55"/>
      <c r="AI191" s="55"/>
      <c r="AJ191" s="55"/>
      <c r="AK191" s="101">
        <f t="shared" ca="1" si="34"/>
        <v>161679.98478524591</v>
      </c>
      <c r="AL191" s="129">
        <f t="array" ref="AL191">MAX((УслРестрактов[Характеристика]="Дата реструктуризации")*(УслРестрактов[Значение]=Первоначальный!$A191),0)</f>
        <v>0</v>
      </c>
    </row>
    <row r="192" spans="1:38" x14ac:dyDescent="0.25">
      <c r="A192" s="97">
        <f t="shared" si="27"/>
        <v>44323</v>
      </c>
      <c r="B192" s="100">
        <f t="shared" ca="1" si="28"/>
        <v>149633.34</v>
      </c>
      <c r="C192" s="55">
        <f t="shared" ca="1" si="36"/>
        <v>9489.4499999999989</v>
      </c>
      <c r="D192" s="55">
        <f t="shared" ca="1" si="36"/>
        <v>42.589999999999982</v>
      </c>
      <c r="E192" s="55">
        <f t="shared" ca="1" si="29"/>
        <v>0</v>
      </c>
      <c r="F192" s="55">
        <f t="shared" ca="1" si="30"/>
        <v>2514.6047852459019</v>
      </c>
      <c r="G192" s="101">
        <f t="shared" ca="1" si="31"/>
        <v>161679.98478524591</v>
      </c>
      <c r="H192" s="100">
        <f ca="1">ROUND($B192*VLOOKUP($A192,$A$1:$B$10,2,1)/(365+IF(MOD(YEAR($A192),4),0,1)*($A192-$A191)),2)-Первоначальный[[#This Row],[Проценты на просроченный платеж по ОД за период]]</f>
        <v>80.83</v>
      </c>
      <c r="I192" s="55">
        <f t="shared" ca="1" si="32"/>
        <v>0.75</v>
      </c>
      <c r="J192" s="55">
        <v>0</v>
      </c>
      <c r="K192" s="55">
        <f t="shared" ca="1" si="35"/>
        <v>43.388503278688532</v>
      </c>
      <c r="L192" s="55">
        <v>0</v>
      </c>
      <c r="M192" s="113">
        <f>SUMIFS(График[Возврат основной суммы долга],График[Дата с учетом нерабочих дней],$A192)</f>
        <v>0</v>
      </c>
      <c r="N192" s="56">
        <f>SUMIFS(График[Возврат начисленных %],График[Дата с учетом нерабочих дней],$A192)</f>
        <v>0</v>
      </c>
      <c r="O192" s="101">
        <v>0</v>
      </c>
      <c r="P192" s="100" cm="1">
        <f t="array" aca="1" ref="P192" ca="1">MAX(IF(AA191="Да",0,SUM(INDIRECT("M"&amp;(MAX(("Да"=AA$12:AA191)*ROW(AA$12:AA191)+1,ROW($P$12))&amp;":M"&amp;(ROW()))))-SUM(INDIRECT("W"&amp;(MAX(("Да"=AA$12:AA191)*ROW(AA$12:AA191)+1,ROW($P$12))&amp;":W"&amp;(ROW()))))),0)</f>
        <v>1371.0499999999993</v>
      </c>
      <c r="Q192" s="99">
        <f ca="1">MAX(SUM($N$13:N192)-SUM($T$13:T192),0)</f>
        <v>7306.650655737707</v>
      </c>
      <c r="R192" s="99">
        <f ca="1">Первоначальный[[#This Row],[Просроченный платеж по ОД]]+Первоначальный[[#This Row],[Просроченный платеж по процентам]]</f>
        <v>8677.7006557377063</v>
      </c>
      <c r="S192" s="120">
        <f ca="1">IF(Первоначальный[[#This Row],[Просроченный платеж]]&lt;1,0,S191+1)</f>
        <v>88</v>
      </c>
      <c r="T192" s="100" cm="1">
        <f t="array" aca="1" ref="T192" ca="1">IF(Первоначальный[[#This Row],[Итого остаток на начало периода]]&lt;1,0,
IF(
AND(TYPE(VLOOKUP(1,$Z$12:Z192,1,0))=16,Первоначальный[[#This Row],[Досрочное погашение (да/"")]]=""),0,
_xlfn.IFS(AND(S191=0,Первоначальный[[#This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платеж]]&lt;&gt;0),MIN(LOOKUP(,-1/($Z$12:Z192=1),$C$12:C192)+LOOKUP(,-1/($Z$12:Z192=1),$H$12:H192),Первоначальный[[#This Row],[Полученный платеж]]+Y191),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платеж]]+Y191,SUM(Первоначальный[[#This Row],[Остаток процентов на начало периода]],Первоначальный[[#This Row],[Проценты за период]])),
AND(S191=0,Первоначальный[[#This Row],[Дата платежа из графика]]=""),0,
AND(S191=0,Первоначальный[[#This Row],[Дата платежа из графика]]=1,MAX((0&lt;&gt;S$12:S191)*ROW(S$12:S191),ROW($S$12))&gt;=MAX((1=Z$12:Z191)*ROW(Z$12:Z191),ROW($T$12)),TYPE(VLOOKUP("Да",(INDIRECT("AA"&amp;(MAX((1=Z$12:Z191)*ROW(Z$12:Z191),ROW($T$12))&amp;":AA"&amp;(ROW()-1)))),1,0))=16),MIN(LOOKUP(,-1/($Z$12:Z192=1),$C$12:C192)+LOOKUP(,-1/($Z$12:Z192=1),$H$12:H192),Первоначальный[[#This Row],[Полученный платеж]]+Y191),
AND(S191=0,TYPE(VLOOKUP("Да",(INDIRECT("AA"&amp;(MAX((1=Z$12:Z191)*ROW(Z$12:Z191),ROW($T$12))&amp;":AA"&amp;(ROW()-1)))),1,0))&lt;&gt;16),MIN(LOOKUP(,-1/($Z$12:Z192=1),$C$12:C192)+LOOKUP(,-1/($Z$12:Z192=1),$H$12:H192)-IF(AA191="Да",0,SUM(INDIRECT("T"&amp;(MAX(("Да"=AA$12:AA191)*ROW(AA$12:AA191)+1,ROW($T$12))&amp;":T"&amp;(ROW()-1))))),Первоначальный[[#This Row],[Полученный платеж]]+Y191),
AND(S191=0,MAX((0&lt;&gt;N$12:N191)*ROW(N$12:N191),ROW($S$12))&gt;=MAX((1=Z$12:Z191)*ROW(Z$12:Z191),ROW($T$12))),MIN(LOOKUP(,-1/($Z$12:Z192=1),$C$12:C192)+LOOKUP(,-1/($Z$12:Z192=1),$H$12:H192)-IF(N191&lt;&gt;0,0,SUM(INDIRECT("T"&amp;(MAX((0&lt;&gt;N$12:N191)*ROW(N$12:N191)+1,ROW($T$12))&amp;":T"&amp;(ROW()-1))))),Первоначальный[[#This Row],[Полученный платеж]]+Y191),
AND(S191=0,Первоначальный[[#This Row],[Дата платежа из графика]]=1),MIN(LOOKUP(,-1/($Z$12:Z192=1),$C$12:C192)+LOOKUP(,-1/($Z$12:Z192=1),$H$12:H192)-IF(Z191=1,0,SUM(INDIRECT("T"&amp;(MAX((1=Z$12:Z191)*ROW(Z$12:Z191)+1,ROW($T$12))&amp;":T"&amp;(ROW()-1))))),Первоначальный[[#This Row],[Полученный платеж]]+Y191),
AND(Z191&gt;0,Первоначальный[[#This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платеж]]+Y191),
AND(S191&gt;0,MAX((0&lt;&gt;S$12:S191)*ROW(S$12:S191),ROW($S$12))&gt;=MAX((1=Z$12:Z191)*ROW(Z$12:Z191),ROW($T$12)),TYPE(VLOOKUP("Да",(INDIRECT("AA"&amp;(MAX((1=Z$12:Z191)*ROW(Z$12:Z191),ROW($T$12))&amp;":AA"&amp;(ROW()-1)))),1,0))=16),MIN(LOOKUP(,-1/($Z$12:Z192=1),$C$12:C192)+LOOKUP(,-1/($Z$12:Z192=1),$H$12:H192)-SUM(INDIRECT("T"&amp;(MAX((1=Z$12:Z191)*ROW(Z$12:Z191),ROW($T$12))&amp;":T"&amp;(ROW()-1)))),Первоначальный[[#This Row],[Полученный платеж]]+Y191),
S191&gt;0,MIN(LOOKUP(,-1/($Z$12:Z192=1),$C$12:C192)+LOOKUP(,-1/($Z$12:Z192=1),$H$12:H192)-IF(Z191=1,0,SUM(INDIRECT("T"&amp;(MAX((1=Z$12:Z191)*ROW(Z$12:Z191)+1,ROW($T$12))&amp;":T"&amp;(ROW()-1))))),Первоначальный[[#This Row],[Полученный платеж]]+Y191)
)
)
)</f>
        <v>0</v>
      </c>
      <c r="U19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платеж]]+Y191-Первоначальный[[#This Row],[Полученный платёж по процентам]])</f>
        <v>0</v>
      </c>
      <c r="V192" s="55">
        <f t="shared" ca="1" si="25"/>
        <v>0</v>
      </c>
      <c r="W192" s="55" cm="1">
        <f t="array" aca="1" ref="W192" ca="1">IF(Первоначальный[[#This Row],[Итого остаток на начало периода]]&lt;1,0,
_xlfn.IFS(
AND(TYPE(VLOOKUP(1,$Z$12:Z192,1,0))=16,Первоначальный[[#This Row],[Досрочное погашение (да/"")]]=""),0,
AND(S191=0,Первоначальный[[#This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платеж]]+Y191-SUM(Первоначальный[[#This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комиссиям]]),VLOOKUP(LOOKUP(,-1/($Z$12:Z192=1),$A$12:A192),График[[Срок конец]:[Возврат основной суммы долга]],3,0)),
AND(S191=0,Первоначальный[[#This Row],[Дата платежа из графика]]="",Первоначальный[[#This Row],[Досрочное погашение (да/"")]]&lt;&gt;"Да"),0,
AND(S191=0,Первоначальный[[#This Row],[Досрочное погашение (да/"")]]=""),MIN(Первоначальный[[#This Row],[Полученный платеж]]+Y191-SUM(Первоначальный[[#This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комиссиям]]),VLOOKUP(LOOKUP(,-1/($Z$12:Z192=1),$A$12:A192),График[[Срок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платеж]]+Y191-SUM(Первоначальный[[#This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S191&gt;0,MIN(Первоначальный[[#This Row],[Полученный платеж]]+Y191-SUM(Первоначальный[[#This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комиссиям]]),SUM(INDIRECT("M"&amp;(MAX((1=S$12:S191)*ROW(S$12:S191),ROW($W$12))&amp;":M"&amp;(ROW()))))-SUM(INDIRECT("W"&amp;(MAX((1=S$12:S191)*ROW(S$12:S191),ROW($W$12))&amp;":W"&amp;(ROW()-1)))))
)
)</f>
        <v>0</v>
      </c>
      <c r="X192" s="55">
        <f t="shared" ca="1" si="26"/>
        <v>0</v>
      </c>
      <c r="Y192" s="101">
        <f t="shared" ca="1" si="33"/>
        <v>0</v>
      </c>
      <c r="Z192" s="133" t="str">
        <f>IF(TYPE((VLOOKUP(Первоначальный[[#This Row],[Дата платежа]],График[Срок конец],1,0)))=16,"",1)</f>
        <v/>
      </c>
      <c r="AA192" s="57"/>
      <c r="AB192" s="134"/>
      <c r="AC19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9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9570.2799999999988</v>
      </c>
      <c r="AE19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43.339999999999982</v>
      </c>
      <c r="AF19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9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2557.9932885245903</v>
      </c>
      <c r="AH192" s="55"/>
      <c r="AI192" s="55"/>
      <c r="AJ192" s="55"/>
      <c r="AK192" s="101">
        <f t="shared" ca="1" si="34"/>
        <v>161804.95328852459</v>
      </c>
      <c r="AL192" s="129">
        <f t="array" ref="AL192">MAX((УслРестрактов[Характеристика]="Дата реструктуризации")*(УслРестрактов[Значение]=Первоначальный!$A192),0)</f>
        <v>0</v>
      </c>
    </row>
    <row r="193" spans="1:38" x14ac:dyDescent="0.25">
      <c r="A193" s="97">
        <f t="shared" si="27"/>
        <v>44324</v>
      </c>
      <c r="B193" s="100">
        <f t="shared" ca="1" si="28"/>
        <v>149633.34</v>
      </c>
      <c r="C193" s="55">
        <f t="shared" ca="1" si="36"/>
        <v>9570.2799999999988</v>
      </c>
      <c r="D193" s="55">
        <f t="shared" ca="1" si="36"/>
        <v>43.339999999999982</v>
      </c>
      <c r="E193" s="55">
        <f t="shared" ca="1" si="29"/>
        <v>0</v>
      </c>
      <c r="F193" s="55">
        <f t="shared" ca="1" si="30"/>
        <v>2557.9932885245903</v>
      </c>
      <c r="G193" s="101">
        <f t="shared" ca="1" si="31"/>
        <v>161804.95328852459</v>
      </c>
      <c r="H193" s="100">
        <f ca="1">ROUND($B193*VLOOKUP($A193,$A$1:$B$10,2,1)/(365+IF(MOD(YEAR($A193),4),0,1)*($A193-$A192)),2)-Первоначальный[[#This Row],[Проценты на просроченный платеж по ОД за период]]</f>
        <v>80.83</v>
      </c>
      <c r="I193" s="55">
        <f t="shared" ca="1" si="32"/>
        <v>0.75</v>
      </c>
      <c r="J193" s="55">
        <v>0</v>
      </c>
      <c r="K193" s="55">
        <f t="shared" ca="1" si="35"/>
        <v>43.388503278688532</v>
      </c>
      <c r="L193" s="55">
        <v>0</v>
      </c>
      <c r="M193" s="113">
        <f>SUMIFS(График[Возврат основной суммы долга],График[Дата с учетом нерабочих дней],$A193)</f>
        <v>0</v>
      </c>
      <c r="N193" s="56">
        <f>SUMIFS(График[Возврат начисленных %],График[Дата с учетом нерабочих дней],$A193)</f>
        <v>0</v>
      </c>
      <c r="O193" s="101">
        <v>0</v>
      </c>
      <c r="P193" s="100" cm="1">
        <f t="array" aca="1" ref="P193" ca="1">MAX(IF(AA192="Да",0,SUM(INDIRECT("M"&amp;(MAX(("Да"=AA$12:AA192)*ROW(AA$12:AA192)+1,ROW($P$12))&amp;":M"&amp;(ROW()))))-SUM(INDIRECT("W"&amp;(MAX(("Да"=AA$12:AA192)*ROW(AA$12:AA192)+1,ROW($P$12))&amp;":W"&amp;(ROW()))))),0)</f>
        <v>1371.0499999999993</v>
      </c>
      <c r="Q193" s="99">
        <f ca="1">MAX(SUM($N$13:N193)-SUM($T$13:T193),0)</f>
        <v>7306.650655737707</v>
      </c>
      <c r="R193" s="99">
        <f ca="1">Первоначальный[[#This Row],[Просроченный платеж по ОД]]+Первоначальный[[#This Row],[Просроченный платеж по процентам]]</f>
        <v>8677.7006557377063</v>
      </c>
      <c r="S193" s="120">
        <f ca="1">IF(Первоначальный[[#This Row],[Просроченный платеж]]&lt;1,0,S192+1)</f>
        <v>89</v>
      </c>
      <c r="T193" s="100" cm="1">
        <f t="array" aca="1" ref="T193" ca="1">IF(Первоначальный[[#This Row],[Итого остаток на начало периода]]&lt;1,0,
IF(
AND(TYPE(VLOOKUP(1,$Z$12:Z193,1,0))=16,Первоначальный[[#This Row],[Досрочное погашение (да/"")]]=""),0,
_xlfn.IFS(AND(S192=0,Первоначальный[[#This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платеж]]&lt;&gt;0),MIN(LOOKUP(,-1/($Z$12:Z193=1),$C$12:C193)+LOOKUP(,-1/($Z$12:Z193=1),$H$12:H193),Первоначальный[[#This Row],[Полученный платеж]]+Y192),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платеж]]+Y192,SUM(Первоначальный[[#This Row],[Остаток процентов на начало периода]],Первоначальный[[#This Row],[Проценты за период]])),
AND(S192=0,Первоначальный[[#This Row],[Дата платежа из графика]]=""),0,
AND(S192=0,Первоначальный[[#This Row],[Дата платежа из графика]]=1,MAX((0&lt;&gt;S$12:S192)*ROW(S$12:S192),ROW($S$12))&gt;=MAX((1=Z$12:Z192)*ROW(Z$12:Z192),ROW($T$12)),TYPE(VLOOKUP("Да",(INDIRECT("AA"&amp;(MAX((1=Z$12:Z192)*ROW(Z$12:Z192),ROW($T$12))&amp;":AA"&amp;(ROW()-1)))),1,0))=16),MIN(LOOKUP(,-1/($Z$12:Z193=1),$C$12:C193)+LOOKUP(,-1/($Z$12:Z193=1),$H$12:H193),Первоначальный[[#This Row],[Полученный платеж]]+Y192),
AND(S192=0,TYPE(VLOOKUP("Да",(INDIRECT("AA"&amp;(MAX((1=Z$12:Z192)*ROW(Z$12:Z192),ROW($T$12))&amp;":AA"&amp;(ROW()-1)))),1,0))&lt;&gt;16),MIN(LOOKUP(,-1/($Z$12:Z193=1),$C$12:C193)+LOOKUP(,-1/($Z$12:Z193=1),$H$12:H193)-IF(AA192="Да",0,SUM(INDIRECT("T"&amp;(MAX(("Да"=AA$12:AA192)*ROW(AA$12:AA192)+1,ROW($T$12))&amp;":T"&amp;(ROW()-1))))),Первоначальный[[#This Row],[Полученный платеж]]+Y192),
AND(S192=0,MAX((0&lt;&gt;N$12:N192)*ROW(N$12:N192),ROW($S$12))&gt;=MAX((1=Z$12:Z192)*ROW(Z$12:Z192),ROW($T$12))),MIN(LOOKUP(,-1/($Z$12:Z193=1),$C$12:C193)+LOOKUP(,-1/($Z$12:Z193=1),$H$12:H193)-IF(N192&lt;&gt;0,0,SUM(INDIRECT("T"&amp;(MAX((0&lt;&gt;N$12:N192)*ROW(N$12:N192)+1,ROW($T$12))&amp;":T"&amp;(ROW()-1))))),Первоначальный[[#This Row],[Полученный платеж]]+Y192),
AND(S192=0,Первоначальный[[#This Row],[Дата платежа из графика]]=1),MIN(LOOKUP(,-1/($Z$12:Z193=1),$C$12:C193)+LOOKUP(,-1/($Z$12:Z193=1),$H$12:H193)-IF(Z192=1,0,SUM(INDIRECT("T"&amp;(MAX((1=Z$12:Z192)*ROW(Z$12:Z192)+1,ROW($T$12))&amp;":T"&amp;(ROW()-1))))),Первоначальный[[#This Row],[Полученный платеж]]+Y192),
AND(Z192&gt;0,Первоначальный[[#This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платеж]]+Y192),
AND(S192&gt;0,MAX((0&lt;&gt;S$12:S192)*ROW(S$12:S192),ROW($S$12))&gt;=MAX((1=Z$12:Z192)*ROW(Z$12:Z192),ROW($T$12)),TYPE(VLOOKUP("Да",(INDIRECT("AA"&amp;(MAX((1=Z$12:Z192)*ROW(Z$12:Z192),ROW($T$12))&amp;":AA"&amp;(ROW()-1)))),1,0))=16),MIN(LOOKUP(,-1/($Z$12:Z193=1),$C$12:C193)+LOOKUP(,-1/($Z$12:Z193=1),$H$12:H193)-SUM(INDIRECT("T"&amp;(MAX((1=Z$12:Z192)*ROW(Z$12:Z192),ROW($T$12))&amp;":T"&amp;(ROW()-1)))),Первоначальный[[#This Row],[Полученный платеж]]+Y192),
S192&gt;0,MIN(LOOKUP(,-1/($Z$12:Z193=1),$C$12:C193)+LOOKUP(,-1/($Z$12:Z193=1),$H$12:H193)-IF(Z192=1,0,SUM(INDIRECT("T"&amp;(MAX((1=Z$12:Z192)*ROW(Z$12:Z192)+1,ROW($T$12))&amp;":T"&amp;(ROW()-1))))),Первоначальный[[#This Row],[Полученный платеж]]+Y192)
)
)
)</f>
        <v>0</v>
      </c>
      <c r="U19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платеж]]+Y192-Первоначальный[[#This Row],[Полученный платёж по процентам]])</f>
        <v>0</v>
      </c>
      <c r="V193" s="55">
        <f t="shared" ca="1" si="25"/>
        <v>0</v>
      </c>
      <c r="W193" s="55" cm="1">
        <f t="array" aca="1" ref="W193" ca="1">IF(Первоначальный[[#This Row],[Итого остаток на начало периода]]&lt;1,0,
_xlfn.IFS(
AND(TYPE(VLOOKUP(1,$Z$12:Z193,1,0))=16,Первоначальный[[#This Row],[Досрочное погашение (да/"")]]=""),0,
AND(S192=0,Первоначальный[[#This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платеж]]+Y192-SUM(Первоначальный[[#This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комиссиям]]),VLOOKUP(LOOKUP(,-1/($Z$12:Z193=1),$A$12:A193),График[[Срок конец]:[Возврат основной суммы долга]],3,0)),
AND(S192=0,Первоначальный[[#This Row],[Дата платежа из графика]]="",Первоначальный[[#This Row],[Досрочное погашение (да/"")]]&lt;&gt;"Да"),0,
AND(S192=0,Первоначальный[[#This Row],[Досрочное погашение (да/"")]]=""),MIN(Первоначальный[[#This Row],[Полученный платеж]]+Y192-SUM(Первоначальный[[#This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комиссиям]]),VLOOKUP(LOOKUP(,-1/($Z$12:Z193=1),$A$12:A193),График[[Срок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платеж]]+Y192-SUM(Первоначальный[[#This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S192&gt;0,MIN(Первоначальный[[#This Row],[Полученный платеж]]+Y192-SUM(Первоначальный[[#This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комиссиям]]),SUM(INDIRECT("M"&amp;(MAX((1=S$12:S192)*ROW(S$12:S192),ROW($W$12))&amp;":M"&amp;(ROW()))))-SUM(INDIRECT("W"&amp;(MAX((1=S$12:S192)*ROW(S$12:S192),ROW($W$12))&amp;":W"&amp;(ROW()-1)))))
)
)</f>
        <v>0</v>
      </c>
      <c r="X193" s="55">
        <f t="shared" ca="1" si="26"/>
        <v>0</v>
      </c>
      <c r="Y193" s="101">
        <f t="shared" ca="1" si="33"/>
        <v>0</v>
      </c>
      <c r="Z193" s="133" t="str">
        <f>IF(TYPE((VLOOKUP(Первоначальный[[#This Row],[Дата платежа]],График[Срок конец],1,0)))=16,"",1)</f>
        <v/>
      </c>
      <c r="AA193" s="57"/>
      <c r="AB193" s="134"/>
      <c r="AC19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9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9651.1099999999988</v>
      </c>
      <c r="AE19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44.089999999999982</v>
      </c>
      <c r="AF19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9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2601.3817918032787</v>
      </c>
      <c r="AH193" s="55"/>
      <c r="AI193" s="55"/>
      <c r="AJ193" s="55"/>
      <c r="AK193" s="101">
        <f t="shared" ca="1" si="34"/>
        <v>161929.92179180327</v>
      </c>
      <c r="AL193" s="129">
        <f t="array" ref="AL193">MAX((УслРестрактов[Характеристика]="Дата реструктуризации")*(УслРестрактов[Значение]=Первоначальный!$A193),0)</f>
        <v>0</v>
      </c>
    </row>
    <row r="194" spans="1:38" x14ac:dyDescent="0.25">
      <c r="A194" s="97">
        <f t="shared" si="27"/>
        <v>44325</v>
      </c>
      <c r="B194" s="100">
        <f t="shared" ca="1" si="28"/>
        <v>149633.34</v>
      </c>
      <c r="C194" s="55">
        <f t="shared" ca="1" si="36"/>
        <v>9651.1099999999988</v>
      </c>
      <c r="D194" s="55">
        <f t="shared" ca="1" si="36"/>
        <v>44.089999999999982</v>
      </c>
      <c r="E194" s="55">
        <f t="shared" ca="1" si="29"/>
        <v>0</v>
      </c>
      <c r="F194" s="55">
        <f t="shared" ca="1" si="30"/>
        <v>2601.3817918032787</v>
      </c>
      <c r="G194" s="101">
        <f t="shared" ca="1" si="31"/>
        <v>161929.92179180327</v>
      </c>
      <c r="H194" s="100">
        <f ca="1">ROUND($B194*VLOOKUP($A194,$A$1:$B$10,2,1)/(365+IF(MOD(YEAR($A194),4),0,1)*($A194-$A193)),2)-Первоначальный[[#This Row],[Проценты на просроченный платеж по ОД за период]]</f>
        <v>80.83</v>
      </c>
      <c r="I194" s="55">
        <f t="shared" ca="1" si="32"/>
        <v>0.75</v>
      </c>
      <c r="J194" s="55">
        <v>0</v>
      </c>
      <c r="K194" s="55">
        <f t="shared" ca="1" si="35"/>
        <v>43.388503278688532</v>
      </c>
      <c r="L194" s="55">
        <v>0</v>
      </c>
      <c r="M194" s="113">
        <f>SUMIFS(График[Возврат основной суммы долга],График[Дата с учетом нерабочих дней],$A194)</f>
        <v>0</v>
      </c>
      <c r="N194" s="56">
        <f>SUMIFS(График[Возврат начисленных %],График[Дата с учетом нерабочих дней],$A194)</f>
        <v>0</v>
      </c>
      <c r="O194" s="101">
        <v>0</v>
      </c>
      <c r="P194" s="100" cm="1">
        <f t="array" aca="1" ref="P194" ca="1">MAX(IF(AA193="Да",0,SUM(INDIRECT("M"&amp;(MAX(("Да"=AA$12:AA193)*ROW(AA$12:AA193)+1,ROW($P$12))&amp;":M"&amp;(ROW()))))-SUM(INDIRECT("W"&amp;(MAX(("Да"=AA$12:AA193)*ROW(AA$12:AA193)+1,ROW($P$12))&amp;":W"&amp;(ROW()))))),0)</f>
        <v>1371.0499999999993</v>
      </c>
      <c r="Q194" s="99">
        <f ca="1">MAX(SUM($N$13:N194)-SUM($T$13:T194),0)</f>
        <v>7306.650655737707</v>
      </c>
      <c r="R194" s="99">
        <f ca="1">Первоначальный[[#This Row],[Просроченный платеж по ОД]]+Первоначальный[[#This Row],[Просроченный платеж по процентам]]</f>
        <v>8677.7006557377063</v>
      </c>
      <c r="S194" s="120">
        <f ca="1">IF(Первоначальный[[#This Row],[Просроченный платеж]]&lt;1,0,S193+1)</f>
        <v>90</v>
      </c>
      <c r="T194" s="100" cm="1">
        <f t="array" aca="1" ref="T194" ca="1">IF(Первоначальный[[#This Row],[Итого остаток на начало периода]]&lt;1,0,
IF(
AND(TYPE(VLOOKUP(1,$Z$12:Z194,1,0))=16,Первоначальный[[#This Row],[Досрочное погашение (да/"")]]=""),0,
_xlfn.IFS(AND(S193=0,Первоначальный[[#This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платеж]]&lt;&gt;0),MIN(LOOKUP(,-1/($Z$12:Z194=1),$C$12:C194)+LOOKUP(,-1/($Z$12:Z194=1),$H$12:H194),Первоначальный[[#This Row],[Полученный платеж]]+Y193),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платеж]]+Y193,SUM(Первоначальный[[#This Row],[Остаток процентов на начало периода]],Первоначальный[[#This Row],[Проценты за период]])),
AND(S193=0,Первоначальный[[#This Row],[Дата платежа из графика]]=""),0,
AND(S193=0,Первоначальный[[#This Row],[Дата платежа из графика]]=1,MAX((0&lt;&gt;S$12:S193)*ROW(S$12:S193),ROW($S$12))&gt;=MAX((1=Z$12:Z193)*ROW(Z$12:Z193),ROW($T$12)),TYPE(VLOOKUP("Да",(INDIRECT("AA"&amp;(MAX((1=Z$12:Z193)*ROW(Z$12:Z193),ROW($T$12))&amp;":AA"&amp;(ROW()-1)))),1,0))=16),MIN(LOOKUP(,-1/($Z$12:Z194=1),$C$12:C194)+LOOKUP(,-1/($Z$12:Z194=1),$H$12:H194),Первоначальный[[#This Row],[Полученный платеж]]+Y193),
AND(S193=0,TYPE(VLOOKUP("Да",(INDIRECT("AA"&amp;(MAX((1=Z$12:Z193)*ROW(Z$12:Z193),ROW($T$12))&amp;":AA"&amp;(ROW()-1)))),1,0))&lt;&gt;16),MIN(LOOKUP(,-1/($Z$12:Z194=1),$C$12:C194)+LOOKUP(,-1/($Z$12:Z194=1),$H$12:H194)-IF(AA193="Да",0,SUM(INDIRECT("T"&amp;(MAX(("Да"=AA$12:AA193)*ROW(AA$12:AA193)+1,ROW($T$12))&amp;":T"&amp;(ROW()-1))))),Первоначальный[[#This Row],[Полученный платеж]]+Y193),
AND(S193=0,MAX((0&lt;&gt;N$12:N193)*ROW(N$12:N193),ROW($S$12))&gt;=MAX((1=Z$12:Z193)*ROW(Z$12:Z193),ROW($T$12))),MIN(LOOKUP(,-1/($Z$12:Z194=1),$C$12:C194)+LOOKUP(,-1/($Z$12:Z194=1),$H$12:H194)-IF(N193&lt;&gt;0,0,SUM(INDIRECT("T"&amp;(MAX((0&lt;&gt;N$12:N193)*ROW(N$12:N193)+1,ROW($T$12))&amp;":T"&amp;(ROW()-1))))),Первоначальный[[#This Row],[Полученный платеж]]+Y193),
AND(S193=0,Первоначальный[[#This Row],[Дата платежа из графика]]=1),MIN(LOOKUP(,-1/($Z$12:Z194=1),$C$12:C194)+LOOKUP(,-1/($Z$12:Z194=1),$H$12:H194)-IF(Z193=1,0,SUM(INDIRECT("T"&amp;(MAX((1=Z$12:Z193)*ROW(Z$12:Z193)+1,ROW($T$12))&amp;":T"&amp;(ROW()-1))))),Первоначальный[[#This Row],[Полученный платеж]]+Y193),
AND(Z193&gt;0,Первоначальный[[#This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платеж]]+Y193),
AND(S193&gt;0,MAX((0&lt;&gt;S$12:S193)*ROW(S$12:S193),ROW($S$12))&gt;=MAX((1=Z$12:Z193)*ROW(Z$12:Z193),ROW($T$12)),TYPE(VLOOKUP("Да",(INDIRECT("AA"&amp;(MAX((1=Z$12:Z193)*ROW(Z$12:Z193),ROW($T$12))&amp;":AA"&amp;(ROW()-1)))),1,0))=16),MIN(LOOKUP(,-1/($Z$12:Z194=1),$C$12:C194)+LOOKUP(,-1/($Z$12:Z194=1),$H$12:H194)-SUM(INDIRECT("T"&amp;(MAX((1=Z$12:Z193)*ROW(Z$12:Z193),ROW($T$12))&amp;":T"&amp;(ROW()-1)))),Первоначальный[[#This Row],[Полученный платеж]]+Y193),
S193&gt;0,MIN(LOOKUP(,-1/($Z$12:Z194=1),$C$12:C194)+LOOKUP(,-1/($Z$12:Z194=1),$H$12:H194)-IF(Z193=1,0,SUM(INDIRECT("T"&amp;(MAX((1=Z$12:Z193)*ROW(Z$12:Z193)+1,ROW($T$12))&amp;":T"&amp;(ROW()-1))))),Первоначальный[[#This Row],[Полученный платеж]]+Y193)
)
)
)</f>
        <v>0</v>
      </c>
      <c r="U19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платеж]]+Y193-Первоначальный[[#This Row],[Полученный платёж по процентам]])</f>
        <v>0</v>
      </c>
      <c r="V194" s="55">
        <f t="shared" ca="1" si="25"/>
        <v>0</v>
      </c>
      <c r="W194" s="55" cm="1">
        <f t="array" aca="1" ref="W194" ca="1">IF(Первоначальный[[#This Row],[Итого остаток на начало периода]]&lt;1,0,
_xlfn.IFS(
AND(TYPE(VLOOKUP(1,$Z$12:Z194,1,0))=16,Первоначальный[[#This Row],[Досрочное погашение (да/"")]]=""),0,
AND(S193=0,Первоначальный[[#This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платеж]]+Y193-SUM(Первоначальный[[#This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комиссиям]]),VLOOKUP(LOOKUP(,-1/($Z$12:Z194=1),$A$12:A194),График[[Срок конец]:[Возврат основной суммы долга]],3,0)),
AND(S193=0,Первоначальный[[#This Row],[Дата платежа из графика]]="",Первоначальный[[#This Row],[Досрочное погашение (да/"")]]&lt;&gt;"Да"),0,
AND(S193=0,Первоначальный[[#This Row],[Досрочное погашение (да/"")]]=""),MIN(Первоначальный[[#This Row],[Полученный платеж]]+Y193-SUM(Первоначальный[[#This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комиссиям]]),VLOOKUP(LOOKUP(,-1/($Z$12:Z194=1),$A$12:A194),График[[Срок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платеж]]+Y193-SUM(Первоначальный[[#This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S193&gt;0,MIN(Первоначальный[[#This Row],[Полученный платеж]]+Y193-SUM(Первоначальный[[#This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комиссиям]]),SUM(INDIRECT("M"&amp;(MAX((1=S$12:S193)*ROW(S$12:S193),ROW($W$12))&amp;":M"&amp;(ROW()))))-SUM(INDIRECT("W"&amp;(MAX((1=S$12:S193)*ROW(S$12:S193),ROW($W$12))&amp;":W"&amp;(ROW()-1)))))
)
)</f>
        <v>0</v>
      </c>
      <c r="X194" s="55">
        <f t="shared" ca="1" si="26"/>
        <v>0</v>
      </c>
      <c r="Y194" s="101">
        <f t="shared" ca="1" si="33"/>
        <v>0</v>
      </c>
      <c r="Z194" s="133">
        <f>IF(TYPE((VLOOKUP(Первоначальный[[#This Row],[Дата платежа]],График[Срок конец],1,0)))=16,"",1)</f>
        <v>1</v>
      </c>
      <c r="AA194" s="57"/>
      <c r="AB194" s="134"/>
      <c r="AC19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9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9731.9399999999987</v>
      </c>
      <c r="AE19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44.839999999999982</v>
      </c>
      <c r="AF19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9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2644.7702950819671</v>
      </c>
      <c r="AH194" s="55"/>
      <c r="AI194" s="55"/>
      <c r="AJ194" s="55"/>
      <c r="AK194" s="101">
        <f t="shared" ca="1" si="34"/>
        <v>162054.89029508198</v>
      </c>
      <c r="AL194" s="129">
        <f t="array" ref="AL194">MAX((УслРестрактов[Характеристика]="Дата реструктуризации")*(УслРестрактов[Значение]=Первоначальный!$A194),0)</f>
        <v>0</v>
      </c>
    </row>
    <row r="195" spans="1:38" x14ac:dyDescent="0.25">
      <c r="A195" s="97">
        <f t="shared" si="27"/>
        <v>44326</v>
      </c>
      <c r="B195" s="100">
        <f t="shared" ca="1" si="28"/>
        <v>149633.34</v>
      </c>
      <c r="C195" s="55">
        <f t="shared" ca="1" si="36"/>
        <v>9731.9399999999987</v>
      </c>
      <c r="D195" s="55">
        <f t="shared" ca="1" si="36"/>
        <v>44.839999999999982</v>
      </c>
      <c r="E195" s="55">
        <f t="shared" ca="1" si="29"/>
        <v>0</v>
      </c>
      <c r="F195" s="55">
        <f t="shared" ca="1" si="30"/>
        <v>2644.7702950819671</v>
      </c>
      <c r="G195" s="101">
        <f t="shared" ca="1" si="31"/>
        <v>162054.89029508198</v>
      </c>
      <c r="H195" s="100">
        <f ca="1">ROUND($B195*VLOOKUP($A195,$A$1:$B$10,2,1)/(365+IF(MOD(YEAR($A195),4),0,1)*($A195-$A194)),2)-Первоначальный[[#This Row],[Проценты на просроченный платеж по ОД за период]]</f>
        <v>80.83</v>
      </c>
      <c r="I195" s="55">
        <f t="shared" ca="1" si="32"/>
        <v>0.75</v>
      </c>
      <c r="J195" s="55">
        <v>0</v>
      </c>
      <c r="K195" s="55">
        <f t="shared" ca="1" si="35"/>
        <v>57.873503278688531</v>
      </c>
      <c r="L195" s="55">
        <v>0</v>
      </c>
      <c r="M195" s="113">
        <f>SUMIFS(График[Возврат основной суммы долга],График[Дата с учетом нерабочих дней],$A195)</f>
        <v>472</v>
      </c>
      <c r="N195" s="56">
        <f>SUMIFS(График[Возврат начисленных %],График[Дата с учетом нерабочих дней],$A195)</f>
        <v>2425</v>
      </c>
      <c r="O195" s="101">
        <v>0</v>
      </c>
      <c r="P195" s="100" cm="1">
        <f t="array" aca="1" ref="P195" ca="1">MAX(IF(AA194="Да",0,SUM(INDIRECT("M"&amp;(MAX(("Да"=AA$12:AA194)*ROW(AA$12:AA194)+1,ROW($P$12))&amp;":M"&amp;(ROW()))))-SUM(INDIRECT("W"&amp;(MAX(("Да"=AA$12:AA194)*ROW(AA$12:AA194)+1,ROW($P$12))&amp;":W"&amp;(ROW()))))),0)</f>
        <v>1843.0499999999993</v>
      </c>
      <c r="Q195" s="99">
        <f ca="1">MAX(SUM($N$13:N195)-SUM($T$13:T195),0)</f>
        <v>9731.650655737707</v>
      </c>
      <c r="R195" s="99">
        <f ca="1">Первоначальный[[#This Row],[Просроченный платеж по ОД]]+Первоначальный[[#This Row],[Просроченный платеж по процентам]]</f>
        <v>11574.700655737706</v>
      </c>
      <c r="S195" s="120">
        <f ca="1">IF(Первоначальный[[#This Row],[Просроченный платеж]]&lt;1,0,S194+1)</f>
        <v>91</v>
      </c>
      <c r="T195" s="100" cm="1">
        <f t="array" aca="1" ref="T195" ca="1">IF(Первоначальный[[#This Row],[Итого остаток на начало периода]]&lt;1,0,
IF(
AND(TYPE(VLOOKUP(1,$Z$12:Z195,1,0))=16,Первоначальный[[#This Row],[Досрочное погашение (да/"")]]=""),0,
_xlfn.IFS(AND(S194=0,Первоначальный[[#This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платеж]]&lt;&gt;0),MIN(LOOKUP(,-1/($Z$12:Z195=1),$C$12:C195)+LOOKUP(,-1/($Z$12:Z195=1),$H$12:H195),Первоначальный[[#This Row],[Полученный платеж]]+Y194),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платеж]]+Y194,SUM(Первоначальный[[#This Row],[Остаток процентов на начало периода]],Первоначальный[[#This Row],[Проценты за период]])),
AND(S194=0,Первоначальный[[#This Row],[Дата платежа из графика]]=""),0,
AND(S194=0,Первоначальный[[#This Row],[Дата платежа из графика]]=1,MAX((0&lt;&gt;S$12:S194)*ROW(S$12:S194),ROW($S$12))&gt;=MAX((1=Z$12:Z194)*ROW(Z$12:Z194),ROW($T$12)),TYPE(VLOOKUP("Да",(INDIRECT("AA"&amp;(MAX((1=Z$12:Z194)*ROW(Z$12:Z194),ROW($T$12))&amp;":AA"&amp;(ROW()-1)))),1,0))=16),MIN(LOOKUP(,-1/($Z$12:Z195=1),$C$12:C195)+LOOKUP(,-1/($Z$12:Z195=1),$H$12:H195),Первоначальный[[#This Row],[Полученный платеж]]+Y194),
AND(S194=0,TYPE(VLOOKUP("Да",(INDIRECT("AA"&amp;(MAX((1=Z$12:Z194)*ROW(Z$12:Z194),ROW($T$12))&amp;":AA"&amp;(ROW()-1)))),1,0))&lt;&gt;16),MIN(LOOKUP(,-1/($Z$12:Z195=1),$C$12:C195)+LOOKUP(,-1/($Z$12:Z195=1),$H$12:H195)-IF(AA194="Да",0,SUM(INDIRECT("T"&amp;(MAX(("Да"=AA$12:AA194)*ROW(AA$12:AA194)+1,ROW($T$12))&amp;":T"&amp;(ROW()-1))))),Первоначальный[[#This Row],[Полученный платеж]]+Y194),
AND(S194=0,MAX((0&lt;&gt;N$12:N194)*ROW(N$12:N194),ROW($S$12))&gt;=MAX((1=Z$12:Z194)*ROW(Z$12:Z194),ROW($T$12))),MIN(LOOKUP(,-1/($Z$12:Z195=1),$C$12:C195)+LOOKUP(,-1/($Z$12:Z195=1),$H$12:H195)-IF(N194&lt;&gt;0,0,SUM(INDIRECT("T"&amp;(MAX((0&lt;&gt;N$12:N194)*ROW(N$12:N194)+1,ROW($T$12))&amp;":T"&amp;(ROW()-1))))),Первоначальный[[#This Row],[Полученный платеж]]+Y194),
AND(S194=0,Первоначальный[[#This Row],[Дата платежа из графика]]=1),MIN(LOOKUP(,-1/($Z$12:Z195=1),$C$12:C195)+LOOKUP(,-1/($Z$12:Z195=1),$H$12:H195)-IF(Z194=1,0,SUM(INDIRECT("T"&amp;(MAX((1=Z$12:Z194)*ROW(Z$12:Z194)+1,ROW($T$12))&amp;":T"&amp;(ROW()-1))))),Первоначальный[[#This Row],[Полученный платеж]]+Y194),
AND(Z194&gt;0,Первоначальный[[#This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платеж]]+Y194),
AND(S194&gt;0,MAX((0&lt;&gt;S$12:S194)*ROW(S$12:S194),ROW($S$12))&gt;=MAX((1=Z$12:Z194)*ROW(Z$12:Z194),ROW($T$12)),TYPE(VLOOKUP("Да",(INDIRECT("AA"&amp;(MAX((1=Z$12:Z194)*ROW(Z$12:Z194),ROW($T$12))&amp;":AA"&amp;(ROW()-1)))),1,0))=16),MIN(LOOKUP(,-1/($Z$12:Z195=1),$C$12:C195)+LOOKUP(,-1/($Z$12:Z195=1),$H$12:H195)-SUM(INDIRECT("T"&amp;(MAX((1=Z$12:Z194)*ROW(Z$12:Z194),ROW($T$12))&amp;":T"&amp;(ROW()-1)))),Первоначальный[[#This Row],[Полученный платеж]]+Y194),
S194&gt;0,MIN(LOOKUP(,-1/($Z$12:Z195=1),$C$12:C195)+LOOKUP(,-1/($Z$12:Z195=1),$H$12:H195)-IF(Z194=1,0,SUM(INDIRECT("T"&amp;(MAX((1=Z$12:Z194)*ROW(Z$12:Z194)+1,ROW($T$12))&amp;":T"&amp;(ROW()-1))))),Первоначальный[[#This Row],[Полученный платеж]]+Y194)
)
)
)</f>
        <v>0</v>
      </c>
      <c r="U19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платеж]]+Y194-Первоначальный[[#This Row],[Полученный платёж по процентам]])</f>
        <v>0</v>
      </c>
      <c r="V195" s="55">
        <f t="shared" ca="1" si="25"/>
        <v>0</v>
      </c>
      <c r="W195" s="55" cm="1">
        <f t="array" aca="1" ref="W195" ca="1">IF(Первоначальный[[#This Row],[Итого остаток на начало периода]]&lt;1,0,
_xlfn.IFS(
AND(TYPE(VLOOKUP(1,$Z$12:Z195,1,0))=16,Первоначальный[[#This Row],[Досрочное погашение (да/"")]]=""),0,
AND(S194=0,Первоначальный[[#This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платеж]]+Y194-SUM(Первоначальный[[#This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комиссиям]]),VLOOKUP(LOOKUP(,-1/($Z$12:Z195=1),$A$12:A195),График[[Срок конец]:[Возврат основной суммы долга]],3,0)),
AND(S194=0,Первоначальный[[#This Row],[Дата платежа из графика]]="",Первоначальный[[#This Row],[Досрочное погашение (да/"")]]&lt;&gt;"Да"),0,
AND(S194=0,Первоначальный[[#This Row],[Досрочное погашение (да/"")]]=""),MIN(Первоначальный[[#This Row],[Полученный платеж]]+Y194-SUM(Первоначальный[[#This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комиссиям]]),VLOOKUP(LOOKUP(,-1/($Z$12:Z195=1),$A$12:A195),График[[Срок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платеж]]+Y194-SUM(Первоначальный[[#This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S194&gt;0,MIN(Первоначальный[[#This Row],[Полученный платеж]]+Y194-SUM(Первоначальный[[#This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комиссиям]]),SUM(INDIRECT("M"&amp;(MAX((1=S$12:S194)*ROW(S$12:S194),ROW($W$12))&amp;":M"&amp;(ROW()))))-SUM(INDIRECT("W"&amp;(MAX((1=S$12:S194)*ROW(S$12:S194),ROW($W$12))&amp;":W"&amp;(ROW()-1)))))
)
)</f>
        <v>0</v>
      </c>
      <c r="X195" s="55">
        <f t="shared" ca="1" si="26"/>
        <v>0</v>
      </c>
      <c r="Y195" s="101">
        <f t="shared" ca="1" si="33"/>
        <v>0</v>
      </c>
      <c r="Z195" s="133" t="str">
        <f>IF(TYPE((VLOOKUP(Первоначальный[[#This Row],[Дата платежа]],График[Срок конец],1,0)))=16,"",1)</f>
        <v/>
      </c>
      <c r="AA195" s="57"/>
      <c r="AB195" s="134"/>
      <c r="AC19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9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9812.7699999999986</v>
      </c>
      <c r="AE19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45.589999999999982</v>
      </c>
      <c r="AF19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9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2702.6437983606556</v>
      </c>
      <c r="AH195" s="55"/>
      <c r="AI195" s="55"/>
      <c r="AJ195" s="55"/>
      <c r="AK195" s="101">
        <f t="shared" ca="1" si="34"/>
        <v>162194.34379836064</v>
      </c>
      <c r="AL195" s="129">
        <f t="array" ref="AL195">MAX((УслРестрактов[Характеристика]="Дата реструктуризации")*(УслРестрактов[Значение]=Первоначальный!$A195),0)</f>
        <v>0</v>
      </c>
    </row>
    <row r="196" spans="1:38" x14ac:dyDescent="0.25">
      <c r="A196" s="97">
        <f t="shared" si="27"/>
        <v>44327</v>
      </c>
      <c r="B196" s="100">
        <f t="shared" ca="1" si="28"/>
        <v>149633.34</v>
      </c>
      <c r="C196" s="55">
        <f t="shared" ca="1" si="36"/>
        <v>9812.7699999999986</v>
      </c>
      <c r="D196" s="55">
        <f t="shared" ca="1" si="36"/>
        <v>45.589999999999982</v>
      </c>
      <c r="E196" s="55">
        <f t="shared" ca="1" si="29"/>
        <v>0</v>
      </c>
      <c r="F196" s="55">
        <f t="shared" ca="1" si="30"/>
        <v>2702.6437983606556</v>
      </c>
      <c r="G196" s="101">
        <f t="shared" ca="1" si="31"/>
        <v>162194.34379836064</v>
      </c>
      <c r="H196" s="100">
        <f ca="1">ROUND($B196*VLOOKUP($A196,$A$1:$B$10,2,1)/(365+IF(MOD(YEAR($A196),4),0,1)*($A196-$A195)),2)-Первоначальный[[#This Row],[Проценты на просроченный платеж по ОД за период]]</f>
        <v>80.58</v>
      </c>
      <c r="I196" s="55">
        <f t="shared" ca="1" si="32"/>
        <v>1</v>
      </c>
      <c r="J196" s="55">
        <v>0</v>
      </c>
      <c r="K196" s="55">
        <f t="shared" ca="1" si="35"/>
        <v>57.873503278688531</v>
      </c>
      <c r="L196" s="55">
        <v>0</v>
      </c>
      <c r="M196" s="113">
        <f>SUMIFS(График[Возврат основной суммы долга],График[Дата с учетом нерабочих дней],$A196)</f>
        <v>0</v>
      </c>
      <c r="N196" s="56">
        <f>SUMIFS(График[Возврат начисленных %],График[Дата с учетом нерабочих дней],$A196)</f>
        <v>0</v>
      </c>
      <c r="O196" s="101">
        <v>0</v>
      </c>
      <c r="P196" s="100" cm="1">
        <f t="array" aca="1" ref="P196" ca="1">MAX(IF(AA195="Да",0,SUM(INDIRECT("M"&amp;(MAX(("Да"=AA$12:AA195)*ROW(AA$12:AA195)+1,ROW($P$12))&amp;":M"&amp;(ROW()))))-SUM(INDIRECT("W"&amp;(MAX(("Да"=AA$12:AA195)*ROW(AA$12:AA195)+1,ROW($P$12))&amp;":W"&amp;(ROW()))))),0)</f>
        <v>1843.0499999999993</v>
      </c>
      <c r="Q196" s="99">
        <f ca="1">MAX(SUM($N$13:N196)-SUM($T$13:T196),0)</f>
        <v>9731.650655737707</v>
      </c>
      <c r="R196" s="99">
        <f ca="1">Первоначальный[[#This Row],[Просроченный платеж по ОД]]+Первоначальный[[#This Row],[Просроченный платеж по процентам]]</f>
        <v>11574.700655737706</v>
      </c>
      <c r="S196" s="120">
        <f ca="1">IF(Первоначальный[[#This Row],[Просроченный платеж]]&lt;1,0,S195+1)</f>
        <v>92</v>
      </c>
      <c r="T196" s="100" cm="1">
        <f t="array" aca="1" ref="T196" ca="1">IF(Первоначальный[[#This Row],[Итого остаток на начало периода]]&lt;1,0,
IF(
AND(TYPE(VLOOKUP(1,$Z$12:Z196,1,0))=16,Первоначальный[[#This Row],[Досрочное погашение (да/"")]]=""),0,
_xlfn.IFS(AND(S195=0,Первоначальный[[#This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платеж]]&lt;&gt;0),MIN(LOOKUP(,-1/($Z$12:Z196=1),$C$12:C196)+LOOKUP(,-1/($Z$12:Z196=1),$H$12:H196),Первоначальный[[#This Row],[Полученный платеж]]+Y195),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платеж]]+Y195,SUM(Первоначальный[[#This Row],[Остаток процентов на начало периода]],Первоначальный[[#This Row],[Проценты за период]])),
AND(S195=0,Первоначальный[[#This Row],[Дата платежа из графика]]=""),0,
AND(S195=0,Первоначальный[[#This Row],[Дата платежа из графика]]=1,MAX((0&lt;&gt;S$12:S195)*ROW(S$12:S195),ROW($S$12))&gt;=MAX((1=Z$12:Z195)*ROW(Z$12:Z195),ROW($T$12)),TYPE(VLOOKUP("Да",(INDIRECT("AA"&amp;(MAX((1=Z$12:Z195)*ROW(Z$12:Z195),ROW($T$12))&amp;":AA"&amp;(ROW()-1)))),1,0))=16),MIN(LOOKUP(,-1/($Z$12:Z196=1),$C$12:C196)+LOOKUP(,-1/($Z$12:Z196=1),$H$12:H196),Первоначальный[[#This Row],[Полученный платеж]]+Y195),
AND(S195=0,TYPE(VLOOKUP("Да",(INDIRECT("AA"&amp;(MAX((1=Z$12:Z195)*ROW(Z$12:Z195),ROW($T$12))&amp;":AA"&amp;(ROW()-1)))),1,0))&lt;&gt;16),MIN(LOOKUP(,-1/($Z$12:Z196=1),$C$12:C196)+LOOKUP(,-1/($Z$12:Z196=1),$H$12:H196)-IF(AA195="Да",0,SUM(INDIRECT("T"&amp;(MAX(("Да"=AA$12:AA195)*ROW(AA$12:AA195)+1,ROW($T$12))&amp;":T"&amp;(ROW()-1))))),Первоначальный[[#This Row],[Полученный платеж]]+Y195),
AND(S195=0,MAX((0&lt;&gt;N$12:N195)*ROW(N$12:N195),ROW($S$12))&gt;=MAX((1=Z$12:Z195)*ROW(Z$12:Z195),ROW($T$12))),MIN(LOOKUP(,-1/($Z$12:Z196=1),$C$12:C196)+LOOKUP(,-1/($Z$12:Z196=1),$H$12:H196)-IF(N195&lt;&gt;0,0,SUM(INDIRECT("T"&amp;(MAX((0&lt;&gt;N$12:N195)*ROW(N$12:N195)+1,ROW($T$12))&amp;":T"&amp;(ROW()-1))))),Первоначальный[[#This Row],[Полученный платеж]]+Y195),
AND(S195=0,Первоначальный[[#This Row],[Дата платежа из графика]]=1),MIN(LOOKUP(,-1/($Z$12:Z196=1),$C$12:C196)+LOOKUP(,-1/($Z$12:Z196=1),$H$12:H196)-IF(Z195=1,0,SUM(INDIRECT("T"&amp;(MAX((1=Z$12:Z195)*ROW(Z$12:Z195)+1,ROW($T$12))&amp;":T"&amp;(ROW()-1))))),Первоначальный[[#This Row],[Полученный платеж]]+Y195),
AND(Z195&gt;0,Первоначальный[[#This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платеж]]+Y195),
AND(S195&gt;0,MAX((0&lt;&gt;S$12:S195)*ROW(S$12:S195),ROW($S$12))&gt;=MAX((1=Z$12:Z195)*ROW(Z$12:Z195),ROW($T$12)),TYPE(VLOOKUP("Да",(INDIRECT("AA"&amp;(MAX((1=Z$12:Z195)*ROW(Z$12:Z195),ROW($T$12))&amp;":AA"&amp;(ROW()-1)))),1,0))=16),MIN(LOOKUP(,-1/($Z$12:Z196=1),$C$12:C196)+LOOKUP(,-1/($Z$12:Z196=1),$H$12:H196)-SUM(INDIRECT("T"&amp;(MAX((1=Z$12:Z195)*ROW(Z$12:Z195),ROW($T$12))&amp;":T"&amp;(ROW()-1)))),Первоначальный[[#This Row],[Полученный платеж]]+Y195),
S195&gt;0,MIN(LOOKUP(,-1/($Z$12:Z196=1),$C$12:C196)+LOOKUP(,-1/($Z$12:Z196=1),$H$12:H196)-IF(Z195=1,0,SUM(INDIRECT("T"&amp;(MAX((1=Z$12:Z195)*ROW(Z$12:Z195)+1,ROW($T$12))&amp;":T"&amp;(ROW()-1))))),Первоначальный[[#This Row],[Полученный платеж]]+Y195)
)
)
)</f>
        <v>0</v>
      </c>
      <c r="U19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платеж]]+Y195-Первоначальный[[#This Row],[Полученный платёж по процентам]])</f>
        <v>0</v>
      </c>
      <c r="V196" s="55">
        <f t="shared" ca="1" si="25"/>
        <v>0</v>
      </c>
      <c r="W196" s="55" cm="1">
        <f t="array" aca="1" ref="W196" ca="1">IF(Первоначальный[[#This Row],[Итого остаток на начало периода]]&lt;1,0,
_xlfn.IFS(
AND(TYPE(VLOOKUP(1,$Z$12:Z196,1,0))=16,Первоначальный[[#This Row],[Досрочное погашение (да/"")]]=""),0,
AND(S195=0,Первоначальный[[#This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платеж]]+Y195-SUM(Первоначальный[[#This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комиссиям]]),VLOOKUP(LOOKUP(,-1/($Z$12:Z196=1),$A$12:A196),График[[Срок конец]:[Возврат основной суммы долга]],3,0)),
AND(S195=0,Первоначальный[[#This Row],[Дата платежа из графика]]="",Первоначальный[[#This Row],[Досрочное погашение (да/"")]]&lt;&gt;"Да"),0,
AND(S195=0,Первоначальный[[#This Row],[Досрочное погашение (да/"")]]=""),MIN(Первоначальный[[#This Row],[Полученный платеж]]+Y195-SUM(Первоначальный[[#This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комиссиям]]),VLOOKUP(LOOKUP(,-1/($Z$12:Z196=1),$A$12:A196),График[[Срок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платеж]]+Y195-SUM(Первоначальный[[#This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S195&gt;0,MIN(Первоначальный[[#This Row],[Полученный платеж]]+Y195-SUM(Первоначальный[[#This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комиссиям]]),SUM(INDIRECT("M"&amp;(MAX((1=S$12:S195)*ROW(S$12:S195),ROW($W$12))&amp;":M"&amp;(ROW()))))-SUM(INDIRECT("W"&amp;(MAX((1=S$12:S195)*ROW(S$12:S195),ROW($W$12))&amp;":W"&amp;(ROW()-1)))))
)
)</f>
        <v>0</v>
      </c>
      <c r="X196" s="55">
        <f t="shared" ca="1" si="26"/>
        <v>0</v>
      </c>
      <c r="Y196" s="101">
        <f t="shared" ca="1" si="33"/>
        <v>0</v>
      </c>
      <c r="Z196" s="133" t="str">
        <f>IF(TYPE((VLOOKUP(Первоначальный[[#This Row],[Дата платежа]],График[Срок конец],1,0)))=16,"",1)</f>
        <v/>
      </c>
      <c r="AA196" s="57"/>
      <c r="AB196" s="134"/>
      <c r="AC19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9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9893.3499999999985</v>
      </c>
      <c r="AE19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46.589999999999982</v>
      </c>
      <c r="AF19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9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2760.5173016393442</v>
      </c>
      <c r="AH196" s="55"/>
      <c r="AI196" s="55"/>
      <c r="AJ196" s="55"/>
      <c r="AK196" s="101">
        <f t="shared" ca="1" si="34"/>
        <v>162333.79730163934</v>
      </c>
      <c r="AL196" s="129">
        <f t="array" ref="AL196">MAX((УслРестрактов[Характеристика]="Дата реструктуризации")*(УслРестрактов[Значение]=Первоначальный!$A196),0)</f>
        <v>0</v>
      </c>
    </row>
    <row r="197" spans="1:38" x14ac:dyDescent="0.25">
      <c r="A197" s="97">
        <f t="shared" si="27"/>
        <v>44328</v>
      </c>
      <c r="B197" s="100">
        <f t="shared" ca="1" si="28"/>
        <v>149633.34</v>
      </c>
      <c r="C197" s="55">
        <f t="shared" ca="1" si="36"/>
        <v>9893.3499999999985</v>
      </c>
      <c r="D197" s="55">
        <f t="shared" ca="1" si="36"/>
        <v>46.589999999999982</v>
      </c>
      <c r="E197" s="55">
        <f t="shared" ca="1" si="29"/>
        <v>0</v>
      </c>
      <c r="F197" s="55">
        <f t="shared" ca="1" si="30"/>
        <v>2760.5173016393442</v>
      </c>
      <c r="G197" s="101">
        <f t="shared" ca="1" si="31"/>
        <v>162333.79730163934</v>
      </c>
      <c r="H197" s="100">
        <f ca="1">ROUND($B197*VLOOKUP($A197,$A$1:$B$10,2,1)/(365+IF(MOD(YEAR($A197),4),0,1)*($A197-$A196)),2)-Первоначальный[[#This Row],[Проценты на просроченный платеж по ОД за период]]</f>
        <v>80.58</v>
      </c>
      <c r="I197" s="55">
        <f t="shared" ca="1" si="32"/>
        <v>1</v>
      </c>
      <c r="J197" s="55">
        <v>0</v>
      </c>
      <c r="K197" s="55">
        <f t="shared" ca="1" si="35"/>
        <v>57.873503278688531</v>
      </c>
      <c r="L197" s="55">
        <v>0</v>
      </c>
      <c r="M197" s="113">
        <f>SUMIFS(График[Возврат основной суммы долга],График[Дата с учетом нерабочих дней],$A197)</f>
        <v>0</v>
      </c>
      <c r="N197" s="56">
        <f>SUMIFS(График[Возврат начисленных %],График[Дата с учетом нерабочих дней],$A197)</f>
        <v>0</v>
      </c>
      <c r="O197" s="101">
        <v>0</v>
      </c>
      <c r="P197" s="100" cm="1">
        <f t="array" aca="1" ref="P197" ca="1">MAX(IF(AA196="Да",0,SUM(INDIRECT("M"&amp;(MAX(("Да"=AA$12:AA196)*ROW(AA$12:AA196)+1,ROW($P$12))&amp;":M"&amp;(ROW()))))-SUM(INDIRECT("W"&amp;(MAX(("Да"=AA$12:AA196)*ROW(AA$12:AA196)+1,ROW($P$12))&amp;":W"&amp;(ROW()))))),0)</f>
        <v>1843.0499999999993</v>
      </c>
      <c r="Q197" s="99">
        <f ca="1">MAX(SUM($N$13:N197)-SUM($T$13:T197),0)</f>
        <v>9731.650655737707</v>
      </c>
      <c r="R197" s="99">
        <f ca="1">Первоначальный[[#This Row],[Просроченный платеж по ОД]]+Первоначальный[[#This Row],[Просроченный платеж по процентам]]</f>
        <v>11574.700655737706</v>
      </c>
      <c r="S197" s="120">
        <f ca="1">IF(Первоначальный[[#This Row],[Просроченный платеж]]&lt;1,0,S196+1)</f>
        <v>93</v>
      </c>
      <c r="T197" s="100" cm="1">
        <f t="array" aca="1" ref="T197" ca="1">IF(Первоначальный[[#This Row],[Итого остаток на начало периода]]&lt;1,0,
IF(
AND(TYPE(VLOOKUP(1,$Z$12:Z197,1,0))=16,Первоначальный[[#This Row],[Досрочное погашение (да/"")]]=""),0,
_xlfn.IFS(AND(S196=0,Первоначальный[[#This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платеж]]&lt;&gt;0),MIN(LOOKUP(,-1/($Z$12:Z197=1),$C$12:C197)+LOOKUP(,-1/($Z$12:Z197=1),$H$12:H197),Первоначальный[[#This Row],[Полученный платеж]]+Y196),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платеж]]+Y196,SUM(Первоначальный[[#This Row],[Остаток процентов на начало периода]],Первоначальный[[#This Row],[Проценты за период]])),
AND(S196=0,Первоначальный[[#This Row],[Дата платежа из графика]]=""),0,
AND(S196=0,Первоначальный[[#This Row],[Дата платежа из графика]]=1,MAX((0&lt;&gt;S$12:S196)*ROW(S$12:S196),ROW($S$12))&gt;=MAX((1=Z$12:Z196)*ROW(Z$12:Z196),ROW($T$12)),TYPE(VLOOKUP("Да",(INDIRECT("AA"&amp;(MAX((1=Z$12:Z196)*ROW(Z$12:Z196),ROW($T$12))&amp;":AA"&amp;(ROW()-1)))),1,0))=16),MIN(LOOKUP(,-1/($Z$12:Z197=1),$C$12:C197)+LOOKUP(,-1/($Z$12:Z197=1),$H$12:H197),Первоначальный[[#This Row],[Полученный платеж]]+Y196),
AND(S196=0,TYPE(VLOOKUP("Да",(INDIRECT("AA"&amp;(MAX((1=Z$12:Z196)*ROW(Z$12:Z196),ROW($T$12))&amp;":AA"&amp;(ROW()-1)))),1,0))&lt;&gt;16),MIN(LOOKUP(,-1/($Z$12:Z197=1),$C$12:C197)+LOOKUP(,-1/($Z$12:Z197=1),$H$12:H197)-IF(AA196="Да",0,SUM(INDIRECT("T"&amp;(MAX(("Да"=AA$12:AA196)*ROW(AA$12:AA196)+1,ROW($T$12))&amp;":T"&amp;(ROW()-1))))),Первоначальный[[#This Row],[Полученный платеж]]+Y196),
AND(S196=0,MAX((0&lt;&gt;N$12:N196)*ROW(N$12:N196),ROW($S$12))&gt;=MAX((1=Z$12:Z196)*ROW(Z$12:Z196),ROW($T$12))),MIN(LOOKUP(,-1/($Z$12:Z197=1),$C$12:C197)+LOOKUP(,-1/($Z$12:Z197=1),$H$12:H197)-IF(N196&lt;&gt;0,0,SUM(INDIRECT("T"&amp;(MAX((0&lt;&gt;N$12:N196)*ROW(N$12:N196)+1,ROW($T$12))&amp;":T"&amp;(ROW()-1))))),Первоначальный[[#This Row],[Полученный платеж]]+Y196),
AND(S196=0,Первоначальный[[#This Row],[Дата платежа из графика]]=1),MIN(LOOKUP(,-1/($Z$12:Z197=1),$C$12:C197)+LOOKUP(,-1/($Z$12:Z197=1),$H$12:H197)-IF(Z196=1,0,SUM(INDIRECT("T"&amp;(MAX((1=Z$12:Z196)*ROW(Z$12:Z196)+1,ROW($T$12))&amp;":T"&amp;(ROW()-1))))),Первоначальный[[#This Row],[Полученный платеж]]+Y196),
AND(Z196&gt;0,Первоначальный[[#This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платеж]]+Y196),
AND(S196&gt;0,MAX((0&lt;&gt;S$12:S196)*ROW(S$12:S196),ROW($S$12))&gt;=MAX((1=Z$12:Z196)*ROW(Z$12:Z196),ROW($T$12)),TYPE(VLOOKUP("Да",(INDIRECT("AA"&amp;(MAX((1=Z$12:Z196)*ROW(Z$12:Z196),ROW($T$12))&amp;":AA"&amp;(ROW()-1)))),1,0))=16),MIN(LOOKUP(,-1/($Z$12:Z197=1),$C$12:C197)+LOOKUP(,-1/($Z$12:Z197=1),$H$12:H197)-SUM(INDIRECT("T"&amp;(MAX((1=Z$12:Z196)*ROW(Z$12:Z196),ROW($T$12))&amp;":T"&amp;(ROW()-1)))),Первоначальный[[#This Row],[Полученный платеж]]+Y196),
S196&gt;0,MIN(LOOKUP(,-1/($Z$12:Z197=1),$C$12:C197)+LOOKUP(,-1/($Z$12:Z197=1),$H$12:H197)-IF(Z196=1,0,SUM(INDIRECT("T"&amp;(MAX((1=Z$12:Z196)*ROW(Z$12:Z196)+1,ROW($T$12))&amp;":T"&amp;(ROW()-1))))),Первоначальный[[#This Row],[Полученный платеж]]+Y196)
)
)
)</f>
        <v>0</v>
      </c>
      <c r="U19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платеж]]+Y196-Первоначальный[[#This Row],[Полученный платёж по процентам]])</f>
        <v>0</v>
      </c>
      <c r="V197" s="55">
        <f t="shared" ca="1" si="25"/>
        <v>0</v>
      </c>
      <c r="W197" s="55" cm="1">
        <f t="array" aca="1" ref="W197" ca="1">IF(Первоначальный[[#This Row],[Итого остаток на начало периода]]&lt;1,0,
_xlfn.IFS(
AND(TYPE(VLOOKUP(1,$Z$12:Z197,1,0))=16,Первоначальный[[#This Row],[Досрочное погашение (да/"")]]=""),0,
AND(S196=0,Первоначальный[[#This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платеж]]+Y196-SUM(Первоначальный[[#This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комиссиям]]),VLOOKUP(LOOKUP(,-1/($Z$12:Z197=1),$A$12:A197),График[[Срок конец]:[Возврат основной суммы долга]],3,0)),
AND(S196=0,Первоначальный[[#This Row],[Дата платежа из графика]]="",Первоначальный[[#This Row],[Досрочное погашение (да/"")]]&lt;&gt;"Да"),0,
AND(S196=0,Первоначальный[[#This Row],[Досрочное погашение (да/"")]]=""),MIN(Первоначальный[[#This Row],[Полученный платеж]]+Y196-SUM(Первоначальный[[#This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комиссиям]]),VLOOKUP(LOOKUP(,-1/($Z$12:Z197=1),$A$12:A197),График[[Срок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платеж]]+Y196-SUM(Первоначальный[[#This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S196&gt;0,MIN(Первоначальный[[#This Row],[Полученный платеж]]+Y196-SUM(Первоначальный[[#This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комиссиям]]),SUM(INDIRECT("M"&amp;(MAX((1=S$12:S196)*ROW(S$12:S196),ROW($W$12))&amp;":M"&amp;(ROW()))))-SUM(INDIRECT("W"&amp;(MAX((1=S$12:S196)*ROW(S$12:S196),ROW($W$12))&amp;":W"&amp;(ROW()-1)))))
)
)</f>
        <v>0</v>
      </c>
      <c r="X197" s="55">
        <f t="shared" ca="1" si="26"/>
        <v>0</v>
      </c>
      <c r="Y197" s="101">
        <f t="shared" ca="1" si="33"/>
        <v>0</v>
      </c>
      <c r="Z197" s="133" t="str">
        <f>IF(TYPE((VLOOKUP(Первоначальный[[#This Row],[Дата платежа]],График[Срок конец],1,0)))=16,"",1)</f>
        <v/>
      </c>
      <c r="AA197" s="57"/>
      <c r="AB197" s="134"/>
      <c r="AC19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9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9973.9299999999985</v>
      </c>
      <c r="AE19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47.589999999999982</v>
      </c>
      <c r="AF19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9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2818.3908049180327</v>
      </c>
      <c r="AH197" s="55"/>
      <c r="AI197" s="55"/>
      <c r="AJ197" s="55"/>
      <c r="AK197" s="101">
        <f t="shared" ca="1" si="34"/>
        <v>162473.25080491803</v>
      </c>
      <c r="AL197" s="129">
        <f t="array" ref="AL197">MAX((УслРестрактов[Характеристика]="Дата реструктуризации")*(УслРестрактов[Значение]=Первоначальный!$A197),0)</f>
        <v>0</v>
      </c>
    </row>
    <row r="198" spans="1:38" x14ac:dyDescent="0.25">
      <c r="A198" s="97">
        <f t="shared" si="27"/>
        <v>44329</v>
      </c>
      <c r="B198" s="100">
        <f t="shared" ca="1" si="28"/>
        <v>149633.34</v>
      </c>
      <c r="C198" s="55">
        <f t="shared" ca="1" si="36"/>
        <v>9973.9299999999985</v>
      </c>
      <c r="D198" s="55">
        <f t="shared" ca="1" si="36"/>
        <v>47.589999999999982</v>
      </c>
      <c r="E198" s="55">
        <f t="shared" ca="1" si="29"/>
        <v>0</v>
      </c>
      <c r="F198" s="55">
        <f t="shared" ca="1" si="30"/>
        <v>2818.3908049180327</v>
      </c>
      <c r="G198" s="101">
        <f t="shared" ca="1" si="31"/>
        <v>162473.25080491803</v>
      </c>
      <c r="H198" s="100">
        <f ca="1">ROUND($B198*VLOOKUP($A198,$A$1:$B$10,2,1)/(365+IF(MOD(YEAR($A198),4),0,1)*($A198-$A197)),2)-Первоначальный[[#This Row],[Проценты на просроченный платеж по ОД за период]]</f>
        <v>80.58</v>
      </c>
      <c r="I198" s="55">
        <f t="shared" ca="1" si="32"/>
        <v>1</v>
      </c>
      <c r="J198" s="55">
        <v>0</v>
      </c>
      <c r="K198" s="55">
        <f t="shared" ca="1" si="35"/>
        <v>57.873503278688531</v>
      </c>
      <c r="L198" s="55">
        <v>0</v>
      </c>
      <c r="M198" s="113">
        <f>SUMIFS(График[Возврат основной суммы долга],График[Дата с учетом нерабочих дней],$A198)</f>
        <v>0</v>
      </c>
      <c r="N198" s="56">
        <f>SUMIFS(График[Возврат начисленных %],График[Дата с учетом нерабочих дней],$A198)</f>
        <v>0</v>
      </c>
      <c r="O198" s="101">
        <v>0</v>
      </c>
      <c r="P198" s="100" cm="1">
        <f t="array" aca="1" ref="P198" ca="1">MAX(IF(AA197="Да",0,SUM(INDIRECT("M"&amp;(MAX(("Да"=AA$12:AA197)*ROW(AA$12:AA197)+1,ROW($P$12))&amp;":M"&amp;(ROW()))))-SUM(INDIRECT("W"&amp;(MAX(("Да"=AA$12:AA197)*ROW(AA$12:AA197)+1,ROW($P$12))&amp;":W"&amp;(ROW()))))),0)</f>
        <v>1843.0499999999993</v>
      </c>
      <c r="Q198" s="99">
        <f ca="1">MAX(SUM($N$13:N198)-SUM($T$13:T198),0)</f>
        <v>9731.650655737707</v>
      </c>
      <c r="R198" s="99">
        <f ca="1">Первоначальный[[#This Row],[Просроченный платеж по ОД]]+Первоначальный[[#This Row],[Просроченный платеж по процентам]]</f>
        <v>11574.700655737706</v>
      </c>
      <c r="S198" s="120">
        <f ca="1">IF(Первоначальный[[#This Row],[Просроченный платеж]]&lt;1,0,S197+1)</f>
        <v>94</v>
      </c>
      <c r="T198" s="100" cm="1">
        <f t="array" aca="1" ref="T198" ca="1">IF(Первоначальный[[#This Row],[Итого остаток на начало периода]]&lt;1,0,
IF(
AND(TYPE(VLOOKUP(1,$Z$12:Z198,1,0))=16,Первоначальный[[#This Row],[Досрочное погашение (да/"")]]=""),0,
_xlfn.IFS(AND(S197=0,Первоначальный[[#This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платеж]]&lt;&gt;0),MIN(LOOKUP(,-1/($Z$12:Z198=1),$C$12:C198)+LOOKUP(,-1/($Z$12:Z198=1),$H$12:H198),Первоначальный[[#This Row],[Полученный платеж]]+Y197),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платеж]]+Y197,SUM(Первоначальный[[#This Row],[Остаток процентов на начало периода]],Первоначальный[[#This Row],[Проценты за период]])),
AND(S197=0,Первоначальный[[#This Row],[Дата платежа из графика]]=""),0,
AND(S197=0,Первоначальный[[#This Row],[Дата платежа из графика]]=1,MAX((0&lt;&gt;S$12:S197)*ROW(S$12:S197),ROW($S$12))&gt;=MAX((1=Z$12:Z197)*ROW(Z$12:Z197),ROW($T$12)),TYPE(VLOOKUP("Да",(INDIRECT("AA"&amp;(MAX((1=Z$12:Z197)*ROW(Z$12:Z197),ROW($T$12))&amp;":AA"&amp;(ROW()-1)))),1,0))=16),MIN(LOOKUP(,-1/($Z$12:Z198=1),$C$12:C198)+LOOKUP(,-1/($Z$12:Z198=1),$H$12:H198),Первоначальный[[#This Row],[Полученный платеж]]+Y197),
AND(S197=0,TYPE(VLOOKUP("Да",(INDIRECT("AA"&amp;(MAX((1=Z$12:Z197)*ROW(Z$12:Z197),ROW($T$12))&amp;":AA"&amp;(ROW()-1)))),1,0))&lt;&gt;16),MIN(LOOKUP(,-1/($Z$12:Z198=1),$C$12:C198)+LOOKUP(,-1/($Z$12:Z198=1),$H$12:H198)-IF(AA197="Да",0,SUM(INDIRECT("T"&amp;(MAX(("Да"=AA$12:AA197)*ROW(AA$12:AA197)+1,ROW($T$12))&amp;":T"&amp;(ROW()-1))))),Первоначальный[[#This Row],[Полученный платеж]]+Y197),
AND(S197=0,MAX((0&lt;&gt;N$12:N197)*ROW(N$12:N197),ROW($S$12))&gt;=MAX((1=Z$12:Z197)*ROW(Z$12:Z197),ROW($T$12))),MIN(LOOKUP(,-1/($Z$12:Z198=1),$C$12:C198)+LOOKUP(,-1/($Z$12:Z198=1),$H$12:H198)-IF(N197&lt;&gt;0,0,SUM(INDIRECT("T"&amp;(MAX((0&lt;&gt;N$12:N197)*ROW(N$12:N197)+1,ROW($T$12))&amp;":T"&amp;(ROW()-1))))),Первоначальный[[#This Row],[Полученный платеж]]+Y197),
AND(S197=0,Первоначальный[[#This Row],[Дата платежа из графика]]=1),MIN(LOOKUP(,-1/($Z$12:Z198=1),$C$12:C198)+LOOKUP(,-1/($Z$12:Z198=1),$H$12:H198)-IF(Z197=1,0,SUM(INDIRECT("T"&amp;(MAX((1=Z$12:Z197)*ROW(Z$12:Z197)+1,ROW($T$12))&amp;":T"&amp;(ROW()-1))))),Первоначальный[[#This Row],[Полученный платеж]]+Y197),
AND(Z197&gt;0,Первоначальный[[#This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платеж]]+Y197),
AND(S197&gt;0,MAX((0&lt;&gt;S$12:S197)*ROW(S$12:S197),ROW($S$12))&gt;=MAX((1=Z$12:Z197)*ROW(Z$12:Z197),ROW($T$12)),TYPE(VLOOKUP("Да",(INDIRECT("AA"&amp;(MAX((1=Z$12:Z197)*ROW(Z$12:Z197),ROW($T$12))&amp;":AA"&amp;(ROW()-1)))),1,0))=16),MIN(LOOKUP(,-1/($Z$12:Z198=1),$C$12:C198)+LOOKUP(,-1/($Z$12:Z198=1),$H$12:H198)-SUM(INDIRECT("T"&amp;(MAX((1=Z$12:Z197)*ROW(Z$12:Z197),ROW($T$12))&amp;":T"&amp;(ROW()-1)))),Первоначальный[[#This Row],[Полученный платеж]]+Y197),
S197&gt;0,MIN(LOOKUP(,-1/($Z$12:Z198=1),$C$12:C198)+LOOKUP(,-1/($Z$12:Z198=1),$H$12:H198)-IF(Z197=1,0,SUM(INDIRECT("T"&amp;(MAX((1=Z$12:Z197)*ROW(Z$12:Z197)+1,ROW($T$12))&amp;":T"&amp;(ROW()-1))))),Первоначальный[[#This Row],[Полученный платеж]]+Y197)
)
)
)</f>
        <v>0</v>
      </c>
      <c r="U19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платеж]]+Y197-Первоначальный[[#This Row],[Полученный платёж по процентам]])</f>
        <v>0</v>
      </c>
      <c r="V198" s="55">
        <f t="shared" ca="1" si="25"/>
        <v>0</v>
      </c>
      <c r="W198" s="55" cm="1">
        <f t="array" aca="1" ref="W198" ca="1">IF(Первоначальный[[#This Row],[Итого остаток на начало периода]]&lt;1,0,
_xlfn.IFS(
AND(TYPE(VLOOKUP(1,$Z$12:Z198,1,0))=16,Первоначальный[[#This Row],[Досрочное погашение (да/"")]]=""),0,
AND(S197=0,Первоначальный[[#This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платеж]]+Y197-SUM(Первоначальный[[#This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комиссиям]]),VLOOKUP(LOOKUP(,-1/($Z$12:Z198=1),$A$12:A198),График[[Срок конец]:[Возврат основной суммы долга]],3,0)),
AND(S197=0,Первоначальный[[#This Row],[Дата платежа из графика]]="",Первоначальный[[#This Row],[Досрочное погашение (да/"")]]&lt;&gt;"Да"),0,
AND(S197=0,Первоначальный[[#This Row],[Досрочное погашение (да/"")]]=""),MIN(Первоначальный[[#This Row],[Полученный платеж]]+Y197-SUM(Первоначальный[[#This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комиссиям]]),VLOOKUP(LOOKUP(,-1/($Z$12:Z198=1),$A$12:A198),График[[Срок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платеж]]+Y197-SUM(Первоначальный[[#This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S197&gt;0,MIN(Первоначальный[[#This Row],[Полученный платеж]]+Y197-SUM(Первоначальный[[#This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комиссиям]]),SUM(INDIRECT("M"&amp;(MAX((1=S$12:S197)*ROW(S$12:S197),ROW($W$12))&amp;":M"&amp;(ROW()))))-SUM(INDIRECT("W"&amp;(MAX((1=S$12:S197)*ROW(S$12:S197),ROW($W$12))&amp;":W"&amp;(ROW()-1)))))
)
)</f>
        <v>0</v>
      </c>
      <c r="X198" s="55">
        <f t="shared" ca="1" si="26"/>
        <v>0</v>
      </c>
      <c r="Y198" s="101">
        <f t="shared" ca="1" si="33"/>
        <v>0</v>
      </c>
      <c r="Z198" s="133" t="str">
        <f>IF(TYPE((VLOOKUP(Первоначальный[[#This Row],[Дата платежа]],График[Срок конец],1,0)))=16,"",1)</f>
        <v/>
      </c>
      <c r="AA198" s="57"/>
      <c r="AB198" s="134"/>
      <c r="AC19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9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10054.509999999998</v>
      </c>
      <c r="AE19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48.589999999999982</v>
      </c>
      <c r="AF19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9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2876.2643081967212</v>
      </c>
      <c r="AH198" s="55"/>
      <c r="AI198" s="55"/>
      <c r="AJ198" s="55"/>
      <c r="AK198" s="101">
        <f t="shared" ca="1" si="34"/>
        <v>162612.70430819673</v>
      </c>
      <c r="AL198" s="129">
        <f t="array" ref="AL198">MAX((УслРестрактов[Характеристика]="Дата реструктуризации")*(УслРестрактов[Значение]=Первоначальный!$A198),0)</f>
        <v>0</v>
      </c>
    </row>
    <row r="199" spans="1:38" x14ac:dyDescent="0.25">
      <c r="A199" s="97">
        <f t="shared" si="27"/>
        <v>44330</v>
      </c>
      <c r="B199" s="100">
        <f t="shared" ca="1" si="28"/>
        <v>149633.34</v>
      </c>
      <c r="C199" s="55">
        <f t="shared" ca="1" si="36"/>
        <v>10054.509999999998</v>
      </c>
      <c r="D199" s="55">
        <f t="shared" ca="1" si="36"/>
        <v>48.589999999999982</v>
      </c>
      <c r="E199" s="55">
        <f t="shared" ca="1" si="29"/>
        <v>0</v>
      </c>
      <c r="F199" s="55">
        <f t="shared" ca="1" si="30"/>
        <v>2876.2643081967212</v>
      </c>
      <c r="G199" s="101">
        <f t="shared" ca="1" si="31"/>
        <v>162612.70430819673</v>
      </c>
      <c r="H199" s="100">
        <f ca="1">ROUND($B199*VLOOKUP($A199,$A$1:$B$10,2,1)/(365+IF(MOD(YEAR($A199),4),0,1)*($A199-$A198)),2)-Первоначальный[[#This Row],[Проценты на просроченный платеж по ОД за период]]</f>
        <v>80.58</v>
      </c>
      <c r="I199" s="55">
        <f t="shared" ca="1" si="32"/>
        <v>1</v>
      </c>
      <c r="J199" s="55">
        <v>0</v>
      </c>
      <c r="K199" s="55">
        <f t="shared" ca="1" si="35"/>
        <v>57.873503278688531</v>
      </c>
      <c r="L199" s="55">
        <v>0</v>
      </c>
      <c r="M199" s="113">
        <f>SUMIFS(График[Возврат основной суммы долга],График[Дата с учетом нерабочих дней],$A199)</f>
        <v>0</v>
      </c>
      <c r="N199" s="56">
        <f>SUMIFS(График[Возврат начисленных %],График[Дата с учетом нерабочих дней],$A199)</f>
        <v>0</v>
      </c>
      <c r="O199" s="101">
        <v>0</v>
      </c>
      <c r="P199" s="100" cm="1">
        <f t="array" aca="1" ref="P199" ca="1">MAX(IF(AA198="Да",0,SUM(INDIRECT("M"&amp;(MAX(("Да"=AA$12:AA198)*ROW(AA$12:AA198)+1,ROW($P$12))&amp;":M"&amp;(ROW()))))-SUM(INDIRECT("W"&amp;(MAX(("Да"=AA$12:AA198)*ROW(AA$12:AA198)+1,ROW($P$12))&amp;":W"&amp;(ROW()))))),0)</f>
        <v>1843.0499999999993</v>
      </c>
      <c r="Q199" s="99">
        <f ca="1">MAX(SUM($N$13:N199)-SUM($T$13:T199),0)</f>
        <v>9731.650655737707</v>
      </c>
      <c r="R199" s="99">
        <f ca="1">Первоначальный[[#This Row],[Просроченный платеж по ОД]]+Первоначальный[[#This Row],[Просроченный платеж по процентам]]</f>
        <v>11574.700655737706</v>
      </c>
      <c r="S199" s="120">
        <f ca="1">IF(Первоначальный[[#This Row],[Просроченный платеж]]&lt;1,0,S198+1)</f>
        <v>95</v>
      </c>
      <c r="T199" s="100" cm="1">
        <f t="array" aca="1" ref="T199" ca="1">IF(Первоначальный[[#This Row],[Итого остаток на начало периода]]&lt;1,0,
IF(
AND(TYPE(VLOOKUP(1,$Z$12:Z199,1,0))=16,Первоначальный[[#This Row],[Досрочное погашение (да/"")]]=""),0,
_xlfn.IFS(AND(S198=0,Первоначальный[[#This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платеж]]&lt;&gt;0),MIN(LOOKUP(,-1/($Z$12:Z199=1),$C$12:C199)+LOOKUP(,-1/($Z$12:Z199=1),$H$12:H199),Первоначальный[[#This Row],[Полученный платеж]]+Y198),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платеж]]+Y198,SUM(Первоначальный[[#This Row],[Остаток процентов на начало периода]],Первоначальный[[#This Row],[Проценты за период]])),
AND(S198=0,Первоначальный[[#This Row],[Дата платежа из графика]]=""),0,
AND(S198=0,Первоначальный[[#This Row],[Дата платежа из графика]]=1,MAX((0&lt;&gt;S$12:S198)*ROW(S$12:S198),ROW($S$12))&gt;=MAX((1=Z$12:Z198)*ROW(Z$12:Z198),ROW($T$12)),TYPE(VLOOKUP("Да",(INDIRECT("AA"&amp;(MAX((1=Z$12:Z198)*ROW(Z$12:Z198),ROW($T$12))&amp;":AA"&amp;(ROW()-1)))),1,0))=16),MIN(LOOKUP(,-1/($Z$12:Z199=1),$C$12:C199)+LOOKUP(,-1/($Z$12:Z199=1),$H$12:H199),Первоначальный[[#This Row],[Полученный платеж]]+Y198),
AND(S198=0,TYPE(VLOOKUP("Да",(INDIRECT("AA"&amp;(MAX((1=Z$12:Z198)*ROW(Z$12:Z198),ROW($T$12))&amp;":AA"&amp;(ROW()-1)))),1,0))&lt;&gt;16),MIN(LOOKUP(,-1/($Z$12:Z199=1),$C$12:C199)+LOOKUP(,-1/($Z$12:Z199=1),$H$12:H199)-IF(AA198="Да",0,SUM(INDIRECT("T"&amp;(MAX(("Да"=AA$12:AA198)*ROW(AA$12:AA198)+1,ROW($T$12))&amp;":T"&amp;(ROW()-1))))),Первоначальный[[#This Row],[Полученный платеж]]+Y198),
AND(S198=0,MAX((0&lt;&gt;N$12:N198)*ROW(N$12:N198),ROW($S$12))&gt;=MAX((1=Z$12:Z198)*ROW(Z$12:Z198),ROW($T$12))),MIN(LOOKUP(,-1/($Z$12:Z199=1),$C$12:C199)+LOOKUP(,-1/($Z$12:Z199=1),$H$12:H199)-IF(N198&lt;&gt;0,0,SUM(INDIRECT("T"&amp;(MAX((0&lt;&gt;N$12:N198)*ROW(N$12:N198)+1,ROW($T$12))&amp;":T"&amp;(ROW()-1))))),Первоначальный[[#This Row],[Полученный платеж]]+Y198),
AND(S198=0,Первоначальный[[#This Row],[Дата платежа из графика]]=1),MIN(LOOKUP(,-1/($Z$12:Z199=1),$C$12:C199)+LOOKUP(,-1/($Z$12:Z199=1),$H$12:H199)-IF(Z198=1,0,SUM(INDIRECT("T"&amp;(MAX((1=Z$12:Z198)*ROW(Z$12:Z198)+1,ROW($T$12))&amp;":T"&amp;(ROW()-1))))),Первоначальный[[#This Row],[Полученный платеж]]+Y198),
AND(Z198&gt;0,Первоначальный[[#This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платеж]]+Y198),
AND(S198&gt;0,MAX((0&lt;&gt;S$12:S198)*ROW(S$12:S198),ROW($S$12))&gt;=MAX((1=Z$12:Z198)*ROW(Z$12:Z198),ROW($T$12)),TYPE(VLOOKUP("Да",(INDIRECT("AA"&amp;(MAX((1=Z$12:Z198)*ROW(Z$12:Z198),ROW($T$12))&amp;":AA"&amp;(ROW()-1)))),1,0))=16),MIN(LOOKUP(,-1/($Z$12:Z199=1),$C$12:C199)+LOOKUP(,-1/($Z$12:Z199=1),$H$12:H199)-SUM(INDIRECT("T"&amp;(MAX((1=Z$12:Z198)*ROW(Z$12:Z198),ROW($T$12))&amp;":T"&amp;(ROW()-1)))),Первоначальный[[#This Row],[Полученный платеж]]+Y198),
S198&gt;0,MIN(LOOKUP(,-1/($Z$12:Z199=1),$C$12:C199)+LOOKUP(,-1/($Z$12:Z199=1),$H$12:H199)-IF(Z198=1,0,SUM(INDIRECT("T"&amp;(MAX((1=Z$12:Z198)*ROW(Z$12:Z198)+1,ROW($T$12))&amp;":T"&amp;(ROW()-1))))),Первоначальный[[#This Row],[Полученный платеж]]+Y198)
)
)
)</f>
        <v>0</v>
      </c>
      <c r="U19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платеж]]+Y198-Первоначальный[[#This Row],[Полученный платёж по процентам]])</f>
        <v>0</v>
      </c>
      <c r="V199" s="55">
        <f t="shared" ca="1" si="25"/>
        <v>0</v>
      </c>
      <c r="W199" s="55" cm="1">
        <f t="array" aca="1" ref="W199" ca="1">IF(Первоначальный[[#This Row],[Итого остаток на начало периода]]&lt;1,0,
_xlfn.IFS(
AND(TYPE(VLOOKUP(1,$Z$12:Z199,1,0))=16,Первоначальный[[#This Row],[Досрочное погашение (да/"")]]=""),0,
AND(S198=0,Первоначальный[[#This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платеж]]+Y198-SUM(Первоначальный[[#This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комиссиям]]),VLOOKUP(LOOKUP(,-1/($Z$12:Z199=1),$A$12:A199),График[[Срок конец]:[Возврат основной суммы долга]],3,0)),
AND(S198=0,Первоначальный[[#This Row],[Дата платежа из графика]]="",Первоначальный[[#This Row],[Досрочное погашение (да/"")]]&lt;&gt;"Да"),0,
AND(S198=0,Первоначальный[[#This Row],[Досрочное погашение (да/"")]]=""),MIN(Первоначальный[[#This Row],[Полученный платеж]]+Y198-SUM(Первоначальный[[#This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комиссиям]]),VLOOKUP(LOOKUP(,-1/($Z$12:Z199=1),$A$12:A199),График[[Срок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платеж]]+Y198-SUM(Первоначальный[[#This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S198&gt;0,MIN(Первоначальный[[#This Row],[Полученный платеж]]+Y198-SUM(Первоначальный[[#This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комиссиям]]),SUM(INDIRECT("M"&amp;(MAX((1=S$12:S198)*ROW(S$12:S198),ROW($W$12))&amp;":M"&amp;(ROW()))))-SUM(INDIRECT("W"&amp;(MAX((1=S$12:S198)*ROW(S$12:S198),ROW($W$12))&amp;":W"&amp;(ROW()-1)))))
)
)</f>
        <v>0</v>
      </c>
      <c r="X199" s="55">
        <f t="shared" ca="1" si="26"/>
        <v>0</v>
      </c>
      <c r="Y199" s="101">
        <f t="shared" ca="1" si="33"/>
        <v>0</v>
      </c>
      <c r="Z199" s="133" t="str">
        <f>IF(TYPE((VLOOKUP(Первоначальный[[#This Row],[Дата платежа]],График[Срок конец],1,0)))=16,"",1)</f>
        <v/>
      </c>
      <c r="AA199" s="57"/>
      <c r="AB199" s="134"/>
      <c r="AC19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9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10135.089999999998</v>
      </c>
      <c r="AE19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49.589999999999982</v>
      </c>
      <c r="AF19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9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2934.1378114754098</v>
      </c>
      <c r="AH199" s="55"/>
      <c r="AI199" s="55"/>
      <c r="AJ199" s="55"/>
      <c r="AK199" s="101">
        <f t="shared" ca="1" si="34"/>
        <v>162752.15781147539</v>
      </c>
      <c r="AL199" s="129">
        <f t="array" ref="AL199">MAX((УслРестрактов[Характеристика]="Дата реструктуризации")*(УслРестрактов[Значение]=Первоначальный!$A199),0)</f>
        <v>0</v>
      </c>
    </row>
    <row r="200" spans="1:38" x14ac:dyDescent="0.25">
      <c r="A200" s="97">
        <f t="shared" si="27"/>
        <v>44331</v>
      </c>
      <c r="B200" s="100">
        <f t="shared" ca="1" si="28"/>
        <v>149633.34</v>
      </c>
      <c r="C200" s="55">
        <f t="shared" ca="1" si="36"/>
        <v>10135.089999999998</v>
      </c>
      <c r="D200" s="55">
        <f t="shared" ca="1" si="36"/>
        <v>49.589999999999982</v>
      </c>
      <c r="E200" s="55">
        <f t="shared" ca="1" si="29"/>
        <v>0</v>
      </c>
      <c r="F200" s="55">
        <f t="shared" ca="1" si="30"/>
        <v>2934.1378114754098</v>
      </c>
      <c r="G200" s="101">
        <f t="shared" ca="1" si="31"/>
        <v>162752.15781147539</v>
      </c>
      <c r="H200" s="100">
        <f ca="1">ROUND($B200*VLOOKUP($A200,$A$1:$B$10,2,1)/(365+IF(MOD(YEAR($A200),4),0,1)*($A200-$A199)),2)-Первоначальный[[#This Row],[Проценты на просроченный платеж по ОД за период]]</f>
        <v>80.58</v>
      </c>
      <c r="I200" s="55">
        <f t="shared" ca="1" si="32"/>
        <v>1</v>
      </c>
      <c r="J200" s="55">
        <v>0</v>
      </c>
      <c r="K200" s="55">
        <f t="shared" ca="1" si="35"/>
        <v>57.873503278688531</v>
      </c>
      <c r="L200" s="55">
        <v>0</v>
      </c>
      <c r="M200" s="113">
        <f>SUMIFS(График[Возврат основной суммы долга],График[Дата с учетом нерабочих дней],$A200)</f>
        <v>0</v>
      </c>
      <c r="N200" s="56">
        <f>SUMIFS(График[Возврат начисленных %],График[Дата с учетом нерабочих дней],$A200)</f>
        <v>0</v>
      </c>
      <c r="O200" s="101">
        <v>0</v>
      </c>
      <c r="P200" s="100" cm="1">
        <f t="array" aca="1" ref="P200" ca="1">MAX(IF(AA199="Да",0,SUM(INDIRECT("M"&amp;(MAX(("Да"=AA$12:AA199)*ROW(AA$12:AA199)+1,ROW($P$12))&amp;":M"&amp;(ROW()))))-SUM(INDIRECT("W"&amp;(MAX(("Да"=AA$12:AA199)*ROW(AA$12:AA199)+1,ROW($P$12))&amp;":W"&amp;(ROW()))))),0)</f>
        <v>1843.0499999999993</v>
      </c>
      <c r="Q200" s="99">
        <f ca="1">MAX(SUM($N$13:N200)-SUM($T$13:T200),0)</f>
        <v>9731.650655737707</v>
      </c>
      <c r="R200" s="99">
        <f ca="1">Первоначальный[[#This Row],[Просроченный платеж по ОД]]+Первоначальный[[#This Row],[Просроченный платеж по процентам]]</f>
        <v>11574.700655737706</v>
      </c>
      <c r="S200" s="120">
        <f ca="1">IF(Первоначальный[[#This Row],[Просроченный платеж]]&lt;1,0,S199+1)</f>
        <v>96</v>
      </c>
      <c r="T200" s="100" cm="1">
        <f t="array" aca="1" ref="T200" ca="1">IF(Первоначальный[[#This Row],[Итого остаток на начало периода]]&lt;1,0,
IF(
AND(TYPE(VLOOKUP(1,$Z$12:Z200,1,0))=16,Первоначальный[[#This Row],[Досрочное погашение (да/"")]]=""),0,
_xlfn.IFS(AND(S199=0,Первоначальный[[#This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платеж]]&lt;&gt;0),MIN(LOOKUP(,-1/($Z$12:Z200=1),$C$12:C200)+LOOKUP(,-1/($Z$12:Z200=1),$H$12:H200),Первоначальный[[#This Row],[Полученный платеж]]+Y199),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платеж]]+Y199,SUM(Первоначальный[[#This Row],[Остаток процентов на начало периода]],Первоначальный[[#This Row],[Проценты за период]])),
AND(S199=0,Первоначальный[[#This Row],[Дата платежа из графика]]=""),0,
AND(S199=0,Первоначальный[[#This Row],[Дата платежа из графика]]=1,MAX((0&lt;&gt;S$12:S199)*ROW(S$12:S199),ROW($S$12))&gt;=MAX((1=Z$12:Z199)*ROW(Z$12:Z199),ROW($T$12)),TYPE(VLOOKUP("Да",(INDIRECT("AA"&amp;(MAX((1=Z$12:Z199)*ROW(Z$12:Z199),ROW($T$12))&amp;":AA"&amp;(ROW()-1)))),1,0))=16),MIN(LOOKUP(,-1/($Z$12:Z200=1),$C$12:C200)+LOOKUP(,-1/($Z$12:Z200=1),$H$12:H200),Первоначальный[[#This Row],[Полученный платеж]]+Y199),
AND(S199=0,TYPE(VLOOKUP("Да",(INDIRECT("AA"&amp;(MAX((1=Z$12:Z199)*ROW(Z$12:Z199),ROW($T$12))&amp;":AA"&amp;(ROW()-1)))),1,0))&lt;&gt;16),MIN(LOOKUP(,-1/($Z$12:Z200=1),$C$12:C200)+LOOKUP(,-1/($Z$12:Z200=1),$H$12:H200)-IF(AA199="Да",0,SUM(INDIRECT("T"&amp;(MAX(("Да"=AA$12:AA199)*ROW(AA$12:AA199)+1,ROW($T$12))&amp;":T"&amp;(ROW()-1))))),Первоначальный[[#This Row],[Полученный платеж]]+Y199),
AND(S199=0,MAX((0&lt;&gt;N$12:N199)*ROW(N$12:N199),ROW($S$12))&gt;=MAX((1=Z$12:Z199)*ROW(Z$12:Z199),ROW($T$12))),MIN(LOOKUP(,-1/($Z$12:Z200=1),$C$12:C200)+LOOKUP(,-1/($Z$12:Z200=1),$H$12:H200)-IF(N199&lt;&gt;0,0,SUM(INDIRECT("T"&amp;(MAX((0&lt;&gt;N$12:N199)*ROW(N$12:N199)+1,ROW($T$12))&amp;":T"&amp;(ROW()-1))))),Первоначальный[[#This Row],[Полученный платеж]]+Y199),
AND(S199=0,Первоначальный[[#This Row],[Дата платежа из графика]]=1),MIN(LOOKUP(,-1/($Z$12:Z200=1),$C$12:C200)+LOOKUP(,-1/($Z$12:Z200=1),$H$12:H200)-IF(Z199=1,0,SUM(INDIRECT("T"&amp;(MAX((1=Z$12:Z199)*ROW(Z$12:Z199)+1,ROW($T$12))&amp;":T"&amp;(ROW()-1))))),Первоначальный[[#This Row],[Полученный платеж]]+Y199),
AND(Z199&gt;0,Первоначальный[[#This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платеж]]+Y199),
AND(S199&gt;0,MAX((0&lt;&gt;S$12:S199)*ROW(S$12:S199),ROW($S$12))&gt;=MAX((1=Z$12:Z199)*ROW(Z$12:Z199),ROW($T$12)),TYPE(VLOOKUP("Да",(INDIRECT("AA"&amp;(MAX((1=Z$12:Z199)*ROW(Z$12:Z199),ROW($T$12))&amp;":AA"&amp;(ROW()-1)))),1,0))=16),MIN(LOOKUP(,-1/($Z$12:Z200=1),$C$12:C200)+LOOKUP(,-1/($Z$12:Z200=1),$H$12:H200)-SUM(INDIRECT("T"&amp;(MAX((1=Z$12:Z199)*ROW(Z$12:Z199),ROW($T$12))&amp;":T"&amp;(ROW()-1)))),Первоначальный[[#This Row],[Полученный платеж]]+Y199),
S199&gt;0,MIN(LOOKUP(,-1/($Z$12:Z200=1),$C$12:C200)+LOOKUP(,-1/($Z$12:Z200=1),$H$12:H200)-IF(Z199=1,0,SUM(INDIRECT("T"&amp;(MAX((1=Z$12:Z199)*ROW(Z$12:Z199)+1,ROW($T$12))&amp;":T"&amp;(ROW()-1))))),Первоначальный[[#This Row],[Полученный платеж]]+Y199)
)
)
)</f>
        <v>0</v>
      </c>
      <c r="U20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платеж]]+Y199-Первоначальный[[#This Row],[Полученный платёж по процентам]])</f>
        <v>0</v>
      </c>
      <c r="V200" s="55">
        <f t="shared" ca="1" si="25"/>
        <v>0</v>
      </c>
      <c r="W200" s="55" cm="1">
        <f t="array" aca="1" ref="W200" ca="1">IF(Первоначальный[[#This Row],[Итого остаток на начало периода]]&lt;1,0,
_xlfn.IFS(
AND(TYPE(VLOOKUP(1,$Z$12:Z200,1,0))=16,Первоначальный[[#This Row],[Досрочное погашение (да/"")]]=""),0,
AND(S199=0,Первоначальный[[#This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платеж]]+Y199-SUM(Первоначальный[[#This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комиссиям]]),VLOOKUP(LOOKUP(,-1/($Z$12:Z200=1),$A$12:A200),График[[Срок конец]:[Возврат основной суммы долга]],3,0)),
AND(S199=0,Первоначальный[[#This Row],[Дата платежа из графика]]="",Первоначальный[[#This Row],[Досрочное погашение (да/"")]]&lt;&gt;"Да"),0,
AND(S199=0,Первоначальный[[#This Row],[Досрочное погашение (да/"")]]=""),MIN(Первоначальный[[#This Row],[Полученный платеж]]+Y199-SUM(Первоначальный[[#This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комиссиям]]),VLOOKUP(LOOKUP(,-1/($Z$12:Z200=1),$A$12:A200),График[[Срок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платеж]]+Y199-SUM(Первоначальный[[#This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S199&gt;0,MIN(Первоначальный[[#This Row],[Полученный платеж]]+Y199-SUM(Первоначальный[[#This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комиссиям]]),SUM(INDIRECT("M"&amp;(MAX((1=S$12:S199)*ROW(S$12:S199),ROW($W$12))&amp;":M"&amp;(ROW()))))-SUM(INDIRECT("W"&amp;(MAX((1=S$12:S199)*ROW(S$12:S199),ROW($W$12))&amp;":W"&amp;(ROW()-1)))))
)
)</f>
        <v>0</v>
      </c>
      <c r="X200" s="55">
        <f t="shared" ca="1" si="26"/>
        <v>0</v>
      </c>
      <c r="Y200" s="101">
        <f t="shared" ca="1" si="33"/>
        <v>0</v>
      </c>
      <c r="Z200" s="133" t="str">
        <f>IF(TYPE((VLOOKUP(Первоначальный[[#This Row],[Дата платежа]],График[Срок конец],1,0)))=16,"",1)</f>
        <v/>
      </c>
      <c r="AA200" s="57"/>
      <c r="AB200" s="134"/>
      <c r="AC20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0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10215.669999999998</v>
      </c>
      <c r="AE20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50.589999999999982</v>
      </c>
      <c r="AF20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0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2992.0113147540983</v>
      </c>
      <c r="AH200" s="55"/>
      <c r="AI200" s="55"/>
      <c r="AJ200" s="55"/>
      <c r="AK200" s="101">
        <f t="shared" ca="1" si="34"/>
        <v>162891.61131475412</v>
      </c>
      <c r="AL200" s="129">
        <f t="array" ref="AL200">MAX((УслРестрактов[Характеристика]="Дата реструктуризации")*(УслРестрактов[Значение]=Первоначальный!$A200),0)</f>
        <v>0</v>
      </c>
    </row>
    <row r="201" spans="1:38" x14ac:dyDescent="0.25">
      <c r="A201" s="97">
        <f t="shared" si="27"/>
        <v>44332</v>
      </c>
      <c r="B201" s="100">
        <f t="shared" ca="1" si="28"/>
        <v>149633.34</v>
      </c>
      <c r="C201" s="55">
        <f t="shared" ca="1" si="36"/>
        <v>10215.669999999998</v>
      </c>
      <c r="D201" s="55">
        <f t="shared" ca="1" si="36"/>
        <v>50.589999999999982</v>
      </c>
      <c r="E201" s="55">
        <f t="shared" ca="1" si="29"/>
        <v>0</v>
      </c>
      <c r="F201" s="55">
        <f t="shared" ca="1" si="30"/>
        <v>2992.0113147540983</v>
      </c>
      <c r="G201" s="101">
        <f t="shared" ca="1" si="31"/>
        <v>162891.61131475412</v>
      </c>
      <c r="H201" s="100">
        <f ca="1">ROUND($B201*VLOOKUP($A201,$A$1:$B$10,2,1)/(365+IF(MOD(YEAR($A201),4),0,1)*($A201-$A200)),2)-Первоначальный[[#This Row],[Проценты на просроченный платеж по ОД за период]]</f>
        <v>80.58</v>
      </c>
      <c r="I201" s="55">
        <f t="shared" ca="1" si="32"/>
        <v>1</v>
      </c>
      <c r="J201" s="55">
        <v>0</v>
      </c>
      <c r="K201" s="55">
        <f t="shared" ca="1" si="35"/>
        <v>57.873503278688531</v>
      </c>
      <c r="L201" s="55">
        <v>0</v>
      </c>
      <c r="M201" s="113">
        <f>SUMIFS(График[Возврат основной суммы долга],График[Дата с учетом нерабочих дней],$A201)</f>
        <v>0</v>
      </c>
      <c r="N201" s="56">
        <f>SUMIFS(График[Возврат начисленных %],График[Дата с учетом нерабочих дней],$A201)</f>
        <v>0</v>
      </c>
      <c r="O201" s="101">
        <v>0</v>
      </c>
      <c r="P201" s="100" cm="1">
        <f t="array" aca="1" ref="P201" ca="1">MAX(IF(AA200="Да",0,SUM(INDIRECT("M"&amp;(MAX(("Да"=AA$12:AA200)*ROW(AA$12:AA200)+1,ROW($P$12))&amp;":M"&amp;(ROW()))))-SUM(INDIRECT("W"&amp;(MAX(("Да"=AA$12:AA200)*ROW(AA$12:AA200)+1,ROW($P$12))&amp;":W"&amp;(ROW()))))),0)</f>
        <v>1843.0499999999993</v>
      </c>
      <c r="Q201" s="99">
        <f ca="1">MAX(SUM($N$13:N201)-SUM($T$13:T201),0)</f>
        <v>9731.650655737707</v>
      </c>
      <c r="R201" s="99">
        <f ca="1">Первоначальный[[#This Row],[Просроченный платеж по ОД]]+Первоначальный[[#This Row],[Просроченный платеж по процентам]]</f>
        <v>11574.700655737706</v>
      </c>
      <c r="S201" s="120">
        <f ca="1">IF(Первоначальный[[#This Row],[Просроченный платеж]]&lt;1,0,S200+1)</f>
        <v>97</v>
      </c>
      <c r="T201" s="100" cm="1">
        <f t="array" aca="1" ref="T201" ca="1">IF(Первоначальный[[#This Row],[Итого остаток на начало периода]]&lt;1,0,
IF(
AND(TYPE(VLOOKUP(1,$Z$12:Z201,1,0))=16,Первоначальный[[#This Row],[Досрочное погашение (да/"")]]=""),0,
_xlfn.IFS(AND(S200=0,Первоначальный[[#This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платеж]]&lt;&gt;0),MIN(LOOKUP(,-1/($Z$12:Z201=1),$C$12:C201)+LOOKUP(,-1/($Z$12:Z201=1),$H$12:H201),Первоначальный[[#This Row],[Полученный платеж]]+Y200),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платеж]]+Y200,SUM(Первоначальный[[#This Row],[Остаток процентов на начало периода]],Первоначальный[[#This Row],[Проценты за период]])),
AND(S200=0,Первоначальный[[#This Row],[Дата платежа из графика]]=""),0,
AND(S200=0,Первоначальный[[#This Row],[Дата платежа из графика]]=1,MAX((0&lt;&gt;S$12:S200)*ROW(S$12:S200),ROW($S$12))&gt;=MAX((1=Z$12:Z200)*ROW(Z$12:Z200),ROW($T$12)),TYPE(VLOOKUP("Да",(INDIRECT("AA"&amp;(MAX((1=Z$12:Z200)*ROW(Z$12:Z200),ROW($T$12))&amp;":AA"&amp;(ROW()-1)))),1,0))=16),MIN(LOOKUP(,-1/($Z$12:Z201=1),$C$12:C201)+LOOKUP(,-1/($Z$12:Z201=1),$H$12:H201),Первоначальный[[#This Row],[Полученный платеж]]+Y200),
AND(S200=0,TYPE(VLOOKUP("Да",(INDIRECT("AA"&amp;(MAX((1=Z$12:Z200)*ROW(Z$12:Z200),ROW($T$12))&amp;":AA"&amp;(ROW()-1)))),1,0))&lt;&gt;16),MIN(LOOKUP(,-1/($Z$12:Z201=1),$C$12:C201)+LOOKUP(,-1/($Z$12:Z201=1),$H$12:H201)-IF(AA200="Да",0,SUM(INDIRECT("T"&amp;(MAX(("Да"=AA$12:AA200)*ROW(AA$12:AA200)+1,ROW($T$12))&amp;":T"&amp;(ROW()-1))))),Первоначальный[[#This Row],[Полученный платеж]]+Y200),
AND(S200=0,MAX((0&lt;&gt;N$12:N200)*ROW(N$12:N200),ROW($S$12))&gt;=MAX((1=Z$12:Z200)*ROW(Z$12:Z200),ROW($T$12))),MIN(LOOKUP(,-1/($Z$12:Z201=1),$C$12:C201)+LOOKUP(,-1/($Z$12:Z201=1),$H$12:H201)-IF(N200&lt;&gt;0,0,SUM(INDIRECT("T"&amp;(MAX((0&lt;&gt;N$12:N200)*ROW(N$12:N200)+1,ROW($T$12))&amp;":T"&amp;(ROW()-1))))),Первоначальный[[#This Row],[Полученный платеж]]+Y200),
AND(S200=0,Первоначальный[[#This Row],[Дата платежа из графика]]=1),MIN(LOOKUP(,-1/($Z$12:Z201=1),$C$12:C201)+LOOKUP(,-1/($Z$12:Z201=1),$H$12:H201)-IF(Z200=1,0,SUM(INDIRECT("T"&amp;(MAX((1=Z$12:Z200)*ROW(Z$12:Z200)+1,ROW($T$12))&amp;":T"&amp;(ROW()-1))))),Первоначальный[[#This Row],[Полученный платеж]]+Y200),
AND(Z200&gt;0,Первоначальный[[#This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платеж]]+Y200),
AND(S200&gt;0,MAX((0&lt;&gt;S$12:S200)*ROW(S$12:S200),ROW($S$12))&gt;=MAX((1=Z$12:Z200)*ROW(Z$12:Z200),ROW($T$12)),TYPE(VLOOKUP("Да",(INDIRECT("AA"&amp;(MAX((1=Z$12:Z200)*ROW(Z$12:Z200),ROW($T$12))&amp;":AA"&amp;(ROW()-1)))),1,0))=16),MIN(LOOKUP(,-1/($Z$12:Z201=1),$C$12:C201)+LOOKUP(,-1/($Z$12:Z201=1),$H$12:H201)-SUM(INDIRECT("T"&amp;(MAX((1=Z$12:Z200)*ROW(Z$12:Z200),ROW($T$12))&amp;":T"&amp;(ROW()-1)))),Первоначальный[[#This Row],[Полученный платеж]]+Y200),
S200&gt;0,MIN(LOOKUP(,-1/($Z$12:Z201=1),$C$12:C201)+LOOKUP(,-1/($Z$12:Z201=1),$H$12:H201)-IF(Z200=1,0,SUM(INDIRECT("T"&amp;(MAX((1=Z$12:Z200)*ROW(Z$12:Z200)+1,ROW($T$12))&amp;":T"&amp;(ROW()-1))))),Первоначальный[[#This Row],[Полученный платеж]]+Y200)
)
)
)</f>
        <v>0</v>
      </c>
      <c r="U20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платеж]]+Y200-Первоначальный[[#This Row],[Полученный платёж по процентам]])</f>
        <v>0</v>
      </c>
      <c r="V201" s="55">
        <f t="shared" ca="1" si="25"/>
        <v>0</v>
      </c>
      <c r="W201" s="55" cm="1">
        <f t="array" aca="1" ref="W201" ca="1">IF(Первоначальный[[#This Row],[Итого остаток на начало периода]]&lt;1,0,
_xlfn.IFS(
AND(TYPE(VLOOKUP(1,$Z$12:Z201,1,0))=16,Первоначальный[[#This Row],[Досрочное погашение (да/"")]]=""),0,
AND(S200=0,Первоначальный[[#This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платеж]]+Y200-SUM(Первоначальный[[#This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комиссиям]]),VLOOKUP(LOOKUP(,-1/($Z$12:Z201=1),$A$12:A201),График[[Срок конец]:[Возврат основной суммы долга]],3,0)),
AND(S200=0,Первоначальный[[#This Row],[Дата платежа из графика]]="",Первоначальный[[#This Row],[Досрочное погашение (да/"")]]&lt;&gt;"Да"),0,
AND(S200=0,Первоначальный[[#This Row],[Досрочное погашение (да/"")]]=""),MIN(Первоначальный[[#This Row],[Полученный платеж]]+Y200-SUM(Первоначальный[[#This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комиссиям]]),VLOOKUP(LOOKUP(,-1/($Z$12:Z201=1),$A$12:A201),График[[Срок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платеж]]+Y200-SUM(Первоначальный[[#This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S200&gt;0,MIN(Первоначальный[[#This Row],[Полученный платеж]]+Y200-SUM(Первоначальный[[#This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комиссиям]]),SUM(INDIRECT("M"&amp;(MAX((1=S$12:S200)*ROW(S$12:S200),ROW($W$12))&amp;":M"&amp;(ROW()))))-SUM(INDIRECT("W"&amp;(MAX((1=S$12:S200)*ROW(S$12:S200),ROW($W$12))&amp;":W"&amp;(ROW()-1)))))
)
)</f>
        <v>0</v>
      </c>
      <c r="X201" s="55">
        <f t="shared" ca="1" si="26"/>
        <v>0</v>
      </c>
      <c r="Y201" s="101">
        <f t="shared" ca="1" si="33"/>
        <v>0</v>
      </c>
      <c r="Z201" s="133" t="str">
        <f>IF(TYPE((VLOOKUP(Первоначальный[[#This Row],[Дата платежа]],График[Срок конец],1,0)))=16,"",1)</f>
        <v/>
      </c>
      <c r="AA201" s="57"/>
      <c r="AB201" s="134"/>
      <c r="AC20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0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10296.249999999998</v>
      </c>
      <c r="AE20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51.589999999999982</v>
      </c>
      <c r="AF20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0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3049.8848180327868</v>
      </c>
      <c r="AH201" s="55"/>
      <c r="AI201" s="55"/>
      <c r="AJ201" s="55"/>
      <c r="AK201" s="101">
        <f t="shared" ca="1" si="34"/>
        <v>163031.06481803278</v>
      </c>
      <c r="AL201" s="129">
        <f t="array" ref="AL201">MAX((УслРестрактов[Характеристика]="Дата реструктуризации")*(УслРестрактов[Значение]=Первоначальный!$A201),0)</f>
        <v>0</v>
      </c>
    </row>
    <row r="202" spans="1:38" x14ac:dyDescent="0.25">
      <c r="A202" s="97">
        <f t="shared" si="27"/>
        <v>44333</v>
      </c>
      <c r="B202" s="100">
        <f t="shared" ca="1" si="28"/>
        <v>149633.34</v>
      </c>
      <c r="C202" s="55">
        <f t="shared" ca="1" si="36"/>
        <v>10296.249999999998</v>
      </c>
      <c r="D202" s="55">
        <f t="shared" ca="1" si="36"/>
        <v>51.589999999999982</v>
      </c>
      <c r="E202" s="55">
        <f t="shared" ca="1" si="29"/>
        <v>0</v>
      </c>
      <c r="F202" s="55">
        <f t="shared" ca="1" si="30"/>
        <v>3049.8848180327868</v>
      </c>
      <c r="G202" s="101">
        <f t="shared" ca="1" si="31"/>
        <v>163031.06481803278</v>
      </c>
      <c r="H202" s="100">
        <f ca="1">ROUND($B202*VLOOKUP($A202,$A$1:$B$10,2,1)/(365+IF(MOD(YEAR($A202),4),0,1)*($A202-$A201)),2)-Первоначальный[[#This Row],[Проценты на просроченный платеж по ОД за период]]</f>
        <v>80.58</v>
      </c>
      <c r="I202" s="55">
        <f t="shared" ca="1" si="32"/>
        <v>1</v>
      </c>
      <c r="J202" s="55">
        <v>0</v>
      </c>
      <c r="K202" s="55">
        <f t="shared" ca="1" si="35"/>
        <v>57.873503278688531</v>
      </c>
      <c r="L202" s="55">
        <v>0</v>
      </c>
      <c r="M202" s="113">
        <f>SUMIFS(График[Возврат основной суммы долга],График[Дата с учетом нерабочих дней],$A202)</f>
        <v>0</v>
      </c>
      <c r="N202" s="56">
        <f>SUMIFS(График[Возврат начисленных %],График[Дата с учетом нерабочих дней],$A202)</f>
        <v>0</v>
      </c>
      <c r="O202" s="101">
        <v>0</v>
      </c>
      <c r="P202" s="100" cm="1">
        <f t="array" aca="1" ref="P202" ca="1">MAX(IF(AA201="Да",0,SUM(INDIRECT("M"&amp;(MAX(("Да"=AA$12:AA201)*ROW(AA$12:AA201)+1,ROW($P$12))&amp;":M"&amp;(ROW()))))-SUM(INDIRECT("W"&amp;(MAX(("Да"=AA$12:AA201)*ROW(AA$12:AA201)+1,ROW($P$12))&amp;":W"&amp;(ROW()))))),0)</f>
        <v>1843.0499999999993</v>
      </c>
      <c r="Q202" s="99">
        <f ca="1">MAX(SUM($N$13:N202)-SUM($T$13:T202),0)</f>
        <v>9731.650655737707</v>
      </c>
      <c r="R202" s="99">
        <f ca="1">Первоначальный[[#This Row],[Просроченный платеж по ОД]]+Первоначальный[[#This Row],[Просроченный платеж по процентам]]</f>
        <v>11574.700655737706</v>
      </c>
      <c r="S202" s="120">
        <f ca="1">IF(Первоначальный[[#This Row],[Просроченный платеж]]&lt;1,0,S201+1)</f>
        <v>98</v>
      </c>
      <c r="T202" s="100" cm="1">
        <f t="array" aca="1" ref="T202" ca="1">IF(Первоначальный[[#This Row],[Итого остаток на начало периода]]&lt;1,0,
IF(
AND(TYPE(VLOOKUP(1,$Z$12:Z202,1,0))=16,Первоначальный[[#This Row],[Досрочное погашение (да/"")]]=""),0,
_xlfn.IFS(AND(S201=0,Первоначальный[[#This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платеж]]&lt;&gt;0),MIN(LOOKUP(,-1/($Z$12:Z202=1),$C$12:C202)+LOOKUP(,-1/($Z$12:Z202=1),$H$12:H202),Первоначальный[[#This Row],[Полученный платеж]]+Y201),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платеж]]+Y201,SUM(Первоначальный[[#This Row],[Остаток процентов на начало периода]],Первоначальный[[#This Row],[Проценты за период]])),
AND(S201=0,Первоначальный[[#This Row],[Дата платежа из графика]]=""),0,
AND(S201=0,Первоначальный[[#This Row],[Дата платежа из графика]]=1,MAX((0&lt;&gt;S$12:S201)*ROW(S$12:S201),ROW($S$12))&gt;=MAX((1=Z$12:Z201)*ROW(Z$12:Z201),ROW($T$12)),TYPE(VLOOKUP("Да",(INDIRECT("AA"&amp;(MAX((1=Z$12:Z201)*ROW(Z$12:Z201),ROW($T$12))&amp;":AA"&amp;(ROW()-1)))),1,0))=16),MIN(LOOKUP(,-1/($Z$12:Z202=1),$C$12:C202)+LOOKUP(,-1/($Z$12:Z202=1),$H$12:H202),Первоначальный[[#This Row],[Полученный платеж]]+Y201),
AND(S201=0,TYPE(VLOOKUP("Да",(INDIRECT("AA"&amp;(MAX((1=Z$12:Z201)*ROW(Z$12:Z201),ROW($T$12))&amp;":AA"&amp;(ROW()-1)))),1,0))&lt;&gt;16),MIN(LOOKUP(,-1/($Z$12:Z202=1),$C$12:C202)+LOOKUP(,-1/($Z$12:Z202=1),$H$12:H202)-IF(AA201="Да",0,SUM(INDIRECT("T"&amp;(MAX(("Да"=AA$12:AA201)*ROW(AA$12:AA201)+1,ROW($T$12))&amp;":T"&amp;(ROW()-1))))),Первоначальный[[#This Row],[Полученный платеж]]+Y201),
AND(S201=0,MAX((0&lt;&gt;N$12:N201)*ROW(N$12:N201),ROW($S$12))&gt;=MAX((1=Z$12:Z201)*ROW(Z$12:Z201),ROW($T$12))),MIN(LOOKUP(,-1/($Z$12:Z202=1),$C$12:C202)+LOOKUP(,-1/($Z$12:Z202=1),$H$12:H202)-IF(N201&lt;&gt;0,0,SUM(INDIRECT("T"&amp;(MAX((0&lt;&gt;N$12:N201)*ROW(N$12:N201)+1,ROW($T$12))&amp;":T"&amp;(ROW()-1))))),Первоначальный[[#This Row],[Полученный платеж]]+Y201),
AND(S201=0,Первоначальный[[#This Row],[Дата платежа из графика]]=1),MIN(LOOKUP(,-1/($Z$12:Z202=1),$C$12:C202)+LOOKUP(,-1/($Z$12:Z202=1),$H$12:H202)-IF(Z201=1,0,SUM(INDIRECT("T"&amp;(MAX((1=Z$12:Z201)*ROW(Z$12:Z201)+1,ROW($T$12))&amp;":T"&amp;(ROW()-1))))),Первоначальный[[#This Row],[Полученный платеж]]+Y201),
AND(Z201&gt;0,Первоначальный[[#This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платеж]]+Y201),
AND(S201&gt;0,MAX((0&lt;&gt;S$12:S201)*ROW(S$12:S201),ROW($S$12))&gt;=MAX((1=Z$12:Z201)*ROW(Z$12:Z201),ROW($T$12)),TYPE(VLOOKUP("Да",(INDIRECT("AA"&amp;(MAX((1=Z$12:Z201)*ROW(Z$12:Z201),ROW($T$12))&amp;":AA"&amp;(ROW()-1)))),1,0))=16),MIN(LOOKUP(,-1/($Z$12:Z202=1),$C$12:C202)+LOOKUP(,-1/($Z$12:Z202=1),$H$12:H202)-SUM(INDIRECT("T"&amp;(MAX((1=Z$12:Z201)*ROW(Z$12:Z201),ROW($T$12))&amp;":T"&amp;(ROW()-1)))),Первоначальный[[#This Row],[Полученный платеж]]+Y201),
S201&gt;0,MIN(LOOKUP(,-1/($Z$12:Z202=1),$C$12:C202)+LOOKUP(,-1/($Z$12:Z202=1),$H$12:H202)-IF(Z201=1,0,SUM(INDIRECT("T"&amp;(MAX((1=Z$12:Z201)*ROW(Z$12:Z201)+1,ROW($T$12))&amp;":T"&amp;(ROW()-1))))),Первоначальный[[#This Row],[Полученный платеж]]+Y201)
)
)
)</f>
        <v>0</v>
      </c>
      <c r="U20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платеж]]+Y201-Первоначальный[[#This Row],[Полученный платёж по процентам]])</f>
        <v>0</v>
      </c>
      <c r="V202" s="55">
        <f t="shared" ca="1" si="25"/>
        <v>0</v>
      </c>
      <c r="W202" s="55" cm="1">
        <f t="array" aca="1" ref="W202" ca="1">IF(Первоначальный[[#This Row],[Итого остаток на начало периода]]&lt;1,0,
_xlfn.IFS(
AND(TYPE(VLOOKUP(1,$Z$12:Z202,1,0))=16,Первоначальный[[#This Row],[Досрочное погашение (да/"")]]=""),0,
AND(S201=0,Первоначальный[[#This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платеж]]+Y201-SUM(Первоначальный[[#This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комиссиям]]),VLOOKUP(LOOKUP(,-1/($Z$12:Z202=1),$A$12:A202),График[[Срок конец]:[Возврат основной суммы долга]],3,0)),
AND(S201=0,Первоначальный[[#This Row],[Дата платежа из графика]]="",Первоначальный[[#This Row],[Досрочное погашение (да/"")]]&lt;&gt;"Да"),0,
AND(S201=0,Первоначальный[[#This Row],[Досрочное погашение (да/"")]]=""),MIN(Первоначальный[[#This Row],[Полученный платеж]]+Y201-SUM(Первоначальный[[#This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комиссиям]]),VLOOKUP(LOOKUP(,-1/($Z$12:Z202=1),$A$12:A202),График[[Срок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платеж]]+Y201-SUM(Первоначальный[[#This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S201&gt;0,MIN(Первоначальный[[#This Row],[Полученный платеж]]+Y201-SUM(Первоначальный[[#This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комиссиям]]),SUM(INDIRECT("M"&amp;(MAX((1=S$12:S201)*ROW(S$12:S201),ROW($W$12))&amp;":M"&amp;(ROW()))))-SUM(INDIRECT("W"&amp;(MAX((1=S$12:S201)*ROW(S$12:S201),ROW($W$12))&amp;":W"&amp;(ROW()-1)))))
)
)</f>
        <v>0</v>
      </c>
      <c r="X202" s="55">
        <f t="shared" ca="1" si="26"/>
        <v>0</v>
      </c>
      <c r="Y202" s="101">
        <f t="shared" ca="1" si="33"/>
        <v>0</v>
      </c>
      <c r="Z202" s="133" t="str">
        <f>IF(TYPE((VLOOKUP(Первоначальный[[#This Row],[Дата платежа]],График[Срок конец],1,0)))=16,"",1)</f>
        <v/>
      </c>
      <c r="AA202" s="57"/>
      <c r="AB202" s="134"/>
      <c r="AC20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0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10376.829999999998</v>
      </c>
      <c r="AE20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52.589999999999982</v>
      </c>
      <c r="AF20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0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3107.7583213114754</v>
      </c>
      <c r="AH202" s="55"/>
      <c r="AI202" s="55"/>
      <c r="AJ202" s="55"/>
      <c r="AK202" s="101">
        <f t="shared" ca="1" si="34"/>
        <v>163170.51832131145</v>
      </c>
      <c r="AL202" s="129">
        <f t="array" ref="AL202">MAX((УслРестрактов[Характеристика]="Дата реструктуризации")*(УслРестрактов[Значение]=Первоначальный!$A202),0)</f>
        <v>0</v>
      </c>
    </row>
    <row r="203" spans="1:38" x14ac:dyDescent="0.25">
      <c r="A203" s="97">
        <f t="shared" si="27"/>
        <v>44334</v>
      </c>
      <c r="B203" s="100">
        <f t="shared" ca="1" si="28"/>
        <v>149633.34</v>
      </c>
      <c r="C203" s="55">
        <f t="shared" ca="1" si="36"/>
        <v>10376.829999999998</v>
      </c>
      <c r="D203" s="55">
        <f t="shared" ca="1" si="36"/>
        <v>52.589999999999982</v>
      </c>
      <c r="E203" s="55">
        <f t="shared" ca="1" si="29"/>
        <v>0</v>
      </c>
      <c r="F203" s="55">
        <f t="shared" ca="1" si="30"/>
        <v>3107.7583213114754</v>
      </c>
      <c r="G203" s="101">
        <f t="shared" ca="1" si="31"/>
        <v>163170.51832131145</v>
      </c>
      <c r="H203" s="100">
        <f ca="1">ROUND($B203*VLOOKUP($A203,$A$1:$B$10,2,1)/(365+IF(MOD(YEAR($A203),4),0,1)*($A203-$A202)),2)-Первоначальный[[#This Row],[Проценты на просроченный платеж по ОД за период]]</f>
        <v>80.58</v>
      </c>
      <c r="I203" s="55">
        <f t="shared" ca="1" si="32"/>
        <v>1</v>
      </c>
      <c r="J203" s="55">
        <v>0</v>
      </c>
      <c r="K203" s="55">
        <f t="shared" ca="1" si="35"/>
        <v>57.873503278688531</v>
      </c>
      <c r="L203" s="55">
        <v>0</v>
      </c>
      <c r="M203" s="113">
        <f>SUMIFS(График[Возврат основной суммы долга],График[Дата с учетом нерабочих дней],$A203)</f>
        <v>0</v>
      </c>
      <c r="N203" s="56">
        <f>SUMIFS(График[Возврат начисленных %],График[Дата с учетом нерабочих дней],$A203)</f>
        <v>0</v>
      </c>
      <c r="O203" s="101">
        <v>0</v>
      </c>
      <c r="P203" s="100" cm="1">
        <f t="array" aca="1" ref="P203" ca="1">MAX(IF(AA202="Да",0,SUM(INDIRECT("M"&amp;(MAX(("Да"=AA$12:AA202)*ROW(AA$12:AA202)+1,ROW($P$12))&amp;":M"&amp;(ROW()))))-SUM(INDIRECT("W"&amp;(MAX(("Да"=AA$12:AA202)*ROW(AA$12:AA202)+1,ROW($P$12))&amp;":W"&amp;(ROW()))))),0)</f>
        <v>1843.0499999999993</v>
      </c>
      <c r="Q203" s="99">
        <f ca="1">MAX(SUM($N$13:N203)-SUM($T$13:T203),0)</f>
        <v>9731.650655737707</v>
      </c>
      <c r="R203" s="99">
        <f ca="1">Первоначальный[[#This Row],[Просроченный платеж по ОД]]+Первоначальный[[#This Row],[Просроченный платеж по процентам]]</f>
        <v>11574.700655737706</v>
      </c>
      <c r="S203" s="120">
        <f ca="1">IF(Первоначальный[[#This Row],[Просроченный платеж]]&lt;1,0,S202+1)</f>
        <v>99</v>
      </c>
      <c r="T203" s="100" cm="1">
        <f t="array" aca="1" ref="T203" ca="1">IF(Первоначальный[[#This Row],[Итого остаток на начало периода]]&lt;1,0,
IF(
AND(TYPE(VLOOKUP(1,$Z$12:Z203,1,0))=16,Первоначальный[[#This Row],[Досрочное погашение (да/"")]]=""),0,
_xlfn.IFS(AND(S202=0,Первоначальный[[#This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платеж]]&lt;&gt;0),MIN(LOOKUP(,-1/($Z$12:Z203=1),$C$12:C203)+LOOKUP(,-1/($Z$12:Z203=1),$H$12:H203),Первоначальный[[#This Row],[Полученный платеж]]+Y202),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платеж]]+Y202,SUM(Первоначальный[[#This Row],[Остаток процентов на начало периода]],Первоначальный[[#This Row],[Проценты за период]])),
AND(S202=0,Первоначальный[[#This Row],[Дата платежа из графика]]=""),0,
AND(S202=0,Первоначальный[[#This Row],[Дата платежа из графика]]=1,MAX((0&lt;&gt;S$12:S202)*ROW(S$12:S202),ROW($S$12))&gt;=MAX((1=Z$12:Z202)*ROW(Z$12:Z202),ROW($T$12)),TYPE(VLOOKUP("Да",(INDIRECT("AA"&amp;(MAX((1=Z$12:Z202)*ROW(Z$12:Z202),ROW($T$12))&amp;":AA"&amp;(ROW()-1)))),1,0))=16),MIN(LOOKUP(,-1/($Z$12:Z203=1),$C$12:C203)+LOOKUP(,-1/($Z$12:Z203=1),$H$12:H203),Первоначальный[[#This Row],[Полученный платеж]]+Y202),
AND(S202=0,TYPE(VLOOKUP("Да",(INDIRECT("AA"&amp;(MAX((1=Z$12:Z202)*ROW(Z$12:Z202),ROW($T$12))&amp;":AA"&amp;(ROW()-1)))),1,0))&lt;&gt;16),MIN(LOOKUP(,-1/($Z$12:Z203=1),$C$12:C203)+LOOKUP(,-1/($Z$12:Z203=1),$H$12:H203)-IF(AA202="Да",0,SUM(INDIRECT("T"&amp;(MAX(("Да"=AA$12:AA202)*ROW(AA$12:AA202)+1,ROW($T$12))&amp;":T"&amp;(ROW()-1))))),Первоначальный[[#This Row],[Полученный платеж]]+Y202),
AND(S202=0,MAX((0&lt;&gt;N$12:N202)*ROW(N$12:N202),ROW($S$12))&gt;=MAX((1=Z$12:Z202)*ROW(Z$12:Z202),ROW($T$12))),MIN(LOOKUP(,-1/($Z$12:Z203=1),$C$12:C203)+LOOKUP(,-1/($Z$12:Z203=1),$H$12:H203)-IF(N202&lt;&gt;0,0,SUM(INDIRECT("T"&amp;(MAX((0&lt;&gt;N$12:N202)*ROW(N$12:N202)+1,ROW($T$12))&amp;":T"&amp;(ROW()-1))))),Первоначальный[[#This Row],[Полученный платеж]]+Y202),
AND(S202=0,Первоначальный[[#This Row],[Дата платежа из графика]]=1),MIN(LOOKUP(,-1/($Z$12:Z203=1),$C$12:C203)+LOOKUP(,-1/($Z$12:Z203=1),$H$12:H203)-IF(Z202=1,0,SUM(INDIRECT("T"&amp;(MAX((1=Z$12:Z202)*ROW(Z$12:Z202)+1,ROW($T$12))&amp;":T"&amp;(ROW()-1))))),Первоначальный[[#This Row],[Полученный платеж]]+Y202),
AND(Z202&gt;0,Первоначальный[[#This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платеж]]+Y202),
AND(S202&gt;0,MAX((0&lt;&gt;S$12:S202)*ROW(S$12:S202),ROW($S$12))&gt;=MAX((1=Z$12:Z202)*ROW(Z$12:Z202),ROW($T$12)),TYPE(VLOOKUP("Да",(INDIRECT("AA"&amp;(MAX((1=Z$12:Z202)*ROW(Z$12:Z202),ROW($T$12))&amp;":AA"&amp;(ROW()-1)))),1,0))=16),MIN(LOOKUP(,-1/($Z$12:Z203=1),$C$12:C203)+LOOKUP(,-1/($Z$12:Z203=1),$H$12:H203)-SUM(INDIRECT("T"&amp;(MAX((1=Z$12:Z202)*ROW(Z$12:Z202),ROW($T$12))&amp;":T"&amp;(ROW()-1)))),Первоначальный[[#This Row],[Полученный платеж]]+Y202),
S202&gt;0,MIN(LOOKUP(,-1/($Z$12:Z203=1),$C$12:C203)+LOOKUP(,-1/($Z$12:Z203=1),$H$12:H203)-IF(Z202=1,0,SUM(INDIRECT("T"&amp;(MAX((1=Z$12:Z202)*ROW(Z$12:Z202)+1,ROW($T$12))&amp;":T"&amp;(ROW()-1))))),Первоначальный[[#This Row],[Полученный платеж]]+Y202)
)
)
)</f>
        <v>0</v>
      </c>
      <c r="U20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платеж]]+Y202-Первоначальный[[#This Row],[Полученный платёж по процентам]])</f>
        <v>0</v>
      </c>
      <c r="V203" s="55">
        <f t="shared" ca="1" si="25"/>
        <v>0</v>
      </c>
      <c r="W203" s="55" cm="1">
        <f t="array" aca="1" ref="W203" ca="1">IF(Первоначальный[[#This Row],[Итого остаток на начало периода]]&lt;1,0,
_xlfn.IFS(
AND(TYPE(VLOOKUP(1,$Z$12:Z203,1,0))=16,Первоначальный[[#This Row],[Досрочное погашение (да/"")]]=""),0,
AND(S202=0,Первоначальный[[#This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платеж]]+Y202-SUM(Первоначальный[[#This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комиссиям]]),VLOOKUP(LOOKUP(,-1/($Z$12:Z203=1),$A$12:A203),График[[Срок конец]:[Возврат основной суммы долга]],3,0)),
AND(S202=0,Первоначальный[[#This Row],[Дата платежа из графика]]="",Первоначальный[[#This Row],[Досрочное погашение (да/"")]]&lt;&gt;"Да"),0,
AND(S202=0,Первоначальный[[#This Row],[Досрочное погашение (да/"")]]=""),MIN(Первоначальный[[#This Row],[Полученный платеж]]+Y202-SUM(Первоначальный[[#This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комиссиям]]),VLOOKUP(LOOKUP(,-1/($Z$12:Z203=1),$A$12:A203),График[[Срок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платеж]]+Y202-SUM(Первоначальный[[#This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S202&gt;0,MIN(Первоначальный[[#This Row],[Полученный платеж]]+Y202-SUM(Первоначальный[[#This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комиссиям]]),SUM(INDIRECT("M"&amp;(MAX((1=S$12:S202)*ROW(S$12:S202),ROW($W$12))&amp;":M"&amp;(ROW()))))-SUM(INDIRECT("W"&amp;(MAX((1=S$12:S202)*ROW(S$12:S202),ROW($W$12))&amp;":W"&amp;(ROW()-1)))))
)
)</f>
        <v>0</v>
      </c>
      <c r="X203" s="55">
        <f t="shared" ca="1" si="26"/>
        <v>0</v>
      </c>
      <c r="Y203" s="101">
        <f t="shared" ca="1" si="33"/>
        <v>0</v>
      </c>
      <c r="Z203" s="133" t="str">
        <f>IF(TYPE((VLOOKUP(Первоначальный[[#This Row],[Дата платежа]],График[Срок конец],1,0)))=16,"",1)</f>
        <v/>
      </c>
      <c r="AA203" s="57"/>
      <c r="AB203" s="134"/>
      <c r="AC20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0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10457.409999999998</v>
      </c>
      <c r="AE20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53.589999999999982</v>
      </c>
      <c r="AF20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0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3165.6318245901639</v>
      </c>
      <c r="AH203" s="55"/>
      <c r="AI203" s="55"/>
      <c r="AJ203" s="55"/>
      <c r="AK203" s="101">
        <f t="shared" ca="1" si="34"/>
        <v>163309.97182459017</v>
      </c>
      <c r="AL203" s="129">
        <f t="array" ref="AL203">MAX((УслРестрактов[Характеристика]="Дата реструктуризации")*(УслРестрактов[Значение]=Первоначальный!$A203),0)</f>
        <v>0</v>
      </c>
    </row>
    <row r="204" spans="1:38" x14ac:dyDescent="0.25">
      <c r="A204" s="97">
        <f t="shared" si="27"/>
        <v>44335</v>
      </c>
      <c r="B204" s="100">
        <f t="shared" ca="1" si="28"/>
        <v>149633.34</v>
      </c>
      <c r="C204" s="55">
        <f t="shared" ca="1" si="36"/>
        <v>10457.409999999998</v>
      </c>
      <c r="D204" s="55">
        <f t="shared" ca="1" si="36"/>
        <v>53.589999999999982</v>
      </c>
      <c r="E204" s="55">
        <f t="shared" ca="1" si="29"/>
        <v>0</v>
      </c>
      <c r="F204" s="55">
        <f t="shared" ca="1" si="30"/>
        <v>3165.6318245901639</v>
      </c>
      <c r="G204" s="101">
        <f t="shared" ca="1" si="31"/>
        <v>163309.97182459017</v>
      </c>
      <c r="H204" s="100">
        <f ca="1">ROUND($B204*VLOOKUP($A204,$A$1:$B$10,2,1)/(365+IF(MOD(YEAR($A204),4),0,1)*($A204-$A203)),2)-Первоначальный[[#This Row],[Проценты на просроченный платеж по ОД за период]]</f>
        <v>80.58</v>
      </c>
      <c r="I204" s="55">
        <f t="shared" ca="1" si="32"/>
        <v>1</v>
      </c>
      <c r="J204" s="55">
        <v>0</v>
      </c>
      <c r="K204" s="55">
        <f t="shared" ca="1" si="35"/>
        <v>57.873503278688531</v>
      </c>
      <c r="L204" s="55">
        <v>0</v>
      </c>
      <c r="M204" s="113">
        <f>SUMIFS(График[Возврат основной суммы долга],График[Дата с учетом нерабочих дней],$A204)</f>
        <v>0</v>
      </c>
      <c r="N204" s="56">
        <f>SUMIFS(График[Возврат начисленных %],График[Дата с учетом нерабочих дней],$A204)</f>
        <v>0</v>
      </c>
      <c r="O204" s="101">
        <v>0</v>
      </c>
      <c r="P204" s="100" cm="1">
        <f t="array" aca="1" ref="P204" ca="1">MAX(IF(AA203="Да",0,SUM(INDIRECT("M"&amp;(MAX(("Да"=AA$12:AA203)*ROW(AA$12:AA203)+1,ROW($P$12))&amp;":M"&amp;(ROW()))))-SUM(INDIRECT("W"&amp;(MAX(("Да"=AA$12:AA203)*ROW(AA$12:AA203)+1,ROW($P$12))&amp;":W"&amp;(ROW()))))),0)</f>
        <v>1843.0499999999993</v>
      </c>
      <c r="Q204" s="99">
        <f ca="1">MAX(SUM($N$13:N204)-SUM($T$13:T204),0)</f>
        <v>9731.650655737707</v>
      </c>
      <c r="R204" s="99">
        <f ca="1">Первоначальный[[#This Row],[Просроченный платеж по ОД]]+Первоначальный[[#This Row],[Просроченный платеж по процентам]]</f>
        <v>11574.700655737706</v>
      </c>
      <c r="S204" s="120">
        <f ca="1">IF(Первоначальный[[#This Row],[Просроченный платеж]]&lt;1,0,S203+1)</f>
        <v>100</v>
      </c>
      <c r="T204" s="100" cm="1">
        <f t="array" aca="1" ref="T204" ca="1">IF(Первоначальный[[#This Row],[Итого остаток на начало периода]]&lt;1,0,
IF(
AND(TYPE(VLOOKUP(1,$Z$12:Z204,1,0))=16,Первоначальный[[#This Row],[Досрочное погашение (да/"")]]=""),0,
_xlfn.IFS(AND(S203=0,Первоначальный[[#This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платеж]]&lt;&gt;0),MIN(LOOKUP(,-1/($Z$12:Z204=1),$C$12:C204)+LOOKUP(,-1/($Z$12:Z204=1),$H$12:H204),Первоначальный[[#This Row],[Полученный платеж]]+Y203),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платеж]]+Y203,SUM(Первоначальный[[#This Row],[Остаток процентов на начало периода]],Первоначальный[[#This Row],[Проценты за период]])),
AND(S203=0,Первоначальный[[#This Row],[Дата платежа из графика]]=""),0,
AND(S203=0,Первоначальный[[#This Row],[Дата платежа из графика]]=1,MAX((0&lt;&gt;S$12:S203)*ROW(S$12:S203),ROW($S$12))&gt;=MAX((1=Z$12:Z203)*ROW(Z$12:Z203),ROW($T$12)),TYPE(VLOOKUP("Да",(INDIRECT("AA"&amp;(MAX((1=Z$12:Z203)*ROW(Z$12:Z203),ROW($T$12))&amp;":AA"&amp;(ROW()-1)))),1,0))=16),MIN(LOOKUP(,-1/($Z$12:Z204=1),$C$12:C204)+LOOKUP(,-1/($Z$12:Z204=1),$H$12:H204),Первоначальный[[#This Row],[Полученный платеж]]+Y203),
AND(S203=0,TYPE(VLOOKUP("Да",(INDIRECT("AA"&amp;(MAX((1=Z$12:Z203)*ROW(Z$12:Z203),ROW($T$12))&amp;":AA"&amp;(ROW()-1)))),1,0))&lt;&gt;16),MIN(LOOKUP(,-1/($Z$12:Z204=1),$C$12:C204)+LOOKUP(,-1/($Z$12:Z204=1),$H$12:H204)-IF(AA203="Да",0,SUM(INDIRECT("T"&amp;(MAX(("Да"=AA$12:AA203)*ROW(AA$12:AA203)+1,ROW($T$12))&amp;":T"&amp;(ROW()-1))))),Первоначальный[[#This Row],[Полученный платеж]]+Y203),
AND(S203=0,MAX((0&lt;&gt;N$12:N203)*ROW(N$12:N203),ROW($S$12))&gt;=MAX((1=Z$12:Z203)*ROW(Z$12:Z203),ROW($T$12))),MIN(LOOKUP(,-1/($Z$12:Z204=1),$C$12:C204)+LOOKUP(,-1/($Z$12:Z204=1),$H$12:H204)-IF(N203&lt;&gt;0,0,SUM(INDIRECT("T"&amp;(MAX((0&lt;&gt;N$12:N203)*ROW(N$12:N203)+1,ROW($T$12))&amp;":T"&amp;(ROW()-1))))),Первоначальный[[#This Row],[Полученный платеж]]+Y203),
AND(S203=0,Первоначальный[[#This Row],[Дата платежа из графика]]=1),MIN(LOOKUP(,-1/($Z$12:Z204=1),$C$12:C204)+LOOKUP(,-1/($Z$12:Z204=1),$H$12:H204)-IF(Z203=1,0,SUM(INDIRECT("T"&amp;(MAX((1=Z$12:Z203)*ROW(Z$12:Z203)+1,ROW($T$12))&amp;":T"&amp;(ROW()-1))))),Первоначальный[[#This Row],[Полученный платеж]]+Y203),
AND(Z203&gt;0,Первоначальный[[#This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платеж]]+Y203),
AND(S203&gt;0,MAX((0&lt;&gt;S$12:S203)*ROW(S$12:S203),ROW($S$12))&gt;=MAX((1=Z$12:Z203)*ROW(Z$12:Z203),ROW($T$12)),TYPE(VLOOKUP("Да",(INDIRECT("AA"&amp;(MAX((1=Z$12:Z203)*ROW(Z$12:Z203),ROW($T$12))&amp;":AA"&amp;(ROW()-1)))),1,0))=16),MIN(LOOKUP(,-1/($Z$12:Z204=1),$C$12:C204)+LOOKUP(,-1/($Z$12:Z204=1),$H$12:H204)-SUM(INDIRECT("T"&amp;(MAX((1=Z$12:Z203)*ROW(Z$12:Z203),ROW($T$12))&amp;":T"&amp;(ROW()-1)))),Первоначальный[[#This Row],[Полученный платеж]]+Y203),
S203&gt;0,MIN(LOOKUP(,-1/($Z$12:Z204=1),$C$12:C204)+LOOKUP(,-1/($Z$12:Z204=1),$H$12:H204)-IF(Z203=1,0,SUM(INDIRECT("T"&amp;(MAX((1=Z$12:Z203)*ROW(Z$12:Z203)+1,ROW($T$12))&amp;":T"&amp;(ROW()-1))))),Первоначальный[[#This Row],[Полученный платеж]]+Y203)
)
)
)</f>
        <v>0</v>
      </c>
      <c r="U20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платеж]]+Y203-Первоначальный[[#This Row],[Полученный платёж по процентам]])</f>
        <v>0</v>
      </c>
      <c r="V204" s="55">
        <f t="shared" ca="1" si="25"/>
        <v>0</v>
      </c>
      <c r="W204" s="55" cm="1">
        <f t="array" aca="1" ref="W204" ca="1">IF(Первоначальный[[#This Row],[Итого остаток на начало периода]]&lt;1,0,
_xlfn.IFS(
AND(TYPE(VLOOKUP(1,$Z$12:Z204,1,0))=16,Первоначальный[[#This Row],[Досрочное погашение (да/"")]]=""),0,
AND(S203=0,Первоначальный[[#This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платеж]]+Y203-SUM(Первоначальный[[#This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комиссиям]]),VLOOKUP(LOOKUP(,-1/($Z$12:Z204=1),$A$12:A204),График[[Срок конец]:[Возврат основной суммы долга]],3,0)),
AND(S203=0,Первоначальный[[#This Row],[Дата платежа из графика]]="",Первоначальный[[#This Row],[Досрочное погашение (да/"")]]&lt;&gt;"Да"),0,
AND(S203=0,Первоначальный[[#This Row],[Досрочное погашение (да/"")]]=""),MIN(Первоначальный[[#This Row],[Полученный платеж]]+Y203-SUM(Первоначальный[[#This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комиссиям]]),VLOOKUP(LOOKUP(,-1/($Z$12:Z204=1),$A$12:A204),График[[Срок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платеж]]+Y203-SUM(Первоначальный[[#This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S203&gt;0,MIN(Первоначальный[[#This Row],[Полученный платеж]]+Y203-SUM(Первоначальный[[#This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комиссиям]]),SUM(INDIRECT("M"&amp;(MAX((1=S$12:S203)*ROW(S$12:S203),ROW($W$12))&amp;":M"&amp;(ROW()))))-SUM(INDIRECT("W"&amp;(MAX((1=S$12:S203)*ROW(S$12:S203),ROW($W$12))&amp;":W"&amp;(ROW()-1)))))
)
)</f>
        <v>0</v>
      </c>
      <c r="X204" s="55">
        <f t="shared" ca="1" si="26"/>
        <v>0</v>
      </c>
      <c r="Y204" s="101">
        <f t="shared" ca="1" si="33"/>
        <v>0</v>
      </c>
      <c r="Z204" s="133" t="str">
        <f>IF(TYPE((VLOOKUP(Первоначальный[[#This Row],[Дата платежа]],График[Срок конец],1,0)))=16,"",1)</f>
        <v/>
      </c>
      <c r="AA204" s="57"/>
      <c r="AB204" s="134"/>
      <c r="AC20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0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10537.989999999998</v>
      </c>
      <c r="AE20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54.589999999999982</v>
      </c>
      <c r="AF20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0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3223.5053278688524</v>
      </c>
      <c r="AH204" s="55"/>
      <c r="AI204" s="55"/>
      <c r="AJ204" s="55"/>
      <c r="AK204" s="101">
        <f t="shared" ca="1" si="34"/>
        <v>163449.42532786884</v>
      </c>
      <c r="AL204" s="129">
        <f t="array" ref="AL204">MAX((УслРестрактов[Характеристика]="Дата реструктуризации")*(УслРестрактов[Значение]=Первоначальный!$A204),0)</f>
        <v>0</v>
      </c>
    </row>
    <row r="205" spans="1:38" x14ac:dyDescent="0.25">
      <c r="A205" s="97">
        <f t="shared" si="27"/>
        <v>44336</v>
      </c>
      <c r="B205" s="100">
        <f t="shared" ca="1" si="28"/>
        <v>149633.34</v>
      </c>
      <c r="C205" s="55">
        <f t="shared" ca="1" si="36"/>
        <v>10537.989999999998</v>
      </c>
      <c r="D205" s="55">
        <f t="shared" ca="1" si="36"/>
        <v>54.589999999999982</v>
      </c>
      <c r="E205" s="55">
        <f t="shared" ca="1" si="29"/>
        <v>0</v>
      </c>
      <c r="F205" s="55">
        <f t="shared" ca="1" si="30"/>
        <v>3223.5053278688524</v>
      </c>
      <c r="G205" s="101">
        <f t="shared" ca="1" si="31"/>
        <v>163449.42532786884</v>
      </c>
      <c r="H205" s="100">
        <f ca="1">ROUND($B205*VLOOKUP($A205,$A$1:$B$10,2,1)/(365+IF(MOD(YEAR($A205),4),0,1)*($A205-$A204)),2)-Первоначальный[[#This Row],[Проценты на просроченный платеж по ОД за период]]</f>
        <v>80.58</v>
      </c>
      <c r="I205" s="55">
        <f t="shared" ca="1" si="32"/>
        <v>1</v>
      </c>
      <c r="J205" s="55">
        <v>0</v>
      </c>
      <c r="K205" s="55">
        <f t="shared" ca="1" si="35"/>
        <v>57.873503278688531</v>
      </c>
      <c r="L205" s="55">
        <v>0</v>
      </c>
      <c r="M205" s="113">
        <f>SUMIFS(График[Возврат основной суммы долга],График[Дата с учетом нерабочих дней],$A205)</f>
        <v>0</v>
      </c>
      <c r="N205" s="56">
        <f>SUMIFS(График[Возврат начисленных %],График[Дата с учетом нерабочих дней],$A205)</f>
        <v>0</v>
      </c>
      <c r="O205" s="101">
        <v>0</v>
      </c>
      <c r="P205" s="100" cm="1">
        <f t="array" aca="1" ref="P205" ca="1">MAX(IF(AA204="Да",0,SUM(INDIRECT("M"&amp;(MAX(("Да"=AA$12:AA204)*ROW(AA$12:AA204)+1,ROW($P$12))&amp;":M"&amp;(ROW()))))-SUM(INDIRECT("W"&amp;(MAX(("Да"=AA$12:AA204)*ROW(AA$12:AA204)+1,ROW($P$12))&amp;":W"&amp;(ROW()))))),0)</f>
        <v>1843.0499999999993</v>
      </c>
      <c r="Q205" s="99">
        <f ca="1">MAX(SUM($N$13:N205)-SUM($T$13:T205),0)</f>
        <v>9731.650655737707</v>
      </c>
      <c r="R205" s="99">
        <f ca="1">Первоначальный[[#This Row],[Просроченный платеж по ОД]]+Первоначальный[[#This Row],[Просроченный платеж по процентам]]</f>
        <v>11574.700655737706</v>
      </c>
      <c r="S205" s="120">
        <f ca="1">IF(Первоначальный[[#This Row],[Просроченный платеж]]&lt;1,0,S204+1)</f>
        <v>101</v>
      </c>
      <c r="T205" s="100" cm="1">
        <f t="array" aca="1" ref="T205" ca="1">IF(Первоначальный[[#This Row],[Итого остаток на начало периода]]&lt;1,0,
IF(
AND(TYPE(VLOOKUP(1,$Z$12:Z205,1,0))=16,Первоначальный[[#This Row],[Досрочное погашение (да/"")]]=""),0,
_xlfn.IFS(AND(S204=0,Первоначальный[[#This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платеж]]&lt;&gt;0),MIN(LOOKUP(,-1/($Z$12:Z205=1),$C$12:C205)+LOOKUP(,-1/($Z$12:Z205=1),$H$12:H205),Первоначальный[[#This Row],[Полученный платеж]]+Y204),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платеж]]+Y204,SUM(Первоначальный[[#This Row],[Остаток процентов на начало периода]],Первоначальный[[#This Row],[Проценты за период]])),
AND(S204=0,Первоначальный[[#This Row],[Дата платежа из графика]]=""),0,
AND(S204=0,Первоначальный[[#This Row],[Дата платежа из графика]]=1,MAX((0&lt;&gt;S$12:S204)*ROW(S$12:S204),ROW($S$12))&gt;=MAX((1=Z$12:Z204)*ROW(Z$12:Z204),ROW($T$12)),TYPE(VLOOKUP("Да",(INDIRECT("AA"&amp;(MAX((1=Z$12:Z204)*ROW(Z$12:Z204),ROW($T$12))&amp;":AA"&amp;(ROW()-1)))),1,0))=16),MIN(LOOKUP(,-1/($Z$12:Z205=1),$C$12:C205)+LOOKUP(,-1/($Z$12:Z205=1),$H$12:H205),Первоначальный[[#This Row],[Полученный платеж]]+Y204),
AND(S204=0,TYPE(VLOOKUP("Да",(INDIRECT("AA"&amp;(MAX((1=Z$12:Z204)*ROW(Z$12:Z204),ROW($T$12))&amp;":AA"&amp;(ROW()-1)))),1,0))&lt;&gt;16),MIN(LOOKUP(,-1/($Z$12:Z205=1),$C$12:C205)+LOOKUP(,-1/($Z$12:Z205=1),$H$12:H205)-IF(AA204="Да",0,SUM(INDIRECT("T"&amp;(MAX(("Да"=AA$12:AA204)*ROW(AA$12:AA204)+1,ROW($T$12))&amp;":T"&amp;(ROW()-1))))),Первоначальный[[#This Row],[Полученный платеж]]+Y204),
AND(S204=0,MAX((0&lt;&gt;N$12:N204)*ROW(N$12:N204),ROW($S$12))&gt;=MAX((1=Z$12:Z204)*ROW(Z$12:Z204),ROW($T$12))),MIN(LOOKUP(,-1/($Z$12:Z205=1),$C$12:C205)+LOOKUP(,-1/($Z$12:Z205=1),$H$12:H205)-IF(N204&lt;&gt;0,0,SUM(INDIRECT("T"&amp;(MAX((0&lt;&gt;N$12:N204)*ROW(N$12:N204)+1,ROW($T$12))&amp;":T"&amp;(ROW()-1))))),Первоначальный[[#This Row],[Полученный платеж]]+Y204),
AND(S204=0,Первоначальный[[#This Row],[Дата платежа из графика]]=1),MIN(LOOKUP(,-1/($Z$12:Z205=1),$C$12:C205)+LOOKUP(,-1/($Z$12:Z205=1),$H$12:H205)-IF(Z204=1,0,SUM(INDIRECT("T"&amp;(MAX((1=Z$12:Z204)*ROW(Z$12:Z204)+1,ROW($T$12))&amp;":T"&amp;(ROW()-1))))),Первоначальный[[#This Row],[Полученный платеж]]+Y204),
AND(Z204&gt;0,Первоначальный[[#This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платеж]]+Y204),
AND(S204&gt;0,MAX((0&lt;&gt;S$12:S204)*ROW(S$12:S204),ROW($S$12))&gt;=MAX((1=Z$12:Z204)*ROW(Z$12:Z204),ROW($T$12)),TYPE(VLOOKUP("Да",(INDIRECT("AA"&amp;(MAX((1=Z$12:Z204)*ROW(Z$12:Z204),ROW($T$12))&amp;":AA"&amp;(ROW()-1)))),1,0))=16),MIN(LOOKUP(,-1/($Z$12:Z205=1),$C$12:C205)+LOOKUP(,-1/($Z$12:Z205=1),$H$12:H205)-SUM(INDIRECT("T"&amp;(MAX((1=Z$12:Z204)*ROW(Z$12:Z204),ROW($T$12))&amp;":T"&amp;(ROW()-1)))),Первоначальный[[#This Row],[Полученный платеж]]+Y204),
S204&gt;0,MIN(LOOKUP(,-1/($Z$12:Z205=1),$C$12:C205)+LOOKUP(,-1/($Z$12:Z205=1),$H$12:H205)-IF(Z204=1,0,SUM(INDIRECT("T"&amp;(MAX((1=Z$12:Z204)*ROW(Z$12:Z204)+1,ROW($T$12))&amp;":T"&amp;(ROW()-1))))),Первоначальный[[#This Row],[Полученный платеж]]+Y204)
)
)
)</f>
        <v>0</v>
      </c>
      <c r="U20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платеж]]+Y204-Первоначальный[[#This Row],[Полученный платёж по процентам]])</f>
        <v>0</v>
      </c>
      <c r="V205" s="55">
        <f t="shared" ref="V205:V268" ca="1" si="37">MAX(MIN(SUM(O205,Y204)-SUM(T205:T205),SUM(E205,J205)),0)</f>
        <v>0</v>
      </c>
      <c r="W205" s="55" cm="1">
        <f t="array" aca="1" ref="W205" ca="1">IF(Первоначальный[[#This Row],[Итого остаток на начало периода]]&lt;1,0,
_xlfn.IFS(
AND(TYPE(VLOOKUP(1,$Z$12:Z205,1,0))=16,Первоначальный[[#This Row],[Досрочное погашение (да/"")]]=""),0,
AND(S204=0,Первоначальный[[#This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платеж]]+Y204-SUM(Первоначальный[[#This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комиссиям]]),VLOOKUP(LOOKUP(,-1/($Z$12:Z205=1),$A$12:A205),График[[Срок конец]:[Возврат основной суммы долга]],3,0)),
AND(S204=0,Первоначальный[[#This Row],[Дата платежа из графика]]="",Первоначальный[[#This Row],[Досрочное погашение (да/"")]]&lt;&gt;"Да"),0,
AND(S204=0,Первоначальный[[#This Row],[Досрочное погашение (да/"")]]=""),MIN(Первоначальный[[#This Row],[Полученный платеж]]+Y204-SUM(Первоначальный[[#This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комиссиям]]),VLOOKUP(LOOKUP(,-1/($Z$12:Z205=1),$A$12:A205),График[[Срок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платеж]]+Y204-SUM(Первоначальный[[#This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S204&gt;0,MIN(Первоначальный[[#This Row],[Полученный платеж]]+Y204-SUM(Первоначальный[[#This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комиссиям]]),SUM(INDIRECT("M"&amp;(MAX((1=S$12:S204)*ROW(S$12:S204),ROW($W$12))&amp;":M"&amp;(ROW()))))-SUM(INDIRECT("W"&amp;(MAX((1=S$12:S204)*ROW(S$12:S204),ROW($W$12))&amp;":W"&amp;(ROW()-1)))))
)
)</f>
        <v>0</v>
      </c>
      <c r="X205" s="55">
        <f t="shared" ref="X205:X268" ca="1" si="38">MAX(MIN(SUM(O205,Y204)-SUM(T205:W205),SUM(F205,K205)),0)</f>
        <v>0</v>
      </c>
      <c r="Y205" s="101">
        <f t="shared" ca="1" si="33"/>
        <v>0</v>
      </c>
      <c r="Z205" s="133" t="str">
        <f>IF(TYPE((VLOOKUP(Первоначальный[[#This Row],[Дата платежа]],График[Срок конец],1,0)))=16,"",1)</f>
        <v/>
      </c>
      <c r="AA205" s="57"/>
      <c r="AB205" s="134"/>
      <c r="AC20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0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10618.569999999998</v>
      </c>
      <c r="AE20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55.589999999999982</v>
      </c>
      <c r="AF20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0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3281.378831147541</v>
      </c>
      <c r="AH205" s="55"/>
      <c r="AI205" s="55"/>
      <c r="AJ205" s="55"/>
      <c r="AK205" s="101">
        <f t="shared" ca="1" si="34"/>
        <v>163588.87883114754</v>
      </c>
      <c r="AL205" s="129">
        <f t="array" ref="AL205">MAX((УслРестрактов[Характеристика]="Дата реструктуризации")*(УслРестрактов[Значение]=Первоначальный!$A205),0)</f>
        <v>0</v>
      </c>
    </row>
    <row r="206" spans="1:38" x14ac:dyDescent="0.25">
      <c r="A206" s="97">
        <f t="shared" ref="A206:A269" si="39">A205+1</f>
        <v>44337</v>
      </c>
      <c r="B206" s="100">
        <f t="shared" ref="B206:B269" ca="1" si="40">AC205</f>
        <v>149633.34</v>
      </c>
      <c r="C206" s="55">
        <f t="shared" ca="1" si="36"/>
        <v>10618.569999999998</v>
      </c>
      <c r="D206" s="55">
        <f t="shared" ca="1" si="36"/>
        <v>55.589999999999982</v>
      </c>
      <c r="E206" s="55">
        <f t="shared" ref="E206:E269" ca="1" si="41">AF205</f>
        <v>0</v>
      </c>
      <c r="F206" s="55">
        <f t="shared" ref="F206:F269" ca="1" si="42">AG205+AH205</f>
        <v>3281.378831147541</v>
      </c>
      <c r="G206" s="101">
        <f t="shared" ref="G206:G269" ca="1" si="43">AK205</f>
        <v>163588.87883114754</v>
      </c>
      <c r="H206" s="100">
        <f ca="1">ROUND($B206*VLOOKUP($A206,$A$1:$B$10,2,1)/(365+IF(MOD(YEAR($A206),4),0,1)*($A206-$A205)),2)-Первоначальный[[#This Row],[Проценты на просроченный платеж по ОД за период]]</f>
        <v>80.58</v>
      </c>
      <c r="I206" s="55">
        <f t="shared" ref="I206:I269" ca="1" si="44">ROUND(P205*VLOOKUP($A206,$A$1:$B$10,2,1)/(365+IF(MOD(YEAR($A206),4),0,1)*($A206-$A205)),2)</f>
        <v>1</v>
      </c>
      <c r="J206" s="55">
        <v>0</v>
      </c>
      <c r="K206" s="55">
        <f t="shared" ca="1" si="35"/>
        <v>57.873503278688531</v>
      </c>
      <c r="L206" s="55">
        <v>0</v>
      </c>
      <c r="M206" s="113">
        <f>SUMIFS(График[Возврат основной суммы долга],График[Дата с учетом нерабочих дней],$A206)</f>
        <v>0</v>
      </c>
      <c r="N206" s="56">
        <f>SUMIFS(График[Возврат начисленных %],График[Дата с учетом нерабочих дней],$A206)</f>
        <v>0</v>
      </c>
      <c r="O206" s="101">
        <v>0</v>
      </c>
      <c r="P206" s="100" cm="1">
        <f t="array" aca="1" ref="P206" ca="1">MAX(IF(AA205="Да",0,SUM(INDIRECT("M"&amp;(MAX(("Да"=AA$12:AA205)*ROW(AA$12:AA205)+1,ROW($P$12))&amp;":M"&amp;(ROW()))))-SUM(INDIRECT("W"&amp;(MAX(("Да"=AA$12:AA205)*ROW(AA$12:AA205)+1,ROW($P$12))&amp;":W"&amp;(ROW()))))),0)</f>
        <v>1843.0499999999993</v>
      </c>
      <c r="Q206" s="99">
        <f ca="1">MAX(SUM($N$13:N206)-SUM($T$13:T206),0)</f>
        <v>9731.650655737707</v>
      </c>
      <c r="R206" s="99">
        <f ca="1">Первоначальный[[#This Row],[Просроченный платеж по ОД]]+Первоначальный[[#This Row],[Просроченный платеж по процентам]]</f>
        <v>11574.700655737706</v>
      </c>
      <c r="S206" s="120">
        <f ca="1">IF(Первоначальный[[#This Row],[Просроченный платеж]]&lt;1,0,S205+1)</f>
        <v>102</v>
      </c>
      <c r="T206" s="100" cm="1">
        <f t="array" aca="1" ref="T206" ca="1">IF(Первоначальный[[#This Row],[Итого остаток на начало периода]]&lt;1,0,
IF(
AND(TYPE(VLOOKUP(1,$Z$12:Z206,1,0))=16,Первоначальный[[#This Row],[Досрочное погашение (да/"")]]=""),0,
_xlfn.IFS(AND(S205=0,Первоначальный[[#This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платеж]]&lt;&gt;0),MIN(LOOKUP(,-1/($Z$12:Z206=1),$C$12:C206)+LOOKUP(,-1/($Z$12:Z206=1),$H$12:H206),Первоначальный[[#This Row],[Полученный платеж]]+Y205),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платеж]]+Y205,SUM(Первоначальный[[#This Row],[Остаток процентов на начало периода]],Первоначальный[[#This Row],[Проценты за период]])),
AND(S205=0,Первоначальный[[#This Row],[Дата платежа из графика]]=""),0,
AND(S205=0,Первоначальный[[#This Row],[Дата платежа из графика]]=1,MAX((0&lt;&gt;S$12:S205)*ROW(S$12:S205),ROW($S$12))&gt;=MAX((1=Z$12:Z205)*ROW(Z$12:Z205),ROW($T$12)),TYPE(VLOOKUP("Да",(INDIRECT("AA"&amp;(MAX((1=Z$12:Z205)*ROW(Z$12:Z205),ROW($T$12))&amp;":AA"&amp;(ROW()-1)))),1,0))=16),MIN(LOOKUP(,-1/($Z$12:Z206=1),$C$12:C206)+LOOKUP(,-1/($Z$12:Z206=1),$H$12:H206),Первоначальный[[#This Row],[Полученный платеж]]+Y205),
AND(S205=0,TYPE(VLOOKUP("Да",(INDIRECT("AA"&amp;(MAX((1=Z$12:Z205)*ROW(Z$12:Z205),ROW($T$12))&amp;":AA"&amp;(ROW()-1)))),1,0))&lt;&gt;16),MIN(LOOKUP(,-1/($Z$12:Z206=1),$C$12:C206)+LOOKUP(,-1/($Z$12:Z206=1),$H$12:H206)-IF(AA205="Да",0,SUM(INDIRECT("T"&amp;(MAX(("Да"=AA$12:AA205)*ROW(AA$12:AA205)+1,ROW($T$12))&amp;":T"&amp;(ROW()-1))))),Первоначальный[[#This Row],[Полученный платеж]]+Y205),
AND(S205=0,MAX((0&lt;&gt;N$12:N205)*ROW(N$12:N205),ROW($S$12))&gt;=MAX((1=Z$12:Z205)*ROW(Z$12:Z205),ROW($T$12))),MIN(LOOKUP(,-1/($Z$12:Z206=1),$C$12:C206)+LOOKUP(,-1/($Z$12:Z206=1),$H$12:H206)-IF(N205&lt;&gt;0,0,SUM(INDIRECT("T"&amp;(MAX((0&lt;&gt;N$12:N205)*ROW(N$12:N205)+1,ROW($T$12))&amp;":T"&amp;(ROW()-1))))),Первоначальный[[#This Row],[Полученный платеж]]+Y205),
AND(S205=0,Первоначальный[[#This Row],[Дата платежа из графика]]=1),MIN(LOOKUP(,-1/($Z$12:Z206=1),$C$12:C206)+LOOKUP(,-1/($Z$12:Z206=1),$H$12:H206)-IF(Z205=1,0,SUM(INDIRECT("T"&amp;(MAX((1=Z$12:Z205)*ROW(Z$12:Z205)+1,ROW($T$12))&amp;":T"&amp;(ROW()-1))))),Первоначальный[[#This Row],[Полученный платеж]]+Y205),
AND(Z205&gt;0,Первоначальный[[#This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платеж]]+Y205),
AND(S205&gt;0,MAX((0&lt;&gt;S$12:S205)*ROW(S$12:S205),ROW($S$12))&gt;=MAX((1=Z$12:Z205)*ROW(Z$12:Z205),ROW($T$12)),TYPE(VLOOKUP("Да",(INDIRECT("AA"&amp;(MAX((1=Z$12:Z205)*ROW(Z$12:Z205),ROW($T$12))&amp;":AA"&amp;(ROW()-1)))),1,0))=16),MIN(LOOKUP(,-1/($Z$12:Z206=1),$C$12:C206)+LOOKUP(,-1/($Z$12:Z206=1),$H$12:H206)-SUM(INDIRECT("T"&amp;(MAX((1=Z$12:Z205)*ROW(Z$12:Z205),ROW($T$12))&amp;":T"&amp;(ROW()-1)))),Первоначальный[[#This Row],[Полученный платеж]]+Y205),
S205&gt;0,MIN(LOOKUP(,-1/($Z$12:Z206=1),$C$12:C206)+LOOKUP(,-1/($Z$12:Z206=1),$H$12:H206)-IF(Z205=1,0,SUM(INDIRECT("T"&amp;(MAX((1=Z$12:Z205)*ROW(Z$12:Z205)+1,ROW($T$12))&amp;":T"&amp;(ROW()-1))))),Первоначальный[[#This Row],[Полученный платеж]]+Y205)
)
)
)</f>
        <v>0</v>
      </c>
      <c r="U20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платеж]]+Y205-Первоначальный[[#This Row],[Полученный платёж по процентам]])</f>
        <v>0</v>
      </c>
      <c r="V206" s="55">
        <f t="shared" ca="1" si="37"/>
        <v>0</v>
      </c>
      <c r="W206" s="55" cm="1">
        <f t="array" aca="1" ref="W206" ca="1">IF(Первоначальный[[#This Row],[Итого остаток на начало периода]]&lt;1,0,
_xlfn.IFS(
AND(TYPE(VLOOKUP(1,$Z$12:Z206,1,0))=16,Первоначальный[[#This Row],[Досрочное погашение (да/"")]]=""),0,
AND(S205=0,Первоначальный[[#This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платеж]]+Y205-SUM(Первоначальный[[#This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комиссиям]]),VLOOKUP(LOOKUP(,-1/($Z$12:Z206=1),$A$12:A206),График[[Срок конец]:[Возврат основной суммы долга]],3,0)),
AND(S205=0,Первоначальный[[#This Row],[Дата платежа из графика]]="",Первоначальный[[#This Row],[Досрочное погашение (да/"")]]&lt;&gt;"Да"),0,
AND(S205=0,Первоначальный[[#This Row],[Досрочное погашение (да/"")]]=""),MIN(Первоначальный[[#This Row],[Полученный платеж]]+Y205-SUM(Первоначальный[[#This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комиссиям]]),VLOOKUP(LOOKUP(,-1/($Z$12:Z206=1),$A$12:A206),График[[Срок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платеж]]+Y205-SUM(Первоначальный[[#This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S205&gt;0,MIN(Первоначальный[[#This Row],[Полученный платеж]]+Y205-SUM(Первоначальный[[#This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комиссиям]]),SUM(INDIRECT("M"&amp;(MAX((1=S$12:S205)*ROW(S$12:S205),ROW($W$12))&amp;":M"&amp;(ROW()))))-SUM(INDIRECT("W"&amp;(MAX((1=S$12:S205)*ROW(S$12:S205),ROW($W$12))&amp;":W"&amp;(ROW()-1)))))
)
)</f>
        <v>0</v>
      </c>
      <c r="X206" s="55">
        <f t="shared" ca="1" si="38"/>
        <v>0</v>
      </c>
      <c r="Y206" s="101">
        <f t="shared" ref="Y206:Y269" ca="1" si="45">ROUND(Y205+O206-SUM(T206:X206),2)</f>
        <v>0</v>
      </c>
      <c r="Z206" s="133" t="str">
        <f>IF(TYPE((VLOOKUP(Первоначальный[[#This Row],[Дата платежа]],График[Срок конец],1,0)))=16,"",1)</f>
        <v/>
      </c>
      <c r="AA206" s="57"/>
      <c r="AB206" s="134"/>
      <c r="AC20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0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10699.149999999998</v>
      </c>
      <c r="AE20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56.589999999999982</v>
      </c>
      <c r="AF20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0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3339.2523344262295</v>
      </c>
      <c r="AH206" s="55"/>
      <c r="AI206" s="55"/>
      <c r="AJ206" s="55"/>
      <c r="AK206" s="101">
        <f t="shared" ref="AK206:AK269" ca="1" si="46">SUM(AC206:AJ206)</f>
        <v>163728.3323344262</v>
      </c>
      <c r="AL206" s="129">
        <f t="array" ref="AL206">MAX((УслРестрактов[Характеристика]="Дата реструктуризации")*(УслРестрактов[Значение]=Первоначальный!$A206),0)</f>
        <v>0</v>
      </c>
    </row>
    <row r="207" spans="1:38" x14ac:dyDescent="0.25">
      <c r="A207" s="97">
        <f t="shared" si="39"/>
        <v>44338</v>
      </c>
      <c r="B207" s="100">
        <f t="shared" ca="1" si="40"/>
        <v>149633.34</v>
      </c>
      <c r="C207" s="55">
        <f t="shared" ca="1" si="36"/>
        <v>10699.149999999998</v>
      </c>
      <c r="D207" s="55">
        <f t="shared" ca="1" si="36"/>
        <v>56.589999999999982</v>
      </c>
      <c r="E207" s="55">
        <f t="shared" ca="1" si="41"/>
        <v>0</v>
      </c>
      <c r="F207" s="55">
        <f t="shared" ca="1" si="42"/>
        <v>3339.2523344262295</v>
      </c>
      <c r="G207" s="101">
        <f t="shared" ca="1" si="43"/>
        <v>163728.3323344262</v>
      </c>
      <c r="H207" s="100">
        <f ca="1">ROUND($B207*VLOOKUP($A207,$A$1:$B$10,2,1)/(365+IF(MOD(YEAR($A207),4),0,1)*($A207-$A206)),2)-Первоначальный[[#This Row],[Проценты на просроченный платеж по ОД за период]]</f>
        <v>80.58</v>
      </c>
      <c r="I207" s="55">
        <f t="shared" ca="1" si="44"/>
        <v>1</v>
      </c>
      <c r="J207" s="55">
        <v>0</v>
      </c>
      <c r="K207" s="55">
        <f t="shared" ref="K207:K270" ca="1" si="47">IF(S207&lt;&gt;0,R207*$B$7,0)</f>
        <v>57.873503278688531</v>
      </c>
      <c r="L207" s="55">
        <v>0</v>
      </c>
      <c r="M207" s="113">
        <f>SUMIFS(График[Возврат основной суммы долга],График[Дата с учетом нерабочих дней],$A207)</f>
        <v>0</v>
      </c>
      <c r="N207" s="56">
        <f>SUMIFS(График[Возврат начисленных %],График[Дата с учетом нерабочих дней],$A207)</f>
        <v>0</v>
      </c>
      <c r="O207" s="101">
        <v>0</v>
      </c>
      <c r="P207" s="100" cm="1">
        <f t="array" aca="1" ref="P207" ca="1">MAX(IF(AA206="Да",0,SUM(INDIRECT("M"&amp;(MAX(("Да"=AA$12:AA206)*ROW(AA$12:AA206)+1,ROW($P$12))&amp;":M"&amp;(ROW()))))-SUM(INDIRECT("W"&amp;(MAX(("Да"=AA$12:AA206)*ROW(AA$12:AA206)+1,ROW($P$12))&amp;":W"&amp;(ROW()))))),0)</f>
        <v>1843.0499999999993</v>
      </c>
      <c r="Q207" s="99">
        <f ca="1">MAX(SUM($N$13:N207)-SUM($T$13:T207),0)</f>
        <v>9731.650655737707</v>
      </c>
      <c r="R207" s="99">
        <f ca="1">Первоначальный[[#This Row],[Просроченный платеж по ОД]]+Первоначальный[[#This Row],[Просроченный платеж по процентам]]</f>
        <v>11574.700655737706</v>
      </c>
      <c r="S207" s="120">
        <f ca="1">IF(Первоначальный[[#This Row],[Просроченный платеж]]&lt;1,0,S206+1)</f>
        <v>103</v>
      </c>
      <c r="T207" s="100" cm="1">
        <f t="array" aca="1" ref="T207" ca="1">IF(Первоначальный[[#This Row],[Итого остаток на начало периода]]&lt;1,0,
IF(
AND(TYPE(VLOOKUP(1,$Z$12:Z207,1,0))=16,Первоначальный[[#This Row],[Досрочное погашение (да/"")]]=""),0,
_xlfn.IFS(AND(S206=0,Первоначальный[[#This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платеж]]&lt;&gt;0),MIN(LOOKUP(,-1/($Z$12:Z207=1),$C$12:C207)+LOOKUP(,-1/($Z$12:Z207=1),$H$12:H207),Первоначальный[[#This Row],[Полученный платеж]]+Y206),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платеж]]+Y206,SUM(Первоначальный[[#This Row],[Остаток процентов на начало периода]],Первоначальный[[#This Row],[Проценты за период]])),
AND(S206=0,Первоначальный[[#This Row],[Дата платежа из графика]]=""),0,
AND(S206=0,Первоначальный[[#This Row],[Дата платежа из графика]]=1,MAX((0&lt;&gt;S$12:S206)*ROW(S$12:S206),ROW($S$12))&gt;=MAX((1=Z$12:Z206)*ROW(Z$12:Z206),ROW($T$12)),TYPE(VLOOKUP("Да",(INDIRECT("AA"&amp;(MAX((1=Z$12:Z206)*ROW(Z$12:Z206),ROW($T$12))&amp;":AA"&amp;(ROW()-1)))),1,0))=16),MIN(LOOKUP(,-1/($Z$12:Z207=1),$C$12:C207)+LOOKUP(,-1/($Z$12:Z207=1),$H$12:H207),Первоначальный[[#This Row],[Полученный платеж]]+Y206),
AND(S206=0,TYPE(VLOOKUP("Да",(INDIRECT("AA"&amp;(MAX((1=Z$12:Z206)*ROW(Z$12:Z206),ROW($T$12))&amp;":AA"&amp;(ROW()-1)))),1,0))&lt;&gt;16),MIN(LOOKUP(,-1/($Z$12:Z207=1),$C$12:C207)+LOOKUP(,-1/($Z$12:Z207=1),$H$12:H207)-IF(AA206="Да",0,SUM(INDIRECT("T"&amp;(MAX(("Да"=AA$12:AA206)*ROW(AA$12:AA206)+1,ROW($T$12))&amp;":T"&amp;(ROW()-1))))),Первоначальный[[#This Row],[Полученный платеж]]+Y206),
AND(S206=0,MAX((0&lt;&gt;N$12:N206)*ROW(N$12:N206),ROW($S$12))&gt;=MAX((1=Z$12:Z206)*ROW(Z$12:Z206),ROW($T$12))),MIN(LOOKUP(,-1/($Z$12:Z207=1),$C$12:C207)+LOOKUP(,-1/($Z$12:Z207=1),$H$12:H207)-IF(N206&lt;&gt;0,0,SUM(INDIRECT("T"&amp;(MAX((0&lt;&gt;N$12:N206)*ROW(N$12:N206)+1,ROW($T$12))&amp;":T"&amp;(ROW()-1))))),Первоначальный[[#This Row],[Полученный платеж]]+Y206),
AND(S206=0,Первоначальный[[#This Row],[Дата платежа из графика]]=1),MIN(LOOKUP(,-1/($Z$12:Z207=1),$C$12:C207)+LOOKUP(,-1/($Z$12:Z207=1),$H$12:H207)-IF(Z206=1,0,SUM(INDIRECT("T"&amp;(MAX((1=Z$12:Z206)*ROW(Z$12:Z206)+1,ROW($T$12))&amp;":T"&amp;(ROW()-1))))),Первоначальный[[#This Row],[Полученный платеж]]+Y206),
AND(Z206&gt;0,Первоначальный[[#This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платеж]]+Y206),
AND(S206&gt;0,MAX((0&lt;&gt;S$12:S206)*ROW(S$12:S206),ROW($S$12))&gt;=MAX((1=Z$12:Z206)*ROW(Z$12:Z206),ROW($T$12)),TYPE(VLOOKUP("Да",(INDIRECT("AA"&amp;(MAX((1=Z$12:Z206)*ROW(Z$12:Z206),ROW($T$12))&amp;":AA"&amp;(ROW()-1)))),1,0))=16),MIN(LOOKUP(,-1/($Z$12:Z207=1),$C$12:C207)+LOOKUP(,-1/($Z$12:Z207=1),$H$12:H207)-SUM(INDIRECT("T"&amp;(MAX((1=Z$12:Z206)*ROW(Z$12:Z206),ROW($T$12))&amp;":T"&amp;(ROW()-1)))),Первоначальный[[#This Row],[Полученный платеж]]+Y206),
S206&gt;0,MIN(LOOKUP(,-1/($Z$12:Z207=1),$C$12:C207)+LOOKUP(,-1/($Z$12:Z207=1),$H$12:H207)-IF(Z206=1,0,SUM(INDIRECT("T"&amp;(MAX((1=Z$12:Z206)*ROW(Z$12:Z206)+1,ROW($T$12))&amp;":T"&amp;(ROW()-1))))),Первоначальный[[#This Row],[Полученный платеж]]+Y206)
)
)
)</f>
        <v>0</v>
      </c>
      <c r="U20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платеж]]+Y206-Первоначальный[[#This Row],[Полученный платёж по процентам]])</f>
        <v>0</v>
      </c>
      <c r="V207" s="55">
        <f t="shared" ca="1" si="37"/>
        <v>0</v>
      </c>
      <c r="W207" s="55" cm="1">
        <f t="array" aca="1" ref="W207" ca="1">IF(Первоначальный[[#This Row],[Итого остаток на начало периода]]&lt;1,0,
_xlfn.IFS(
AND(TYPE(VLOOKUP(1,$Z$12:Z207,1,0))=16,Первоначальный[[#This Row],[Досрочное погашение (да/"")]]=""),0,
AND(S206=0,Первоначальный[[#This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платеж]]+Y206-SUM(Первоначальный[[#This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комиссиям]]),VLOOKUP(LOOKUP(,-1/($Z$12:Z207=1),$A$12:A207),График[[Срок конец]:[Возврат основной суммы долга]],3,0)),
AND(S206=0,Первоначальный[[#This Row],[Дата платежа из графика]]="",Первоначальный[[#This Row],[Досрочное погашение (да/"")]]&lt;&gt;"Да"),0,
AND(S206=0,Первоначальный[[#This Row],[Досрочное погашение (да/"")]]=""),MIN(Первоначальный[[#This Row],[Полученный платеж]]+Y206-SUM(Первоначальный[[#This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комиссиям]]),VLOOKUP(LOOKUP(,-1/($Z$12:Z207=1),$A$12:A207),График[[Срок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платеж]]+Y206-SUM(Первоначальный[[#This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S206&gt;0,MIN(Первоначальный[[#This Row],[Полученный платеж]]+Y206-SUM(Первоначальный[[#This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комиссиям]]),SUM(INDIRECT("M"&amp;(MAX((1=S$12:S206)*ROW(S$12:S206),ROW($W$12))&amp;":M"&amp;(ROW()))))-SUM(INDIRECT("W"&amp;(MAX((1=S$12:S206)*ROW(S$12:S206),ROW($W$12))&amp;":W"&amp;(ROW()-1)))))
)
)</f>
        <v>0</v>
      </c>
      <c r="X207" s="55">
        <f t="shared" ca="1" si="38"/>
        <v>0</v>
      </c>
      <c r="Y207" s="101">
        <f t="shared" ca="1" si="45"/>
        <v>0</v>
      </c>
      <c r="Z207" s="133" t="str">
        <f>IF(TYPE((VLOOKUP(Первоначальный[[#This Row],[Дата платежа]],График[Срок конец],1,0)))=16,"",1)</f>
        <v/>
      </c>
      <c r="AA207" s="57"/>
      <c r="AB207" s="134"/>
      <c r="AC20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0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10779.729999999998</v>
      </c>
      <c r="AE20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57.589999999999982</v>
      </c>
      <c r="AF20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0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3397.125837704918</v>
      </c>
      <c r="AH207" s="55"/>
      <c r="AI207" s="55"/>
      <c r="AJ207" s="55"/>
      <c r="AK207" s="101">
        <f t="shared" ca="1" si="46"/>
        <v>163867.78583770493</v>
      </c>
      <c r="AL207" s="129">
        <f t="array" ref="AL207">MAX((УслРестрактов[Характеристика]="Дата реструктуризации")*(УслРестрактов[Значение]=Первоначальный!$A207),0)</f>
        <v>0</v>
      </c>
    </row>
    <row r="208" spans="1:38" x14ac:dyDescent="0.25">
      <c r="A208" s="97">
        <f t="shared" si="39"/>
        <v>44339</v>
      </c>
      <c r="B208" s="100">
        <f t="shared" ca="1" si="40"/>
        <v>149633.34</v>
      </c>
      <c r="C208" s="55">
        <f t="shared" ca="1" si="36"/>
        <v>10779.729999999998</v>
      </c>
      <c r="D208" s="55">
        <f t="shared" ca="1" si="36"/>
        <v>57.589999999999982</v>
      </c>
      <c r="E208" s="55">
        <f t="shared" ca="1" si="41"/>
        <v>0</v>
      </c>
      <c r="F208" s="55">
        <f t="shared" ca="1" si="42"/>
        <v>3397.125837704918</v>
      </c>
      <c r="G208" s="101">
        <f t="shared" ca="1" si="43"/>
        <v>163867.78583770493</v>
      </c>
      <c r="H208" s="100">
        <f ca="1">ROUND($B208*VLOOKUP($A208,$A$1:$B$10,2,1)/(365+IF(MOD(YEAR($A208),4),0,1)*($A208-$A207)),2)-Первоначальный[[#This Row],[Проценты на просроченный платеж по ОД за период]]</f>
        <v>80.58</v>
      </c>
      <c r="I208" s="55">
        <f t="shared" ca="1" si="44"/>
        <v>1</v>
      </c>
      <c r="J208" s="55">
        <v>0</v>
      </c>
      <c r="K208" s="55">
        <f t="shared" ca="1" si="47"/>
        <v>57.873503278688531</v>
      </c>
      <c r="L208" s="55">
        <v>0</v>
      </c>
      <c r="M208" s="113">
        <f>SUMIFS(График[Возврат основной суммы долга],График[Дата с учетом нерабочих дней],$A208)</f>
        <v>0</v>
      </c>
      <c r="N208" s="56">
        <f>SUMIFS(График[Возврат начисленных %],График[Дата с учетом нерабочих дней],$A208)</f>
        <v>0</v>
      </c>
      <c r="O208" s="101">
        <v>0</v>
      </c>
      <c r="P208" s="100" cm="1">
        <f t="array" aca="1" ref="P208" ca="1">MAX(IF(AA207="Да",0,SUM(INDIRECT("M"&amp;(MAX(("Да"=AA$12:AA207)*ROW(AA$12:AA207)+1,ROW($P$12))&amp;":M"&amp;(ROW()))))-SUM(INDIRECT("W"&amp;(MAX(("Да"=AA$12:AA207)*ROW(AA$12:AA207)+1,ROW($P$12))&amp;":W"&amp;(ROW()))))),0)</f>
        <v>1843.0499999999993</v>
      </c>
      <c r="Q208" s="99">
        <f ca="1">MAX(SUM($N$13:N208)-SUM($T$13:T208),0)</f>
        <v>9731.650655737707</v>
      </c>
      <c r="R208" s="99">
        <f ca="1">Первоначальный[[#This Row],[Просроченный платеж по ОД]]+Первоначальный[[#This Row],[Просроченный платеж по процентам]]</f>
        <v>11574.700655737706</v>
      </c>
      <c r="S208" s="120">
        <f ca="1">IF(Первоначальный[[#This Row],[Просроченный платеж]]&lt;1,0,S207+1)</f>
        <v>104</v>
      </c>
      <c r="T208" s="100" cm="1">
        <f t="array" aca="1" ref="T208" ca="1">IF(Первоначальный[[#This Row],[Итого остаток на начало периода]]&lt;1,0,
IF(
AND(TYPE(VLOOKUP(1,$Z$12:Z208,1,0))=16,Первоначальный[[#This Row],[Досрочное погашение (да/"")]]=""),0,
_xlfn.IFS(AND(S207=0,Первоначальный[[#This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платеж]]&lt;&gt;0),MIN(LOOKUP(,-1/($Z$12:Z208=1),$C$12:C208)+LOOKUP(,-1/($Z$12:Z208=1),$H$12:H208),Первоначальный[[#This Row],[Полученный платеж]]+Y207),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платеж]]+Y207,SUM(Первоначальный[[#This Row],[Остаток процентов на начало периода]],Первоначальный[[#This Row],[Проценты за период]])),
AND(S207=0,Первоначальный[[#This Row],[Дата платежа из графика]]=""),0,
AND(S207=0,Первоначальный[[#This Row],[Дата платежа из графика]]=1,MAX((0&lt;&gt;S$12:S207)*ROW(S$12:S207),ROW($S$12))&gt;=MAX((1=Z$12:Z207)*ROW(Z$12:Z207),ROW($T$12)),TYPE(VLOOKUP("Да",(INDIRECT("AA"&amp;(MAX((1=Z$12:Z207)*ROW(Z$12:Z207),ROW($T$12))&amp;":AA"&amp;(ROW()-1)))),1,0))=16),MIN(LOOKUP(,-1/($Z$12:Z208=1),$C$12:C208)+LOOKUP(,-1/($Z$12:Z208=1),$H$12:H208),Первоначальный[[#This Row],[Полученный платеж]]+Y207),
AND(S207=0,TYPE(VLOOKUP("Да",(INDIRECT("AA"&amp;(MAX((1=Z$12:Z207)*ROW(Z$12:Z207),ROW($T$12))&amp;":AA"&amp;(ROW()-1)))),1,0))&lt;&gt;16),MIN(LOOKUP(,-1/($Z$12:Z208=1),$C$12:C208)+LOOKUP(,-1/($Z$12:Z208=1),$H$12:H208)-IF(AA207="Да",0,SUM(INDIRECT("T"&amp;(MAX(("Да"=AA$12:AA207)*ROW(AA$12:AA207)+1,ROW($T$12))&amp;":T"&amp;(ROW()-1))))),Первоначальный[[#This Row],[Полученный платеж]]+Y207),
AND(S207=0,MAX((0&lt;&gt;N$12:N207)*ROW(N$12:N207),ROW($S$12))&gt;=MAX((1=Z$12:Z207)*ROW(Z$12:Z207),ROW($T$12))),MIN(LOOKUP(,-1/($Z$12:Z208=1),$C$12:C208)+LOOKUP(,-1/($Z$12:Z208=1),$H$12:H208)-IF(N207&lt;&gt;0,0,SUM(INDIRECT("T"&amp;(MAX((0&lt;&gt;N$12:N207)*ROW(N$12:N207)+1,ROW($T$12))&amp;":T"&amp;(ROW()-1))))),Первоначальный[[#This Row],[Полученный платеж]]+Y207),
AND(S207=0,Первоначальный[[#This Row],[Дата платежа из графика]]=1),MIN(LOOKUP(,-1/($Z$12:Z208=1),$C$12:C208)+LOOKUP(,-1/($Z$12:Z208=1),$H$12:H208)-IF(Z207=1,0,SUM(INDIRECT("T"&amp;(MAX((1=Z$12:Z207)*ROW(Z$12:Z207)+1,ROW($T$12))&amp;":T"&amp;(ROW()-1))))),Первоначальный[[#This Row],[Полученный платеж]]+Y207),
AND(Z207&gt;0,Первоначальный[[#This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платеж]]+Y207),
AND(S207&gt;0,MAX((0&lt;&gt;S$12:S207)*ROW(S$12:S207),ROW($S$12))&gt;=MAX((1=Z$12:Z207)*ROW(Z$12:Z207),ROW($T$12)),TYPE(VLOOKUP("Да",(INDIRECT("AA"&amp;(MAX((1=Z$12:Z207)*ROW(Z$12:Z207),ROW($T$12))&amp;":AA"&amp;(ROW()-1)))),1,0))=16),MIN(LOOKUP(,-1/($Z$12:Z208=1),$C$12:C208)+LOOKUP(,-1/($Z$12:Z208=1),$H$12:H208)-SUM(INDIRECT("T"&amp;(MAX((1=Z$12:Z207)*ROW(Z$12:Z207),ROW($T$12))&amp;":T"&amp;(ROW()-1)))),Первоначальный[[#This Row],[Полученный платеж]]+Y207),
S207&gt;0,MIN(LOOKUP(,-1/($Z$12:Z208=1),$C$12:C208)+LOOKUP(,-1/($Z$12:Z208=1),$H$12:H208)-IF(Z207=1,0,SUM(INDIRECT("T"&amp;(MAX((1=Z$12:Z207)*ROW(Z$12:Z207)+1,ROW($T$12))&amp;":T"&amp;(ROW()-1))))),Первоначальный[[#This Row],[Полученный платеж]]+Y207)
)
)
)</f>
        <v>0</v>
      </c>
      <c r="U20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платеж]]+Y207-Первоначальный[[#This Row],[Полученный платёж по процентам]])</f>
        <v>0</v>
      </c>
      <c r="V208" s="55">
        <f t="shared" ca="1" si="37"/>
        <v>0</v>
      </c>
      <c r="W208" s="55" cm="1">
        <f t="array" aca="1" ref="W208" ca="1">IF(Первоначальный[[#This Row],[Итого остаток на начало периода]]&lt;1,0,
_xlfn.IFS(
AND(TYPE(VLOOKUP(1,$Z$12:Z208,1,0))=16,Первоначальный[[#This Row],[Досрочное погашение (да/"")]]=""),0,
AND(S207=0,Первоначальный[[#This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платеж]]+Y207-SUM(Первоначальный[[#This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комиссиям]]),VLOOKUP(LOOKUP(,-1/($Z$12:Z208=1),$A$12:A208),График[[Срок конец]:[Возврат основной суммы долга]],3,0)),
AND(S207=0,Первоначальный[[#This Row],[Дата платежа из графика]]="",Первоначальный[[#This Row],[Досрочное погашение (да/"")]]&lt;&gt;"Да"),0,
AND(S207=0,Первоначальный[[#This Row],[Досрочное погашение (да/"")]]=""),MIN(Первоначальный[[#This Row],[Полученный платеж]]+Y207-SUM(Первоначальный[[#This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комиссиям]]),VLOOKUP(LOOKUP(,-1/($Z$12:Z208=1),$A$12:A208),График[[Срок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платеж]]+Y207-SUM(Первоначальный[[#This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S207&gt;0,MIN(Первоначальный[[#This Row],[Полученный платеж]]+Y207-SUM(Первоначальный[[#This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комиссиям]]),SUM(INDIRECT("M"&amp;(MAX((1=S$12:S207)*ROW(S$12:S207),ROW($W$12))&amp;":M"&amp;(ROW()))))-SUM(INDIRECT("W"&amp;(MAX((1=S$12:S207)*ROW(S$12:S207),ROW($W$12))&amp;":W"&amp;(ROW()-1)))))
)
)</f>
        <v>0</v>
      </c>
      <c r="X208" s="55">
        <f t="shared" ca="1" si="38"/>
        <v>0</v>
      </c>
      <c r="Y208" s="101">
        <f t="shared" ca="1" si="45"/>
        <v>0</v>
      </c>
      <c r="Z208" s="133" t="str">
        <f>IF(TYPE((VLOOKUP(Первоначальный[[#This Row],[Дата платежа]],График[Срок конец],1,0)))=16,"",1)</f>
        <v/>
      </c>
      <c r="AA208" s="57"/>
      <c r="AB208" s="134"/>
      <c r="AC20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0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10860.309999999998</v>
      </c>
      <c r="AE20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58.589999999999982</v>
      </c>
      <c r="AF20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0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3454.9993409836065</v>
      </c>
      <c r="AH208" s="55"/>
      <c r="AI208" s="55"/>
      <c r="AJ208" s="55"/>
      <c r="AK208" s="101">
        <f t="shared" ca="1" si="46"/>
        <v>164007.23934098359</v>
      </c>
      <c r="AL208" s="129">
        <f t="array" ref="AL208">MAX((УслРестрактов[Характеристика]="Дата реструктуризации")*(УслРестрактов[Значение]=Первоначальный!$A208),0)</f>
        <v>0</v>
      </c>
    </row>
    <row r="209" spans="1:38" x14ac:dyDescent="0.25">
      <c r="A209" s="97">
        <f t="shared" si="39"/>
        <v>44340</v>
      </c>
      <c r="B209" s="100">
        <f t="shared" ca="1" si="40"/>
        <v>149633.34</v>
      </c>
      <c r="C209" s="55">
        <f t="shared" ca="1" si="36"/>
        <v>10860.309999999998</v>
      </c>
      <c r="D209" s="55">
        <f t="shared" ca="1" si="36"/>
        <v>58.589999999999982</v>
      </c>
      <c r="E209" s="55">
        <f t="shared" ca="1" si="41"/>
        <v>0</v>
      </c>
      <c r="F209" s="55">
        <f t="shared" ca="1" si="42"/>
        <v>3454.9993409836065</v>
      </c>
      <c r="G209" s="101">
        <f t="shared" ca="1" si="43"/>
        <v>164007.23934098359</v>
      </c>
      <c r="H209" s="100">
        <f ca="1">ROUND($B209*VLOOKUP($A209,$A$1:$B$10,2,1)/(365+IF(MOD(YEAR($A209),4),0,1)*($A209-$A208)),2)-Первоначальный[[#This Row],[Проценты на просроченный платеж по ОД за период]]</f>
        <v>80.58</v>
      </c>
      <c r="I209" s="55">
        <f t="shared" ca="1" si="44"/>
        <v>1</v>
      </c>
      <c r="J209" s="55">
        <v>0</v>
      </c>
      <c r="K209" s="55">
        <f t="shared" ca="1" si="47"/>
        <v>57.873503278688531</v>
      </c>
      <c r="L209" s="55">
        <v>0</v>
      </c>
      <c r="M209" s="113">
        <f>SUMIFS(График[Возврат основной суммы долга],График[Дата с учетом нерабочих дней],$A209)</f>
        <v>0</v>
      </c>
      <c r="N209" s="56">
        <f>SUMIFS(График[Возврат начисленных %],График[Дата с учетом нерабочих дней],$A209)</f>
        <v>0</v>
      </c>
      <c r="O209" s="101">
        <v>0</v>
      </c>
      <c r="P209" s="100" cm="1">
        <f t="array" aca="1" ref="P209" ca="1">MAX(IF(AA208="Да",0,SUM(INDIRECT("M"&amp;(MAX(("Да"=AA$12:AA208)*ROW(AA$12:AA208)+1,ROW($P$12))&amp;":M"&amp;(ROW()))))-SUM(INDIRECT("W"&amp;(MAX(("Да"=AA$12:AA208)*ROW(AA$12:AA208)+1,ROW($P$12))&amp;":W"&amp;(ROW()))))),0)</f>
        <v>1843.0499999999993</v>
      </c>
      <c r="Q209" s="99">
        <f ca="1">MAX(SUM($N$13:N209)-SUM($T$13:T209),0)</f>
        <v>9731.650655737707</v>
      </c>
      <c r="R209" s="99">
        <f ca="1">Первоначальный[[#This Row],[Просроченный платеж по ОД]]+Первоначальный[[#This Row],[Просроченный платеж по процентам]]</f>
        <v>11574.700655737706</v>
      </c>
      <c r="S209" s="120">
        <f ca="1">IF(Первоначальный[[#This Row],[Просроченный платеж]]&lt;1,0,S208+1)</f>
        <v>105</v>
      </c>
      <c r="T209" s="100" cm="1">
        <f t="array" aca="1" ref="T209" ca="1">IF(Первоначальный[[#This Row],[Итого остаток на начало периода]]&lt;1,0,
IF(
AND(TYPE(VLOOKUP(1,$Z$12:Z209,1,0))=16,Первоначальный[[#This Row],[Досрочное погашение (да/"")]]=""),0,
_xlfn.IFS(AND(S208=0,Первоначальный[[#This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платеж]]&lt;&gt;0),MIN(LOOKUP(,-1/($Z$12:Z209=1),$C$12:C209)+LOOKUP(,-1/($Z$12:Z209=1),$H$12:H209),Первоначальный[[#This Row],[Полученный платеж]]+Y208),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платеж]]+Y208,SUM(Первоначальный[[#This Row],[Остаток процентов на начало периода]],Первоначальный[[#This Row],[Проценты за период]])),
AND(S208=0,Первоначальный[[#This Row],[Дата платежа из графика]]=""),0,
AND(S208=0,Первоначальный[[#This Row],[Дата платежа из графика]]=1,MAX((0&lt;&gt;S$12:S208)*ROW(S$12:S208),ROW($S$12))&gt;=MAX((1=Z$12:Z208)*ROW(Z$12:Z208),ROW($T$12)),TYPE(VLOOKUP("Да",(INDIRECT("AA"&amp;(MAX((1=Z$12:Z208)*ROW(Z$12:Z208),ROW($T$12))&amp;":AA"&amp;(ROW()-1)))),1,0))=16),MIN(LOOKUP(,-1/($Z$12:Z209=1),$C$12:C209)+LOOKUP(,-1/($Z$12:Z209=1),$H$12:H209),Первоначальный[[#This Row],[Полученный платеж]]+Y208),
AND(S208=0,TYPE(VLOOKUP("Да",(INDIRECT("AA"&amp;(MAX((1=Z$12:Z208)*ROW(Z$12:Z208),ROW($T$12))&amp;":AA"&amp;(ROW()-1)))),1,0))&lt;&gt;16),MIN(LOOKUP(,-1/($Z$12:Z209=1),$C$12:C209)+LOOKUP(,-1/($Z$12:Z209=1),$H$12:H209)-IF(AA208="Да",0,SUM(INDIRECT("T"&amp;(MAX(("Да"=AA$12:AA208)*ROW(AA$12:AA208)+1,ROW($T$12))&amp;":T"&amp;(ROW()-1))))),Первоначальный[[#This Row],[Полученный платеж]]+Y208),
AND(S208=0,MAX((0&lt;&gt;N$12:N208)*ROW(N$12:N208),ROW($S$12))&gt;=MAX((1=Z$12:Z208)*ROW(Z$12:Z208),ROW($T$12))),MIN(LOOKUP(,-1/($Z$12:Z209=1),$C$12:C209)+LOOKUP(,-1/($Z$12:Z209=1),$H$12:H209)-IF(N208&lt;&gt;0,0,SUM(INDIRECT("T"&amp;(MAX((0&lt;&gt;N$12:N208)*ROW(N$12:N208)+1,ROW($T$12))&amp;":T"&amp;(ROW()-1))))),Первоначальный[[#This Row],[Полученный платеж]]+Y208),
AND(S208=0,Первоначальный[[#This Row],[Дата платежа из графика]]=1),MIN(LOOKUP(,-1/($Z$12:Z209=1),$C$12:C209)+LOOKUP(,-1/($Z$12:Z209=1),$H$12:H209)-IF(Z208=1,0,SUM(INDIRECT("T"&amp;(MAX((1=Z$12:Z208)*ROW(Z$12:Z208)+1,ROW($T$12))&amp;":T"&amp;(ROW()-1))))),Первоначальный[[#This Row],[Полученный платеж]]+Y208),
AND(Z208&gt;0,Первоначальный[[#This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платеж]]+Y208),
AND(S208&gt;0,MAX((0&lt;&gt;S$12:S208)*ROW(S$12:S208),ROW($S$12))&gt;=MAX((1=Z$12:Z208)*ROW(Z$12:Z208),ROW($T$12)),TYPE(VLOOKUP("Да",(INDIRECT("AA"&amp;(MAX((1=Z$12:Z208)*ROW(Z$12:Z208),ROW($T$12))&amp;":AA"&amp;(ROW()-1)))),1,0))=16),MIN(LOOKUP(,-1/($Z$12:Z209=1),$C$12:C209)+LOOKUP(,-1/($Z$12:Z209=1),$H$12:H209)-SUM(INDIRECT("T"&amp;(MAX((1=Z$12:Z208)*ROW(Z$12:Z208),ROW($T$12))&amp;":T"&amp;(ROW()-1)))),Первоначальный[[#This Row],[Полученный платеж]]+Y208),
S208&gt;0,MIN(LOOKUP(,-1/($Z$12:Z209=1),$C$12:C209)+LOOKUP(,-1/($Z$12:Z209=1),$H$12:H209)-IF(Z208=1,0,SUM(INDIRECT("T"&amp;(MAX((1=Z$12:Z208)*ROW(Z$12:Z208)+1,ROW($T$12))&amp;":T"&amp;(ROW()-1))))),Первоначальный[[#This Row],[Полученный платеж]]+Y208)
)
)
)</f>
        <v>0</v>
      </c>
      <c r="U20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платеж]]+Y208-Первоначальный[[#This Row],[Полученный платёж по процентам]])</f>
        <v>0</v>
      </c>
      <c r="V209" s="55">
        <f t="shared" ca="1" si="37"/>
        <v>0</v>
      </c>
      <c r="W209" s="55" cm="1">
        <f t="array" aca="1" ref="W209" ca="1">IF(Первоначальный[[#This Row],[Итого остаток на начало периода]]&lt;1,0,
_xlfn.IFS(
AND(TYPE(VLOOKUP(1,$Z$12:Z209,1,0))=16,Первоначальный[[#This Row],[Досрочное погашение (да/"")]]=""),0,
AND(S208=0,Первоначальный[[#This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платеж]]+Y208-SUM(Первоначальный[[#This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комиссиям]]),VLOOKUP(LOOKUP(,-1/($Z$12:Z209=1),$A$12:A209),График[[Срок конец]:[Возврат основной суммы долга]],3,0)),
AND(S208=0,Первоначальный[[#This Row],[Дата платежа из графика]]="",Первоначальный[[#This Row],[Досрочное погашение (да/"")]]&lt;&gt;"Да"),0,
AND(S208=0,Первоначальный[[#This Row],[Досрочное погашение (да/"")]]=""),MIN(Первоначальный[[#This Row],[Полученный платеж]]+Y208-SUM(Первоначальный[[#This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комиссиям]]),VLOOKUP(LOOKUP(,-1/($Z$12:Z209=1),$A$12:A209),График[[Срок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платеж]]+Y208-SUM(Первоначальный[[#This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S208&gt;0,MIN(Первоначальный[[#This Row],[Полученный платеж]]+Y208-SUM(Первоначальный[[#This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комиссиям]]),SUM(INDIRECT("M"&amp;(MAX((1=S$12:S208)*ROW(S$12:S208),ROW($W$12))&amp;":M"&amp;(ROW()))))-SUM(INDIRECT("W"&amp;(MAX((1=S$12:S208)*ROW(S$12:S208),ROW($W$12))&amp;":W"&amp;(ROW()-1)))))
)
)</f>
        <v>0</v>
      </c>
      <c r="X209" s="55">
        <f t="shared" ca="1" si="38"/>
        <v>0</v>
      </c>
      <c r="Y209" s="101">
        <f t="shared" ca="1" si="45"/>
        <v>0</v>
      </c>
      <c r="Z209" s="133" t="str">
        <f>IF(TYPE((VLOOKUP(Первоначальный[[#This Row],[Дата платежа]],График[Срок конец],1,0)))=16,"",1)</f>
        <v/>
      </c>
      <c r="AA209" s="57"/>
      <c r="AB209" s="134"/>
      <c r="AC20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0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10940.889999999998</v>
      </c>
      <c r="AE20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59.589999999999982</v>
      </c>
      <c r="AF20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0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3512.8728442622951</v>
      </c>
      <c r="AH209" s="55"/>
      <c r="AI209" s="55"/>
      <c r="AJ209" s="55"/>
      <c r="AK209" s="101">
        <f t="shared" ca="1" si="46"/>
        <v>164146.69284426226</v>
      </c>
      <c r="AL209" s="129">
        <f t="array" ref="AL209">MAX((УслРестрактов[Характеристика]="Дата реструктуризации")*(УслРестрактов[Значение]=Первоначальный!$A209),0)</f>
        <v>0</v>
      </c>
    </row>
    <row r="210" spans="1:38" x14ac:dyDescent="0.25">
      <c r="A210" s="97">
        <f t="shared" si="39"/>
        <v>44341</v>
      </c>
      <c r="B210" s="100">
        <f t="shared" ca="1" si="40"/>
        <v>149633.34</v>
      </c>
      <c r="C210" s="55">
        <f t="shared" ca="1" si="36"/>
        <v>10940.889999999998</v>
      </c>
      <c r="D210" s="55">
        <f t="shared" ca="1" si="36"/>
        <v>59.589999999999982</v>
      </c>
      <c r="E210" s="55">
        <f t="shared" ca="1" si="41"/>
        <v>0</v>
      </c>
      <c r="F210" s="55">
        <f t="shared" ca="1" si="42"/>
        <v>3512.8728442622951</v>
      </c>
      <c r="G210" s="101">
        <f t="shared" ca="1" si="43"/>
        <v>164146.69284426226</v>
      </c>
      <c r="H210" s="100">
        <f ca="1">ROUND($B210*VLOOKUP($A210,$A$1:$B$10,2,1)/(365+IF(MOD(YEAR($A210),4),0,1)*($A210-$A209)),2)-Первоначальный[[#This Row],[Проценты на просроченный платеж по ОД за период]]</f>
        <v>80.58</v>
      </c>
      <c r="I210" s="55">
        <f t="shared" ca="1" si="44"/>
        <v>1</v>
      </c>
      <c r="J210" s="55">
        <v>0</v>
      </c>
      <c r="K210" s="55">
        <f t="shared" ca="1" si="47"/>
        <v>57.873503278688531</v>
      </c>
      <c r="L210" s="55">
        <v>0</v>
      </c>
      <c r="M210" s="113">
        <f>SUMIFS(График[Возврат основной суммы долга],График[Дата с учетом нерабочих дней],$A210)</f>
        <v>0</v>
      </c>
      <c r="N210" s="56">
        <f>SUMIFS(График[Возврат начисленных %],График[Дата с учетом нерабочих дней],$A210)</f>
        <v>0</v>
      </c>
      <c r="O210" s="101">
        <v>0</v>
      </c>
      <c r="P210" s="100" cm="1">
        <f t="array" aca="1" ref="P210" ca="1">MAX(IF(AA209="Да",0,SUM(INDIRECT("M"&amp;(MAX(("Да"=AA$12:AA209)*ROW(AA$12:AA209)+1,ROW($P$12))&amp;":M"&amp;(ROW()))))-SUM(INDIRECT("W"&amp;(MAX(("Да"=AA$12:AA209)*ROW(AA$12:AA209)+1,ROW($P$12))&amp;":W"&amp;(ROW()))))),0)</f>
        <v>1843.0499999999993</v>
      </c>
      <c r="Q210" s="99">
        <f ca="1">MAX(SUM($N$13:N210)-SUM($T$13:T210),0)</f>
        <v>9731.650655737707</v>
      </c>
      <c r="R210" s="99">
        <f ca="1">Первоначальный[[#This Row],[Просроченный платеж по ОД]]+Первоначальный[[#This Row],[Просроченный платеж по процентам]]</f>
        <v>11574.700655737706</v>
      </c>
      <c r="S210" s="120">
        <f ca="1">IF(Первоначальный[[#This Row],[Просроченный платеж]]&lt;1,0,S209+1)</f>
        <v>106</v>
      </c>
      <c r="T210" s="100" cm="1">
        <f t="array" aca="1" ref="T210" ca="1">IF(Первоначальный[[#This Row],[Итого остаток на начало периода]]&lt;1,0,
IF(
AND(TYPE(VLOOKUP(1,$Z$12:Z210,1,0))=16,Первоначальный[[#This Row],[Досрочное погашение (да/"")]]=""),0,
_xlfn.IFS(AND(S209=0,Первоначальный[[#This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платеж]]&lt;&gt;0),MIN(LOOKUP(,-1/($Z$12:Z210=1),$C$12:C210)+LOOKUP(,-1/($Z$12:Z210=1),$H$12:H210),Первоначальный[[#This Row],[Полученный платеж]]+Y209),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платеж]]+Y209,SUM(Первоначальный[[#This Row],[Остаток процентов на начало периода]],Первоначальный[[#This Row],[Проценты за период]])),
AND(S209=0,Первоначальный[[#This Row],[Дата платежа из графика]]=""),0,
AND(S209=0,Первоначальный[[#This Row],[Дата платежа из графика]]=1,MAX((0&lt;&gt;S$12:S209)*ROW(S$12:S209),ROW($S$12))&gt;=MAX((1=Z$12:Z209)*ROW(Z$12:Z209),ROW($T$12)),TYPE(VLOOKUP("Да",(INDIRECT("AA"&amp;(MAX((1=Z$12:Z209)*ROW(Z$12:Z209),ROW($T$12))&amp;":AA"&amp;(ROW()-1)))),1,0))=16),MIN(LOOKUP(,-1/($Z$12:Z210=1),$C$12:C210)+LOOKUP(,-1/($Z$12:Z210=1),$H$12:H210),Первоначальный[[#This Row],[Полученный платеж]]+Y209),
AND(S209=0,TYPE(VLOOKUP("Да",(INDIRECT("AA"&amp;(MAX((1=Z$12:Z209)*ROW(Z$12:Z209),ROW($T$12))&amp;":AA"&amp;(ROW()-1)))),1,0))&lt;&gt;16),MIN(LOOKUP(,-1/($Z$12:Z210=1),$C$12:C210)+LOOKUP(,-1/($Z$12:Z210=1),$H$12:H210)-IF(AA209="Да",0,SUM(INDIRECT("T"&amp;(MAX(("Да"=AA$12:AA209)*ROW(AA$12:AA209)+1,ROW($T$12))&amp;":T"&amp;(ROW()-1))))),Первоначальный[[#This Row],[Полученный платеж]]+Y209),
AND(S209=0,MAX((0&lt;&gt;N$12:N209)*ROW(N$12:N209),ROW($S$12))&gt;=MAX((1=Z$12:Z209)*ROW(Z$12:Z209),ROW($T$12))),MIN(LOOKUP(,-1/($Z$12:Z210=1),$C$12:C210)+LOOKUP(,-1/($Z$12:Z210=1),$H$12:H210)-IF(N209&lt;&gt;0,0,SUM(INDIRECT("T"&amp;(MAX((0&lt;&gt;N$12:N209)*ROW(N$12:N209)+1,ROW($T$12))&amp;":T"&amp;(ROW()-1))))),Первоначальный[[#This Row],[Полученный платеж]]+Y209),
AND(S209=0,Первоначальный[[#This Row],[Дата платежа из графика]]=1),MIN(LOOKUP(,-1/($Z$12:Z210=1),$C$12:C210)+LOOKUP(,-1/($Z$12:Z210=1),$H$12:H210)-IF(Z209=1,0,SUM(INDIRECT("T"&amp;(MAX((1=Z$12:Z209)*ROW(Z$12:Z209)+1,ROW($T$12))&amp;":T"&amp;(ROW()-1))))),Первоначальный[[#This Row],[Полученный платеж]]+Y209),
AND(Z209&gt;0,Первоначальный[[#This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платеж]]+Y209),
AND(S209&gt;0,MAX((0&lt;&gt;S$12:S209)*ROW(S$12:S209),ROW($S$12))&gt;=MAX((1=Z$12:Z209)*ROW(Z$12:Z209),ROW($T$12)),TYPE(VLOOKUP("Да",(INDIRECT("AA"&amp;(MAX((1=Z$12:Z209)*ROW(Z$12:Z209),ROW($T$12))&amp;":AA"&amp;(ROW()-1)))),1,0))=16),MIN(LOOKUP(,-1/($Z$12:Z210=1),$C$12:C210)+LOOKUP(,-1/($Z$12:Z210=1),$H$12:H210)-SUM(INDIRECT("T"&amp;(MAX((1=Z$12:Z209)*ROW(Z$12:Z209),ROW($T$12))&amp;":T"&amp;(ROW()-1)))),Первоначальный[[#This Row],[Полученный платеж]]+Y209),
S209&gt;0,MIN(LOOKUP(,-1/($Z$12:Z210=1),$C$12:C210)+LOOKUP(,-1/($Z$12:Z210=1),$H$12:H210)-IF(Z209=1,0,SUM(INDIRECT("T"&amp;(MAX((1=Z$12:Z209)*ROW(Z$12:Z209)+1,ROW($T$12))&amp;":T"&amp;(ROW()-1))))),Первоначальный[[#This Row],[Полученный платеж]]+Y209)
)
)
)</f>
        <v>0</v>
      </c>
      <c r="U21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платеж]]+Y209-Первоначальный[[#This Row],[Полученный платёж по процентам]])</f>
        <v>0</v>
      </c>
      <c r="V210" s="55">
        <f t="shared" ca="1" si="37"/>
        <v>0</v>
      </c>
      <c r="W210" s="55" cm="1">
        <f t="array" aca="1" ref="W210" ca="1">IF(Первоначальный[[#This Row],[Итого остаток на начало периода]]&lt;1,0,
_xlfn.IFS(
AND(TYPE(VLOOKUP(1,$Z$12:Z210,1,0))=16,Первоначальный[[#This Row],[Досрочное погашение (да/"")]]=""),0,
AND(S209=0,Первоначальный[[#This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платеж]]+Y209-SUM(Первоначальный[[#This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комиссиям]]),VLOOKUP(LOOKUP(,-1/($Z$12:Z210=1),$A$12:A210),График[[Срок конец]:[Возврат основной суммы долга]],3,0)),
AND(S209=0,Первоначальный[[#This Row],[Дата платежа из графика]]="",Первоначальный[[#This Row],[Досрочное погашение (да/"")]]&lt;&gt;"Да"),0,
AND(S209=0,Первоначальный[[#This Row],[Досрочное погашение (да/"")]]=""),MIN(Первоначальный[[#This Row],[Полученный платеж]]+Y209-SUM(Первоначальный[[#This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комиссиям]]),VLOOKUP(LOOKUP(,-1/($Z$12:Z210=1),$A$12:A210),График[[Срок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платеж]]+Y209-SUM(Первоначальный[[#This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S209&gt;0,MIN(Первоначальный[[#This Row],[Полученный платеж]]+Y209-SUM(Первоначальный[[#This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комиссиям]]),SUM(INDIRECT("M"&amp;(MAX((1=S$12:S209)*ROW(S$12:S209),ROW($W$12))&amp;":M"&amp;(ROW()))))-SUM(INDIRECT("W"&amp;(MAX((1=S$12:S209)*ROW(S$12:S209),ROW($W$12))&amp;":W"&amp;(ROW()-1)))))
)
)</f>
        <v>0</v>
      </c>
      <c r="X210" s="55">
        <f t="shared" ca="1" si="38"/>
        <v>0</v>
      </c>
      <c r="Y210" s="101">
        <f t="shared" ca="1" si="45"/>
        <v>0</v>
      </c>
      <c r="Z210" s="133" t="str">
        <f>IF(TYPE((VLOOKUP(Первоначальный[[#This Row],[Дата платежа]],График[Срок конец],1,0)))=16,"",1)</f>
        <v/>
      </c>
      <c r="AA210" s="57"/>
      <c r="AB210" s="134"/>
      <c r="AC21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1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11021.469999999998</v>
      </c>
      <c r="AE21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60.589999999999982</v>
      </c>
      <c r="AF21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1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3570.7463475409836</v>
      </c>
      <c r="AH210" s="55"/>
      <c r="AI210" s="55"/>
      <c r="AJ210" s="55"/>
      <c r="AK210" s="101">
        <f t="shared" ca="1" si="46"/>
        <v>164286.14634754098</v>
      </c>
      <c r="AL210" s="129">
        <f t="array" ref="AL210">MAX((УслРестрактов[Характеристика]="Дата реструктуризации")*(УслРестрактов[Значение]=Первоначальный!$A210),0)</f>
        <v>0</v>
      </c>
    </row>
    <row r="211" spans="1:38" x14ac:dyDescent="0.25">
      <c r="A211" s="97">
        <f t="shared" si="39"/>
        <v>44342</v>
      </c>
      <c r="B211" s="100">
        <f t="shared" ca="1" si="40"/>
        <v>149633.34</v>
      </c>
      <c r="C211" s="55">
        <f t="shared" ca="1" si="36"/>
        <v>11021.469999999998</v>
      </c>
      <c r="D211" s="55">
        <f t="shared" ca="1" si="36"/>
        <v>60.589999999999982</v>
      </c>
      <c r="E211" s="55">
        <f t="shared" ca="1" si="41"/>
        <v>0</v>
      </c>
      <c r="F211" s="55">
        <f t="shared" ca="1" si="42"/>
        <v>3570.7463475409836</v>
      </c>
      <c r="G211" s="101">
        <f t="shared" ca="1" si="43"/>
        <v>164286.14634754098</v>
      </c>
      <c r="H211" s="100">
        <f ca="1">ROUND($B211*VLOOKUP($A211,$A$1:$B$10,2,1)/(365+IF(MOD(YEAR($A211),4),0,1)*($A211-$A210)),2)-Первоначальный[[#This Row],[Проценты на просроченный платеж по ОД за период]]</f>
        <v>80.58</v>
      </c>
      <c r="I211" s="55">
        <f t="shared" ca="1" si="44"/>
        <v>1</v>
      </c>
      <c r="J211" s="55">
        <v>0</v>
      </c>
      <c r="K211" s="55">
        <f t="shared" ca="1" si="47"/>
        <v>57.873503278688531</v>
      </c>
      <c r="L211" s="55">
        <v>0</v>
      </c>
      <c r="M211" s="113">
        <f>SUMIFS(График[Возврат основной суммы долга],График[Дата с учетом нерабочих дней],$A211)</f>
        <v>0</v>
      </c>
      <c r="N211" s="56">
        <f>SUMIFS(График[Возврат начисленных %],График[Дата с учетом нерабочих дней],$A211)</f>
        <v>0</v>
      </c>
      <c r="O211" s="101">
        <v>0</v>
      </c>
      <c r="P211" s="100" cm="1">
        <f t="array" aca="1" ref="P211" ca="1">MAX(IF(AA210="Да",0,SUM(INDIRECT("M"&amp;(MAX(("Да"=AA$12:AA210)*ROW(AA$12:AA210)+1,ROW($P$12))&amp;":M"&amp;(ROW()))))-SUM(INDIRECT("W"&amp;(MAX(("Да"=AA$12:AA210)*ROW(AA$12:AA210)+1,ROW($P$12))&amp;":W"&amp;(ROW()))))),0)</f>
        <v>1843.0499999999993</v>
      </c>
      <c r="Q211" s="99">
        <f ca="1">MAX(SUM($N$13:N211)-SUM($T$13:T211),0)</f>
        <v>9731.650655737707</v>
      </c>
      <c r="R211" s="99">
        <f ca="1">Первоначальный[[#This Row],[Просроченный платеж по ОД]]+Первоначальный[[#This Row],[Просроченный платеж по процентам]]</f>
        <v>11574.700655737706</v>
      </c>
      <c r="S211" s="120">
        <f ca="1">IF(Первоначальный[[#This Row],[Просроченный платеж]]&lt;1,0,S210+1)</f>
        <v>107</v>
      </c>
      <c r="T211" s="100" cm="1">
        <f t="array" aca="1" ref="T211" ca="1">IF(Первоначальный[[#This Row],[Итого остаток на начало периода]]&lt;1,0,
IF(
AND(TYPE(VLOOKUP(1,$Z$12:Z211,1,0))=16,Первоначальный[[#This Row],[Досрочное погашение (да/"")]]=""),0,
_xlfn.IFS(AND(S210=0,Первоначальный[[#This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платеж]]&lt;&gt;0),MIN(LOOKUP(,-1/($Z$12:Z211=1),$C$12:C211)+LOOKUP(,-1/($Z$12:Z211=1),$H$12:H211),Первоначальный[[#This Row],[Полученный платеж]]+Y210),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платеж]]+Y210,SUM(Первоначальный[[#This Row],[Остаток процентов на начало периода]],Первоначальный[[#This Row],[Проценты за период]])),
AND(S210=0,Первоначальный[[#This Row],[Дата платежа из графика]]=""),0,
AND(S210=0,Первоначальный[[#This Row],[Дата платежа из графика]]=1,MAX((0&lt;&gt;S$12:S210)*ROW(S$12:S210),ROW($S$12))&gt;=MAX((1=Z$12:Z210)*ROW(Z$12:Z210),ROW($T$12)),TYPE(VLOOKUP("Да",(INDIRECT("AA"&amp;(MAX((1=Z$12:Z210)*ROW(Z$12:Z210),ROW($T$12))&amp;":AA"&amp;(ROW()-1)))),1,0))=16),MIN(LOOKUP(,-1/($Z$12:Z211=1),$C$12:C211)+LOOKUP(,-1/($Z$12:Z211=1),$H$12:H211),Первоначальный[[#This Row],[Полученный платеж]]+Y210),
AND(S210=0,TYPE(VLOOKUP("Да",(INDIRECT("AA"&amp;(MAX((1=Z$12:Z210)*ROW(Z$12:Z210),ROW($T$12))&amp;":AA"&amp;(ROW()-1)))),1,0))&lt;&gt;16),MIN(LOOKUP(,-1/($Z$12:Z211=1),$C$12:C211)+LOOKUP(,-1/($Z$12:Z211=1),$H$12:H211)-IF(AA210="Да",0,SUM(INDIRECT("T"&amp;(MAX(("Да"=AA$12:AA210)*ROW(AA$12:AA210)+1,ROW($T$12))&amp;":T"&amp;(ROW()-1))))),Первоначальный[[#This Row],[Полученный платеж]]+Y210),
AND(S210=0,MAX((0&lt;&gt;N$12:N210)*ROW(N$12:N210),ROW($S$12))&gt;=MAX((1=Z$12:Z210)*ROW(Z$12:Z210),ROW($T$12))),MIN(LOOKUP(,-1/($Z$12:Z211=1),$C$12:C211)+LOOKUP(,-1/($Z$12:Z211=1),$H$12:H211)-IF(N210&lt;&gt;0,0,SUM(INDIRECT("T"&amp;(MAX((0&lt;&gt;N$12:N210)*ROW(N$12:N210)+1,ROW($T$12))&amp;":T"&amp;(ROW()-1))))),Первоначальный[[#This Row],[Полученный платеж]]+Y210),
AND(S210=0,Первоначальный[[#This Row],[Дата платежа из графика]]=1),MIN(LOOKUP(,-1/($Z$12:Z211=1),$C$12:C211)+LOOKUP(,-1/($Z$12:Z211=1),$H$12:H211)-IF(Z210=1,0,SUM(INDIRECT("T"&amp;(MAX((1=Z$12:Z210)*ROW(Z$12:Z210)+1,ROW($T$12))&amp;":T"&amp;(ROW()-1))))),Первоначальный[[#This Row],[Полученный платеж]]+Y210),
AND(Z210&gt;0,Первоначальный[[#This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платеж]]+Y210),
AND(S210&gt;0,MAX((0&lt;&gt;S$12:S210)*ROW(S$12:S210),ROW($S$12))&gt;=MAX((1=Z$12:Z210)*ROW(Z$12:Z210),ROW($T$12)),TYPE(VLOOKUP("Да",(INDIRECT("AA"&amp;(MAX((1=Z$12:Z210)*ROW(Z$12:Z210),ROW($T$12))&amp;":AA"&amp;(ROW()-1)))),1,0))=16),MIN(LOOKUP(,-1/($Z$12:Z211=1),$C$12:C211)+LOOKUP(,-1/($Z$12:Z211=1),$H$12:H211)-SUM(INDIRECT("T"&amp;(MAX((1=Z$12:Z210)*ROW(Z$12:Z210),ROW($T$12))&amp;":T"&amp;(ROW()-1)))),Первоначальный[[#This Row],[Полученный платеж]]+Y210),
S210&gt;0,MIN(LOOKUP(,-1/($Z$12:Z211=1),$C$12:C211)+LOOKUP(,-1/($Z$12:Z211=1),$H$12:H211)-IF(Z210=1,0,SUM(INDIRECT("T"&amp;(MAX((1=Z$12:Z210)*ROW(Z$12:Z210)+1,ROW($T$12))&amp;":T"&amp;(ROW()-1))))),Первоначальный[[#This Row],[Полученный платеж]]+Y210)
)
)
)</f>
        <v>0</v>
      </c>
      <c r="U21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платеж]]+Y210-Первоначальный[[#This Row],[Полученный платёж по процентам]])</f>
        <v>0</v>
      </c>
      <c r="V211" s="55">
        <f t="shared" ca="1" si="37"/>
        <v>0</v>
      </c>
      <c r="W211" s="55" cm="1">
        <f t="array" aca="1" ref="W211" ca="1">IF(Первоначальный[[#This Row],[Итого остаток на начало периода]]&lt;1,0,
_xlfn.IFS(
AND(TYPE(VLOOKUP(1,$Z$12:Z211,1,0))=16,Первоначальный[[#This Row],[Досрочное погашение (да/"")]]=""),0,
AND(S210=0,Первоначальный[[#This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платеж]]+Y210-SUM(Первоначальный[[#This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комиссиям]]),VLOOKUP(LOOKUP(,-1/($Z$12:Z211=1),$A$12:A211),График[[Срок конец]:[Возврат основной суммы долга]],3,0)),
AND(S210=0,Первоначальный[[#This Row],[Дата платежа из графика]]="",Первоначальный[[#This Row],[Досрочное погашение (да/"")]]&lt;&gt;"Да"),0,
AND(S210=0,Первоначальный[[#This Row],[Досрочное погашение (да/"")]]=""),MIN(Первоначальный[[#This Row],[Полученный платеж]]+Y210-SUM(Первоначальный[[#This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комиссиям]]),VLOOKUP(LOOKUP(,-1/($Z$12:Z211=1),$A$12:A211),График[[Срок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платеж]]+Y210-SUM(Первоначальный[[#This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S210&gt;0,MIN(Первоначальный[[#This Row],[Полученный платеж]]+Y210-SUM(Первоначальный[[#This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комиссиям]]),SUM(INDIRECT("M"&amp;(MAX((1=S$12:S210)*ROW(S$12:S210),ROW($W$12))&amp;":M"&amp;(ROW()))))-SUM(INDIRECT("W"&amp;(MAX((1=S$12:S210)*ROW(S$12:S210),ROW($W$12))&amp;":W"&amp;(ROW()-1)))))
)
)</f>
        <v>0</v>
      </c>
      <c r="X211" s="55">
        <f t="shared" ca="1" si="38"/>
        <v>0</v>
      </c>
      <c r="Y211" s="101">
        <f t="shared" ca="1" si="45"/>
        <v>0</v>
      </c>
      <c r="Z211" s="133" t="str">
        <f>IF(TYPE((VLOOKUP(Первоначальный[[#This Row],[Дата платежа]],График[Срок конец],1,0)))=16,"",1)</f>
        <v/>
      </c>
      <c r="AA211" s="57"/>
      <c r="AB211" s="134"/>
      <c r="AC21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1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11102.049999999997</v>
      </c>
      <c r="AE21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61.589999999999982</v>
      </c>
      <c r="AF21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1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3628.6198508196721</v>
      </c>
      <c r="AH211" s="55"/>
      <c r="AI211" s="55"/>
      <c r="AJ211" s="55"/>
      <c r="AK211" s="101">
        <f t="shared" ca="1" si="46"/>
        <v>164425.59985081965</v>
      </c>
      <c r="AL211" s="129">
        <f t="array" ref="AL211">MAX((УслРестрактов[Характеристика]="Дата реструктуризации")*(УслРестрактов[Значение]=Первоначальный!$A211),0)</f>
        <v>0</v>
      </c>
    </row>
    <row r="212" spans="1:38" x14ac:dyDescent="0.25">
      <c r="A212" s="97">
        <f t="shared" si="39"/>
        <v>44343</v>
      </c>
      <c r="B212" s="100">
        <f t="shared" ca="1" si="40"/>
        <v>149633.34</v>
      </c>
      <c r="C212" s="55">
        <f t="shared" ca="1" si="36"/>
        <v>11102.049999999997</v>
      </c>
      <c r="D212" s="55">
        <f t="shared" ca="1" si="36"/>
        <v>61.589999999999982</v>
      </c>
      <c r="E212" s="55">
        <f t="shared" ca="1" si="41"/>
        <v>0</v>
      </c>
      <c r="F212" s="55">
        <f t="shared" ca="1" si="42"/>
        <v>3628.6198508196721</v>
      </c>
      <c r="G212" s="101">
        <f t="shared" ca="1" si="43"/>
        <v>164425.59985081965</v>
      </c>
      <c r="H212" s="100">
        <f ca="1">ROUND($B212*VLOOKUP($A212,$A$1:$B$10,2,1)/(365+IF(MOD(YEAR($A212),4),0,1)*($A212-$A211)),2)-Первоначальный[[#This Row],[Проценты на просроченный платеж по ОД за период]]</f>
        <v>80.58</v>
      </c>
      <c r="I212" s="55">
        <f t="shared" ca="1" si="44"/>
        <v>1</v>
      </c>
      <c r="J212" s="55">
        <v>0</v>
      </c>
      <c r="K212" s="55">
        <f t="shared" ca="1" si="47"/>
        <v>57.873503278688531</v>
      </c>
      <c r="L212" s="55">
        <v>0</v>
      </c>
      <c r="M212" s="113">
        <f>SUMIFS(График[Возврат основной суммы долга],График[Дата с учетом нерабочих дней],$A212)</f>
        <v>0</v>
      </c>
      <c r="N212" s="56">
        <f>SUMIFS(График[Возврат начисленных %],График[Дата с учетом нерабочих дней],$A212)</f>
        <v>0</v>
      </c>
      <c r="O212" s="101">
        <v>0</v>
      </c>
      <c r="P212" s="100" cm="1">
        <f t="array" aca="1" ref="P212" ca="1">MAX(IF(AA211="Да",0,SUM(INDIRECT("M"&amp;(MAX(("Да"=AA$12:AA211)*ROW(AA$12:AA211)+1,ROW($P$12))&amp;":M"&amp;(ROW()))))-SUM(INDIRECT("W"&amp;(MAX(("Да"=AA$12:AA211)*ROW(AA$12:AA211)+1,ROW($P$12))&amp;":W"&amp;(ROW()))))),0)</f>
        <v>1843.0499999999993</v>
      </c>
      <c r="Q212" s="99">
        <f ca="1">MAX(SUM($N$13:N212)-SUM($T$13:T212),0)</f>
        <v>9731.650655737707</v>
      </c>
      <c r="R212" s="99">
        <f ca="1">Первоначальный[[#This Row],[Просроченный платеж по ОД]]+Первоначальный[[#This Row],[Просроченный платеж по процентам]]</f>
        <v>11574.700655737706</v>
      </c>
      <c r="S212" s="120">
        <f ca="1">IF(Первоначальный[[#This Row],[Просроченный платеж]]&lt;1,0,S211+1)</f>
        <v>108</v>
      </c>
      <c r="T212" s="100" cm="1">
        <f t="array" aca="1" ref="T212" ca="1">IF(Первоначальный[[#This Row],[Итого остаток на начало периода]]&lt;1,0,
IF(
AND(TYPE(VLOOKUP(1,$Z$12:Z212,1,0))=16,Первоначальный[[#This Row],[Досрочное погашение (да/"")]]=""),0,
_xlfn.IFS(AND(S211=0,Первоначальный[[#This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платеж]]&lt;&gt;0),MIN(LOOKUP(,-1/($Z$12:Z212=1),$C$12:C212)+LOOKUP(,-1/($Z$12:Z212=1),$H$12:H212),Первоначальный[[#This Row],[Полученный платеж]]+Y211),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платеж]]+Y211,SUM(Первоначальный[[#This Row],[Остаток процентов на начало периода]],Первоначальный[[#This Row],[Проценты за период]])),
AND(S211=0,Первоначальный[[#This Row],[Дата платежа из графика]]=""),0,
AND(S211=0,Первоначальный[[#This Row],[Дата платежа из графика]]=1,MAX((0&lt;&gt;S$12:S211)*ROW(S$12:S211),ROW($S$12))&gt;=MAX((1=Z$12:Z211)*ROW(Z$12:Z211),ROW($T$12)),TYPE(VLOOKUP("Да",(INDIRECT("AA"&amp;(MAX((1=Z$12:Z211)*ROW(Z$12:Z211),ROW($T$12))&amp;":AA"&amp;(ROW()-1)))),1,0))=16),MIN(LOOKUP(,-1/($Z$12:Z212=1),$C$12:C212)+LOOKUP(,-1/($Z$12:Z212=1),$H$12:H212),Первоначальный[[#This Row],[Полученный платеж]]+Y211),
AND(S211=0,TYPE(VLOOKUP("Да",(INDIRECT("AA"&amp;(MAX((1=Z$12:Z211)*ROW(Z$12:Z211),ROW($T$12))&amp;":AA"&amp;(ROW()-1)))),1,0))&lt;&gt;16),MIN(LOOKUP(,-1/($Z$12:Z212=1),$C$12:C212)+LOOKUP(,-1/($Z$12:Z212=1),$H$12:H212)-IF(AA211="Да",0,SUM(INDIRECT("T"&amp;(MAX(("Да"=AA$12:AA211)*ROW(AA$12:AA211)+1,ROW($T$12))&amp;":T"&amp;(ROW()-1))))),Первоначальный[[#This Row],[Полученный платеж]]+Y211),
AND(S211=0,MAX((0&lt;&gt;N$12:N211)*ROW(N$12:N211),ROW($S$12))&gt;=MAX((1=Z$12:Z211)*ROW(Z$12:Z211),ROW($T$12))),MIN(LOOKUP(,-1/($Z$12:Z212=1),$C$12:C212)+LOOKUP(,-1/($Z$12:Z212=1),$H$12:H212)-IF(N211&lt;&gt;0,0,SUM(INDIRECT("T"&amp;(MAX((0&lt;&gt;N$12:N211)*ROW(N$12:N211)+1,ROW($T$12))&amp;":T"&amp;(ROW()-1))))),Первоначальный[[#This Row],[Полученный платеж]]+Y211),
AND(S211=0,Первоначальный[[#This Row],[Дата платежа из графика]]=1),MIN(LOOKUP(,-1/($Z$12:Z212=1),$C$12:C212)+LOOKUP(,-1/($Z$12:Z212=1),$H$12:H212)-IF(Z211=1,0,SUM(INDIRECT("T"&amp;(MAX((1=Z$12:Z211)*ROW(Z$12:Z211)+1,ROW($T$12))&amp;":T"&amp;(ROW()-1))))),Первоначальный[[#This Row],[Полученный платеж]]+Y211),
AND(Z211&gt;0,Первоначальный[[#This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платеж]]+Y211),
AND(S211&gt;0,MAX((0&lt;&gt;S$12:S211)*ROW(S$12:S211),ROW($S$12))&gt;=MAX((1=Z$12:Z211)*ROW(Z$12:Z211),ROW($T$12)),TYPE(VLOOKUP("Да",(INDIRECT("AA"&amp;(MAX((1=Z$12:Z211)*ROW(Z$12:Z211),ROW($T$12))&amp;":AA"&amp;(ROW()-1)))),1,0))=16),MIN(LOOKUP(,-1/($Z$12:Z212=1),$C$12:C212)+LOOKUP(,-1/($Z$12:Z212=1),$H$12:H212)-SUM(INDIRECT("T"&amp;(MAX((1=Z$12:Z211)*ROW(Z$12:Z211),ROW($T$12))&amp;":T"&amp;(ROW()-1)))),Первоначальный[[#This Row],[Полученный платеж]]+Y211),
S211&gt;0,MIN(LOOKUP(,-1/($Z$12:Z212=1),$C$12:C212)+LOOKUP(,-1/($Z$12:Z212=1),$H$12:H212)-IF(Z211=1,0,SUM(INDIRECT("T"&amp;(MAX((1=Z$12:Z211)*ROW(Z$12:Z211)+1,ROW($T$12))&amp;":T"&amp;(ROW()-1))))),Первоначальный[[#This Row],[Полученный платеж]]+Y211)
)
)
)</f>
        <v>0</v>
      </c>
      <c r="U21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платеж]]+Y211-Первоначальный[[#This Row],[Полученный платёж по процентам]])</f>
        <v>0</v>
      </c>
      <c r="V212" s="55">
        <f t="shared" ca="1" si="37"/>
        <v>0</v>
      </c>
      <c r="W212" s="55" cm="1">
        <f t="array" aca="1" ref="W212" ca="1">IF(Первоначальный[[#This Row],[Итого остаток на начало периода]]&lt;1,0,
_xlfn.IFS(
AND(TYPE(VLOOKUP(1,$Z$12:Z212,1,0))=16,Первоначальный[[#This Row],[Досрочное погашение (да/"")]]=""),0,
AND(S211=0,Первоначальный[[#This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платеж]]+Y211-SUM(Первоначальный[[#This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комиссиям]]),VLOOKUP(LOOKUP(,-1/($Z$12:Z212=1),$A$12:A212),График[[Срок конец]:[Возврат основной суммы долга]],3,0)),
AND(S211=0,Первоначальный[[#This Row],[Дата платежа из графика]]="",Первоначальный[[#This Row],[Досрочное погашение (да/"")]]&lt;&gt;"Да"),0,
AND(S211=0,Первоначальный[[#This Row],[Досрочное погашение (да/"")]]=""),MIN(Первоначальный[[#This Row],[Полученный платеж]]+Y211-SUM(Первоначальный[[#This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комиссиям]]),VLOOKUP(LOOKUP(,-1/($Z$12:Z212=1),$A$12:A212),График[[Срок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платеж]]+Y211-SUM(Первоначальный[[#This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S211&gt;0,MIN(Первоначальный[[#This Row],[Полученный платеж]]+Y211-SUM(Первоначальный[[#This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комиссиям]]),SUM(INDIRECT("M"&amp;(MAX((1=S$12:S211)*ROW(S$12:S211),ROW($W$12))&amp;":M"&amp;(ROW()))))-SUM(INDIRECT("W"&amp;(MAX((1=S$12:S211)*ROW(S$12:S211),ROW($W$12))&amp;":W"&amp;(ROW()-1)))))
)
)</f>
        <v>0</v>
      </c>
      <c r="X212" s="55">
        <f t="shared" ca="1" si="38"/>
        <v>0</v>
      </c>
      <c r="Y212" s="101">
        <f t="shared" ca="1" si="45"/>
        <v>0</v>
      </c>
      <c r="Z212" s="133" t="str">
        <f>IF(TYPE((VLOOKUP(Первоначальный[[#This Row],[Дата платежа]],График[Срок конец],1,0)))=16,"",1)</f>
        <v/>
      </c>
      <c r="AA212" s="57"/>
      <c r="AB212" s="134"/>
      <c r="AC21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1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11182.629999999997</v>
      </c>
      <c r="AE21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62.589999999999982</v>
      </c>
      <c r="AF21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1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3686.4933540983607</v>
      </c>
      <c r="AH212" s="55"/>
      <c r="AI212" s="55"/>
      <c r="AJ212" s="55"/>
      <c r="AK212" s="101">
        <f t="shared" ca="1" si="46"/>
        <v>164565.05335409835</v>
      </c>
      <c r="AL212" s="129">
        <f t="array" ref="AL212">MAX((УслРестрактов[Характеристика]="Дата реструктуризации")*(УслРестрактов[Значение]=Первоначальный!$A212),0)</f>
        <v>0</v>
      </c>
    </row>
    <row r="213" spans="1:38" x14ac:dyDescent="0.25">
      <c r="A213" s="97">
        <f t="shared" si="39"/>
        <v>44344</v>
      </c>
      <c r="B213" s="100">
        <f t="shared" ca="1" si="40"/>
        <v>149633.34</v>
      </c>
      <c r="C213" s="55">
        <f t="shared" ca="1" si="36"/>
        <v>11182.629999999997</v>
      </c>
      <c r="D213" s="55">
        <f t="shared" ca="1" si="36"/>
        <v>62.589999999999982</v>
      </c>
      <c r="E213" s="55">
        <f t="shared" ca="1" si="41"/>
        <v>0</v>
      </c>
      <c r="F213" s="55">
        <f t="shared" ca="1" si="42"/>
        <v>3686.4933540983607</v>
      </c>
      <c r="G213" s="101">
        <f t="shared" ca="1" si="43"/>
        <v>164565.05335409835</v>
      </c>
      <c r="H213" s="100">
        <f ca="1">ROUND($B213*VLOOKUP($A213,$A$1:$B$10,2,1)/(365+IF(MOD(YEAR($A213),4),0,1)*($A213-$A212)),2)-Первоначальный[[#This Row],[Проценты на просроченный платеж по ОД за период]]</f>
        <v>80.58</v>
      </c>
      <c r="I213" s="55">
        <f t="shared" ca="1" si="44"/>
        <v>1</v>
      </c>
      <c r="J213" s="55">
        <v>0</v>
      </c>
      <c r="K213" s="55">
        <f t="shared" ca="1" si="47"/>
        <v>57.873503278688531</v>
      </c>
      <c r="L213" s="55">
        <v>0</v>
      </c>
      <c r="M213" s="113">
        <f>SUMIFS(График[Возврат основной суммы долга],График[Дата с учетом нерабочих дней],$A213)</f>
        <v>0</v>
      </c>
      <c r="N213" s="56">
        <f>SUMIFS(График[Возврат начисленных %],График[Дата с учетом нерабочих дней],$A213)</f>
        <v>0</v>
      </c>
      <c r="O213" s="101">
        <v>0</v>
      </c>
      <c r="P213" s="100" cm="1">
        <f t="array" aca="1" ref="P213" ca="1">MAX(IF(AA212="Да",0,SUM(INDIRECT("M"&amp;(MAX(("Да"=AA$12:AA212)*ROW(AA$12:AA212)+1,ROW($P$12))&amp;":M"&amp;(ROW()))))-SUM(INDIRECT("W"&amp;(MAX(("Да"=AA$12:AA212)*ROW(AA$12:AA212)+1,ROW($P$12))&amp;":W"&amp;(ROW()))))),0)</f>
        <v>1843.0499999999993</v>
      </c>
      <c r="Q213" s="99">
        <f ca="1">MAX(SUM($N$13:N213)-SUM($T$13:T213),0)</f>
        <v>9731.650655737707</v>
      </c>
      <c r="R213" s="99">
        <f ca="1">Первоначальный[[#This Row],[Просроченный платеж по ОД]]+Первоначальный[[#This Row],[Просроченный платеж по процентам]]</f>
        <v>11574.700655737706</v>
      </c>
      <c r="S213" s="120">
        <f ca="1">IF(Первоначальный[[#This Row],[Просроченный платеж]]&lt;1,0,S212+1)</f>
        <v>109</v>
      </c>
      <c r="T213" s="100" cm="1">
        <f t="array" aca="1" ref="T213" ca="1">IF(Первоначальный[[#This Row],[Итого остаток на начало периода]]&lt;1,0,
IF(
AND(TYPE(VLOOKUP(1,$Z$12:Z213,1,0))=16,Первоначальный[[#This Row],[Досрочное погашение (да/"")]]=""),0,
_xlfn.IFS(AND(S212=0,Первоначальный[[#This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платеж]]&lt;&gt;0),MIN(LOOKUP(,-1/($Z$12:Z213=1),$C$12:C213)+LOOKUP(,-1/($Z$12:Z213=1),$H$12:H213),Первоначальный[[#This Row],[Полученный платеж]]+Y212),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платеж]]+Y212,SUM(Первоначальный[[#This Row],[Остаток процентов на начало периода]],Первоначальный[[#This Row],[Проценты за период]])),
AND(S212=0,Первоначальный[[#This Row],[Дата платежа из графика]]=""),0,
AND(S212=0,Первоначальный[[#This Row],[Дата платежа из графика]]=1,MAX((0&lt;&gt;S$12:S212)*ROW(S$12:S212),ROW($S$12))&gt;=MAX((1=Z$12:Z212)*ROW(Z$12:Z212),ROW($T$12)),TYPE(VLOOKUP("Да",(INDIRECT("AA"&amp;(MAX((1=Z$12:Z212)*ROW(Z$12:Z212),ROW($T$12))&amp;":AA"&amp;(ROW()-1)))),1,0))=16),MIN(LOOKUP(,-1/($Z$12:Z213=1),$C$12:C213)+LOOKUP(,-1/($Z$12:Z213=1),$H$12:H213),Первоначальный[[#This Row],[Полученный платеж]]+Y212),
AND(S212=0,TYPE(VLOOKUP("Да",(INDIRECT("AA"&amp;(MAX((1=Z$12:Z212)*ROW(Z$12:Z212),ROW($T$12))&amp;":AA"&amp;(ROW()-1)))),1,0))&lt;&gt;16),MIN(LOOKUP(,-1/($Z$12:Z213=1),$C$12:C213)+LOOKUP(,-1/($Z$12:Z213=1),$H$12:H213)-IF(AA212="Да",0,SUM(INDIRECT("T"&amp;(MAX(("Да"=AA$12:AA212)*ROW(AA$12:AA212)+1,ROW($T$12))&amp;":T"&amp;(ROW()-1))))),Первоначальный[[#This Row],[Полученный платеж]]+Y212),
AND(S212=0,MAX((0&lt;&gt;N$12:N212)*ROW(N$12:N212),ROW($S$12))&gt;=MAX((1=Z$12:Z212)*ROW(Z$12:Z212),ROW($T$12))),MIN(LOOKUP(,-1/($Z$12:Z213=1),$C$12:C213)+LOOKUP(,-1/($Z$12:Z213=1),$H$12:H213)-IF(N212&lt;&gt;0,0,SUM(INDIRECT("T"&amp;(MAX((0&lt;&gt;N$12:N212)*ROW(N$12:N212)+1,ROW($T$12))&amp;":T"&amp;(ROW()-1))))),Первоначальный[[#This Row],[Полученный платеж]]+Y212),
AND(S212=0,Первоначальный[[#This Row],[Дата платежа из графика]]=1),MIN(LOOKUP(,-1/($Z$12:Z213=1),$C$12:C213)+LOOKUP(,-1/($Z$12:Z213=1),$H$12:H213)-IF(Z212=1,0,SUM(INDIRECT("T"&amp;(MAX((1=Z$12:Z212)*ROW(Z$12:Z212)+1,ROW($T$12))&amp;":T"&amp;(ROW()-1))))),Первоначальный[[#This Row],[Полученный платеж]]+Y212),
AND(Z212&gt;0,Первоначальный[[#This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платеж]]+Y212),
AND(S212&gt;0,MAX((0&lt;&gt;S$12:S212)*ROW(S$12:S212),ROW($S$12))&gt;=MAX((1=Z$12:Z212)*ROW(Z$12:Z212),ROW($T$12)),TYPE(VLOOKUP("Да",(INDIRECT("AA"&amp;(MAX((1=Z$12:Z212)*ROW(Z$12:Z212),ROW($T$12))&amp;":AA"&amp;(ROW()-1)))),1,0))=16),MIN(LOOKUP(,-1/($Z$12:Z213=1),$C$12:C213)+LOOKUP(,-1/($Z$12:Z213=1),$H$12:H213)-SUM(INDIRECT("T"&amp;(MAX((1=Z$12:Z212)*ROW(Z$12:Z212),ROW($T$12))&amp;":T"&amp;(ROW()-1)))),Первоначальный[[#This Row],[Полученный платеж]]+Y212),
S212&gt;0,MIN(LOOKUP(,-1/($Z$12:Z213=1),$C$12:C213)+LOOKUP(,-1/($Z$12:Z213=1),$H$12:H213)-IF(Z212=1,0,SUM(INDIRECT("T"&amp;(MAX((1=Z$12:Z212)*ROW(Z$12:Z212)+1,ROW($T$12))&amp;":T"&amp;(ROW()-1))))),Первоначальный[[#This Row],[Полученный платеж]]+Y212)
)
)
)</f>
        <v>0</v>
      </c>
      <c r="U21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платеж]]+Y212-Первоначальный[[#This Row],[Полученный платёж по процентам]])</f>
        <v>0</v>
      </c>
      <c r="V213" s="55">
        <f t="shared" ca="1" si="37"/>
        <v>0</v>
      </c>
      <c r="W213" s="55" cm="1">
        <f t="array" aca="1" ref="W213" ca="1">IF(Первоначальный[[#This Row],[Итого остаток на начало периода]]&lt;1,0,
_xlfn.IFS(
AND(TYPE(VLOOKUP(1,$Z$12:Z213,1,0))=16,Первоначальный[[#This Row],[Досрочное погашение (да/"")]]=""),0,
AND(S212=0,Первоначальный[[#This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платеж]]+Y212-SUM(Первоначальный[[#This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комиссиям]]),VLOOKUP(LOOKUP(,-1/($Z$12:Z213=1),$A$12:A213),График[[Срок конец]:[Возврат основной суммы долга]],3,0)),
AND(S212=0,Первоначальный[[#This Row],[Дата платежа из графика]]="",Первоначальный[[#This Row],[Досрочное погашение (да/"")]]&lt;&gt;"Да"),0,
AND(S212=0,Первоначальный[[#This Row],[Досрочное погашение (да/"")]]=""),MIN(Первоначальный[[#This Row],[Полученный платеж]]+Y212-SUM(Первоначальный[[#This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комиссиям]]),VLOOKUP(LOOKUP(,-1/($Z$12:Z213=1),$A$12:A213),График[[Срок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платеж]]+Y212-SUM(Первоначальный[[#This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S212&gt;0,MIN(Первоначальный[[#This Row],[Полученный платеж]]+Y212-SUM(Первоначальный[[#This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комиссиям]]),SUM(INDIRECT("M"&amp;(MAX((1=S$12:S212)*ROW(S$12:S212),ROW($W$12))&amp;":M"&amp;(ROW()))))-SUM(INDIRECT("W"&amp;(MAX((1=S$12:S212)*ROW(S$12:S212),ROW($W$12))&amp;":W"&amp;(ROW()-1)))))
)
)</f>
        <v>0</v>
      </c>
      <c r="X213" s="55">
        <f t="shared" ca="1" si="38"/>
        <v>0</v>
      </c>
      <c r="Y213" s="101">
        <f t="shared" ca="1" si="45"/>
        <v>0</v>
      </c>
      <c r="Z213" s="133" t="str">
        <f>IF(TYPE((VLOOKUP(Первоначальный[[#This Row],[Дата платежа]],График[Срок конец],1,0)))=16,"",1)</f>
        <v/>
      </c>
      <c r="AA213" s="57"/>
      <c r="AB213" s="134"/>
      <c r="AC21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1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11263.209999999997</v>
      </c>
      <c r="AE21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63.589999999999982</v>
      </c>
      <c r="AF21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1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3744.3668573770492</v>
      </c>
      <c r="AH213" s="55"/>
      <c r="AI213" s="55"/>
      <c r="AJ213" s="55"/>
      <c r="AK213" s="101">
        <f t="shared" ca="1" si="46"/>
        <v>164704.50685737704</v>
      </c>
      <c r="AL213" s="129">
        <f t="array" ref="AL213">MAX((УслРестрактов[Характеристика]="Дата реструктуризации")*(УслРестрактов[Значение]=Первоначальный!$A213),0)</f>
        <v>0</v>
      </c>
    </row>
    <row r="214" spans="1:38" x14ac:dyDescent="0.25">
      <c r="A214" s="97">
        <f t="shared" si="39"/>
        <v>44345</v>
      </c>
      <c r="B214" s="100">
        <f t="shared" ca="1" si="40"/>
        <v>149633.34</v>
      </c>
      <c r="C214" s="55">
        <f t="shared" ca="1" si="36"/>
        <v>11263.209999999997</v>
      </c>
      <c r="D214" s="55">
        <f t="shared" ca="1" si="36"/>
        <v>63.589999999999982</v>
      </c>
      <c r="E214" s="55">
        <f t="shared" ca="1" si="41"/>
        <v>0</v>
      </c>
      <c r="F214" s="55">
        <f t="shared" ca="1" si="42"/>
        <v>3744.3668573770492</v>
      </c>
      <c r="G214" s="101">
        <f t="shared" ca="1" si="43"/>
        <v>164704.50685737704</v>
      </c>
      <c r="H214" s="100">
        <f ca="1">ROUND($B214*VLOOKUP($A214,$A$1:$B$10,2,1)/(365+IF(MOD(YEAR($A214),4),0,1)*($A214-$A213)),2)-Первоначальный[[#This Row],[Проценты на просроченный платеж по ОД за период]]</f>
        <v>80.58</v>
      </c>
      <c r="I214" s="55">
        <f t="shared" ca="1" si="44"/>
        <v>1</v>
      </c>
      <c r="J214" s="55">
        <v>0</v>
      </c>
      <c r="K214" s="55">
        <f t="shared" ca="1" si="47"/>
        <v>57.873503278688531</v>
      </c>
      <c r="L214" s="55">
        <v>0</v>
      </c>
      <c r="M214" s="113">
        <f>SUMIFS(График[Возврат основной суммы долга],График[Дата с учетом нерабочих дней],$A214)</f>
        <v>0</v>
      </c>
      <c r="N214" s="56">
        <f>SUMIFS(График[Возврат начисленных %],График[Дата с учетом нерабочих дней],$A214)</f>
        <v>0</v>
      </c>
      <c r="O214" s="101">
        <v>0</v>
      </c>
      <c r="P214" s="100" cm="1">
        <f t="array" aca="1" ref="P214" ca="1">MAX(IF(AA213="Да",0,SUM(INDIRECT("M"&amp;(MAX(("Да"=AA$12:AA213)*ROW(AA$12:AA213)+1,ROW($P$12))&amp;":M"&amp;(ROW()))))-SUM(INDIRECT("W"&amp;(MAX(("Да"=AA$12:AA213)*ROW(AA$12:AA213)+1,ROW($P$12))&amp;":W"&amp;(ROW()))))),0)</f>
        <v>1843.0499999999993</v>
      </c>
      <c r="Q214" s="99">
        <f ca="1">MAX(SUM($N$13:N214)-SUM($T$13:T214),0)</f>
        <v>9731.650655737707</v>
      </c>
      <c r="R214" s="99">
        <f ca="1">Первоначальный[[#This Row],[Просроченный платеж по ОД]]+Первоначальный[[#This Row],[Просроченный платеж по процентам]]</f>
        <v>11574.700655737706</v>
      </c>
      <c r="S214" s="120">
        <f ca="1">IF(Первоначальный[[#This Row],[Просроченный платеж]]&lt;1,0,S213+1)</f>
        <v>110</v>
      </c>
      <c r="T214" s="100" cm="1">
        <f t="array" aca="1" ref="T214" ca="1">IF(Первоначальный[[#This Row],[Итого остаток на начало периода]]&lt;1,0,
IF(
AND(TYPE(VLOOKUP(1,$Z$12:Z214,1,0))=16,Первоначальный[[#This Row],[Досрочное погашение (да/"")]]=""),0,
_xlfn.IFS(AND(S213=0,Первоначальный[[#This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платеж]]&lt;&gt;0),MIN(LOOKUP(,-1/($Z$12:Z214=1),$C$12:C214)+LOOKUP(,-1/($Z$12:Z214=1),$H$12:H214),Первоначальный[[#This Row],[Полученный платеж]]+Y213),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платеж]]+Y213,SUM(Первоначальный[[#This Row],[Остаток процентов на начало периода]],Первоначальный[[#This Row],[Проценты за период]])),
AND(S213=0,Первоначальный[[#This Row],[Дата платежа из графика]]=""),0,
AND(S213=0,Первоначальный[[#This Row],[Дата платежа из графика]]=1,MAX((0&lt;&gt;S$12:S213)*ROW(S$12:S213),ROW($S$12))&gt;=MAX((1=Z$12:Z213)*ROW(Z$12:Z213),ROW($T$12)),TYPE(VLOOKUP("Да",(INDIRECT("AA"&amp;(MAX((1=Z$12:Z213)*ROW(Z$12:Z213),ROW($T$12))&amp;":AA"&amp;(ROW()-1)))),1,0))=16),MIN(LOOKUP(,-1/($Z$12:Z214=1),$C$12:C214)+LOOKUP(,-1/($Z$12:Z214=1),$H$12:H214),Первоначальный[[#This Row],[Полученный платеж]]+Y213),
AND(S213=0,TYPE(VLOOKUP("Да",(INDIRECT("AA"&amp;(MAX((1=Z$12:Z213)*ROW(Z$12:Z213),ROW($T$12))&amp;":AA"&amp;(ROW()-1)))),1,0))&lt;&gt;16),MIN(LOOKUP(,-1/($Z$12:Z214=1),$C$12:C214)+LOOKUP(,-1/($Z$12:Z214=1),$H$12:H214)-IF(AA213="Да",0,SUM(INDIRECT("T"&amp;(MAX(("Да"=AA$12:AA213)*ROW(AA$12:AA213)+1,ROW($T$12))&amp;":T"&amp;(ROW()-1))))),Первоначальный[[#This Row],[Полученный платеж]]+Y213),
AND(S213=0,MAX((0&lt;&gt;N$12:N213)*ROW(N$12:N213),ROW($S$12))&gt;=MAX((1=Z$12:Z213)*ROW(Z$12:Z213),ROW($T$12))),MIN(LOOKUP(,-1/($Z$12:Z214=1),$C$12:C214)+LOOKUP(,-1/($Z$12:Z214=1),$H$12:H214)-IF(N213&lt;&gt;0,0,SUM(INDIRECT("T"&amp;(MAX((0&lt;&gt;N$12:N213)*ROW(N$12:N213)+1,ROW($T$12))&amp;":T"&amp;(ROW()-1))))),Первоначальный[[#This Row],[Полученный платеж]]+Y213),
AND(S213=0,Первоначальный[[#This Row],[Дата платежа из графика]]=1),MIN(LOOKUP(,-1/($Z$12:Z214=1),$C$12:C214)+LOOKUP(,-1/($Z$12:Z214=1),$H$12:H214)-IF(Z213=1,0,SUM(INDIRECT("T"&amp;(MAX((1=Z$12:Z213)*ROW(Z$12:Z213)+1,ROW($T$12))&amp;":T"&amp;(ROW()-1))))),Первоначальный[[#This Row],[Полученный платеж]]+Y213),
AND(Z213&gt;0,Первоначальный[[#This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платеж]]+Y213),
AND(S213&gt;0,MAX((0&lt;&gt;S$12:S213)*ROW(S$12:S213),ROW($S$12))&gt;=MAX((1=Z$12:Z213)*ROW(Z$12:Z213),ROW($T$12)),TYPE(VLOOKUP("Да",(INDIRECT("AA"&amp;(MAX((1=Z$12:Z213)*ROW(Z$12:Z213),ROW($T$12))&amp;":AA"&amp;(ROW()-1)))),1,0))=16),MIN(LOOKUP(,-1/($Z$12:Z214=1),$C$12:C214)+LOOKUP(,-1/($Z$12:Z214=1),$H$12:H214)-SUM(INDIRECT("T"&amp;(MAX((1=Z$12:Z213)*ROW(Z$12:Z213),ROW($T$12))&amp;":T"&amp;(ROW()-1)))),Первоначальный[[#This Row],[Полученный платеж]]+Y213),
S213&gt;0,MIN(LOOKUP(,-1/($Z$12:Z214=1),$C$12:C214)+LOOKUP(,-1/($Z$12:Z214=1),$H$12:H214)-IF(Z213=1,0,SUM(INDIRECT("T"&amp;(MAX((1=Z$12:Z213)*ROW(Z$12:Z213)+1,ROW($T$12))&amp;":T"&amp;(ROW()-1))))),Первоначальный[[#This Row],[Полученный платеж]]+Y213)
)
)
)</f>
        <v>0</v>
      </c>
      <c r="U21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платеж]]+Y213-Первоначальный[[#This Row],[Полученный платёж по процентам]])</f>
        <v>0</v>
      </c>
      <c r="V214" s="55">
        <f t="shared" ca="1" si="37"/>
        <v>0</v>
      </c>
      <c r="W214" s="55" cm="1">
        <f t="array" aca="1" ref="W214" ca="1">IF(Первоначальный[[#This Row],[Итого остаток на начало периода]]&lt;1,0,
_xlfn.IFS(
AND(TYPE(VLOOKUP(1,$Z$12:Z214,1,0))=16,Первоначальный[[#This Row],[Досрочное погашение (да/"")]]=""),0,
AND(S213=0,Первоначальный[[#This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платеж]]+Y213-SUM(Первоначальный[[#This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комиссиям]]),VLOOKUP(LOOKUP(,-1/($Z$12:Z214=1),$A$12:A214),График[[Срок конец]:[Возврат основной суммы долга]],3,0)),
AND(S213=0,Первоначальный[[#This Row],[Дата платежа из графика]]="",Первоначальный[[#This Row],[Досрочное погашение (да/"")]]&lt;&gt;"Да"),0,
AND(S213=0,Первоначальный[[#This Row],[Досрочное погашение (да/"")]]=""),MIN(Первоначальный[[#This Row],[Полученный платеж]]+Y213-SUM(Первоначальный[[#This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комиссиям]]),VLOOKUP(LOOKUP(,-1/($Z$12:Z214=1),$A$12:A214),График[[Срок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платеж]]+Y213-SUM(Первоначальный[[#This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S213&gt;0,MIN(Первоначальный[[#This Row],[Полученный платеж]]+Y213-SUM(Первоначальный[[#This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комиссиям]]),SUM(INDIRECT("M"&amp;(MAX((1=S$12:S213)*ROW(S$12:S213),ROW($W$12))&amp;":M"&amp;(ROW()))))-SUM(INDIRECT("W"&amp;(MAX((1=S$12:S213)*ROW(S$12:S213),ROW($W$12))&amp;":W"&amp;(ROW()-1)))))
)
)</f>
        <v>0</v>
      </c>
      <c r="X214" s="55">
        <f t="shared" ca="1" si="38"/>
        <v>0</v>
      </c>
      <c r="Y214" s="101">
        <f t="shared" ca="1" si="45"/>
        <v>0</v>
      </c>
      <c r="Z214" s="133" t="str">
        <f>IF(TYPE((VLOOKUP(Первоначальный[[#This Row],[Дата платежа]],График[Срок конец],1,0)))=16,"",1)</f>
        <v/>
      </c>
      <c r="AA214" s="57"/>
      <c r="AB214" s="134"/>
      <c r="AC21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1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11343.789999999997</v>
      </c>
      <c r="AE21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64.589999999999975</v>
      </c>
      <c r="AF21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1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3802.2403606557377</v>
      </c>
      <c r="AH214" s="55"/>
      <c r="AI214" s="55"/>
      <c r="AJ214" s="55"/>
      <c r="AK214" s="101">
        <f t="shared" ca="1" si="46"/>
        <v>164843.96036065574</v>
      </c>
      <c r="AL214" s="129">
        <f t="array" ref="AL214">MAX((УслРестрактов[Характеристика]="Дата реструктуризации")*(УслРестрактов[Значение]=Первоначальный!$A214),0)</f>
        <v>0</v>
      </c>
    </row>
    <row r="215" spans="1:38" x14ac:dyDescent="0.25">
      <c r="A215" s="97">
        <f t="shared" si="39"/>
        <v>44346</v>
      </c>
      <c r="B215" s="100">
        <f t="shared" ca="1" si="40"/>
        <v>149633.34</v>
      </c>
      <c r="C215" s="55">
        <f t="shared" ca="1" si="36"/>
        <v>11343.789999999997</v>
      </c>
      <c r="D215" s="55">
        <f t="shared" ca="1" si="36"/>
        <v>64.589999999999975</v>
      </c>
      <c r="E215" s="55">
        <f t="shared" ca="1" si="41"/>
        <v>0</v>
      </c>
      <c r="F215" s="55">
        <f t="shared" ca="1" si="42"/>
        <v>3802.2403606557377</v>
      </c>
      <c r="G215" s="101">
        <f t="shared" ca="1" si="43"/>
        <v>164843.96036065574</v>
      </c>
      <c r="H215" s="100">
        <f ca="1">ROUND($B215*VLOOKUP($A215,$A$1:$B$10,2,1)/(365+IF(MOD(YEAR($A215),4),0,1)*($A215-$A214)),2)-Первоначальный[[#This Row],[Проценты на просроченный платеж по ОД за период]]</f>
        <v>80.58</v>
      </c>
      <c r="I215" s="55">
        <f t="shared" ca="1" si="44"/>
        <v>1</v>
      </c>
      <c r="J215" s="55">
        <v>0</v>
      </c>
      <c r="K215" s="55">
        <f t="shared" ca="1" si="47"/>
        <v>57.873503278688531</v>
      </c>
      <c r="L215" s="55">
        <v>0</v>
      </c>
      <c r="M215" s="113">
        <f>SUMIFS(График[Возврат основной суммы долга],График[Дата с учетом нерабочих дней],$A215)</f>
        <v>0</v>
      </c>
      <c r="N215" s="56">
        <f>SUMIFS(График[Возврат начисленных %],График[Дата с учетом нерабочих дней],$A215)</f>
        <v>0</v>
      </c>
      <c r="O215" s="101">
        <v>0</v>
      </c>
      <c r="P215" s="100" cm="1">
        <f t="array" aca="1" ref="P215" ca="1">MAX(IF(AA214="Да",0,SUM(INDIRECT("M"&amp;(MAX(("Да"=AA$12:AA214)*ROW(AA$12:AA214)+1,ROW($P$12))&amp;":M"&amp;(ROW()))))-SUM(INDIRECT("W"&amp;(MAX(("Да"=AA$12:AA214)*ROW(AA$12:AA214)+1,ROW($P$12))&amp;":W"&amp;(ROW()))))),0)</f>
        <v>1843.0499999999993</v>
      </c>
      <c r="Q215" s="99">
        <f ca="1">MAX(SUM($N$13:N215)-SUM($T$13:T215),0)</f>
        <v>9731.650655737707</v>
      </c>
      <c r="R215" s="99">
        <f ca="1">Первоначальный[[#This Row],[Просроченный платеж по ОД]]+Первоначальный[[#This Row],[Просроченный платеж по процентам]]</f>
        <v>11574.700655737706</v>
      </c>
      <c r="S215" s="120">
        <f ca="1">IF(Первоначальный[[#This Row],[Просроченный платеж]]&lt;1,0,S214+1)</f>
        <v>111</v>
      </c>
      <c r="T215" s="100" cm="1">
        <f t="array" aca="1" ref="T215" ca="1">IF(Первоначальный[[#This Row],[Итого остаток на начало периода]]&lt;1,0,
IF(
AND(TYPE(VLOOKUP(1,$Z$12:Z215,1,0))=16,Первоначальный[[#This Row],[Досрочное погашение (да/"")]]=""),0,
_xlfn.IFS(AND(S214=0,Первоначальный[[#This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платеж]]&lt;&gt;0),MIN(LOOKUP(,-1/($Z$12:Z215=1),$C$12:C215)+LOOKUP(,-1/($Z$12:Z215=1),$H$12:H215),Первоначальный[[#This Row],[Полученный платеж]]+Y214),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платеж]]+Y214,SUM(Первоначальный[[#This Row],[Остаток процентов на начало периода]],Первоначальный[[#This Row],[Проценты за период]])),
AND(S214=0,Первоначальный[[#This Row],[Дата платежа из графика]]=""),0,
AND(S214=0,Первоначальный[[#This Row],[Дата платежа из графика]]=1,MAX((0&lt;&gt;S$12:S214)*ROW(S$12:S214),ROW($S$12))&gt;=MAX((1=Z$12:Z214)*ROW(Z$12:Z214),ROW($T$12)),TYPE(VLOOKUP("Да",(INDIRECT("AA"&amp;(MAX((1=Z$12:Z214)*ROW(Z$12:Z214),ROW($T$12))&amp;":AA"&amp;(ROW()-1)))),1,0))=16),MIN(LOOKUP(,-1/($Z$12:Z215=1),$C$12:C215)+LOOKUP(,-1/($Z$12:Z215=1),$H$12:H215),Первоначальный[[#This Row],[Полученный платеж]]+Y214),
AND(S214=0,TYPE(VLOOKUP("Да",(INDIRECT("AA"&amp;(MAX((1=Z$12:Z214)*ROW(Z$12:Z214),ROW($T$12))&amp;":AA"&amp;(ROW()-1)))),1,0))&lt;&gt;16),MIN(LOOKUP(,-1/($Z$12:Z215=1),$C$12:C215)+LOOKUP(,-1/($Z$12:Z215=1),$H$12:H215)-IF(AA214="Да",0,SUM(INDIRECT("T"&amp;(MAX(("Да"=AA$12:AA214)*ROW(AA$12:AA214)+1,ROW($T$12))&amp;":T"&amp;(ROW()-1))))),Первоначальный[[#This Row],[Полученный платеж]]+Y214),
AND(S214=0,MAX((0&lt;&gt;N$12:N214)*ROW(N$12:N214),ROW($S$12))&gt;=MAX((1=Z$12:Z214)*ROW(Z$12:Z214),ROW($T$12))),MIN(LOOKUP(,-1/($Z$12:Z215=1),$C$12:C215)+LOOKUP(,-1/($Z$12:Z215=1),$H$12:H215)-IF(N214&lt;&gt;0,0,SUM(INDIRECT("T"&amp;(MAX((0&lt;&gt;N$12:N214)*ROW(N$12:N214)+1,ROW($T$12))&amp;":T"&amp;(ROW()-1))))),Первоначальный[[#This Row],[Полученный платеж]]+Y214),
AND(S214=0,Первоначальный[[#This Row],[Дата платежа из графика]]=1),MIN(LOOKUP(,-1/($Z$12:Z215=1),$C$12:C215)+LOOKUP(,-1/($Z$12:Z215=1),$H$12:H215)-IF(Z214=1,0,SUM(INDIRECT("T"&amp;(MAX((1=Z$12:Z214)*ROW(Z$12:Z214)+1,ROW($T$12))&amp;":T"&amp;(ROW()-1))))),Первоначальный[[#This Row],[Полученный платеж]]+Y214),
AND(Z214&gt;0,Первоначальный[[#This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платеж]]+Y214),
AND(S214&gt;0,MAX((0&lt;&gt;S$12:S214)*ROW(S$12:S214),ROW($S$12))&gt;=MAX((1=Z$12:Z214)*ROW(Z$12:Z214),ROW($T$12)),TYPE(VLOOKUP("Да",(INDIRECT("AA"&amp;(MAX((1=Z$12:Z214)*ROW(Z$12:Z214),ROW($T$12))&amp;":AA"&amp;(ROW()-1)))),1,0))=16),MIN(LOOKUP(,-1/($Z$12:Z215=1),$C$12:C215)+LOOKUP(,-1/($Z$12:Z215=1),$H$12:H215)-SUM(INDIRECT("T"&amp;(MAX((1=Z$12:Z214)*ROW(Z$12:Z214),ROW($T$12))&amp;":T"&amp;(ROW()-1)))),Первоначальный[[#This Row],[Полученный платеж]]+Y214),
S214&gt;0,MIN(LOOKUP(,-1/($Z$12:Z215=1),$C$12:C215)+LOOKUP(,-1/($Z$12:Z215=1),$H$12:H215)-IF(Z214=1,0,SUM(INDIRECT("T"&amp;(MAX((1=Z$12:Z214)*ROW(Z$12:Z214)+1,ROW($T$12))&amp;":T"&amp;(ROW()-1))))),Первоначальный[[#This Row],[Полученный платеж]]+Y214)
)
)
)</f>
        <v>0</v>
      </c>
      <c r="U21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платеж]]+Y214-Первоначальный[[#This Row],[Полученный платёж по процентам]])</f>
        <v>0</v>
      </c>
      <c r="V215" s="55">
        <f t="shared" ca="1" si="37"/>
        <v>0</v>
      </c>
      <c r="W215" s="55" cm="1">
        <f t="array" aca="1" ref="W215" ca="1">IF(Первоначальный[[#This Row],[Итого остаток на начало периода]]&lt;1,0,
_xlfn.IFS(
AND(TYPE(VLOOKUP(1,$Z$12:Z215,1,0))=16,Первоначальный[[#This Row],[Досрочное погашение (да/"")]]=""),0,
AND(S214=0,Первоначальный[[#This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платеж]]+Y214-SUM(Первоначальный[[#This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комиссиям]]),VLOOKUP(LOOKUP(,-1/($Z$12:Z215=1),$A$12:A215),График[[Срок конец]:[Возврат основной суммы долга]],3,0)),
AND(S214=0,Первоначальный[[#This Row],[Дата платежа из графика]]="",Первоначальный[[#This Row],[Досрочное погашение (да/"")]]&lt;&gt;"Да"),0,
AND(S214=0,Первоначальный[[#This Row],[Досрочное погашение (да/"")]]=""),MIN(Первоначальный[[#This Row],[Полученный платеж]]+Y214-SUM(Первоначальный[[#This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комиссиям]]),VLOOKUP(LOOKUP(,-1/($Z$12:Z215=1),$A$12:A215),График[[Срок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платеж]]+Y214-SUM(Первоначальный[[#This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S214&gt;0,MIN(Первоначальный[[#This Row],[Полученный платеж]]+Y214-SUM(Первоначальный[[#This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комиссиям]]),SUM(INDIRECT("M"&amp;(MAX((1=S$12:S214)*ROW(S$12:S214),ROW($W$12))&amp;":M"&amp;(ROW()))))-SUM(INDIRECT("W"&amp;(MAX((1=S$12:S214)*ROW(S$12:S214),ROW($W$12))&amp;":W"&amp;(ROW()-1)))))
)
)</f>
        <v>0</v>
      </c>
      <c r="X215" s="55">
        <f t="shared" ca="1" si="38"/>
        <v>0</v>
      </c>
      <c r="Y215" s="101">
        <f t="shared" ca="1" si="45"/>
        <v>0</v>
      </c>
      <c r="Z215" s="133" t="str">
        <f>IF(TYPE((VLOOKUP(Первоначальный[[#This Row],[Дата платежа]],График[Срок конец],1,0)))=16,"",1)</f>
        <v/>
      </c>
      <c r="AA215" s="57"/>
      <c r="AB215" s="134"/>
      <c r="AC21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1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11424.369999999997</v>
      </c>
      <c r="AE21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65.589999999999975</v>
      </c>
      <c r="AF21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1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3860.1138639344263</v>
      </c>
      <c r="AH215" s="55"/>
      <c r="AI215" s="55"/>
      <c r="AJ215" s="55"/>
      <c r="AK215" s="101">
        <f t="shared" ca="1" si="46"/>
        <v>164983.4138639344</v>
      </c>
      <c r="AL215" s="129">
        <f t="array" ref="AL215">MAX((УслРестрактов[Характеристика]="Дата реструктуризации")*(УслРестрактов[Значение]=Первоначальный!$A215),0)</f>
        <v>0</v>
      </c>
    </row>
    <row r="216" spans="1:38" x14ac:dyDescent="0.25">
      <c r="A216" s="97">
        <f t="shared" si="39"/>
        <v>44347</v>
      </c>
      <c r="B216" s="100">
        <f t="shared" ca="1" si="40"/>
        <v>149633.34</v>
      </c>
      <c r="C216" s="55">
        <f t="shared" ca="1" si="36"/>
        <v>11424.369999999997</v>
      </c>
      <c r="D216" s="55">
        <f t="shared" ca="1" si="36"/>
        <v>65.589999999999975</v>
      </c>
      <c r="E216" s="55">
        <f t="shared" ca="1" si="41"/>
        <v>0</v>
      </c>
      <c r="F216" s="55">
        <f t="shared" ca="1" si="42"/>
        <v>3860.1138639344263</v>
      </c>
      <c r="G216" s="101">
        <f t="shared" ca="1" si="43"/>
        <v>164983.4138639344</v>
      </c>
      <c r="H216" s="100">
        <f ca="1">ROUND($B216*VLOOKUP($A216,$A$1:$B$10,2,1)/(365+IF(MOD(YEAR($A216),4),0,1)*($A216-$A215)),2)-Первоначальный[[#This Row],[Проценты на просроченный платеж по ОД за период]]</f>
        <v>80.58</v>
      </c>
      <c r="I216" s="55">
        <f t="shared" ca="1" si="44"/>
        <v>1</v>
      </c>
      <c r="J216" s="55">
        <v>0</v>
      </c>
      <c r="K216" s="55">
        <f t="shared" ca="1" si="47"/>
        <v>57.873503278688531</v>
      </c>
      <c r="L216" s="55">
        <v>0</v>
      </c>
      <c r="M216" s="113">
        <f>SUMIFS(График[Возврат основной суммы долга],График[Дата с учетом нерабочих дней],$A216)</f>
        <v>0</v>
      </c>
      <c r="N216" s="56">
        <f>SUMIFS(График[Возврат начисленных %],График[Дата с учетом нерабочих дней],$A216)</f>
        <v>0</v>
      </c>
      <c r="O216" s="101">
        <v>0</v>
      </c>
      <c r="P216" s="100" cm="1">
        <f t="array" aca="1" ref="P216" ca="1">MAX(IF(AA215="Да",0,SUM(INDIRECT("M"&amp;(MAX(("Да"=AA$12:AA215)*ROW(AA$12:AA215)+1,ROW($P$12))&amp;":M"&amp;(ROW()))))-SUM(INDIRECT("W"&amp;(MAX(("Да"=AA$12:AA215)*ROW(AA$12:AA215)+1,ROW($P$12))&amp;":W"&amp;(ROW()))))),0)</f>
        <v>1843.0499999999993</v>
      </c>
      <c r="Q216" s="99">
        <f ca="1">MAX(SUM($N$13:N216)-SUM($T$13:T216),0)</f>
        <v>9731.650655737707</v>
      </c>
      <c r="R216" s="99">
        <f ca="1">Первоначальный[[#This Row],[Просроченный платеж по ОД]]+Первоначальный[[#This Row],[Просроченный платеж по процентам]]</f>
        <v>11574.700655737706</v>
      </c>
      <c r="S216" s="120">
        <f ca="1">IF(Первоначальный[[#This Row],[Просроченный платеж]]&lt;1,0,S215+1)</f>
        <v>112</v>
      </c>
      <c r="T216" s="100" cm="1">
        <f t="array" aca="1" ref="T216" ca="1">IF(Первоначальный[[#This Row],[Итого остаток на начало периода]]&lt;1,0,
IF(
AND(TYPE(VLOOKUP(1,$Z$12:Z216,1,0))=16,Первоначальный[[#This Row],[Досрочное погашение (да/"")]]=""),0,
_xlfn.IFS(AND(S215=0,Первоначальный[[#This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платеж]]&lt;&gt;0),MIN(LOOKUP(,-1/($Z$12:Z216=1),$C$12:C216)+LOOKUP(,-1/($Z$12:Z216=1),$H$12:H216),Первоначальный[[#This Row],[Полученный платеж]]+Y215),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платеж]]+Y215,SUM(Первоначальный[[#This Row],[Остаток процентов на начало периода]],Первоначальный[[#This Row],[Проценты за период]])),
AND(S215=0,Первоначальный[[#This Row],[Дата платежа из графика]]=""),0,
AND(S215=0,Первоначальный[[#This Row],[Дата платежа из графика]]=1,MAX((0&lt;&gt;S$12:S215)*ROW(S$12:S215),ROW($S$12))&gt;=MAX((1=Z$12:Z215)*ROW(Z$12:Z215),ROW($T$12)),TYPE(VLOOKUP("Да",(INDIRECT("AA"&amp;(MAX((1=Z$12:Z215)*ROW(Z$12:Z215),ROW($T$12))&amp;":AA"&amp;(ROW()-1)))),1,0))=16),MIN(LOOKUP(,-1/($Z$12:Z216=1),$C$12:C216)+LOOKUP(,-1/($Z$12:Z216=1),$H$12:H216),Первоначальный[[#This Row],[Полученный платеж]]+Y215),
AND(S215=0,TYPE(VLOOKUP("Да",(INDIRECT("AA"&amp;(MAX((1=Z$12:Z215)*ROW(Z$12:Z215),ROW($T$12))&amp;":AA"&amp;(ROW()-1)))),1,0))&lt;&gt;16),MIN(LOOKUP(,-1/($Z$12:Z216=1),$C$12:C216)+LOOKUP(,-1/($Z$12:Z216=1),$H$12:H216)-IF(AA215="Да",0,SUM(INDIRECT("T"&amp;(MAX(("Да"=AA$12:AA215)*ROW(AA$12:AA215)+1,ROW($T$12))&amp;":T"&amp;(ROW()-1))))),Первоначальный[[#This Row],[Полученный платеж]]+Y215),
AND(S215=0,MAX((0&lt;&gt;N$12:N215)*ROW(N$12:N215),ROW($S$12))&gt;=MAX((1=Z$12:Z215)*ROW(Z$12:Z215),ROW($T$12))),MIN(LOOKUP(,-1/($Z$12:Z216=1),$C$12:C216)+LOOKUP(,-1/($Z$12:Z216=1),$H$12:H216)-IF(N215&lt;&gt;0,0,SUM(INDIRECT("T"&amp;(MAX((0&lt;&gt;N$12:N215)*ROW(N$12:N215)+1,ROW($T$12))&amp;":T"&amp;(ROW()-1))))),Первоначальный[[#This Row],[Полученный платеж]]+Y215),
AND(S215=0,Первоначальный[[#This Row],[Дата платежа из графика]]=1),MIN(LOOKUP(,-1/($Z$12:Z216=1),$C$12:C216)+LOOKUP(,-1/($Z$12:Z216=1),$H$12:H216)-IF(Z215=1,0,SUM(INDIRECT("T"&amp;(MAX((1=Z$12:Z215)*ROW(Z$12:Z215)+1,ROW($T$12))&amp;":T"&amp;(ROW()-1))))),Первоначальный[[#This Row],[Полученный платеж]]+Y215),
AND(Z215&gt;0,Первоначальный[[#This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платеж]]+Y215),
AND(S215&gt;0,MAX((0&lt;&gt;S$12:S215)*ROW(S$12:S215),ROW($S$12))&gt;=MAX((1=Z$12:Z215)*ROW(Z$12:Z215),ROW($T$12)),TYPE(VLOOKUP("Да",(INDIRECT("AA"&amp;(MAX((1=Z$12:Z215)*ROW(Z$12:Z215),ROW($T$12))&amp;":AA"&amp;(ROW()-1)))),1,0))=16),MIN(LOOKUP(,-1/($Z$12:Z216=1),$C$12:C216)+LOOKUP(,-1/($Z$12:Z216=1),$H$12:H216)-SUM(INDIRECT("T"&amp;(MAX((1=Z$12:Z215)*ROW(Z$12:Z215),ROW($T$12))&amp;":T"&amp;(ROW()-1)))),Первоначальный[[#This Row],[Полученный платеж]]+Y215),
S215&gt;0,MIN(LOOKUP(,-1/($Z$12:Z216=1),$C$12:C216)+LOOKUP(,-1/($Z$12:Z216=1),$H$12:H216)-IF(Z215=1,0,SUM(INDIRECT("T"&amp;(MAX((1=Z$12:Z215)*ROW(Z$12:Z215)+1,ROW($T$12))&amp;":T"&amp;(ROW()-1))))),Первоначальный[[#This Row],[Полученный платеж]]+Y215)
)
)
)</f>
        <v>0</v>
      </c>
      <c r="U21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платеж]]+Y215-Первоначальный[[#This Row],[Полученный платёж по процентам]])</f>
        <v>0</v>
      </c>
      <c r="V216" s="55">
        <f t="shared" ca="1" si="37"/>
        <v>0</v>
      </c>
      <c r="W216" s="55" cm="1">
        <f t="array" aca="1" ref="W216" ca="1">IF(Первоначальный[[#This Row],[Итого остаток на начало периода]]&lt;1,0,
_xlfn.IFS(
AND(TYPE(VLOOKUP(1,$Z$12:Z216,1,0))=16,Первоначальный[[#This Row],[Досрочное погашение (да/"")]]=""),0,
AND(S215=0,Первоначальный[[#This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платеж]]+Y215-SUM(Первоначальный[[#This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комиссиям]]),VLOOKUP(LOOKUP(,-1/($Z$12:Z216=1),$A$12:A216),График[[Срок конец]:[Возврат основной суммы долга]],3,0)),
AND(S215=0,Первоначальный[[#This Row],[Дата платежа из графика]]="",Первоначальный[[#This Row],[Досрочное погашение (да/"")]]&lt;&gt;"Да"),0,
AND(S215=0,Первоначальный[[#This Row],[Досрочное погашение (да/"")]]=""),MIN(Первоначальный[[#This Row],[Полученный платеж]]+Y215-SUM(Первоначальный[[#This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комиссиям]]),VLOOKUP(LOOKUP(,-1/($Z$12:Z216=1),$A$12:A216),График[[Срок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платеж]]+Y215-SUM(Первоначальный[[#This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S215&gt;0,MIN(Первоначальный[[#This Row],[Полученный платеж]]+Y215-SUM(Первоначальный[[#This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комиссиям]]),SUM(INDIRECT("M"&amp;(MAX((1=S$12:S215)*ROW(S$12:S215),ROW($W$12))&amp;":M"&amp;(ROW()))))-SUM(INDIRECT("W"&amp;(MAX((1=S$12:S215)*ROW(S$12:S215),ROW($W$12))&amp;":W"&amp;(ROW()-1)))))
)
)</f>
        <v>0</v>
      </c>
      <c r="X216" s="55">
        <f t="shared" ca="1" si="38"/>
        <v>0</v>
      </c>
      <c r="Y216" s="101">
        <f t="shared" ca="1" si="45"/>
        <v>0</v>
      </c>
      <c r="Z216" s="133" t="str">
        <f>IF(TYPE((VLOOKUP(Первоначальный[[#This Row],[Дата платежа]],График[Срок конец],1,0)))=16,"",1)</f>
        <v/>
      </c>
      <c r="AA216" s="57"/>
      <c r="AB216" s="134"/>
      <c r="AC21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1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11504.949999999997</v>
      </c>
      <c r="AE21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66.589999999999975</v>
      </c>
      <c r="AF21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1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3917.9873672131148</v>
      </c>
      <c r="AH216" s="55"/>
      <c r="AI216" s="55"/>
      <c r="AJ216" s="55"/>
      <c r="AK216" s="101">
        <f t="shared" ca="1" si="46"/>
        <v>165122.8673672131</v>
      </c>
      <c r="AL216" s="129">
        <f t="array" ref="AL216">MAX((УслРестрактов[Характеристика]="Дата реструктуризации")*(УслРестрактов[Значение]=Первоначальный!$A216),0)</f>
        <v>0</v>
      </c>
    </row>
    <row r="217" spans="1:38" x14ac:dyDescent="0.25">
      <c r="A217" s="97">
        <f t="shared" si="39"/>
        <v>44348</v>
      </c>
      <c r="B217" s="100">
        <f t="shared" ca="1" si="40"/>
        <v>149633.34</v>
      </c>
      <c r="C217" s="55">
        <f t="shared" ca="1" si="36"/>
        <v>11504.949999999997</v>
      </c>
      <c r="D217" s="55">
        <f t="shared" ca="1" si="36"/>
        <v>66.589999999999975</v>
      </c>
      <c r="E217" s="55">
        <f t="shared" ca="1" si="41"/>
        <v>0</v>
      </c>
      <c r="F217" s="55">
        <f t="shared" ca="1" si="42"/>
        <v>3917.9873672131148</v>
      </c>
      <c r="G217" s="101">
        <f t="shared" ca="1" si="43"/>
        <v>165122.8673672131</v>
      </c>
      <c r="H217" s="100">
        <f ca="1">ROUND($B217*VLOOKUP($A217,$A$1:$B$10,2,1)/(365+IF(MOD(YEAR($A217),4),0,1)*($A217-$A216)),2)-Первоначальный[[#This Row],[Проценты на просроченный платеж по ОД за период]]</f>
        <v>80.58</v>
      </c>
      <c r="I217" s="55">
        <f t="shared" ca="1" si="44"/>
        <v>1</v>
      </c>
      <c r="J217" s="55">
        <v>0</v>
      </c>
      <c r="K217" s="55">
        <f t="shared" ca="1" si="47"/>
        <v>57.873503278688531</v>
      </c>
      <c r="L217" s="55">
        <v>0</v>
      </c>
      <c r="M217" s="113">
        <f>SUMIFS(График[Возврат основной суммы долга],График[Дата с учетом нерабочих дней],$A217)</f>
        <v>0</v>
      </c>
      <c r="N217" s="56">
        <f>SUMIFS(График[Возврат начисленных %],График[Дата с учетом нерабочих дней],$A217)</f>
        <v>0</v>
      </c>
      <c r="O217" s="101">
        <v>0</v>
      </c>
      <c r="P217" s="100" cm="1">
        <f t="array" aca="1" ref="P217" ca="1">MAX(IF(AA216="Да",0,SUM(INDIRECT("M"&amp;(MAX(("Да"=AA$12:AA216)*ROW(AA$12:AA216)+1,ROW($P$12))&amp;":M"&amp;(ROW()))))-SUM(INDIRECT("W"&amp;(MAX(("Да"=AA$12:AA216)*ROW(AA$12:AA216)+1,ROW($P$12))&amp;":W"&amp;(ROW()))))),0)</f>
        <v>1843.0499999999993</v>
      </c>
      <c r="Q217" s="99">
        <f ca="1">MAX(SUM($N$13:N217)-SUM($T$13:T217),0)</f>
        <v>9731.650655737707</v>
      </c>
      <c r="R217" s="99">
        <f ca="1">Первоначальный[[#This Row],[Просроченный платеж по ОД]]+Первоначальный[[#This Row],[Просроченный платеж по процентам]]</f>
        <v>11574.700655737706</v>
      </c>
      <c r="S217" s="120">
        <f ca="1">IF(Первоначальный[[#This Row],[Просроченный платеж]]&lt;1,0,S216+1)</f>
        <v>113</v>
      </c>
      <c r="T217" s="100" cm="1">
        <f t="array" aca="1" ref="T217" ca="1">IF(Первоначальный[[#This Row],[Итого остаток на начало периода]]&lt;1,0,
IF(
AND(TYPE(VLOOKUP(1,$Z$12:Z217,1,0))=16,Первоначальный[[#This Row],[Досрочное погашение (да/"")]]=""),0,
_xlfn.IFS(AND(S216=0,Первоначальный[[#This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платеж]]&lt;&gt;0),MIN(LOOKUP(,-1/($Z$12:Z217=1),$C$12:C217)+LOOKUP(,-1/($Z$12:Z217=1),$H$12:H217),Первоначальный[[#This Row],[Полученный платеж]]+Y216),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платеж]]+Y216,SUM(Первоначальный[[#This Row],[Остаток процентов на начало периода]],Первоначальный[[#This Row],[Проценты за период]])),
AND(S216=0,Первоначальный[[#This Row],[Дата платежа из графика]]=""),0,
AND(S216=0,Первоначальный[[#This Row],[Дата платежа из графика]]=1,MAX((0&lt;&gt;S$12:S216)*ROW(S$12:S216),ROW($S$12))&gt;=MAX((1=Z$12:Z216)*ROW(Z$12:Z216),ROW($T$12)),TYPE(VLOOKUP("Да",(INDIRECT("AA"&amp;(MAX((1=Z$12:Z216)*ROW(Z$12:Z216),ROW($T$12))&amp;":AA"&amp;(ROW()-1)))),1,0))=16),MIN(LOOKUP(,-1/($Z$12:Z217=1),$C$12:C217)+LOOKUP(,-1/($Z$12:Z217=1),$H$12:H217),Первоначальный[[#This Row],[Полученный платеж]]+Y216),
AND(S216=0,TYPE(VLOOKUP("Да",(INDIRECT("AA"&amp;(MAX((1=Z$12:Z216)*ROW(Z$12:Z216),ROW($T$12))&amp;":AA"&amp;(ROW()-1)))),1,0))&lt;&gt;16),MIN(LOOKUP(,-1/($Z$12:Z217=1),$C$12:C217)+LOOKUP(,-1/($Z$12:Z217=1),$H$12:H217)-IF(AA216="Да",0,SUM(INDIRECT("T"&amp;(MAX(("Да"=AA$12:AA216)*ROW(AA$12:AA216)+1,ROW($T$12))&amp;":T"&amp;(ROW()-1))))),Первоначальный[[#This Row],[Полученный платеж]]+Y216),
AND(S216=0,MAX((0&lt;&gt;N$12:N216)*ROW(N$12:N216),ROW($S$12))&gt;=MAX((1=Z$12:Z216)*ROW(Z$12:Z216),ROW($T$12))),MIN(LOOKUP(,-1/($Z$12:Z217=1),$C$12:C217)+LOOKUP(,-1/($Z$12:Z217=1),$H$12:H217)-IF(N216&lt;&gt;0,0,SUM(INDIRECT("T"&amp;(MAX((0&lt;&gt;N$12:N216)*ROW(N$12:N216)+1,ROW($T$12))&amp;":T"&amp;(ROW()-1))))),Первоначальный[[#This Row],[Полученный платеж]]+Y216),
AND(S216=0,Первоначальный[[#This Row],[Дата платежа из графика]]=1),MIN(LOOKUP(,-1/($Z$12:Z217=1),$C$12:C217)+LOOKUP(,-1/($Z$12:Z217=1),$H$12:H217)-IF(Z216=1,0,SUM(INDIRECT("T"&amp;(MAX((1=Z$12:Z216)*ROW(Z$12:Z216)+1,ROW($T$12))&amp;":T"&amp;(ROW()-1))))),Первоначальный[[#This Row],[Полученный платеж]]+Y216),
AND(Z216&gt;0,Первоначальный[[#This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платеж]]+Y216),
AND(S216&gt;0,MAX((0&lt;&gt;S$12:S216)*ROW(S$12:S216),ROW($S$12))&gt;=MAX((1=Z$12:Z216)*ROW(Z$12:Z216),ROW($T$12)),TYPE(VLOOKUP("Да",(INDIRECT("AA"&amp;(MAX((1=Z$12:Z216)*ROW(Z$12:Z216),ROW($T$12))&amp;":AA"&amp;(ROW()-1)))),1,0))=16),MIN(LOOKUP(,-1/($Z$12:Z217=1),$C$12:C217)+LOOKUP(,-1/($Z$12:Z217=1),$H$12:H217)-SUM(INDIRECT("T"&amp;(MAX((1=Z$12:Z216)*ROW(Z$12:Z216),ROW($T$12))&amp;":T"&amp;(ROW()-1)))),Первоначальный[[#This Row],[Полученный платеж]]+Y216),
S216&gt;0,MIN(LOOKUP(,-1/($Z$12:Z217=1),$C$12:C217)+LOOKUP(,-1/($Z$12:Z217=1),$H$12:H217)-IF(Z216=1,0,SUM(INDIRECT("T"&amp;(MAX((1=Z$12:Z216)*ROW(Z$12:Z216)+1,ROW($T$12))&amp;":T"&amp;(ROW()-1))))),Первоначальный[[#This Row],[Полученный платеж]]+Y216)
)
)
)</f>
        <v>0</v>
      </c>
      <c r="U21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платеж]]+Y216-Первоначальный[[#This Row],[Полученный платёж по процентам]])</f>
        <v>0</v>
      </c>
      <c r="V217" s="55">
        <f t="shared" ca="1" si="37"/>
        <v>0</v>
      </c>
      <c r="W217" s="55" cm="1">
        <f t="array" aca="1" ref="W217" ca="1">IF(Первоначальный[[#This Row],[Итого остаток на начало периода]]&lt;1,0,
_xlfn.IFS(
AND(TYPE(VLOOKUP(1,$Z$12:Z217,1,0))=16,Первоначальный[[#This Row],[Досрочное погашение (да/"")]]=""),0,
AND(S216=0,Первоначальный[[#This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платеж]]+Y216-SUM(Первоначальный[[#This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комиссиям]]),VLOOKUP(LOOKUP(,-1/($Z$12:Z217=1),$A$12:A217),График[[Срок конец]:[Возврат основной суммы долга]],3,0)),
AND(S216=0,Первоначальный[[#This Row],[Дата платежа из графика]]="",Первоначальный[[#This Row],[Досрочное погашение (да/"")]]&lt;&gt;"Да"),0,
AND(S216=0,Первоначальный[[#This Row],[Досрочное погашение (да/"")]]=""),MIN(Первоначальный[[#This Row],[Полученный платеж]]+Y216-SUM(Первоначальный[[#This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комиссиям]]),VLOOKUP(LOOKUP(,-1/($Z$12:Z217=1),$A$12:A217),График[[Срок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платеж]]+Y216-SUM(Первоначальный[[#This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S216&gt;0,MIN(Первоначальный[[#This Row],[Полученный платеж]]+Y216-SUM(Первоначальный[[#This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комиссиям]]),SUM(INDIRECT("M"&amp;(MAX((1=S$12:S216)*ROW(S$12:S216),ROW($W$12))&amp;":M"&amp;(ROW()))))-SUM(INDIRECT("W"&amp;(MAX((1=S$12:S216)*ROW(S$12:S216),ROW($W$12))&amp;":W"&amp;(ROW()-1)))))
)
)</f>
        <v>0</v>
      </c>
      <c r="X217" s="55">
        <f t="shared" ca="1" si="38"/>
        <v>0</v>
      </c>
      <c r="Y217" s="101">
        <f t="shared" ca="1" si="45"/>
        <v>0</v>
      </c>
      <c r="Z217" s="133" t="str">
        <f>IF(TYPE((VLOOKUP(Первоначальный[[#This Row],[Дата платежа]],График[Срок конец],1,0)))=16,"",1)</f>
        <v/>
      </c>
      <c r="AA217" s="57"/>
      <c r="AB217" s="134"/>
      <c r="AC21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1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11585.529999999997</v>
      </c>
      <c r="AE21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67.589999999999975</v>
      </c>
      <c r="AF21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1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3975.8608704918033</v>
      </c>
      <c r="AH217" s="55"/>
      <c r="AI217" s="55"/>
      <c r="AJ217" s="55"/>
      <c r="AK217" s="101">
        <f t="shared" ca="1" si="46"/>
        <v>165262.32087049179</v>
      </c>
      <c r="AL217" s="129">
        <f t="array" ref="AL217">MAX((УслРестрактов[Характеристика]="Дата реструктуризации")*(УслРестрактов[Значение]=Первоначальный!$A217),0)</f>
        <v>0</v>
      </c>
    </row>
    <row r="218" spans="1:38" x14ac:dyDescent="0.25">
      <c r="A218" s="97">
        <f t="shared" si="39"/>
        <v>44349</v>
      </c>
      <c r="B218" s="100">
        <f t="shared" ca="1" si="40"/>
        <v>149633.34</v>
      </c>
      <c r="C218" s="55">
        <f t="shared" ca="1" si="36"/>
        <v>11585.529999999997</v>
      </c>
      <c r="D218" s="55">
        <f t="shared" ca="1" si="36"/>
        <v>67.589999999999975</v>
      </c>
      <c r="E218" s="55">
        <f t="shared" ca="1" si="41"/>
        <v>0</v>
      </c>
      <c r="F218" s="55">
        <f t="shared" ca="1" si="42"/>
        <v>3975.8608704918033</v>
      </c>
      <c r="G218" s="101">
        <f t="shared" ca="1" si="43"/>
        <v>165262.32087049179</v>
      </c>
      <c r="H218" s="100">
        <f ca="1">ROUND($B218*VLOOKUP($A218,$A$1:$B$10,2,1)/(365+IF(MOD(YEAR($A218),4),0,1)*($A218-$A217)),2)-Первоначальный[[#This Row],[Проценты на просроченный платеж по ОД за период]]</f>
        <v>80.58</v>
      </c>
      <c r="I218" s="55">
        <f t="shared" ca="1" si="44"/>
        <v>1</v>
      </c>
      <c r="J218" s="55">
        <v>0</v>
      </c>
      <c r="K218" s="55">
        <f t="shared" ca="1" si="47"/>
        <v>57.873503278688531</v>
      </c>
      <c r="L218" s="55">
        <v>0</v>
      </c>
      <c r="M218" s="113">
        <f>SUMIFS(График[Возврат основной суммы долга],График[Дата с учетом нерабочих дней],$A218)</f>
        <v>0</v>
      </c>
      <c r="N218" s="56">
        <f>SUMIFS(График[Возврат начисленных %],График[Дата с учетом нерабочих дней],$A218)</f>
        <v>0</v>
      </c>
      <c r="O218" s="101">
        <v>0</v>
      </c>
      <c r="P218" s="100" cm="1">
        <f t="array" aca="1" ref="P218" ca="1">MAX(IF(AA217="Да",0,SUM(INDIRECT("M"&amp;(MAX(("Да"=AA$12:AA217)*ROW(AA$12:AA217)+1,ROW($P$12))&amp;":M"&amp;(ROW()))))-SUM(INDIRECT("W"&amp;(MAX(("Да"=AA$12:AA217)*ROW(AA$12:AA217)+1,ROW($P$12))&amp;":W"&amp;(ROW()))))),0)</f>
        <v>1843.0499999999993</v>
      </c>
      <c r="Q218" s="99">
        <f ca="1">MAX(SUM($N$13:N218)-SUM($T$13:T218),0)</f>
        <v>9731.650655737707</v>
      </c>
      <c r="R218" s="99">
        <f ca="1">Первоначальный[[#This Row],[Просроченный платеж по ОД]]+Первоначальный[[#This Row],[Просроченный платеж по процентам]]</f>
        <v>11574.700655737706</v>
      </c>
      <c r="S218" s="120">
        <f ca="1">IF(Первоначальный[[#This Row],[Просроченный платеж]]&lt;1,0,S217+1)</f>
        <v>114</v>
      </c>
      <c r="T218" s="100" cm="1">
        <f t="array" aca="1" ref="T218" ca="1">IF(Первоначальный[[#This Row],[Итого остаток на начало периода]]&lt;1,0,
IF(
AND(TYPE(VLOOKUP(1,$Z$12:Z218,1,0))=16,Первоначальный[[#This Row],[Досрочное погашение (да/"")]]=""),0,
_xlfn.IFS(AND(S217=0,Первоначальный[[#This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платеж]]&lt;&gt;0),MIN(LOOKUP(,-1/($Z$12:Z218=1),$C$12:C218)+LOOKUP(,-1/($Z$12:Z218=1),$H$12:H218),Первоначальный[[#This Row],[Полученный платеж]]+Y217),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платеж]]+Y217,SUM(Первоначальный[[#This Row],[Остаток процентов на начало периода]],Первоначальный[[#This Row],[Проценты за период]])),
AND(S217=0,Первоначальный[[#This Row],[Дата платежа из графика]]=""),0,
AND(S217=0,Первоначальный[[#This Row],[Дата платежа из графика]]=1,MAX((0&lt;&gt;S$12:S217)*ROW(S$12:S217),ROW($S$12))&gt;=MAX((1=Z$12:Z217)*ROW(Z$12:Z217),ROW($T$12)),TYPE(VLOOKUP("Да",(INDIRECT("AA"&amp;(MAX((1=Z$12:Z217)*ROW(Z$12:Z217),ROW($T$12))&amp;":AA"&amp;(ROW()-1)))),1,0))=16),MIN(LOOKUP(,-1/($Z$12:Z218=1),$C$12:C218)+LOOKUP(,-1/($Z$12:Z218=1),$H$12:H218),Первоначальный[[#This Row],[Полученный платеж]]+Y217),
AND(S217=0,TYPE(VLOOKUP("Да",(INDIRECT("AA"&amp;(MAX((1=Z$12:Z217)*ROW(Z$12:Z217),ROW($T$12))&amp;":AA"&amp;(ROW()-1)))),1,0))&lt;&gt;16),MIN(LOOKUP(,-1/($Z$12:Z218=1),$C$12:C218)+LOOKUP(,-1/($Z$12:Z218=1),$H$12:H218)-IF(AA217="Да",0,SUM(INDIRECT("T"&amp;(MAX(("Да"=AA$12:AA217)*ROW(AA$12:AA217)+1,ROW($T$12))&amp;":T"&amp;(ROW()-1))))),Первоначальный[[#This Row],[Полученный платеж]]+Y217),
AND(S217=0,MAX((0&lt;&gt;N$12:N217)*ROW(N$12:N217),ROW($S$12))&gt;=MAX((1=Z$12:Z217)*ROW(Z$12:Z217),ROW($T$12))),MIN(LOOKUP(,-1/($Z$12:Z218=1),$C$12:C218)+LOOKUP(,-1/($Z$12:Z218=1),$H$12:H218)-IF(N217&lt;&gt;0,0,SUM(INDIRECT("T"&amp;(MAX((0&lt;&gt;N$12:N217)*ROW(N$12:N217)+1,ROW($T$12))&amp;":T"&amp;(ROW()-1))))),Первоначальный[[#This Row],[Полученный платеж]]+Y217),
AND(S217=0,Первоначальный[[#This Row],[Дата платежа из графика]]=1),MIN(LOOKUP(,-1/($Z$12:Z218=1),$C$12:C218)+LOOKUP(,-1/($Z$12:Z218=1),$H$12:H218)-IF(Z217=1,0,SUM(INDIRECT("T"&amp;(MAX((1=Z$12:Z217)*ROW(Z$12:Z217)+1,ROW($T$12))&amp;":T"&amp;(ROW()-1))))),Первоначальный[[#This Row],[Полученный платеж]]+Y217),
AND(Z217&gt;0,Первоначальный[[#This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платеж]]+Y217),
AND(S217&gt;0,MAX((0&lt;&gt;S$12:S217)*ROW(S$12:S217),ROW($S$12))&gt;=MAX((1=Z$12:Z217)*ROW(Z$12:Z217),ROW($T$12)),TYPE(VLOOKUP("Да",(INDIRECT("AA"&amp;(MAX((1=Z$12:Z217)*ROW(Z$12:Z217),ROW($T$12))&amp;":AA"&amp;(ROW()-1)))),1,0))=16),MIN(LOOKUP(,-1/($Z$12:Z218=1),$C$12:C218)+LOOKUP(,-1/($Z$12:Z218=1),$H$12:H218)-SUM(INDIRECT("T"&amp;(MAX((1=Z$12:Z217)*ROW(Z$12:Z217),ROW($T$12))&amp;":T"&amp;(ROW()-1)))),Первоначальный[[#This Row],[Полученный платеж]]+Y217),
S217&gt;0,MIN(LOOKUP(,-1/($Z$12:Z218=1),$C$12:C218)+LOOKUP(,-1/($Z$12:Z218=1),$H$12:H218)-IF(Z217=1,0,SUM(INDIRECT("T"&amp;(MAX((1=Z$12:Z217)*ROW(Z$12:Z217)+1,ROW($T$12))&amp;":T"&amp;(ROW()-1))))),Первоначальный[[#This Row],[Полученный платеж]]+Y217)
)
)
)</f>
        <v>0</v>
      </c>
      <c r="U21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платеж]]+Y217-Первоначальный[[#This Row],[Полученный платёж по процентам]])</f>
        <v>0</v>
      </c>
      <c r="V218" s="55">
        <f t="shared" ca="1" si="37"/>
        <v>0</v>
      </c>
      <c r="W218" s="55" cm="1">
        <f t="array" aca="1" ref="W218" ca="1">IF(Первоначальный[[#This Row],[Итого остаток на начало периода]]&lt;1,0,
_xlfn.IFS(
AND(TYPE(VLOOKUP(1,$Z$12:Z218,1,0))=16,Первоначальный[[#This Row],[Досрочное погашение (да/"")]]=""),0,
AND(S217=0,Первоначальный[[#This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платеж]]+Y217-SUM(Первоначальный[[#This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комиссиям]]),VLOOKUP(LOOKUP(,-1/($Z$12:Z218=1),$A$12:A218),График[[Срок конец]:[Возврат основной суммы долга]],3,0)),
AND(S217=0,Первоначальный[[#This Row],[Дата платежа из графика]]="",Первоначальный[[#This Row],[Досрочное погашение (да/"")]]&lt;&gt;"Да"),0,
AND(S217=0,Первоначальный[[#This Row],[Досрочное погашение (да/"")]]=""),MIN(Первоначальный[[#This Row],[Полученный платеж]]+Y217-SUM(Первоначальный[[#This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комиссиям]]),VLOOKUP(LOOKUP(,-1/($Z$12:Z218=1),$A$12:A218),График[[Срок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платеж]]+Y217-SUM(Первоначальный[[#This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S217&gt;0,MIN(Первоначальный[[#This Row],[Полученный платеж]]+Y217-SUM(Первоначальный[[#This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комиссиям]]),SUM(INDIRECT("M"&amp;(MAX((1=S$12:S217)*ROW(S$12:S217),ROW($W$12))&amp;":M"&amp;(ROW()))))-SUM(INDIRECT("W"&amp;(MAX((1=S$12:S217)*ROW(S$12:S217),ROW($W$12))&amp;":W"&amp;(ROW()-1)))))
)
)</f>
        <v>0</v>
      </c>
      <c r="X218" s="55">
        <f t="shared" ca="1" si="38"/>
        <v>0</v>
      </c>
      <c r="Y218" s="101">
        <f t="shared" ca="1" si="45"/>
        <v>0</v>
      </c>
      <c r="Z218" s="133" t="str">
        <f>IF(TYPE((VLOOKUP(Первоначальный[[#This Row],[Дата платежа]],График[Срок конец],1,0)))=16,"",1)</f>
        <v/>
      </c>
      <c r="AA218" s="57"/>
      <c r="AB218" s="134"/>
      <c r="AC21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1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11666.109999999997</v>
      </c>
      <c r="AE21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68.589999999999975</v>
      </c>
      <c r="AF21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1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4033.7343737704919</v>
      </c>
      <c r="AH218" s="55"/>
      <c r="AI218" s="55"/>
      <c r="AJ218" s="55"/>
      <c r="AK218" s="101">
        <f t="shared" ca="1" si="46"/>
        <v>165401.77437377046</v>
      </c>
      <c r="AL218" s="129">
        <f t="array" ref="AL218">MAX((УслРестрактов[Характеристика]="Дата реструктуризации")*(УслРестрактов[Значение]=Первоначальный!$A218),0)</f>
        <v>0</v>
      </c>
    </row>
    <row r="219" spans="1:38" x14ac:dyDescent="0.25">
      <c r="A219" s="97">
        <f t="shared" si="39"/>
        <v>44350</v>
      </c>
      <c r="B219" s="100">
        <f t="shared" ca="1" si="40"/>
        <v>149633.34</v>
      </c>
      <c r="C219" s="55">
        <f t="shared" ca="1" si="36"/>
        <v>11666.109999999997</v>
      </c>
      <c r="D219" s="55">
        <f t="shared" ca="1" si="36"/>
        <v>68.589999999999975</v>
      </c>
      <c r="E219" s="55">
        <f t="shared" ca="1" si="41"/>
        <v>0</v>
      </c>
      <c r="F219" s="55">
        <f t="shared" ca="1" si="42"/>
        <v>4033.7343737704919</v>
      </c>
      <c r="G219" s="101">
        <f t="shared" ca="1" si="43"/>
        <v>165401.77437377046</v>
      </c>
      <c r="H219" s="100">
        <f ca="1">ROUND($B219*VLOOKUP($A219,$A$1:$B$10,2,1)/(365+IF(MOD(YEAR($A219),4),0,1)*($A219-$A218)),2)-Первоначальный[[#This Row],[Проценты на просроченный платеж по ОД за период]]</f>
        <v>80.58</v>
      </c>
      <c r="I219" s="55">
        <f t="shared" ca="1" si="44"/>
        <v>1</v>
      </c>
      <c r="J219" s="55">
        <v>0</v>
      </c>
      <c r="K219" s="55">
        <f t="shared" ca="1" si="47"/>
        <v>57.873503278688531</v>
      </c>
      <c r="L219" s="55">
        <v>0</v>
      </c>
      <c r="M219" s="113">
        <f>SUMIFS(График[Возврат основной суммы долга],График[Дата с учетом нерабочих дней],$A219)</f>
        <v>0</v>
      </c>
      <c r="N219" s="56">
        <f>SUMIFS(График[Возврат начисленных %],График[Дата с учетом нерабочих дней],$A219)</f>
        <v>0</v>
      </c>
      <c r="O219" s="101">
        <v>0</v>
      </c>
      <c r="P219" s="100" cm="1">
        <f t="array" aca="1" ref="P219" ca="1">MAX(IF(AA218="Да",0,SUM(INDIRECT("M"&amp;(MAX(("Да"=AA$12:AA218)*ROW(AA$12:AA218)+1,ROW($P$12))&amp;":M"&amp;(ROW()))))-SUM(INDIRECT("W"&amp;(MAX(("Да"=AA$12:AA218)*ROW(AA$12:AA218)+1,ROW($P$12))&amp;":W"&amp;(ROW()))))),0)</f>
        <v>1843.0499999999993</v>
      </c>
      <c r="Q219" s="99">
        <f ca="1">MAX(SUM($N$13:N219)-SUM($T$13:T219),0)</f>
        <v>9731.650655737707</v>
      </c>
      <c r="R219" s="99">
        <f ca="1">Первоначальный[[#This Row],[Просроченный платеж по ОД]]+Первоначальный[[#This Row],[Просроченный платеж по процентам]]</f>
        <v>11574.700655737706</v>
      </c>
      <c r="S219" s="120">
        <f ca="1">IF(Первоначальный[[#This Row],[Просроченный платеж]]&lt;1,0,S218+1)</f>
        <v>115</v>
      </c>
      <c r="T219" s="100" cm="1">
        <f t="array" aca="1" ref="T219" ca="1">IF(Первоначальный[[#This Row],[Итого остаток на начало периода]]&lt;1,0,
IF(
AND(TYPE(VLOOKUP(1,$Z$12:Z219,1,0))=16,Первоначальный[[#This Row],[Досрочное погашение (да/"")]]=""),0,
_xlfn.IFS(AND(S218=0,Первоначальный[[#This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платеж]]&lt;&gt;0),MIN(LOOKUP(,-1/($Z$12:Z219=1),$C$12:C219)+LOOKUP(,-1/($Z$12:Z219=1),$H$12:H219),Первоначальный[[#This Row],[Полученный платеж]]+Y218),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платеж]]+Y218,SUM(Первоначальный[[#This Row],[Остаток процентов на начало периода]],Первоначальный[[#This Row],[Проценты за период]])),
AND(S218=0,Первоначальный[[#This Row],[Дата платежа из графика]]=""),0,
AND(S218=0,Первоначальный[[#This Row],[Дата платежа из графика]]=1,MAX((0&lt;&gt;S$12:S218)*ROW(S$12:S218),ROW($S$12))&gt;=MAX((1=Z$12:Z218)*ROW(Z$12:Z218),ROW($T$12)),TYPE(VLOOKUP("Да",(INDIRECT("AA"&amp;(MAX((1=Z$12:Z218)*ROW(Z$12:Z218),ROW($T$12))&amp;":AA"&amp;(ROW()-1)))),1,0))=16),MIN(LOOKUP(,-1/($Z$12:Z219=1),$C$12:C219)+LOOKUP(,-1/($Z$12:Z219=1),$H$12:H219),Первоначальный[[#This Row],[Полученный платеж]]+Y218),
AND(S218=0,TYPE(VLOOKUP("Да",(INDIRECT("AA"&amp;(MAX((1=Z$12:Z218)*ROW(Z$12:Z218),ROW($T$12))&amp;":AA"&amp;(ROW()-1)))),1,0))&lt;&gt;16),MIN(LOOKUP(,-1/($Z$12:Z219=1),$C$12:C219)+LOOKUP(,-1/($Z$12:Z219=1),$H$12:H219)-IF(AA218="Да",0,SUM(INDIRECT("T"&amp;(MAX(("Да"=AA$12:AA218)*ROW(AA$12:AA218)+1,ROW($T$12))&amp;":T"&amp;(ROW()-1))))),Первоначальный[[#This Row],[Полученный платеж]]+Y218),
AND(S218=0,MAX((0&lt;&gt;N$12:N218)*ROW(N$12:N218),ROW($S$12))&gt;=MAX((1=Z$12:Z218)*ROW(Z$12:Z218),ROW($T$12))),MIN(LOOKUP(,-1/($Z$12:Z219=1),$C$12:C219)+LOOKUP(,-1/($Z$12:Z219=1),$H$12:H219)-IF(N218&lt;&gt;0,0,SUM(INDIRECT("T"&amp;(MAX((0&lt;&gt;N$12:N218)*ROW(N$12:N218)+1,ROW($T$12))&amp;":T"&amp;(ROW()-1))))),Первоначальный[[#This Row],[Полученный платеж]]+Y218),
AND(S218=0,Первоначальный[[#This Row],[Дата платежа из графика]]=1),MIN(LOOKUP(,-1/($Z$12:Z219=1),$C$12:C219)+LOOKUP(,-1/($Z$12:Z219=1),$H$12:H219)-IF(Z218=1,0,SUM(INDIRECT("T"&amp;(MAX((1=Z$12:Z218)*ROW(Z$12:Z218)+1,ROW($T$12))&amp;":T"&amp;(ROW()-1))))),Первоначальный[[#This Row],[Полученный платеж]]+Y218),
AND(Z218&gt;0,Первоначальный[[#This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платеж]]+Y218),
AND(S218&gt;0,MAX((0&lt;&gt;S$12:S218)*ROW(S$12:S218),ROW($S$12))&gt;=MAX((1=Z$12:Z218)*ROW(Z$12:Z218),ROW($T$12)),TYPE(VLOOKUP("Да",(INDIRECT("AA"&amp;(MAX((1=Z$12:Z218)*ROW(Z$12:Z218),ROW($T$12))&amp;":AA"&amp;(ROW()-1)))),1,0))=16),MIN(LOOKUP(,-1/($Z$12:Z219=1),$C$12:C219)+LOOKUP(,-1/($Z$12:Z219=1),$H$12:H219)-SUM(INDIRECT("T"&amp;(MAX((1=Z$12:Z218)*ROW(Z$12:Z218),ROW($T$12))&amp;":T"&amp;(ROW()-1)))),Первоначальный[[#This Row],[Полученный платеж]]+Y218),
S218&gt;0,MIN(LOOKUP(,-1/($Z$12:Z219=1),$C$12:C219)+LOOKUP(,-1/($Z$12:Z219=1),$H$12:H219)-IF(Z218=1,0,SUM(INDIRECT("T"&amp;(MAX((1=Z$12:Z218)*ROW(Z$12:Z218)+1,ROW($T$12))&amp;":T"&amp;(ROW()-1))))),Первоначальный[[#This Row],[Полученный платеж]]+Y218)
)
)
)</f>
        <v>0</v>
      </c>
      <c r="U21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платеж]]+Y218-Первоначальный[[#This Row],[Полученный платёж по процентам]])</f>
        <v>0</v>
      </c>
      <c r="V219" s="55">
        <f t="shared" ca="1" si="37"/>
        <v>0</v>
      </c>
      <c r="W219" s="55" cm="1">
        <f t="array" aca="1" ref="W219" ca="1">IF(Первоначальный[[#This Row],[Итого остаток на начало периода]]&lt;1,0,
_xlfn.IFS(
AND(TYPE(VLOOKUP(1,$Z$12:Z219,1,0))=16,Первоначальный[[#This Row],[Досрочное погашение (да/"")]]=""),0,
AND(S218=0,Первоначальный[[#This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платеж]]+Y218-SUM(Первоначальный[[#This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комиссиям]]),VLOOKUP(LOOKUP(,-1/($Z$12:Z219=1),$A$12:A219),График[[Срок конец]:[Возврат основной суммы долга]],3,0)),
AND(S218=0,Первоначальный[[#This Row],[Дата платежа из графика]]="",Первоначальный[[#This Row],[Досрочное погашение (да/"")]]&lt;&gt;"Да"),0,
AND(S218=0,Первоначальный[[#This Row],[Досрочное погашение (да/"")]]=""),MIN(Первоначальный[[#This Row],[Полученный платеж]]+Y218-SUM(Первоначальный[[#This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комиссиям]]),VLOOKUP(LOOKUP(,-1/($Z$12:Z219=1),$A$12:A219),График[[Срок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платеж]]+Y218-SUM(Первоначальный[[#This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S218&gt;0,MIN(Первоначальный[[#This Row],[Полученный платеж]]+Y218-SUM(Первоначальный[[#This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комиссиям]]),SUM(INDIRECT("M"&amp;(MAX((1=S$12:S218)*ROW(S$12:S218),ROW($W$12))&amp;":M"&amp;(ROW()))))-SUM(INDIRECT("W"&amp;(MAX((1=S$12:S218)*ROW(S$12:S218),ROW($W$12))&amp;":W"&amp;(ROW()-1)))))
)
)</f>
        <v>0</v>
      </c>
      <c r="X219" s="55">
        <f t="shared" ca="1" si="38"/>
        <v>0</v>
      </c>
      <c r="Y219" s="101">
        <f t="shared" ca="1" si="45"/>
        <v>0</v>
      </c>
      <c r="Z219" s="133" t="str">
        <f>IF(TYPE((VLOOKUP(Первоначальный[[#This Row],[Дата платежа]],График[Срок конец],1,0)))=16,"",1)</f>
        <v/>
      </c>
      <c r="AA219" s="57"/>
      <c r="AB219" s="134"/>
      <c r="AC21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1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11746.689999999997</v>
      </c>
      <c r="AE21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69.589999999999975</v>
      </c>
      <c r="AF21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1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4091.6078770491804</v>
      </c>
      <c r="AH219" s="55"/>
      <c r="AI219" s="55"/>
      <c r="AJ219" s="55"/>
      <c r="AK219" s="101">
        <f t="shared" ca="1" si="46"/>
        <v>165541.22787704918</v>
      </c>
      <c r="AL219" s="129">
        <f t="array" ref="AL219">MAX((УслРестрактов[Характеристика]="Дата реструктуризации")*(УслРестрактов[Значение]=Первоначальный!$A219),0)</f>
        <v>0</v>
      </c>
    </row>
    <row r="220" spans="1:38" x14ac:dyDescent="0.25">
      <c r="A220" s="97">
        <f t="shared" si="39"/>
        <v>44351</v>
      </c>
      <c r="B220" s="100">
        <f t="shared" ca="1" si="40"/>
        <v>149633.34</v>
      </c>
      <c r="C220" s="55">
        <f t="shared" ca="1" si="36"/>
        <v>11746.689999999997</v>
      </c>
      <c r="D220" s="55">
        <f t="shared" ca="1" si="36"/>
        <v>69.589999999999975</v>
      </c>
      <c r="E220" s="55">
        <f t="shared" ca="1" si="41"/>
        <v>0</v>
      </c>
      <c r="F220" s="55">
        <f t="shared" ca="1" si="42"/>
        <v>4091.6078770491804</v>
      </c>
      <c r="G220" s="101">
        <f t="shared" ca="1" si="43"/>
        <v>165541.22787704918</v>
      </c>
      <c r="H220" s="100">
        <f ca="1">ROUND($B220*VLOOKUP($A220,$A$1:$B$10,2,1)/(365+IF(MOD(YEAR($A220),4),0,1)*($A220-$A219)),2)-Первоначальный[[#This Row],[Проценты на просроченный платеж по ОД за период]]</f>
        <v>80.58</v>
      </c>
      <c r="I220" s="55">
        <f t="shared" ca="1" si="44"/>
        <v>1</v>
      </c>
      <c r="J220" s="55">
        <v>0</v>
      </c>
      <c r="K220" s="55">
        <f t="shared" ca="1" si="47"/>
        <v>57.873503278688531</v>
      </c>
      <c r="L220" s="55">
        <v>0</v>
      </c>
      <c r="M220" s="113">
        <f>SUMIFS(График[Возврат основной суммы долга],График[Дата с учетом нерабочих дней],$A220)</f>
        <v>0</v>
      </c>
      <c r="N220" s="56">
        <f>SUMIFS(График[Возврат начисленных %],График[Дата с учетом нерабочих дней],$A220)</f>
        <v>0</v>
      </c>
      <c r="O220" s="101">
        <v>0</v>
      </c>
      <c r="P220" s="100" cm="1">
        <f t="array" aca="1" ref="P220" ca="1">MAX(IF(AA219="Да",0,SUM(INDIRECT("M"&amp;(MAX(("Да"=AA$12:AA219)*ROW(AA$12:AA219)+1,ROW($P$12))&amp;":M"&amp;(ROW()))))-SUM(INDIRECT("W"&amp;(MAX(("Да"=AA$12:AA219)*ROW(AA$12:AA219)+1,ROW($P$12))&amp;":W"&amp;(ROW()))))),0)</f>
        <v>1843.0499999999993</v>
      </c>
      <c r="Q220" s="99">
        <f ca="1">MAX(SUM($N$13:N220)-SUM($T$13:T220),0)</f>
        <v>9731.650655737707</v>
      </c>
      <c r="R220" s="99">
        <f ca="1">Первоначальный[[#This Row],[Просроченный платеж по ОД]]+Первоначальный[[#This Row],[Просроченный платеж по процентам]]</f>
        <v>11574.700655737706</v>
      </c>
      <c r="S220" s="120">
        <f ca="1">IF(Первоначальный[[#This Row],[Просроченный платеж]]&lt;1,0,S219+1)</f>
        <v>116</v>
      </c>
      <c r="T220" s="100" cm="1">
        <f t="array" aca="1" ref="T220" ca="1">IF(Первоначальный[[#This Row],[Итого остаток на начало периода]]&lt;1,0,
IF(
AND(TYPE(VLOOKUP(1,$Z$12:Z220,1,0))=16,Первоначальный[[#This Row],[Досрочное погашение (да/"")]]=""),0,
_xlfn.IFS(AND(S219=0,Первоначальный[[#This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платеж]]&lt;&gt;0),MIN(LOOKUP(,-1/($Z$12:Z220=1),$C$12:C220)+LOOKUP(,-1/($Z$12:Z220=1),$H$12:H220),Первоначальный[[#This Row],[Полученный платеж]]+Y219),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платеж]]+Y219,SUM(Первоначальный[[#This Row],[Остаток процентов на начало периода]],Первоначальный[[#This Row],[Проценты за период]])),
AND(S219=0,Первоначальный[[#This Row],[Дата платежа из графика]]=""),0,
AND(S219=0,Первоначальный[[#This Row],[Дата платежа из графика]]=1,MAX((0&lt;&gt;S$12:S219)*ROW(S$12:S219),ROW($S$12))&gt;=MAX((1=Z$12:Z219)*ROW(Z$12:Z219),ROW($T$12)),TYPE(VLOOKUP("Да",(INDIRECT("AA"&amp;(MAX((1=Z$12:Z219)*ROW(Z$12:Z219),ROW($T$12))&amp;":AA"&amp;(ROW()-1)))),1,0))=16),MIN(LOOKUP(,-1/($Z$12:Z220=1),$C$12:C220)+LOOKUP(,-1/($Z$12:Z220=1),$H$12:H220),Первоначальный[[#This Row],[Полученный платеж]]+Y219),
AND(S219=0,TYPE(VLOOKUP("Да",(INDIRECT("AA"&amp;(MAX((1=Z$12:Z219)*ROW(Z$12:Z219),ROW($T$12))&amp;":AA"&amp;(ROW()-1)))),1,0))&lt;&gt;16),MIN(LOOKUP(,-1/($Z$12:Z220=1),$C$12:C220)+LOOKUP(,-1/($Z$12:Z220=1),$H$12:H220)-IF(AA219="Да",0,SUM(INDIRECT("T"&amp;(MAX(("Да"=AA$12:AA219)*ROW(AA$12:AA219)+1,ROW($T$12))&amp;":T"&amp;(ROW()-1))))),Первоначальный[[#This Row],[Полученный платеж]]+Y219),
AND(S219=0,MAX((0&lt;&gt;N$12:N219)*ROW(N$12:N219),ROW($S$12))&gt;=MAX((1=Z$12:Z219)*ROW(Z$12:Z219),ROW($T$12))),MIN(LOOKUP(,-1/($Z$12:Z220=1),$C$12:C220)+LOOKUP(,-1/($Z$12:Z220=1),$H$12:H220)-IF(N219&lt;&gt;0,0,SUM(INDIRECT("T"&amp;(MAX((0&lt;&gt;N$12:N219)*ROW(N$12:N219)+1,ROW($T$12))&amp;":T"&amp;(ROW()-1))))),Первоначальный[[#This Row],[Полученный платеж]]+Y219),
AND(S219=0,Первоначальный[[#This Row],[Дата платежа из графика]]=1),MIN(LOOKUP(,-1/($Z$12:Z220=1),$C$12:C220)+LOOKUP(,-1/($Z$12:Z220=1),$H$12:H220)-IF(Z219=1,0,SUM(INDIRECT("T"&amp;(MAX((1=Z$12:Z219)*ROW(Z$12:Z219)+1,ROW($T$12))&amp;":T"&amp;(ROW()-1))))),Первоначальный[[#This Row],[Полученный платеж]]+Y219),
AND(Z219&gt;0,Первоначальный[[#This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платеж]]+Y219),
AND(S219&gt;0,MAX((0&lt;&gt;S$12:S219)*ROW(S$12:S219),ROW($S$12))&gt;=MAX((1=Z$12:Z219)*ROW(Z$12:Z219),ROW($T$12)),TYPE(VLOOKUP("Да",(INDIRECT("AA"&amp;(MAX((1=Z$12:Z219)*ROW(Z$12:Z219),ROW($T$12))&amp;":AA"&amp;(ROW()-1)))),1,0))=16),MIN(LOOKUP(,-1/($Z$12:Z220=1),$C$12:C220)+LOOKUP(,-1/($Z$12:Z220=1),$H$12:H220)-SUM(INDIRECT("T"&amp;(MAX((1=Z$12:Z219)*ROW(Z$12:Z219),ROW($T$12))&amp;":T"&amp;(ROW()-1)))),Первоначальный[[#This Row],[Полученный платеж]]+Y219),
S219&gt;0,MIN(LOOKUP(,-1/($Z$12:Z220=1),$C$12:C220)+LOOKUP(,-1/($Z$12:Z220=1),$H$12:H220)-IF(Z219=1,0,SUM(INDIRECT("T"&amp;(MAX((1=Z$12:Z219)*ROW(Z$12:Z219)+1,ROW($T$12))&amp;":T"&amp;(ROW()-1))))),Первоначальный[[#This Row],[Полученный платеж]]+Y219)
)
)
)</f>
        <v>0</v>
      </c>
      <c r="U22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платеж]]+Y219-Первоначальный[[#This Row],[Полученный платёж по процентам]])</f>
        <v>0</v>
      </c>
      <c r="V220" s="55">
        <f t="shared" ca="1" si="37"/>
        <v>0</v>
      </c>
      <c r="W220" s="55" cm="1">
        <f t="array" aca="1" ref="W220" ca="1">IF(Первоначальный[[#This Row],[Итого остаток на начало периода]]&lt;1,0,
_xlfn.IFS(
AND(TYPE(VLOOKUP(1,$Z$12:Z220,1,0))=16,Первоначальный[[#This Row],[Досрочное погашение (да/"")]]=""),0,
AND(S219=0,Первоначальный[[#This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платеж]]+Y219-SUM(Первоначальный[[#This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комиссиям]]),VLOOKUP(LOOKUP(,-1/($Z$12:Z220=1),$A$12:A220),График[[Срок конец]:[Возврат основной суммы долга]],3,0)),
AND(S219=0,Первоначальный[[#This Row],[Дата платежа из графика]]="",Первоначальный[[#This Row],[Досрочное погашение (да/"")]]&lt;&gt;"Да"),0,
AND(S219=0,Первоначальный[[#This Row],[Досрочное погашение (да/"")]]=""),MIN(Первоначальный[[#This Row],[Полученный платеж]]+Y219-SUM(Первоначальный[[#This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комиссиям]]),VLOOKUP(LOOKUP(,-1/($Z$12:Z220=1),$A$12:A220),График[[Срок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платеж]]+Y219-SUM(Первоначальный[[#This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S219&gt;0,MIN(Первоначальный[[#This Row],[Полученный платеж]]+Y219-SUM(Первоначальный[[#This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комиссиям]]),SUM(INDIRECT("M"&amp;(MAX((1=S$12:S219)*ROW(S$12:S219),ROW($W$12))&amp;":M"&amp;(ROW()))))-SUM(INDIRECT("W"&amp;(MAX((1=S$12:S219)*ROW(S$12:S219),ROW($W$12))&amp;":W"&amp;(ROW()-1)))))
)
)</f>
        <v>0</v>
      </c>
      <c r="X220" s="55">
        <f t="shared" ca="1" si="38"/>
        <v>0</v>
      </c>
      <c r="Y220" s="101">
        <f t="shared" ca="1" si="45"/>
        <v>0</v>
      </c>
      <c r="Z220" s="133" t="str">
        <f>IF(TYPE((VLOOKUP(Первоначальный[[#This Row],[Дата платежа]],График[Срок конец],1,0)))=16,"",1)</f>
        <v/>
      </c>
      <c r="AA220" s="57"/>
      <c r="AB220" s="134"/>
      <c r="AC22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2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11827.269999999997</v>
      </c>
      <c r="AE22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70.589999999999975</v>
      </c>
      <c r="AF22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2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4149.4813803278685</v>
      </c>
      <c r="AH220" s="55"/>
      <c r="AI220" s="55"/>
      <c r="AJ220" s="55"/>
      <c r="AK220" s="101">
        <f t="shared" ca="1" si="46"/>
        <v>165680.68138032785</v>
      </c>
      <c r="AL220" s="129">
        <f t="array" ref="AL220">MAX((УслРестрактов[Характеристика]="Дата реструктуризации")*(УслРестрактов[Значение]=Первоначальный!$A220),0)</f>
        <v>0</v>
      </c>
    </row>
    <row r="221" spans="1:38" x14ac:dyDescent="0.25">
      <c r="A221" s="97">
        <f t="shared" si="39"/>
        <v>44352</v>
      </c>
      <c r="B221" s="100">
        <f t="shared" ca="1" si="40"/>
        <v>149633.34</v>
      </c>
      <c r="C221" s="55">
        <f t="shared" ref="C221:D284" ca="1" si="48">AD220+AI220</f>
        <v>11827.269999999997</v>
      </c>
      <c r="D221" s="55">
        <f t="shared" ca="1" si="48"/>
        <v>70.589999999999975</v>
      </c>
      <c r="E221" s="55">
        <f t="shared" ca="1" si="41"/>
        <v>0</v>
      </c>
      <c r="F221" s="55">
        <f t="shared" ca="1" si="42"/>
        <v>4149.4813803278685</v>
      </c>
      <c r="G221" s="101">
        <f t="shared" ca="1" si="43"/>
        <v>165680.68138032785</v>
      </c>
      <c r="H221" s="100">
        <f ca="1">ROUND($B221*VLOOKUP($A221,$A$1:$B$10,2,1)/(365+IF(MOD(YEAR($A221),4),0,1)*($A221-$A220)),2)-Первоначальный[[#This Row],[Проценты на просроченный платеж по ОД за период]]</f>
        <v>80.58</v>
      </c>
      <c r="I221" s="55">
        <f t="shared" ca="1" si="44"/>
        <v>1</v>
      </c>
      <c r="J221" s="55">
        <v>0</v>
      </c>
      <c r="K221" s="55">
        <f t="shared" ca="1" si="47"/>
        <v>57.873503278688531</v>
      </c>
      <c r="L221" s="55">
        <v>0</v>
      </c>
      <c r="M221" s="113">
        <f>SUMIFS(График[Возврат основной суммы долга],График[Дата с учетом нерабочих дней],$A221)</f>
        <v>0</v>
      </c>
      <c r="N221" s="56">
        <f>SUMIFS(График[Возврат начисленных %],График[Дата с учетом нерабочих дней],$A221)</f>
        <v>0</v>
      </c>
      <c r="O221" s="101">
        <v>0</v>
      </c>
      <c r="P221" s="100" cm="1">
        <f t="array" aca="1" ref="P221" ca="1">MAX(IF(AA220="Да",0,SUM(INDIRECT("M"&amp;(MAX(("Да"=AA$12:AA220)*ROW(AA$12:AA220)+1,ROW($P$12))&amp;":M"&amp;(ROW()))))-SUM(INDIRECT("W"&amp;(MAX(("Да"=AA$12:AA220)*ROW(AA$12:AA220)+1,ROW($P$12))&amp;":W"&amp;(ROW()))))),0)</f>
        <v>1843.0499999999993</v>
      </c>
      <c r="Q221" s="99">
        <f ca="1">MAX(SUM($N$13:N221)-SUM($T$13:T221),0)</f>
        <v>9731.650655737707</v>
      </c>
      <c r="R221" s="99">
        <f ca="1">Первоначальный[[#This Row],[Просроченный платеж по ОД]]+Первоначальный[[#This Row],[Просроченный платеж по процентам]]</f>
        <v>11574.700655737706</v>
      </c>
      <c r="S221" s="120">
        <f ca="1">IF(Первоначальный[[#This Row],[Просроченный платеж]]&lt;1,0,S220+1)</f>
        <v>117</v>
      </c>
      <c r="T221" s="100" cm="1">
        <f t="array" aca="1" ref="T221" ca="1">IF(Первоначальный[[#This Row],[Итого остаток на начало периода]]&lt;1,0,
IF(
AND(TYPE(VLOOKUP(1,$Z$12:Z221,1,0))=16,Первоначальный[[#This Row],[Досрочное погашение (да/"")]]=""),0,
_xlfn.IFS(AND(S220=0,Первоначальный[[#This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платеж]]&lt;&gt;0),MIN(LOOKUP(,-1/($Z$12:Z221=1),$C$12:C221)+LOOKUP(,-1/($Z$12:Z221=1),$H$12:H221),Первоначальный[[#This Row],[Полученный платеж]]+Y220),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платеж]]+Y220,SUM(Первоначальный[[#This Row],[Остаток процентов на начало периода]],Первоначальный[[#This Row],[Проценты за период]])),
AND(S220=0,Первоначальный[[#This Row],[Дата платежа из графика]]=""),0,
AND(S220=0,Первоначальный[[#This Row],[Дата платежа из графика]]=1,MAX((0&lt;&gt;S$12:S220)*ROW(S$12:S220),ROW($S$12))&gt;=MAX((1=Z$12:Z220)*ROW(Z$12:Z220),ROW($T$12)),TYPE(VLOOKUP("Да",(INDIRECT("AA"&amp;(MAX((1=Z$12:Z220)*ROW(Z$12:Z220),ROW($T$12))&amp;":AA"&amp;(ROW()-1)))),1,0))=16),MIN(LOOKUP(,-1/($Z$12:Z221=1),$C$12:C221)+LOOKUP(,-1/($Z$12:Z221=1),$H$12:H221),Первоначальный[[#This Row],[Полученный платеж]]+Y220),
AND(S220=0,TYPE(VLOOKUP("Да",(INDIRECT("AA"&amp;(MAX((1=Z$12:Z220)*ROW(Z$12:Z220),ROW($T$12))&amp;":AA"&amp;(ROW()-1)))),1,0))&lt;&gt;16),MIN(LOOKUP(,-1/($Z$12:Z221=1),$C$12:C221)+LOOKUP(,-1/($Z$12:Z221=1),$H$12:H221)-IF(AA220="Да",0,SUM(INDIRECT("T"&amp;(MAX(("Да"=AA$12:AA220)*ROW(AA$12:AA220)+1,ROW($T$12))&amp;":T"&amp;(ROW()-1))))),Первоначальный[[#This Row],[Полученный платеж]]+Y220),
AND(S220=0,MAX((0&lt;&gt;N$12:N220)*ROW(N$12:N220),ROW($S$12))&gt;=MAX((1=Z$12:Z220)*ROW(Z$12:Z220),ROW($T$12))),MIN(LOOKUP(,-1/($Z$12:Z221=1),$C$12:C221)+LOOKUP(,-1/($Z$12:Z221=1),$H$12:H221)-IF(N220&lt;&gt;0,0,SUM(INDIRECT("T"&amp;(MAX((0&lt;&gt;N$12:N220)*ROW(N$12:N220)+1,ROW($T$12))&amp;":T"&amp;(ROW()-1))))),Первоначальный[[#This Row],[Полученный платеж]]+Y220),
AND(S220=0,Первоначальный[[#This Row],[Дата платежа из графика]]=1),MIN(LOOKUP(,-1/($Z$12:Z221=1),$C$12:C221)+LOOKUP(,-1/($Z$12:Z221=1),$H$12:H221)-IF(Z220=1,0,SUM(INDIRECT("T"&amp;(MAX((1=Z$12:Z220)*ROW(Z$12:Z220)+1,ROW($T$12))&amp;":T"&amp;(ROW()-1))))),Первоначальный[[#This Row],[Полученный платеж]]+Y220),
AND(Z220&gt;0,Первоначальный[[#This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платеж]]+Y220),
AND(S220&gt;0,MAX((0&lt;&gt;S$12:S220)*ROW(S$12:S220),ROW($S$12))&gt;=MAX((1=Z$12:Z220)*ROW(Z$12:Z220),ROW($T$12)),TYPE(VLOOKUP("Да",(INDIRECT("AA"&amp;(MAX((1=Z$12:Z220)*ROW(Z$12:Z220),ROW($T$12))&amp;":AA"&amp;(ROW()-1)))),1,0))=16),MIN(LOOKUP(,-1/($Z$12:Z221=1),$C$12:C221)+LOOKUP(,-1/($Z$12:Z221=1),$H$12:H221)-SUM(INDIRECT("T"&amp;(MAX((1=Z$12:Z220)*ROW(Z$12:Z220),ROW($T$12))&amp;":T"&amp;(ROW()-1)))),Первоначальный[[#This Row],[Полученный платеж]]+Y220),
S220&gt;0,MIN(LOOKUP(,-1/($Z$12:Z221=1),$C$12:C221)+LOOKUP(,-1/($Z$12:Z221=1),$H$12:H221)-IF(Z220=1,0,SUM(INDIRECT("T"&amp;(MAX((1=Z$12:Z220)*ROW(Z$12:Z220)+1,ROW($T$12))&amp;":T"&amp;(ROW()-1))))),Первоначальный[[#This Row],[Полученный платеж]]+Y220)
)
)
)</f>
        <v>0</v>
      </c>
      <c r="U22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платеж]]+Y220-Первоначальный[[#This Row],[Полученный платёж по процентам]])</f>
        <v>0</v>
      </c>
      <c r="V221" s="55">
        <f t="shared" ca="1" si="37"/>
        <v>0</v>
      </c>
      <c r="W221" s="55" cm="1">
        <f t="array" aca="1" ref="W221" ca="1">IF(Первоначальный[[#This Row],[Итого остаток на начало периода]]&lt;1,0,
_xlfn.IFS(
AND(TYPE(VLOOKUP(1,$Z$12:Z221,1,0))=16,Первоначальный[[#This Row],[Досрочное погашение (да/"")]]=""),0,
AND(S220=0,Первоначальный[[#This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платеж]]+Y220-SUM(Первоначальный[[#This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комиссиям]]),VLOOKUP(LOOKUP(,-1/($Z$12:Z221=1),$A$12:A221),График[[Срок конец]:[Возврат основной суммы долга]],3,0)),
AND(S220=0,Первоначальный[[#This Row],[Дата платежа из графика]]="",Первоначальный[[#This Row],[Досрочное погашение (да/"")]]&lt;&gt;"Да"),0,
AND(S220=0,Первоначальный[[#This Row],[Досрочное погашение (да/"")]]=""),MIN(Первоначальный[[#This Row],[Полученный платеж]]+Y220-SUM(Первоначальный[[#This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комиссиям]]),VLOOKUP(LOOKUP(,-1/($Z$12:Z221=1),$A$12:A221),График[[Срок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платеж]]+Y220-SUM(Первоначальный[[#This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S220&gt;0,MIN(Первоначальный[[#This Row],[Полученный платеж]]+Y220-SUM(Первоначальный[[#This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комиссиям]]),SUM(INDIRECT("M"&amp;(MAX((1=S$12:S220)*ROW(S$12:S220),ROW($W$12))&amp;":M"&amp;(ROW()))))-SUM(INDIRECT("W"&amp;(MAX((1=S$12:S220)*ROW(S$12:S220),ROW($W$12))&amp;":W"&amp;(ROW()-1)))))
)
)</f>
        <v>0</v>
      </c>
      <c r="X221" s="55">
        <f t="shared" ca="1" si="38"/>
        <v>0</v>
      </c>
      <c r="Y221" s="101">
        <f t="shared" ca="1" si="45"/>
        <v>0</v>
      </c>
      <c r="Z221" s="133" t="str">
        <f>IF(TYPE((VLOOKUP(Первоначальный[[#This Row],[Дата платежа]],График[Срок конец],1,0)))=16,"",1)</f>
        <v/>
      </c>
      <c r="AA221" s="57"/>
      <c r="AB221" s="134"/>
      <c r="AC22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2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11907.849999999997</v>
      </c>
      <c r="AE22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71.589999999999975</v>
      </c>
      <c r="AF22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2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4207.3548836065565</v>
      </c>
      <c r="AH221" s="55"/>
      <c r="AI221" s="55"/>
      <c r="AJ221" s="55"/>
      <c r="AK221" s="101">
        <f t="shared" ca="1" si="46"/>
        <v>165820.13488360654</v>
      </c>
      <c r="AL221" s="129">
        <f t="array" ref="AL221">MAX((УслРестрактов[Характеристика]="Дата реструктуризации")*(УслРестрактов[Значение]=Первоначальный!$A221),0)</f>
        <v>0</v>
      </c>
    </row>
    <row r="222" spans="1:38" x14ac:dyDescent="0.25">
      <c r="A222" s="97">
        <f t="shared" si="39"/>
        <v>44353</v>
      </c>
      <c r="B222" s="100">
        <f t="shared" ca="1" si="40"/>
        <v>149633.34</v>
      </c>
      <c r="C222" s="55">
        <f t="shared" ca="1" si="48"/>
        <v>11907.849999999997</v>
      </c>
      <c r="D222" s="55">
        <f t="shared" ca="1" si="48"/>
        <v>71.589999999999975</v>
      </c>
      <c r="E222" s="55">
        <f t="shared" ca="1" si="41"/>
        <v>0</v>
      </c>
      <c r="F222" s="55">
        <f t="shared" ca="1" si="42"/>
        <v>4207.3548836065565</v>
      </c>
      <c r="G222" s="101">
        <f t="shared" ca="1" si="43"/>
        <v>165820.13488360654</v>
      </c>
      <c r="H222" s="100">
        <f ca="1">ROUND($B222*VLOOKUP($A222,$A$1:$B$10,2,1)/(365+IF(MOD(YEAR($A222),4),0,1)*($A222-$A221)),2)-Первоначальный[[#This Row],[Проценты на просроченный платеж по ОД за период]]</f>
        <v>80.58</v>
      </c>
      <c r="I222" s="55">
        <f t="shared" ca="1" si="44"/>
        <v>1</v>
      </c>
      <c r="J222" s="55">
        <v>0</v>
      </c>
      <c r="K222" s="55">
        <f t="shared" ca="1" si="47"/>
        <v>57.873503278688531</v>
      </c>
      <c r="L222" s="55">
        <v>0</v>
      </c>
      <c r="M222" s="113">
        <f>SUMIFS(График[Возврат основной суммы долга],График[Дата с учетом нерабочих дней],$A222)</f>
        <v>0</v>
      </c>
      <c r="N222" s="56">
        <f>SUMIFS(График[Возврат начисленных %],График[Дата с учетом нерабочих дней],$A222)</f>
        <v>0</v>
      </c>
      <c r="O222" s="101">
        <v>0</v>
      </c>
      <c r="P222" s="100" cm="1">
        <f t="array" aca="1" ref="P222" ca="1">MAX(IF(AA221="Да",0,SUM(INDIRECT("M"&amp;(MAX(("Да"=AA$12:AA221)*ROW(AA$12:AA221)+1,ROW($P$12))&amp;":M"&amp;(ROW()))))-SUM(INDIRECT("W"&amp;(MAX(("Да"=AA$12:AA221)*ROW(AA$12:AA221)+1,ROW($P$12))&amp;":W"&amp;(ROW()))))),0)</f>
        <v>1843.0499999999993</v>
      </c>
      <c r="Q222" s="99">
        <f ca="1">MAX(SUM($N$13:N222)-SUM($T$13:T222),0)</f>
        <v>9731.650655737707</v>
      </c>
      <c r="R222" s="99">
        <f ca="1">Первоначальный[[#This Row],[Просроченный платеж по ОД]]+Первоначальный[[#This Row],[Просроченный платеж по процентам]]</f>
        <v>11574.700655737706</v>
      </c>
      <c r="S222" s="120">
        <f ca="1">IF(Первоначальный[[#This Row],[Просроченный платеж]]&lt;1,0,S221+1)</f>
        <v>118</v>
      </c>
      <c r="T222" s="100" cm="1">
        <f t="array" aca="1" ref="T222" ca="1">IF(Первоначальный[[#This Row],[Итого остаток на начало периода]]&lt;1,0,
IF(
AND(TYPE(VLOOKUP(1,$Z$12:Z222,1,0))=16,Первоначальный[[#This Row],[Досрочное погашение (да/"")]]=""),0,
_xlfn.IFS(AND(S221=0,Первоначальный[[#This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платеж]]&lt;&gt;0),MIN(LOOKUP(,-1/($Z$12:Z222=1),$C$12:C222)+LOOKUP(,-1/($Z$12:Z222=1),$H$12:H222),Первоначальный[[#This Row],[Полученный платеж]]+Y221),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платеж]]+Y221,SUM(Первоначальный[[#This Row],[Остаток процентов на начало периода]],Первоначальный[[#This Row],[Проценты за период]])),
AND(S221=0,Первоначальный[[#This Row],[Дата платежа из графика]]=""),0,
AND(S221=0,Первоначальный[[#This Row],[Дата платежа из графика]]=1,MAX((0&lt;&gt;S$12:S221)*ROW(S$12:S221),ROW($S$12))&gt;=MAX((1=Z$12:Z221)*ROW(Z$12:Z221),ROW($T$12)),TYPE(VLOOKUP("Да",(INDIRECT("AA"&amp;(MAX((1=Z$12:Z221)*ROW(Z$12:Z221),ROW($T$12))&amp;":AA"&amp;(ROW()-1)))),1,0))=16),MIN(LOOKUP(,-1/($Z$12:Z222=1),$C$12:C222)+LOOKUP(,-1/($Z$12:Z222=1),$H$12:H222),Первоначальный[[#This Row],[Полученный платеж]]+Y221),
AND(S221=0,TYPE(VLOOKUP("Да",(INDIRECT("AA"&amp;(MAX((1=Z$12:Z221)*ROW(Z$12:Z221),ROW($T$12))&amp;":AA"&amp;(ROW()-1)))),1,0))&lt;&gt;16),MIN(LOOKUP(,-1/($Z$12:Z222=1),$C$12:C222)+LOOKUP(,-1/($Z$12:Z222=1),$H$12:H222)-IF(AA221="Да",0,SUM(INDIRECT("T"&amp;(MAX(("Да"=AA$12:AA221)*ROW(AA$12:AA221)+1,ROW($T$12))&amp;":T"&amp;(ROW()-1))))),Первоначальный[[#This Row],[Полученный платеж]]+Y221),
AND(S221=0,MAX((0&lt;&gt;N$12:N221)*ROW(N$12:N221),ROW($S$12))&gt;=MAX((1=Z$12:Z221)*ROW(Z$12:Z221),ROW($T$12))),MIN(LOOKUP(,-1/($Z$12:Z222=1),$C$12:C222)+LOOKUP(,-1/($Z$12:Z222=1),$H$12:H222)-IF(N221&lt;&gt;0,0,SUM(INDIRECT("T"&amp;(MAX((0&lt;&gt;N$12:N221)*ROW(N$12:N221)+1,ROW($T$12))&amp;":T"&amp;(ROW()-1))))),Первоначальный[[#This Row],[Полученный платеж]]+Y221),
AND(S221=0,Первоначальный[[#This Row],[Дата платежа из графика]]=1),MIN(LOOKUP(,-1/($Z$12:Z222=1),$C$12:C222)+LOOKUP(,-1/($Z$12:Z222=1),$H$12:H222)-IF(Z221=1,0,SUM(INDIRECT("T"&amp;(MAX((1=Z$12:Z221)*ROW(Z$12:Z221)+1,ROW($T$12))&amp;":T"&amp;(ROW()-1))))),Первоначальный[[#This Row],[Полученный платеж]]+Y221),
AND(Z221&gt;0,Первоначальный[[#This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платеж]]+Y221),
AND(S221&gt;0,MAX((0&lt;&gt;S$12:S221)*ROW(S$12:S221),ROW($S$12))&gt;=MAX((1=Z$12:Z221)*ROW(Z$12:Z221),ROW($T$12)),TYPE(VLOOKUP("Да",(INDIRECT("AA"&amp;(MAX((1=Z$12:Z221)*ROW(Z$12:Z221),ROW($T$12))&amp;":AA"&amp;(ROW()-1)))),1,0))=16),MIN(LOOKUP(,-1/($Z$12:Z222=1),$C$12:C222)+LOOKUP(,-1/($Z$12:Z222=1),$H$12:H222)-SUM(INDIRECT("T"&amp;(MAX((1=Z$12:Z221)*ROW(Z$12:Z221),ROW($T$12))&amp;":T"&amp;(ROW()-1)))),Первоначальный[[#This Row],[Полученный платеж]]+Y221),
S221&gt;0,MIN(LOOKUP(,-1/($Z$12:Z222=1),$C$12:C222)+LOOKUP(,-1/($Z$12:Z222=1),$H$12:H222)-IF(Z221=1,0,SUM(INDIRECT("T"&amp;(MAX((1=Z$12:Z221)*ROW(Z$12:Z221)+1,ROW($T$12))&amp;":T"&amp;(ROW()-1))))),Первоначальный[[#This Row],[Полученный платеж]]+Y221)
)
)
)</f>
        <v>0</v>
      </c>
      <c r="U22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платеж]]+Y221-Первоначальный[[#This Row],[Полученный платёж по процентам]])</f>
        <v>0</v>
      </c>
      <c r="V222" s="55">
        <f t="shared" ca="1" si="37"/>
        <v>0</v>
      </c>
      <c r="W222" s="55" cm="1">
        <f t="array" aca="1" ref="W222" ca="1">IF(Первоначальный[[#This Row],[Итого остаток на начало периода]]&lt;1,0,
_xlfn.IFS(
AND(TYPE(VLOOKUP(1,$Z$12:Z222,1,0))=16,Первоначальный[[#This Row],[Досрочное погашение (да/"")]]=""),0,
AND(S221=0,Первоначальный[[#This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платеж]]+Y221-SUM(Первоначальный[[#This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комиссиям]]),VLOOKUP(LOOKUP(,-1/($Z$12:Z222=1),$A$12:A222),График[[Срок конец]:[Возврат основной суммы долга]],3,0)),
AND(S221=0,Первоначальный[[#This Row],[Дата платежа из графика]]="",Первоначальный[[#This Row],[Досрочное погашение (да/"")]]&lt;&gt;"Да"),0,
AND(S221=0,Первоначальный[[#This Row],[Досрочное погашение (да/"")]]=""),MIN(Первоначальный[[#This Row],[Полученный платеж]]+Y221-SUM(Первоначальный[[#This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комиссиям]]),VLOOKUP(LOOKUP(,-1/($Z$12:Z222=1),$A$12:A222),График[[Срок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платеж]]+Y221-SUM(Первоначальный[[#This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S221&gt;0,MIN(Первоначальный[[#This Row],[Полученный платеж]]+Y221-SUM(Первоначальный[[#This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комиссиям]]),SUM(INDIRECT("M"&amp;(MAX((1=S$12:S221)*ROW(S$12:S221),ROW($W$12))&amp;":M"&amp;(ROW()))))-SUM(INDIRECT("W"&amp;(MAX((1=S$12:S221)*ROW(S$12:S221),ROW($W$12))&amp;":W"&amp;(ROW()-1)))))
)
)</f>
        <v>0</v>
      </c>
      <c r="X222" s="55">
        <f t="shared" ca="1" si="38"/>
        <v>0</v>
      </c>
      <c r="Y222" s="101">
        <f t="shared" ca="1" si="45"/>
        <v>0</v>
      </c>
      <c r="Z222" s="133" t="str">
        <f>IF(TYPE((VLOOKUP(Первоначальный[[#This Row],[Дата платежа]],График[Срок конец],1,0)))=16,"",1)</f>
        <v/>
      </c>
      <c r="AA222" s="57"/>
      <c r="AB222" s="134"/>
      <c r="AC22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2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11988.429999999997</v>
      </c>
      <c r="AE22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72.589999999999975</v>
      </c>
      <c r="AF22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2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4265.2283868852446</v>
      </c>
      <c r="AH222" s="55"/>
      <c r="AI222" s="55"/>
      <c r="AJ222" s="55"/>
      <c r="AK222" s="101">
        <f t="shared" ca="1" si="46"/>
        <v>165959.58838688524</v>
      </c>
      <c r="AL222" s="129">
        <f t="array" ref="AL222">MAX((УслРестрактов[Характеристика]="Дата реструктуризации")*(УслРестрактов[Значение]=Первоначальный!$A222),0)</f>
        <v>0</v>
      </c>
    </row>
    <row r="223" spans="1:38" x14ac:dyDescent="0.25">
      <c r="A223" s="97">
        <f t="shared" si="39"/>
        <v>44354</v>
      </c>
      <c r="B223" s="100">
        <f t="shared" ca="1" si="40"/>
        <v>149633.34</v>
      </c>
      <c r="C223" s="55">
        <f t="shared" ca="1" si="48"/>
        <v>11988.429999999997</v>
      </c>
      <c r="D223" s="55">
        <f t="shared" ca="1" si="48"/>
        <v>72.589999999999975</v>
      </c>
      <c r="E223" s="55">
        <f t="shared" ca="1" si="41"/>
        <v>0</v>
      </c>
      <c r="F223" s="55">
        <f t="shared" ca="1" si="42"/>
        <v>4265.2283868852446</v>
      </c>
      <c r="G223" s="101">
        <f t="shared" ca="1" si="43"/>
        <v>165959.58838688524</v>
      </c>
      <c r="H223" s="100">
        <f ca="1">ROUND($B223*VLOOKUP($A223,$A$1:$B$10,2,1)/(365+IF(MOD(YEAR($A223),4),0,1)*($A223-$A222)),2)-Первоначальный[[#This Row],[Проценты на просроченный платеж по ОД за период]]</f>
        <v>80.58</v>
      </c>
      <c r="I223" s="55">
        <f t="shared" ca="1" si="44"/>
        <v>1</v>
      </c>
      <c r="J223" s="55">
        <v>0</v>
      </c>
      <c r="K223" s="55">
        <f t="shared" ca="1" si="47"/>
        <v>57.873503278688531</v>
      </c>
      <c r="L223" s="55">
        <v>0</v>
      </c>
      <c r="M223" s="113">
        <f>SUMIFS(График[Возврат основной суммы долга],График[Дата с учетом нерабочих дней],$A223)</f>
        <v>0</v>
      </c>
      <c r="N223" s="56">
        <f>SUMIFS(График[Возврат начисленных %],График[Дата с учетом нерабочих дней],$A223)</f>
        <v>0</v>
      </c>
      <c r="O223" s="101">
        <v>0</v>
      </c>
      <c r="P223" s="100" cm="1">
        <f t="array" aca="1" ref="P223" ca="1">MAX(IF(AA222="Да",0,SUM(INDIRECT("M"&amp;(MAX(("Да"=AA$12:AA222)*ROW(AA$12:AA222)+1,ROW($P$12))&amp;":M"&amp;(ROW()))))-SUM(INDIRECT("W"&amp;(MAX(("Да"=AA$12:AA222)*ROW(AA$12:AA222)+1,ROW($P$12))&amp;":W"&amp;(ROW()))))),0)</f>
        <v>1843.0499999999993</v>
      </c>
      <c r="Q223" s="99">
        <f ca="1">MAX(SUM($N$13:N223)-SUM($T$13:T223),0)</f>
        <v>9731.650655737707</v>
      </c>
      <c r="R223" s="99">
        <f ca="1">Первоначальный[[#This Row],[Просроченный платеж по ОД]]+Первоначальный[[#This Row],[Просроченный платеж по процентам]]</f>
        <v>11574.700655737706</v>
      </c>
      <c r="S223" s="120">
        <f ca="1">IF(Первоначальный[[#This Row],[Просроченный платеж]]&lt;1,0,S222+1)</f>
        <v>119</v>
      </c>
      <c r="T223" s="100" cm="1">
        <f t="array" aca="1" ref="T223" ca="1">IF(Первоначальный[[#This Row],[Итого остаток на начало периода]]&lt;1,0,
IF(
AND(TYPE(VLOOKUP(1,$Z$12:Z223,1,0))=16,Первоначальный[[#This Row],[Досрочное погашение (да/"")]]=""),0,
_xlfn.IFS(AND(S222=0,Первоначальный[[#This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платеж]]&lt;&gt;0),MIN(LOOKUP(,-1/($Z$12:Z223=1),$C$12:C223)+LOOKUP(,-1/($Z$12:Z223=1),$H$12:H223),Первоначальный[[#This Row],[Полученный платеж]]+Y222),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платеж]]+Y222,SUM(Первоначальный[[#This Row],[Остаток процентов на начало периода]],Первоначальный[[#This Row],[Проценты за период]])),
AND(S222=0,Первоначальный[[#This Row],[Дата платежа из графика]]=""),0,
AND(S222=0,Первоначальный[[#This Row],[Дата платежа из графика]]=1,MAX((0&lt;&gt;S$12:S222)*ROW(S$12:S222),ROW($S$12))&gt;=MAX((1=Z$12:Z222)*ROW(Z$12:Z222),ROW($T$12)),TYPE(VLOOKUP("Да",(INDIRECT("AA"&amp;(MAX((1=Z$12:Z222)*ROW(Z$12:Z222),ROW($T$12))&amp;":AA"&amp;(ROW()-1)))),1,0))=16),MIN(LOOKUP(,-1/($Z$12:Z223=1),$C$12:C223)+LOOKUP(,-1/($Z$12:Z223=1),$H$12:H223),Первоначальный[[#This Row],[Полученный платеж]]+Y222),
AND(S222=0,TYPE(VLOOKUP("Да",(INDIRECT("AA"&amp;(MAX((1=Z$12:Z222)*ROW(Z$12:Z222),ROW($T$12))&amp;":AA"&amp;(ROW()-1)))),1,0))&lt;&gt;16),MIN(LOOKUP(,-1/($Z$12:Z223=1),$C$12:C223)+LOOKUP(,-1/($Z$12:Z223=1),$H$12:H223)-IF(AA222="Да",0,SUM(INDIRECT("T"&amp;(MAX(("Да"=AA$12:AA222)*ROW(AA$12:AA222)+1,ROW($T$12))&amp;":T"&amp;(ROW()-1))))),Первоначальный[[#This Row],[Полученный платеж]]+Y222),
AND(S222=0,MAX((0&lt;&gt;N$12:N222)*ROW(N$12:N222),ROW($S$12))&gt;=MAX((1=Z$12:Z222)*ROW(Z$12:Z222),ROW($T$12))),MIN(LOOKUP(,-1/($Z$12:Z223=1),$C$12:C223)+LOOKUP(,-1/($Z$12:Z223=1),$H$12:H223)-IF(N222&lt;&gt;0,0,SUM(INDIRECT("T"&amp;(MAX((0&lt;&gt;N$12:N222)*ROW(N$12:N222)+1,ROW($T$12))&amp;":T"&amp;(ROW()-1))))),Первоначальный[[#This Row],[Полученный платеж]]+Y222),
AND(S222=0,Первоначальный[[#This Row],[Дата платежа из графика]]=1),MIN(LOOKUP(,-1/($Z$12:Z223=1),$C$12:C223)+LOOKUP(,-1/($Z$12:Z223=1),$H$12:H223)-IF(Z222=1,0,SUM(INDIRECT("T"&amp;(MAX((1=Z$12:Z222)*ROW(Z$12:Z222)+1,ROW($T$12))&amp;":T"&amp;(ROW()-1))))),Первоначальный[[#This Row],[Полученный платеж]]+Y222),
AND(Z222&gt;0,Первоначальный[[#This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платеж]]+Y222),
AND(S222&gt;0,MAX((0&lt;&gt;S$12:S222)*ROW(S$12:S222),ROW($S$12))&gt;=MAX((1=Z$12:Z222)*ROW(Z$12:Z222),ROW($T$12)),TYPE(VLOOKUP("Да",(INDIRECT("AA"&amp;(MAX((1=Z$12:Z222)*ROW(Z$12:Z222),ROW($T$12))&amp;":AA"&amp;(ROW()-1)))),1,0))=16),MIN(LOOKUP(,-1/($Z$12:Z223=1),$C$12:C223)+LOOKUP(,-1/($Z$12:Z223=1),$H$12:H223)-SUM(INDIRECT("T"&amp;(MAX((1=Z$12:Z222)*ROW(Z$12:Z222),ROW($T$12))&amp;":T"&amp;(ROW()-1)))),Первоначальный[[#This Row],[Полученный платеж]]+Y222),
S222&gt;0,MIN(LOOKUP(,-1/($Z$12:Z223=1),$C$12:C223)+LOOKUP(,-1/($Z$12:Z223=1),$H$12:H223)-IF(Z222=1,0,SUM(INDIRECT("T"&amp;(MAX((1=Z$12:Z222)*ROW(Z$12:Z222)+1,ROW($T$12))&amp;":T"&amp;(ROW()-1))))),Первоначальный[[#This Row],[Полученный платеж]]+Y222)
)
)
)</f>
        <v>0</v>
      </c>
      <c r="U22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платеж]]+Y222-Первоначальный[[#This Row],[Полученный платёж по процентам]])</f>
        <v>0</v>
      </c>
      <c r="V223" s="55">
        <f t="shared" ca="1" si="37"/>
        <v>0</v>
      </c>
      <c r="W223" s="55" cm="1">
        <f t="array" aca="1" ref="W223" ca="1">IF(Первоначальный[[#This Row],[Итого остаток на начало периода]]&lt;1,0,
_xlfn.IFS(
AND(TYPE(VLOOKUP(1,$Z$12:Z223,1,0))=16,Первоначальный[[#This Row],[Досрочное погашение (да/"")]]=""),0,
AND(S222=0,Первоначальный[[#This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платеж]]+Y222-SUM(Первоначальный[[#This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комиссиям]]),VLOOKUP(LOOKUP(,-1/($Z$12:Z223=1),$A$12:A223),График[[Срок конец]:[Возврат основной суммы долга]],3,0)),
AND(S222=0,Первоначальный[[#This Row],[Дата платежа из графика]]="",Первоначальный[[#This Row],[Досрочное погашение (да/"")]]&lt;&gt;"Да"),0,
AND(S222=0,Первоначальный[[#This Row],[Досрочное погашение (да/"")]]=""),MIN(Первоначальный[[#This Row],[Полученный платеж]]+Y222-SUM(Первоначальный[[#This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комиссиям]]),VLOOKUP(LOOKUP(,-1/($Z$12:Z223=1),$A$12:A223),График[[Срок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платеж]]+Y222-SUM(Первоначальный[[#This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S222&gt;0,MIN(Первоначальный[[#This Row],[Полученный платеж]]+Y222-SUM(Первоначальный[[#This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комиссиям]]),SUM(INDIRECT("M"&amp;(MAX((1=S$12:S222)*ROW(S$12:S222),ROW($W$12))&amp;":M"&amp;(ROW()))))-SUM(INDIRECT("W"&amp;(MAX((1=S$12:S222)*ROW(S$12:S222),ROW($W$12))&amp;":W"&amp;(ROW()-1)))))
)
)</f>
        <v>0</v>
      </c>
      <c r="X223" s="55">
        <f t="shared" ca="1" si="38"/>
        <v>0</v>
      </c>
      <c r="Y223" s="101">
        <f t="shared" ca="1" si="45"/>
        <v>0</v>
      </c>
      <c r="Z223" s="133" t="str">
        <f>IF(TYPE((VLOOKUP(Первоначальный[[#This Row],[Дата платежа]],График[Срок конец],1,0)))=16,"",1)</f>
        <v/>
      </c>
      <c r="AA223" s="57"/>
      <c r="AB223" s="134"/>
      <c r="AC22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2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12069.009999999997</v>
      </c>
      <c r="AE22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73.589999999999975</v>
      </c>
      <c r="AF22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2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4323.1018901639327</v>
      </c>
      <c r="AH223" s="55"/>
      <c r="AI223" s="55"/>
      <c r="AJ223" s="55"/>
      <c r="AK223" s="101">
        <f t="shared" ca="1" si="46"/>
        <v>166099.04189016394</v>
      </c>
      <c r="AL223" s="129">
        <f t="array" ref="AL223">MAX((УслРестрактов[Характеристика]="Дата реструктуризации")*(УслРестрактов[Значение]=Первоначальный!$A223),0)</f>
        <v>0</v>
      </c>
    </row>
    <row r="224" spans="1:38" x14ac:dyDescent="0.25">
      <c r="A224" s="97">
        <f t="shared" si="39"/>
        <v>44355</v>
      </c>
      <c r="B224" s="100">
        <f t="shared" ca="1" si="40"/>
        <v>149633.34</v>
      </c>
      <c r="C224" s="55">
        <f t="shared" ca="1" si="48"/>
        <v>12069.009999999997</v>
      </c>
      <c r="D224" s="55">
        <f t="shared" ca="1" si="48"/>
        <v>73.589999999999975</v>
      </c>
      <c r="E224" s="55">
        <f t="shared" ca="1" si="41"/>
        <v>0</v>
      </c>
      <c r="F224" s="55">
        <f t="shared" ca="1" si="42"/>
        <v>4323.1018901639327</v>
      </c>
      <c r="G224" s="101">
        <f t="shared" ca="1" si="43"/>
        <v>166099.04189016394</v>
      </c>
      <c r="H224" s="100">
        <f ca="1">ROUND($B224*VLOOKUP($A224,$A$1:$B$10,2,1)/(365+IF(MOD(YEAR($A224),4),0,1)*($A224-$A223)),2)-Первоначальный[[#This Row],[Проценты на просроченный платеж по ОД за период]]</f>
        <v>80.58</v>
      </c>
      <c r="I224" s="55">
        <f t="shared" ca="1" si="44"/>
        <v>1</v>
      </c>
      <c r="J224" s="55">
        <v>0</v>
      </c>
      <c r="K224" s="55">
        <f t="shared" ca="1" si="47"/>
        <v>57.873503278688531</v>
      </c>
      <c r="L224" s="55">
        <v>0</v>
      </c>
      <c r="M224" s="113">
        <f>SUMIFS(График[Возврат основной суммы долга],График[Дата с учетом нерабочих дней],$A224)</f>
        <v>0</v>
      </c>
      <c r="N224" s="56">
        <f>SUMIFS(График[Возврат начисленных %],График[Дата с учетом нерабочих дней],$A224)</f>
        <v>0</v>
      </c>
      <c r="O224" s="101">
        <v>0</v>
      </c>
      <c r="P224" s="100" cm="1">
        <f t="array" aca="1" ref="P224" ca="1">MAX(IF(AA223="Да",0,SUM(INDIRECT("M"&amp;(MAX(("Да"=AA$12:AA223)*ROW(AA$12:AA223)+1,ROW($P$12))&amp;":M"&amp;(ROW()))))-SUM(INDIRECT("W"&amp;(MAX(("Да"=AA$12:AA223)*ROW(AA$12:AA223)+1,ROW($P$12))&amp;":W"&amp;(ROW()))))),0)</f>
        <v>1843.0499999999993</v>
      </c>
      <c r="Q224" s="99">
        <f ca="1">MAX(SUM($N$13:N224)-SUM($T$13:T224),0)</f>
        <v>9731.650655737707</v>
      </c>
      <c r="R224" s="99">
        <f ca="1">Первоначальный[[#This Row],[Просроченный платеж по ОД]]+Первоначальный[[#This Row],[Просроченный платеж по процентам]]</f>
        <v>11574.700655737706</v>
      </c>
      <c r="S224" s="120">
        <f ca="1">IF(Первоначальный[[#This Row],[Просроченный платеж]]&lt;1,0,S223+1)</f>
        <v>120</v>
      </c>
      <c r="T224" s="100" cm="1">
        <f t="array" aca="1" ref="T224" ca="1">IF(Первоначальный[[#This Row],[Итого остаток на начало периода]]&lt;1,0,
IF(
AND(TYPE(VLOOKUP(1,$Z$12:Z224,1,0))=16,Первоначальный[[#This Row],[Досрочное погашение (да/"")]]=""),0,
_xlfn.IFS(AND(S223=0,Первоначальный[[#This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платеж]]&lt;&gt;0),MIN(LOOKUP(,-1/($Z$12:Z224=1),$C$12:C224)+LOOKUP(,-1/($Z$12:Z224=1),$H$12:H224),Первоначальный[[#This Row],[Полученный платеж]]+Y223),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платеж]]+Y223,SUM(Первоначальный[[#This Row],[Остаток процентов на начало периода]],Первоначальный[[#This Row],[Проценты за период]])),
AND(S223=0,Первоначальный[[#This Row],[Дата платежа из графика]]=""),0,
AND(S223=0,Первоначальный[[#This Row],[Дата платежа из графика]]=1,MAX((0&lt;&gt;S$12:S223)*ROW(S$12:S223),ROW($S$12))&gt;=MAX((1=Z$12:Z223)*ROW(Z$12:Z223),ROW($T$12)),TYPE(VLOOKUP("Да",(INDIRECT("AA"&amp;(MAX((1=Z$12:Z223)*ROW(Z$12:Z223),ROW($T$12))&amp;":AA"&amp;(ROW()-1)))),1,0))=16),MIN(LOOKUP(,-1/($Z$12:Z224=1),$C$12:C224)+LOOKUP(,-1/($Z$12:Z224=1),$H$12:H224),Первоначальный[[#This Row],[Полученный платеж]]+Y223),
AND(S223=0,TYPE(VLOOKUP("Да",(INDIRECT("AA"&amp;(MAX((1=Z$12:Z223)*ROW(Z$12:Z223),ROW($T$12))&amp;":AA"&amp;(ROW()-1)))),1,0))&lt;&gt;16),MIN(LOOKUP(,-1/($Z$12:Z224=1),$C$12:C224)+LOOKUP(,-1/($Z$12:Z224=1),$H$12:H224)-IF(AA223="Да",0,SUM(INDIRECT("T"&amp;(MAX(("Да"=AA$12:AA223)*ROW(AA$12:AA223)+1,ROW($T$12))&amp;":T"&amp;(ROW()-1))))),Первоначальный[[#This Row],[Полученный платеж]]+Y223),
AND(S223=0,MAX((0&lt;&gt;N$12:N223)*ROW(N$12:N223),ROW($S$12))&gt;=MAX((1=Z$12:Z223)*ROW(Z$12:Z223),ROW($T$12))),MIN(LOOKUP(,-1/($Z$12:Z224=1),$C$12:C224)+LOOKUP(,-1/($Z$12:Z224=1),$H$12:H224)-IF(N223&lt;&gt;0,0,SUM(INDIRECT("T"&amp;(MAX((0&lt;&gt;N$12:N223)*ROW(N$12:N223)+1,ROW($T$12))&amp;":T"&amp;(ROW()-1))))),Первоначальный[[#This Row],[Полученный платеж]]+Y223),
AND(S223=0,Первоначальный[[#This Row],[Дата платежа из графика]]=1),MIN(LOOKUP(,-1/($Z$12:Z224=1),$C$12:C224)+LOOKUP(,-1/($Z$12:Z224=1),$H$12:H224)-IF(Z223=1,0,SUM(INDIRECT("T"&amp;(MAX((1=Z$12:Z223)*ROW(Z$12:Z223)+1,ROW($T$12))&amp;":T"&amp;(ROW()-1))))),Первоначальный[[#This Row],[Полученный платеж]]+Y223),
AND(Z223&gt;0,Первоначальный[[#This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платеж]]+Y223),
AND(S223&gt;0,MAX((0&lt;&gt;S$12:S223)*ROW(S$12:S223),ROW($S$12))&gt;=MAX((1=Z$12:Z223)*ROW(Z$12:Z223),ROW($T$12)),TYPE(VLOOKUP("Да",(INDIRECT("AA"&amp;(MAX((1=Z$12:Z223)*ROW(Z$12:Z223),ROW($T$12))&amp;":AA"&amp;(ROW()-1)))),1,0))=16),MIN(LOOKUP(,-1/($Z$12:Z224=1),$C$12:C224)+LOOKUP(,-1/($Z$12:Z224=1),$H$12:H224)-SUM(INDIRECT("T"&amp;(MAX((1=Z$12:Z223)*ROW(Z$12:Z223),ROW($T$12))&amp;":T"&amp;(ROW()-1)))),Первоначальный[[#This Row],[Полученный платеж]]+Y223),
S223&gt;0,MIN(LOOKUP(,-1/($Z$12:Z224=1),$C$12:C224)+LOOKUP(,-1/($Z$12:Z224=1),$H$12:H224)-IF(Z223=1,0,SUM(INDIRECT("T"&amp;(MAX((1=Z$12:Z223)*ROW(Z$12:Z223)+1,ROW($T$12))&amp;":T"&amp;(ROW()-1))))),Первоначальный[[#This Row],[Полученный платеж]]+Y223)
)
)
)</f>
        <v>0</v>
      </c>
      <c r="U22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платеж]]+Y223-Первоначальный[[#This Row],[Полученный платёж по процентам]])</f>
        <v>0</v>
      </c>
      <c r="V224" s="55">
        <f t="shared" ca="1" si="37"/>
        <v>0</v>
      </c>
      <c r="W224" s="55" cm="1">
        <f t="array" aca="1" ref="W224" ca="1">IF(Первоначальный[[#This Row],[Итого остаток на начало периода]]&lt;1,0,
_xlfn.IFS(
AND(TYPE(VLOOKUP(1,$Z$12:Z224,1,0))=16,Первоначальный[[#This Row],[Досрочное погашение (да/"")]]=""),0,
AND(S223=0,Первоначальный[[#This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платеж]]+Y223-SUM(Первоначальный[[#This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комиссиям]]),VLOOKUP(LOOKUP(,-1/($Z$12:Z224=1),$A$12:A224),График[[Срок конец]:[Возврат основной суммы долга]],3,0)),
AND(S223=0,Первоначальный[[#This Row],[Дата платежа из графика]]="",Первоначальный[[#This Row],[Досрочное погашение (да/"")]]&lt;&gt;"Да"),0,
AND(S223=0,Первоначальный[[#This Row],[Досрочное погашение (да/"")]]=""),MIN(Первоначальный[[#This Row],[Полученный платеж]]+Y223-SUM(Первоначальный[[#This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комиссиям]]),VLOOKUP(LOOKUP(,-1/($Z$12:Z224=1),$A$12:A224),График[[Срок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платеж]]+Y223-SUM(Первоначальный[[#This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S223&gt;0,MIN(Первоначальный[[#This Row],[Полученный платеж]]+Y223-SUM(Первоначальный[[#This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комиссиям]]),SUM(INDIRECT("M"&amp;(MAX((1=S$12:S223)*ROW(S$12:S223),ROW($W$12))&amp;":M"&amp;(ROW()))))-SUM(INDIRECT("W"&amp;(MAX((1=S$12:S223)*ROW(S$12:S223),ROW($W$12))&amp;":W"&amp;(ROW()-1)))))
)
)</f>
        <v>0</v>
      </c>
      <c r="X224" s="55">
        <f t="shared" ca="1" si="38"/>
        <v>0</v>
      </c>
      <c r="Y224" s="101">
        <f t="shared" ca="1" si="45"/>
        <v>0</v>
      </c>
      <c r="Z224" s="133" t="str">
        <f>IF(TYPE((VLOOKUP(Первоначальный[[#This Row],[Дата платежа]],График[Срок конец],1,0)))=16,"",1)</f>
        <v/>
      </c>
      <c r="AA224" s="57"/>
      <c r="AB224" s="134"/>
      <c r="AC22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2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12149.589999999997</v>
      </c>
      <c r="AE22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74.589999999999975</v>
      </c>
      <c r="AF22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2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4380.9753934426208</v>
      </c>
      <c r="AH224" s="55"/>
      <c r="AI224" s="55"/>
      <c r="AJ224" s="55"/>
      <c r="AK224" s="101">
        <f t="shared" ca="1" si="46"/>
        <v>166238.4953934426</v>
      </c>
      <c r="AL224" s="129">
        <f t="array" ref="AL224">MAX((УслРестрактов[Характеристика]="Дата реструктуризации")*(УслРестрактов[Значение]=Первоначальный!$A224),0)</f>
        <v>0</v>
      </c>
    </row>
    <row r="225" spans="1:38" x14ac:dyDescent="0.25">
      <c r="A225" s="97">
        <f t="shared" si="39"/>
        <v>44356</v>
      </c>
      <c r="B225" s="100">
        <f t="shared" ca="1" si="40"/>
        <v>149633.34</v>
      </c>
      <c r="C225" s="55">
        <f t="shared" ca="1" si="48"/>
        <v>12149.589999999997</v>
      </c>
      <c r="D225" s="55">
        <f t="shared" ca="1" si="48"/>
        <v>74.589999999999975</v>
      </c>
      <c r="E225" s="55">
        <f t="shared" ca="1" si="41"/>
        <v>0</v>
      </c>
      <c r="F225" s="55">
        <f t="shared" ca="1" si="42"/>
        <v>4380.9753934426208</v>
      </c>
      <c r="G225" s="101">
        <f t="shared" ca="1" si="43"/>
        <v>166238.4953934426</v>
      </c>
      <c r="H225" s="100">
        <f ca="1">ROUND($B225*VLOOKUP($A225,$A$1:$B$10,2,1)/(365+IF(MOD(YEAR($A225),4),0,1)*($A225-$A224)),2)-Первоначальный[[#This Row],[Проценты на просроченный платеж по ОД за период]]</f>
        <v>80.58</v>
      </c>
      <c r="I225" s="55">
        <f t="shared" ca="1" si="44"/>
        <v>1</v>
      </c>
      <c r="J225" s="55">
        <v>0</v>
      </c>
      <c r="K225" s="55">
        <f t="shared" ca="1" si="47"/>
        <v>72.358503278688531</v>
      </c>
      <c r="L225" s="55">
        <v>0</v>
      </c>
      <c r="M225" s="113">
        <f>SUMIFS(График[Возврат основной суммы долга],График[Дата с учетом нерабочих дней],$A225)</f>
        <v>399.13999999999987</v>
      </c>
      <c r="N225" s="56">
        <f>SUMIFS(График[Возврат начисленных %],График[Дата с учетом нерабочих дней],$A225)</f>
        <v>2497.86</v>
      </c>
      <c r="O225" s="101">
        <v>0</v>
      </c>
      <c r="P225" s="100" cm="1">
        <f t="array" aca="1" ref="P225" ca="1">MAX(IF(AA224="Да",0,SUM(INDIRECT("M"&amp;(MAX(("Да"=AA$12:AA224)*ROW(AA$12:AA224)+1,ROW($P$12))&amp;":M"&amp;(ROW()))))-SUM(INDIRECT("W"&amp;(MAX(("Да"=AA$12:AA224)*ROW(AA$12:AA224)+1,ROW($P$12))&amp;":W"&amp;(ROW()))))),0)</f>
        <v>2242.1899999999991</v>
      </c>
      <c r="Q225" s="99">
        <f ca="1">MAX(SUM($N$13:N225)-SUM($T$13:T225),0)</f>
        <v>12229.510655737706</v>
      </c>
      <c r="R225" s="99">
        <f ca="1">Первоначальный[[#This Row],[Просроченный платеж по ОД]]+Первоначальный[[#This Row],[Просроченный платеж по процентам]]</f>
        <v>14471.700655737704</v>
      </c>
      <c r="S225" s="120">
        <f ca="1">IF(Первоначальный[[#This Row],[Просроченный платеж]]&lt;1,0,S224+1)</f>
        <v>121</v>
      </c>
      <c r="T225" s="100" cm="1">
        <f t="array" aca="1" ref="T225" ca="1">IF(Первоначальный[[#This Row],[Итого остаток на начало периода]]&lt;1,0,
IF(
AND(TYPE(VLOOKUP(1,$Z$12:Z225,1,0))=16,Первоначальный[[#This Row],[Досрочное погашение (да/"")]]=""),0,
_xlfn.IFS(AND(S224=0,Первоначальный[[#This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платеж]]&lt;&gt;0),MIN(LOOKUP(,-1/($Z$12:Z225=1),$C$12:C225)+LOOKUP(,-1/($Z$12:Z225=1),$H$12:H225),Первоначальный[[#This Row],[Полученный платеж]]+Y224),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платеж]]+Y224,SUM(Первоначальный[[#This Row],[Остаток процентов на начало периода]],Первоначальный[[#This Row],[Проценты за период]])),
AND(S224=0,Первоначальный[[#This Row],[Дата платежа из графика]]=""),0,
AND(S224=0,Первоначальный[[#This Row],[Дата платежа из графика]]=1,MAX((0&lt;&gt;S$12:S224)*ROW(S$12:S224),ROW($S$12))&gt;=MAX((1=Z$12:Z224)*ROW(Z$12:Z224),ROW($T$12)),TYPE(VLOOKUP("Да",(INDIRECT("AA"&amp;(MAX((1=Z$12:Z224)*ROW(Z$12:Z224),ROW($T$12))&amp;":AA"&amp;(ROW()-1)))),1,0))=16),MIN(LOOKUP(,-1/($Z$12:Z225=1),$C$12:C225)+LOOKUP(,-1/($Z$12:Z225=1),$H$12:H225),Первоначальный[[#This Row],[Полученный платеж]]+Y224),
AND(S224=0,TYPE(VLOOKUP("Да",(INDIRECT("AA"&amp;(MAX((1=Z$12:Z224)*ROW(Z$12:Z224),ROW($T$12))&amp;":AA"&amp;(ROW()-1)))),1,0))&lt;&gt;16),MIN(LOOKUP(,-1/($Z$12:Z225=1),$C$12:C225)+LOOKUP(,-1/($Z$12:Z225=1),$H$12:H225)-IF(AA224="Да",0,SUM(INDIRECT("T"&amp;(MAX(("Да"=AA$12:AA224)*ROW(AA$12:AA224)+1,ROW($T$12))&amp;":T"&amp;(ROW()-1))))),Первоначальный[[#This Row],[Полученный платеж]]+Y224),
AND(S224=0,MAX((0&lt;&gt;N$12:N224)*ROW(N$12:N224),ROW($S$12))&gt;=MAX((1=Z$12:Z224)*ROW(Z$12:Z224),ROW($T$12))),MIN(LOOKUP(,-1/($Z$12:Z225=1),$C$12:C225)+LOOKUP(,-1/($Z$12:Z225=1),$H$12:H225)-IF(N224&lt;&gt;0,0,SUM(INDIRECT("T"&amp;(MAX((0&lt;&gt;N$12:N224)*ROW(N$12:N224)+1,ROW($T$12))&amp;":T"&amp;(ROW()-1))))),Первоначальный[[#This Row],[Полученный платеж]]+Y224),
AND(S224=0,Первоначальный[[#This Row],[Дата платежа из графика]]=1),MIN(LOOKUP(,-1/($Z$12:Z225=1),$C$12:C225)+LOOKUP(,-1/($Z$12:Z225=1),$H$12:H225)-IF(Z224=1,0,SUM(INDIRECT("T"&amp;(MAX((1=Z$12:Z224)*ROW(Z$12:Z224)+1,ROW($T$12))&amp;":T"&amp;(ROW()-1))))),Первоначальный[[#This Row],[Полученный платеж]]+Y224),
AND(Z224&gt;0,Первоначальный[[#This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платеж]]+Y224),
AND(S224&gt;0,MAX((0&lt;&gt;S$12:S224)*ROW(S$12:S224),ROW($S$12))&gt;=MAX((1=Z$12:Z224)*ROW(Z$12:Z224),ROW($T$12)),TYPE(VLOOKUP("Да",(INDIRECT("AA"&amp;(MAX((1=Z$12:Z224)*ROW(Z$12:Z224),ROW($T$12))&amp;":AA"&amp;(ROW()-1)))),1,0))=16),MIN(LOOKUP(,-1/($Z$12:Z225=1),$C$12:C225)+LOOKUP(,-1/($Z$12:Z225=1),$H$12:H225)-SUM(INDIRECT("T"&amp;(MAX((1=Z$12:Z224)*ROW(Z$12:Z224),ROW($T$12))&amp;":T"&amp;(ROW()-1)))),Первоначальный[[#This Row],[Полученный платеж]]+Y224),
S224&gt;0,MIN(LOOKUP(,-1/($Z$12:Z225=1),$C$12:C225)+LOOKUP(,-1/($Z$12:Z225=1),$H$12:H225)-IF(Z224=1,0,SUM(INDIRECT("T"&amp;(MAX((1=Z$12:Z224)*ROW(Z$12:Z224)+1,ROW($T$12))&amp;":T"&amp;(ROW()-1))))),Первоначальный[[#This Row],[Полученный платеж]]+Y224)
)
)
)</f>
        <v>0</v>
      </c>
      <c r="U22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платеж]]+Y224-Первоначальный[[#This Row],[Полученный платёж по процентам]])</f>
        <v>0</v>
      </c>
      <c r="V225" s="55">
        <f t="shared" ca="1" si="37"/>
        <v>0</v>
      </c>
      <c r="W225" s="55" cm="1">
        <f t="array" aca="1" ref="W225" ca="1">IF(Первоначальный[[#This Row],[Итого остаток на начало периода]]&lt;1,0,
_xlfn.IFS(
AND(TYPE(VLOOKUP(1,$Z$12:Z225,1,0))=16,Первоначальный[[#This Row],[Досрочное погашение (да/"")]]=""),0,
AND(S224=0,Первоначальный[[#This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платеж]]+Y224-SUM(Первоначальный[[#This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комиссиям]]),VLOOKUP(LOOKUP(,-1/($Z$12:Z225=1),$A$12:A225),График[[Срок конец]:[Возврат основной суммы долга]],3,0)),
AND(S224=0,Первоначальный[[#This Row],[Дата платежа из графика]]="",Первоначальный[[#This Row],[Досрочное погашение (да/"")]]&lt;&gt;"Да"),0,
AND(S224=0,Первоначальный[[#This Row],[Досрочное погашение (да/"")]]=""),MIN(Первоначальный[[#This Row],[Полученный платеж]]+Y224-SUM(Первоначальный[[#This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комиссиям]]),VLOOKUP(LOOKUP(,-1/($Z$12:Z225=1),$A$12:A225),График[[Срок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платеж]]+Y224-SUM(Первоначальный[[#This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S224&gt;0,MIN(Первоначальный[[#This Row],[Полученный платеж]]+Y224-SUM(Первоначальный[[#This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комиссиям]]),SUM(INDIRECT("M"&amp;(MAX((1=S$12:S224)*ROW(S$12:S224),ROW($W$12))&amp;":M"&amp;(ROW()))))-SUM(INDIRECT("W"&amp;(MAX((1=S$12:S224)*ROW(S$12:S224),ROW($W$12))&amp;":W"&amp;(ROW()-1)))))
)
)</f>
        <v>0</v>
      </c>
      <c r="X225" s="55">
        <f t="shared" ca="1" si="38"/>
        <v>0</v>
      </c>
      <c r="Y225" s="101">
        <f t="shared" ca="1" si="45"/>
        <v>0</v>
      </c>
      <c r="Z225" s="133">
        <f>IF(TYPE((VLOOKUP(Первоначальный[[#This Row],[Дата платежа]],График[Срок конец],1,0)))=16,"",1)</f>
        <v>1</v>
      </c>
      <c r="AA225" s="57"/>
      <c r="AB225" s="134"/>
      <c r="AC22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2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12230.169999999996</v>
      </c>
      <c r="AE22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75.589999999999975</v>
      </c>
      <c r="AF22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2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4453.3338967213094</v>
      </c>
      <c r="AH225" s="55"/>
      <c r="AI225" s="55"/>
      <c r="AJ225" s="55"/>
      <c r="AK225" s="101">
        <f t="shared" ca="1" si="46"/>
        <v>166392.43389672128</v>
      </c>
      <c r="AL225" s="129">
        <f t="array" ref="AL225">MAX((УслРестрактов[Характеристика]="Дата реструктуризации")*(УслРестрактов[Значение]=Первоначальный!$A225),0)</f>
        <v>0</v>
      </c>
    </row>
    <row r="226" spans="1:38" x14ac:dyDescent="0.25">
      <c r="A226" s="97">
        <f t="shared" si="39"/>
        <v>44357</v>
      </c>
      <c r="B226" s="100">
        <f t="shared" ca="1" si="40"/>
        <v>149633.34</v>
      </c>
      <c r="C226" s="55">
        <f t="shared" ca="1" si="48"/>
        <v>12230.169999999996</v>
      </c>
      <c r="D226" s="55">
        <f t="shared" ca="1" si="48"/>
        <v>75.589999999999975</v>
      </c>
      <c r="E226" s="55">
        <f t="shared" ca="1" si="41"/>
        <v>0</v>
      </c>
      <c r="F226" s="55">
        <f t="shared" ca="1" si="42"/>
        <v>4453.3338967213094</v>
      </c>
      <c r="G226" s="101">
        <f t="shared" ca="1" si="43"/>
        <v>166392.43389672128</v>
      </c>
      <c r="H226" s="100">
        <f ca="1">ROUND($B226*VLOOKUP($A226,$A$1:$B$10,2,1)/(365+IF(MOD(YEAR($A226),4),0,1)*($A226-$A225)),2)-Первоначальный[[#This Row],[Проценты на просроченный платеж по ОД за период]]</f>
        <v>80.36</v>
      </c>
      <c r="I226" s="55">
        <f t="shared" ca="1" si="44"/>
        <v>1.22</v>
      </c>
      <c r="J226" s="55">
        <v>0</v>
      </c>
      <c r="K226" s="55">
        <f t="shared" ca="1" si="47"/>
        <v>72.358503278688531</v>
      </c>
      <c r="L226" s="55">
        <v>0</v>
      </c>
      <c r="M226" s="113">
        <f>SUMIFS(График[Возврат основной суммы долга],График[Дата с учетом нерабочих дней],$A226)</f>
        <v>0</v>
      </c>
      <c r="N226" s="56">
        <f>SUMIFS(График[Возврат начисленных %],График[Дата с учетом нерабочих дней],$A226)</f>
        <v>0</v>
      </c>
      <c r="O226" s="101">
        <v>0</v>
      </c>
      <c r="P226" s="100" cm="1">
        <f t="array" aca="1" ref="P226" ca="1">MAX(IF(AA225="Да",0,SUM(INDIRECT("M"&amp;(MAX(("Да"=AA$12:AA225)*ROW(AA$12:AA225)+1,ROW($P$12))&amp;":M"&amp;(ROW()))))-SUM(INDIRECT("W"&amp;(MAX(("Да"=AA$12:AA225)*ROW(AA$12:AA225)+1,ROW($P$12))&amp;":W"&amp;(ROW()))))),0)</f>
        <v>2242.1899999999991</v>
      </c>
      <c r="Q226" s="99">
        <f ca="1">MAX(SUM($N$13:N226)-SUM($T$13:T226),0)</f>
        <v>12229.510655737706</v>
      </c>
      <c r="R226" s="99">
        <f ca="1">Первоначальный[[#This Row],[Просроченный платеж по ОД]]+Первоначальный[[#This Row],[Просроченный платеж по процентам]]</f>
        <v>14471.700655737704</v>
      </c>
      <c r="S226" s="120">
        <f ca="1">IF(Первоначальный[[#This Row],[Просроченный платеж]]&lt;1,0,S225+1)</f>
        <v>122</v>
      </c>
      <c r="T226" s="100" cm="1">
        <f t="array" aca="1" ref="T226" ca="1">IF(Первоначальный[[#This Row],[Итого остаток на начало периода]]&lt;1,0,
IF(
AND(TYPE(VLOOKUP(1,$Z$12:Z226,1,0))=16,Первоначальный[[#This Row],[Досрочное погашение (да/"")]]=""),0,
_xlfn.IFS(AND(S225=0,Первоначальный[[#This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платеж]]&lt;&gt;0),MIN(LOOKUP(,-1/($Z$12:Z226=1),$C$12:C226)+LOOKUP(,-1/($Z$12:Z226=1),$H$12:H226),Первоначальный[[#This Row],[Полученный платеж]]+Y225),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платеж]]+Y225,SUM(Первоначальный[[#This Row],[Остаток процентов на начало периода]],Первоначальный[[#This Row],[Проценты за период]])),
AND(S225=0,Первоначальный[[#This Row],[Дата платежа из графика]]=""),0,
AND(S225=0,Первоначальный[[#This Row],[Дата платежа из графика]]=1,MAX((0&lt;&gt;S$12:S225)*ROW(S$12:S225),ROW($S$12))&gt;=MAX((1=Z$12:Z225)*ROW(Z$12:Z225),ROW($T$12)),TYPE(VLOOKUP("Да",(INDIRECT("AA"&amp;(MAX((1=Z$12:Z225)*ROW(Z$12:Z225),ROW($T$12))&amp;":AA"&amp;(ROW()-1)))),1,0))=16),MIN(LOOKUP(,-1/($Z$12:Z226=1),$C$12:C226)+LOOKUP(,-1/($Z$12:Z226=1),$H$12:H226),Первоначальный[[#This Row],[Полученный платеж]]+Y225),
AND(S225=0,TYPE(VLOOKUP("Да",(INDIRECT("AA"&amp;(MAX((1=Z$12:Z225)*ROW(Z$12:Z225),ROW($T$12))&amp;":AA"&amp;(ROW()-1)))),1,0))&lt;&gt;16),MIN(LOOKUP(,-1/($Z$12:Z226=1),$C$12:C226)+LOOKUP(,-1/($Z$12:Z226=1),$H$12:H226)-IF(AA225="Да",0,SUM(INDIRECT("T"&amp;(MAX(("Да"=AA$12:AA225)*ROW(AA$12:AA225)+1,ROW($T$12))&amp;":T"&amp;(ROW()-1))))),Первоначальный[[#This Row],[Полученный платеж]]+Y225),
AND(S225=0,MAX((0&lt;&gt;N$12:N225)*ROW(N$12:N225),ROW($S$12))&gt;=MAX((1=Z$12:Z225)*ROW(Z$12:Z225),ROW($T$12))),MIN(LOOKUP(,-1/($Z$12:Z226=1),$C$12:C226)+LOOKUP(,-1/($Z$12:Z226=1),$H$12:H226)-IF(N225&lt;&gt;0,0,SUM(INDIRECT("T"&amp;(MAX((0&lt;&gt;N$12:N225)*ROW(N$12:N225)+1,ROW($T$12))&amp;":T"&amp;(ROW()-1))))),Первоначальный[[#This Row],[Полученный платеж]]+Y225),
AND(S225=0,Первоначальный[[#This Row],[Дата платежа из графика]]=1),MIN(LOOKUP(,-1/($Z$12:Z226=1),$C$12:C226)+LOOKUP(,-1/($Z$12:Z226=1),$H$12:H226)-IF(Z225=1,0,SUM(INDIRECT("T"&amp;(MAX((1=Z$12:Z225)*ROW(Z$12:Z225)+1,ROW($T$12))&amp;":T"&amp;(ROW()-1))))),Первоначальный[[#This Row],[Полученный платеж]]+Y225),
AND(Z225&gt;0,Первоначальный[[#This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платеж]]+Y225),
AND(S225&gt;0,MAX((0&lt;&gt;S$12:S225)*ROW(S$12:S225),ROW($S$12))&gt;=MAX((1=Z$12:Z225)*ROW(Z$12:Z225),ROW($T$12)),TYPE(VLOOKUP("Да",(INDIRECT("AA"&amp;(MAX((1=Z$12:Z225)*ROW(Z$12:Z225),ROW($T$12))&amp;":AA"&amp;(ROW()-1)))),1,0))=16),MIN(LOOKUP(,-1/($Z$12:Z226=1),$C$12:C226)+LOOKUP(,-1/($Z$12:Z226=1),$H$12:H226)-SUM(INDIRECT("T"&amp;(MAX((1=Z$12:Z225)*ROW(Z$12:Z225),ROW($T$12))&amp;":T"&amp;(ROW()-1)))),Первоначальный[[#This Row],[Полученный платеж]]+Y225),
S225&gt;0,MIN(LOOKUP(,-1/($Z$12:Z226=1),$C$12:C226)+LOOKUP(,-1/($Z$12:Z226=1),$H$12:H226)-IF(Z225=1,0,SUM(INDIRECT("T"&amp;(MAX((1=Z$12:Z225)*ROW(Z$12:Z225)+1,ROW($T$12))&amp;":T"&amp;(ROW()-1))))),Первоначальный[[#This Row],[Полученный платеж]]+Y225)
)
)
)</f>
        <v>0</v>
      </c>
      <c r="U22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платеж]]+Y225-Первоначальный[[#This Row],[Полученный платёж по процентам]])</f>
        <v>0</v>
      </c>
      <c r="V226" s="55">
        <f t="shared" ca="1" si="37"/>
        <v>0</v>
      </c>
      <c r="W226" s="55" cm="1">
        <f t="array" aca="1" ref="W226" ca="1">IF(Первоначальный[[#This Row],[Итого остаток на начало периода]]&lt;1,0,
_xlfn.IFS(
AND(TYPE(VLOOKUP(1,$Z$12:Z226,1,0))=16,Первоначальный[[#This Row],[Досрочное погашение (да/"")]]=""),0,
AND(S225=0,Первоначальный[[#This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платеж]]+Y225-SUM(Первоначальный[[#This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комиссиям]]),VLOOKUP(LOOKUP(,-1/($Z$12:Z226=1),$A$12:A226),График[[Срок конец]:[Возврат основной суммы долга]],3,0)),
AND(S225=0,Первоначальный[[#This Row],[Дата платежа из графика]]="",Первоначальный[[#This Row],[Досрочное погашение (да/"")]]&lt;&gt;"Да"),0,
AND(S225=0,Первоначальный[[#This Row],[Досрочное погашение (да/"")]]=""),MIN(Первоначальный[[#This Row],[Полученный платеж]]+Y225-SUM(Первоначальный[[#This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комиссиям]]),VLOOKUP(LOOKUP(,-1/($Z$12:Z226=1),$A$12:A226),График[[Срок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платеж]]+Y225-SUM(Первоначальный[[#This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S225&gt;0,MIN(Первоначальный[[#This Row],[Полученный платеж]]+Y225-SUM(Первоначальный[[#This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комиссиям]]),SUM(INDIRECT("M"&amp;(MAX((1=S$12:S225)*ROW(S$12:S225),ROW($W$12))&amp;":M"&amp;(ROW()))))-SUM(INDIRECT("W"&amp;(MAX((1=S$12:S225)*ROW(S$12:S225),ROW($W$12))&amp;":W"&amp;(ROW()-1)))))
)
)</f>
        <v>0</v>
      </c>
      <c r="X226" s="55">
        <f t="shared" ca="1" si="38"/>
        <v>0</v>
      </c>
      <c r="Y226" s="101">
        <f t="shared" ca="1" si="45"/>
        <v>0</v>
      </c>
      <c r="Z226" s="133" t="str">
        <f>IF(TYPE((VLOOKUP(Первоначальный[[#This Row],[Дата платежа]],График[Срок конец],1,0)))=16,"",1)</f>
        <v/>
      </c>
      <c r="AA226" s="57"/>
      <c r="AB226" s="134"/>
      <c r="AC22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2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12310.529999999997</v>
      </c>
      <c r="AE22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76.809999999999974</v>
      </c>
      <c r="AF22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2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4525.6923999999981</v>
      </c>
      <c r="AH226" s="55"/>
      <c r="AI226" s="55"/>
      <c r="AJ226" s="55"/>
      <c r="AK226" s="101">
        <f t="shared" ca="1" si="46"/>
        <v>166546.37239999999</v>
      </c>
      <c r="AL226" s="129">
        <f t="array" ref="AL226">MAX((УслРестрактов[Характеристика]="Дата реструктуризации")*(УслРестрактов[Значение]=Первоначальный!$A226),0)</f>
        <v>0</v>
      </c>
    </row>
    <row r="227" spans="1:38" x14ac:dyDescent="0.25">
      <c r="A227" s="97">
        <f t="shared" si="39"/>
        <v>44358</v>
      </c>
      <c r="B227" s="100">
        <f t="shared" ca="1" si="40"/>
        <v>149633.34</v>
      </c>
      <c r="C227" s="55">
        <f t="shared" ca="1" si="48"/>
        <v>12310.529999999997</v>
      </c>
      <c r="D227" s="55">
        <f t="shared" ca="1" si="48"/>
        <v>76.809999999999974</v>
      </c>
      <c r="E227" s="55">
        <f t="shared" ca="1" si="41"/>
        <v>0</v>
      </c>
      <c r="F227" s="55">
        <f t="shared" ca="1" si="42"/>
        <v>4525.6923999999981</v>
      </c>
      <c r="G227" s="101">
        <f t="shared" ca="1" si="43"/>
        <v>166546.37239999999</v>
      </c>
      <c r="H227" s="100">
        <f ca="1">ROUND($B227*VLOOKUP($A227,$A$1:$B$10,2,1)/(365+IF(MOD(YEAR($A227),4),0,1)*($A227-$A226)),2)-Первоначальный[[#This Row],[Проценты на просроченный платеж по ОД за период]]</f>
        <v>80.36</v>
      </c>
      <c r="I227" s="55">
        <f t="shared" ca="1" si="44"/>
        <v>1.22</v>
      </c>
      <c r="J227" s="55">
        <v>0</v>
      </c>
      <c r="K227" s="55">
        <f t="shared" ca="1" si="47"/>
        <v>72.358503278688531</v>
      </c>
      <c r="L227" s="55">
        <v>0</v>
      </c>
      <c r="M227" s="113">
        <f>SUMIFS(График[Возврат основной суммы долга],График[Дата с учетом нерабочих дней],$A227)</f>
        <v>0</v>
      </c>
      <c r="N227" s="56">
        <f>SUMIFS(График[Возврат начисленных %],График[Дата с учетом нерабочих дней],$A227)</f>
        <v>0</v>
      </c>
      <c r="O227" s="101">
        <v>0</v>
      </c>
      <c r="P227" s="100" cm="1">
        <f t="array" aca="1" ref="P227" ca="1">MAX(IF(AA226="Да",0,SUM(INDIRECT("M"&amp;(MAX(("Да"=AA$12:AA226)*ROW(AA$12:AA226)+1,ROW($P$12))&amp;":M"&amp;(ROW()))))-SUM(INDIRECT("W"&amp;(MAX(("Да"=AA$12:AA226)*ROW(AA$12:AA226)+1,ROW($P$12))&amp;":W"&amp;(ROW()))))),0)</f>
        <v>2242.1899999999991</v>
      </c>
      <c r="Q227" s="99">
        <f ca="1">MAX(SUM($N$13:N227)-SUM($T$13:T227),0)</f>
        <v>12229.510655737706</v>
      </c>
      <c r="R227" s="99">
        <f ca="1">Первоначальный[[#This Row],[Просроченный платеж по ОД]]+Первоначальный[[#This Row],[Просроченный платеж по процентам]]</f>
        <v>14471.700655737704</v>
      </c>
      <c r="S227" s="120">
        <f ca="1">IF(Первоначальный[[#This Row],[Просроченный платеж]]&lt;1,0,S226+1)</f>
        <v>123</v>
      </c>
      <c r="T227" s="100" cm="1">
        <f t="array" aca="1" ref="T227" ca="1">IF(Первоначальный[[#This Row],[Итого остаток на начало периода]]&lt;1,0,
IF(
AND(TYPE(VLOOKUP(1,$Z$12:Z227,1,0))=16,Первоначальный[[#This Row],[Досрочное погашение (да/"")]]=""),0,
_xlfn.IFS(AND(S226=0,Первоначальный[[#This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платеж]]&lt;&gt;0),MIN(LOOKUP(,-1/($Z$12:Z227=1),$C$12:C227)+LOOKUP(,-1/($Z$12:Z227=1),$H$12:H227),Первоначальный[[#This Row],[Полученный платеж]]+Y226),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платеж]]+Y226,SUM(Первоначальный[[#This Row],[Остаток процентов на начало периода]],Первоначальный[[#This Row],[Проценты за период]])),
AND(S226=0,Первоначальный[[#This Row],[Дата платежа из графика]]=""),0,
AND(S226=0,Первоначальный[[#This Row],[Дата платежа из графика]]=1,MAX((0&lt;&gt;S$12:S226)*ROW(S$12:S226),ROW($S$12))&gt;=MAX((1=Z$12:Z226)*ROW(Z$12:Z226),ROW($T$12)),TYPE(VLOOKUP("Да",(INDIRECT("AA"&amp;(MAX((1=Z$12:Z226)*ROW(Z$12:Z226),ROW($T$12))&amp;":AA"&amp;(ROW()-1)))),1,0))=16),MIN(LOOKUP(,-1/($Z$12:Z227=1),$C$12:C227)+LOOKUP(,-1/($Z$12:Z227=1),$H$12:H227),Первоначальный[[#This Row],[Полученный платеж]]+Y226),
AND(S226=0,TYPE(VLOOKUP("Да",(INDIRECT("AA"&amp;(MAX((1=Z$12:Z226)*ROW(Z$12:Z226),ROW($T$12))&amp;":AA"&amp;(ROW()-1)))),1,0))&lt;&gt;16),MIN(LOOKUP(,-1/($Z$12:Z227=1),$C$12:C227)+LOOKUP(,-1/($Z$12:Z227=1),$H$12:H227)-IF(AA226="Да",0,SUM(INDIRECT("T"&amp;(MAX(("Да"=AA$12:AA226)*ROW(AA$12:AA226)+1,ROW($T$12))&amp;":T"&amp;(ROW()-1))))),Первоначальный[[#This Row],[Полученный платеж]]+Y226),
AND(S226=0,MAX((0&lt;&gt;N$12:N226)*ROW(N$12:N226),ROW($S$12))&gt;=MAX((1=Z$12:Z226)*ROW(Z$12:Z226),ROW($T$12))),MIN(LOOKUP(,-1/($Z$12:Z227=1),$C$12:C227)+LOOKUP(,-1/($Z$12:Z227=1),$H$12:H227)-IF(N226&lt;&gt;0,0,SUM(INDIRECT("T"&amp;(MAX((0&lt;&gt;N$12:N226)*ROW(N$12:N226)+1,ROW($T$12))&amp;":T"&amp;(ROW()-1))))),Первоначальный[[#This Row],[Полученный платеж]]+Y226),
AND(S226=0,Первоначальный[[#This Row],[Дата платежа из графика]]=1),MIN(LOOKUP(,-1/($Z$12:Z227=1),$C$12:C227)+LOOKUP(,-1/($Z$12:Z227=1),$H$12:H227)-IF(Z226=1,0,SUM(INDIRECT("T"&amp;(MAX((1=Z$12:Z226)*ROW(Z$12:Z226)+1,ROW($T$12))&amp;":T"&amp;(ROW()-1))))),Первоначальный[[#This Row],[Полученный платеж]]+Y226),
AND(Z226&gt;0,Первоначальный[[#This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платеж]]+Y226),
AND(S226&gt;0,MAX((0&lt;&gt;S$12:S226)*ROW(S$12:S226),ROW($S$12))&gt;=MAX((1=Z$12:Z226)*ROW(Z$12:Z226),ROW($T$12)),TYPE(VLOOKUP("Да",(INDIRECT("AA"&amp;(MAX((1=Z$12:Z226)*ROW(Z$12:Z226),ROW($T$12))&amp;":AA"&amp;(ROW()-1)))),1,0))=16),MIN(LOOKUP(,-1/($Z$12:Z227=1),$C$12:C227)+LOOKUP(,-1/($Z$12:Z227=1),$H$12:H227)-SUM(INDIRECT("T"&amp;(MAX((1=Z$12:Z226)*ROW(Z$12:Z226),ROW($T$12))&amp;":T"&amp;(ROW()-1)))),Первоначальный[[#This Row],[Полученный платеж]]+Y226),
S226&gt;0,MIN(LOOKUP(,-1/($Z$12:Z227=1),$C$12:C227)+LOOKUP(,-1/($Z$12:Z227=1),$H$12:H227)-IF(Z226=1,0,SUM(INDIRECT("T"&amp;(MAX((1=Z$12:Z226)*ROW(Z$12:Z226)+1,ROW($T$12))&amp;":T"&amp;(ROW()-1))))),Первоначальный[[#This Row],[Полученный платеж]]+Y226)
)
)
)</f>
        <v>0</v>
      </c>
      <c r="U22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платеж]]+Y226-Первоначальный[[#This Row],[Полученный платёж по процентам]])</f>
        <v>0</v>
      </c>
      <c r="V227" s="55">
        <f t="shared" ca="1" si="37"/>
        <v>0</v>
      </c>
      <c r="W227" s="55" cm="1">
        <f t="array" aca="1" ref="W227" ca="1">IF(Первоначальный[[#This Row],[Итого остаток на начало периода]]&lt;1,0,
_xlfn.IFS(
AND(TYPE(VLOOKUP(1,$Z$12:Z227,1,0))=16,Первоначальный[[#This Row],[Досрочное погашение (да/"")]]=""),0,
AND(S226=0,Первоначальный[[#This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платеж]]+Y226-SUM(Первоначальный[[#This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комиссиям]]),VLOOKUP(LOOKUP(,-1/($Z$12:Z227=1),$A$12:A227),График[[Срок конец]:[Возврат основной суммы долга]],3,0)),
AND(S226=0,Первоначальный[[#This Row],[Дата платежа из графика]]="",Первоначальный[[#This Row],[Досрочное погашение (да/"")]]&lt;&gt;"Да"),0,
AND(S226=0,Первоначальный[[#This Row],[Досрочное погашение (да/"")]]=""),MIN(Первоначальный[[#This Row],[Полученный платеж]]+Y226-SUM(Первоначальный[[#This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комиссиям]]),VLOOKUP(LOOKUP(,-1/($Z$12:Z227=1),$A$12:A227),График[[Срок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платеж]]+Y226-SUM(Первоначальный[[#This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S226&gt;0,MIN(Первоначальный[[#This Row],[Полученный платеж]]+Y226-SUM(Первоначальный[[#This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комиссиям]]),SUM(INDIRECT("M"&amp;(MAX((1=S$12:S226)*ROW(S$12:S226),ROW($W$12))&amp;":M"&amp;(ROW()))))-SUM(INDIRECT("W"&amp;(MAX((1=S$12:S226)*ROW(S$12:S226),ROW($W$12))&amp;":W"&amp;(ROW()-1)))))
)
)</f>
        <v>0</v>
      </c>
      <c r="X227" s="55">
        <f t="shared" ca="1" si="38"/>
        <v>0</v>
      </c>
      <c r="Y227" s="101">
        <f t="shared" ca="1" si="45"/>
        <v>0</v>
      </c>
      <c r="Z227" s="133" t="str">
        <f>IF(TYPE((VLOOKUP(Первоначальный[[#This Row],[Дата платежа]],График[Срок конец],1,0)))=16,"",1)</f>
        <v/>
      </c>
      <c r="AA227" s="57"/>
      <c r="AB227" s="134"/>
      <c r="AC22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2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12390.889999999998</v>
      </c>
      <c r="AE22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78.029999999999973</v>
      </c>
      <c r="AF22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2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4598.0509032786867</v>
      </c>
      <c r="AH227" s="55"/>
      <c r="AI227" s="55"/>
      <c r="AJ227" s="55"/>
      <c r="AK227" s="101">
        <f t="shared" ca="1" si="46"/>
        <v>166700.31090327867</v>
      </c>
      <c r="AL227" s="129">
        <f t="array" ref="AL227">MAX((УслРестрактов[Характеристика]="Дата реструктуризации")*(УслРестрактов[Значение]=Первоначальный!$A227),0)</f>
        <v>0</v>
      </c>
    </row>
    <row r="228" spans="1:38" x14ac:dyDescent="0.25">
      <c r="A228" s="97">
        <f t="shared" si="39"/>
        <v>44359</v>
      </c>
      <c r="B228" s="100">
        <f t="shared" ca="1" si="40"/>
        <v>149633.34</v>
      </c>
      <c r="C228" s="55">
        <f t="shared" ca="1" si="48"/>
        <v>12390.889999999998</v>
      </c>
      <c r="D228" s="55">
        <f t="shared" ca="1" si="48"/>
        <v>78.029999999999973</v>
      </c>
      <c r="E228" s="55">
        <f t="shared" ca="1" si="41"/>
        <v>0</v>
      </c>
      <c r="F228" s="55">
        <f t="shared" ca="1" si="42"/>
        <v>4598.0509032786867</v>
      </c>
      <c r="G228" s="101">
        <f t="shared" ca="1" si="43"/>
        <v>166700.31090327867</v>
      </c>
      <c r="H228" s="100">
        <f ca="1">ROUND($B228*VLOOKUP($A228,$A$1:$B$10,2,1)/(365+IF(MOD(YEAR($A228),4),0,1)*($A228-$A227)),2)-Первоначальный[[#This Row],[Проценты на просроченный платеж по ОД за период]]</f>
        <v>80.36</v>
      </c>
      <c r="I228" s="55">
        <f t="shared" ca="1" si="44"/>
        <v>1.22</v>
      </c>
      <c r="J228" s="55">
        <v>0</v>
      </c>
      <c r="K228" s="55">
        <f t="shared" ca="1" si="47"/>
        <v>72.358503278688531</v>
      </c>
      <c r="L228" s="55">
        <v>0</v>
      </c>
      <c r="M228" s="113">
        <f>SUMIFS(График[Возврат основной суммы долга],График[Дата с учетом нерабочих дней],$A228)</f>
        <v>0</v>
      </c>
      <c r="N228" s="56">
        <f>SUMIFS(График[Возврат начисленных %],График[Дата с учетом нерабочих дней],$A228)</f>
        <v>0</v>
      </c>
      <c r="O228" s="101">
        <v>0</v>
      </c>
      <c r="P228" s="100" cm="1">
        <f t="array" aca="1" ref="P228" ca="1">MAX(IF(AA227="Да",0,SUM(INDIRECT("M"&amp;(MAX(("Да"=AA$12:AA227)*ROW(AA$12:AA227)+1,ROW($P$12))&amp;":M"&amp;(ROW()))))-SUM(INDIRECT("W"&amp;(MAX(("Да"=AA$12:AA227)*ROW(AA$12:AA227)+1,ROW($P$12))&amp;":W"&amp;(ROW()))))),0)</f>
        <v>2242.1899999999991</v>
      </c>
      <c r="Q228" s="99">
        <f ca="1">MAX(SUM($N$13:N228)-SUM($T$13:T228),0)</f>
        <v>12229.510655737706</v>
      </c>
      <c r="R228" s="99">
        <f ca="1">Первоначальный[[#This Row],[Просроченный платеж по ОД]]+Первоначальный[[#This Row],[Просроченный платеж по процентам]]</f>
        <v>14471.700655737704</v>
      </c>
      <c r="S228" s="120">
        <f ca="1">IF(Первоначальный[[#This Row],[Просроченный платеж]]&lt;1,0,S227+1)</f>
        <v>124</v>
      </c>
      <c r="T228" s="100" cm="1">
        <f t="array" aca="1" ref="T228" ca="1">IF(Первоначальный[[#This Row],[Итого остаток на начало периода]]&lt;1,0,
IF(
AND(TYPE(VLOOKUP(1,$Z$12:Z228,1,0))=16,Первоначальный[[#This Row],[Досрочное погашение (да/"")]]=""),0,
_xlfn.IFS(AND(S227=0,Первоначальный[[#This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платеж]]&lt;&gt;0),MIN(LOOKUP(,-1/($Z$12:Z228=1),$C$12:C228)+LOOKUP(,-1/($Z$12:Z228=1),$H$12:H228),Первоначальный[[#This Row],[Полученный платеж]]+Y227),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платеж]]+Y227,SUM(Первоначальный[[#This Row],[Остаток процентов на начало периода]],Первоначальный[[#This Row],[Проценты за период]])),
AND(S227=0,Первоначальный[[#This Row],[Дата платежа из графика]]=""),0,
AND(S227=0,Первоначальный[[#This Row],[Дата платежа из графика]]=1,MAX((0&lt;&gt;S$12:S227)*ROW(S$12:S227),ROW($S$12))&gt;=MAX((1=Z$12:Z227)*ROW(Z$12:Z227),ROW($T$12)),TYPE(VLOOKUP("Да",(INDIRECT("AA"&amp;(MAX((1=Z$12:Z227)*ROW(Z$12:Z227),ROW($T$12))&amp;":AA"&amp;(ROW()-1)))),1,0))=16),MIN(LOOKUP(,-1/($Z$12:Z228=1),$C$12:C228)+LOOKUP(,-1/($Z$12:Z228=1),$H$12:H228),Первоначальный[[#This Row],[Полученный платеж]]+Y227),
AND(S227=0,TYPE(VLOOKUP("Да",(INDIRECT("AA"&amp;(MAX((1=Z$12:Z227)*ROW(Z$12:Z227),ROW($T$12))&amp;":AA"&amp;(ROW()-1)))),1,0))&lt;&gt;16),MIN(LOOKUP(,-1/($Z$12:Z228=1),$C$12:C228)+LOOKUP(,-1/($Z$12:Z228=1),$H$12:H228)-IF(AA227="Да",0,SUM(INDIRECT("T"&amp;(MAX(("Да"=AA$12:AA227)*ROW(AA$12:AA227)+1,ROW($T$12))&amp;":T"&amp;(ROW()-1))))),Первоначальный[[#This Row],[Полученный платеж]]+Y227),
AND(S227=0,MAX((0&lt;&gt;N$12:N227)*ROW(N$12:N227),ROW($S$12))&gt;=MAX((1=Z$12:Z227)*ROW(Z$12:Z227),ROW($T$12))),MIN(LOOKUP(,-1/($Z$12:Z228=1),$C$12:C228)+LOOKUP(,-1/($Z$12:Z228=1),$H$12:H228)-IF(N227&lt;&gt;0,0,SUM(INDIRECT("T"&amp;(MAX((0&lt;&gt;N$12:N227)*ROW(N$12:N227)+1,ROW($T$12))&amp;":T"&amp;(ROW()-1))))),Первоначальный[[#This Row],[Полученный платеж]]+Y227),
AND(S227=0,Первоначальный[[#This Row],[Дата платежа из графика]]=1),MIN(LOOKUP(,-1/($Z$12:Z228=1),$C$12:C228)+LOOKUP(,-1/($Z$12:Z228=1),$H$12:H228)-IF(Z227=1,0,SUM(INDIRECT("T"&amp;(MAX((1=Z$12:Z227)*ROW(Z$12:Z227)+1,ROW($T$12))&amp;":T"&amp;(ROW()-1))))),Первоначальный[[#This Row],[Полученный платеж]]+Y227),
AND(Z227&gt;0,Первоначальный[[#This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платеж]]+Y227),
AND(S227&gt;0,MAX((0&lt;&gt;S$12:S227)*ROW(S$12:S227),ROW($S$12))&gt;=MAX((1=Z$12:Z227)*ROW(Z$12:Z227),ROW($T$12)),TYPE(VLOOKUP("Да",(INDIRECT("AA"&amp;(MAX((1=Z$12:Z227)*ROW(Z$12:Z227),ROW($T$12))&amp;":AA"&amp;(ROW()-1)))),1,0))=16),MIN(LOOKUP(,-1/($Z$12:Z228=1),$C$12:C228)+LOOKUP(,-1/($Z$12:Z228=1),$H$12:H228)-SUM(INDIRECT("T"&amp;(MAX((1=Z$12:Z227)*ROW(Z$12:Z227),ROW($T$12))&amp;":T"&amp;(ROW()-1)))),Первоначальный[[#This Row],[Полученный платеж]]+Y227),
S227&gt;0,MIN(LOOKUP(,-1/($Z$12:Z228=1),$C$12:C228)+LOOKUP(,-1/($Z$12:Z228=1),$H$12:H228)-IF(Z227=1,0,SUM(INDIRECT("T"&amp;(MAX((1=Z$12:Z227)*ROW(Z$12:Z227)+1,ROW($T$12))&amp;":T"&amp;(ROW()-1))))),Первоначальный[[#This Row],[Полученный платеж]]+Y227)
)
)
)</f>
        <v>0</v>
      </c>
      <c r="U22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платеж]]+Y227-Первоначальный[[#This Row],[Полученный платёж по процентам]])</f>
        <v>0</v>
      </c>
      <c r="V228" s="55">
        <f t="shared" ca="1" si="37"/>
        <v>0</v>
      </c>
      <c r="W228" s="55" cm="1">
        <f t="array" aca="1" ref="W228" ca="1">IF(Первоначальный[[#This Row],[Итого остаток на начало периода]]&lt;1,0,
_xlfn.IFS(
AND(TYPE(VLOOKUP(1,$Z$12:Z228,1,0))=16,Первоначальный[[#This Row],[Досрочное погашение (да/"")]]=""),0,
AND(S227=0,Первоначальный[[#This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платеж]]+Y227-SUM(Первоначальный[[#This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комиссиям]]),VLOOKUP(LOOKUP(,-1/($Z$12:Z228=1),$A$12:A228),График[[Срок конец]:[Возврат основной суммы долга]],3,0)),
AND(S227=0,Первоначальный[[#This Row],[Дата платежа из графика]]="",Первоначальный[[#This Row],[Досрочное погашение (да/"")]]&lt;&gt;"Да"),0,
AND(S227=0,Первоначальный[[#This Row],[Досрочное погашение (да/"")]]=""),MIN(Первоначальный[[#This Row],[Полученный платеж]]+Y227-SUM(Первоначальный[[#This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комиссиям]]),VLOOKUP(LOOKUP(,-1/($Z$12:Z228=1),$A$12:A228),График[[Срок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платеж]]+Y227-SUM(Первоначальный[[#This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S227&gt;0,MIN(Первоначальный[[#This Row],[Полученный платеж]]+Y227-SUM(Первоначальный[[#This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комиссиям]]),SUM(INDIRECT("M"&amp;(MAX((1=S$12:S227)*ROW(S$12:S227),ROW($W$12))&amp;":M"&amp;(ROW()))))-SUM(INDIRECT("W"&amp;(MAX((1=S$12:S227)*ROW(S$12:S227),ROW($W$12))&amp;":W"&amp;(ROW()-1)))))
)
)</f>
        <v>0</v>
      </c>
      <c r="X228" s="55">
        <f t="shared" ca="1" si="38"/>
        <v>0</v>
      </c>
      <c r="Y228" s="101">
        <f t="shared" ca="1" si="45"/>
        <v>0</v>
      </c>
      <c r="Z228" s="133" t="str">
        <f>IF(TYPE((VLOOKUP(Первоначальный[[#This Row],[Дата платежа]],График[Срок конец],1,0)))=16,"",1)</f>
        <v/>
      </c>
      <c r="AA228" s="57"/>
      <c r="AB228" s="134"/>
      <c r="AC22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2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12471.249999999998</v>
      </c>
      <c r="AE22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79.249999999999972</v>
      </c>
      <c r="AF22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2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4670.4094065573754</v>
      </c>
      <c r="AH228" s="55"/>
      <c r="AI228" s="55"/>
      <c r="AJ228" s="55"/>
      <c r="AK228" s="101">
        <f t="shared" ca="1" si="46"/>
        <v>166854.24940655738</v>
      </c>
      <c r="AL228" s="129">
        <f t="array" ref="AL228">MAX((УслРестрактов[Характеристика]="Дата реструктуризации")*(УслРестрактов[Значение]=Первоначальный!$A228),0)</f>
        <v>0</v>
      </c>
    </row>
    <row r="229" spans="1:38" x14ac:dyDescent="0.25">
      <c r="A229" s="97">
        <f t="shared" si="39"/>
        <v>44360</v>
      </c>
      <c r="B229" s="100">
        <f t="shared" ca="1" si="40"/>
        <v>149633.34</v>
      </c>
      <c r="C229" s="55">
        <f t="shared" ca="1" si="48"/>
        <v>12471.249999999998</v>
      </c>
      <c r="D229" s="55">
        <f t="shared" ca="1" si="48"/>
        <v>79.249999999999972</v>
      </c>
      <c r="E229" s="55">
        <f t="shared" ca="1" si="41"/>
        <v>0</v>
      </c>
      <c r="F229" s="55">
        <f t="shared" ca="1" si="42"/>
        <v>4670.4094065573754</v>
      </c>
      <c r="G229" s="101">
        <f t="shared" ca="1" si="43"/>
        <v>166854.24940655738</v>
      </c>
      <c r="H229" s="100">
        <f ca="1">ROUND($B229*VLOOKUP($A229,$A$1:$B$10,2,1)/(365+IF(MOD(YEAR($A229),4),0,1)*($A229-$A228)),2)-Первоначальный[[#This Row],[Проценты на просроченный платеж по ОД за период]]</f>
        <v>80.36</v>
      </c>
      <c r="I229" s="55">
        <f t="shared" ca="1" si="44"/>
        <v>1.22</v>
      </c>
      <c r="J229" s="55">
        <v>0</v>
      </c>
      <c r="K229" s="55">
        <f t="shared" ca="1" si="47"/>
        <v>72.358503278688531</v>
      </c>
      <c r="L229" s="55">
        <v>0</v>
      </c>
      <c r="M229" s="113">
        <f>SUMIFS(График[Возврат основной суммы долга],График[Дата с учетом нерабочих дней],$A229)</f>
        <v>0</v>
      </c>
      <c r="N229" s="56">
        <f>SUMIFS(График[Возврат начисленных %],График[Дата с учетом нерабочих дней],$A229)</f>
        <v>0</v>
      </c>
      <c r="O229" s="101">
        <v>0</v>
      </c>
      <c r="P229" s="100" cm="1">
        <f t="array" aca="1" ref="P229" ca="1">MAX(IF(AA228="Да",0,SUM(INDIRECT("M"&amp;(MAX(("Да"=AA$12:AA228)*ROW(AA$12:AA228)+1,ROW($P$12))&amp;":M"&amp;(ROW()))))-SUM(INDIRECT("W"&amp;(MAX(("Да"=AA$12:AA228)*ROW(AA$12:AA228)+1,ROW($P$12))&amp;":W"&amp;(ROW()))))),0)</f>
        <v>2242.1899999999991</v>
      </c>
      <c r="Q229" s="99">
        <f ca="1">MAX(SUM($N$13:N229)-SUM($T$13:T229),0)</f>
        <v>12229.510655737706</v>
      </c>
      <c r="R229" s="99">
        <f ca="1">Первоначальный[[#This Row],[Просроченный платеж по ОД]]+Первоначальный[[#This Row],[Просроченный платеж по процентам]]</f>
        <v>14471.700655737704</v>
      </c>
      <c r="S229" s="120">
        <f ca="1">IF(Первоначальный[[#This Row],[Просроченный платеж]]&lt;1,0,S228+1)</f>
        <v>125</v>
      </c>
      <c r="T229" s="100" cm="1">
        <f t="array" aca="1" ref="T229" ca="1">IF(Первоначальный[[#This Row],[Итого остаток на начало периода]]&lt;1,0,
IF(
AND(TYPE(VLOOKUP(1,$Z$12:Z229,1,0))=16,Первоначальный[[#This Row],[Досрочное погашение (да/"")]]=""),0,
_xlfn.IFS(AND(S228=0,Первоначальный[[#This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платеж]]&lt;&gt;0),MIN(LOOKUP(,-1/($Z$12:Z229=1),$C$12:C229)+LOOKUP(,-1/($Z$12:Z229=1),$H$12:H229),Первоначальный[[#This Row],[Полученный платеж]]+Y228),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платеж]]+Y228,SUM(Первоначальный[[#This Row],[Остаток процентов на начало периода]],Первоначальный[[#This Row],[Проценты за период]])),
AND(S228=0,Первоначальный[[#This Row],[Дата платежа из графика]]=""),0,
AND(S228=0,Первоначальный[[#This Row],[Дата платежа из графика]]=1,MAX((0&lt;&gt;S$12:S228)*ROW(S$12:S228),ROW($S$12))&gt;=MAX((1=Z$12:Z228)*ROW(Z$12:Z228),ROW($T$12)),TYPE(VLOOKUP("Да",(INDIRECT("AA"&amp;(MAX((1=Z$12:Z228)*ROW(Z$12:Z228),ROW($T$12))&amp;":AA"&amp;(ROW()-1)))),1,0))=16),MIN(LOOKUP(,-1/($Z$12:Z229=1),$C$12:C229)+LOOKUP(,-1/($Z$12:Z229=1),$H$12:H229),Первоначальный[[#This Row],[Полученный платеж]]+Y228),
AND(S228=0,TYPE(VLOOKUP("Да",(INDIRECT("AA"&amp;(MAX((1=Z$12:Z228)*ROW(Z$12:Z228),ROW($T$12))&amp;":AA"&amp;(ROW()-1)))),1,0))&lt;&gt;16),MIN(LOOKUP(,-1/($Z$12:Z229=1),$C$12:C229)+LOOKUP(,-1/($Z$12:Z229=1),$H$12:H229)-IF(AA228="Да",0,SUM(INDIRECT("T"&amp;(MAX(("Да"=AA$12:AA228)*ROW(AA$12:AA228)+1,ROW($T$12))&amp;":T"&amp;(ROW()-1))))),Первоначальный[[#This Row],[Полученный платеж]]+Y228),
AND(S228=0,MAX((0&lt;&gt;N$12:N228)*ROW(N$12:N228),ROW($S$12))&gt;=MAX((1=Z$12:Z228)*ROW(Z$12:Z228),ROW($T$12))),MIN(LOOKUP(,-1/($Z$12:Z229=1),$C$12:C229)+LOOKUP(,-1/($Z$12:Z229=1),$H$12:H229)-IF(N228&lt;&gt;0,0,SUM(INDIRECT("T"&amp;(MAX((0&lt;&gt;N$12:N228)*ROW(N$12:N228)+1,ROW($T$12))&amp;":T"&amp;(ROW()-1))))),Первоначальный[[#This Row],[Полученный платеж]]+Y228),
AND(S228=0,Первоначальный[[#This Row],[Дата платежа из графика]]=1),MIN(LOOKUP(,-1/($Z$12:Z229=1),$C$12:C229)+LOOKUP(,-1/($Z$12:Z229=1),$H$12:H229)-IF(Z228=1,0,SUM(INDIRECT("T"&amp;(MAX((1=Z$12:Z228)*ROW(Z$12:Z228)+1,ROW($T$12))&amp;":T"&amp;(ROW()-1))))),Первоначальный[[#This Row],[Полученный платеж]]+Y228),
AND(Z228&gt;0,Первоначальный[[#This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платеж]]+Y228),
AND(S228&gt;0,MAX((0&lt;&gt;S$12:S228)*ROW(S$12:S228),ROW($S$12))&gt;=MAX((1=Z$12:Z228)*ROW(Z$12:Z228),ROW($T$12)),TYPE(VLOOKUP("Да",(INDIRECT("AA"&amp;(MAX((1=Z$12:Z228)*ROW(Z$12:Z228),ROW($T$12))&amp;":AA"&amp;(ROW()-1)))),1,0))=16),MIN(LOOKUP(,-1/($Z$12:Z229=1),$C$12:C229)+LOOKUP(,-1/($Z$12:Z229=1),$H$12:H229)-SUM(INDIRECT("T"&amp;(MAX((1=Z$12:Z228)*ROW(Z$12:Z228),ROW($T$12))&amp;":T"&amp;(ROW()-1)))),Первоначальный[[#This Row],[Полученный платеж]]+Y228),
S228&gt;0,MIN(LOOKUP(,-1/($Z$12:Z229=1),$C$12:C229)+LOOKUP(,-1/($Z$12:Z229=1),$H$12:H229)-IF(Z228=1,0,SUM(INDIRECT("T"&amp;(MAX((1=Z$12:Z228)*ROW(Z$12:Z228)+1,ROW($T$12))&amp;":T"&amp;(ROW()-1))))),Первоначальный[[#This Row],[Полученный платеж]]+Y228)
)
)
)</f>
        <v>0</v>
      </c>
      <c r="U22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платеж]]+Y228-Первоначальный[[#This Row],[Полученный платёж по процентам]])</f>
        <v>0</v>
      </c>
      <c r="V229" s="55">
        <f t="shared" ca="1" si="37"/>
        <v>0</v>
      </c>
      <c r="W229" s="55" cm="1">
        <f t="array" aca="1" ref="W229" ca="1">IF(Первоначальный[[#This Row],[Итого остаток на начало периода]]&lt;1,0,
_xlfn.IFS(
AND(TYPE(VLOOKUP(1,$Z$12:Z229,1,0))=16,Первоначальный[[#This Row],[Досрочное погашение (да/"")]]=""),0,
AND(S228=0,Первоначальный[[#This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платеж]]+Y228-SUM(Первоначальный[[#This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комиссиям]]),VLOOKUP(LOOKUP(,-1/($Z$12:Z229=1),$A$12:A229),График[[Срок конец]:[Возврат основной суммы долга]],3,0)),
AND(S228=0,Первоначальный[[#This Row],[Дата платежа из графика]]="",Первоначальный[[#This Row],[Досрочное погашение (да/"")]]&lt;&gt;"Да"),0,
AND(S228=0,Первоначальный[[#This Row],[Досрочное погашение (да/"")]]=""),MIN(Первоначальный[[#This Row],[Полученный платеж]]+Y228-SUM(Первоначальный[[#This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комиссиям]]),VLOOKUP(LOOKUP(,-1/($Z$12:Z229=1),$A$12:A229),График[[Срок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платеж]]+Y228-SUM(Первоначальный[[#This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S228&gt;0,MIN(Первоначальный[[#This Row],[Полученный платеж]]+Y228-SUM(Первоначальный[[#This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комиссиям]]),SUM(INDIRECT("M"&amp;(MAX((1=S$12:S228)*ROW(S$12:S228),ROW($W$12))&amp;":M"&amp;(ROW()))))-SUM(INDIRECT("W"&amp;(MAX((1=S$12:S228)*ROW(S$12:S228),ROW($W$12))&amp;":W"&amp;(ROW()-1)))))
)
)</f>
        <v>0</v>
      </c>
      <c r="X229" s="55">
        <f t="shared" ca="1" si="38"/>
        <v>0</v>
      </c>
      <c r="Y229" s="101">
        <f t="shared" ca="1" si="45"/>
        <v>0</v>
      </c>
      <c r="Z229" s="133" t="str">
        <f>IF(TYPE((VLOOKUP(Первоначальный[[#This Row],[Дата платежа]],График[Срок конец],1,0)))=16,"",1)</f>
        <v/>
      </c>
      <c r="AA229" s="57"/>
      <c r="AB229" s="134"/>
      <c r="AC22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2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12551.609999999999</v>
      </c>
      <c r="AE22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80.46999999999997</v>
      </c>
      <c r="AF22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2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4742.7679098360641</v>
      </c>
      <c r="AH229" s="55"/>
      <c r="AI229" s="55"/>
      <c r="AJ229" s="55"/>
      <c r="AK229" s="101">
        <f t="shared" ca="1" si="46"/>
        <v>167008.18790983604</v>
      </c>
      <c r="AL229" s="129">
        <f t="array" ref="AL229">MAX((УслРестрактов[Характеристика]="Дата реструктуризации")*(УслРестрактов[Значение]=Первоначальный!$A229),0)</f>
        <v>0</v>
      </c>
    </row>
    <row r="230" spans="1:38" x14ac:dyDescent="0.25">
      <c r="A230" s="97">
        <f t="shared" si="39"/>
        <v>44361</v>
      </c>
      <c r="B230" s="100">
        <f t="shared" ca="1" si="40"/>
        <v>149633.34</v>
      </c>
      <c r="C230" s="55">
        <f t="shared" ca="1" si="48"/>
        <v>12551.609999999999</v>
      </c>
      <c r="D230" s="55">
        <f t="shared" ca="1" si="48"/>
        <v>80.46999999999997</v>
      </c>
      <c r="E230" s="55">
        <f t="shared" ca="1" si="41"/>
        <v>0</v>
      </c>
      <c r="F230" s="55">
        <f t="shared" ca="1" si="42"/>
        <v>4742.7679098360641</v>
      </c>
      <c r="G230" s="101">
        <f t="shared" ca="1" si="43"/>
        <v>167008.18790983604</v>
      </c>
      <c r="H230" s="100">
        <f ca="1">ROUND($B230*VLOOKUP($A230,$A$1:$B$10,2,1)/(365+IF(MOD(YEAR($A230),4),0,1)*($A230-$A229)),2)-Первоначальный[[#This Row],[Проценты на просроченный платеж по ОД за период]]</f>
        <v>80.36</v>
      </c>
      <c r="I230" s="55">
        <f t="shared" ca="1" si="44"/>
        <v>1.22</v>
      </c>
      <c r="J230" s="55">
        <v>0</v>
      </c>
      <c r="K230" s="55">
        <f t="shared" ca="1" si="47"/>
        <v>72.358503278688531</v>
      </c>
      <c r="L230" s="55">
        <v>0</v>
      </c>
      <c r="M230" s="113">
        <f>SUMIFS(График[Возврат основной суммы долга],График[Дата с учетом нерабочих дней],$A230)</f>
        <v>0</v>
      </c>
      <c r="N230" s="56">
        <f>SUMIFS(График[Возврат начисленных %],График[Дата с учетом нерабочих дней],$A230)</f>
        <v>0</v>
      </c>
      <c r="O230" s="101">
        <v>0</v>
      </c>
      <c r="P230" s="100" cm="1">
        <f t="array" aca="1" ref="P230" ca="1">MAX(IF(AA229="Да",0,SUM(INDIRECT("M"&amp;(MAX(("Да"=AA$12:AA229)*ROW(AA$12:AA229)+1,ROW($P$12))&amp;":M"&amp;(ROW()))))-SUM(INDIRECT("W"&amp;(MAX(("Да"=AA$12:AA229)*ROW(AA$12:AA229)+1,ROW($P$12))&amp;":W"&amp;(ROW()))))),0)</f>
        <v>2242.1899999999991</v>
      </c>
      <c r="Q230" s="99">
        <f ca="1">MAX(SUM($N$13:N230)-SUM($T$13:T230),0)</f>
        <v>12229.510655737706</v>
      </c>
      <c r="R230" s="99">
        <f ca="1">Первоначальный[[#This Row],[Просроченный платеж по ОД]]+Первоначальный[[#This Row],[Просроченный платеж по процентам]]</f>
        <v>14471.700655737704</v>
      </c>
      <c r="S230" s="120">
        <f ca="1">IF(Первоначальный[[#This Row],[Просроченный платеж]]&lt;1,0,S229+1)</f>
        <v>126</v>
      </c>
      <c r="T230" s="100" cm="1">
        <f t="array" aca="1" ref="T230" ca="1">IF(Первоначальный[[#This Row],[Итого остаток на начало периода]]&lt;1,0,
IF(
AND(TYPE(VLOOKUP(1,$Z$12:Z230,1,0))=16,Первоначальный[[#This Row],[Досрочное погашение (да/"")]]=""),0,
_xlfn.IFS(AND(S229=0,Первоначальный[[#This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платеж]]&lt;&gt;0),MIN(LOOKUP(,-1/($Z$12:Z230=1),$C$12:C230)+LOOKUP(,-1/($Z$12:Z230=1),$H$12:H230),Первоначальный[[#This Row],[Полученный платеж]]+Y229),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платеж]]+Y229,SUM(Первоначальный[[#This Row],[Остаток процентов на начало периода]],Первоначальный[[#This Row],[Проценты за период]])),
AND(S229=0,Первоначальный[[#This Row],[Дата платежа из графика]]=""),0,
AND(S229=0,Первоначальный[[#This Row],[Дата платежа из графика]]=1,MAX((0&lt;&gt;S$12:S229)*ROW(S$12:S229),ROW($S$12))&gt;=MAX((1=Z$12:Z229)*ROW(Z$12:Z229),ROW($T$12)),TYPE(VLOOKUP("Да",(INDIRECT("AA"&amp;(MAX((1=Z$12:Z229)*ROW(Z$12:Z229),ROW($T$12))&amp;":AA"&amp;(ROW()-1)))),1,0))=16),MIN(LOOKUP(,-1/($Z$12:Z230=1),$C$12:C230)+LOOKUP(,-1/($Z$12:Z230=1),$H$12:H230),Первоначальный[[#This Row],[Полученный платеж]]+Y229),
AND(S229=0,TYPE(VLOOKUP("Да",(INDIRECT("AA"&amp;(MAX((1=Z$12:Z229)*ROW(Z$12:Z229),ROW($T$12))&amp;":AA"&amp;(ROW()-1)))),1,0))&lt;&gt;16),MIN(LOOKUP(,-1/($Z$12:Z230=1),$C$12:C230)+LOOKUP(,-1/($Z$12:Z230=1),$H$12:H230)-IF(AA229="Да",0,SUM(INDIRECT("T"&amp;(MAX(("Да"=AA$12:AA229)*ROW(AA$12:AA229)+1,ROW($T$12))&amp;":T"&amp;(ROW()-1))))),Первоначальный[[#This Row],[Полученный платеж]]+Y229),
AND(S229=0,MAX((0&lt;&gt;N$12:N229)*ROW(N$12:N229),ROW($S$12))&gt;=MAX((1=Z$12:Z229)*ROW(Z$12:Z229),ROW($T$12))),MIN(LOOKUP(,-1/($Z$12:Z230=1),$C$12:C230)+LOOKUP(,-1/($Z$12:Z230=1),$H$12:H230)-IF(N229&lt;&gt;0,0,SUM(INDIRECT("T"&amp;(MAX((0&lt;&gt;N$12:N229)*ROW(N$12:N229)+1,ROW($T$12))&amp;":T"&amp;(ROW()-1))))),Первоначальный[[#This Row],[Полученный платеж]]+Y229),
AND(S229=0,Первоначальный[[#This Row],[Дата платежа из графика]]=1),MIN(LOOKUP(,-1/($Z$12:Z230=1),$C$12:C230)+LOOKUP(,-1/($Z$12:Z230=1),$H$12:H230)-IF(Z229=1,0,SUM(INDIRECT("T"&amp;(MAX((1=Z$12:Z229)*ROW(Z$12:Z229)+1,ROW($T$12))&amp;":T"&amp;(ROW()-1))))),Первоначальный[[#This Row],[Полученный платеж]]+Y229),
AND(Z229&gt;0,Первоначальный[[#This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платеж]]+Y229),
AND(S229&gt;0,MAX((0&lt;&gt;S$12:S229)*ROW(S$12:S229),ROW($S$12))&gt;=MAX((1=Z$12:Z229)*ROW(Z$12:Z229),ROW($T$12)),TYPE(VLOOKUP("Да",(INDIRECT("AA"&amp;(MAX((1=Z$12:Z229)*ROW(Z$12:Z229),ROW($T$12))&amp;":AA"&amp;(ROW()-1)))),1,0))=16),MIN(LOOKUP(,-1/($Z$12:Z230=1),$C$12:C230)+LOOKUP(,-1/($Z$12:Z230=1),$H$12:H230)-SUM(INDIRECT("T"&amp;(MAX((1=Z$12:Z229)*ROW(Z$12:Z229),ROW($T$12))&amp;":T"&amp;(ROW()-1)))),Первоначальный[[#This Row],[Полученный платеж]]+Y229),
S229&gt;0,MIN(LOOKUP(,-1/($Z$12:Z230=1),$C$12:C230)+LOOKUP(,-1/($Z$12:Z230=1),$H$12:H230)-IF(Z229=1,0,SUM(INDIRECT("T"&amp;(MAX((1=Z$12:Z229)*ROW(Z$12:Z229)+1,ROW($T$12))&amp;":T"&amp;(ROW()-1))))),Первоначальный[[#This Row],[Полученный платеж]]+Y229)
)
)
)</f>
        <v>0</v>
      </c>
      <c r="U23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платеж]]+Y229-Первоначальный[[#This Row],[Полученный платёж по процентам]])</f>
        <v>0</v>
      </c>
      <c r="V230" s="55">
        <f t="shared" ca="1" si="37"/>
        <v>0</v>
      </c>
      <c r="W230" s="55" cm="1">
        <f t="array" aca="1" ref="W230" ca="1">IF(Первоначальный[[#This Row],[Итого остаток на начало периода]]&lt;1,0,
_xlfn.IFS(
AND(TYPE(VLOOKUP(1,$Z$12:Z230,1,0))=16,Первоначальный[[#This Row],[Досрочное погашение (да/"")]]=""),0,
AND(S229=0,Первоначальный[[#This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платеж]]+Y229-SUM(Первоначальный[[#This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комиссиям]]),VLOOKUP(LOOKUP(,-1/($Z$12:Z230=1),$A$12:A230),График[[Срок конец]:[Возврат основной суммы долга]],3,0)),
AND(S229=0,Первоначальный[[#This Row],[Дата платежа из графика]]="",Первоначальный[[#This Row],[Досрочное погашение (да/"")]]&lt;&gt;"Да"),0,
AND(S229=0,Первоначальный[[#This Row],[Досрочное погашение (да/"")]]=""),MIN(Первоначальный[[#This Row],[Полученный платеж]]+Y229-SUM(Первоначальный[[#This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комиссиям]]),VLOOKUP(LOOKUP(,-1/($Z$12:Z230=1),$A$12:A230),График[[Срок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платеж]]+Y229-SUM(Первоначальный[[#This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S229&gt;0,MIN(Первоначальный[[#This Row],[Полученный платеж]]+Y229-SUM(Первоначальный[[#This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комиссиям]]),SUM(INDIRECT("M"&amp;(MAX((1=S$12:S229)*ROW(S$12:S229),ROW($W$12))&amp;":M"&amp;(ROW()))))-SUM(INDIRECT("W"&amp;(MAX((1=S$12:S229)*ROW(S$12:S229),ROW($W$12))&amp;":W"&amp;(ROW()-1)))))
)
)</f>
        <v>0</v>
      </c>
      <c r="X230" s="55">
        <f t="shared" ca="1" si="38"/>
        <v>0</v>
      </c>
      <c r="Y230" s="101">
        <f t="shared" ca="1" si="45"/>
        <v>0</v>
      </c>
      <c r="Z230" s="133" t="str">
        <f>IF(TYPE((VLOOKUP(Первоначальный[[#This Row],[Дата платежа]],График[Срок конец],1,0)))=16,"",1)</f>
        <v/>
      </c>
      <c r="AA230" s="57"/>
      <c r="AB230" s="134"/>
      <c r="AC23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3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12631.97</v>
      </c>
      <c r="AE23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81.689999999999969</v>
      </c>
      <c r="AF23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3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4815.1264131147527</v>
      </c>
      <c r="AH230" s="55"/>
      <c r="AI230" s="55"/>
      <c r="AJ230" s="55"/>
      <c r="AK230" s="101">
        <f t="shared" ca="1" si="46"/>
        <v>167162.12641311475</v>
      </c>
      <c r="AL230" s="129">
        <f t="array" ref="AL230">MAX((УслРестрактов[Характеристика]="Дата реструктуризации")*(УслРестрактов[Значение]=Первоначальный!$A230),0)</f>
        <v>0</v>
      </c>
    </row>
    <row r="231" spans="1:38" x14ac:dyDescent="0.25">
      <c r="A231" s="97">
        <f t="shared" si="39"/>
        <v>44362</v>
      </c>
      <c r="B231" s="100">
        <f t="shared" ca="1" si="40"/>
        <v>149633.34</v>
      </c>
      <c r="C231" s="55">
        <f t="shared" ca="1" si="48"/>
        <v>12631.97</v>
      </c>
      <c r="D231" s="55">
        <f t="shared" ca="1" si="48"/>
        <v>81.689999999999969</v>
      </c>
      <c r="E231" s="55">
        <f t="shared" ca="1" si="41"/>
        <v>0</v>
      </c>
      <c r="F231" s="55">
        <f t="shared" ca="1" si="42"/>
        <v>4815.1264131147527</v>
      </c>
      <c r="G231" s="101">
        <f t="shared" ca="1" si="43"/>
        <v>167162.12641311475</v>
      </c>
      <c r="H231" s="100">
        <f ca="1">ROUND($B231*VLOOKUP($A231,$A$1:$B$10,2,1)/(365+IF(MOD(YEAR($A231),4),0,1)*($A231-$A230)),2)-Первоначальный[[#This Row],[Проценты на просроченный платеж по ОД за период]]</f>
        <v>80.36</v>
      </c>
      <c r="I231" s="55">
        <f t="shared" ca="1" si="44"/>
        <v>1.22</v>
      </c>
      <c r="J231" s="55">
        <v>0</v>
      </c>
      <c r="K231" s="55">
        <f t="shared" ca="1" si="47"/>
        <v>72.358503278688531</v>
      </c>
      <c r="L231" s="55">
        <v>0</v>
      </c>
      <c r="M231" s="113">
        <f>SUMIFS(График[Возврат основной суммы долга],График[Дата с учетом нерабочих дней],$A231)</f>
        <v>0</v>
      </c>
      <c r="N231" s="56">
        <f>SUMIFS(График[Возврат начисленных %],График[Дата с учетом нерабочих дней],$A231)</f>
        <v>0</v>
      </c>
      <c r="O231" s="101">
        <v>0</v>
      </c>
      <c r="P231" s="100" cm="1">
        <f t="array" aca="1" ref="P231" ca="1">MAX(IF(AA230="Да",0,SUM(INDIRECT("M"&amp;(MAX(("Да"=AA$12:AA230)*ROW(AA$12:AA230)+1,ROW($P$12))&amp;":M"&amp;(ROW()))))-SUM(INDIRECT("W"&amp;(MAX(("Да"=AA$12:AA230)*ROW(AA$12:AA230)+1,ROW($P$12))&amp;":W"&amp;(ROW()))))),0)</f>
        <v>2242.1899999999991</v>
      </c>
      <c r="Q231" s="99">
        <f ca="1">MAX(SUM($N$13:N231)-SUM($T$13:T231),0)</f>
        <v>12229.510655737706</v>
      </c>
      <c r="R231" s="99">
        <f ca="1">Первоначальный[[#This Row],[Просроченный платеж по ОД]]+Первоначальный[[#This Row],[Просроченный платеж по процентам]]</f>
        <v>14471.700655737704</v>
      </c>
      <c r="S231" s="120">
        <f ca="1">IF(Первоначальный[[#This Row],[Просроченный платеж]]&lt;1,0,S230+1)</f>
        <v>127</v>
      </c>
      <c r="T231" s="100" cm="1">
        <f t="array" aca="1" ref="T231" ca="1">IF(Первоначальный[[#This Row],[Итого остаток на начало периода]]&lt;1,0,
IF(
AND(TYPE(VLOOKUP(1,$Z$12:Z231,1,0))=16,Первоначальный[[#This Row],[Досрочное погашение (да/"")]]=""),0,
_xlfn.IFS(AND(S230=0,Первоначальный[[#This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платеж]]&lt;&gt;0),MIN(LOOKUP(,-1/($Z$12:Z231=1),$C$12:C231)+LOOKUP(,-1/($Z$12:Z231=1),$H$12:H231),Первоначальный[[#This Row],[Полученный платеж]]+Y230),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платеж]]+Y230,SUM(Первоначальный[[#This Row],[Остаток процентов на начало периода]],Первоначальный[[#This Row],[Проценты за период]])),
AND(S230=0,Первоначальный[[#This Row],[Дата платежа из графика]]=""),0,
AND(S230=0,Первоначальный[[#This Row],[Дата платежа из графика]]=1,MAX((0&lt;&gt;S$12:S230)*ROW(S$12:S230),ROW($S$12))&gt;=MAX((1=Z$12:Z230)*ROW(Z$12:Z230),ROW($T$12)),TYPE(VLOOKUP("Да",(INDIRECT("AA"&amp;(MAX((1=Z$12:Z230)*ROW(Z$12:Z230),ROW($T$12))&amp;":AA"&amp;(ROW()-1)))),1,0))=16),MIN(LOOKUP(,-1/($Z$12:Z231=1),$C$12:C231)+LOOKUP(,-1/($Z$12:Z231=1),$H$12:H231),Первоначальный[[#This Row],[Полученный платеж]]+Y230),
AND(S230=0,TYPE(VLOOKUP("Да",(INDIRECT("AA"&amp;(MAX((1=Z$12:Z230)*ROW(Z$12:Z230),ROW($T$12))&amp;":AA"&amp;(ROW()-1)))),1,0))&lt;&gt;16),MIN(LOOKUP(,-1/($Z$12:Z231=1),$C$12:C231)+LOOKUP(,-1/($Z$12:Z231=1),$H$12:H231)-IF(AA230="Да",0,SUM(INDIRECT("T"&amp;(MAX(("Да"=AA$12:AA230)*ROW(AA$12:AA230)+1,ROW($T$12))&amp;":T"&amp;(ROW()-1))))),Первоначальный[[#This Row],[Полученный платеж]]+Y230),
AND(S230=0,MAX((0&lt;&gt;N$12:N230)*ROW(N$12:N230),ROW($S$12))&gt;=MAX((1=Z$12:Z230)*ROW(Z$12:Z230),ROW($T$12))),MIN(LOOKUP(,-1/($Z$12:Z231=1),$C$12:C231)+LOOKUP(,-1/($Z$12:Z231=1),$H$12:H231)-IF(N230&lt;&gt;0,0,SUM(INDIRECT("T"&amp;(MAX((0&lt;&gt;N$12:N230)*ROW(N$12:N230)+1,ROW($T$12))&amp;":T"&amp;(ROW()-1))))),Первоначальный[[#This Row],[Полученный платеж]]+Y230),
AND(S230=0,Первоначальный[[#This Row],[Дата платежа из графика]]=1),MIN(LOOKUP(,-1/($Z$12:Z231=1),$C$12:C231)+LOOKUP(,-1/($Z$12:Z231=1),$H$12:H231)-IF(Z230=1,0,SUM(INDIRECT("T"&amp;(MAX((1=Z$12:Z230)*ROW(Z$12:Z230)+1,ROW($T$12))&amp;":T"&amp;(ROW()-1))))),Первоначальный[[#This Row],[Полученный платеж]]+Y230),
AND(Z230&gt;0,Первоначальный[[#This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платеж]]+Y230),
AND(S230&gt;0,MAX((0&lt;&gt;S$12:S230)*ROW(S$12:S230),ROW($S$12))&gt;=MAX((1=Z$12:Z230)*ROW(Z$12:Z230),ROW($T$12)),TYPE(VLOOKUP("Да",(INDIRECT("AA"&amp;(MAX((1=Z$12:Z230)*ROW(Z$12:Z230),ROW($T$12))&amp;":AA"&amp;(ROW()-1)))),1,0))=16),MIN(LOOKUP(,-1/($Z$12:Z231=1),$C$12:C231)+LOOKUP(,-1/($Z$12:Z231=1),$H$12:H231)-SUM(INDIRECT("T"&amp;(MAX((1=Z$12:Z230)*ROW(Z$12:Z230),ROW($T$12))&amp;":T"&amp;(ROW()-1)))),Первоначальный[[#This Row],[Полученный платеж]]+Y230),
S230&gt;0,MIN(LOOKUP(,-1/($Z$12:Z231=1),$C$12:C231)+LOOKUP(,-1/($Z$12:Z231=1),$H$12:H231)-IF(Z230=1,0,SUM(INDIRECT("T"&amp;(MAX((1=Z$12:Z230)*ROW(Z$12:Z230)+1,ROW($T$12))&amp;":T"&amp;(ROW()-1))))),Первоначальный[[#This Row],[Полученный платеж]]+Y230)
)
)
)</f>
        <v>0</v>
      </c>
      <c r="U23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платеж]]+Y230-Первоначальный[[#This Row],[Полученный платёж по процентам]])</f>
        <v>0</v>
      </c>
      <c r="V231" s="55">
        <f t="shared" ca="1" si="37"/>
        <v>0</v>
      </c>
      <c r="W231" s="55" cm="1">
        <f t="array" aca="1" ref="W231" ca="1">IF(Первоначальный[[#This Row],[Итого остаток на начало периода]]&lt;1,0,
_xlfn.IFS(
AND(TYPE(VLOOKUP(1,$Z$12:Z231,1,0))=16,Первоначальный[[#This Row],[Досрочное погашение (да/"")]]=""),0,
AND(S230=0,Первоначальный[[#This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платеж]]+Y230-SUM(Первоначальный[[#This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комиссиям]]),VLOOKUP(LOOKUP(,-1/($Z$12:Z231=1),$A$12:A231),График[[Срок конец]:[Возврат основной суммы долга]],3,0)),
AND(S230=0,Первоначальный[[#This Row],[Дата платежа из графика]]="",Первоначальный[[#This Row],[Досрочное погашение (да/"")]]&lt;&gt;"Да"),0,
AND(S230=0,Первоначальный[[#This Row],[Досрочное погашение (да/"")]]=""),MIN(Первоначальный[[#This Row],[Полученный платеж]]+Y230-SUM(Первоначальный[[#This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комиссиям]]),VLOOKUP(LOOKUP(,-1/($Z$12:Z231=1),$A$12:A231),График[[Срок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платеж]]+Y230-SUM(Первоначальный[[#This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S230&gt;0,MIN(Первоначальный[[#This Row],[Полученный платеж]]+Y230-SUM(Первоначальный[[#This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комиссиям]]),SUM(INDIRECT("M"&amp;(MAX((1=S$12:S230)*ROW(S$12:S230),ROW($W$12))&amp;":M"&amp;(ROW()))))-SUM(INDIRECT("W"&amp;(MAX((1=S$12:S230)*ROW(S$12:S230),ROW($W$12))&amp;":W"&amp;(ROW()-1)))))
)
)</f>
        <v>0</v>
      </c>
      <c r="X231" s="55">
        <f t="shared" ca="1" si="38"/>
        <v>0</v>
      </c>
      <c r="Y231" s="101">
        <f t="shared" ca="1" si="45"/>
        <v>0</v>
      </c>
      <c r="Z231" s="133" t="str">
        <f>IF(TYPE((VLOOKUP(Первоначальный[[#This Row],[Дата платежа]],График[Срок конец],1,0)))=16,"",1)</f>
        <v/>
      </c>
      <c r="AA231" s="57"/>
      <c r="AB231" s="134"/>
      <c r="AC23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3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12712.33</v>
      </c>
      <c r="AE23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82.909999999999968</v>
      </c>
      <c r="AF23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3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4887.4849163934414</v>
      </c>
      <c r="AH231" s="55"/>
      <c r="AI231" s="55"/>
      <c r="AJ231" s="55"/>
      <c r="AK231" s="101">
        <f t="shared" ca="1" si="46"/>
        <v>167316.06491639343</v>
      </c>
      <c r="AL231" s="129">
        <f t="array" ref="AL231">MAX((УслРестрактов[Характеристика]="Дата реструктуризации")*(УслРестрактов[Значение]=Первоначальный!$A231),0)</f>
        <v>0</v>
      </c>
    </row>
    <row r="232" spans="1:38" x14ac:dyDescent="0.25">
      <c r="A232" s="97">
        <f t="shared" si="39"/>
        <v>44363</v>
      </c>
      <c r="B232" s="100">
        <f t="shared" ca="1" si="40"/>
        <v>149633.34</v>
      </c>
      <c r="C232" s="55">
        <f t="shared" ca="1" si="48"/>
        <v>12712.33</v>
      </c>
      <c r="D232" s="55">
        <f t="shared" ca="1" si="48"/>
        <v>82.909999999999968</v>
      </c>
      <c r="E232" s="55">
        <f t="shared" ca="1" si="41"/>
        <v>0</v>
      </c>
      <c r="F232" s="55">
        <f t="shared" ca="1" si="42"/>
        <v>4887.4849163934414</v>
      </c>
      <c r="G232" s="101">
        <f t="shared" ca="1" si="43"/>
        <v>167316.06491639343</v>
      </c>
      <c r="H232" s="100">
        <f ca="1">ROUND($B232*VLOOKUP($A232,$A$1:$B$10,2,1)/(365+IF(MOD(YEAR($A232),4),0,1)*($A232-$A231)),2)-Первоначальный[[#This Row],[Проценты на просроченный платеж по ОД за период]]</f>
        <v>80.36</v>
      </c>
      <c r="I232" s="55">
        <f t="shared" ca="1" si="44"/>
        <v>1.22</v>
      </c>
      <c r="J232" s="55">
        <v>0</v>
      </c>
      <c r="K232" s="55">
        <f t="shared" ca="1" si="47"/>
        <v>72.358503278688531</v>
      </c>
      <c r="L232" s="55">
        <v>0</v>
      </c>
      <c r="M232" s="113">
        <f>SUMIFS(График[Возврат основной суммы долга],График[Дата с учетом нерабочих дней],$A232)</f>
        <v>0</v>
      </c>
      <c r="N232" s="56">
        <f>SUMIFS(График[Возврат начисленных %],График[Дата с учетом нерабочих дней],$A232)</f>
        <v>0</v>
      </c>
      <c r="O232" s="101">
        <v>0</v>
      </c>
      <c r="P232" s="100" cm="1">
        <f t="array" aca="1" ref="P232" ca="1">MAX(IF(AA231="Да",0,SUM(INDIRECT("M"&amp;(MAX(("Да"=AA$12:AA231)*ROW(AA$12:AA231)+1,ROW($P$12))&amp;":M"&amp;(ROW()))))-SUM(INDIRECT("W"&amp;(MAX(("Да"=AA$12:AA231)*ROW(AA$12:AA231)+1,ROW($P$12))&amp;":W"&amp;(ROW()))))),0)</f>
        <v>2242.1899999999991</v>
      </c>
      <c r="Q232" s="99">
        <f ca="1">MAX(SUM($N$13:N232)-SUM($T$13:T232),0)</f>
        <v>12229.510655737706</v>
      </c>
      <c r="R232" s="99">
        <f ca="1">Первоначальный[[#This Row],[Просроченный платеж по ОД]]+Первоначальный[[#This Row],[Просроченный платеж по процентам]]</f>
        <v>14471.700655737704</v>
      </c>
      <c r="S232" s="120">
        <f ca="1">IF(Первоначальный[[#This Row],[Просроченный платеж]]&lt;1,0,S231+1)</f>
        <v>128</v>
      </c>
      <c r="T232" s="100" cm="1">
        <f t="array" aca="1" ref="T232" ca="1">IF(Первоначальный[[#This Row],[Итого остаток на начало периода]]&lt;1,0,
IF(
AND(TYPE(VLOOKUP(1,$Z$12:Z232,1,0))=16,Первоначальный[[#This Row],[Досрочное погашение (да/"")]]=""),0,
_xlfn.IFS(AND(S231=0,Первоначальный[[#This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платеж]]&lt;&gt;0),MIN(LOOKUP(,-1/($Z$12:Z232=1),$C$12:C232)+LOOKUP(,-1/($Z$12:Z232=1),$H$12:H232),Первоначальный[[#This Row],[Полученный платеж]]+Y231),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платеж]]+Y231,SUM(Первоначальный[[#This Row],[Остаток процентов на начало периода]],Первоначальный[[#This Row],[Проценты за период]])),
AND(S231=0,Первоначальный[[#This Row],[Дата платежа из графика]]=""),0,
AND(S231=0,Первоначальный[[#This Row],[Дата платежа из графика]]=1,MAX((0&lt;&gt;S$12:S231)*ROW(S$12:S231),ROW($S$12))&gt;=MAX((1=Z$12:Z231)*ROW(Z$12:Z231),ROW($T$12)),TYPE(VLOOKUP("Да",(INDIRECT("AA"&amp;(MAX((1=Z$12:Z231)*ROW(Z$12:Z231),ROW($T$12))&amp;":AA"&amp;(ROW()-1)))),1,0))=16),MIN(LOOKUP(,-1/($Z$12:Z232=1),$C$12:C232)+LOOKUP(,-1/($Z$12:Z232=1),$H$12:H232),Первоначальный[[#This Row],[Полученный платеж]]+Y231),
AND(S231=0,TYPE(VLOOKUP("Да",(INDIRECT("AA"&amp;(MAX((1=Z$12:Z231)*ROW(Z$12:Z231),ROW($T$12))&amp;":AA"&amp;(ROW()-1)))),1,0))&lt;&gt;16),MIN(LOOKUP(,-1/($Z$12:Z232=1),$C$12:C232)+LOOKUP(,-1/($Z$12:Z232=1),$H$12:H232)-IF(AA231="Да",0,SUM(INDIRECT("T"&amp;(MAX(("Да"=AA$12:AA231)*ROW(AA$12:AA231)+1,ROW($T$12))&amp;":T"&amp;(ROW()-1))))),Первоначальный[[#This Row],[Полученный платеж]]+Y231),
AND(S231=0,MAX((0&lt;&gt;N$12:N231)*ROW(N$12:N231),ROW($S$12))&gt;=MAX((1=Z$12:Z231)*ROW(Z$12:Z231),ROW($T$12))),MIN(LOOKUP(,-1/($Z$12:Z232=1),$C$12:C232)+LOOKUP(,-1/($Z$12:Z232=1),$H$12:H232)-IF(N231&lt;&gt;0,0,SUM(INDIRECT("T"&amp;(MAX((0&lt;&gt;N$12:N231)*ROW(N$12:N231)+1,ROW($T$12))&amp;":T"&amp;(ROW()-1))))),Первоначальный[[#This Row],[Полученный платеж]]+Y231),
AND(S231=0,Первоначальный[[#This Row],[Дата платежа из графика]]=1),MIN(LOOKUP(,-1/($Z$12:Z232=1),$C$12:C232)+LOOKUP(,-1/($Z$12:Z232=1),$H$12:H232)-IF(Z231=1,0,SUM(INDIRECT("T"&amp;(MAX((1=Z$12:Z231)*ROW(Z$12:Z231)+1,ROW($T$12))&amp;":T"&amp;(ROW()-1))))),Первоначальный[[#This Row],[Полученный платеж]]+Y231),
AND(Z231&gt;0,Первоначальный[[#This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платеж]]+Y231),
AND(S231&gt;0,MAX((0&lt;&gt;S$12:S231)*ROW(S$12:S231),ROW($S$12))&gt;=MAX((1=Z$12:Z231)*ROW(Z$12:Z231),ROW($T$12)),TYPE(VLOOKUP("Да",(INDIRECT("AA"&amp;(MAX((1=Z$12:Z231)*ROW(Z$12:Z231),ROW($T$12))&amp;":AA"&amp;(ROW()-1)))),1,0))=16),MIN(LOOKUP(,-1/($Z$12:Z232=1),$C$12:C232)+LOOKUP(,-1/($Z$12:Z232=1),$H$12:H232)-SUM(INDIRECT("T"&amp;(MAX((1=Z$12:Z231)*ROW(Z$12:Z231),ROW($T$12))&amp;":T"&amp;(ROW()-1)))),Первоначальный[[#This Row],[Полученный платеж]]+Y231),
S231&gt;0,MIN(LOOKUP(,-1/($Z$12:Z232=1),$C$12:C232)+LOOKUP(,-1/($Z$12:Z232=1),$H$12:H232)-IF(Z231=1,0,SUM(INDIRECT("T"&amp;(MAX((1=Z$12:Z231)*ROW(Z$12:Z231)+1,ROW($T$12))&amp;":T"&amp;(ROW()-1))))),Первоначальный[[#This Row],[Полученный платеж]]+Y231)
)
)
)</f>
        <v>0</v>
      </c>
      <c r="U23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платеж]]+Y231-Первоначальный[[#This Row],[Полученный платёж по процентам]])</f>
        <v>0</v>
      </c>
      <c r="V232" s="55">
        <f t="shared" ca="1" si="37"/>
        <v>0</v>
      </c>
      <c r="W232" s="55" cm="1">
        <f t="array" aca="1" ref="W232" ca="1">IF(Первоначальный[[#This Row],[Итого остаток на начало периода]]&lt;1,0,
_xlfn.IFS(
AND(TYPE(VLOOKUP(1,$Z$12:Z232,1,0))=16,Первоначальный[[#This Row],[Досрочное погашение (да/"")]]=""),0,
AND(S231=0,Первоначальный[[#This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платеж]]+Y231-SUM(Первоначальный[[#This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комиссиям]]),VLOOKUP(LOOKUP(,-1/($Z$12:Z232=1),$A$12:A232),График[[Срок конец]:[Возврат основной суммы долга]],3,0)),
AND(S231=0,Первоначальный[[#This Row],[Дата платежа из графика]]="",Первоначальный[[#This Row],[Досрочное погашение (да/"")]]&lt;&gt;"Да"),0,
AND(S231=0,Первоначальный[[#This Row],[Досрочное погашение (да/"")]]=""),MIN(Первоначальный[[#This Row],[Полученный платеж]]+Y231-SUM(Первоначальный[[#This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комиссиям]]),VLOOKUP(LOOKUP(,-1/($Z$12:Z232=1),$A$12:A232),График[[Срок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платеж]]+Y231-SUM(Первоначальный[[#This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S231&gt;0,MIN(Первоначальный[[#This Row],[Полученный платеж]]+Y231-SUM(Первоначальный[[#This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комиссиям]]),SUM(INDIRECT("M"&amp;(MAX((1=S$12:S231)*ROW(S$12:S231),ROW($W$12))&amp;":M"&amp;(ROW()))))-SUM(INDIRECT("W"&amp;(MAX((1=S$12:S231)*ROW(S$12:S231),ROW($W$12))&amp;":W"&amp;(ROW()-1)))))
)
)</f>
        <v>0</v>
      </c>
      <c r="X232" s="55">
        <f t="shared" ca="1" si="38"/>
        <v>0</v>
      </c>
      <c r="Y232" s="101">
        <f t="shared" ca="1" si="45"/>
        <v>0</v>
      </c>
      <c r="Z232" s="133" t="str">
        <f>IF(TYPE((VLOOKUP(Первоначальный[[#This Row],[Дата платежа]],График[Срок конец],1,0)))=16,"",1)</f>
        <v/>
      </c>
      <c r="AA232" s="57"/>
      <c r="AB232" s="134"/>
      <c r="AC23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3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12792.69</v>
      </c>
      <c r="AE23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84.129999999999967</v>
      </c>
      <c r="AF23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3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4959.84341967213</v>
      </c>
      <c r="AH232" s="55"/>
      <c r="AI232" s="55"/>
      <c r="AJ232" s="55"/>
      <c r="AK232" s="101">
        <f t="shared" ca="1" si="46"/>
        <v>167470.00341967214</v>
      </c>
      <c r="AL232" s="129">
        <f t="array" ref="AL232">MAX((УслРестрактов[Характеристика]="Дата реструктуризации")*(УслРестрактов[Значение]=Первоначальный!$A232),0)</f>
        <v>0</v>
      </c>
    </row>
    <row r="233" spans="1:38" x14ac:dyDescent="0.25">
      <c r="A233" s="97">
        <f t="shared" si="39"/>
        <v>44364</v>
      </c>
      <c r="B233" s="100">
        <f t="shared" ca="1" si="40"/>
        <v>149633.34</v>
      </c>
      <c r="C233" s="55">
        <f t="shared" ca="1" si="48"/>
        <v>12792.69</v>
      </c>
      <c r="D233" s="55">
        <f t="shared" ca="1" si="48"/>
        <v>84.129999999999967</v>
      </c>
      <c r="E233" s="55">
        <f t="shared" ca="1" si="41"/>
        <v>0</v>
      </c>
      <c r="F233" s="55">
        <f t="shared" ca="1" si="42"/>
        <v>4959.84341967213</v>
      </c>
      <c r="G233" s="101">
        <f t="shared" ca="1" si="43"/>
        <v>167470.00341967214</v>
      </c>
      <c r="H233" s="100">
        <f ca="1">ROUND($B233*VLOOKUP($A233,$A$1:$B$10,2,1)/(365+IF(MOD(YEAR($A233),4),0,1)*($A233-$A232)),2)-Первоначальный[[#This Row],[Проценты на просроченный платеж по ОД за период]]</f>
        <v>80.36</v>
      </c>
      <c r="I233" s="55">
        <f t="shared" ca="1" si="44"/>
        <v>1.22</v>
      </c>
      <c r="J233" s="55">
        <v>0</v>
      </c>
      <c r="K233" s="55">
        <f t="shared" ca="1" si="47"/>
        <v>72.358503278688531</v>
      </c>
      <c r="L233" s="55">
        <v>0</v>
      </c>
      <c r="M233" s="113">
        <f>SUMIFS(График[Возврат основной суммы долга],График[Дата с учетом нерабочих дней],$A233)</f>
        <v>0</v>
      </c>
      <c r="N233" s="56">
        <f>SUMIFS(График[Возврат начисленных %],График[Дата с учетом нерабочих дней],$A233)</f>
        <v>0</v>
      </c>
      <c r="O233" s="101">
        <v>0</v>
      </c>
      <c r="P233" s="100" cm="1">
        <f t="array" aca="1" ref="P233" ca="1">MAX(IF(AA232="Да",0,SUM(INDIRECT("M"&amp;(MAX(("Да"=AA$12:AA232)*ROW(AA$12:AA232)+1,ROW($P$12))&amp;":M"&amp;(ROW()))))-SUM(INDIRECT("W"&amp;(MAX(("Да"=AA$12:AA232)*ROW(AA$12:AA232)+1,ROW($P$12))&amp;":W"&amp;(ROW()))))),0)</f>
        <v>2242.1899999999991</v>
      </c>
      <c r="Q233" s="99">
        <f ca="1">MAX(SUM($N$13:N233)-SUM($T$13:T233),0)</f>
        <v>12229.510655737706</v>
      </c>
      <c r="R233" s="99">
        <f ca="1">Первоначальный[[#This Row],[Просроченный платеж по ОД]]+Первоначальный[[#This Row],[Просроченный платеж по процентам]]</f>
        <v>14471.700655737704</v>
      </c>
      <c r="S233" s="120">
        <f ca="1">IF(Первоначальный[[#This Row],[Просроченный платеж]]&lt;1,0,S232+1)</f>
        <v>129</v>
      </c>
      <c r="T233" s="100" cm="1">
        <f t="array" aca="1" ref="T233" ca="1">IF(Первоначальный[[#This Row],[Итого остаток на начало периода]]&lt;1,0,
IF(
AND(TYPE(VLOOKUP(1,$Z$12:Z233,1,0))=16,Первоначальный[[#This Row],[Досрочное погашение (да/"")]]=""),0,
_xlfn.IFS(AND(S232=0,Первоначальный[[#This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платеж]]&lt;&gt;0),MIN(LOOKUP(,-1/($Z$12:Z233=1),$C$12:C233)+LOOKUP(,-1/($Z$12:Z233=1),$H$12:H233),Первоначальный[[#This Row],[Полученный платеж]]+Y232),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платеж]]+Y232,SUM(Первоначальный[[#This Row],[Остаток процентов на начало периода]],Первоначальный[[#This Row],[Проценты за период]])),
AND(S232=0,Первоначальный[[#This Row],[Дата платежа из графика]]=""),0,
AND(S232=0,Первоначальный[[#This Row],[Дата платежа из графика]]=1,MAX((0&lt;&gt;S$12:S232)*ROW(S$12:S232),ROW($S$12))&gt;=MAX((1=Z$12:Z232)*ROW(Z$12:Z232),ROW($T$12)),TYPE(VLOOKUP("Да",(INDIRECT("AA"&amp;(MAX((1=Z$12:Z232)*ROW(Z$12:Z232),ROW($T$12))&amp;":AA"&amp;(ROW()-1)))),1,0))=16),MIN(LOOKUP(,-1/($Z$12:Z233=1),$C$12:C233)+LOOKUP(,-1/($Z$12:Z233=1),$H$12:H233),Первоначальный[[#This Row],[Полученный платеж]]+Y232),
AND(S232=0,TYPE(VLOOKUP("Да",(INDIRECT("AA"&amp;(MAX((1=Z$12:Z232)*ROW(Z$12:Z232),ROW($T$12))&amp;":AA"&amp;(ROW()-1)))),1,0))&lt;&gt;16),MIN(LOOKUP(,-1/($Z$12:Z233=1),$C$12:C233)+LOOKUP(,-1/($Z$12:Z233=1),$H$12:H233)-IF(AA232="Да",0,SUM(INDIRECT("T"&amp;(MAX(("Да"=AA$12:AA232)*ROW(AA$12:AA232)+1,ROW($T$12))&amp;":T"&amp;(ROW()-1))))),Первоначальный[[#This Row],[Полученный платеж]]+Y232),
AND(S232=0,MAX((0&lt;&gt;N$12:N232)*ROW(N$12:N232),ROW($S$12))&gt;=MAX((1=Z$12:Z232)*ROW(Z$12:Z232),ROW($T$12))),MIN(LOOKUP(,-1/($Z$12:Z233=1),$C$12:C233)+LOOKUP(,-1/($Z$12:Z233=1),$H$12:H233)-IF(N232&lt;&gt;0,0,SUM(INDIRECT("T"&amp;(MAX((0&lt;&gt;N$12:N232)*ROW(N$12:N232)+1,ROW($T$12))&amp;":T"&amp;(ROW()-1))))),Первоначальный[[#This Row],[Полученный платеж]]+Y232),
AND(S232=0,Первоначальный[[#This Row],[Дата платежа из графика]]=1),MIN(LOOKUP(,-1/($Z$12:Z233=1),$C$12:C233)+LOOKUP(,-1/($Z$12:Z233=1),$H$12:H233)-IF(Z232=1,0,SUM(INDIRECT("T"&amp;(MAX((1=Z$12:Z232)*ROW(Z$12:Z232)+1,ROW($T$12))&amp;":T"&amp;(ROW()-1))))),Первоначальный[[#This Row],[Полученный платеж]]+Y232),
AND(Z232&gt;0,Первоначальный[[#This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платеж]]+Y232),
AND(S232&gt;0,MAX((0&lt;&gt;S$12:S232)*ROW(S$12:S232),ROW($S$12))&gt;=MAX((1=Z$12:Z232)*ROW(Z$12:Z232),ROW($T$12)),TYPE(VLOOKUP("Да",(INDIRECT("AA"&amp;(MAX((1=Z$12:Z232)*ROW(Z$12:Z232),ROW($T$12))&amp;":AA"&amp;(ROW()-1)))),1,0))=16),MIN(LOOKUP(,-1/($Z$12:Z233=1),$C$12:C233)+LOOKUP(,-1/($Z$12:Z233=1),$H$12:H233)-SUM(INDIRECT("T"&amp;(MAX((1=Z$12:Z232)*ROW(Z$12:Z232),ROW($T$12))&amp;":T"&amp;(ROW()-1)))),Первоначальный[[#This Row],[Полученный платеж]]+Y232),
S232&gt;0,MIN(LOOKUP(,-1/($Z$12:Z233=1),$C$12:C233)+LOOKUP(,-1/($Z$12:Z233=1),$H$12:H233)-IF(Z232=1,0,SUM(INDIRECT("T"&amp;(MAX((1=Z$12:Z232)*ROW(Z$12:Z232)+1,ROW($T$12))&amp;":T"&amp;(ROW()-1))))),Первоначальный[[#This Row],[Полученный платеж]]+Y232)
)
)
)</f>
        <v>0</v>
      </c>
      <c r="U23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платеж]]+Y232-Первоначальный[[#This Row],[Полученный платёж по процентам]])</f>
        <v>0</v>
      </c>
      <c r="V233" s="55">
        <f t="shared" ca="1" si="37"/>
        <v>0</v>
      </c>
      <c r="W233" s="55" cm="1">
        <f t="array" aca="1" ref="W233" ca="1">IF(Первоначальный[[#This Row],[Итого остаток на начало периода]]&lt;1,0,
_xlfn.IFS(
AND(TYPE(VLOOKUP(1,$Z$12:Z233,1,0))=16,Первоначальный[[#This Row],[Досрочное погашение (да/"")]]=""),0,
AND(S232=0,Первоначальный[[#This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платеж]]+Y232-SUM(Первоначальный[[#This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комиссиям]]),VLOOKUP(LOOKUP(,-1/($Z$12:Z233=1),$A$12:A233),График[[Срок конец]:[Возврат основной суммы долга]],3,0)),
AND(S232=0,Первоначальный[[#This Row],[Дата платежа из графика]]="",Первоначальный[[#This Row],[Досрочное погашение (да/"")]]&lt;&gt;"Да"),0,
AND(S232=0,Первоначальный[[#This Row],[Досрочное погашение (да/"")]]=""),MIN(Первоначальный[[#This Row],[Полученный платеж]]+Y232-SUM(Первоначальный[[#This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комиссиям]]),VLOOKUP(LOOKUP(,-1/($Z$12:Z233=1),$A$12:A233),График[[Срок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платеж]]+Y232-SUM(Первоначальный[[#This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S232&gt;0,MIN(Первоначальный[[#This Row],[Полученный платеж]]+Y232-SUM(Первоначальный[[#This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комиссиям]]),SUM(INDIRECT("M"&amp;(MAX((1=S$12:S232)*ROW(S$12:S232),ROW($W$12))&amp;":M"&amp;(ROW()))))-SUM(INDIRECT("W"&amp;(MAX((1=S$12:S232)*ROW(S$12:S232),ROW($W$12))&amp;":W"&amp;(ROW()-1)))))
)
)</f>
        <v>0</v>
      </c>
      <c r="X233" s="55">
        <f t="shared" ca="1" si="38"/>
        <v>0</v>
      </c>
      <c r="Y233" s="101">
        <f t="shared" ca="1" si="45"/>
        <v>0</v>
      </c>
      <c r="Z233" s="133" t="str">
        <f>IF(TYPE((VLOOKUP(Первоначальный[[#This Row],[Дата платежа]],График[Срок конец],1,0)))=16,"",1)</f>
        <v/>
      </c>
      <c r="AA233" s="57"/>
      <c r="AB233" s="134"/>
      <c r="AC23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3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12873.050000000001</v>
      </c>
      <c r="AE23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85.349999999999966</v>
      </c>
      <c r="AF23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3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5032.2019229508187</v>
      </c>
      <c r="AH233" s="55"/>
      <c r="AI233" s="55"/>
      <c r="AJ233" s="55"/>
      <c r="AK233" s="101">
        <f t="shared" ca="1" si="46"/>
        <v>167623.94192295082</v>
      </c>
      <c r="AL233" s="129">
        <f t="array" ref="AL233">MAX((УслРестрактов[Характеристика]="Дата реструктуризации")*(УслРестрактов[Значение]=Первоначальный!$A233),0)</f>
        <v>0</v>
      </c>
    </row>
    <row r="234" spans="1:38" x14ac:dyDescent="0.25">
      <c r="A234" s="97">
        <f t="shared" si="39"/>
        <v>44365</v>
      </c>
      <c r="B234" s="100">
        <f t="shared" ca="1" si="40"/>
        <v>149633.34</v>
      </c>
      <c r="C234" s="55">
        <f t="shared" ca="1" si="48"/>
        <v>12873.050000000001</v>
      </c>
      <c r="D234" s="55">
        <f t="shared" ca="1" si="48"/>
        <v>85.349999999999966</v>
      </c>
      <c r="E234" s="55">
        <f t="shared" ca="1" si="41"/>
        <v>0</v>
      </c>
      <c r="F234" s="55">
        <f t="shared" ca="1" si="42"/>
        <v>5032.2019229508187</v>
      </c>
      <c r="G234" s="101">
        <f t="shared" ca="1" si="43"/>
        <v>167623.94192295082</v>
      </c>
      <c r="H234" s="100">
        <f ca="1">ROUND($B234*VLOOKUP($A234,$A$1:$B$10,2,1)/(365+IF(MOD(YEAR($A234),4),0,1)*($A234-$A233)),2)-Первоначальный[[#This Row],[Проценты на просроченный платеж по ОД за период]]</f>
        <v>80.36</v>
      </c>
      <c r="I234" s="55">
        <f t="shared" ca="1" si="44"/>
        <v>1.22</v>
      </c>
      <c r="J234" s="55">
        <v>0</v>
      </c>
      <c r="K234" s="55">
        <f t="shared" ca="1" si="47"/>
        <v>72.358503278688531</v>
      </c>
      <c r="L234" s="55">
        <v>0</v>
      </c>
      <c r="M234" s="113">
        <f>SUMIFS(График[Возврат основной суммы долга],График[Дата с учетом нерабочих дней],$A234)</f>
        <v>0</v>
      </c>
      <c r="N234" s="56">
        <f>SUMIFS(График[Возврат начисленных %],График[Дата с учетом нерабочих дней],$A234)</f>
        <v>0</v>
      </c>
      <c r="O234" s="101">
        <v>0</v>
      </c>
      <c r="P234" s="100" cm="1">
        <f t="array" aca="1" ref="P234" ca="1">MAX(IF(AA233="Да",0,SUM(INDIRECT("M"&amp;(MAX(("Да"=AA$12:AA233)*ROW(AA$12:AA233)+1,ROW($P$12))&amp;":M"&amp;(ROW()))))-SUM(INDIRECT("W"&amp;(MAX(("Да"=AA$12:AA233)*ROW(AA$12:AA233)+1,ROW($P$12))&amp;":W"&amp;(ROW()))))),0)</f>
        <v>2242.1899999999991</v>
      </c>
      <c r="Q234" s="99">
        <f ca="1">MAX(SUM($N$13:N234)-SUM($T$13:T234),0)</f>
        <v>12229.510655737706</v>
      </c>
      <c r="R234" s="99">
        <f ca="1">Первоначальный[[#This Row],[Просроченный платеж по ОД]]+Первоначальный[[#This Row],[Просроченный платеж по процентам]]</f>
        <v>14471.700655737704</v>
      </c>
      <c r="S234" s="120">
        <f ca="1">IF(Первоначальный[[#This Row],[Просроченный платеж]]&lt;1,0,S233+1)</f>
        <v>130</v>
      </c>
      <c r="T234" s="100" cm="1">
        <f t="array" aca="1" ref="T234" ca="1">IF(Первоначальный[[#This Row],[Итого остаток на начало периода]]&lt;1,0,
IF(
AND(TYPE(VLOOKUP(1,$Z$12:Z234,1,0))=16,Первоначальный[[#This Row],[Досрочное погашение (да/"")]]=""),0,
_xlfn.IFS(AND(S233=0,Первоначальный[[#This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платеж]]&lt;&gt;0),MIN(LOOKUP(,-1/($Z$12:Z234=1),$C$12:C234)+LOOKUP(,-1/($Z$12:Z234=1),$H$12:H234),Первоначальный[[#This Row],[Полученный платеж]]+Y233),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платеж]]+Y233,SUM(Первоначальный[[#This Row],[Остаток процентов на начало периода]],Первоначальный[[#This Row],[Проценты за период]])),
AND(S233=0,Первоначальный[[#This Row],[Дата платежа из графика]]=""),0,
AND(S233=0,Первоначальный[[#This Row],[Дата платежа из графика]]=1,MAX((0&lt;&gt;S$12:S233)*ROW(S$12:S233),ROW($S$12))&gt;=MAX((1=Z$12:Z233)*ROW(Z$12:Z233),ROW($T$12)),TYPE(VLOOKUP("Да",(INDIRECT("AA"&amp;(MAX((1=Z$12:Z233)*ROW(Z$12:Z233),ROW($T$12))&amp;":AA"&amp;(ROW()-1)))),1,0))=16),MIN(LOOKUP(,-1/($Z$12:Z234=1),$C$12:C234)+LOOKUP(,-1/($Z$12:Z234=1),$H$12:H234),Первоначальный[[#This Row],[Полученный платеж]]+Y233),
AND(S233=0,TYPE(VLOOKUP("Да",(INDIRECT("AA"&amp;(MAX((1=Z$12:Z233)*ROW(Z$12:Z233),ROW($T$12))&amp;":AA"&amp;(ROW()-1)))),1,0))&lt;&gt;16),MIN(LOOKUP(,-1/($Z$12:Z234=1),$C$12:C234)+LOOKUP(,-1/($Z$12:Z234=1),$H$12:H234)-IF(AA233="Да",0,SUM(INDIRECT("T"&amp;(MAX(("Да"=AA$12:AA233)*ROW(AA$12:AA233)+1,ROW($T$12))&amp;":T"&amp;(ROW()-1))))),Первоначальный[[#This Row],[Полученный платеж]]+Y233),
AND(S233=0,MAX((0&lt;&gt;N$12:N233)*ROW(N$12:N233),ROW($S$12))&gt;=MAX((1=Z$12:Z233)*ROW(Z$12:Z233),ROW($T$12))),MIN(LOOKUP(,-1/($Z$12:Z234=1),$C$12:C234)+LOOKUP(,-1/($Z$12:Z234=1),$H$12:H234)-IF(N233&lt;&gt;0,0,SUM(INDIRECT("T"&amp;(MAX((0&lt;&gt;N$12:N233)*ROW(N$12:N233)+1,ROW($T$12))&amp;":T"&amp;(ROW()-1))))),Первоначальный[[#This Row],[Полученный платеж]]+Y233),
AND(S233=0,Первоначальный[[#This Row],[Дата платежа из графика]]=1),MIN(LOOKUP(,-1/($Z$12:Z234=1),$C$12:C234)+LOOKUP(,-1/($Z$12:Z234=1),$H$12:H234)-IF(Z233=1,0,SUM(INDIRECT("T"&amp;(MAX((1=Z$12:Z233)*ROW(Z$12:Z233)+1,ROW($T$12))&amp;":T"&amp;(ROW()-1))))),Первоначальный[[#This Row],[Полученный платеж]]+Y233),
AND(Z233&gt;0,Первоначальный[[#This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платеж]]+Y233),
AND(S233&gt;0,MAX((0&lt;&gt;S$12:S233)*ROW(S$12:S233),ROW($S$12))&gt;=MAX((1=Z$12:Z233)*ROW(Z$12:Z233),ROW($T$12)),TYPE(VLOOKUP("Да",(INDIRECT("AA"&amp;(MAX((1=Z$12:Z233)*ROW(Z$12:Z233),ROW($T$12))&amp;":AA"&amp;(ROW()-1)))),1,0))=16),MIN(LOOKUP(,-1/($Z$12:Z234=1),$C$12:C234)+LOOKUP(,-1/($Z$12:Z234=1),$H$12:H234)-SUM(INDIRECT("T"&amp;(MAX((1=Z$12:Z233)*ROW(Z$12:Z233),ROW($T$12))&amp;":T"&amp;(ROW()-1)))),Первоначальный[[#This Row],[Полученный платеж]]+Y233),
S233&gt;0,MIN(LOOKUP(,-1/($Z$12:Z234=1),$C$12:C234)+LOOKUP(,-1/($Z$12:Z234=1),$H$12:H234)-IF(Z233=1,0,SUM(INDIRECT("T"&amp;(MAX((1=Z$12:Z233)*ROW(Z$12:Z233)+1,ROW($T$12))&amp;":T"&amp;(ROW()-1))))),Первоначальный[[#This Row],[Полученный платеж]]+Y233)
)
)
)</f>
        <v>0</v>
      </c>
      <c r="U23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платеж]]+Y233-Первоначальный[[#This Row],[Полученный платёж по процентам]])</f>
        <v>0</v>
      </c>
      <c r="V234" s="55">
        <f t="shared" ca="1" si="37"/>
        <v>0</v>
      </c>
      <c r="W234" s="55" cm="1">
        <f t="array" aca="1" ref="W234" ca="1">IF(Первоначальный[[#This Row],[Итого остаток на начало периода]]&lt;1,0,
_xlfn.IFS(
AND(TYPE(VLOOKUP(1,$Z$12:Z234,1,0))=16,Первоначальный[[#This Row],[Досрочное погашение (да/"")]]=""),0,
AND(S233=0,Первоначальный[[#This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платеж]]+Y233-SUM(Первоначальный[[#This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комиссиям]]),VLOOKUP(LOOKUP(,-1/($Z$12:Z234=1),$A$12:A234),График[[Срок конец]:[Возврат основной суммы долга]],3,0)),
AND(S233=0,Первоначальный[[#This Row],[Дата платежа из графика]]="",Первоначальный[[#This Row],[Досрочное погашение (да/"")]]&lt;&gt;"Да"),0,
AND(S233=0,Первоначальный[[#This Row],[Досрочное погашение (да/"")]]=""),MIN(Первоначальный[[#This Row],[Полученный платеж]]+Y233-SUM(Первоначальный[[#This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комиссиям]]),VLOOKUP(LOOKUP(,-1/($Z$12:Z234=1),$A$12:A234),График[[Срок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платеж]]+Y233-SUM(Первоначальный[[#This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S233&gt;0,MIN(Первоначальный[[#This Row],[Полученный платеж]]+Y233-SUM(Первоначальный[[#This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комиссиям]]),SUM(INDIRECT("M"&amp;(MAX((1=S$12:S233)*ROW(S$12:S233),ROW($W$12))&amp;":M"&amp;(ROW()))))-SUM(INDIRECT("W"&amp;(MAX((1=S$12:S233)*ROW(S$12:S233),ROW($W$12))&amp;":W"&amp;(ROW()-1)))))
)
)</f>
        <v>0</v>
      </c>
      <c r="X234" s="55">
        <f t="shared" ca="1" si="38"/>
        <v>0</v>
      </c>
      <c r="Y234" s="101">
        <f t="shared" ca="1" si="45"/>
        <v>0</v>
      </c>
      <c r="Z234" s="133" t="str">
        <f>IF(TYPE((VLOOKUP(Первоначальный[[#This Row],[Дата платежа]],График[Срок конец],1,0)))=16,"",1)</f>
        <v/>
      </c>
      <c r="AA234" s="57"/>
      <c r="AB234" s="134"/>
      <c r="AC23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3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12953.410000000002</v>
      </c>
      <c r="AE23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86.569999999999965</v>
      </c>
      <c r="AF23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3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5104.5604262295074</v>
      </c>
      <c r="AH234" s="55"/>
      <c r="AI234" s="55"/>
      <c r="AJ234" s="55"/>
      <c r="AK234" s="101">
        <f t="shared" ca="1" si="46"/>
        <v>167777.8804262295</v>
      </c>
      <c r="AL234" s="129">
        <f t="array" ref="AL234">MAX((УслРестрактов[Характеристика]="Дата реструктуризации")*(УслРестрактов[Значение]=Первоначальный!$A234),0)</f>
        <v>0</v>
      </c>
    </row>
    <row r="235" spans="1:38" x14ac:dyDescent="0.25">
      <c r="A235" s="97">
        <f t="shared" si="39"/>
        <v>44366</v>
      </c>
      <c r="B235" s="100">
        <f t="shared" ca="1" si="40"/>
        <v>149633.34</v>
      </c>
      <c r="C235" s="55">
        <f t="shared" ca="1" si="48"/>
        <v>12953.410000000002</v>
      </c>
      <c r="D235" s="55">
        <f t="shared" ca="1" si="48"/>
        <v>86.569999999999965</v>
      </c>
      <c r="E235" s="55">
        <f t="shared" ca="1" si="41"/>
        <v>0</v>
      </c>
      <c r="F235" s="55">
        <f t="shared" ca="1" si="42"/>
        <v>5104.5604262295074</v>
      </c>
      <c r="G235" s="101">
        <f t="shared" ca="1" si="43"/>
        <v>167777.8804262295</v>
      </c>
      <c r="H235" s="100">
        <f ca="1">ROUND($B235*VLOOKUP($A235,$A$1:$B$10,2,1)/(365+IF(MOD(YEAR($A235),4),0,1)*($A235-$A234)),2)-Первоначальный[[#This Row],[Проценты на просроченный платеж по ОД за период]]</f>
        <v>80.36</v>
      </c>
      <c r="I235" s="55">
        <f t="shared" ca="1" si="44"/>
        <v>1.22</v>
      </c>
      <c r="J235" s="55">
        <v>0</v>
      </c>
      <c r="K235" s="55">
        <f t="shared" ca="1" si="47"/>
        <v>72.358503278688531</v>
      </c>
      <c r="L235" s="55">
        <v>0</v>
      </c>
      <c r="M235" s="113">
        <f>SUMIFS(График[Возврат основной суммы долга],График[Дата с учетом нерабочих дней],$A235)</f>
        <v>0</v>
      </c>
      <c r="N235" s="56">
        <f>SUMIFS(График[Возврат начисленных %],График[Дата с учетом нерабочих дней],$A235)</f>
        <v>0</v>
      </c>
      <c r="O235" s="101">
        <v>0</v>
      </c>
      <c r="P235" s="100" cm="1">
        <f t="array" aca="1" ref="P235" ca="1">MAX(IF(AA234="Да",0,SUM(INDIRECT("M"&amp;(MAX(("Да"=AA$12:AA234)*ROW(AA$12:AA234)+1,ROW($P$12))&amp;":M"&amp;(ROW()))))-SUM(INDIRECT("W"&amp;(MAX(("Да"=AA$12:AA234)*ROW(AA$12:AA234)+1,ROW($P$12))&amp;":W"&amp;(ROW()))))),0)</f>
        <v>2242.1899999999991</v>
      </c>
      <c r="Q235" s="99">
        <f ca="1">MAX(SUM($N$13:N235)-SUM($T$13:T235),0)</f>
        <v>12229.510655737706</v>
      </c>
      <c r="R235" s="99">
        <f ca="1">Первоначальный[[#This Row],[Просроченный платеж по ОД]]+Первоначальный[[#This Row],[Просроченный платеж по процентам]]</f>
        <v>14471.700655737704</v>
      </c>
      <c r="S235" s="120">
        <f ca="1">IF(Первоначальный[[#This Row],[Просроченный платеж]]&lt;1,0,S234+1)</f>
        <v>131</v>
      </c>
      <c r="T235" s="100" cm="1">
        <f t="array" aca="1" ref="T235" ca="1">IF(Первоначальный[[#This Row],[Итого остаток на начало периода]]&lt;1,0,
IF(
AND(TYPE(VLOOKUP(1,$Z$12:Z235,1,0))=16,Первоначальный[[#This Row],[Досрочное погашение (да/"")]]=""),0,
_xlfn.IFS(AND(S234=0,Первоначальный[[#This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платеж]]&lt;&gt;0),MIN(LOOKUP(,-1/($Z$12:Z235=1),$C$12:C235)+LOOKUP(,-1/($Z$12:Z235=1),$H$12:H235),Первоначальный[[#This Row],[Полученный платеж]]+Y234),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платеж]]+Y234,SUM(Первоначальный[[#This Row],[Остаток процентов на начало периода]],Первоначальный[[#This Row],[Проценты за период]])),
AND(S234=0,Первоначальный[[#This Row],[Дата платежа из графика]]=""),0,
AND(S234=0,Первоначальный[[#This Row],[Дата платежа из графика]]=1,MAX((0&lt;&gt;S$12:S234)*ROW(S$12:S234),ROW($S$12))&gt;=MAX((1=Z$12:Z234)*ROW(Z$12:Z234),ROW($T$12)),TYPE(VLOOKUP("Да",(INDIRECT("AA"&amp;(MAX((1=Z$12:Z234)*ROW(Z$12:Z234),ROW($T$12))&amp;":AA"&amp;(ROW()-1)))),1,0))=16),MIN(LOOKUP(,-1/($Z$12:Z235=1),$C$12:C235)+LOOKUP(,-1/($Z$12:Z235=1),$H$12:H235),Первоначальный[[#This Row],[Полученный платеж]]+Y234),
AND(S234=0,TYPE(VLOOKUP("Да",(INDIRECT("AA"&amp;(MAX((1=Z$12:Z234)*ROW(Z$12:Z234),ROW($T$12))&amp;":AA"&amp;(ROW()-1)))),1,0))&lt;&gt;16),MIN(LOOKUP(,-1/($Z$12:Z235=1),$C$12:C235)+LOOKUP(,-1/($Z$12:Z235=1),$H$12:H235)-IF(AA234="Да",0,SUM(INDIRECT("T"&amp;(MAX(("Да"=AA$12:AA234)*ROW(AA$12:AA234)+1,ROW($T$12))&amp;":T"&amp;(ROW()-1))))),Первоначальный[[#This Row],[Полученный платеж]]+Y234),
AND(S234=0,MAX((0&lt;&gt;N$12:N234)*ROW(N$12:N234),ROW($S$12))&gt;=MAX((1=Z$12:Z234)*ROW(Z$12:Z234),ROW($T$12))),MIN(LOOKUP(,-1/($Z$12:Z235=1),$C$12:C235)+LOOKUP(,-1/($Z$12:Z235=1),$H$12:H235)-IF(N234&lt;&gt;0,0,SUM(INDIRECT("T"&amp;(MAX((0&lt;&gt;N$12:N234)*ROW(N$12:N234)+1,ROW($T$12))&amp;":T"&amp;(ROW()-1))))),Первоначальный[[#This Row],[Полученный платеж]]+Y234),
AND(S234=0,Первоначальный[[#This Row],[Дата платежа из графика]]=1),MIN(LOOKUP(,-1/($Z$12:Z235=1),$C$12:C235)+LOOKUP(,-1/($Z$12:Z235=1),$H$12:H235)-IF(Z234=1,0,SUM(INDIRECT("T"&amp;(MAX((1=Z$12:Z234)*ROW(Z$12:Z234)+1,ROW($T$12))&amp;":T"&amp;(ROW()-1))))),Первоначальный[[#This Row],[Полученный платеж]]+Y234),
AND(Z234&gt;0,Первоначальный[[#This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платеж]]+Y234),
AND(S234&gt;0,MAX((0&lt;&gt;S$12:S234)*ROW(S$12:S234),ROW($S$12))&gt;=MAX((1=Z$12:Z234)*ROW(Z$12:Z234),ROW($T$12)),TYPE(VLOOKUP("Да",(INDIRECT("AA"&amp;(MAX((1=Z$12:Z234)*ROW(Z$12:Z234),ROW($T$12))&amp;":AA"&amp;(ROW()-1)))),1,0))=16),MIN(LOOKUP(,-1/($Z$12:Z235=1),$C$12:C235)+LOOKUP(,-1/($Z$12:Z235=1),$H$12:H235)-SUM(INDIRECT("T"&amp;(MAX((1=Z$12:Z234)*ROW(Z$12:Z234),ROW($T$12))&amp;":T"&amp;(ROW()-1)))),Первоначальный[[#This Row],[Полученный платеж]]+Y234),
S234&gt;0,MIN(LOOKUP(,-1/($Z$12:Z235=1),$C$12:C235)+LOOKUP(,-1/($Z$12:Z235=1),$H$12:H235)-IF(Z234=1,0,SUM(INDIRECT("T"&amp;(MAX((1=Z$12:Z234)*ROW(Z$12:Z234)+1,ROW($T$12))&amp;":T"&amp;(ROW()-1))))),Первоначальный[[#This Row],[Полученный платеж]]+Y234)
)
)
)</f>
        <v>0</v>
      </c>
      <c r="U23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платеж]]+Y234-Первоначальный[[#This Row],[Полученный платёж по процентам]])</f>
        <v>0</v>
      </c>
      <c r="V235" s="55">
        <f t="shared" ca="1" si="37"/>
        <v>0</v>
      </c>
      <c r="W235" s="55" cm="1">
        <f t="array" aca="1" ref="W235" ca="1">IF(Первоначальный[[#This Row],[Итого остаток на начало периода]]&lt;1,0,
_xlfn.IFS(
AND(TYPE(VLOOKUP(1,$Z$12:Z235,1,0))=16,Первоначальный[[#This Row],[Досрочное погашение (да/"")]]=""),0,
AND(S234=0,Первоначальный[[#This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платеж]]+Y234-SUM(Первоначальный[[#This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комиссиям]]),VLOOKUP(LOOKUP(,-1/($Z$12:Z235=1),$A$12:A235),График[[Срок конец]:[Возврат основной суммы долга]],3,0)),
AND(S234=0,Первоначальный[[#This Row],[Дата платежа из графика]]="",Первоначальный[[#This Row],[Досрочное погашение (да/"")]]&lt;&gt;"Да"),0,
AND(S234=0,Первоначальный[[#This Row],[Досрочное погашение (да/"")]]=""),MIN(Первоначальный[[#This Row],[Полученный платеж]]+Y234-SUM(Первоначальный[[#This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комиссиям]]),VLOOKUP(LOOKUP(,-1/($Z$12:Z235=1),$A$12:A235),График[[Срок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платеж]]+Y234-SUM(Первоначальный[[#This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S234&gt;0,MIN(Первоначальный[[#This Row],[Полученный платеж]]+Y234-SUM(Первоначальный[[#This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комиссиям]]),SUM(INDIRECT("M"&amp;(MAX((1=S$12:S234)*ROW(S$12:S234),ROW($W$12))&amp;":M"&amp;(ROW()))))-SUM(INDIRECT("W"&amp;(MAX((1=S$12:S234)*ROW(S$12:S234),ROW($W$12))&amp;":W"&amp;(ROW()-1)))))
)
)</f>
        <v>0</v>
      </c>
      <c r="X235" s="55">
        <f t="shared" ca="1" si="38"/>
        <v>0</v>
      </c>
      <c r="Y235" s="101">
        <f t="shared" ca="1" si="45"/>
        <v>0</v>
      </c>
      <c r="Z235" s="133" t="str">
        <f>IF(TYPE((VLOOKUP(Первоначальный[[#This Row],[Дата платежа]],График[Срок конец],1,0)))=16,"",1)</f>
        <v/>
      </c>
      <c r="AA235" s="57"/>
      <c r="AB235" s="134"/>
      <c r="AC23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3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13033.770000000002</v>
      </c>
      <c r="AE23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87.789999999999964</v>
      </c>
      <c r="AF23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3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5176.918929508196</v>
      </c>
      <c r="AH235" s="55"/>
      <c r="AI235" s="55"/>
      <c r="AJ235" s="55"/>
      <c r="AK235" s="101">
        <f t="shared" ca="1" si="46"/>
        <v>167931.81892950818</v>
      </c>
      <c r="AL235" s="129">
        <f t="array" ref="AL235">MAX((УслРестрактов[Характеристика]="Дата реструктуризации")*(УслРестрактов[Значение]=Первоначальный!$A235),0)</f>
        <v>0</v>
      </c>
    </row>
    <row r="236" spans="1:38" x14ac:dyDescent="0.25">
      <c r="A236" s="97">
        <f t="shared" si="39"/>
        <v>44367</v>
      </c>
      <c r="B236" s="100">
        <f t="shared" ca="1" si="40"/>
        <v>149633.34</v>
      </c>
      <c r="C236" s="55">
        <f t="shared" ca="1" si="48"/>
        <v>13033.770000000002</v>
      </c>
      <c r="D236" s="55">
        <f t="shared" ca="1" si="48"/>
        <v>87.789999999999964</v>
      </c>
      <c r="E236" s="55">
        <f t="shared" ca="1" si="41"/>
        <v>0</v>
      </c>
      <c r="F236" s="55">
        <f t="shared" ca="1" si="42"/>
        <v>5176.918929508196</v>
      </c>
      <c r="G236" s="101">
        <f t="shared" ca="1" si="43"/>
        <v>167931.81892950818</v>
      </c>
      <c r="H236" s="100">
        <f ca="1">ROUND($B236*VLOOKUP($A236,$A$1:$B$10,2,1)/(365+IF(MOD(YEAR($A236),4),0,1)*($A236-$A235)),2)-Первоначальный[[#This Row],[Проценты на просроченный платеж по ОД за период]]</f>
        <v>80.36</v>
      </c>
      <c r="I236" s="55">
        <f t="shared" ca="1" si="44"/>
        <v>1.22</v>
      </c>
      <c r="J236" s="55">
        <v>0</v>
      </c>
      <c r="K236" s="55">
        <f t="shared" ca="1" si="47"/>
        <v>72.358503278688531</v>
      </c>
      <c r="L236" s="55">
        <v>0</v>
      </c>
      <c r="M236" s="113">
        <f>SUMIFS(График[Возврат основной суммы долга],График[Дата с учетом нерабочих дней],$A236)</f>
        <v>0</v>
      </c>
      <c r="N236" s="56">
        <f>SUMIFS(График[Возврат начисленных %],График[Дата с учетом нерабочих дней],$A236)</f>
        <v>0</v>
      </c>
      <c r="O236" s="101">
        <v>0</v>
      </c>
      <c r="P236" s="100" cm="1">
        <f t="array" aca="1" ref="P236" ca="1">MAX(IF(AA235="Да",0,SUM(INDIRECT("M"&amp;(MAX(("Да"=AA$12:AA235)*ROW(AA$12:AA235)+1,ROW($P$12))&amp;":M"&amp;(ROW()))))-SUM(INDIRECT("W"&amp;(MAX(("Да"=AA$12:AA235)*ROW(AA$12:AA235)+1,ROW($P$12))&amp;":W"&amp;(ROW()))))),0)</f>
        <v>2242.1899999999991</v>
      </c>
      <c r="Q236" s="99">
        <f ca="1">MAX(SUM($N$13:N236)-SUM($T$13:T236),0)</f>
        <v>12229.510655737706</v>
      </c>
      <c r="R236" s="99">
        <f ca="1">Первоначальный[[#This Row],[Просроченный платеж по ОД]]+Первоначальный[[#This Row],[Просроченный платеж по процентам]]</f>
        <v>14471.700655737704</v>
      </c>
      <c r="S236" s="120">
        <f ca="1">IF(Первоначальный[[#This Row],[Просроченный платеж]]&lt;1,0,S235+1)</f>
        <v>132</v>
      </c>
      <c r="T236" s="100" cm="1">
        <f t="array" aca="1" ref="T236" ca="1">IF(Первоначальный[[#This Row],[Итого остаток на начало периода]]&lt;1,0,
IF(
AND(TYPE(VLOOKUP(1,$Z$12:Z236,1,0))=16,Первоначальный[[#This Row],[Досрочное погашение (да/"")]]=""),0,
_xlfn.IFS(AND(S235=0,Первоначальный[[#This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платеж]]&lt;&gt;0),MIN(LOOKUP(,-1/($Z$12:Z236=1),$C$12:C236)+LOOKUP(,-1/($Z$12:Z236=1),$H$12:H236),Первоначальный[[#This Row],[Полученный платеж]]+Y235),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платеж]]+Y235,SUM(Первоначальный[[#This Row],[Остаток процентов на начало периода]],Первоначальный[[#This Row],[Проценты за период]])),
AND(S235=0,Первоначальный[[#This Row],[Дата платежа из графика]]=""),0,
AND(S235=0,Первоначальный[[#This Row],[Дата платежа из графика]]=1,MAX((0&lt;&gt;S$12:S235)*ROW(S$12:S235),ROW($S$12))&gt;=MAX((1=Z$12:Z235)*ROW(Z$12:Z235),ROW($T$12)),TYPE(VLOOKUP("Да",(INDIRECT("AA"&amp;(MAX((1=Z$12:Z235)*ROW(Z$12:Z235),ROW($T$12))&amp;":AA"&amp;(ROW()-1)))),1,0))=16),MIN(LOOKUP(,-1/($Z$12:Z236=1),$C$12:C236)+LOOKUP(,-1/($Z$12:Z236=1),$H$12:H236),Первоначальный[[#This Row],[Полученный платеж]]+Y235),
AND(S235=0,TYPE(VLOOKUP("Да",(INDIRECT("AA"&amp;(MAX((1=Z$12:Z235)*ROW(Z$12:Z235),ROW($T$12))&amp;":AA"&amp;(ROW()-1)))),1,0))&lt;&gt;16),MIN(LOOKUP(,-1/($Z$12:Z236=1),$C$12:C236)+LOOKUP(,-1/($Z$12:Z236=1),$H$12:H236)-IF(AA235="Да",0,SUM(INDIRECT("T"&amp;(MAX(("Да"=AA$12:AA235)*ROW(AA$12:AA235)+1,ROW($T$12))&amp;":T"&amp;(ROW()-1))))),Первоначальный[[#This Row],[Полученный платеж]]+Y235),
AND(S235=0,MAX((0&lt;&gt;N$12:N235)*ROW(N$12:N235),ROW($S$12))&gt;=MAX((1=Z$12:Z235)*ROW(Z$12:Z235),ROW($T$12))),MIN(LOOKUP(,-1/($Z$12:Z236=1),$C$12:C236)+LOOKUP(,-1/($Z$12:Z236=1),$H$12:H236)-IF(N235&lt;&gt;0,0,SUM(INDIRECT("T"&amp;(MAX((0&lt;&gt;N$12:N235)*ROW(N$12:N235)+1,ROW($T$12))&amp;":T"&amp;(ROW()-1))))),Первоначальный[[#This Row],[Полученный платеж]]+Y235),
AND(S235=0,Первоначальный[[#This Row],[Дата платежа из графика]]=1),MIN(LOOKUP(,-1/($Z$12:Z236=1),$C$12:C236)+LOOKUP(,-1/($Z$12:Z236=1),$H$12:H236)-IF(Z235=1,0,SUM(INDIRECT("T"&amp;(MAX((1=Z$12:Z235)*ROW(Z$12:Z235)+1,ROW($T$12))&amp;":T"&amp;(ROW()-1))))),Первоначальный[[#This Row],[Полученный платеж]]+Y235),
AND(Z235&gt;0,Первоначальный[[#This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платеж]]+Y235),
AND(S235&gt;0,MAX((0&lt;&gt;S$12:S235)*ROW(S$12:S235),ROW($S$12))&gt;=MAX((1=Z$12:Z235)*ROW(Z$12:Z235),ROW($T$12)),TYPE(VLOOKUP("Да",(INDIRECT("AA"&amp;(MAX((1=Z$12:Z235)*ROW(Z$12:Z235),ROW($T$12))&amp;":AA"&amp;(ROW()-1)))),1,0))=16),MIN(LOOKUP(,-1/($Z$12:Z236=1),$C$12:C236)+LOOKUP(,-1/($Z$12:Z236=1),$H$12:H236)-SUM(INDIRECT("T"&amp;(MAX((1=Z$12:Z235)*ROW(Z$12:Z235),ROW($T$12))&amp;":T"&amp;(ROW()-1)))),Первоначальный[[#This Row],[Полученный платеж]]+Y235),
S235&gt;0,MIN(LOOKUP(,-1/($Z$12:Z236=1),$C$12:C236)+LOOKUP(,-1/($Z$12:Z236=1),$H$12:H236)-IF(Z235=1,0,SUM(INDIRECT("T"&amp;(MAX((1=Z$12:Z235)*ROW(Z$12:Z235)+1,ROW($T$12))&amp;":T"&amp;(ROW()-1))))),Первоначальный[[#This Row],[Полученный платеж]]+Y235)
)
)
)</f>
        <v>0</v>
      </c>
      <c r="U23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платеж]]+Y235-Первоначальный[[#This Row],[Полученный платёж по процентам]])</f>
        <v>0</v>
      </c>
      <c r="V236" s="55">
        <f t="shared" ca="1" si="37"/>
        <v>0</v>
      </c>
      <c r="W236" s="55" cm="1">
        <f t="array" aca="1" ref="W236" ca="1">IF(Первоначальный[[#This Row],[Итого остаток на начало периода]]&lt;1,0,
_xlfn.IFS(
AND(TYPE(VLOOKUP(1,$Z$12:Z236,1,0))=16,Первоначальный[[#This Row],[Досрочное погашение (да/"")]]=""),0,
AND(S235=0,Первоначальный[[#This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платеж]]+Y235-SUM(Первоначальный[[#This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комиссиям]]),VLOOKUP(LOOKUP(,-1/($Z$12:Z236=1),$A$12:A236),График[[Срок конец]:[Возврат основной суммы долга]],3,0)),
AND(S235=0,Первоначальный[[#This Row],[Дата платежа из графика]]="",Первоначальный[[#This Row],[Досрочное погашение (да/"")]]&lt;&gt;"Да"),0,
AND(S235=0,Первоначальный[[#This Row],[Досрочное погашение (да/"")]]=""),MIN(Первоначальный[[#This Row],[Полученный платеж]]+Y235-SUM(Первоначальный[[#This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комиссиям]]),VLOOKUP(LOOKUP(,-1/($Z$12:Z236=1),$A$12:A236),График[[Срок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платеж]]+Y235-SUM(Первоначальный[[#This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S235&gt;0,MIN(Первоначальный[[#This Row],[Полученный платеж]]+Y235-SUM(Первоначальный[[#This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комиссиям]]),SUM(INDIRECT("M"&amp;(MAX((1=S$12:S235)*ROW(S$12:S235),ROW($W$12))&amp;":M"&amp;(ROW()))))-SUM(INDIRECT("W"&amp;(MAX((1=S$12:S235)*ROW(S$12:S235),ROW($W$12))&amp;":W"&amp;(ROW()-1)))))
)
)</f>
        <v>0</v>
      </c>
      <c r="X236" s="55">
        <f t="shared" ca="1" si="38"/>
        <v>0</v>
      </c>
      <c r="Y236" s="101">
        <f t="shared" ca="1" si="45"/>
        <v>0</v>
      </c>
      <c r="Z236" s="133" t="str">
        <f>IF(TYPE((VLOOKUP(Первоначальный[[#This Row],[Дата платежа]],График[Срок конец],1,0)))=16,"",1)</f>
        <v/>
      </c>
      <c r="AA236" s="57"/>
      <c r="AB236" s="134"/>
      <c r="AC23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3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13114.130000000003</v>
      </c>
      <c r="AE23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89.009999999999962</v>
      </c>
      <c r="AF23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3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5249.2774327868847</v>
      </c>
      <c r="AH236" s="55"/>
      <c r="AI236" s="55"/>
      <c r="AJ236" s="55"/>
      <c r="AK236" s="101">
        <f t="shared" ca="1" si="46"/>
        <v>168085.75743278689</v>
      </c>
      <c r="AL236" s="129">
        <f t="array" ref="AL236">MAX((УслРестрактов[Характеристика]="Дата реструктуризации")*(УслРестрактов[Значение]=Первоначальный!$A236),0)</f>
        <v>0</v>
      </c>
    </row>
    <row r="237" spans="1:38" x14ac:dyDescent="0.25">
      <c r="A237" s="97">
        <f t="shared" si="39"/>
        <v>44368</v>
      </c>
      <c r="B237" s="100">
        <f t="shared" ca="1" si="40"/>
        <v>149633.34</v>
      </c>
      <c r="C237" s="55">
        <f t="shared" ca="1" si="48"/>
        <v>13114.130000000003</v>
      </c>
      <c r="D237" s="55">
        <f t="shared" ca="1" si="48"/>
        <v>89.009999999999962</v>
      </c>
      <c r="E237" s="55">
        <f t="shared" ca="1" si="41"/>
        <v>0</v>
      </c>
      <c r="F237" s="55">
        <f t="shared" ca="1" si="42"/>
        <v>5249.2774327868847</v>
      </c>
      <c r="G237" s="101">
        <f t="shared" ca="1" si="43"/>
        <v>168085.75743278689</v>
      </c>
      <c r="H237" s="100">
        <f ca="1">ROUND($B237*VLOOKUP($A237,$A$1:$B$10,2,1)/(365+IF(MOD(YEAR($A237),4),0,1)*($A237-$A236)),2)-Первоначальный[[#This Row],[Проценты на просроченный платеж по ОД за период]]</f>
        <v>80.36</v>
      </c>
      <c r="I237" s="55">
        <f t="shared" ca="1" si="44"/>
        <v>1.22</v>
      </c>
      <c r="J237" s="55">
        <v>0</v>
      </c>
      <c r="K237" s="55">
        <f t="shared" ca="1" si="47"/>
        <v>72.358503278688531</v>
      </c>
      <c r="L237" s="55">
        <v>0</v>
      </c>
      <c r="M237" s="113">
        <f>SUMIFS(График[Возврат основной суммы долга],График[Дата с учетом нерабочих дней],$A237)</f>
        <v>0</v>
      </c>
      <c r="N237" s="56">
        <f>SUMIFS(График[Возврат начисленных %],График[Дата с учетом нерабочих дней],$A237)</f>
        <v>0</v>
      </c>
      <c r="O237" s="101">
        <v>0</v>
      </c>
      <c r="P237" s="100" cm="1">
        <f t="array" aca="1" ref="P237" ca="1">MAX(IF(AA236="Да",0,SUM(INDIRECT("M"&amp;(MAX(("Да"=AA$12:AA236)*ROW(AA$12:AA236)+1,ROW($P$12))&amp;":M"&amp;(ROW()))))-SUM(INDIRECT("W"&amp;(MAX(("Да"=AA$12:AA236)*ROW(AA$12:AA236)+1,ROW($P$12))&amp;":W"&amp;(ROW()))))),0)</f>
        <v>2242.1899999999991</v>
      </c>
      <c r="Q237" s="99">
        <f ca="1">MAX(SUM($N$13:N237)-SUM($T$13:T237),0)</f>
        <v>12229.510655737706</v>
      </c>
      <c r="R237" s="99">
        <f ca="1">Первоначальный[[#This Row],[Просроченный платеж по ОД]]+Первоначальный[[#This Row],[Просроченный платеж по процентам]]</f>
        <v>14471.700655737704</v>
      </c>
      <c r="S237" s="120">
        <f ca="1">IF(Первоначальный[[#This Row],[Просроченный платеж]]&lt;1,0,S236+1)</f>
        <v>133</v>
      </c>
      <c r="T237" s="100" cm="1">
        <f t="array" aca="1" ref="T237" ca="1">IF(Первоначальный[[#This Row],[Итого остаток на начало периода]]&lt;1,0,
IF(
AND(TYPE(VLOOKUP(1,$Z$12:Z237,1,0))=16,Первоначальный[[#This Row],[Досрочное погашение (да/"")]]=""),0,
_xlfn.IFS(AND(S236=0,Первоначальный[[#This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платеж]]&lt;&gt;0),MIN(LOOKUP(,-1/($Z$12:Z237=1),$C$12:C237)+LOOKUP(,-1/($Z$12:Z237=1),$H$12:H237),Первоначальный[[#This Row],[Полученный платеж]]+Y236),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платеж]]+Y236,SUM(Первоначальный[[#This Row],[Остаток процентов на начало периода]],Первоначальный[[#This Row],[Проценты за период]])),
AND(S236=0,Первоначальный[[#This Row],[Дата платежа из графика]]=""),0,
AND(S236=0,Первоначальный[[#This Row],[Дата платежа из графика]]=1,MAX((0&lt;&gt;S$12:S236)*ROW(S$12:S236),ROW($S$12))&gt;=MAX((1=Z$12:Z236)*ROW(Z$12:Z236),ROW($T$12)),TYPE(VLOOKUP("Да",(INDIRECT("AA"&amp;(MAX((1=Z$12:Z236)*ROW(Z$12:Z236),ROW($T$12))&amp;":AA"&amp;(ROW()-1)))),1,0))=16),MIN(LOOKUP(,-1/($Z$12:Z237=1),$C$12:C237)+LOOKUP(,-1/($Z$12:Z237=1),$H$12:H237),Первоначальный[[#This Row],[Полученный платеж]]+Y236),
AND(S236=0,TYPE(VLOOKUP("Да",(INDIRECT("AA"&amp;(MAX((1=Z$12:Z236)*ROW(Z$12:Z236),ROW($T$12))&amp;":AA"&amp;(ROW()-1)))),1,0))&lt;&gt;16),MIN(LOOKUP(,-1/($Z$12:Z237=1),$C$12:C237)+LOOKUP(,-1/($Z$12:Z237=1),$H$12:H237)-IF(AA236="Да",0,SUM(INDIRECT("T"&amp;(MAX(("Да"=AA$12:AA236)*ROW(AA$12:AA236)+1,ROW($T$12))&amp;":T"&amp;(ROW()-1))))),Первоначальный[[#This Row],[Полученный платеж]]+Y236),
AND(S236=0,MAX((0&lt;&gt;N$12:N236)*ROW(N$12:N236),ROW($S$12))&gt;=MAX((1=Z$12:Z236)*ROW(Z$12:Z236),ROW($T$12))),MIN(LOOKUP(,-1/($Z$12:Z237=1),$C$12:C237)+LOOKUP(,-1/($Z$12:Z237=1),$H$12:H237)-IF(N236&lt;&gt;0,0,SUM(INDIRECT("T"&amp;(MAX((0&lt;&gt;N$12:N236)*ROW(N$12:N236)+1,ROW($T$12))&amp;":T"&amp;(ROW()-1))))),Первоначальный[[#This Row],[Полученный платеж]]+Y236),
AND(S236=0,Первоначальный[[#This Row],[Дата платежа из графика]]=1),MIN(LOOKUP(,-1/($Z$12:Z237=1),$C$12:C237)+LOOKUP(,-1/($Z$12:Z237=1),$H$12:H237)-IF(Z236=1,0,SUM(INDIRECT("T"&amp;(MAX((1=Z$12:Z236)*ROW(Z$12:Z236)+1,ROW($T$12))&amp;":T"&amp;(ROW()-1))))),Первоначальный[[#This Row],[Полученный платеж]]+Y236),
AND(Z236&gt;0,Первоначальный[[#This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платеж]]+Y236),
AND(S236&gt;0,MAX((0&lt;&gt;S$12:S236)*ROW(S$12:S236),ROW($S$12))&gt;=MAX((1=Z$12:Z236)*ROW(Z$12:Z236),ROW($T$12)),TYPE(VLOOKUP("Да",(INDIRECT("AA"&amp;(MAX((1=Z$12:Z236)*ROW(Z$12:Z236),ROW($T$12))&amp;":AA"&amp;(ROW()-1)))),1,0))=16),MIN(LOOKUP(,-1/($Z$12:Z237=1),$C$12:C237)+LOOKUP(,-1/($Z$12:Z237=1),$H$12:H237)-SUM(INDIRECT("T"&amp;(MAX((1=Z$12:Z236)*ROW(Z$12:Z236),ROW($T$12))&amp;":T"&amp;(ROW()-1)))),Первоначальный[[#This Row],[Полученный платеж]]+Y236),
S236&gt;0,MIN(LOOKUP(,-1/($Z$12:Z237=1),$C$12:C237)+LOOKUP(,-1/($Z$12:Z237=1),$H$12:H237)-IF(Z236=1,0,SUM(INDIRECT("T"&amp;(MAX((1=Z$12:Z236)*ROW(Z$12:Z236)+1,ROW($T$12))&amp;":T"&amp;(ROW()-1))))),Первоначальный[[#This Row],[Полученный платеж]]+Y236)
)
)
)</f>
        <v>0</v>
      </c>
      <c r="U23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платеж]]+Y236-Первоначальный[[#This Row],[Полученный платёж по процентам]])</f>
        <v>0</v>
      </c>
      <c r="V237" s="55">
        <f t="shared" ca="1" si="37"/>
        <v>0</v>
      </c>
      <c r="W237" s="55" cm="1">
        <f t="array" aca="1" ref="W237" ca="1">IF(Первоначальный[[#This Row],[Итого остаток на начало периода]]&lt;1,0,
_xlfn.IFS(
AND(TYPE(VLOOKUP(1,$Z$12:Z237,1,0))=16,Первоначальный[[#This Row],[Досрочное погашение (да/"")]]=""),0,
AND(S236=0,Первоначальный[[#This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платеж]]+Y236-SUM(Первоначальный[[#This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комиссиям]]),VLOOKUP(LOOKUP(,-1/($Z$12:Z237=1),$A$12:A237),График[[Срок конец]:[Возврат основной суммы долга]],3,0)),
AND(S236=0,Первоначальный[[#This Row],[Дата платежа из графика]]="",Первоначальный[[#This Row],[Досрочное погашение (да/"")]]&lt;&gt;"Да"),0,
AND(S236=0,Первоначальный[[#This Row],[Досрочное погашение (да/"")]]=""),MIN(Первоначальный[[#This Row],[Полученный платеж]]+Y236-SUM(Первоначальный[[#This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комиссиям]]),VLOOKUP(LOOKUP(,-1/($Z$12:Z237=1),$A$12:A237),График[[Срок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платеж]]+Y236-SUM(Первоначальный[[#This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S236&gt;0,MIN(Первоначальный[[#This Row],[Полученный платеж]]+Y236-SUM(Первоначальный[[#This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комиссиям]]),SUM(INDIRECT("M"&amp;(MAX((1=S$12:S236)*ROW(S$12:S236),ROW($W$12))&amp;":M"&amp;(ROW()))))-SUM(INDIRECT("W"&amp;(MAX((1=S$12:S236)*ROW(S$12:S236),ROW($W$12))&amp;":W"&amp;(ROW()-1)))))
)
)</f>
        <v>0</v>
      </c>
      <c r="X237" s="55">
        <f t="shared" ca="1" si="38"/>
        <v>0</v>
      </c>
      <c r="Y237" s="101">
        <f t="shared" ca="1" si="45"/>
        <v>0</v>
      </c>
      <c r="Z237" s="133" t="str">
        <f>IF(TYPE((VLOOKUP(Первоначальный[[#This Row],[Дата платежа]],График[Срок конец],1,0)))=16,"",1)</f>
        <v/>
      </c>
      <c r="AA237" s="57"/>
      <c r="AB237" s="134"/>
      <c r="AC23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3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13194.490000000003</v>
      </c>
      <c r="AE23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90.229999999999961</v>
      </c>
      <c r="AF23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3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5321.6359360655733</v>
      </c>
      <c r="AH237" s="55"/>
      <c r="AI237" s="55"/>
      <c r="AJ237" s="55"/>
      <c r="AK237" s="101">
        <f t="shared" ca="1" si="46"/>
        <v>168239.69593606557</v>
      </c>
      <c r="AL237" s="129">
        <f t="array" ref="AL237">MAX((УслРестрактов[Характеристика]="Дата реструктуризации")*(УслРестрактов[Значение]=Первоначальный!$A237),0)</f>
        <v>0</v>
      </c>
    </row>
    <row r="238" spans="1:38" x14ac:dyDescent="0.25">
      <c r="A238" s="97">
        <f t="shared" si="39"/>
        <v>44369</v>
      </c>
      <c r="B238" s="100">
        <f t="shared" ca="1" si="40"/>
        <v>149633.34</v>
      </c>
      <c r="C238" s="55">
        <f t="shared" ca="1" si="48"/>
        <v>13194.490000000003</v>
      </c>
      <c r="D238" s="55">
        <f t="shared" ca="1" si="48"/>
        <v>90.229999999999961</v>
      </c>
      <c r="E238" s="55">
        <f t="shared" ca="1" si="41"/>
        <v>0</v>
      </c>
      <c r="F238" s="55">
        <f t="shared" ca="1" si="42"/>
        <v>5321.6359360655733</v>
      </c>
      <c r="G238" s="101">
        <f t="shared" ca="1" si="43"/>
        <v>168239.69593606557</v>
      </c>
      <c r="H238" s="100">
        <f ca="1">ROUND($B238*VLOOKUP($A238,$A$1:$B$10,2,1)/(365+IF(MOD(YEAR($A238),4),0,1)*($A238-$A237)),2)-Первоначальный[[#This Row],[Проценты на просроченный платеж по ОД за период]]</f>
        <v>80.36</v>
      </c>
      <c r="I238" s="55">
        <f t="shared" ca="1" si="44"/>
        <v>1.22</v>
      </c>
      <c r="J238" s="55">
        <v>0</v>
      </c>
      <c r="K238" s="55">
        <f t="shared" ca="1" si="47"/>
        <v>72.358503278688531</v>
      </c>
      <c r="L238" s="55">
        <v>0</v>
      </c>
      <c r="M238" s="113">
        <f>SUMIFS(График[Возврат основной суммы долга],График[Дата с учетом нерабочих дней],$A238)</f>
        <v>0</v>
      </c>
      <c r="N238" s="56">
        <f>SUMIFS(График[Возврат начисленных %],График[Дата с учетом нерабочих дней],$A238)</f>
        <v>0</v>
      </c>
      <c r="O238" s="101">
        <v>0</v>
      </c>
      <c r="P238" s="100" cm="1">
        <f t="array" aca="1" ref="P238" ca="1">MAX(IF(AA237="Да",0,SUM(INDIRECT("M"&amp;(MAX(("Да"=AA$12:AA237)*ROW(AA$12:AA237)+1,ROW($P$12))&amp;":M"&amp;(ROW()))))-SUM(INDIRECT("W"&amp;(MAX(("Да"=AA$12:AA237)*ROW(AA$12:AA237)+1,ROW($P$12))&amp;":W"&amp;(ROW()))))),0)</f>
        <v>2242.1899999999991</v>
      </c>
      <c r="Q238" s="99">
        <f ca="1">MAX(SUM($N$13:N238)-SUM($T$13:T238),0)</f>
        <v>12229.510655737706</v>
      </c>
      <c r="R238" s="99">
        <f ca="1">Первоначальный[[#This Row],[Просроченный платеж по ОД]]+Первоначальный[[#This Row],[Просроченный платеж по процентам]]</f>
        <v>14471.700655737704</v>
      </c>
      <c r="S238" s="120">
        <f ca="1">IF(Первоначальный[[#This Row],[Просроченный платеж]]&lt;1,0,S237+1)</f>
        <v>134</v>
      </c>
      <c r="T238" s="100" cm="1">
        <f t="array" aca="1" ref="T238" ca="1">IF(Первоначальный[[#This Row],[Итого остаток на начало периода]]&lt;1,0,
IF(
AND(TYPE(VLOOKUP(1,$Z$12:Z238,1,0))=16,Первоначальный[[#This Row],[Досрочное погашение (да/"")]]=""),0,
_xlfn.IFS(AND(S237=0,Первоначальный[[#This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платеж]]&lt;&gt;0),MIN(LOOKUP(,-1/($Z$12:Z238=1),$C$12:C238)+LOOKUP(,-1/($Z$12:Z238=1),$H$12:H238),Первоначальный[[#This Row],[Полученный платеж]]+Y237),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платеж]]+Y237,SUM(Первоначальный[[#This Row],[Остаток процентов на начало периода]],Первоначальный[[#This Row],[Проценты за период]])),
AND(S237=0,Первоначальный[[#This Row],[Дата платежа из графика]]=""),0,
AND(S237=0,Первоначальный[[#This Row],[Дата платежа из графика]]=1,MAX((0&lt;&gt;S$12:S237)*ROW(S$12:S237),ROW($S$12))&gt;=MAX((1=Z$12:Z237)*ROW(Z$12:Z237),ROW($T$12)),TYPE(VLOOKUP("Да",(INDIRECT("AA"&amp;(MAX((1=Z$12:Z237)*ROW(Z$12:Z237),ROW($T$12))&amp;":AA"&amp;(ROW()-1)))),1,0))=16),MIN(LOOKUP(,-1/($Z$12:Z238=1),$C$12:C238)+LOOKUP(,-1/($Z$12:Z238=1),$H$12:H238),Первоначальный[[#This Row],[Полученный платеж]]+Y237),
AND(S237=0,TYPE(VLOOKUP("Да",(INDIRECT("AA"&amp;(MAX((1=Z$12:Z237)*ROW(Z$12:Z237),ROW($T$12))&amp;":AA"&amp;(ROW()-1)))),1,0))&lt;&gt;16),MIN(LOOKUP(,-1/($Z$12:Z238=1),$C$12:C238)+LOOKUP(,-1/($Z$12:Z238=1),$H$12:H238)-IF(AA237="Да",0,SUM(INDIRECT("T"&amp;(MAX(("Да"=AA$12:AA237)*ROW(AA$12:AA237)+1,ROW($T$12))&amp;":T"&amp;(ROW()-1))))),Первоначальный[[#This Row],[Полученный платеж]]+Y237),
AND(S237=0,MAX((0&lt;&gt;N$12:N237)*ROW(N$12:N237),ROW($S$12))&gt;=MAX((1=Z$12:Z237)*ROW(Z$12:Z237),ROW($T$12))),MIN(LOOKUP(,-1/($Z$12:Z238=1),$C$12:C238)+LOOKUP(,-1/($Z$12:Z238=1),$H$12:H238)-IF(N237&lt;&gt;0,0,SUM(INDIRECT("T"&amp;(MAX((0&lt;&gt;N$12:N237)*ROW(N$12:N237)+1,ROW($T$12))&amp;":T"&amp;(ROW()-1))))),Первоначальный[[#This Row],[Полученный платеж]]+Y237),
AND(S237=0,Первоначальный[[#This Row],[Дата платежа из графика]]=1),MIN(LOOKUP(,-1/($Z$12:Z238=1),$C$12:C238)+LOOKUP(,-1/($Z$12:Z238=1),$H$12:H238)-IF(Z237=1,0,SUM(INDIRECT("T"&amp;(MAX((1=Z$12:Z237)*ROW(Z$12:Z237)+1,ROW($T$12))&amp;":T"&amp;(ROW()-1))))),Первоначальный[[#This Row],[Полученный платеж]]+Y237),
AND(Z237&gt;0,Первоначальный[[#This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платеж]]+Y237),
AND(S237&gt;0,MAX((0&lt;&gt;S$12:S237)*ROW(S$12:S237),ROW($S$12))&gt;=MAX((1=Z$12:Z237)*ROW(Z$12:Z237),ROW($T$12)),TYPE(VLOOKUP("Да",(INDIRECT("AA"&amp;(MAX((1=Z$12:Z237)*ROW(Z$12:Z237),ROW($T$12))&amp;":AA"&amp;(ROW()-1)))),1,0))=16),MIN(LOOKUP(,-1/($Z$12:Z238=1),$C$12:C238)+LOOKUP(,-1/($Z$12:Z238=1),$H$12:H238)-SUM(INDIRECT("T"&amp;(MAX((1=Z$12:Z237)*ROW(Z$12:Z237),ROW($T$12))&amp;":T"&amp;(ROW()-1)))),Первоначальный[[#This Row],[Полученный платеж]]+Y237),
S237&gt;0,MIN(LOOKUP(,-1/($Z$12:Z238=1),$C$12:C238)+LOOKUP(,-1/($Z$12:Z238=1),$H$12:H238)-IF(Z237=1,0,SUM(INDIRECT("T"&amp;(MAX((1=Z$12:Z237)*ROW(Z$12:Z237)+1,ROW($T$12))&amp;":T"&amp;(ROW()-1))))),Первоначальный[[#This Row],[Полученный платеж]]+Y237)
)
)
)</f>
        <v>0</v>
      </c>
      <c r="U23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платеж]]+Y237-Первоначальный[[#This Row],[Полученный платёж по процентам]])</f>
        <v>0</v>
      </c>
      <c r="V238" s="55">
        <f t="shared" ca="1" si="37"/>
        <v>0</v>
      </c>
      <c r="W238" s="55" cm="1">
        <f t="array" aca="1" ref="W238" ca="1">IF(Первоначальный[[#This Row],[Итого остаток на начало периода]]&lt;1,0,
_xlfn.IFS(
AND(TYPE(VLOOKUP(1,$Z$12:Z238,1,0))=16,Первоначальный[[#This Row],[Досрочное погашение (да/"")]]=""),0,
AND(S237=0,Первоначальный[[#This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платеж]]+Y237-SUM(Первоначальный[[#This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комиссиям]]),VLOOKUP(LOOKUP(,-1/($Z$12:Z238=1),$A$12:A238),График[[Срок конец]:[Возврат основной суммы долга]],3,0)),
AND(S237=0,Первоначальный[[#This Row],[Дата платежа из графика]]="",Первоначальный[[#This Row],[Досрочное погашение (да/"")]]&lt;&gt;"Да"),0,
AND(S237=0,Первоначальный[[#This Row],[Досрочное погашение (да/"")]]=""),MIN(Первоначальный[[#This Row],[Полученный платеж]]+Y237-SUM(Первоначальный[[#This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комиссиям]]),VLOOKUP(LOOKUP(,-1/($Z$12:Z238=1),$A$12:A238),График[[Срок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платеж]]+Y237-SUM(Первоначальный[[#This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S237&gt;0,MIN(Первоначальный[[#This Row],[Полученный платеж]]+Y237-SUM(Первоначальный[[#This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комиссиям]]),SUM(INDIRECT("M"&amp;(MAX((1=S$12:S237)*ROW(S$12:S237),ROW($W$12))&amp;":M"&amp;(ROW()))))-SUM(INDIRECT("W"&amp;(MAX((1=S$12:S237)*ROW(S$12:S237),ROW($W$12))&amp;":W"&amp;(ROW()-1)))))
)
)</f>
        <v>0</v>
      </c>
      <c r="X238" s="55">
        <f t="shared" ca="1" si="38"/>
        <v>0</v>
      </c>
      <c r="Y238" s="101">
        <f t="shared" ca="1" si="45"/>
        <v>0</v>
      </c>
      <c r="Z238" s="133" t="str">
        <f>IF(TYPE((VLOOKUP(Первоначальный[[#This Row],[Дата платежа]],График[Срок конец],1,0)))=16,"",1)</f>
        <v/>
      </c>
      <c r="AA238" s="57"/>
      <c r="AB238" s="134"/>
      <c r="AC23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3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13274.850000000004</v>
      </c>
      <c r="AE23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91.44999999999996</v>
      </c>
      <c r="AF23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3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5393.994439344262</v>
      </c>
      <c r="AH238" s="55"/>
      <c r="AI238" s="55"/>
      <c r="AJ238" s="55"/>
      <c r="AK238" s="101">
        <f t="shared" ca="1" si="46"/>
        <v>168393.63443934429</v>
      </c>
      <c r="AL238" s="129">
        <f t="array" ref="AL238">MAX((УслРестрактов[Характеристика]="Дата реструктуризации")*(УслРестрактов[Значение]=Первоначальный!$A238),0)</f>
        <v>0</v>
      </c>
    </row>
    <row r="239" spans="1:38" x14ac:dyDescent="0.25">
      <c r="A239" s="97">
        <f t="shared" si="39"/>
        <v>44370</v>
      </c>
      <c r="B239" s="100">
        <f t="shared" ca="1" si="40"/>
        <v>149633.34</v>
      </c>
      <c r="C239" s="55">
        <f t="shared" ca="1" si="48"/>
        <v>13274.850000000004</v>
      </c>
      <c r="D239" s="55">
        <f t="shared" ca="1" si="48"/>
        <v>91.44999999999996</v>
      </c>
      <c r="E239" s="55">
        <f t="shared" ca="1" si="41"/>
        <v>0</v>
      </c>
      <c r="F239" s="55">
        <f t="shared" ca="1" si="42"/>
        <v>5393.994439344262</v>
      </c>
      <c r="G239" s="101">
        <f t="shared" ca="1" si="43"/>
        <v>168393.63443934429</v>
      </c>
      <c r="H239" s="100">
        <f ca="1">ROUND($B239*VLOOKUP($A239,$A$1:$B$10,2,1)/(365+IF(MOD(YEAR($A239),4),0,1)*($A239-$A238)),2)-Первоначальный[[#This Row],[Проценты на просроченный платеж по ОД за период]]</f>
        <v>80.36</v>
      </c>
      <c r="I239" s="55">
        <f t="shared" ca="1" si="44"/>
        <v>1.22</v>
      </c>
      <c r="J239" s="55">
        <v>0</v>
      </c>
      <c r="K239" s="55">
        <f t="shared" ca="1" si="47"/>
        <v>72.358503278688531</v>
      </c>
      <c r="L239" s="55">
        <v>0</v>
      </c>
      <c r="M239" s="113">
        <f>SUMIFS(График[Возврат основной суммы долга],График[Дата с учетом нерабочих дней],$A239)</f>
        <v>0</v>
      </c>
      <c r="N239" s="56">
        <f>SUMIFS(График[Возврат начисленных %],График[Дата с учетом нерабочих дней],$A239)</f>
        <v>0</v>
      </c>
      <c r="O239" s="101">
        <v>0</v>
      </c>
      <c r="P239" s="100" cm="1">
        <f t="array" aca="1" ref="P239" ca="1">MAX(IF(AA238="Да",0,SUM(INDIRECT("M"&amp;(MAX(("Да"=AA$12:AA238)*ROW(AA$12:AA238)+1,ROW($P$12))&amp;":M"&amp;(ROW()))))-SUM(INDIRECT("W"&amp;(MAX(("Да"=AA$12:AA238)*ROW(AA$12:AA238)+1,ROW($P$12))&amp;":W"&amp;(ROW()))))),0)</f>
        <v>2242.1899999999991</v>
      </c>
      <c r="Q239" s="99">
        <f ca="1">MAX(SUM($N$13:N239)-SUM($T$13:T239),0)</f>
        <v>12229.510655737706</v>
      </c>
      <c r="R239" s="99">
        <f ca="1">Первоначальный[[#This Row],[Просроченный платеж по ОД]]+Первоначальный[[#This Row],[Просроченный платеж по процентам]]</f>
        <v>14471.700655737704</v>
      </c>
      <c r="S239" s="120">
        <f ca="1">IF(Первоначальный[[#This Row],[Просроченный платеж]]&lt;1,0,S238+1)</f>
        <v>135</v>
      </c>
      <c r="T239" s="100" cm="1">
        <f t="array" aca="1" ref="T239" ca="1">IF(Первоначальный[[#This Row],[Итого остаток на начало периода]]&lt;1,0,
IF(
AND(TYPE(VLOOKUP(1,$Z$12:Z239,1,0))=16,Первоначальный[[#This Row],[Досрочное погашение (да/"")]]=""),0,
_xlfn.IFS(AND(S238=0,Первоначальный[[#This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платеж]]&lt;&gt;0),MIN(LOOKUP(,-1/($Z$12:Z239=1),$C$12:C239)+LOOKUP(,-1/($Z$12:Z239=1),$H$12:H239),Первоначальный[[#This Row],[Полученный платеж]]+Y238),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платеж]]+Y238,SUM(Первоначальный[[#This Row],[Остаток процентов на начало периода]],Первоначальный[[#This Row],[Проценты за период]])),
AND(S238=0,Первоначальный[[#This Row],[Дата платежа из графика]]=""),0,
AND(S238=0,Первоначальный[[#This Row],[Дата платежа из графика]]=1,MAX((0&lt;&gt;S$12:S238)*ROW(S$12:S238),ROW($S$12))&gt;=MAX((1=Z$12:Z238)*ROW(Z$12:Z238),ROW($T$12)),TYPE(VLOOKUP("Да",(INDIRECT("AA"&amp;(MAX((1=Z$12:Z238)*ROW(Z$12:Z238),ROW($T$12))&amp;":AA"&amp;(ROW()-1)))),1,0))=16),MIN(LOOKUP(,-1/($Z$12:Z239=1),$C$12:C239)+LOOKUP(,-1/($Z$12:Z239=1),$H$12:H239),Первоначальный[[#This Row],[Полученный платеж]]+Y238),
AND(S238=0,TYPE(VLOOKUP("Да",(INDIRECT("AA"&amp;(MAX((1=Z$12:Z238)*ROW(Z$12:Z238),ROW($T$12))&amp;":AA"&amp;(ROW()-1)))),1,0))&lt;&gt;16),MIN(LOOKUP(,-1/($Z$12:Z239=1),$C$12:C239)+LOOKUP(,-1/($Z$12:Z239=1),$H$12:H239)-IF(AA238="Да",0,SUM(INDIRECT("T"&amp;(MAX(("Да"=AA$12:AA238)*ROW(AA$12:AA238)+1,ROW($T$12))&amp;":T"&amp;(ROW()-1))))),Первоначальный[[#This Row],[Полученный платеж]]+Y238),
AND(S238=0,MAX((0&lt;&gt;N$12:N238)*ROW(N$12:N238),ROW($S$12))&gt;=MAX((1=Z$12:Z238)*ROW(Z$12:Z238),ROW($T$12))),MIN(LOOKUP(,-1/($Z$12:Z239=1),$C$12:C239)+LOOKUP(,-1/($Z$12:Z239=1),$H$12:H239)-IF(N238&lt;&gt;0,0,SUM(INDIRECT("T"&amp;(MAX((0&lt;&gt;N$12:N238)*ROW(N$12:N238)+1,ROW($T$12))&amp;":T"&amp;(ROW()-1))))),Первоначальный[[#This Row],[Полученный платеж]]+Y238),
AND(S238=0,Первоначальный[[#This Row],[Дата платежа из графика]]=1),MIN(LOOKUP(,-1/($Z$12:Z239=1),$C$12:C239)+LOOKUP(,-1/($Z$12:Z239=1),$H$12:H239)-IF(Z238=1,0,SUM(INDIRECT("T"&amp;(MAX((1=Z$12:Z238)*ROW(Z$12:Z238)+1,ROW($T$12))&amp;":T"&amp;(ROW()-1))))),Первоначальный[[#This Row],[Полученный платеж]]+Y238),
AND(Z238&gt;0,Первоначальный[[#This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платеж]]+Y238),
AND(S238&gt;0,MAX((0&lt;&gt;S$12:S238)*ROW(S$12:S238),ROW($S$12))&gt;=MAX((1=Z$12:Z238)*ROW(Z$12:Z238),ROW($T$12)),TYPE(VLOOKUP("Да",(INDIRECT("AA"&amp;(MAX((1=Z$12:Z238)*ROW(Z$12:Z238),ROW($T$12))&amp;":AA"&amp;(ROW()-1)))),1,0))=16),MIN(LOOKUP(,-1/($Z$12:Z239=1),$C$12:C239)+LOOKUP(,-1/($Z$12:Z239=1),$H$12:H239)-SUM(INDIRECT("T"&amp;(MAX((1=Z$12:Z238)*ROW(Z$12:Z238),ROW($T$12))&amp;":T"&amp;(ROW()-1)))),Первоначальный[[#This Row],[Полученный платеж]]+Y238),
S238&gt;0,MIN(LOOKUP(,-1/($Z$12:Z239=1),$C$12:C239)+LOOKUP(,-1/($Z$12:Z239=1),$H$12:H239)-IF(Z238=1,0,SUM(INDIRECT("T"&amp;(MAX((1=Z$12:Z238)*ROW(Z$12:Z238)+1,ROW($T$12))&amp;":T"&amp;(ROW()-1))))),Первоначальный[[#This Row],[Полученный платеж]]+Y238)
)
)
)</f>
        <v>0</v>
      </c>
      <c r="U23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платеж]]+Y238-Первоначальный[[#This Row],[Полученный платёж по процентам]])</f>
        <v>0</v>
      </c>
      <c r="V239" s="55">
        <f t="shared" ca="1" si="37"/>
        <v>0</v>
      </c>
      <c r="W239" s="55" cm="1">
        <f t="array" aca="1" ref="W239" ca="1">IF(Первоначальный[[#This Row],[Итого остаток на начало периода]]&lt;1,0,
_xlfn.IFS(
AND(TYPE(VLOOKUP(1,$Z$12:Z239,1,0))=16,Первоначальный[[#This Row],[Досрочное погашение (да/"")]]=""),0,
AND(S238=0,Первоначальный[[#This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платеж]]+Y238-SUM(Первоначальный[[#This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комиссиям]]),VLOOKUP(LOOKUP(,-1/($Z$12:Z239=1),$A$12:A239),График[[Срок конец]:[Возврат основной суммы долга]],3,0)),
AND(S238=0,Первоначальный[[#This Row],[Дата платежа из графика]]="",Первоначальный[[#This Row],[Досрочное погашение (да/"")]]&lt;&gt;"Да"),0,
AND(S238=0,Первоначальный[[#This Row],[Досрочное погашение (да/"")]]=""),MIN(Первоначальный[[#This Row],[Полученный платеж]]+Y238-SUM(Первоначальный[[#This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комиссиям]]),VLOOKUP(LOOKUP(,-1/($Z$12:Z239=1),$A$12:A239),График[[Срок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платеж]]+Y238-SUM(Первоначальный[[#This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S238&gt;0,MIN(Первоначальный[[#This Row],[Полученный платеж]]+Y238-SUM(Первоначальный[[#This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комиссиям]]),SUM(INDIRECT("M"&amp;(MAX((1=S$12:S238)*ROW(S$12:S238),ROW($W$12))&amp;":M"&amp;(ROW()))))-SUM(INDIRECT("W"&amp;(MAX((1=S$12:S238)*ROW(S$12:S238),ROW($W$12))&amp;":W"&amp;(ROW()-1)))))
)
)</f>
        <v>0</v>
      </c>
      <c r="X239" s="55">
        <f t="shared" ca="1" si="38"/>
        <v>0</v>
      </c>
      <c r="Y239" s="101">
        <f t="shared" ca="1" si="45"/>
        <v>0</v>
      </c>
      <c r="Z239" s="133" t="str">
        <f>IF(TYPE((VLOOKUP(Первоначальный[[#This Row],[Дата платежа]],График[Срок конец],1,0)))=16,"",1)</f>
        <v/>
      </c>
      <c r="AA239" s="57"/>
      <c r="AB239" s="134"/>
      <c r="AC23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3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13355.210000000005</v>
      </c>
      <c r="AE23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92.669999999999959</v>
      </c>
      <c r="AF23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3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5466.3529426229506</v>
      </c>
      <c r="AH239" s="55"/>
      <c r="AI239" s="55"/>
      <c r="AJ239" s="55"/>
      <c r="AK239" s="101">
        <f t="shared" ca="1" si="46"/>
        <v>168547.57294262294</v>
      </c>
      <c r="AL239" s="129">
        <f t="array" ref="AL239">MAX((УслРестрактов[Характеристика]="Дата реструктуризации")*(УслРестрактов[Значение]=Первоначальный!$A239),0)</f>
        <v>0</v>
      </c>
    </row>
    <row r="240" spans="1:38" x14ac:dyDescent="0.25">
      <c r="A240" s="97">
        <f t="shared" si="39"/>
        <v>44371</v>
      </c>
      <c r="B240" s="100">
        <f t="shared" ca="1" si="40"/>
        <v>149633.34</v>
      </c>
      <c r="C240" s="55">
        <f t="shared" ca="1" si="48"/>
        <v>13355.210000000005</v>
      </c>
      <c r="D240" s="55">
        <f t="shared" ca="1" si="48"/>
        <v>92.669999999999959</v>
      </c>
      <c r="E240" s="55">
        <f t="shared" ca="1" si="41"/>
        <v>0</v>
      </c>
      <c r="F240" s="55">
        <f t="shared" ca="1" si="42"/>
        <v>5466.3529426229506</v>
      </c>
      <c r="G240" s="101">
        <f t="shared" ca="1" si="43"/>
        <v>168547.57294262294</v>
      </c>
      <c r="H240" s="100">
        <f ca="1">ROUND($B240*VLOOKUP($A240,$A$1:$B$10,2,1)/(365+IF(MOD(YEAR($A240),4),0,1)*($A240-$A239)),2)-Первоначальный[[#This Row],[Проценты на просроченный платеж по ОД за период]]</f>
        <v>80.36</v>
      </c>
      <c r="I240" s="55">
        <f t="shared" ca="1" si="44"/>
        <v>1.22</v>
      </c>
      <c r="J240" s="55">
        <v>0</v>
      </c>
      <c r="K240" s="55">
        <f t="shared" ca="1" si="47"/>
        <v>72.358503278688531</v>
      </c>
      <c r="L240" s="55">
        <v>0</v>
      </c>
      <c r="M240" s="113">
        <f>SUMIFS(График[Возврат основной суммы долга],График[Дата с учетом нерабочих дней],$A240)</f>
        <v>0</v>
      </c>
      <c r="N240" s="56">
        <f>SUMIFS(График[Возврат начисленных %],График[Дата с учетом нерабочих дней],$A240)</f>
        <v>0</v>
      </c>
      <c r="O240" s="101">
        <v>0</v>
      </c>
      <c r="P240" s="100" cm="1">
        <f t="array" aca="1" ref="P240" ca="1">MAX(IF(AA239="Да",0,SUM(INDIRECT("M"&amp;(MAX(("Да"=AA$12:AA239)*ROW(AA$12:AA239)+1,ROW($P$12))&amp;":M"&amp;(ROW()))))-SUM(INDIRECT("W"&amp;(MAX(("Да"=AA$12:AA239)*ROW(AA$12:AA239)+1,ROW($P$12))&amp;":W"&amp;(ROW()))))),0)</f>
        <v>2242.1899999999991</v>
      </c>
      <c r="Q240" s="99">
        <f ca="1">MAX(SUM($N$13:N240)-SUM($T$13:T240),0)</f>
        <v>12229.510655737706</v>
      </c>
      <c r="R240" s="99">
        <f ca="1">Первоначальный[[#This Row],[Просроченный платеж по ОД]]+Первоначальный[[#This Row],[Просроченный платеж по процентам]]</f>
        <v>14471.700655737704</v>
      </c>
      <c r="S240" s="120">
        <f ca="1">IF(Первоначальный[[#This Row],[Просроченный платеж]]&lt;1,0,S239+1)</f>
        <v>136</v>
      </c>
      <c r="T240" s="100" cm="1">
        <f t="array" aca="1" ref="T240" ca="1">IF(Первоначальный[[#This Row],[Итого остаток на начало периода]]&lt;1,0,
IF(
AND(TYPE(VLOOKUP(1,$Z$12:Z240,1,0))=16,Первоначальный[[#This Row],[Досрочное погашение (да/"")]]=""),0,
_xlfn.IFS(AND(S239=0,Первоначальный[[#This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платеж]]&lt;&gt;0),MIN(LOOKUP(,-1/($Z$12:Z240=1),$C$12:C240)+LOOKUP(,-1/($Z$12:Z240=1),$H$12:H240),Первоначальный[[#This Row],[Полученный платеж]]+Y239),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платеж]]+Y239,SUM(Первоначальный[[#This Row],[Остаток процентов на начало периода]],Первоначальный[[#This Row],[Проценты за период]])),
AND(S239=0,Первоначальный[[#This Row],[Дата платежа из графика]]=""),0,
AND(S239=0,Первоначальный[[#This Row],[Дата платежа из графика]]=1,MAX((0&lt;&gt;S$12:S239)*ROW(S$12:S239),ROW($S$12))&gt;=MAX((1=Z$12:Z239)*ROW(Z$12:Z239),ROW($T$12)),TYPE(VLOOKUP("Да",(INDIRECT("AA"&amp;(MAX((1=Z$12:Z239)*ROW(Z$12:Z239),ROW($T$12))&amp;":AA"&amp;(ROW()-1)))),1,0))=16),MIN(LOOKUP(,-1/($Z$12:Z240=1),$C$12:C240)+LOOKUP(,-1/($Z$12:Z240=1),$H$12:H240),Первоначальный[[#This Row],[Полученный платеж]]+Y239),
AND(S239=0,TYPE(VLOOKUP("Да",(INDIRECT("AA"&amp;(MAX((1=Z$12:Z239)*ROW(Z$12:Z239),ROW($T$12))&amp;":AA"&amp;(ROW()-1)))),1,0))&lt;&gt;16),MIN(LOOKUP(,-1/($Z$12:Z240=1),$C$12:C240)+LOOKUP(,-1/($Z$12:Z240=1),$H$12:H240)-IF(AA239="Да",0,SUM(INDIRECT("T"&amp;(MAX(("Да"=AA$12:AA239)*ROW(AA$12:AA239)+1,ROW($T$12))&amp;":T"&amp;(ROW()-1))))),Первоначальный[[#This Row],[Полученный платеж]]+Y239),
AND(S239=0,MAX((0&lt;&gt;N$12:N239)*ROW(N$12:N239),ROW($S$12))&gt;=MAX((1=Z$12:Z239)*ROW(Z$12:Z239),ROW($T$12))),MIN(LOOKUP(,-1/($Z$12:Z240=1),$C$12:C240)+LOOKUP(,-1/($Z$12:Z240=1),$H$12:H240)-IF(N239&lt;&gt;0,0,SUM(INDIRECT("T"&amp;(MAX((0&lt;&gt;N$12:N239)*ROW(N$12:N239)+1,ROW($T$12))&amp;":T"&amp;(ROW()-1))))),Первоначальный[[#This Row],[Полученный платеж]]+Y239),
AND(S239=0,Первоначальный[[#This Row],[Дата платежа из графика]]=1),MIN(LOOKUP(,-1/($Z$12:Z240=1),$C$12:C240)+LOOKUP(,-1/($Z$12:Z240=1),$H$12:H240)-IF(Z239=1,0,SUM(INDIRECT("T"&amp;(MAX((1=Z$12:Z239)*ROW(Z$12:Z239)+1,ROW($T$12))&amp;":T"&amp;(ROW()-1))))),Первоначальный[[#This Row],[Полученный платеж]]+Y239),
AND(Z239&gt;0,Первоначальный[[#This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платеж]]+Y239),
AND(S239&gt;0,MAX((0&lt;&gt;S$12:S239)*ROW(S$12:S239),ROW($S$12))&gt;=MAX((1=Z$12:Z239)*ROW(Z$12:Z239),ROW($T$12)),TYPE(VLOOKUP("Да",(INDIRECT("AA"&amp;(MAX((1=Z$12:Z239)*ROW(Z$12:Z239),ROW($T$12))&amp;":AA"&amp;(ROW()-1)))),1,0))=16),MIN(LOOKUP(,-1/($Z$12:Z240=1),$C$12:C240)+LOOKUP(,-1/($Z$12:Z240=1),$H$12:H240)-SUM(INDIRECT("T"&amp;(MAX((1=Z$12:Z239)*ROW(Z$12:Z239),ROW($T$12))&amp;":T"&amp;(ROW()-1)))),Первоначальный[[#This Row],[Полученный платеж]]+Y239),
S239&gt;0,MIN(LOOKUP(,-1/($Z$12:Z240=1),$C$12:C240)+LOOKUP(,-1/($Z$12:Z240=1),$H$12:H240)-IF(Z239=1,0,SUM(INDIRECT("T"&amp;(MAX((1=Z$12:Z239)*ROW(Z$12:Z239)+1,ROW($T$12))&amp;":T"&amp;(ROW()-1))))),Первоначальный[[#This Row],[Полученный платеж]]+Y239)
)
)
)</f>
        <v>0</v>
      </c>
      <c r="U24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платеж]]+Y239-Первоначальный[[#This Row],[Полученный платёж по процентам]])</f>
        <v>0</v>
      </c>
      <c r="V240" s="55">
        <f t="shared" ca="1" si="37"/>
        <v>0</v>
      </c>
      <c r="W240" s="55" cm="1">
        <f t="array" aca="1" ref="W240" ca="1">IF(Первоначальный[[#This Row],[Итого остаток на начало периода]]&lt;1,0,
_xlfn.IFS(
AND(TYPE(VLOOKUP(1,$Z$12:Z240,1,0))=16,Первоначальный[[#This Row],[Досрочное погашение (да/"")]]=""),0,
AND(S239=0,Первоначальный[[#This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платеж]]+Y239-SUM(Первоначальный[[#This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комиссиям]]),VLOOKUP(LOOKUP(,-1/($Z$12:Z240=1),$A$12:A240),График[[Срок конец]:[Возврат основной суммы долга]],3,0)),
AND(S239=0,Первоначальный[[#This Row],[Дата платежа из графика]]="",Первоначальный[[#This Row],[Досрочное погашение (да/"")]]&lt;&gt;"Да"),0,
AND(S239=0,Первоначальный[[#This Row],[Досрочное погашение (да/"")]]=""),MIN(Первоначальный[[#This Row],[Полученный платеж]]+Y239-SUM(Первоначальный[[#This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комиссиям]]),VLOOKUP(LOOKUP(,-1/($Z$12:Z240=1),$A$12:A240),График[[Срок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платеж]]+Y239-SUM(Первоначальный[[#This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S239&gt;0,MIN(Первоначальный[[#This Row],[Полученный платеж]]+Y239-SUM(Первоначальный[[#This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комиссиям]]),SUM(INDIRECT("M"&amp;(MAX((1=S$12:S239)*ROW(S$12:S239),ROW($W$12))&amp;":M"&amp;(ROW()))))-SUM(INDIRECT("W"&amp;(MAX((1=S$12:S239)*ROW(S$12:S239),ROW($W$12))&amp;":W"&amp;(ROW()-1)))))
)
)</f>
        <v>0</v>
      </c>
      <c r="X240" s="55">
        <f t="shared" ca="1" si="38"/>
        <v>0</v>
      </c>
      <c r="Y240" s="101">
        <f t="shared" ca="1" si="45"/>
        <v>0</v>
      </c>
      <c r="Z240" s="133" t="str">
        <f>IF(TYPE((VLOOKUP(Первоначальный[[#This Row],[Дата платежа]],График[Срок конец],1,0)))=16,"",1)</f>
        <v/>
      </c>
      <c r="AA240" s="57"/>
      <c r="AB240" s="134"/>
      <c r="AC24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4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13435.570000000005</v>
      </c>
      <c r="AE24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93.889999999999958</v>
      </c>
      <c r="AF24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4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5538.7114459016393</v>
      </c>
      <c r="AH240" s="55"/>
      <c r="AI240" s="55"/>
      <c r="AJ240" s="55"/>
      <c r="AK240" s="101">
        <f t="shared" ca="1" si="46"/>
        <v>168701.51144590165</v>
      </c>
      <c r="AL240" s="129">
        <f t="array" ref="AL240">MAX((УслРестрактов[Характеристика]="Дата реструктуризации")*(УслРестрактов[Значение]=Первоначальный!$A240),0)</f>
        <v>0</v>
      </c>
    </row>
    <row r="241" spans="1:38" x14ac:dyDescent="0.25">
      <c r="A241" s="97">
        <f t="shared" si="39"/>
        <v>44372</v>
      </c>
      <c r="B241" s="100">
        <f t="shared" ca="1" si="40"/>
        <v>149633.34</v>
      </c>
      <c r="C241" s="55">
        <f t="shared" ca="1" si="48"/>
        <v>13435.570000000005</v>
      </c>
      <c r="D241" s="55">
        <f t="shared" ca="1" si="48"/>
        <v>93.889999999999958</v>
      </c>
      <c r="E241" s="55">
        <f t="shared" ca="1" si="41"/>
        <v>0</v>
      </c>
      <c r="F241" s="55">
        <f t="shared" ca="1" si="42"/>
        <v>5538.7114459016393</v>
      </c>
      <c r="G241" s="101">
        <f t="shared" ca="1" si="43"/>
        <v>168701.51144590165</v>
      </c>
      <c r="H241" s="100">
        <f ca="1">ROUND($B241*VLOOKUP($A241,$A$1:$B$10,2,1)/(365+IF(MOD(YEAR($A241),4),0,1)*($A241-$A240)),2)-Первоначальный[[#This Row],[Проценты на просроченный платеж по ОД за период]]</f>
        <v>80.36</v>
      </c>
      <c r="I241" s="55">
        <f t="shared" ca="1" si="44"/>
        <v>1.22</v>
      </c>
      <c r="J241" s="55">
        <v>0</v>
      </c>
      <c r="K241" s="55">
        <f t="shared" ca="1" si="47"/>
        <v>72.358503278688531</v>
      </c>
      <c r="L241" s="55">
        <v>0</v>
      </c>
      <c r="M241" s="113">
        <f>SUMIFS(График[Возврат основной суммы долга],График[Дата с учетом нерабочих дней],$A241)</f>
        <v>0</v>
      </c>
      <c r="N241" s="56">
        <f>SUMIFS(График[Возврат начисленных %],График[Дата с учетом нерабочих дней],$A241)</f>
        <v>0</v>
      </c>
      <c r="O241" s="101">
        <v>0</v>
      </c>
      <c r="P241" s="100" cm="1">
        <f t="array" aca="1" ref="P241" ca="1">MAX(IF(AA240="Да",0,SUM(INDIRECT("M"&amp;(MAX(("Да"=AA$12:AA240)*ROW(AA$12:AA240)+1,ROW($P$12))&amp;":M"&amp;(ROW()))))-SUM(INDIRECT("W"&amp;(MAX(("Да"=AA$12:AA240)*ROW(AA$12:AA240)+1,ROW($P$12))&amp;":W"&amp;(ROW()))))),0)</f>
        <v>2242.1899999999991</v>
      </c>
      <c r="Q241" s="99">
        <f ca="1">MAX(SUM($N$13:N241)-SUM($T$13:T241),0)</f>
        <v>12229.510655737706</v>
      </c>
      <c r="R241" s="99">
        <f ca="1">Первоначальный[[#This Row],[Просроченный платеж по ОД]]+Первоначальный[[#This Row],[Просроченный платеж по процентам]]</f>
        <v>14471.700655737704</v>
      </c>
      <c r="S241" s="120">
        <f ca="1">IF(Первоначальный[[#This Row],[Просроченный платеж]]&lt;1,0,S240+1)</f>
        <v>137</v>
      </c>
      <c r="T241" s="100" cm="1">
        <f t="array" aca="1" ref="T241" ca="1">IF(Первоначальный[[#This Row],[Итого остаток на начало периода]]&lt;1,0,
IF(
AND(TYPE(VLOOKUP(1,$Z$12:Z241,1,0))=16,Первоначальный[[#This Row],[Досрочное погашение (да/"")]]=""),0,
_xlfn.IFS(AND(S240=0,Первоначальный[[#This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платеж]]&lt;&gt;0),MIN(LOOKUP(,-1/($Z$12:Z241=1),$C$12:C241)+LOOKUP(,-1/($Z$12:Z241=1),$H$12:H241),Первоначальный[[#This Row],[Полученный платеж]]+Y240),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платеж]]+Y240,SUM(Первоначальный[[#This Row],[Остаток процентов на начало периода]],Первоначальный[[#This Row],[Проценты за период]])),
AND(S240=0,Первоначальный[[#This Row],[Дата платежа из графика]]=""),0,
AND(S240=0,Первоначальный[[#This Row],[Дата платежа из графика]]=1,MAX((0&lt;&gt;S$12:S240)*ROW(S$12:S240),ROW($S$12))&gt;=MAX((1=Z$12:Z240)*ROW(Z$12:Z240),ROW($T$12)),TYPE(VLOOKUP("Да",(INDIRECT("AA"&amp;(MAX((1=Z$12:Z240)*ROW(Z$12:Z240),ROW($T$12))&amp;":AA"&amp;(ROW()-1)))),1,0))=16),MIN(LOOKUP(,-1/($Z$12:Z241=1),$C$12:C241)+LOOKUP(,-1/($Z$12:Z241=1),$H$12:H241),Первоначальный[[#This Row],[Полученный платеж]]+Y240),
AND(S240=0,TYPE(VLOOKUP("Да",(INDIRECT("AA"&amp;(MAX((1=Z$12:Z240)*ROW(Z$12:Z240),ROW($T$12))&amp;":AA"&amp;(ROW()-1)))),1,0))&lt;&gt;16),MIN(LOOKUP(,-1/($Z$12:Z241=1),$C$12:C241)+LOOKUP(,-1/($Z$12:Z241=1),$H$12:H241)-IF(AA240="Да",0,SUM(INDIRECT("T"&amp;(MAX(("Да"=AA$12:AA240)*ROW(AA$12:AA240)+1,ROW($T$12))&amp;":T"&amp;(ROW()-1))))),Первоначальный[[#This Row],[Полученный платеж]]+Y240),
AND(S240=0,MAX((0&lt;&gt;N$12:N240)*ROW(N$12:N240),ROW($S$12))&gt;=MAX((1=Z$12:Z240)*ROW(Z$12:Z240),ROW($T$12))),MIN(LOOKUP(,-1/($Z$12:Z241=1),$C$12:C241)+LOOKUP(,-1/($Z$12:Z241=1),$H$12:H241)-IF(N240&lt;&gt;0,0,SUM(INDIRECT("T"&amp;(MAX((0&lt;&gt;N$12:N240)*ROW(N$12:N240)+1,ROW($T$12))&amp;":T"&amp;(ROW()-1))))),Первоначальный[[#This Row],[Полученный платеж]]+Y240),
AND(S240=0,Первоначальный[[#This Row],[Дата платежа из графика]]=1),MIN(LOOKUP(,-1/($Z$12:Z241=1),$C$12:C241)+LOOKUP(,-1/($Z$12:Z241=1),$H$12:H241)-IF(Z240=1,0,SUM(INDIRECT("T"&amp;(MAX((1=Z$12:Z240)*ROW(Z$12:Z240)+1,ROW($T$12))&amp;":T"&amp;(ROW()-1))))),Первоначальный[[#This Row],[Полученный платеж]]+Y240),
AND(Z240&gt;0,Первоначальный[[#This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платеж]]+Y240),
AND(S240&gt;0,MAX((0&lt;&gt;S$12:S240)*ROW(S$12:S240),ROW($S$12))&gt;=MAX((1=Z$12:Z240)*ROW(Z$12:Z240),ROW($T$12)),TYPE(VLOOKUP("Да",(INDIRECT("AA"&amp;(MAX((1=Z$12:Z240)*ROW(Z$12:Z240),ROW($T$12))&amp;":AA"&amp;(ROW()-1)))),1,0))=16),MIN(LOOKUP(,-1/($Z$12:Z241=1),$C$12:C241)+LOOKUP(,-1/($Z$12:Z241=1),$H$12:H241)-SUM(INDIRECT("T"&amp;(MAX((1=Z$12:Z240)*ROW(Z$12:Z240),ROW($T$12))&amp;":T"&amp;(ROW()-1)))),Первоначальный[[#This Row],[Полученный платеж]]+Y240),
S240&gt;0,MIN(LOOKUP(,-1/($Z$12:Z241=1),$C$12:C241)+LOOKUP(,-1/($Z$12:Z241=1),$H$12:H241)-IF(Z240=1,0,SUM(INDIRECT("T"&amp;(MAX((1=Z$12:Z240)*ROW(Z$12:Z240)+1,ROW($T$12))&amp;":T"&amp;(ROW()-1))))),Первоначальный[[#This Row],[Полученный платеж]]+Y240)
)
)
)</f>
        <v>0</v>
      </c>
      <c r="U24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платеж]]+Y240-Первоначальный[[#This Row],[Полученный платёж по процентам]])</f>
        <v>0</v>
      </c>
      <c r="V241" s="55">
        <f t="shared" ca="1" si="37"/>
        <v>0</v>
      </c>
      <c r="W241" s="55" cm="1">
        <f t="array" aca="1" ref="W241" ca="1">IF(Первоначальный[[#This Row],[Итого остаток на начало периода]]&lt;1,0,
_xlfn.IFS(
AND(TYPE(VLOOKUP(1,$Z$12:Z241,1,0))=16,Первоначальный[[#This Row],[Досрочное погашение (да/"")]]=""),0,
AND(S240=0,Первоначальный[[#This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платеж]]+Y240-SUM(Первоначальный[[#This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комиссиям]]),VLOOKUP(LOOKUP(,-1/($Z$12:Z241=1),$A$12:A241),График[[Срок конец]:[Возврат основной суммы долга]],3,0)),
AND(S240=0,Первоначальный[[#This Row],[Дата платежа из графика]]="",Первоначальный[[#This Row],[Досрочное погашение (да/"")]]&lt;&gt;"Да"),0,
AND(S240=0,Первоначальный[[#This Row],[Досрочное погашение (да/"")]]=""),MIN(Первоначальный[[#This Row],[Полученный платеж]]+Y240-SUM(Первоначальный[[#This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комиссиям]]),VLOOKUP(LOOKUP(,-1/($Z$12:Z241=1),$A$12:A241),График[[Срок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платеж]]+Y240-SUM(Первоначальный[[#This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S240&gt;0,MIN(Первоначальный[[#This Row],[Полученный платеж]]+Y240-SUM(Первоначальный[[#This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комиссиям]]),SUM(INDIRECT("M"&amp;(MAX((1=S$12:S240)*ROW(S$12:S240),ROW($W$12))&amp;":M"&amp;(ROW()))))-SUM(INDIRECT("W"&amp;(MAX((1=S$12:S240)*ROW(S$12:S240),ROW($W$12))&amp;":W"&amp;(ROW()-1)))))
)
)</f>
        <v>0</v>
      </c>
      <c r="X241" s="55">
        <f t="shared" ca="1" si="38"/>
        <v>0</v>
      </c>
      <c r="Y241" s="101">
        <f t="shared" ca="1" si="45"/>
        <v>0</v>
      </c>
      <c r="Z241" s="133" t="str">
        <f>IF(TYPE((VLOOKUP(Первоначальный[[#This Row],[Дата платежа]],График[Срок конец],1,0)))=16,"",1)</f>
        <v/>
      </c>
      <c r="AA241" s="57"/>
      <c r="AB241" s="134"/>
      <c r="AC24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4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13515.930000000006</v>
      </c>
      <c r="AE24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95.109999999999957</v>
      </c>
      <c r="AF24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4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5611.069949180328</v>
      </c>
      <c r="AH241" s="55"/>
      <c r="AI241" s="55"/>
      <c r="AJ241" s="55"/>
      <c r="AK241" s="101">
        <f t="shared" ca="1" si="46"/>
        <v>168855.4499491803</v>
      </c>
      <c r="AL241" s="129">
        <f t="array" ref="AL241">MAX((УслРестрактов[Характеристика]="Дата реструктуризации")*(УслРестрактов[Значение]=Первоначальный!$A241),0)</f>
        <v>0</v>
      </c>
    </row>
    <row r="242" spans="1:38" x14ac:dyDescent="0.25">
      <c r="A242" s="97">
        <f t="shared" si="39"/>
        <v>44373</v>
      </c>
      <c r="B242" s="100">
        <f t="shared" ca="1" si="40"/>
        <v>149633.34</v>
      </c>
      <c r="C242" s="55">
        <f t="shared" ca="1" si="48"/>
        <v>13515.930000000006</v>
      </c>
      <c r="D242" s="55">
        <f t="shared" ca="1" si="48"/>
        <v>95.109999999999957</v>
      </c>
      <c r="E242" s="55">
        <f t="shared" ca="1" si="41"/>
        <v>0</v>
      </c>
      <c r="F242" s="55">
        <f t="shared" ca="1" si="42"/>
        <v>5611.069949180328</v>
      </c>
      <c r="G242" s="101">
        <f t="shared" ca="1" si="43"/>
        <v>168855.4499491803</v>
      </c>
      <c r="H242" s="100">
        <f ca="1">ROUND($B242*VLOOKUP($A242,$A$1:$B$10,2,1)/(365+IF(MOD(YEAR($A242),4),0,1)*($A242-$A241)),2)-Первоначальный[[#This Row],[Проценты на просроченный платеж по ОД за период]]</f>
        <v>80.36</v>
      </c>
      <c r="I242" s="55">
        <f t="shared" ca="1" si="44"/>
        <v>1.22</v>
      </c>
      <c r="J242" s="55">
        <v>0</v>
      </c>
      <c r="K242" s="55">
        <f t="shared" ca="1" si="47"/>
        <v>72.358503278688531</v>
      </c>
      <c r="L242" s="55">
        <v>0</v>
      </c>
      <c r="M242" s="113">
        <f>SUMIFS(График[Возврат основной суммы долга],График[Дата с учетом нерабочих дней],$A242)</f>
        <v>0</v>
      </c>
      <c r="N242" s="56">
        <f>SUMIFS(График[Возврат начисленных %],График[Дата с учетом нерабочих дней],$A242)</f>
        <v>0</v>
      </c>
      <c r="O242" s="101">
        <v>0</v>
      </c>
      <c r="P242" s="100" cm="1">
        <f t="array" aca="1" ref="P242" ca="1">MAX(IF(AA241="Да",0,SUM(INDIRECT("M"&amp;(MAX(("Да"=AA$12:AA241)*ROW(AA$12:AA241)+1,ROW($P$12))&amp;":M"&amp;(ROW()))))-SUM(INDIRECT("W"&amp;(MAX(("Да"=AA$12:AA241)*ROW(AA$12:AA241)+1,ROW($P$12))&amp;":W"&amp;(ROW()))))),0)</f>
        <v>2242.1899999999991</v>
      </c>
      <c r="Q242" s="99">
        <f ca="1">MAX(SUM($N$13:N242)-SUM($T$13:T242),0)</f>
        <v>12229.510655737706</v>
      </c>
      <c r="R242" s="99">
        <f ca="1">Первоначальный[[#This Row],[Просроченный платеж по ОД]]+Первоначальный[[#This Row],[Просроченный платеж по процентам]]</f>
        <v>14471.700655737704</v>
      </c>
      <c r="S242" s="120">
        <f ca="1">IF(Первоначальный[[#This Row],[Просроченный платеж]]&lt;1,0,S241+1)</f>
        <v>138</v>
      </c>
      <c r="T242" s="100" cm="1">
        <f t="array" aca="1" ref="T242" ca="1">IF(Первоначальный[[#This Row],[Итого остаток на начало периода]]&lt;1,0,
IF(
AND(TYPE(VLOOKUP(1,$Z$12:Z242,1,0))=16,Первоначальный[[#This Row],[Досрочное погашение (да/"")]]=""),0,
_xlfn.IFS(AND(S241=0,Первоначальный[[#This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платеж]]&lt;&gt;0),MIN(LOOKUP(,-1/($Z$12:Z242=1),$C$12:C242)+LOOKUP(,-1/($Z$12:Z242=1),$H$12:H242),Первоначальный[[#This Row],[Полученный платеж]]+Y241),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платеж]]+Y241,SUM(Первоначальный[[#This Row],[Остаток процентов на начало периода]],Первоначальный[[#This Row],[Проценты за период]])),
AND(S241=0,Первоначальный[[#This Row],[Дата платежа из графика]]=""),0,
AND(S241=0,Первоначальный[[#This Row],[Дата платежа из графика]]=1,MAX((0&lt;&gt;S$12:S241)*ROW(S$12:S241),ROW($S$12))&gt;=MAX((1=Z$12:Z241)*ROW(Z$12:Z241),ROW($T$12)),TYPE(VLOOKUP("Да",(INDIRECT("AA"&amp;(MAX((1=Z$12:Z241)*ROW(Z$12:Z241),ROW($T$12))&amp;":AA"&amp;(ROW()-1)))),1,0))=16),MIN(LOOKUP(,-1/($Z$12:Z242=1),$C$12:C242)+LOOKUP(,-1/($Z$12:Z242=1),$H$12:H242),Первоначальный[[#This Row],[Полученный платеж]]+Y241),
AND(S241=0,TYPE(VLOOKUP("Да",(INDIRECT("AA"&amp;(MAX((1=Z$12:Z241)*ROW(Z$12:Z241),ROW($T$12))&amp;":AA"&amp;(ROW()-1)))),1,0))&lt;&gt;16),MIN(LOOKUP(,-1/($Z$12:Z242=1),$C$12:C242)+LOOKUP(,-1/($Z$12:Z242=1),$H$12:H242)-IF(AA241="Да",0,SUM(INDIRECT("T"&amp;(MAX(("Да"=AA$12:AA241)*ROW(AA$12:AA241)+1,ROW($T$12))&amp;":T"&amp;(ROW()-1))))),Первоначальный[[#This Row],[Полученный платеж]]+Y241),
AND(S241=0,MAX((0&lt;&gt;N$12:N241)*ROW(N$12:N241),ROW($S$12))&gt;=MAX((1=Z$12:Z241)*ROW(Z$12:Z241),ROW($T$12))),MIN(LOOKUP(,-1/($Z$12:Z242=1),$C$12:C242)+LOOKUP(,-1/($Z$12:Z242=1),$H$12:H242)-IF(N241&lt;&gt;0,0,SUM(INDIRECT("T"&amp;(MAX((0&lt;&gt;N$12:N241)*ROW(N$12:N241)+1,ROW($T$12))&amp;":T"&amp;(ROW()-1))))),Первоначальный[[#This Row],[Полученный платеж]]+Y241),
AND(S241=0,Первоначальный[[#This Row],[Дата платежа из графика]]=1),MIN(LOOKUP(,-1/($Z$12:Z242=1),$C$12:C242)+LOOKUP(,-1/($Z$12:Z242=1),$H$12:H242)-IF(Z241=1,0,SUM(INDIRECT("T"&amp;(MAX((1=Z$12:Z241)*ROW(Z$12:Z241)+1,ROW($T$12))&amp;":T"&amp;(ROW()-1))))),Первоначальный[[#This Row],[Полученный платеж]]+Y241),
AND(Z241&gt;0,Первоначальный[[#This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платеж]]+Y241),
AND(S241&gt;0,MAX((0&lt;&gt;S$12:S241)*ROW(S$12:S241),ROW($S$12))&gt;=MAX((1=Z$12:Z241)*ROW(Z$12:Z241),ROW($T$12)),TYPE(VLOOKUP("Да",(INDIRECT("AA"&amp;(MAX((1=Z$12:Z241)*ROW(Z$12:Z241),ROW($T$12))&amp;":AA"&amp;(ROW()-1)))),1,0))=16),MIN(LOOKUP(,-1/($Z$12:Z242=1),$C$12:C242)+LOOKUP(,-1/($Z$12:Z242=1),$H$12:H242)-SUM(INDIRECT("T"&amp;(MAX((1=Z$12:Z241)*ROW(Z$12:Z241),ROW($T$12))&amp;":T"&amp;(ROW()-1)))),Первоначальный[[#This Row],[Полученный платеж]]+Y241),
S241&gt;0,MIN(LOOKUP(,-1/($Z$12:Z242=1),$C$12:C242)+LOOKUP(,-1/($Z$12:Z242=1),$H$12:H242)-IF(Z241=1,0,SUM(INDIRECT("T"&amp;(MAX((1=Z$12:Z241)*ROW(Z$12:Z241)+1,ROW($T$12))&amp;":T"&amp;(ROW()-1))))),Первоначальный[[#This Row],[Полученный платеж]]+Y241)
)
)
)</f>
        <v>0</v>
      </c>
      <c r="U24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платеж]]+Y241-Первоначальный[[#This Row],[Полученный платёж по процентам]])</f>
        <v>0</v>
      </c>
      <c r="V242" s="55">
        <f t="shared" ca="1" si="37"/>
        <v>0</v>
      </c>
      <c r="W242" s="55" cm="1">
        <f t="array" aca="1" ref="W242" ca="1">IF(Первоначальный[[#This Row],[Итого остаток на начало периода]]&lt;1,0,
_xlfn.IFS(
AND(TYPE(VLOOKUP(1,$Z$12:Z242,1,0))=16,Первоначальный[[#This Row],[Досрочное погашение (да/"")]]=""),0,
AND(S241=0,Первоначальный[[#This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платеж]]+Y241-SUM(Первоначальный[[#This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комиссиям]]),VLOOKUP(LOOKUP(,-1/($Z$12:Z242=1),$A$12:A242),График[[Срок конец]:[Возврат основной суммы долга]],3,0)),
AND(S241=0,Первоначальный[[#This Row],[Дата платежа из графика]]="",Первоначальный[[#This Row],[Досрочное погашение (да/"")]]&lt;&gt;"Да"),0,
AND(S241=0,Первоначальный[[#This Row],[Досрочное погашение (да/"")]]=""),MIN(Первоначальный[[#This Row],[Полученный платеж]]+Y241-SUM(Первоначальный[[#This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комиссиям]]),VLOOKUP(LOOKUP(,-1/($Z$12:Z242=1),$A$12:A242),График[[Срок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платеж]]+Y241-SUM(Первоначальный[[#This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S241&gt;0,MIN(Первоначальный[[#This Row],[Полученный платеж]]+Y241-SUM(Первоначальный[[#This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комиссиям]]),SUM(INDIRECT("M"&amp;(MAX((1=S$12:S241)*ROW(S$12:S241),ROW($W$12))&amp;":M"&amp;(ROW()))))-SUM(INDIRECT("W"&amp;(MAX((1=S$12:S241)*ROW(S$12:S241),ROW($W$12))&amp;":W"&amp;(ROW()-1)))))
)
)</f>
        <v>0</v>
      </c>
      <c r="X242" s="55">
        <f t="shared" ca="1" si="38"/>
        <v>0</v>
      </c>
      <c r="Y242" s="101">
        <f t="shared" ca="1" si="45"/>
        <v>0</v>
      </c>
      <c r="Z242" s="133" t="str">
        <f>IF(TYPE((VLOOKUP(Первоначальный[[#This Row],[Дата платежа]],График[Срок конец],1,0)))=16,"",1)</f>
        <v/>
      </c>
      <c r="AA242" s="57"/>
      <c r="AB242" s="134"/>
      <c r="AC24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4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13596.290000000006</v>
      </c>
      <c r="AE24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96.329999999999956</v>
      </c>
      <c r="AF24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4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5683.4284524590166</v>
      </c>
      <c r="AH242" s="55"/>
      <c r="AI242" s="55"/>
      <c r="AJ242" s="55"/>
      <c r="AK242" s="101">
        <f t="shared" ca="1" si="46"/>
        <v>169009.38845245901</v>
      </c>
      <c r="AL242" s="129">
        <f t="array" ref="AL242">MAX((УслРестрактов[Характеристика]="Дата реструктуризации")*(УслРестрактов[Значение]=Первоначальный!$A242),0)</f>
        <v>0</v>
      </c>
    </row>
    <row r="243" spans="1:38" x14ac:dyDescent="0.25">
      <c r="A243" s="97">
        <f t="shared" si="39"/>
        <v>44374</v>
      </c>
      <c r="B243" s="100">
        <f t="shared" ca="1" si="40"/>
        <v>149633.34</v>
      </c>
      <c r="C243" s="55">
        <f t="shared" ca="1" si="48"/>
        <v>13596.290000000006</v>
      </c>
      <c r="D243" s="55">
        <f t="shared" ca="1" si="48"/>
        <v>96.329999999999956</v>
      </c>
      <c r="E243" s="55">
        <f t="shared" ca="1" si="41"/>
        <v>0</v>
      </c>
      <c r="F243" s="55">
        <f t="shared" ca="1" si="42"/>
        <v>5683.4284524590166</v>
      </c>
      <c r="G243" s="101">
        <f t="shared" ca="1" si="43"/>
        <v>169009.38845245901</v>
      </c>
      <c r="H243" s="100">
        <f ca="1">ROUND($B243*VLOOKUP($A243,$A$1:$B$10,2,1)/(365+IF(MOD(YEAR($A243),4),0,1)*($A243-$A242)),2)-Первоначальный[[#This Row],[Проценты на просроченный платеж по ОД за период]]</f>
        <v>80.36</v>
      </c>
      <c r="I243" s="55">
        <f t="shared" ca="1" si="44"/>
        <v>1.22</v>
      </c>
      <c r="J243" s="55">
        <v>0</v>
      </c>
      <c r="K243" s="55">
        <f t="shared" ca="1" si="47"/>
        <v>72.358503278688531</v>
      </c>
      <c r="L243" s="55">
        <v>0</v>
      </c>
      <c r="M243" s="113">
        <f>SUMIFS(График[Возврат основной суммы долга],График[Дата с учетом нерабочих дней],$A243)</f>
        <v>0</v>
      </c>
      <c r="N243" s="56">
        <f>SUMIFS(График[Возврат начисленных %],График[Дата с учетом нерабочих дней],$A243)</f>
        <v>0</v>
      </c>
      <c r="O243" s="101">
        <v>0</v>
      </c>
      <c r="P243" s="100" cm="1">
        <f t="array" aca="1" ref="P243" ca="1">MAX(IF(AA242="Да",0,SUM(INDIRECT("M"&amp;(MAX(("Да"=AA$12:AA242)*ROW(AA$12:AA242)+1,ROW($P$12))&amp;":M"&amp;(ROW()))))-SUM(INDIRECT("W"&amp;(MAX(("Да"=AA$12:AA242)*ROW(AA$12:AA242)+1,ROW($P$12))&amp;":W"&amp;(ROW()))))),0)</f>
        <v>2242.1899999999991</v>
      </c>
      <c r="Q243" s="99">
        <f ca="1">MAX(SUM($N$13:N243)-SUM($T$13:T243),0)</f>
        <v>12229.510655737706</v>
      </c>
      <c r="R243" s="99">
        <f ca="1">Первоначальный[[#This Row],[Просроченный платеж по ОД]]+Первоначальный[[#This Row],[Просроченный платеж по процентам]]</f>
        <v>14471.700655737704</v>
      </c>
      <c r="S243" s="120">
        <f ca="1">IF(Первоначальный[[#This Row],[Просроченный платеж]]&lt;1,0,S242+1)</f>
        <v>139</v>
      </c>
      <c r="T243" s="100" cm="1">
        <f t="array" aca="1" ref="T243" ca="1">IF(Первоначальный[[#This Row],[Итого остаток на начало периода]]&lt;1,0,
IF(
AND(TYPE(VLOOKUP(1,$Z$12:Z243,1,0))=16,Первоначальный[[#This Row],[Досрочное погашение (да/"")]]=""),0,
_xlfn.IFS(AND(S242=0,Первоначальный[[#This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платеж]]&lt;&gt;0),MIN(LOOKUP(,-1/($Z$12:Z243=1),$C$12:C243)+LOOKUP(,-1/($Z$12:Z243=1),$H$12:H243),Первоначальный[[#This Row],[Полученный платеж]]+Y242),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платеж]]+Y242,SUM(Первоначальный[[#This Row],[Остаток процентов на начало периода]],Первоначальный[[#This Row],[Проценты за период]])),
AND(S242=0,Первоначальный[[#This Row],[Дата платежа из графика]]=""),0,
AND(S242=0,Первоначальный[[#This Row],[Дата платежа из графика]]=1,MAX((0&lt;&gt;S$12:S242)*ROW(S$12:S242),ROW($S$12))&gt;=MAX((1=Z$12:Z242)*ROW(Z$12:Z242),ROW($T$12)),TYPE(VLOOKUP("Да",(INDIRECT("AA"&amp;(MAX((1=Z$12:Z242)*ROW(Z$12:Z242),ROW($T$12))&amp;":AA"&amp;(ROW()-1)))),1,0))=16),MIN(LOOKUP(,-1/($Z$12:Z243=1),$C$12:C243)+LOOKUP(,-1/($Z$12:Z243=1),$H$12:H243),Первоначальный[[#This Row],[Полученный платеж]]+Y242),
AND(S242=0,TYPE(VLOOKUP("Да",(INDIRECT("AA"&amp;(MAX((1=Z$12:Z242)*ROW(Z$12:Z242),ROW($T$12))&amp;":AA"&amp;(ROW()-1)))),1,0))&lt;&gt;16),MIN(LOOKUP(,-1/($Z$12:Z243=1),$C$12:C243)+LOOKUP(,-1/($Z$12:Z243=1),$H$12:H243)-IF(AA242="Да",0,SUM(INDIRECT("T"&amp;(MAX(("Да"=AA$12:AA242)*ROW(AA$12:AA242)+1,ROW($T$12))&amp;":T"&amp;(ROW()-1))))),Первоначальный[[#This Row],[Полученный платеж]]+Y242),
AND(S242=0,MAX((0&lt;&gt;N$12:N242)*ROW(N$12:N242),ROW($S$12))&gt;=MAX((1=Z$12:Z242)*ROW(Z$12:Z242),ROW($T$12))),MIN(LOOKUP(,-1/($Z$12:Z243=1),$C$12:C243)+LOOKUP(,-1/($Z$12:Z243=1),$H$12:H243)-IF(N242&lt;&gt;0,0,SUM(INDIRECT("T"&amp;(MAX((0&lt;&gt;N$12:N242)*ROW(N$12:N242)+1,ROW($T$12))&amp;":T"&amp;(ROW()-1))))),Первоначальный[[#This Row],[Полученный платеж]]+Y242),
AND(S242=0,Первоначальный[[#This Row],[Дата платежа из графика]]=1),MIN(LOOKUP(,-1/($Z$12:Z243=1),$C$12:C243)+LOOKUP(,-1/($Z$12:Z243=1),$H$12:H243)-IF(Z242=1,0,SUM(INDIRECT("T"&amp;(MAX((1=Z$12:Z242)*ROW(Z$12:Z242)+1,ROW($T$12))&amp;":T"&amp;(ROW()-1))))),Первоначальный[[#This Row],[Полученный платеж]]+Y242),
AND(Z242&gt;0,Первоначальный[[#This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платеж]]+Y242),
AND(S242&gt;0,MAX((0&lt;&gt;S$12:S242)*ROW(S$12:S242),ROW($S$12))&gt;=MAX((1=Z$12:Z242)*ROW(Z$12:Z242),ROW($T$12)),TYPE(VLOOKUP("Да",(INDIRECT("AA"&amp;(MAX((1=Z$12:Z242)*ROW(Z$12:Z242),ROW($T$12))&amp;":AA"&amp;(ROW()-1)))),1,0))=16),MIN(LOOKUP(,-1/($Z$12:Z243=1),$C$12:C243)+LOOKUP(,-1/($Z$12:Z243=1),$H$12:H243)-SUM(INDIRECT("T"&amp;(MAX((1=Z$12:Z242)*ROW(Z$12:Z242),ROW($T$12))&amp;":T"&amp;(ROW()-1)))),Первоначальный[[#This Row],[Полученный платеж]]+Y242),
S242&gt;0,MIN(LOOKUP(,-1/($Z$12:Z243=1),$C$12:C243)+LOOKUP(,-1/($Z$12:Z243=1),$H$12:H243)-IF(Z242=1,0,SUM(INDIRECT("T"&amp;(MAX((1=Z$12:Z242)*ROW(Z$12:Z242)+1,ROW($T$12))&amp;":T"&amp;(ROW()-1))))),Первоначальный[[#This Row],[Полученный платеж]]+Y242)
)
)
)</f>
        <v>0</v>
      </c>
      <c r="U24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платеж]]+Y242-Первоначальный[[#This Row],[Полученный платёж по процентам]])</f>
        <v>0</v>
      </c>
      <c r="V243" s="55">
        <f t="shared" ca="1" si="37"/>
        <v>0</v>
      </c>
      <c r="W243" s="55" cm="1">
        <f t="array" aca="1" ref="W243" ca="1">IF(Первоначальный[[#This Row],[Итого остаток на начало периода]]&lt;1,0,
_xlfn.IFS(
AND(TYPE(VLOOKUP(1,$Z$12:Z243,1,0))=16,Первоначальный[[#This Row],[Досрочное погашение (да/"")]]=""),0,
AND(S242=0,Первоначальный[[#This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платеж]]+Y242-SUM(Первоначальный[[#This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комиссиям]]),VLOOKUP(LOOKUP(,-1/($Z$12:Z243=1),$A$12:A243),График[[Срок конец]:[Возврат основной суммы долга]],3,0)),
AND(S242=0,Первоначальный[[#This Row],[Дата платежа из графика]]="",Первоначальный[[#This Row],[Досрочное погашение (да/"")]]&lt;&gt;"Да"),0,
AND(S242=0,Первоначальный[[#This Row],[Досрочное погашение (да/"")]]=""),MIN(Первоначальный[[#This Row],[Полученный платеж]]+Y242-SUM(Первоначальный[[#This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комиссиям]]),VLOOKUP(LOOKUP(,-1/($Z$12:Z243=1),$A$12:A243),График[[Срок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платеж]]+Y242-SUM(Первоначальный[[#This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S242&gt;0,MIN(Первоначальный[[#This Row],[Полученный платеж]]+Y242-SUM(Первоначальный[[#This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комиссиям]]),SUM(INDIRECT("M"&amp;(MAX((1=S$12:S242)*ROW(S$12:S242),ROW($W$12))&amp;":M"&amp;(ROW()))))-SUM(INDIRECT("W"&amp;(MAX((1=S$12:S242)*ROW(S$12:S242),ROW($W$12))&amp;":W"&amp;(ROW()-1)))))
)
)</f>
        <v>0</v>
      </c>
      <c r="X243" s="55">
        <f t="shared" ca="1" si="38"/>
        <v>0</v>
      </c>
      <c r="Y243" s="101">
        <f t="shared" ca="1" si="45"/>
        <v>0</v>
      </c>
      <c r="Z243" s="133" t="str">
        <f>IF(TYPE((VLOOKUP(Первоначальный[[#This Row],[Дата платежа]],График[Срок конец],1,0)))=16,"",1)</f>
        <v/>
      </c>
      <c r="AA243" s="57"/>
      <c r="AB243" s="134"/>
      <c r="AC24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4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13676.650000000007</v>
      </c>
      <c r="AE24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97.549999999999955</v>
      </c>
      <c r="AF24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4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5755.7869557377053</v>
      </c>
      <c r="AH243" s="55"/>
      <c r="AI243" s="55"/>
      <c r="AJ243" s="55"/>
      <c r="AK243" s="101">
        <f t="shared" ca="1" si="46"/>
        <v>169163.32695573769</v>
      </c>
      <c r="AL243" s="129">
        <f t="array" ref="AL243">MAX((УслРестрактов[Характеристика]="Дата реструктуризации")*(УслРестрактов[Значение]=Первоначальный!$A243),0)</f>
        <v>0</v>
      </c>
    </row>
    <row r="244" spans="1:38" x14ac:dyDescent="0.25">
      <c r="A244" s="97">
        <f t="shared" si="39"/>
        <v>44375</v>
      </c>
      <c r="B244" s="100">
        <f t="shared" ca="1" si="40"/>
        <v>149633.34</v>
      </c>
      <c r="C244" s="55">
        <f t="shared" ca="1" si="48"/>
        <v>13676.650000000007</v>
      </c>
      <c r="D244" s="55">
        <f t="shared" ca="1" si="48"/>
        <v>97.549999999999955</v>
      </c>
      <c r="E244" s="55">
        <f t="shared" ca="1" si="41"/>
        <v>0</v>
      </c>
      <c r="F244" s="55">
        <f t="shared" ca="1" si="42"/>
        <v>5755.7869557377053</v>
      </c>
      <c r="G244" s="101">
        <f t="shared" ca="1" si="43"/>
        <v>169163.32695573769</v>
      </c>
      <c r="H244" s="100">
        <f ca="1">ROUND($B244*VLOOKUP($A244,$A$1:$B$10,2,1)/(365+IF(MOD(YEAR($A244),4),0,1)*($A244-$A243)),2)-Первоначальный[[#This Row],[Проценты на просроченный платеж по ОД за период]]</f>
        <v>80.36</v>
      </c>
      <c r="I244" s="55">
        <f t="shared" ca="1" si="44"/>
        <v>1.22</v>
      </c>
      <c r="J244" s="55">
        <v>0</v>
      </c>
      <c r="K244" s="55">
        <f t="shared" ca="1" si="47"/>
        <v>72.358503278688531</v>
      </c>
      <c r="L244" s="55">
        <v>0</v>
      </c>
      <c r="M244" s="113">
        <f>SUMIFS(График[Возврат основной суммы долга],График[Дата с учетом нерабочих дней],$A244)</f>
        <v>0</v>
      </c>
      <c r="N244" s="56">
        <f>SUMIFS(График[Возврат начисленных %],График[Дата с учетом нерабочих дней],$A244)</f>
        <v>0</v>
      </c>
      <c r="O244" s="101">
        <v>0</v>
      </c>
      <c r="P244" s="100" cm="1">
        <f t="array" aca="1" ref="P244" ca="1">MAX(IF(AA243="Да",0,SUM(INDIRECT("M"&amp;(MAX(("Да"=AA$12:AA243)*ROW(AA$12:AA243)+1,ROW($P$12))&amp;":M"&amp;(ROW()))))-SUM(INDIRECT("W"&amp;(MAX(("Да"=AA$12:AA243)*ROW(AA$12:AA243)+1,ROW($P$12))&amp;":W"&amp;(ROW()))))),0)</f>
        <v>2242.1899999999991</v>
      </c>
      <c r="Q244" s="99">
        <f ca="1">MAX(SUM($N$13:N244)-SUM($T$13:T244),0)</f>
        <v>12229.510655737706</v>
      </c>
      <c r="R244" s="99">
        <f ca="1">Первоначальный[[#This Row],[Просроченный платеж по ОД]]+Первоначальный[[#This Row],[Просроченный платеж по процентам]]</f>
        <v>14471.700655737704</v>
      </c>
      <c r="S244" s="120">
        <f ca="1">IF(Первоначальный[[#This Row],[Просроченный платеж]]&lt;1,0,S243+1)</f>
        <v>140</v>
      </c>
      <c r="T244" s="100" cm="1">
        <f t="array" aca="1" ref="T244" ca="1">IF(Первоначальный[[#This Row],[Итого остаток на начало периода]]&lt;1,0,
IF(
AND(TYPE(VLOOKUP(1,$Z$12:Z244,1,0))=16,Первоначальный[[#This Row],[Досрочное погашение (да/"")]]=""),0,
_xlfn.IFS(AND(S243=0,Первоначальный[[#This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платеж]]&lt;&gt;0),MIN(LOOKUP(,-1/($Z$12:Z244=1),$C$12:C244)+LOOKUP(,-1/($Z$12:Z244=1),$H$12:H244),Первоначальный[[#This Row],[Полученный платеж]]+Y243),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платеж]]+Y243,SUM(Первоначальный[[#This Row],[Остаток процентов на начало периода]],Первоначальный[[#This Row],[Проценты за период]])),
AND(S243=0,Первоначальный[[#This Row],[Дата платежа из графика]]=""),0,
AND(S243=0,Первоначальный[[#This Row],[Дата платежа из графика]]=1,MAX((0&lt;&gt;S$12:S243)*ROW(S$12:S243),ROW($S$12))&gt;=MAX((1=Z$12:Z243)*ROW(Z$12:Z243),ROW($T$12)),TYPE(VLOOKUP("Да",(INDIRECT("AA"&amp;(MAX((1=Z$12:Z243)*ROW(Z$12:Z243),ROW($T$12))&amp;":AA"&amp;(ROW()-1)))),1,0))=16),MIN(LOOKUP(,-1/($Z$12:Z244=1),$C$12:C244)+LOOKUP(,-1/($Z$12:Z244=1),$H$12:H244),Первоначальный[[#This Row],[Полученный платеж]]+Y243),
AND(S243=0,TYPE(VLOOKUP("Да",(INDIRECT("AA"&amp;(MAX((1=Z$12:Z243)*ROW(Z$12:Z243),ROW($T$12))&amp;":AA"&amp;(ROW()-1)))),1,0))&lt;&gt;16),MIN(LOOKUP(,-1/($Z$12:Z244=1),$C$12:C244)+LOOKUP(,-1/($Z$12:Z244=1),$H$12:H244)-IF(AA243="Да",0,SUM(INDIRECT("T"&amp;(MAX(("Да"=AA$12:AA243)*ROW(AA$12:AA243)+1,ROW($T$12))&amp;":T"&amp;(ROW()-1))))),Первоначальный[[#This Row],[Полученный платеж]]+Y243),
AND(S243=0,MAX((0&lt;&gt;N$12:N243)*ROW(N$12:N243),ROW($S$12))&gt;=MAX((1=Z$12:Z243)*ROW(Z$12:Z243),ROW($T$12))),MIN(LOOKUP(,-1/($Z$12:Z244=1),$C$12:C244)+LOOKUP(,-1/($Z$12:Z244=1),$H$12:H244)-IF(N243&lt;&gt;0,0,SUM(INDIRECT("T"&amp;(MAX((0&lt;&gt;N$12:N243)*ROW(N$12:N243)+1,ROW($T$12))&amp;":T"&amp;(ROW()-1))))),Первоначальный[[#This Row],[Полученный платеж]]+Y243),
AND(S243=0,Первоначальный[[#This Row],[Дата платежа из графика]]=1),MIN(LOOKUP(,-1/($Z$12:Z244=1),$C$12:C244)+LOOKUP(,-1/($Z$12:Z244=1),$H$12:H244)-IF(Z243=1,0,SUM(INDIRECT("T"&amp;(MAX((1=Z$12:Z243)*ROW(Z$12:Z243)+1,ROW($T$12))&amp;":T"&amp;(ROW()-1))))),Первоначальный[[#This Row],[Полученный платеж]]+Y243),
AND(Z243&gt;0,Первоначальный[[#This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платеж]]+Y243),
AND(S243&gt;0,MAX((0&lt;&gt;S$12:S243)*ROW(S$12:S243),ROW($S$12))&gt;=MAX((1=Z$12:Z243)*ROW(Z$12:Z243),ROW($T$12)),TYPE(VLOOKUP("Да",(INDIRECT("AA"&amp;(MAX((1=Z$12:Z243)*ROW(Z$12:Z243),ROW($T$12))&amp;":AA"&amp;(ROW()-1)))),1,0))=16),MIN(LOOKUP(,-1/($Z$12:Z244=1),$C$12:C244)+LOOKUP(,-1/($Z$12:Z244=1),$H$12:H244)-SUM(INDIRECT("T"&amp;(MAX((1=Z$12:Z243)*ROW(Z$12:Z243),ROW($T$12))&amp;":T"&amp;(ROW()-1)))),Первоначальный[[#This Row],[Полученный платеж]]+Y243),
S243&gt;0,MIN(LOOKUP(,-1/($Z$12:Z244=1),$C$12:C244)+LOOKUP(,-1/($Z$12:Z244=1),$H$12:H244)-IF(Z243=1,0,SUM(INDIRECT("T"&amp;(MAX((1=Z$12:Z243)*ROW(Z$12:Z243)+1,ROW($T$12))&amp;":T"&amp;(ROW()-1))))),Первоначальный[[#This Row],[Полученный платеж]]+Y243)
)
)
)</f>
        <v>0</v>
      </c>
      <c r="U24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платеж]]+Y243-Первоначальный[[#This Row],[Полученный платёж по процентам]])</f>
        <v>0</v>
      </c>
      <c r="V244" s="55">
        <f t="shared" ca="1" si="37"/>
        <v>0</v>
      </c>
      <c r="W244" s="55" cm="1">
        <f t="array" aca="1" ref="W244" ca="1">IF(Первоначальный[[#This Row],[Итого остаток на начало периода]]&lt;1,0,
_xlfn.IFS(
AND(TYPE(VLOOKUP(1,$Z$12:Z244,1,0))=16,Первоначальный[[#This Row],[Досрочное погашение (да/"")]]=""),0,
AND(S243=0,Первоначальный[[#This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платеж]]+Y243-SUM(Первоначальный[[#This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комиссиям]]),VLOOKUP(LOOKUP(,-1/($Z$12:Z244=1),$A$12:A244),График[[Срок конец]:[Возврат основной суммы долга]],3,0)),
AND(S243=0,Первоначальный[[#This Row],[Дата платежа из графика]]="",Первоначальный[[#This Row],[Досрочное погашение (да/"")]]&lt;&gt;"Да"),0,
AND(S243=0,Первоначальный[[#This Row],[Досрочное погашение (да/"")]]=""),MIN(Первоначальный[[#This Row],[Полученный платеж]]+Y243-SUM(Первоначальный[[#This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комиссиям]]),VLOOKUP(LOOKUP(,-1/($Z$12:Z244=1),$A$12:A244),График[[Срок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платеж]]+Y243-SUM(Первоначальный[[#This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S243&gt;0,MIN(Первоначальный[[#This Row],[Полученный платеж]]+Y243-SUM(Первоначальный[[#This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комиссиям]]),SUM(INDIRECT("M"&amp;(MAX((1=S$12:S243)*ROW(S$12:S243),ROW($W$12))&amp;":M"&amp;(ROW()))))-SUM(INDIRECT("W"&amp;(MAX((1=S$12:S243)*ROW(S$12:S243),ROW($W$12))&amp;":W"&amp;(ROW()-1)))))
)
)</f>
        <v>0</v>
      </c>
      <c r="X244" s="55">
        <f t="shared" ca="1" si="38"/>
        <v>0</v>
      </c>
      <c r="Y244" s="101">
        <f t="shared" ca="1" si="45"/>
        <v>0</v>
      </c>
      <c r="Z244" s="133" t="str">
        <f>IF(TYPE((VLOOKUP(Первоначальный[[#This Row],[Дата платежа]],График[Срок конец],1,0)))=16,"",1)</f>
        <v/>
      </c>
      <c r="AA244" s="57"/>
      <c r="AB244" s="134"/>
      <c r="AC24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4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13757.010000000007</v>
      </c>
      <c r="AE24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98.769999999999953</v>
      </c>
      <c r="AF24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4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5828.1454590163939</v>
      </c>
      <c r="AH244" s="55"/>
      <c r="AI244" s="55"/>
      <c r="AJ244" s="55"/>
      <c r="AK244" s="101">
        <f t="shared" ca="1" si="46"/>
        <v>169317.2654590164</v>
      </c>
      <c r="AL244" s="129">
        <f t="array" ref="AL244">MAX((УслРестрактов[Характеристика]="Дата реструктуризации")*(УслРестрактов[Значение]=Первоначальный!$A244),0)</f>
        <v>0</v>
      </c>
    </row>
    <row r="245" spans="1:38" x14ac:dyDescent="0.25">
      <c r="A245" s="97">
        <f t="shared" si="39"/>
        <v>44376</v>
      </c>
      <c r="B245" s="100">
        <f t="shared" ca="1" si="40"/>
        <v>149633.34</v>
      </c>
      <c r="C245" s="55">
        <f t="shared" ca="1" si="48"/>
        <v>13757.010000000007</v>
      </c>
      <c r="D245" s="55">
        <f t="shared" ca="1" si="48"/>
        <v>98.769999999999953</v>
      </c>
      <c r="E245" s="55">
        <f t="shared" ca="1" si="41"/>
        <v>0</v>
      </c>
      <c r="F245" s="55">
        <f t="shared" ca="1" si="42"/>
        <v>5828.1454590163939</v>
      </c>
      <c r="G245" s="101">
        <f t="shared" ca="1" si="43"/>
        <v>169317.2654590164</v>
      </c>
      <c r="H245" s="100">
        <f ca="1">ROUND($B245*VLOOKUP($A245,$A$1:$B$10,2,1)/(365+IF(MOD(YEAR($A245),4),0,1)*($A245-$A244)),2)-Первоначальный[[#This Row],[Проценты на просроченный платеж по ОД за период]]</f>
        <v>80.36</v>
      </c>
      <c r="I245" s="55">
        <f t="shared" ca="1" si="44"/>
        <v>1.22</v>
      </c>
      <c r="J245" s="55">
        <v>0</v>
      </c>
      <c r="K245" s="55">
        <f t="shared" ca="1" si="47"/>
        <v>72.358503278688531</v>
      </c>
      <c r="L245" s="55">
        <v>0</v>
      </c>
      <c r="M245" s="113">
        <f>SUMIFS(График[Возврат основной суммы долга],График[Дата с учетом нерабочих дней],$A245)</f>
        <v>0</v>
      </c>
      <c r="N245" s="56">
        <f>SUMIFS(График[Возврат начисленных %],График[Дата с учетом нерабочих дней],$A245)</f>
        <v>0</v>
      </c>
      <c r="O245" s="101">
        <v>0</v>
      </c>
      <c r="P245" s="100" cm="1">
        <f t="array" aca="1" ref="P245" ca="1">MAX(IF(AA244="Да",0,SUM(INDIRECT("M"&amp;(MAX(("Да"=AA$12:AA244)*ROW(AA$12:AA244)+1,ROW($P$12))&amp;":M"&amp;(ROW()))))-SUM(INDIRECT("W"&amp;(MAX(("Да"=AA$12:AA244)*ROW(AA$12:AA244)+1,ROW($P$12))&amp;":W"&amp;(ROW()))))),0)</f>
        <v>2242.1899999999991</v>
      </c>
      <c r="Q245" s="99">
        <f ca="1">MAX(SUM($N$13:N245)-SUM($T$13:T245),0)</f>
        <v>12229.510655737706</v>
      </c>
      <c r="R245" s="99">
        <f ca="1">Первоначальный[[#This Row],[Просроченный платеж по ОД]]+Первоначальный[[#This Row],[Просроченный платеж по процентам]]</f>
        <v>14471.700655737704</v>
      </c>
      <c r="S245" s="120">
        <f ca="1">IF(Первоначальный[[#This Row],[Просроченный платеж]]&lt;1,0,S244+1)</f>
        <v>141</v>
      </c>
      <c r="T245" s="100" cm="1">
        <f t="array" aca="1" ref="T245" ca="1">IF(Первоначальный[[#This Row],[Итого остаток на начало периода]]&lt;1,0,
IF(
AND(TYPE(VLOOKUP(1,$Z$12:Z245,1,0))=16,Первоначальный[[#This Row],[Досрочное погашение (да/"")]]=""),0,
_xlfn.IFS(AND(S244=0,Первоначальный[[#This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платеж]]&lt;&gt;0),MIN(LOOKUP(,-1/($Z$12:Z245=1),$C$12:C245)+LOOKUP(,-1/($Z$12:Z245=1),$H$12:H245),Первоначальный[[#This Row],[Полученный платеж]]+Y244),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платеж]]+Y244,SUM(Первоначальный[[#This Row],[Остаток процентов на начало периода]],Первоначальный[[#This Row],[Проценты за период]])),
AND(S244=0,Первоначальный[[#This Row],[Дата платежа из графика]]=""),0,
AND(S244=0,Первоначальный[[#This Row],[Дата платежа из графика]]=1,MAX((0&lt;&gt;S$12:S244)*ROW(S$12:S244),ROW($S$12))&gt;=MAX((1=Z$12:Z244)*ROW(Z$12:Z244),ROW($T$12)),TYPE(VLOOKUP("Да",(INDIRECT("AA"&amp;(MAX((1=Z$12:Z244)*ROW(Z$12:Z244),ROW($T$12))&amp;":AA"&amp;(ROW()-1)))),1,0))=16),MIN(LOOKUP(,-1/($Z$12:Z245=1),$C$12:C245)+LOOKUP(,-1/($Z$12:Z245=1),$H$12:H245),Первоначальный[[#This Row],[Полученный платеж]]+Y244),
AND(S244=0,TYPE(VLOOKUP("Да",(INDIRECT("AA"&amp;(MAX((1=Z$12:Z244)*ROW(Z$12:Z244),ROW($T$12))&amp;":AA"&amp;(ROW()-1)))),1,0))&lt;&gt;16),MIN(LOOKUP(,-1/($Z$12:Z245=1),$C$12:C245)+LOOKUP(,-1/($Z$12:Z245=1),$H$12:H245)-IF(AA244="Да",0,SUM(INDIRECT("T"&amp;(MAX(("Да"=AA$12:AA244)*ROW(AA$12:AA244)+1,ROW($T$12))&amp;":T"&amp;(ROW()-1))))),Первоначальный[[#This Row],[Полученный платеж]]+Y244),
AND(S244=0,MAX((0&lt;&gt;N$12:N244)*ROW(N$12:N244),ROW($S$12))&gt;=MAX((1=Z$12:Z244)*ROW(Z$12:Z244),ROW($T$12))),MIN(LOOKUP(,-1/($Z$12:Z245=1),$C$12:C245)+LOOKUP(,-1/($Z$12:Z245=1),$H$12:H245)-IF(N244&lt;&gt;0,0,SUM(INDIRECT("T"&amp;(MAX((0&lt;&gt;N$12:N244)*ROW(N$12:N244)+1,ROW($T$12))&amp;":T"&amp;(ROW()-1))))),Первоначальный[[#This Row],[Полученный платеж]]+Y244),
AND(S244=0,Первоначальный[[#This Row],[Дата платежа из графика]]=1),MIN(LOOKUP(,-1/($Z$12:Z245=1),$C$12:C245)+LOOKUP(,-1/($Z$12:Z245=1),$H$12:H245)-IF(Z244=1,0,SUM(INDIRECT("T"&amp;(MAX((1=Z$12:Z244)*ROW(Z$12:Z244)+1,ROW($T$12))&amp;":T"&amp;(ROW()-1))))),Первоначальный[[#This Row],[Полученный платеж]]+Y244),
AND(Z244&gt;0,Первоначальный[[#This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платеж]]+Y244),
AND(S244&gt;0,MAX((0&lt;&gt;S$12:S244)*ROW(S$12:S244),ROW($S$12))&gt;=MAX((1=Z$12:Z244)*ROW(Z$12:Z244),ROW($T$12)),TYPE(VLOOKUP("Да",(INDIRECT("AA"&amp;(MAX((1=Z$12:Z244)*ROW(Z$12:Z244),ROW($T$12))&amp;":AA"&amp;(ROW()-1)))),1,0))=16),MIN(LOOKUP(,-1/($Z$12:Z245=1),$C$12:C245)+LOOKUP(,-1/($Z$12:Z245=1),$H$12:H245)-SUM(INDIRECT("T"&amp;(MAX((1=Z$12:Z244)*ROW(Z$12:Z244),ROW($T$12))&amp;":T"&amp;(ROW()-1)))),Первоначальный[[#This Row],[Полученный платеж]]+Y244),
S244&gt;0,MIN(LOOKUP(,-1/($Z$12:Z245=1),$C$12:C245)+LOOKUP(,-1/($Z$12:Z245=1),$H$12:H245)-IF(Z244=1,0,SUM(INDIRECT("T"&amp;(MAX((1=Z$12:Z244)*ROW(Z$12:Z244)+1,ROW($T$12))&amp;":T"&amp;(ROW()-1))))),Первоначальный[[#This Row],[Полученный платеж]]+Y244)
)
)
)</f>
        <v>0</v>
      </c>
      <c r="U24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платеж]]+Y244-Первоначальный[[#This Row],[Полученный платёж по процентам]])</f>
        <v>0</v>
      </c>
      <c r="V245" s="55">
        <f t="shared" ca="1" si="37"/>
        <v>0</v>
      </c>
      <c r="W245" s="55" cm="1">
        <f t="array" aca="1" ref="W245" ca="1">IF(Первоначальный[[#This Row],[Итого остаток на начало периода]]&lt;1,0,
_xlfn.IFS(
AND(TYPE(VLOOKUP(1,$Z$12:Z245,1,0))=16,Первоначальный[[#This Row],[Досрочное погашение (да/"")]]=""),0,
AND(S244=0,Первоначальный[[#This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платеж]]+Y244-SUM(Первоначальный[[#This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комиссиям]]),VLOOKUP(LOOKUP(,-1/($Z$12:Z245=1),$A$12:A245),График[[Срок конец]:[Возврат основной суммы долга]],3,0)),
AND(S244=0,Первоначальный[[#This Row],[Дата платежа из графика]]="",Первоначальный[[#This Row],[Досрочное погашение (да/"")]]&lt;&gt;"Да"),0,
AND(S244=0,Первоначальный[[#This Row],[Досрочное погашение (да/"")]]=""),MIN(Первоначальный[[#This Row],[Полученный платеж]]+Y244-SUM(Первоначальный[[#This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комиссиям]]),VLOOKUP(LOOKUP(,-1/($Z$12:Z245=1),$A$12:A245),График[[Срок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платеж]]+Y244-SUM(Первоначальный[[#This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S244&gt;0,MIN(Первоначальный[[#This Row],[Полученный платеж]]+Y244-SUM(Первоначальный[[#This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комиссиям]]),SUM(INDIRECT("M"&amp;(MAX((1=S$12:S244)*ROW(S$12:S244),ROW($W$12))&amp;":M"&amp;(ROW()))))-SUM(INDIRECT("W"&amp;(MAX((1=S$12:S244)*ROW(S$12:S244),ROW($W$12))&amp;":W"&amp;(ROW()-1)))))
)
)</f>
        <v>0</v>
      </c>
      <c r="X245" s="55">
        <f t="shared" ca="1" si="38"/>
        <v>0</v>
      </c>
      <c r="Y245" s="101">
        <f t="shared" ca="1" si="45"/>
        <v>0</v>
      </c>
      <c r="Z245" s="133" t="str">
        <f>IF(TYPE((VLOOKUP(Первоначальный[[#This Row],[Дата платежа]],График[Срок конец],1,0)))=16,"",1)</f>
        <v/>
      </c>
      <c r="AA245" s="57"/>
      <c r="AB245" s="134"/>
      <c r="AC24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4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13837.370000000008</v>
      </c>
      <c r="AE24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99.989999999999952</v>
      </c>
      <c r="AF24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4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5900.5039622950826</v>
      </c>
      <c r="AH245" s="55"/>
      <c r="AI245" s="55"/>
      <c r="AJ245" s="55"/>
      <c r="AK245" s="101">
        <f t="shared" ca="1" si="46"/>
        <v>169471.20396229505</v>
      </c>
      <c r="AL245" s="129">
        <f t="array" ref="AL245">MAX((УслРестрактов[Характеристика]="Дата реструктуризации")*(УслРестрактов[Значение]=Первоначальный!$A245),0)</f>
        <v>0</v>
      </c>
    </row>
    <row r="246" spans="1:38" x14ac:dyDescent="0.25">
      <c r="A246" s="97">
        <f t="shared" si="39"/>
        <v>44377</v>
      </c>
      <c r="B246" s="100">
        <f t="shared" ca="1" si="40"/>
        <v>149633.34</v>
      </c>
      <c r="C246" s="55">
        <f t="shared" ca="1" si="48"/>
        <v>13837.370000000008</v>
      </c>
      <c r="D246" s="55">
        <f t="shared" ca="1" si="48"/>
        <v>99.989999999999952</v>
      </c>
      <c r="E246" s="55">
        <f t="shared" ca="1" si="41"/>
        <v>0</v>
      </c>
      <c r="F246" s="55">
        <f t="shared" ca="1" si="42"/>
        <v>5900.5039622950826</v>
      </c>
      <c r="G246" s="101">
        <f t="shared" ca="1" si="43"/>
        <v>169471.20396229505</v>
      </c>
      <c r="H246" s="100">
        <f ca="1">ROUND($B246*VLOOKUP($A246,$A$1:$B$10,2,1)/(365+IF(MOD(YEAR($A246),4),0,1)*($A246-$A245)),2)-Первоначальный[[#This Row],[Проценты на просроченный платеж по ОД за период]]</f>
        <v>80.36</v>
      </c>
      <c r="I246" s="55">
        <f t="shared" ca="1" si="44"/>
        <v>1.22</v>
      </c>
      <c r="J246" s="55">
        <v>0</v>
      </c>
      <c r="K246" s="55">
        <f t="shared" ca="1" si="47"/>
        <v>72.358503278688531</v>
      </c>
      <c r="L246" s="55">
        <v>0</v>
      </c>
      <c r="M246" s="113">
        <f>SUMIFS(График[Возврат основной суммы долга],График[Дата с учетом нерабочих дней],$A246)</f>
        <v>0</v>
      </c>
      <c r="N246" s="56">
        <f>SUMIFS(График[Возврат начисленных %],График[Дата с учетом нерабочих дней],$A246)</f>
        <v>0</v>
      </c>
      <c r="O246" s="101">
        <v>0</v>
      </c>
      <c r="P246" s="100" cm="1">
        <f t="array" aca="1" ref="P246" ca="1">MAX(IF(AA245="Да",0,SUM(INDIRECT("M"&amp;(MAX(("Да"=AA$12:AA245)*ROW(AA$12:AA245)+1,ROW($P$12))&amp;":M"&amp;(ROW()))))-SUM(INDIRECT("W"&amp;(MAX(("Да"=AA$12:AA245)*ROW(AA$12:AA245)+1,ROW($P$12))&amp;":W"&amp;(ROW()))))),0)</f>
        <v>2242.1899999999991</v>
      </c>
      <c r="Q246" s="99">
        <f ca="1">MAX(SUM($N$13:N246)-SUM($T$13:T246),0)</f>
        <v>12229.510655737706</v>
      </c>
      <c r="R246" s="99">
        <f ca="1">Первоначальный[[#This Row],[Просроченный платеж по ОД]]+Первоначальный[[#This Row],[Просроченный платеж по процентам]]</f>
        <v>14471.700655737704</v>
      </c>
      <c r="S246" s="120">
        <f ca="1">IF(Первоначальный[[#This Row],[Просроченный платеж]]&lt;1,0,S245+1)</f>
        <v>142</v>
      </c>
      <c r="T246" s="100" cm="1">
        <f t="array" aca="1" ref="T246" ca="1">IF(Первоначальный[[#This Row],[Итого остаток на начало периода]]&lt;1,0,
IF(
AND(TYPE(VLOOKUP(1,$Z$12:Z246,1,0))=16,Первоначальный[[#This Row],[Досрочное погашение (да/"")]]=""),0,
_xlfn.IFS(AND(S245=0,Первоначальный[[#This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платеж]]&lt;&gt;0),MIN(LOOKUP(,-1/($Z$12:Z246=1),$C$12:C246)+LOOKUP(,-1/($Z$12:Z246=1),$H$12:H246),Первоначальный[[#This Row],[Полученный платеж]]+Y245),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платеж]]+Y245,SUM(Первоначальный[[#This Row],[Остаток процентов на начало периода]],Первоначальный[[#This Row],[Проценты за период]])),
AND(S245=0,Первоначальный[[#This Row],[Дата платежа из графика]]=""),0,
AND(S245=0,Первоначальный[[#This Row],[Дата платежа из графика]]=1,MAX((0&lt;&gt;S$12:S245)*ROW(S$12:S245),ROW($S$12))&gt;=MAX((1=Z$12:Z245)*ROW(Z$12:Z245),ROW($T$12)),TYPE(VLOOKUP("Да",(INDIRECT("AA"&amp;(MAX((1=Z$12:Z245)*ROW(Z$12:Z245),ROW($T$12))&amp;":AA"&amp;(ROW()-1)))),1,0))=16),MIN(LOOKUP(,-1/($Z$12:Z246=1),$C$12:C246)+LOOKUP(,-1/($Z$12:Z246=1),$H$12:H246),Первоначальный[[#This Row],[Полученный платеж]]+Y245),
AND(S245=0,TYPE(VLOOKUP("Да",(INDIRECT("AA"&amp;(MAX((1=Z$12:Z245)*ROW(Z$12:Z245),ROW($T$12))&amp;":AA"&amp;(ROW()-1)))),1,0))&lt;&gt;16),MIN(LOOKUP(,-1/($Z$12:Z246=1),$C$12:C246)+LOOKUP(,-1/($Z$12:Z246=1),$H$12:H246)-IF(AA245="Да",0,SUM(INDIRECT("T"&amp;(MAX(("Да"=AA$12:AA245)*ROW(AA$12:AA245)+1,ROW($T$12))&amp;":T"&amp;(ROW()-1))))),Первоначальный[[#This Row],[Полученный платеж]]+Y245),
AND(S245=0,MAX((0&lt;&gt;N$12:N245)*ROW(N$12:N245),ROW($S$12))&gt;=MAX((1=Z$12:Z245)*ROW(Z$12:Z245),ROW($T$12))),MIN(LOOKUP(,-1/($Z$12:Z246=1),$C$12:C246)+LOOKUP(,-1/($Z$12:Z246=1),$H$12:H246)-IF(N245&lt;&gt;0,0,SUM(INDIRECT("T"&amp;(MAX((0&lt;&gt;N$12:N245)*ROW(N$12:N245)+1,ROW($T$12))&amp;":T"&amp;(ROW()-1))))),Первоначальный[[#This Row],[Полученный платеж]]+Y245),
AND(S245=0,Первоначальный[[#This Row],[Дата платежа из графика]]=1),MIN(LOOKUP(,-1/($Z$12:Z246=1),$C$12:C246)+LOOKUP(,-1/($Z$12:Z246=1),$H$12:H246)-IF(Z245=1,0,SUM(INDIRECT("T"&amp;(MAX((1=Z$12:Z245)*ROW(Z$12:Z245)+1,ROW($T$12))&amp;":T"&amp;(ROW()-1))))),Первоначальный[[#This Row],[Полученный платеж]]+Y245),
AND(Z245&gt;0,Первоначальный[[#This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платеж]]+Y245),
AND(S245&gt;0,MAX((0&lt;&gt;S$12:S245)*ROW(S$12:S245),ROW($S$12))&gt;=MAX((1=Z$12:Z245)*ROW(Z$12:Z245),ROW($T$12)),TYPE(VLOOKUP("Да",(INDIRECT("AA"&amp;(MAX((1=Z$12:Z245)*ROW(Z$12:Z245),ROW($T$12))&amp;":AA"&amp;(ROW()-1)))),1,0))=16),MIN(LOOKUP(,-1/($Z$12:Z246=1),$C$12:C246)+LOOKUP(,-1/($Z$12:Z246=1),$H$12:H246)-SUM(INDIRECT("T"&amp;(MAX((1=Z$12:Z245)*ROW(Z$12:Z245),ROW($T$12))&amp;":T"&amp;(ROW()-1)))),Первоначальный[[#This Row],[Полученный платеж]]+Y245),
S245&gt;0,MIN(LOOKUP(,-1/($Z$12:Z246=1),$C$12:C246)+LOOKUP(,-1/($Z$12:Z246=1),$H$12:H246)-IF(Z245=1,0,SUM(INDIRECT("T"&amp;(MAX((1=Z$12:Z245)*ROW(Z$12:Z245)+1,ROW($T$12))&amp;":T"&amp;(ROW()-1))))),Первоначальный[[#This Row],[Полученный платеж]]+Y245)
)
)
)</f>
        <v>0</v>
      </c>
      <c r="U24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платеж]]+Y245-Первоначальный[[#This Row],[Полученный платёж по процентам]])</f>
        <v>0</v>
      </c>
      <c r="V246" s="55">
        <f t="shared" ca="1" si="37"/>
        <v>0</v>
      </c>
      <c r="W246" s="55" cm="1">
        <f t="array" aca="1" ref="W246" ca="1">IF(Первоначальный[[#This Row],[Итого остаток на начало периода]]&lt;1,0,
_xlfn.IFS(
AND(TYPE(VLOOKUP(1,$Z$12:Z246,1,0))=16,Первоначальный[[#This Row],[Досрочное погашение (да/"")]]=""),0,
AND(S245=0,Первоначальный[[#This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платеж]]+Y245-SUM(Первоначальный[[#This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комиссиям]]),VLOOKUP(LOOKUP(,-1/($Z$12:Z246=1),$A$12:A246),График[[Срок конец]:[Возврат основной суммы долга]],3,0)),
AND(S245=0,Первоначальный[[#This Row],[Дата платежа из графика]]="",Первоначальный[[#This Row],[Досрочное погашение (да/"")]]&lt;&gt;"Да"),0,
AND(S245=0,Первоначальный[[#This Row],[Досрочное погашение (да/"")]]=""),MIN(Первоначальный[[#This Row],[Полученный платеж]]+Y245-SUM(Первоначальный[[#This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комиссиям]]),VLOOKUP(LOOKUP(,-1/($Z$12:Z246=1),$A$12:A246),График[[Срок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платеж]]+Y245-SUM(Первоначальный[[#This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S245&gt;0,MIN(Первоначальный[[#This Row],[Полученный платеж]]+Y245-SUM(Первоначальный[[#This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комиссиям]]),SUM(INDIRECT("M"&amp;(MAX((1=S$12:S245)*ROW(S$12:S245),ROW($W$12))&amp;":M"&amp;(ROW()))))-SUM(INDIRECT("W"&amp;(MAX((1=S$12:S245)*ROW(S$12:S245),ROW($W$12))&amp;":W"&amp;(ROW()-1)))))
)
)</f>
        <v>0</v>
      </c>
      <c r="X246" s="55">
        <f t="shared" ca="1" si="38"/>
        <v>0</v>
      </c>
      <c r="Y246" s="101">
        <f t="shared" ca="1" si="45"/>
        <v>0</v>
      </c>
      <c r="Z246" s="133" t="str">
        <f>IF(TYPE((VLOOKUP(Первоначальный[[#This Row],[Дата платежа]],График[Срок конец],1,0)))=16,"",1)</f>
        <v/>
      </c>
      <c r="AA246" s="57"/>
      <c r="AB246" s="134"/>
      <c r="AC24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4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13917.730000000009</v>
      </c>
      <c r="AE24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101.20999999999995</v>
      </c>
      <c r="AF24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4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5972.8624655737713</v>
      </c>
      <c r="AH246" s="55"/>
      <c r="AI246" s="55"/>
      <c r="AJ246" s="55"/>
      <c r="AK246" s="101">
        <f t="shared" ca="1" si="46"/>
        <v>169625.14246557376</v>
      </c>
      <c r="AL246" s="129">
        <f t="array" ref="AL246">MAX((УслРестрактов[Характеристика]="Дата реструктуризации")*(УслРестрактов[Значение]=Первоначальный!$A246),0)</f>
        <v>0</v>
      </c>
    </row>
    <row r="247" spans="1:38" x14ac:dyDescent="0.25">
      <c r="A247" s="97">
        <f t="shared" si="39"/>
        <v>44378</v>
      </c>
      <c r="B247" s="100">
        <f t="shared" ca="1" si="40"/>
        <v>149633.34</v>
      </c>
      <c r="C247" s="55">
        <f t="shared" ca="1" si="48"/>
        <v>13917.730000000009</v>
      </c>
      <c r="D247" s="55">
        <f t="shared" ca="1" si="48"/>
        <v>101.20999999999995</v>
      </c>
      <c r="E247" s="55">
        <f t="shared" ca="1" si="41"/>
        <v>0</v>
      </c>
      <c r="F247" s="55">
        <f t="shared" ca="1" si="42"/>
        <v>5972.8624655737713</v>
      </c>
      <c r="G247" s="101">
        <f t="shared" ca="1" si="43"/>
        <v>169625.14246557376</v>
      </c>
      <c r="H247" s="100">
        <f ca="1">ROUND($B247*VLOOKUP($A247,$A$1:$B$10,2,1)/(365+IF(MOD(YEAR($A247),4),0,1)*($A247-$A246)),2)-Первоначальный[[#This Row],[Проценты на просроченный платеж по ОД за период]]</f>
        <v>80.36</v>
      </c>
      <c r="I247" s="55">
        <f t="shared" ca="1" si="44"/>
        <v>1.22</v>
      </c>
      <c r="J247" s="55">
        <v>0</v>
      </c>
      <c r="K247" s="55">
        <f t="shared" ca="1" si="47"/>
        <v>72.358503278688531</v>
      </c>
      <c r="L247" s="55">
        <v>0</v>
      </c>
      <c r="M247" s="113">
        <f>SUMIFS(График[Возврат основной суммы долга],График[Дата с учетом нерабочих дней],$A247)</f>
        <v>0</v>
      </c>
      <c r="N247" s="56">
        <f>SUMIFS(График[Возврат начисленных %],График[Дата с учетом нерабочих дней],$A247)</f>
        <v>0</v>
      </c>
      <c r="O247" s="101">
        <v>0</v>
      </c>
      <c r="P247" s="100" cm="1">
        <f t="array" aca="1" ref="P247" ca="1">MAX(IF(AA246="Да",0,SUM(INDIRECT("M"&amp;(MAX(("Да"=AA$12:AA246)*ROW(AA$12:AA246)+1,ROW($P$12))&amp;":M"&amp;(ROW()))))-SUM(INDIRECT("W"&amp;(MAX(("Да"=AA$12:AA246)*ROW(AA$12:AA246)+1,ROW($P$12))&amp;":W"&amp;(ROW()))))),0)</f>
        <v>2242.1899999999991</v>
      </c>
      <c r="Q247" s="99">
        <f ca="1">MAX(SUM($N$13:N247)-SUM($T$13:T247),0)</f>
        <v>12229.510655737706</v>
      </c>
      <c r="R247" s="99">
        <f ca="1">Первоначальный[[#This Row],[Просроченный платеж по ОД]]+Первоначальный[[#This Row],[Просроченный платеж по процентам]]</f>
        <v>14471.700655737704</v>
      </c>
      <c r="S247" s="120">
        <f ca="1">IF(Первоначальный[[#This Row],[Просроченный платеж]]&lt;1,0,S246+1)</f>
        <v>143</v>
      </c>
      <c r="T247" s="100" cm="1">
        <f t="array" aca="1" ref="T247" ca="1">IF(Первоначальный[[#This Row],[Итого остаток на начало периода]]&lt;1,0,
IF(
AND(TYPE(VLOOKUP(1,$Z$12:Z247,1,0))=16,Первоначальный[[#This Row],[Досрочное погашение (да/"")]]=""),0,
_xlfn.IFS(AND(S246=0,Первоначальный[[#This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платеж]]&lt;&gt;0),MIN(LOOKUP(,-1/($Z$12:Z247=1),$C$12:C247)+LOOKUP(,-1/($Z$12:Z247=1),$H$12:H247),Первоначальный[[#This Row],[Полученный платеж]]+Y246),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платеж]]+Y246,SUM(Первоначальный[[#This Row],[Остаток процентов на начало периода]],Первоначальный[[#This Row],[Проценты за период]])),
AND(S246=0,Первоначальный[[#This Row],[Дата платежа из графика]]=""),0,
AND(S246=0,Первоначальный[[#This Row],[Дата платежа из графика]]=1,MAX((0&lt;&gt;S$12:S246)*ROW(S$12:S246),ROW($S$12))&gt;=MAX((1=Z$12:Z246)*ROW(Z$12:Z246),ROW($T$12)),TYPE(VLOOKUP("Да",(INDIRECT("AA"&amp;(MAX((1=Z$12:Z246)*ROW(Z$12:Z246),ROW($T$12))&amp;":AA"&amp;(ROW()-1)))),1,0))=16),MIN(LOOKUP(,-1/($Z$12:Z247=1),$C$12:C247)+LOOKUP(,-1/($Z$12:Z247=1),$H$12:H247),Первоначальный[[#This Row],[Полученный платеж]]+Y246),
AND(S246=0,TYPE(VLOOKUP("Да",(INDIRECT("AA"&amp;(MAX((1=Z$12:Z246)*ROW(Z$12:Z246),ROW($T$12))&amp;":AA"&amp;(ROW()-1)))),1,0))&lt;&gt;16),MIN(LOOKUP(,-1/($Z$12:Z247=1),$C$12:C247)+LOOKUP(,-1/($Z$12:Z247=1),$H$12:H247)-IF(AA246="Да",0,SUM(INDIRECT("T"&amp;(MAX(("Да"=AA$12:AA246)*ROW(AA$12:AA246)+1,ROW($T$12))&amp;":T"&amp;(ROW()-1))))),Первоначальный[[#This Row],[Полученный платеж]]+Y246),
AND(S246=0,MAX((0&lt;&gt;N$12:N246)*ROW(N$12:N246),ROW($S$12))&gt;=MAX((1=Z$12:Z246)*ROW(Z$12:Z246),ROW($T$12))),MIN(LOOKUP(,-1/($Z$12:Z247=1),$C$12:C247)+LOOKUP(,-1/($Z$12:Z247=1),$H$12:H247)-IF(N246&lt;&gt;0,0,SUM(INDIRECT("T"&amp;(MAX((0&lt;&gt;N$12:N246)*ROW(N$12:N246)+1,ROW($T$12))&amp;":T"&amp;(ROW()-1))))),Первоначальный[[#This Row],[Полученный платеж]]+Y246),
AND(S246=0,Первоначальный[[#This Row],[Дата платежа из графика]]=1),MIN(LOOKUP(,-1/($Z$12:Z247=1),$C$12:C247)+LOOKUP(,-1/($Z$12:Z247=1),$H$12:H247)-IF(Z246=1,0,SUM(INDIRECT("T"&amp;(MAX((1=Z$12:Z246)*ROW(Z$12:Z246)+1,ROW($T$12))&amp;":T"&amp;(ROW()-1))))),Первоначальный[[#This Row],[Полученный платеж]]+Y246),
AND(Z246&gt;0,Первоначальный[[#This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платеж]]+Y246),
AND(S246&gt;0,MAX((0&lt;&gt;S$12:S246)*ROW(S$12:S246),ROW($S$12))&gt;=MAX((1=Z$12:Z246)*ROW(Z$12:Z246),ROW($T$12)),TYPE(VLOOKUP("Да",(INDIRECT("AA"&amp;(MAX((1=Z$12:Z246)*ROW(Z$12:Z246),ROW($T$12))&amp;":AA"&amp;(ROW()-1)))),1,0))=16),MIN(LOOKUP(,-1/($Z$12:Z247=1),$C$12:C247)+LOOKUP(,-1/($Z$12:Z247=1),$H$12:H247)-SUM(INDIRECT("T"&amp;(MAX((1=Z$12:Z246)*ROW(Z$12:Z246),ROW($T$12))&amp;":T"&amp;(ROW()-1)))),Первоначальный[[#This Row],[Полученный платеж]]+Y246),
S246&gt;0,MIN(LOOKUP(,-1/($Z$12:Z247=1),$C$12:C247)+LOOKUP(,-1/($Z$12:Z247=1),$H$12:H247)-IF(Z246=1,0,SUM(INDIRECT("T"&amp;(MAX((1=Z$12:Z246)*ROW(Z$12:Z246)+1,ROW($T$12))&amp;":T"&amp;(ROW()-1))))),Первоначальный[[#This Row],[Полученный платеж]]+Y246)
)
)
)</f>
        <v>0</v>
      </c>
      <c r="U24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платеж]]+Y246-Первоначальный[[#This Row],[Полученный платёж по процентам]])</f>
        <v>0</v>
      </c>
      <c r="V247" s="55">
        <f t="shared" ca="1" si="37"/>
        <v>0</v>
      </c>
      <c r="W247" s="55" cm="1">
        <f t="array" aca="1" ref="W247" ca="1">IF(Первоначальный[[#This Row],[Итого остаток на начало периода]]&lt;1,0,
_xlfn.IFS(
AND(TYPE(VLOOKUP(1,$Z$12:Z247,1,0))=16,Первоначальный[[#This Row],[Досрочное погашение (да/"")]]=""),0,
AND(S246=0,Первоначальный[[#This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платеж]]+Y246-SUM(Первоначальный[[#This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комиссиям]]),VLOOKUP(LOOKUP(,-1/($Z$12:Z247=1),$A$12:A247),График[[Срок конец]:[Возврат основной суммы долга]],3,0)),
AND(S246=0,Первоначальный[[#This Row],[Дата платежа из графика]]="",Первоначальный[[#This Row],[Досрочное погашение (да/"")]]&lt;&gt;"Да"),0,
AND(S246=0,Первоначальный[[#This Row],[Досрочное погашение (да/"")]]=""),MIN(Первоначальный[[#This Row],[Полученный платеж]]+Y246-SUM(Первоначальный[[#This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комиссиям]]),VLOOKUP(LOOKUP(,-1/($Z$12:Z247=1),$A$12:A247),График[[Срок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платеж]]+Y246-SUM(Первоначальный[[#This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S246&gt;0,MIN(Первоначальный[[#This Row],[Полученный платеж]]+Y246-SUM(Первоначальный[[#This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комиссиям]]),SUM(INDIRECT("M"&amp;(MAX((1=S$12:S246)*ROW(S$12:S246),ROW($W$12))&amp;":M"&amp;(ROW()))))-SUM(INDIRECT("W"&amp;(MAX((1=S$12:S246)*ROW(S$12:S246),ROW($W$12))&amp;":W"&amp;(ROW()-1)))))
)
)</f>
        <v>0</v>
      </c>
      <c r="X247" s="55">
        <f t="shared" ca="1" si="38"/>
        <v>0</v>
      </c>
      <c r="Y247" s="101">
        <f t="shared" ca="1" si="45"/>
        <v>0</v>
      </c>
      <c r="Z247" s="133" t="str">
        <f>IF(TYPE((VLOOKUP(Первоначальный[[#This Row],[Дата платежа]],График[Срок конец],1,0)))=16,"",1)</f>
        <v/>
      </c>
      <c r="AA247" s="57"/>
      <c r="AB247" s="134"/>
      <c r="AC24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4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13998.090000000009</v>
      </c>
      <c r="AE24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102.42999999999995</v>
      </c>
      <c r="AF24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4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6045.2209688524599</v>
      </c>
      <c r="AH247" s="55"/>
      <c r="AI247" s="55"/>
      <c r="AJ247" s="55"/>
      <c r="AK247" s="101">
        <f t="shared" ca="1" si="46"/>
        <v>169779.08096885245</v>
      </c>
      <c r="AL247" s="129">
        <f t="array" ref="AL247">MAX((УслРестрактов[Характеристика]="Дата реструктуризации")*(УслРестрактов[Значение]=Первоначальный!$A247),0)</f>
        <v>0</v>
      </c>
    </row>
    <row r="248" spans="1:38" x14ac:dyDescent="0.25">
      <c r="A248" s="97">
        <f t="shared" si="39"/>
        <v>44379</v>
      </c>
      <c r="B248" s="100">
        <f t="shared" ca="1" si="40"/>
        <v>149633.34</v>
      </c>
      <c r="C248" s="55">
        <f t="shared" ca="1" si="48"/>
        <v>13998.090000000009</v>
      </c>
      <c r="D248" s="55">
        <f t="shared" ca="1" si="48"/>
        <v>102.42999999999995</v>
      </c>
      <c r="E248" s="55">
        <f t="shared" ca="1" si="41"/>
        <v>0</v>
      </c>
      <c r="F248" s="55">
        <f t="shared" ca="1" si="42"/>
        <v>6045.2209688524599</v>
      </c>
      <c r="G248" s="101">
        <f t="shared" ca="1" si="43"/>
        <v>169779.08096885245</v>
      </c>
      <c r="H248" s="100">
        <f ca="1">ROUND($B248*VLOOKUP($A248,$A$1:$B$10,2,1)/(365+IF(MOD(YEAR($A248),4),0,1)*($A248-$A247)),2)-Первоначальный[[#This Row],[Проценты на просроченный платеж по ОД за период]]</f>
        <v>80.36</v>
      </c>
      <c r="I248" s="55">
        <f t="shared" ca="1" si="44"/>
        <v>1.22</v>
      </c>
      <c r="J248" s="55">
        <v>0</v>
      </c>
      <c r="K248" s="55">
        <f t="shared" ca="1" si="47"/>
        <v>72.358503278688531</v>
      </c>
      <c r="L248" s="55">
        <v>0</v>
      </c>
      <c r="M248" s="113">
        <f>SUMIFS(График[Возврат основной суммы долга],График[Дата с учетом нерабочих дней],$A248)</f>
        <v>0</v>
      </c>
      <c r="N248" s="56">
        <f>SUMIFS(График[Возврат начисленных %],График[Дата с учетом нерабочих дней],$A248)</f>
        <v>0</v>
      </c>
      <c r="O248" s="101">
        <v>0</v>
      </c>
      <c r="P248" s="100" cm="1">
        <f t="array" aca="1" ref="P248" ca="1">MAX(IF(AA247="Да",0,SUM(INDIRECT("M"&amp;(MAX(("Да"=AA$12:AA247)*ROW(AA$12:AA247)+1,ROW($P$12))&amp;":M"&amp;(ROW()))))-SUM(INDIRECT("W"&amp;(MAX(("Да"=AA$12:AA247)*ROW(AA$12:AA247)+1,ROW($P$12))&amp;":W"&amp;(ROW()))))),0)</f>
        <v>2242.1899999999991</v>
      </c>
      <c r="Q248" s="99">
        <f ca="1">MAX(SUM($N$13:N248)-SUM($T$13:T248),0)</f>
        <v>12229.510655737706</v>
      </c>
      <c r="R248" s="99">
        <f ca="1">Первоначальный[[#This Row],[Просроченный платеж по ОД]]+Первоначальный[[#This Row],[Просроченный платеж по процентам]]</f>
        <v>14471.700655737704</v>
      </c>
      <c r="S248" s="120">
        <f ca="1">IF(Первоначальный[[#This Row],[Просроченный платеж]]&lt;1,0,S247+1)</f>
        <v>144</v>
      </c>
      <c r="T248" s="100" cm="1">
        <f t="array" aca="1" ref="T248" ca="1">IF(Первоначальный[[#This Row],[Итого остаток на начало периода]]&lt;1,0,
IF(
AND(TYPE(VLOOKUP(1,$Z$12:Z248,1,0))=16,Первоначальный[[#This Row],[Досрочное погашение (да/"")]]=""),0,
_xlfn.IFS(AND(S247=0,Первоначальный[[#This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платеж]]&lt;&gt;0),MIN(LOOKUP(,-1/($Z$12:Z248=1),$C$12:C248)+LOOKUP(,-1/($Z$12:Z248=1),$H$12:H248),Первоначальный[[#This Row],[Полученный платеж]]+Y247),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платеж]]+Y247,SUM(Первоначальный[[#This Row],[Остаток процентов на начало периода]],Первоначальный[[#This Row],[Проценты за период]])),
AND(S247=0,Первоначальный[[#This Row],[Дата платежа из графика]]=""),0,
AND(S247=0,Первоначальный[[#This Row],[Дата платежа из графика]]=1,MAX((0&lt;&gt;S$12:S247)*ROW(S$12:S247),ROW($S$12))&gt;=MAX((1=Z$12:Z247)*ROW(Z$12:Z247),ROW($T$12)),TYPE(VLOOKUP("Да",(INDIRECT("AA"&amp;(MAX((1=Z$12:Z247)*ROW(Z$12:Z247),ROW($T$12))&amp;":AA"&amp;(ROW()-1)))),1,0))=16),MIN(LOOKUP(,-1/($Z$12:Z248=1),$C$12:C248)+LOOKUP(,-1/($Z$12:Z248=1),$H$12:H248),Первоначальный[[#This Row],[Полученный платеж]]+Y247),
AND(S247=0,TYPE(VLOOKUP("Да",(INDIRECT("AA"&amp;(MAX((1=Z$12:Z247)*ROW(Z$12:Z247),ROW($T$12))&amp;":AA"&amp;(ROW()-1)))),1,0))&lt;&gt;16),MIN(LOOKUP(,-1/($Z$12:Z248=1),$C$12:C248)+LOOKUP(,-1/($Z$12:Z248=1),$H$12:H248)-IF(AA247="Да",0,SUM(INDIRECT("T"&amp;(MAX(("Да"=AA$12:AA247)*ROW(AA$12:AA247)+1,ROW($T$12))&amp;":T"&amp;(ROW()-1))))),Первоначальный[[#This Row],[Полученный платеж]]+Y247),
AND(S247=0,MAX((0&lt;&gt;N$12:N247)*ROW(N$12:N247),ROW($S$12))&gt;=MAX((1=Z$12:Z247)*ROW(Z$12:Z247),ROW($T$12))),MIN(LOOKUP(,-1/($Z$12:Z248=1),$C$12:C248)+LOOKUP(,-1/($Z$12:Z248=1),$H$12:H248)-IF(N247&lt;&gt;0,0,SUM(INDIRECT("T"&amp;(MAX((0&lt;&gt;N$12:N247)*ROW(N$12:N247)+1,ROW($T$12))&amp;":T"&amp;(ROW()-1))))),Первоначальный[[#This Row],[Полученный платеж]]+Y247),
AND(S247=0,Первоначальный[[#This Row],[Дата платежа из графика]]=1),MIN(LOOKUP(,-1/($Z$12:Z248=1),$C$12:C248)+LOOKUP(,-1/($Z$12:Z248=1),$H$12:H248)-IF(Z247=1,0,SUM(INDIRECT("T"&amp;(MAX((1=Z$12:Z247)*ROW(Z$12:Z247)+1,ROW($T$12))&amp;":T"&amp;(ROW()-1))))),Первоначальный[[#This Row],[Полученный платеж]]+Y247),
AND(Z247&gt;0,Первоначальный[[#This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платеж]]+Y247),
AND(S247&gt;0,MAX((0&lt;&gt;S$12:S247)*ROW(S$12:S247),ROW($S$12))&gt;=MAX((1=Z$12:Z247)*ROW(Z$12:Z247),ROW($T$12)),TYPE(VLOOKUP("Да",(INDIRECT("AA"&amp;(MAX((1=Z$12:Z247)*ROW(Z$12:Z247),ROW($T$12))&amp;":AA"&amp;(ROW()-1)))),1,0))=16),MIN(LOOKUP(,-1/($Z$12:Z248=1),$C$12:C248)+LOOKUP(,-1/($Z$12:Z248=1),$H$12:H248)-SUM(INDIRECT("T"&amp;(MAX((1=Z$12:Z247)*ROW(Z$12:Z247),ROW($T$12))&amp;":T"&amp;(ROW()-1)))),Первоначальный[[#This Row],[Полученный платеж]]+Y247),
S247&gt;0,MIN(LOOKUP(,-1/($Z$12:Z248=1),$C$12:C248)+LOOKUP(,-1/($Z$12:Z248=1),$H$12:H248)-IF(Z247=1,0,SUM(INDIRECT("T"&amp;(MAX((1=Z$12:Z247)*ROW(Z$12:Z247)+1,ROW($T$12))&amp;":T"&amp;(ROW()-1))))),Первоначальный[[#This Row],[Полученный платеж]]+Y247)
)
)
)</f>
        <v>0</v>
      </c>
      <c r="U24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платеж]]+Y247-Первоначальный[[#This Row],[Полученный платёж по процентам]])</f>
        <v>0</v>
      </c>
      <c r="V248" s="55">
        <f t="shared" ca="1" si="37"/>
        <v>0</v>
      </c>
      <c r="W248" s="55" cm="1">
        <f t="array" aca="1" ref="W248" ca="1">IF(Первоначальный[[#This Row],[Итого остаток на начало периода]]&lt;1,0,
_xlfn.IFS(
AND(TYPE(VLOOKUP(1,$Z$12:Z248,1,0))=16,Первоначальный[[#This Row],[Досрочное погашение (да/"")]]=""),0,
AND(S247=0,Первоначальный[[#This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платеж]]+Y247-SUM(Первоначальный[[#This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комиссиям]]),VLOOKUP(LOOKUP(,-1/($Z$12:Z248=1),$A$12:A248),График[[Срок конец]:[Возврат основной суммы долга]],3,0)),
AND(S247=0,Первоначальный[[#This Row],[Дата платежа из графика]]="",Первоначальный[[#This Row],[Досрочное погашение (да/"")]]&lt;&gt;"Да"),0,
AND(S247=0,Первоначальный[[#This Row],[Досрочное погашение (да/"")]]=""),MIN(Первоначальный[[#This Row],[Полученный платеж]]+Y247-SUM(Первоначальный[[#This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комиссиям]]),VLOOKUP(LOOKUP(,-1/($Z$12:Z248=1),$A$12:A248),График[[Срок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платеж]]+Y247-SUM(Первоначальный[[#This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S247&gt;0,MIN(Первоначальный[[#This Row],[Полученный платеж]]+Y247-SUM(Первоначальный[[#This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комиссиям]]),SUM(INDIRECT("M"&amp;(MAX((1=S$12:S247)*ROW(S$12:S247),ROW($W$12))&amp;":M"&amp;(ROW()))))-SUM(INDIRECT("W"&amp;(MAX((1=S$12:S247)*ROW(S$12:S247),ROW($W$12))&amp;":W"&amp;(ROW()-1)))))
)
)</f>
        <v>0</v>
      </c>
      <c r="X248" s="55">
        <f t="shared" ca="1" si="38"/>
        <v>0</v>
      </c>
      <c r="Y248" s="101">
        <f t="shared" ca="1" si="45"/>
        <v>0</v>
      </c>
      <c r="Z248" s="133" t="str">
        <f>IF(TYPE((VLOOKUP(Первоначальный[[#This Row],[Дата платежа]],График[Срок конец],1,0)))=16,"",1)</f>
        <v/>
      </c>
      <c r="AA248" s="57"/>
      <c r="AB248" s="134"/>
      <c r="AC24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4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14078.45000000001</v>
      </c>
      <c r="AE24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103.64999999999995</v>
      </c>
      <c r="AF24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4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6117.5794721311486</v>
      </c>
      <c r="AH248" s="55"/>
      <c r="AI248" s="55"/>
      <c r="AJ248" s="55"/>
      <c r="AK248" s="101">
        <f t="shared" ca="1" si="46"/>
        <v>169933.01947213116</v>
      </c>
      <c r="AL248" s="129">
        <f t="array" ref="AL248">MAX((УслРестрактов[Характеристика]="Дата реструктуризации")*(УслРестрактов[Значение]=Первоначальный!$A248),0)</f>
        <v>0</v>
      </c>
    </row>
    <row r="249" spans="1:38" x14ac:dyDescent="0.25">
      <c r="A249" s="97">
        <f t="shared" si="39"/>
        <v>44380</v>
      </c>
      <c r="B249" s="100">
        <f t="shared" ca="1" si="40"/>
        <v>149633.34</v>
      </c>
      <c r="C249" s="55">
        <f t="shared" ca="1" si="48"/>
        <v>14078.45000000001</v>
      </c>
      <c r="D249" s="55">
        <f t="shared" ca="1" si="48"/>
        <v>103.64999999999995</v>
      </c>
      <c r="E249" s="55">
        <f t="shared" ca="1" si="41"/>
        <v>0</v>
      </c>
      <c r="F249" s="55">
        <f t="shared" ca="1" si="42"/>
        <v>6117.5794721311486</v>
      </c>
      <c r="G249" s="101">
        <f t="shared" ca="1" si="43"/>
        <v>169933.01947213116</v>
      </c>
      <c r="H249" s="100">
        <f ca="1">ROUND($B249*VLOOKUP($A249,$A$1:$B$10,2,1)/(365+IF(MOD(YEAR($A249),4),0,1)*($A249-$A248)),2)-Первоначальный[[#This Row],[Проценты на просроченный платеж по ОД за период]]</f>
        <v>80.36</v>
      </c>
      <c r="I249" s="55">
        <f t="shared" ca="1" si="44"/>
        <v>1.22</v>
      </c>
      <c r="J249" s="55">
        <v>0</v>
      </c>
      <c r="K249" s="55">
        <f t="shared" ca="1" si="47"/>
        <v>72.358503278688531</v>
      </c>
      <c r="L249" s="55">
        <v>0</v>
      </c>
      <c r="M249" s="113">
        <f>SUMIFS(График[Возврат основной суммы долга],График[Дата с учетом нерабочих дней],$A249)</f>
        <v>0</v>
      </c>
      <c r="N249" s="56">
        <f>SUMIFS(График[Возврат начисленных %],График[Дата с учетом нерабочих дней],$A249)</f>
        <v>0</v>
      </c>
      <c r="O249" s="101">
        <v>0</v>
      </c>
      <c r="P249" s="100" cm="1">
        <f t="array" aca="1" ref="P249" ca="1">MAX(IF(AA248="Да",0,SUM(INDIRECT("M"&amp;(MAX(("Да"=AA$12:AA248)*ROW(AA$12:AA248)+1,ROW($P$12))&amp;":M"&amp;(ROW()))))-SUM(INDIRECT("W"&amp;(MAX(("Да"=AA$12:AA248)*ROW(AA$12:AA248)+1,ROW($P$12))&amp;":W"&amp;(ROW()))))),0)</f>
        <v>2242.1899999999991</v>
      </c>
      <c r="Q249" s="99">
        <f ca="1">MAX(SUM($N$13:N249)-SUM($T$13:T249),0)</f>
        <v>12229.510655737706</v>
      </c>
      <c r="R249" s="99">
        <f ca="1">Первоначальный[[#This Row],[Просроченный платеж по ОД]]+Первоначальный[[#This Row],[Просроченный платеж по процентам]]</f>
        <v>14471.700655737704</v>
      </c>
      <c r="S249" s="120">
        <f ca="1">IF(Первоначальный[[#This Row],[Просроченный платеж]]&lt;1,0,S248+1)</f>
        <v>145</v>
      </c>
      <c r="T249" s="100" cm="1">
        <f t="array" aca="1" ref="T249" ca="1">IF(Первоначальный[[#This Row],[Итого остаток на начало периода]]&lt;1,0,
IF(
AND(TYPE(VLOOKUP(1,$Z$12:Z249,1,0))=16,Первоначальный[[#This Row],[Досрочное погашение (да/"")]]=""),0,
_xlfn.IFS(AND(S248=0,Первоначальный[[#This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платеж]]&lt;&gt;0),MIN(LOOKUP(,-1/($Z$12:Z249=1),$C$12:C249)+LOOKUP(,-1/($Z$12:Z249=1),$H$12:H249),Первоначальный[[#This Row],[Полученный платеж]]+Y248),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платеж]]+Y248,SUM(Первоначальный[[#This Row],[Остаток процентов на начало периода]],Первоначальный[[#This Row],[Проценты за период]])),
AND(S248=0,Первоначальный[[#This Row],[Дата платежа из графика]]=""),0,
AND(S248=0,Первоначальный[[#This Row],[Дата платежа из графика]]=1,MAX((0&lt;&gt;S$12:S248)*ROW(S$12:S248),ROW($S$12))&gt;=MAX((1=Z$12:Z248)*ROW(Z$12:Z248),ROW($T$12)),TYPE(VLOOKUP("Да",(INDIRECT("AA"&amp;(MAX((1=Z$12:Z248)*ROW(Z$12:Z248),ROW($T$12))&amp;":AA"&amp;(ROW()-1)))),1,0))=16),MIN(LOOKUP(,-1/($Z$12:Z249=1),$C$12:C249)+LOOKUP(,-1/($Z$12:Z249=1),$H$12:H249),Первоначальный[[#This Row],[Полученный платеж]]+Y248),
AND(S248=0,TYPE(VLOOKUP("Да",(INDIRECT("AA"&amp;(MAX((1=Z$12:Z248)*ROW(Z$12:Z248),ROW($T$12))&amp;":AA"&amp;(ROW()-1)))),1,0))&lt;&gt;16),MIN(LOOKUP(,-1/($Z$12:Z249=1),$C$12:C249)+LOOKUP(,-1/($Z$12:Z249=1),$H$12:H249)-IF(AA248="Да",0,SUM(INDIRECT("T"&amp;(MAX(("Да"=AA$12:AA248)*ROW(AA$12:AA248)+1,ROW($T$12))&amp;":T"&amp;(ROW()-1))))),Первоначальный[[#This Row],[Полученный платеж]]+Y248),
AND(S248=0,MAX((0&lt;&gt;N$12:N248)*ROW(N$12:N248),ROW($S$12))&gt;=MAX((1=Z$12:Z248)*ROW(Z$12:Z248),ROW($T$12))),MIN(LOOKUP(,-1/($Z$12:Z249=1),$C$12:C249)+LOOKUP(,-1/($Z$12:Z249=1),$H$12:H249)-IF(N248&lt;&gt;0,0,SUM(INDIRECT("T"&amp;(MAX((0&lt;&gt;N$12:N248)*ROW(N$12:N248)+1,ROW($T$12))&amp;":T"&amp;(ROW()-1))))),Первоначальный[[#This Row],[Полученный платеж]]+Y248),
AND(S248=0,Первоначальный[[#This Row],[Дата платежа из графика]]=1),MIN(LOOKUP(,-1/($Z$12:Z249=1),$C$12:C249)+LOOKUP(,-1/($Z$12:Z249=1),$H$12:H249)-IF(Z248=1,0,SUM(INDIRECT("T"&amp;(MAX((1=Z$12:Z248)*ROW(Z$12:Z248)+1,ROW($T$12))&amp;":T"&amp;(ROW()-1))))),Первоначальный[[#This Row],[Полученный платеж]]+Y248),
AND(Z248&gt;0,Первоначальный[[#This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платеж]]+Y248),
AND(S248&gt;0,MAX((0&lt;&gt;S$12:S248)*ROW(S$12:S248),ROW($S$12))&gt;=MAX((1=Z$12:Z248)*ROW(Z$12:Z248),ROW($T$12)),TYPE(VLOOKUP("Да",(INDIRECT("AA"&amp;(MAX((1=Z$12:Z248)*ROW(Z$12:Z248),ROW($T$12))&amp;":AA"&amp;(ROW()-1)))),1,0))=16),MIN(LOOKUP(,-1/($Z$12:Z249=1),$C$12:C249)+LOOKUP(,-1/($Z$12:Z249=1),$H$12:H249)-SUM(INDIRECT("T"&amp;(MAX((1=Z$12:Z248)*ROW(Z$12:Z248),ROW($T$12))&amp;":T"&amp;(ROW()-1)))),Первоначальный[[#This Row],[Полученный платеж]]+Y248),
S248&gt;0,MIN(LOOKUP(,-1/($Z$12:Z249=1),$C$12:C249)+LOOKUP(,-1/($Z$12:Z249=1),$H$12:H249)-IF(Z248=1,0,SUM(INDIRECT("T"&amp;(MAX((1=Z$12:Z248)*ROW(Z$12:Z248)+1,ROW($T$12))&amp;":T"&amp;(ROW()-1))))),Первоначальный[[#This Row],[Полученный платеж]]+Y248)
)
)
)</f>
        <v>0</v>
      </c>
      <c r="U24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платеж]]+Y248-Первоначальный[[#This Row],[Полученный платёж по процентам]])</f>
        <v>0</v>
      </c>
      <c r="V249" s="55">
        <f t="shared" ca="1" si="37"/>
        <v>0</v>
      </c>
      <c r="W249" s="55" cm="1">
        <f t="array" aca="1" ref="W249" ca="1">IF(Первоначальный[[#This Row],[Итого остаток на начало периода]]&lt;1,0,
_xlfn.IFS(
AND(TYPE(VLOOKUP(1,$Z$12:Z249,1,0))=16,Первоначальный[[#This Row],[Досрочное погашение (да/"")]]=""),0,
AND(S248=0,Первоначальный[[#This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платеж]]+Y248-SUM(Первоначальный[[#This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комиссиям]]),VLOOKUP(LOOKUP(,-1/($Z$12:Z249=1),$A$12:A249),График[[Срок конец]:[Возврат основной суммы долга]],3,0)),
AND(S248=0,Первоначальный[[#This Row],[Дата платежа из графика]]="",Первоначальный[[#This Row],[Досрочное погашение (да/"")]]&lt;&gt;"Да"),0,
AND(S248=0,Первоначальный[[#This Row],[Досрочное погашение (да/"")]]=""),MIN(Первоначальный[[#This Row],[Полученный платеж]]+Y248-SUM(Первоначальный[[#This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комиссиям]]),VLOOKUP(LOOKUP(,-1/($Z$12:Z249=1),$A$12:A249),График[[Срок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платеж]]+Y248-SUM(Первоначальный[[#This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S248&gt;0,MIN(Первоначальный[[#This Row],[Полученный платеж]]+Y248-SUM(Первоначальный[[#This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комиссиям]]),SUM(INDIRECT("M"&amp;(MAX((1=S$12:S248)*ROW(S$12:S248),ROW($W$12))&amp;":M"&amp;(ROW()))))-SUM(INDIRECT("W"&amp;(MAX((1=S$12:S248)*ROW(S$12:S248),ROW($W$12))&amp;":W"&amp;(ROW()-1)))))
)
)</f>
        <v>0</v>
      </c>
      <c r="X249" s="55">
        <f t="shared" ca="1" si="38"/>
        <v>0</v>
      </c>
      <c r="Y249" s="101">
        <f t="shared" ca="1" si="45"/>
        <v>0</v>
      </c>
      <c r="Z249" s="133" t="str">
        <f>IF(TYPE((VLOOKUP(Первоначальный[[#This Row],[Дата платежа]],График[Срок конец],1,0)))=16,"",1)</f>
        <v/>
      </c>
      <c r="AA249" s="57"/>
      <c r="AB249" s="134"/>
      <c r="AC24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4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14158.81000000001</v>
      </c>
      <c r="AE24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104.86999999999995</v>
      </c>
      <c r="AF24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4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6189.9379754098372</v>
      </c>
      <c r="AH249" s="55"/>
      <c r="AI249" s="55"/>
      <c r="AJ249" s="55"/>
      <c r="AK249" s="101">
        <f t="shared" ca="1" si="46"/>
        <v>170086.95797540984</v>
      </c>
      <c r="AL249" s="129">
        <f t="array" ref="AL249">MAX((УслРестрактов[Характеристика]="Дата реструктуризации")*(УслРестрактов[Значение]=Первоначальный!$A249),0)</f>
        <v>0</v>
      </c>
    </row>
    <row r="250" spans="1:38" x14ac:dyDescent="0.25">
      <c r="A250" s="97">
        <f t="shared" si="39"/>
        <v>44381</v>
      </c>
      <c r="B250" s="100">
        <f t="shared" ca="1" si="40"/>
        <v>149633.34</v>
      </c>
      <c r="C250" s="55">
        <f t="shared" ca="1" si="48"/>
        <v>14158.81000000001</v>
      </c>
      <c r="D250" s="55">
        <f t="shared" ca="1" si="48"/>
        <v>104.86999999999995</v>
      </c>
      <c r="E250" s="55">
        <f t="shared" ca="1" si="41"/>
        <v>0</v>
      </c>
      <c r="F250" s="55">
        <f t="shared" ca="1" si="42"/>
        <v>6189.9379754098372</v>
      </c>
      <c r="G250" s="101">
        <f t="shared" ca="1" si="43"/>
        <v>170086.95797540984</v>
      </c>
      <c r="H250" s="100">
        <f ca="1">ROUND($B250*VLOOKUP($A250,$A$1:$B$10,2,1)/(365+IF(MOD(YEAR($A250),4),0,1)*($A250-$A249)),2)-Первоначальный[[#This Row],[Проценты на просроченный платеж по ОД за период]]</f>
        <v>80.36</v>
      </c>
      <c r="I250" s="55">
        <f t="shared" ca="1" si="44"/>
        <v>1.22</v>
      </c>
      <c r="J250" s="55">
        <v>0</v>
      </c>
      <c r="K250" s="55">
        <f t="shared" ca="1" si="47"/>
        <v>72.358503278688531</v>
      </c>
      <c r="L250" s="55">
        <v>0</v>
      </c>
      <c r="M250" s="113">
        <f>SUMIFS(График[Возврат основной суммы долга],График[Дата с учетом нерабочих дней],$A250)</f>
        <v>0</v>
      </c>
      <c r="N250" s="56">
        <f>SUMIFS(График[Возврат начисленных %],График[Дата с учетом нерабочих дней],$A250)</f>
        <v>0</v>
      </c>
      <c r="O250" s="101">
        <v>0</v>
      </c>
      <c r="P250" s="100" cm="1">
        <f t="array" aca="1" ref="P250" ca="1">MAX(IF(AA249="Да",0,SUM(INDIRECT("M"&amp;(MAX(("Да"=AA$12:AA249)*ROW(AA$12:AA249)+1,ROW($P$12))&amp;":M"&amp;(ROW()))))-SUM(INDIRECT("W"&amp;(MAX(("Да"=AA$12:AA249)*ROW(AA$12:AA249)+1,ROW($P$12))&amp;":W"&amp;(ROW()))))),0)</f>
        <v>2242.1899999999991</v>
      </c>
      <c r="Q250" s="99">
        <f ca="1">MAX(SUM($N$13:N250)-SUM($T$13:T250),0)</f>
        <v>12229.510655737706</v>
      </c>
      <c r="R250" s="99">
        <f ca="1">Первоначальный[[#This Row],[Просроченный платеж по ОД]]+Первоначальный[[#This Row],[Просроченный платеж по процентам]]</f>
        <v>14471.700655737704</v>
      </c>
      <c r="S250" s="120">
        <f ca="1">IF(Первоначальный[[#This Row],[Просроченный платеж]]&lt;1,0,S249+1)</f>
        <v>146</v>
      </c>
      <c r="T250" s="100" cm="1">
        <f t="array" aca="1" ref="T250" ca="1">IF(Первоначальный[[#This Row],[Итого остаток на начало периода]]&lt;1,0,
IF(
AND(TYPE(VLOOKUP(1,$Z$12:Z250,1,0))=16,Первоначальный[[#This Row],[Досрочное погашение (да/"")]]=""),0,
_xlfn.IFS(AND(S249=0,Первоначальный[[#This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платеж]]&lt;&gt;0),MIN(LOOKUP(,-1/($Z$12:Z250=1),$C$12:C250)+LOOKUP(,-1/($Z$12:Z250=1),$H$12:H250),Первоначальный[[#This Row],[Полученный платеж]]+Y249),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платеж]]+Y249,SUM(Первоначальный[[#This Row],[Остаток процентов на начало периода]],Первоначальный[[#This Row],[Проценты за период]])),
AND(S249=0,Первоначальный[[#This Row],[Дата платежа из графика]]=""),0,
AND(S249=0,Первоначальный[[#This Row],[Дата платежа из графика]]=1,MAX((0&lt;&gt;S$12:S249)*ROW(S$12:S249),ROW($S$12))&gt;=MAX((1=Z$12:Z249)*ROW(Z$12:Z249),ROW($T$12)),TYPE(VLOOKUP("Да",(INDIRECT("AA"&amp;(MAX((1=Z$12:Z249)*ROW(Z$12:Z249),ROW($T$12))&amp;":AA"&amp;(ROW()-1)))),1,0))=16),MIN(LOOKUP(,-1/($Z$12:Z250=1),$C$12:C250)+LOOKUP(,-1/($Z$12:Z250=1),$H$12:H250),Первоначальный[[#This Row],[Полученный платеж]]+Y249),
AND(S249=0,TYPE(VLOOKUP("Да",(INDIRECT("AA"&amp;(MAX((1=Z$12:Z249)*ROW(Z$12:Z249),ROW($T$12))&amp;":AA"&amp;(ROW()-1)))),1,0))&lt;&gt;16),MIN(LOOKUP(,-1/($Z$12:Z250=1),$C$12:C250)+LOOKUP(,-1/($Z$12:Z250=1),$H$12:H250)-IF(AA249="Да",0,SUM(INDIRECT("T"&amp;(MAX(("Да"=AA$12:AA249)*ROW(AA$12:AA249)+1,ROW($T$12))&amp;":T"&amp;(ROW()-1))))),Первоначальный[[#This Row],[Полученный платеж]]+Y249),
AND(S249=0,MAX((0&lt;&gt;N$12:N249)*ROW(N$12:N249),ROW($S$12))&gt;=MAX((1=Z$12:Z249)*ROW(Z$12:Z249),ROW($T$12))),MIN(LOOKUP(,-1/($Z$12:Z250=1),$C$12:C250)+LOOKUP(,-1/($Z$12:Z250=1),$H$12:H250)-IF(N249&lt;&gt;0,0,SUM(INDIRECT("T"&amp;(MAX((0&lt;&gt;N$12:N249)*ROW(N$12:N249)+1,ROW($T$12))&amp;":T"&amp;(ROW()-1))))),Первоначальный[[#This Row],[Полученный платеж]]+Y249),
AND(S249=0,Первоначальный[[#This Row],[Дата платежа из графика]]=1),MIN(LOOKUP(,-1/($Z$12:Z250=1),$C$12:C250)+LOOKUP(,-1/($Z$12:Z250=1),$H$12:H250)-IF(Z249=1,0,SUM(INDIRECT("T"&amp;(MAX((1=Z$12:Z249)*ROW(Z$12:Z249)+1,ROW($T$12))&amp;":T"&amp;(ROW()-1))))),Первоначальный[[#This Row],[Полученный платеж]]+Y249),
AND(Z249&gt;0,Первоначальный[[#This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платеж]]+Y249),
AND(S249&gt;0,MAX((0&lt;&gt;S$12:S249)*ROW(S$12:S249),ROW($S$12))&gt;=MAX((1=Z$12:Z249)*ROW(Z$12:Z249),ROW($T$12)),TYPE(VLOOKUP("Да",(INDIRECT("AA"&amp;(MAX((1=Z$12:Z249)*ROW(Z$12:Z249),ROW($T$12))&amp;":AA"&amp;(ROW()-1)))),1,0))=16),MIN(LOOKUP(,-1/($Z$12:Z250=1),$C$12:C250)+LOOKUP(,-1/($Z$12:Z250=1),$H$12:H250)-SUM(INDIRECT("T"&amp;(MAX((1=Z$12:Z249)*ROW(Z$12:Z249),ROW($T$12))&amp;":T"&amp;(ROW()-1)))),Первоначальный[[#This Row],[Полученный платеж]]+Y249),
S249&gt;0,MIN(LOOKUP(,-1/($Z$12:Z250=1),$C$12:C250)+LOOKUP(,-1/($Z$12:Z250=1),$H$12:H250)-IF(Z249=1,0,SUM(INDIRECT("T"&amp;(MAX((1=Z$12:Z249)*ROW(Z$12:Z249)+1,ROW($T$12))&amp;":T"&amp;(ROW()-1))))),Первоначальный[[#This Row],[Полученный платеж]]+Y249)
)
)
)</f>
        <v>0</v>
      </c>
      <c r="U25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платеж]]+Y249-Первоначальный[[#This Row],[Полученный платёж по процентам]])</f>
        <v>0</v>
      </c>
      <c r="V250" s="55">
        <f t="shared" ca="1" si="37"/>
        <v>0</v>
      </c>
      <c r="W250" s="55" cm="1">
        <f t="array" aca="1" ref="W250" ca="1">IF(Первоначальный[[#This Row],[Итого остаток на начало периода]]&lt;1,0,
_xlfn.IFS(
AND(TYPE(VLOOKUP(1,$Z$12:Z250,1,0))=16,Первоначальный[[#This Row],[Досрочное погашение (да/"")]]=""),0,
AND(S249=0,Первоначальный[[#This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платеж]]+Y249-SUM(Первоначальный[[#This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комиссиям]]),VLOOKUP(LOOKUP(,-1/($Z$12:Z250=1),$A$12:A250),График[[Срок конец]:[Возврат основной суммы долга]],3,0)),
AND(S249=0,Первоначальный[[#This Row],[Дата платежа из графика]]="",Первоначальный[[#This Row],[Досрочное погашение (да/"")]]&lt;&gt;"Да"),0,
AND(S249=0,Первоначальный[[#This Row],[Досрочное погашение (да/"")]]=""),MIN(Первоначальный[[#This Row],[Полученный платеж]]+Y249-SUM(Первоначальный[[#This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комиссиям]]),VLOOKUP(LOOKUP(,-1/($Z$12:Z250=1),$A$12:A250),График[[Срок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платеж]]+Y249-SUM(Первоначальный[[#This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S249&gt;0,MIN(Первоначальный[[#This Row],[Полученный платеж]]+Y249-SUM(Первоначальный[[#This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комиссиям]]),SUM(INDIRECT("M"&amp;(MAX((1=S$12:S249)*ROW(S$12:S249),ROW($W$12))&amp;":M"&amp;(ROW()))))-SUM(INDIRECT("W"&amp;(MAX((1=S$12:S249)*ROW(S$12:S249),ROW($W$12))&amp;":W"&amp;(ROW()-1)))))
)
)</f>
        <v>0</v>
      </c>
      <c r="X250" s="55">
        <f t="shared" ca="1" si="38"/>
        <v>0</v>
      </c>
      <c r="Y250" s="101">
        <f t="shared" ca="1" si="45"/>
        <v>0</v>
      </c>
      <c r="Z250" s="133" t="str">
        <f>IF(TYPE((VLOOKUP(Первоначальный[[#This Row],[Дата платежа]],График[Срок конец],1,0)))=16,"",1)</f>
        <v/>
      </c>
      <c r="AA250" s="57"/>
      <c r="AB250" s="134"/>
      <c r="AC25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5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14239.170000000011</v>
      </c>
      <c r="AE25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106.08999999999995</v>
      </c>
      <c r="AF25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5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6262.2964786885259</v>
      </c>
      <c r="AH250" s="55"/>
      <c r="AI250" s="55"/>
      <c r="AJ250" s="55"/>
      <c r="AK250" s="101">
        <f t="shared" ca="1" si="46"/>
        <v>170240.89647868852</v>
      </c>
      <c r="AL250" s="129">
        <f t="array" ref="AL250">MAX((УслРестрактов[Характеристика]="Дата реструктуризации")*(УслРестрактов[Значение]=Первоначальный!$A250),0)</f>
        <v>0</v>
      </c>
    </row>
    <row r="251" spans="1:38" x14ac:dyDescent="0.25">
      <c r="A251" s="97">
        <f t="shared" si="39"/>
        <v>44382</v>
      </c>
      <c r="B251" s="100">
        <f t="shared" ca="1" si="40"/>
        <v>149633.34</v>
      </c>
      <c r="C251" s="55">
        <f t="shared" ca="1" si="48"/>
        <v>14239.170000000011</v>
      </c>
      <c r="D251" s="55">
        <f t="shared" ca="1" si="48"/>
        <v>106.08999999999995</v>
      </c>
      <c r="E251" s="55">
        <f t="shared" ca="1" si="41"/>
        <v>0</v>
      </c>
      <c r="F251" s="55">
        <f t="shared" ca="1" si="42"/>
        <v>6262.2964786885259</v>
      </c>
      <c r="G251" s="101">
        <f t="shared" ca="1" si="43"/>
        <v>170240.89647868852</v>
      </c>
      <c r="H251" s="100">
        <f ca="1">ROUND($B251*VLOOKUP($A251,$A$1:$B$10,2,1)/(365+IF(MOD(YEAR($A251),4),0,1)*($A251-$A250)),2)-Первоначальный[[#This Row],[Проценты на просроченный платеж по ОД за период]]</f>
        <v>80.36</v>
      </c>
      <c r="I251" s="55">
        <f t="shared" ca="1" si="44"/>
        <v>1.22</v>
      </c>
      <c r="J251" s="55">
        <v>0</v>
      </c>
      <c r="K251" s="55">
        <f t="shared" ca="1" si="47"/>
        <v>72.358503278688531</v>
      </c>
      <c r="L251" s="55">
        <v>0</v>
      </c>
      <c r="M251" s="113">
        <f>SUMIFS(График[Возврат основной суммы долга],График[Дата с учетом нерабочих дней],$A251)</f>
        <v>0</v>
      </c>
      <c r="N251" s="56">
        <f>SUMIFS(График[Возврат начисленных %],График[Дата с учетом нерабочих дней],$A251)</f>
        <v>0</v>
      </c>
      <c r="O251" s="101">
        <v>0</v>
      </c>
      <c r="P251" s="100" cm="1">
        <f t="array" aca="1" ref="P251" ca="1">MAX(IF(AA250="Да",0,SUM(INDIRECT("M"&amp;(MAX(("Да"=AA$12:AA250)*ROW(AA$12:AA250)+1,ROW($P$12))&amp;":M"&amp;(ROW()))))-SUM(INDIRECT("W"&amp;(MAX(("Да"=AA$12:AA250)*ROW(AA$12:AA250)+1,ROW($P$12))&amp;":W"&amp;(ROW()))))),0)</f>
        <v>2242.1899999999991</v>
      </c>
      <c r="Q251" s="99">
        <f ca="1">MAX(SUM($N$13:N251)-SUM($T$13:T251),0)</f>
        <v>12229.510655737706</v>
      </c>
      <c r="R251" s="99">
        <f ca="1">Первоначальный[[#This Row],[Просроченный платеж по ОД]]+Первоначальный[[#This Row],[Просроченный платеж по процентам]]</f>
        <v>14471.700655737704</v>
      </c>
      <c r="S251" s="120">
        <f ca="1">IF(Первоначальный[[#This Row],[Просроченный платеж]]&lt;1,0,S250+1)</f>
        <v>147</v>
      </c>
      <c r="T251" s="100" cm="1">
        <f t="array" aca="1" ref="T251" ca="1">IF(Первоначальный[[#This Row],[Итого остаток на начало периода]]&lt;1,0,
IF(
AND(TYPE(VLOOKUP(1,$Z$12:Z251,1,0))=16,Первоначальный[[#This Row],[Досрочное погашение (да/"")]]=""),0,
_xlfn.IFS(AND(S250=0,Первоначальный[[#This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платеж]]&lt;&gt;0),MIN(LOOKUP(,-1/($Z$12:Z251=1),$C$12:C251)+LOOKUP(,-1/($Z$12:Z251=1),$H$12:H251),Первоначальный[[#This Row],[Полученный платеж]]+Y250),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платеж]]+Y250,SUM(Первоначальный[[#This Row],[Остаток процентов на начало периода]],Первоначальный[[#This Row],[Проценты за период]])),
AND(S250=0,Первоначальный[[#This Row],[Дата платежа из графика]]=""),0,
AND(S250=0,Первоначальный[[#This Row],[Дата платежа из графика]]=1,MAX((0&lt;&gt;S$12:S250)*ROW(S$12:S250),ROW($S$12))&gt;=MAX((1=Z$12:Z250)*ROW(Z$12:Z250),ROW($T$12)),TYPE(VLOOKUP("Да",(INDIRECT("AA"&amp;(MAX((1=Z$12:Z250)*ROW(Z$12:Z250),ROW($T$12))&amp;":AA"&amp;(ROW()-1)))),1,0))=16),MIN(LOOKUP(,-1/($Z$12:Z251=1),$C$12:C251)+LOOKUP(,-1/($Z$12:Z251=1),$H$12:H251),Первоначальный[[#This Row],[Полученный платеж]]+Y250),
AND(S250=0,TYPE(VLOOKUP("Да",(INDIRECT("AA"&amp;(MAX((1=Z$12:Z250)*ROW(Z$12:Z250),ROW($T$12))&amp;":AA"&amp;(ROW()-1)))),1,0))&lt;&gt;16),MIN(LOOKUP(,-1/($Z$12:Z251=1),$C$12:C251)+LOOKUP(,-1/($Z$12:Z251=1),$H$12:H251)-IF(AA250="Да",0,SUM(INDIRECT("T"&amp;(MAX(("Да"=AA$12:AA250)*ROW(AA$12:AA250)+1,ROW($T$12))&amp;":T"&amp;(ROW()-1))))),Первоначальный[[#This Row],[Полученный платеж]]+Y250),
AND(S250=0,MAX((0&lt;&gt;N$12:N250)*ROW(N$12:N250),ROW($S$12))&gt;=MAX((1=Z$12:Z250)*ROW(Z$12:Z250),ROW($T$12))),MIN(LOOKUP(,-1/($Z$12:Z251=1),$C$12:C251)+LOOKUP(,-1/($Z$12:Z251=1),$H$12:H251)-IF(N250&lt;&gt;0,0,SUM(INDIRECT("T"&amp;(MAX((0&lt;&gt;N$12:N250)*ROW(N$12:N250)+1,ROW($T$12))&amp;":T"&amp;(ROW()-1))))),Первоначальный[[#This Row],[Полученный платеж]]+Y250),
AND(S250=0,Первоначальный[[#This Row],[Дата платежа из графика]]=1),MIN(LOOKUP(,-1/($Z$12:Z251=1),$C$12:C251)+LOOKUP(,-1/($Z$12:Z251=1),$H$12:H251)-IF(Z250=1,0,SUM(INDIRECT("T"&amp;(MAX((1=Z$12:Z250)*ROW(Z$12:Z250)+1,ROW($T$12))&amp;":T"&amp;(ROW()-1))))),Первоначальный[[#This Row],[Полученный платеж]]+Y250),
AND(Z250&gt;0,Первоначальный[[#This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платеж]]+Y250),
AND(S250&gt;0,MAX((0&lt;&gt;S$12:S250)*ROW(S$12:S250),ROW($S$12))&gt;=MAX((1=Z$12:Z250)*ROW(Z$12:Z250),ROW($T$12)),TYPE(VLOOKUP("Да",(INDIRECT("AA"&amp;(MAX((1=Z$12:Z250)*ROW(Z$12:Z250),ROW($T$12))&amp;":AA"&amp;(ROW()-1)))),1,0))=16),MIN(LOOKUP(,-1/($Z$12:Z251=1),$C$12:C251)+LOOKUP(,-1/($Z$12:Z251=1),$H$12:H251)-SUM(INDIRECT("T"&amp;(MAX((1=Z$12:Z250)*ROW(Z$12:Z250),ROW($T$12))&amp;":T"&amp;(ROW()-1)))),Первоначальный[[#This Row],[Полученный платеж]]+Y250),
S250&gt;0,MIN(LOOKUP(,-1/($Z$12:Z251=1),$C$12:C251)+LOOKUP(,-1/($Z$12:Z251=1),$H$12:H251)-IF(Z250=1,0,SUM(INDIRECT("T"&amp;(MAX((1=Z$12:Z250)*ROW(Z$12:Z250)+1,ROW($T$12))&amp;":T"&amp;(ROW()-1))))),Первоначальный[[#This Row],[Полученный платеж]]+Y250)
)
)
)</f>
        <v>0</v>
      </c>
      <c r="U25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платеж]]+Y250-Первоначальный[[#This Row],[Полученный платёж по процентам]])</f>
        <v>0</v>
      </c>
      <c r="V251" s="55">
        <f t="shared" ca="1" si="37"/>
        <v>0</v>
      </c>
      <c r="W251" s="55" cm="1">
        <f t="array" aca="1" ref="W251" ca="1">IF(Первоначальный[[#This Row],[Итого остаток на начало периода]]&lt;1,0,
_xlfn.IFS(
AND(TYPE(VLOOKUP(1,$Z$12:Z251,1,0))=16,Первоначальный[[#This Row],[Досрочное погашение (да/"")]]=""),0,
AND(S250=0,Первоначальный[[#This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платеж]]+Y250-SUM(Первоначальный[[#This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комиссиям]]),VLOOKUP(LOOKUP(,-1/($Z$12:Z251=1),$A$12:A251),График[[Срок конец]:[Возврат основной суммы долга]],3,0)),
AND(S250=0,Первоначальный[[#This Row],[Дата платежа из графика]]="",Первоначальный[[#This Row],[Досрочное погашение (да/"")]]&lt;&gt;"Да"),0,
AND(S250=0,Первоначальный[[#This Row],[Досрочное погашение (да/"")]]=""),MIN(Первоначальный[[#This Row],[Полученный платеж]]+Y250-SUM(Первоначальный[[#This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комиссиям]]),VLOOKUP(LOOKUP(,-1/($Z$12:Z251=1),$A$12:A251),График[[Срок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платеж]]+Y250-SUM(Первоначальный[[#This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S250&gt;0,MIN(Первоначальный[[#This Row],[Полученный платеж]]+Y250-SUM(Первоначальный[[#This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комиссиям]]),SUM(INDIRECT("M"&amp;(MAX((1=S$12:S250)*ROW(S$12:S250),ROW($W$12))&amp;":M"&amp;(ROW()))))-SUM(INDIRECT("W"&amp;(MAX((1=S$12:S250)*ROW(S$12:S250),ROW($W$12))&amp;":W"&amp;(ROW()-1)))))
)
)</f>
        <v>0</v>
      </c>
      <c r="X251" s="55">
        <f t="shared" ca="1" si="38"/>
        <v>0</v>
      </c>
      <c r="Y251" s="101">
        <f t="shared" ca="1" si="45"/>
        <v>0</v>
      </c>
      <c r="Z251" s="133" t="str">
        <f>IF(TYPE((VLOOKUP(Первоначальный[[#This Row],[Дата платежа]],График[Срок конец],1,0)))=16,"",1)</f>
        <v/>
      </c>
      <c r="AA251" s="57"/>
      <c r="AB251" s="134"/>
      <c r="AC25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5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14319.530000000012</v>
      </c>
      <c r="AE25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107.30999999999995</v>
      </c>
      <c r="AF25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5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6334.6549819672146</v>
      </c>
      <c r="AH251" s="55"/>
      <c r="AI251" s="55"/>
      <c r="AJ251" s="55"/>
      <c r="AK251" s="101">
        <f t="shared" ca="1" si="46"/>
        <v>170394.8349819672</v>
      </c>
      <c r="AL251" s="129">
        <f t="array" ref="AL251">MAX((УслРестрактов[Характеристика]="Дата реструктуризации")*(УслРестрактов[Значение]=Первоначальный!$A251),0)</f>
        <v>0</v>
      </c>
    </row>
    <row r="252" spans="1:38" x14ac:dyDescent="0.25">
      <c r="A252" s="97">
        <f t="shared" si="39"/>
        <v>44383</v>
      </c>
      <c r="B252" s="100">
        <f t="shared" ca="1" si="40"/>
        <v>149633.34</v>
      </c>
      <c r="C252" s="55">
        <f t="shared" ca="1" si="48"/>
        <v>14319.530000000012</v>
      </c>
      <c r="D252" s="55">
        <f t="shared" ca="1" si="48"/>
        <v>107.30999999999995</v>
      </c>
      <c r="E252" s="55">
        <f t="shared" ca="1" si="41"/>
        <v>0</v>
      </c>
      <c r="F252" s="55">
        <f t="shared" ca="1" si="42"/>
        <v>6334.6549819672146</v>
      </c>
      <c r="G252" s="101">
        <f t="shared" ca="1" si="43"/>
        <v>170394.8349819672</v>
      </c>
      <c r="H252" s="100">
        <f ca="1">ROUND($B252*VLOOKUP($A252,$A$1:$B$10,2,1)/(365+IF(MOD(YEAR($A252),4),0,1)*($A252-$A251)),2)-Первоначальный[[#This Row],[Проценты на просроченный платеж по ОД за период]]</f>
        <v>80.36</v>
      </c>
      <c r="I252" s="55">
        <f t="shared" ca="1" si="44"/>
        <v>1.22</v>
      </c>
      <c r="J252" s="55">
        <v>0</v>
      </c>
      <c r="K252" s="55">
        <f t="shared" ca="1" si="47"/>
        <v>72.358503278688531</v>
      </c>
      <c r="L252" s="55">
        <v>0</v>
      </c>
      <c r="M252" s="113">
        <f>SUMIFS(График[Возврат основной суммы долга],График[Дата с учетом нерабочих дней],$A252)</f>
        <v>0</v>
      </c>
      <c r="N252" s="56">
        <f>SUMIFS(График[Возврат начисленных %],График[Дата с учетом нерабочих дней],$A252)</f>
        <v>0</v>
      </c>
      <c r="O252" s="101">
        <v>0</v>
      </c>
      <c r="P252" s="100" cm="1">
        <f t="array" aca="1" ref="P252" ca="1">MAX(IF(AA251="Да",0,SUM(INDIRECT("M"&amp;(MAX(("Да"=AA$12:AA251)*ROW(AA$12:AA251)+1,ROW($P$12))&amp;":M"&amp;(ROW()))))-SUM(INDIRECT("W"&amp;(MAX(("Да"=AA$12:AA251)*ROW(AA$12:AA251)+1,ROW($P$12))&amp;":W"&amp;(ROW()))))),0)</f>
        <v>2242.1899999999991</v>
      </c>
      <c r="Q252" s="99">
        <f ca="1">MAX(SUM($N$13:N252)-SUM($T$13:T252),0)</f>
        <v>12229.510655737706</v>
      </c>
      <c r="R252" s="99">
        <f ca="1">Первоначальный[[#This Row],[Просроченный платеж по ОД]]+Первоначальный[[#This Row],[Просроченный платеж по процентам]]</f>
        <v>14471.700655737704</v>
      </c>
      <c r="S252" s="120">
        <f ca="1">IF(Первоначальный[[#This Row],[Просроченный платеж]]&lt;1,0,S251+1)</f>
        <v>148</v>
      </c>
      <c r="T252" s="100" cm="1">
        <f t="array" aca="1" ref="T252" ca="1">IF(Первоначальный[[#This Row],[Итого остаток на начало периода]]&lt;1,0,
IF(
AND(TYPE(VLOOKUP(1,$Z$12:Z252,1,0))=16,Первоначальный[[#This Row],[Досрочное погашение (да/"")]]=""),0,
_xlfn.IFS(AND(S251=0,Первоначальный[[#This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платеж]]&lt;&gt;0),MIN(LOOKUP(,-1/($Z$12:Z252=1),$C$12:C252)+LOOKUP(,-1/($Z$12:Z252=1),$H$12:H252),Первоначальный[[#This Row],[Полученный платеж]]+Y251),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платеж]]+Y251,SUM(Первоначальный[[#This Row],[Остаток процентов на начало периода]],Первоначальный[[#This Row],[Проценты за период]])),
AND(S251=0,Первоначальный[[#This Row],[Дата платежа из графика]]=""),0,
AND(S251=0,Первоначальный[[#This Row],[Дата платежа из графика]]=1,MAX((0&lt;&gt;S$12:S251)*ROW(S$12:S251),ROW($S$12))&gt;=MAX((1=Z$12:Z251)*ROW(Z$12:Z251),ROW($T$12)),TYPE(VLOOKUP("Да",(INDIRECT("AA"&amp;(MAX((1=Z$12:Z251)*ROW(Z$12:Z251),ROW($T$12))&amp;":AA"&amp;(ROW()-1)))),1,0))=16),MIN(LOOKUP(,-1/($Z$12:Z252=1),$C$12:C252)+LOOKUP(,-1/($Z$12:Z252=1),$H$12:H252),Первоначальный[[#This Row],[Полученный платеж]]+Y251),
AND(S251=0,TYPE(VLOOKUP("Да",(INDIRECT("AA"&amp;(MAX((1=Z$12:Z251)*ROW(Z$12:Z251),ROW($T$12))&amp;":AA"&amp;(ROW()-1)))),1,0))&lt;&gt;16),MIN(LOOKUP(,-1/($Z$12:Z252=1),$C$12:C252)+LOOKUP(,-1/($Z$12:Z252=1),$H$12:H252)-IF(AA251="Да",0,SUM(INDIRECT("T"&amp;(MAX(("Да"=AA$12:AA251)*ROW(AA$12:AA251)+1,ROW($T$12))&amp;":T"&amp;(ROW()-1))))),Первоначальный[[#This Row],[Полученный платеж]]+Y251),
AND(S251=0,MAX((0&lt;&gt;N$12:N251)*ROW(N$12:N251),ROW($S$12))&gt;=MAX((1=Z$12:Z251)*ROW(Z$12:Z251),ROW($T$12))),MIN(LOOKUP(,-1/($Z$12:Z252=1),$C$12:C252)+LOOKUP(,-1/($Z$12:Z252=1),$H$12:H252)-IF(N251&lt;&gt;0,0,SUM(INDIRECT("T"&amp;(MAX((0&lt;&gt;N$12:N251)*ROW(N$12:N251)+1,ROW($T$12))&amp;":T"&amp;(ROW()-1))))),Первоначальный[[#This Row],[Полученный платеж]]+Y251),
AND(S251=0,Первоначальный[[#This Row],[Дата платежа из графика]]=1),MIN(LOOKUP(,-1/($Z$12:Z252=1),$C$12:C252)+LOOKUP(,-1/($Z$12:Z252=1),$H$12:H252)-IF(Z251=1,0,SUM(INDIRECT("T"&amp;(MAX((1=Z$12:Z251)*ROW(Z$12:Z251)+1,ROW($T$12))&amp;":T"&amp;(ROW()-1))))),Первоначальный[[#This Row],[Полученный платеж]]+Y251),
AND(Z251&gt;0,Первоначальный[[#This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платеж]]+Y251),
AND(S251&gt;0,MAX((0&lt;&gt;S$12:S251)*ROW(S$12:S251),ROW($S$12))&gt;=MAX((1=Z$12:Z251)*ROW(Z$12:Z251),ROW($T$12)),TYPE(VLOOKUP("Да",(INDIRECT("AA"&amp;(MAX((1=Z$12:Z251)*ROW(Z$12:Z251),ROW($T$12))&amp;":AA"&amp;(ROW()-1)))),1,0))=16),MIN(LOOKUP(,-1/($Z$12:Z252=1),$C$12:C252)+LOOKUP(,-1/($Z$12:Z252=1),$H$12:H252)-SUM(INDIRECT("T"&amp;(MAX((1=Z$12:Z251)*ROW(Z$12:Z251),ROW($T$12))&amp;":T"&amp;(ROW()-1)))),Первоначальный[[#This Row],[Полученный платеж]]+Y251),
S251&gt;0,MIN(LOOKUP(,-1/($Z$12:Z252=1),$C$12:C252)+LOOKUP(,-1/($Z$12:Z252=1),$H$12:H252)-IF(Z251=1,0,SUM(INDIRECT("T"&amp;(MAX((1=Z$12:Z251)*ROW(Z$12:Z251)+1,ROW($T$12))&amp;":T"&amp;(ROW()-1))))),Первоначальный[[#This Row],[Полученный платеж]]+Y251)
)
)
)</f>
        <v>0</v>
      </c>
      <c r="U25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платеж]]+Y251-Первоначальный[[#This Row],[Полученный платёж по процентам]])</f>
        <v>0</v>
      </c>
      <c r="V252" s="55">
        <f t="shared" ca="1" si="37"/>
        <v>0</v>
      </c>
      <c r="W252" s="55" cm="1">
        <f t="array" aca="1" ref="W252" ca="1">IF(Первоначальный[[#This Row],[Итого остаток на начало периода]]&lt;1,0,
_xlfn.IFS(
AND(TYPE(VLOOKUP(1,$Z$12:Z252,1,0))=16,Первоначальный[[#This Row],[Досрочное погашение (да/"")]]=""),0,
AND(S251=0,Первоначальный[[#This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платеж]]+Y251-SUM(Первоначальный[[#This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комиссиям]]),VLOOKUP(LOOKUP(,-1/($Z$12:Z252=1),$A$12:A252),График[[Срок конец]:[Возврат основной суммы долга]],3,0)),
AND(S251=0,Первоначальный[[#This Row],[Дата платежа из графика]]="",Первоначальный[[#This Row],[Досрочное погашение (да/"")]]&lt;&gt;"Да"),0,
AND(S251=0,Первоначальный[[#This Row],[Досрочное погашение (да/"")]]=""),MIN(Первоначальный[[#This Row],[Полученный платеж]]+Y251-SUM(Первоначальный[[#This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комиссиям]]),VLOOKUP(LOOKUP(,-1/($Z$12:Z252=1),$A$12:A252),График[[Срок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платеж]]+Y251-SUM(Первоначальный[[#This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S251&gt;0,MIN(Первоначальный[[#This Row],[Полученный платеж]]+Y251-SUM(Первоначальный[[#This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комиссиям]]),SUM(INDIRECT("M"&amp;(MAX((1=S$12:S251)*ROW(S$12:S251),ROW($W$12))&amp;":M"&amp;(ROW()))))-SUM(INDIRECT("W"&amp;(MAX((1=S$12:S251)*ROW(S$12:S251),ROW($W$12))&amp;":W"&amp;(ROW()-1)))))
)
)</f>
        <v>0</v>
      </c>
      <c r="X252" s="55">
        <f t="shared" ca="1" si="38"/>
        <v>0</v>
      </c>
      <c r="Y252" s="101">
        <f t="shared" ca="1" si="45"/>
        <v>0</v>
      </c>
      <c r="Z252" s="133" t="str">
        <f>IF(TYPE((VLOOKUP(Первоначальный[[#This Row],[Дата платежа]],График[Срок конец],1,0)))=16,"",1)</f>
        <v/>
      </c>
      <c r="AA252" s="57"/>
      <c r="AB252" s="134"/>
      <c r="AC25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5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14399.890000000012</v>
      </c>
      <c r="AE25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108.52999999999994</v>
      </c>
      <c r="AF25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5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6407.0134852459032</v>
      </c>
      <c r="AH252" s="55"/>
      <c r="AI252" s="55"/>
      <c r="AJ252" s="55"/>
      <c r="AK252" s="101">
        <f t="shared" ca="1" si="46"/>
        <v>170548.77348524591</v>
      </c>
      <c r="AL252" s="129">
        <f t="array" ref="AL252">MAX((УслРестрактов[Характеристика]="Дата реструктуризации")*(УслРестрактов[Значение]=Первоначальный!$A252),0)</f>
        <v>0</v>
      </c>
    </row>
    <row r="253" spans="1:38" x14ac:dyDescent="0.25">
      <c r="A253" s="97">
        <f t="shared" si="39"/>
        <v>44384</v>
      </c>
      <c r="B253" s="100">
        <f t="shared" ca="1" si="40"/>
        <v>149633.34</v>
      </c>
      <c r="C253" s="55">
        <f t="shared" ca="1" si="48"/>
        <v>14399.890000000012</v>
      </c>
      <c r="D253" s="55">
        <f t="shared" ca="1" si="48"/>
        <v>108.52999999999994</v>
      </c>
      <c r="E253" s="55">
        <f t="shared" ca="1" si="41"/>
        <v>0</v>
      </c>
      <c r="F253" s="55">
        <f t="shared" ca="1" si="42"/>
        <v>6407.0134852459032</v>
      </c>
      <c r="G253" s="101">
        <f t="shared" ca="1" si="43"/>
        <v>170548.77348524591</v>
      </c>
      <c r="H253" s="100">
        <f ca="1">ROUND($B253*VLOOKUP($A253,$A$1:$B$10,2,1)/(365+IF(MOD(YEAR($A253),4),0,1)*($A253-$A252)),2)-Первоначальный[[#This Row],[Проценты на просроченный платеж по ОД за период]]</f>
        <v>80.36</v>
      </c>
      <c r="I253" s="55">
        <f t="shared" ca="1" si="44"/>
        <v>1.22</v>
      </c>
      <c r="J253" s="55">
        <v>0</v>
      </c>
      <c r="K253" s="55">
        <f t="shared" ca="1" si="47"/>
        <v>72.358503278688531</v>
      </c>
      <c r="L253" s="55">
        <v>0</v>
      </c>
      <c r="M253" s="113">
        <f>SUMIFS(График[Возврат основной суммы долга],График[Дата с учетом нерабочих дней],$A253)</f>
        <v>0</v>
      </c>
      <c r="N253" s="56">
        <f>SUMIFS(График[Возврат начисленных %],График[Дата с учетом нерабочих дней],$A253)</f>
        <v>0</v>
      </c>
      <c r="O253" s="101">
        <v>0</v>
      </c>
      <c r="P253" s="100" cm="1">
        <f t="array" aca="1" ref="P253" ca="1">MAX(IF(AA252="Да",0,SUM(INDIRECT("M"&amp;(MAX(("Да"=AA$12:AA252)*ROW(AA$12:AA252)+1,ROW($P$12))&amp;":M"&amp;(ROW()))))-SUM(INDIRECT("W"&amp;(MAX(("Да"=AA$12:AA252)*ROW(AA$12:AA252)+1,ROW($P$12))&amp;":W"&amp;(ROW()))))),0)</f>
        <v>2242.1899999999991</v>
      </c>
      <c r="Q253" s="99">
        <f ca="1">MAX(SUM($N$13:N253)-SUM($T$13:T253),0)</f>
        <v>12229.510655737706</v>
      </c>
      <c r="R253" s="99">
        <f ca="1">Первоначальный[[#This Row],[Просроченный платеж по ОД]]+Первоначальный[[#This Row],[Просроченный платеж по процентам]]</f>
        <v>14471.700655737704</v>
      </c>
      <c r="S253" s="120">
        <f ca="1">IF(Первоначальный[[#This Row],[Просроченный платеж]]&lt;1,0,S252+1)</f>
        <v>149</v>
      </c>
      <c r="T253" s="100" cm="1">
        <f t="array" aca="1" ref="T253" ca="1">IF(Первоначальный[[#This Row],[Итого остаток на начало периода]]&lt;1,0,
IF(
AND(TYPE(VLOOKUP(1,$Z$12:Z253,1,0))=16,Первоначальный[[#This Row],[Досрочное погашение (да/"")]]=""),0,
_xlfn.IFS(AND(S252=0,Первоначальный[[#This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платеж]]&lt;&gt;0),MIN(LOOKUP(,-1/($Z$12:Z253=1),$C$12:C253)+LOOKUP(,-1/($Z$12:Z253=1),$H$12:H253),Первоначальный[[#This Row],[Полученный платеж]]+Y252),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платеж]]+Y252,SUM(Первоначальный[[#This Row],[Остаток процентов на начало периода]],Первоначальный[[#This Row],[Проценты за период]])),
AND(S252=0,Первоначальный[[#This Row],[Дата платежа из графика]]=""),0,
AND(S252=0,Первоначальный[[#This Row],[Дата платежа из графика]]=1,MAX((0&lt;&gt;S$12:S252)*ROW(S$12:S252),ROW($S$12))&gt;=MAX((1=Z$12:Z252)*ROW(Z$12:Z252),ROW($T$12)),TYPE(VLOOKUP("Да",(INDIRECT("AA"&amp;(MAX((1=Z$12:Z252)*ROW(Z$12:Z252),ROW($T$12))&amp;":AA"&amp;(ROW()-1)))),1,0))=16),MIN(LOOKUP(,-1/($Z$12:Z253=1),$C$12:C253)+LOOKUP(,-1/($Z$12:Z253=1),$H$12:H253),Первоначальный[[#This Row],[Полученный платеж]]+Y252),
AND(S252=0,TYPE(VLOOKUP("Да",(INDIRECT("AA"&amp;(MAX((1=Z$12:Z252)*ROW(Z$12:Z252),ROW($T$12))&amp;":AA"&amp;(ROW()-1)))),1,0))&lt;&gt;16),MIN(LOOKUP(,-1/($Z$12:Z253=1),$C$12:C253)+LOOKUP(,-1/($Z$12:Z253=1),$H$12:H253)-IF(AA252="Да",0,SUM(INDIRECT("T"&amp;(MAX(("Да"=AA$12:AA252)*ROW(AA$12:AA252)+1,ROW($T$12))&amp;":T"&amp;(ROW()-1))))),Первоначальный[[#This Row],[Полученный платеж]]+Y252),
AND(S252=0,MAX((0&lt;&gt;N$12:N252)*ROW(N$12:N252),ROW($S$12))&gt;=MAX((1=Z$12:Z252)*ROW(Z$12:Z252),ROW($T$12))),MIN(LOOKUP(,-1/($Z$12:Z253=1),$C$12:C253)+LOOKUP(,-1/($Z$12:Z253=1),$H$12:H253)-IF(N252&lt;&gt;0,0,SUM(INDIRECT("T"&amp;(MAX((0&lt;&gt;N$12:N252)*ROW(N$12:N252)+1,ROW($T$12))&amp;":T"&amp;(ROW()-1))))),Первоначальный[[#This Row],[Полученный платеж]]+Y252),
AND(S252=0,Первоначальный[[#This Row],[Дата платежа из графика]]=1),MIN(LOOKUP(,-1/($Z$12:Z253=1),$C$12:C253)+LOOKUP(,-1/($Z$12:Z253=1),$H$12:H253)-IF(Z252=1,0,SUM(INDIRECT("T"&amp;(MAX((1=Z$12:Z252)*ROW(Z$12:Z252)+1,ROW($T$12))&amp;":T"&amp;(ROW()-1))))),Первоначальный[[#This Row],[Полученный платеж]]+Y252),
AND(Z252&gt;0,Первоначальный[[#This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платеж]]+Y252),
AND(S252&gt;0,MAX((0&lt;&gt;S$12:S252)*ROW(S$12:S252),ROW($S$12))&gt;=MAX((1=Z$12:Z252)*ROW(Z$12:Z252),ROW($T$12)),TYPE(VLOOKUP("Да",(INDIRECT("AA"&amp;(MAX((1=Z$12:Z252)*ROW(Z$12:Z252),ROW($T$12))&amp;":AA"&amp;(ROW()-1)))),1,0))=16),MIN(LOOKUP(,-1/($Z$12:Z253=1),$C$12:C253)+LOOKUP(,-1/($Z$12:Z253=1),$H$12:H253)-SUM(INDIRECT("T"&amp;(MAX((1=Z$12:Z252)*ROW(Z$12:Z252),ROW($T$12))&amp;":T"&amp;(ROW()-1)))),Первоначальный[[#This Row],[Полученный платеж]]+Y252),
S252&gt;0,MIN(LOOKUP(,-1/($Z$12:Z253=1),$C$12:C253)+LOOKUP(,-1/($Z$12:Z253=1),$H$12:H253)-IF(Z252=1,0,SUM(INDIRECT("T"&amp;(MAX((1=Z$12:Z252)*ROW(Z$12:Z252)+1,ROW($T$12))&amp;":T"&amp;(ROW()-1))))),Первоначальный[[#This Row],[Полученный платеж]]+Y252)
)
)
)</f>
        <v>0</v>
      </c>
      <c r="U25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платеж]]+Y252-Первоначальный[[#This Row],[Полученный платёж по процентам]])</f>
        <v>0</v>
      </c>
      <c r="V253" s="55">
        <f t="shared" ca="1" si="37"/>
        <v>0</v>
      </c>
      <c r="W253" s="55" cm="1">
        <f t="array" aca="1" ref="W253" ca="1">IF(Первоначальный[[#This Row],[Итого остаток на начало периода]]&lt;1,0,
_xlfn.IFS(
AND(TYPE(VLOOKUP(1,$Z$12:Z253,1,0))=16,Первоначальный[[#This Row],[Досрочное погашение (да/"")]]=""),0,
AND(S252=0,Первоначальный[[#This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платеж]]+Y252-SUM(Первоначальный[[#This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комиссиям]]),VLOOKUP(LOOKUP(,-1/($Z$12:Z253=1),$A$12:A253),График[[Срок конец]:[Возврат основной суммы долга]],3,0)),
AND(S252=0,Первоначальный[[#This Row],[Дата платежа из графика]]="",Первоначальный[[#This Row],[Досрочное погашение (да/"")]]&lt;&gt;"Да"),0,
AND(S252=0,Первоначальный[[#This Row],[Досрочное погашение (да/"")]]=""),MIN(Первоначальный[[#This Row],[Полученный платеж]]+Y252-SUM(Первоначальный[[#This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комиссиям]]),VLOOKUP(LOOKUP(,-1/($Z$12:Z253=1),$A$12:A253),График[[Срок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платеж]]+Y252-SUM(Первоначальный[[#This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S252&gt;0,MIN(Первоначальный[[#This Row],[Полученный платеж]]+Y252-SUM(Первоначальный[[#This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комиссиям]]),SUM(INDIRECT("M"&amp;(MAX((1=S$12:S252)*ROW(S$12:S252),ROW($W$12))&amp;":M"&amp;(ROW()))))-SUM(INDIRECT("W"&amp;(MAX((1=S$12:S252)*ROW(S$12:S252),ROW($W$12))&amp;":W"&amp;(ROW()-1)))))
)
)</f>
        <v>0</v>
      </c>
      <c r="X253" s="55">
        <f t="shared" ca="1" si="38"/>
        <v>0</v>
      </c>
      <c r="Y253" s="101">
        <f t="shared" ca="1" si="45"/>
        <v>0</v>
      </c>
      <c r="Z253" s="133" t="str">
        <f>IF(TYPE((VLOOKUP(Первоначальный[[#This Row],[Дата платежа]],График[Срок конец],1,0)))=16,"",1)</f>
        <v/>
      </c>
      <c r="AA253" s="57"/>
      <c r="AB253" s="134"/>
      <c r="AC25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5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14480.250000000013</v>
      </c>
      <c r="AE25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109.74999999999994</v>
      </c>
      <c r="AF25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5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6479.3719885245919</v>
      </c>
      <c r="AH253" s="55"/>
      <c r="AI253" s="55"/>
      <c r="AJ253" s="55"/>
      <c r="AK253" s="101">
        <f t="shared" ca="1" si="46"/>
        <v>170702.71198852459</v>
      </c>
      <c r="AL253" s="129">
        <f t="array" ref="AL253">MAX((УслРестрактов[Характеристика]="Дата реструктуризации")*(УслРестрактов[Значение]=Первоначальный!$A253),0)</f>
        <v>0</v>
      </c>
    </row>
    <row r="254" spans="1:38" x14ac:dyDescent="0.25">
      <c r="A254" s="97">
        <f t="shared" si="39"/>
        <v>44385</v>
      </c>
      <c r="B254" s="100">
        <f t="shared" ca="1" si="40"/>
        <v>149633.34</v>
      </c>
      <c r="C254" s="55">
        <f t="shared" ca="1" si="48"/>
        <v>14480.250000000013</v>
      </c>
      <c r="D254" s="55">
        <f t="shared" ca="1" si="48"/>
        <v>109.74999999999994</v>
      </c>
      <c r="E254" s="55">
        <f t="shared" ca="1" si="41"/>
        <v>0</v>
      </c>
      <c r="F254" s="55">
        <f t="shared" ca="1" si="42"/>
        <v>6479.3719885245919</v>
      </c>
      <c r="G254" s="101">
        <f t="shared" ca="1" si="43"/>
        <v>170702.71198852459</v>
      </c>
      <c r="H254" s="100">
        <f ca="1">ROUND($B254*VLOOKUP($A254,$A$1:$B$10,2,1)/(365+IF(MOD(YEAR($A254),4),0,1)*($A254-$A253)),2)-Первоначальный[[#This Row],[Проценты на просроченный платеж по ОД за период]]</f>
        <v>80.36</v>
      </c>
      <c r="I254" s="55">
        <f t="shared" ca="1" si="44"/>
        <v>1.22</v>
      </c>
      <c r="J254" s="55">
        <v>0</v>
      </c>
      <c r="K254" s="55">
        <f t="shared" ca="1" si="47"/>
        <v>72.358503278688531</v>
      </c>
      <c r="L254" s="55">
        <v>0</v>
      </c>
      <c r="M254" s="113">
        <f>SUMIFS(График[Возврат основной суммы долга],График[Дата с учетом нерабочих дней],$A254)</f>
        <v>0</v>
      </c>
      <c r="N254" s="56">
        <f>SUMIFS(График[Возврат начисленных %],График[Дата с учетом нерабочих дней],$A254)</f>
        <v>0</v>
      </c>
      <c r="O254" s="101">
        <v>0</v>
      </c>
      <c r="P254" s="100" cm="1">
        <f t="array" aca="1" ref="P254" ca="1">MAX(IF(AA253="Да",0,SUM(INDIRECT("M"&amp;(MAX(("Да"=AA$12:AA253)*ROW(AA$12:AA253)+1,ROW($P$12))&amp;":M"&amp;(ROW()))))-SUM(INDIRECT("W"&amp;(MAX(("Да"=AA$12:AA253)*ROW(AA$12:AA253)+1,ROW($P$12))&amp;":W"&amp;(ROW()))))),0)</f>
        <v>2242.1899999999991</v>
      </c>
      <c r="Q254" s="99">
        <f ca="1">MAX(SUM($N$13:N254)-SUM($T$13:T254),0)</f>
        <v>12229.510655737706</v>
      </c>
      <c r="R254" s="99">
        <f ca="1">Первоначальный[[#This Row],[Просроченный платеж по ОД]]+Первоначальный[[#This Row],[Просроченный платеж по процентам]]</f>
        <v>14471.700655737704</v>
      </c>
      <c r="S254" s="120">
        <f ca="1">IF(Первоначальный[[#This Row],[Просроченный платеж]]&lt;1,0,S253+1)</f>
        <v>150</v>
      </c>
      <c r="T254" s="100" cm="1">
        <f t="array" aca="1" ref="T254" ca="1">IF(Первоначальный[[#This Row],[Итого остаток на начало периода]]&lt;1,0,
IF(
AND(TYPE(VLOOKUP(1,$Z$12:Z254,1,0))=16,Первоначальный[[#This Row],[Досрочное погашение (да/"")]]=""),0,
_xlfn.IFS(AND(S253=0,Первоначальный[[#This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платеж]]&lt;&gt;0),MIN(LOOKUP(,-1/($Z$12:Z254=1),$C$12:C254)+LOOKUP(,-1/($Z$12:Z254=1),$H$12:H254),Первоначальный[[#This Row],[Полученный платеж]]+Y253),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платеж]]+Y253,SUM(Первоначальный[[#This Row],[Остаток процентов на начало периода]],Первоначальный[[#This Row],[Проценты за период]])),
AND(S253=0,Первоначальный[[#This Row],[Дата платежа из графика]]=""),0,
AND(S253=0,Первоначальный[[#This Row],[Дата платежа из графика]]=1,MAX((0&lt;&gt;S$12:S253)*ROW(S$12:S253),ROW($S$12))&gt;=MAX((1=Z$12:Z253)*ROW(Z$12:Z253),ROW($T$12)),TYPE(VLOOKUP("Да",(INDIRECT("AA"&amp;(MAX((1=Z$12:Z253)*ROW(Z$12:Z253),ROW($T$12))&amp;":AA"&amp;(ROW()-1)))),1,0))=16),MIN(LOOKUP(,-1/($Z$12:Z254=1),$C$12:C254)+LOOKUP(,-1/($Z$12:Z254=1),$H$12:H254),Первоначальный[[#This Row],[Полученный платеж]]+Y253),
AND(S253=0,TYPE(VLOOKUP("Да",(INDIRECT("AA"&amp;(MAX((1=Z$12:Z253)*ROW(Z$12:Z253),ROW($T$12))&amp;":AA"&amp;(ROW()-1)))),1,0))&lt;&gt;16),MIN(LOOKUP(,-1/($Z$12:Z254=1),$C$12:C254)+LOOKUP(,-1/($Z$12:Z254=1),$H$12:H254)-IF(AA253="Да",0,SUM(INDIRECT("T"&amp;(MAX(("Да"=AA$12:AA253)*ROW(AA$12:AA253)+1,ROW($T$12))&amp;":T"&amp;(ROW()-1))))),Первоначальный[[#This Row],[Полученный платеж]]+Y253),
AND(S253=0,MAX((0&lt;&gt;N$12:N253)*ROW(N$12:N253),ROW($S$12))&gt;=MAX((1=Z$12:Z253)*ROW(Z$12:Z253),ROW($T$12))),MIN(LOOKUP(,-1/($Z$12:Z254=1),$C$12:C254)+LOOKUP(,-1/($Z$12:Z254=1),$H$12:H254)-IF(N253&lt;&gt;0,0,SUM(INDIRECT("T"&amp;(MAX((0&lt;&gt;N$12:N253)*ROW(N$12:N253)+1,ROW($T$12))&amp;":T"&amp;(ROW()-1))))),Первоначальный[[#This Row],[Полученный платеж]]+Y253),
AND(S253=0,Первоначальный[[#This Row],[Дата платежа из графика]]=1),MIN(LOOKUP(,-1/($Z$12:Z254=1),$C$12:C254)+LOOKUP(,-1/($Z$12:Z254=1),$H$12:H254)-IF(Z253=1,0,SUM(INDIRECT("T"&amp;(MAX((1=Z$12:Z253)*ROW(Z$12:Z253)+1,ROW($T$12))&amp;":T"&amp;(ROW()-1))))),Первоначальный[[#This Row],[Полученный платеж]]+Y253),
AND(Z253&gt;0,Первоначальный[[#This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платеж]]+Y253),
AND(S253&gt;0,MAX((0&lt;&gt;S$12:S253)*ROW(S$12:S253),ROW($S$12))&gt;=MAX((1=Z$12:Z253)*ROW(Z$12:Z253),ROW($T$12)),TYPE(VLOOKUP("Да",(INDIRECT("AA"&amp;(MAX((1=Z$12:Z253)*ROW(Z$12:Z253),ROW($T$12))&amp;":AA"&amp;(ROW()-1)))),1,0))=16),MIN(LOOKUP(,-1/($Z$12:Z254=1),$C$12:C254)+LOOKUP(,-1/($Z$12:Z254=1),$H$12:H254)-SUM(INDIRECT("T"&amp;(MAX((1=Z$12:Z253)*ROW(Z$12:Z253),ROW($T$12))&amp;":T"&amp;(ROW()-1)))),Первоначальный[[#This Row],[Полученный платеж]]+Y253),
S253&gt;0,MIN(LOOKUP(,-1/($Z$12:Z254=1),$C$12:C254)+LOOKUP(,-1/($Z$12:Z254=1),$H$12:H254)-IF(Z253=1,0,SUM(INDIRECT("T"&amp;(MAX((1=Z$12:Z253)*ROW(Z$12:Z253)+1,ROW($T$12))&amp;":T"&amp;(ROW()-1))))),Первоначальный[[#This Row],[Полученный платеж]]+Y253)
)
)
)</f>
        <v>0</v>
      </c>
      <c r="U25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платеж]]+Y253-Первоначальный[[#This Row],[Полученный платёж по процентам]])</f>
        <v>0</v>
      </c>
      <c r="V254" s="55">
        <f t="shared" ca="1" si="37"/>
        <v>0</v>
      </c>
      <c r="W254" s="55" cm="1">
        <f t="array" aca="1" ref="W254" ca="1">IF(Первоначальный[[#This Row],[Итого остаток на начало периода]]&lt;1,0,
_xlfn.IFS(
AND(TYPE(VLOOKUP(1,$Z$12:Z254,1,0))=16,Первоначальный[[#This Row],[Досрочное погашение (да/"")]]=""),0,
AND(S253=0,Первоначальный[[#This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платеж]]+Y253-SUM(Первоначальный[[#This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комиссиям]]),VLOOKUP(LOOKUP(,-1/($Z$12:Z254=1),$A$12:A254),График[[Срок конец]:[Возврат основной суммы долга]],3,0)),
AND(S253=0,Первоначальный[[#This Row],[Дата платежа из графика]]="",Первоначальный[[#This Row],[Досрочное погашение (да/"")]]&lt;&gt;"Да"),0,
AND(S253=0,Первоначальный[[#This Row],[Досрочное погашение (да/"")]]=""),MIN(Первоначальный[[#This Row],[Полученный платеж]]+Y253-SUM(Первоначальный[[#This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комиссиям]]),VLOOKUP(LOOKUP(,-1/($Z$12:Z254=1),$A$12:A254),График[[Срок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платеж]]+Y253-SUM(Первоначальный[[#This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S253&gt;0,MIN(Первоначальный[[#This Row],[Полученный платеж]]+Y253-SUM(Первоначальный[[#This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комиссиям]]),SUM(INDIRECT("M"&amp;(MAX((1=S$12:S253)*ROW(S$12:S253),ROW($W$12))&amp;":M"&amp;(ROW()))))-SUM(INDIRECT("W"&amp;(MAX((1=S$12:S253)*ROW(S$12:S253),ROW($W$12))&amp;":W"&amp;(ROW()-1)))))
)
)</f>
        <v>0</v>
      </c>
      <c r="X254" s="55">
        <f t="shared" ca="1" si="38"/>
        <v>0</v>
      </c>
      <c r="Y254" s="101">
        <f t="shared" ca="1" si="45"/>
        <v>0</v>
      </c>
      <c r="Z254" s="133" t="str">
        <f>IF(TYPE((VLOOKUP(Первоначальный[[#This Row],[Дата платежа]],График[Срок конец],1,0)))=16,"",1)</f>
        <v/>
      </c>
      <c r="AA254" s="57"/>
      <c r="AB254" s="134"/>
      <c r="AC25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5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14560.610000000013</v>
      </c>
      <c r="AE25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110.96999999999994</v>
      </c>
      <c r="AF25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5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6551.7304918032805</v>
      </c>
      <c r="AH254" s="55"/>
      <c r="AI254" s="55"/>
      <c r="AJ254" s="55"/>
      <c r="AK254" s="101">
        <f t="shared" ca="1" si="46"/>
        <v>170856.6504918033</v>
      </c>
      <c r="AL254" s="129">
        <f t="array" ref="AL254">MAX((УслРестрактов[Характеристика]="Дата реструктуризации")*(УслРестрактов[Значение]=Первоначальный!$A254),0)</f>
        <v>0</v>
      </c>
    </row>
    <row r="255" spans="1:38" x14ac:dyDescent="0.25">
      <c r="A255" s="97">
        <f t="shared" si="39"/>
        <v>44386</v>
      </c>
      <c r="B255" s="100">
        <f t="shared" ca="1" si="40"/>
        <v>149633.34</v>
      </c>
      <c r="C255" s="55">
        <f t="shared" ca="1" si="48"/>
        <v>14560.610000000013</v>
      </c>
      <c r="D255" s="55">
        <f t="shared" ca="1" si="48"/>
        <v>110.96999999999994</v>
      </c>
      <c r="E255" s="55">
        <f t="shared" ca="1" si="41"/>
        <v>0</v>
      </c>
      <c r="F255" s="55">
        <f t="shared" ca="1" si="42"/>
        <v>6551.7304918032805</v>
      </c>
      <c r="G255" s="101">
        <f t="shared" ca="1" si="43"/>
        <v>170856.6504918033</v>
      </c>
      <c r="H255" s="100">
        <f ca="1">ROUND($B255*VLOOKUP($A255,$A$1:$B$10,2,1)/(365+IF(MOD(YEAR($A255),4),0,1)*($A255-$A254)),2)-Первоначальный[[#This Row],[Проценты на просроченный платеж по ОД за период]]</f>
        <v>80.36</v>
      </c>
      <c r="I255" s="55">
        <f t="shared" ca="1" si="44"/>
        <v>1.22</v>
      </c>
      <c r="J255" s="55">
        <v>0</v>
      </c>
      <c r="K255" s="55">
        <f t="shared" ca="1" si="47"/>
        <v>86.84350327868853</v>
      </c>
      <c r="L255" s="55">
        <v>0</v>
      </c>
      <c r="M255" s="113">
        <f>SUMIFS(График[Возврат основной суммы долга],График[Дата с учетом нерабочих дней],$A255)</f>
        <v>486.25</v>
      </c>
      <c r="N255" s="56">
        <f>SUMIFS(График[Возврат начисленных %],График[Дата с учетом нерабочих дней],$A255)</f>
        <v>2410.75</v>
      </c>
      <c r="O255" s="101">
        <v>0</v>
      </c>
      <c r="P255" s="100" cm="1">
        <f t="array" aca="1" ref="P255" ca="1">MAX(IF(AA254="Да",0,SUM(INDIRECT("M"&amp;(MAX(("Да"=AA$12:AA254)*ROW(AA$12:AA254)+1,ROW($P$12))&amp;":M"&amp;(ROW()))))-SUM(INDIRECT("W"&amp;(MAX(("Да"=AA$12:AA254)*ROW(AA$12:AA254)+1,ROW($P$12))&amp;":W"&amp;(ROW()))))),0)</f>
        <v>2728.4399999999991</v>
      </c>
      <c r="Q255" s="99">
        <f ca="1">MAX(SUM($N$13:N255)-SUM($T$13:T255),0)</f>
        <v>14640.260655737706</v>
      </c>
      <c r="R255" s="99">
        <f ca="1">Первоначальный[[#This Row],[Просроченный платеж по ОД]]+Первоначальный[[#This Row],[Просроченный платеж по процентам]]</f>
        <v>17368.700655737706</v>
      </c>
      <c r="S255" s="120">
        <f ca="1">IF(Первоначальный[[#This Row],[Просроченный платеж]]&lt;1,0,S254+1)</f>
        <v>151</v>
      </c>
      <c r="T255" s="100" cm="1">
        <f t="array" aca="1" ref="T255" ca="1">IF(Первоначальный[[#This Row],[Итого остаток на начало периода]]&lt;1,0,
IF(
AND(TYPE(VLOOKUP(1,$Z$12:Z255,1,0))=16,Первоначальный[[#This Row],[Досрочное погашение (да/"")]]=""),0,
_xlfn.IFS(AND(S254=0,Первоначальный[[#This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платеж]]&lt;&gt;0),MIN(LOOKUP(,-1/($Z$12:Z255=1),$C$12:C255)+LOOKUP(,-1/($Z$12:Z255=1),$H$12:H255),Первоначальный[[#This Row],[Полученный платеж]]+Y254),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платеж]]+Y254,SUM(Первоначальный[[#This Row],[Остаток процентов на начало периода]],Первоначальный[[#This Row],[Проценты за период]])),
AND(S254=0,Первоначальный[[#This Row],[Дата платежа из графика]]=""),0,
AND(S254=0,Первоначальный[[#This Row],[Дата платежа из графика]]=1,MAX((0&lt;&gt;S$12:S254)*ROW(S$12:S254),ROW($S$12))&gt;=MAX((1=Z$12:Z254)*ROW(Z$12:Z254),ROW($T$12)),TYPE(VLOOKUP("Да",(INDIRECT("AA"&amp;(MAX((1=Z$12:Z254)*ROW(Z$12:Z254),ROW($T$12))&amp;":AA"&amp;(ROW()-1)))),1,0))=16),MIN(LOOKUP(,-1/($Z$12:Z255=1),$C$12:C255)+LOOKUP(,-1/($Z$12:Z255=1),$H$12:H255),Первоначальный[[#This Row],[Полученный платеж]]+Y254),
AND(S254=0,TYPE(VLOOKUP("Да",(INDIRECT("AA"&amp;(MAX((1=Z$12:Z254)*ROW(Z$12:Z254),ROW($T$12))&amp;":AA"&amp;(ROW()-1)))),1,0))&lt;&gt;16),MIN(LOOKUP(,-1/($Z$12:Z255=1),$C$12:C255)+LOOKUP(,-1/($Z$12:Z255=1),$H$12:H255)-IF(AA254="Да",0,SUM(INDIRECT("T"&amp;(MAX(("Да"=AA$12:AA254)*ROW(AA$12:AA254)+1,ROW($T$12))&amp;":T"&amp;(ROW()-1))))),Первоначальный[[#This Row],[Полученный платеж]]+Y254),
AND(S254=0,MAX((0&lt;&gt;N$12:N254)*ROW(N$12:N254),ROW($S$12))&gt;=MAX((1=Z$12:Z254)*ROW(Z$12:Z254),ROW($T$12))),MIN(LOOKUP(,-1/($Z$12:Z255=1),$C$12:C255)+LOOKUP(,-1/($Z$12:Z255=1),$H$12:H255)-IF(N254&lt;&gt;0,0,SUM(INDIRECT("T"&amp;(MAX((0&lt;&gt;N$12:N254)*ROW(N$12:N254)+1,ROW($T$12))&amp;":T"&amp;(ROW()-1))))),Первоначальный[[#This Row],[Полученный платеж]]+Y254),
AND(S254=0,Первоначальный[[#This Row],[Дата платежа из графика]]=1),MIN(LOOKUP(,-1/($Z$12:Z255=1),$C$12:C255)+LOOKUP(,-1/($Z$12:Z255=1),$H$12:H255)-IF(Z254=1,0,SUM(INDIRECT("T"&amp;(MAX((1=Z$12:Z254)*ROW(Z$12:Z254)+1,ROW($T$12))&amp;":T"&amp;(ROW()-1))))),Первоначальный[[#This Row],[Полученный платеж]]+Y254),
AND(Z254&gt;0,Первоначальный[[#This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платеж]]+Y254),
AND(S254&gt;0,MAX((0&lt;&gt;S$12:S254)*ROW(S$12:S254),ROW($S$12))&gt;=MAX((1=Z$12:Z254)*ROW(Z$12:Z254),ROW($T$12)),TYPE(VLOOKUP("Да",(INDIRECT("AA"&amp;(MAX((1=Z$12:Z254)*ROW(Z$12:Z254),ROW($T$12))&amp;":AA"&amp;(ROW()-1)))),1,0))=16),MIN(LOOKUP(,-1/($Z$12:Z255=1),$C$12:C255)+LOOKUP(,-1/($Z$12:Z255=1),$H$12:H255)-SUM(INDIRECT("T"&amp;(MAX((1=Z$12:Z254)*ROW(Z$12:Z254),ROW($T$12))&amp;":T"&amp;(ROW()-1)))),Первоначальный[[#This Row],[Полученный платеж]]+Y254),
S254&gt;0,MIN(LOOKUP(,-1/($Z$12:Z255=1),$C$12:C255)+LOOKUP(,-1/($Z$12:Z255=1),$H$12:H255)-IF(Z254=1,0,SUM(INDIRECT("T"&amp;(MAX((1=Z$12:Z254)*ROW(Z$12:Z254)+1,ROW($T$12))&amp;":T"&amp;(ROW()-1))))),Первоначальный[[#This Row],[Полученный платеж]]+Y254)
)
)
)</f>
        <v>0</v>
      </c>
      <c r="U25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платеж]]+Y254-Первоначальный[[#This Row],[Полученный платёж по процентам]])</f>
        <v>0</v>
      </c>
      <c r="V255" s="55">
        <f t="shared" ca="1" si="37"/>
        <v>0</v>
      </c>
      <c r="W255" s="55" cm="1">
        <f t="array" aca="1" ref="W255" ca="1">IF(Первоначальный[[#This Row],[Итого остаток на начало периода]]&lt;1,0,
_xlfn.IFS(
AND(TYPE(VLOOKUP(1,$Z$12:Z255,1,0))=16,Первоначальный[[#This Row],[Досрочное погашение (да/"")]]=""),0,
AND(S254=0,Первоначальный[[#This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платеж]]+Y254-SUM(Первоначальный[[#This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комиссиям]]),VLOOKUP(LOOKUP(,-1/($Z$12:Z255=1),$A$12:A255),График[[Срок конец]:[Возврат основной суммы долга]],3,0)),
AND(S254=0,Первоначальный[[#This Row],[Дата платежа из графика]]="",Первоначальный[[#This Row],[Досрочное погашение (да/"")]]&lt;&gt;"Да"),0,
AND(S254=0,Первоначальный[[#This Row],[Досрочное погашение (да/"")]]=""),MIN(Первоначальный[[#This Row],[Полученный платеж]]+Y254-SUM(Первоначальный[[#This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комиссиям]]),VLOOKUP(LOOKUP(,-1/($Z$12:Z255=1),$A$12:A255),График[[Срок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платеж]]+Y254-SUM(Первоначальный[[#This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S254&gt;0,MIN(Первоначальный[[#This Row],[Полученный платеж]]+Y254-SUM(Первоначальный[[#This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комиссиям]]),SUM(INDIRECT("M"&amp;(MAX((1=S$12:S254)*ROW(S$12:S254),ROW($W$12))&amp;":M"&amp;(ROW()))))-SUM(INDIRECT("W"&amp;(MAX((1=S$12:S254)*ROW(S$12:S254),ROW($W$12))&amp;":W"&amp;(ROW()-1)))))
)
)</f>
        <v>0</v>
      </c>
      <c r="X255" s="55">
        <f t="shared" ca="1" si="38"/>
        <v>0</v>
      </c>
      <c r="Y255" s="101">
        <f t="shared" ca="1" si="45"/>
        <v>0</v>
      </c>
      <c r="Z255" s="133">
        <f>IF(TYPE((VLOOKUP(Первоначальный[[#This Row],[Дата платежа]],График[Срок конец],1,0)))=16,"",1)</f>
        <v>1</v>
      </c>
      <c r="AA255" s="57"/>
      <c r="AB255" s="134"/>
      <c r="AC25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5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14640.970000000014</v>
      </c>
      <c r="AE25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112.18999999999994</v>
      </c>
      <c r="AF25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5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6638.5739950819689</v>
      </c>
      <c r="AH255" s="55"/>
      <c r="AI255" s="55"/>
      <c r="AJ255" s="55"/>
      <c r="AK255" s="101">
        <f t="shared" ca="1" si="46"/>
        <v>171025.07399508197</v>
      </c>
      <c r="AL255" s="129">
        <f t="array" ref="AL255">MAX((УслРестрактов[Характеристика]="Дата реструктуризации")*(УслРестрактов[Значение]=Первоначальный!$A255),0)</f>
        <v>0</v>
      </c>
    </row>
    <row r="256" spans="1:38" x14ac:dyDescent="0.25">
      <c r="A256" s="97">
        <f t="shared" si="39"/>
        <v>44387</v>
      </c>
      <c r="B256" s="100">
        <f t="shared" ca="1" si="40"/>
        <v>149633.34</v>
      </c>
      <c r="C256" s="55">
        <f t="shared" ca="1" si="48"/>
        <v>14640.970000000014</v>
      </c>
      <c r="D256" s="55">
        <f t="shared" ca="1" si="48"/>
        <v>112.18999999999994</v>
      </c>
      <c r="E256" s="55">
        <f t="shared" ca="1" si="41"/>
        <v>0</v>
      </c>
      <c r="F256" s="55">
        <f t="shared" ca="1" si="42"/>
        <v>6638.5739950819689</v>
      </c>
      <c r="G256" s="101">
        <f t="shared" ca="1" si="43"/>
        <v>171025.07399508197</v>
      </c>
      <c r="H256" s="100">
        <f ca="1">ROUND($B256*VLOOKUP($A256,$A$1:$B$10,2,1)/(365+IF(MOD(YEAR($A256),4),0,1)*($A256-$A255)),2)-Первоначальный[[#This Row],[Проценты на просроченный платеж по ОД за период]]</f>
        <v>80.09</v>
      </c>
      <c r="I256" s="55">
        <f t="shared" ca="1" si="44"/>
        <v>1.49</v>
      </c>
      <c r="J256" s="55">
        <v>0</v>
      </c>
      <c r="K256" s="55">
        <f t="shared" ca="1" si="47"/>
        <v>86.84350327868853</v>
      </c>
      <c r="L256" s="55">
        <v>0</v>
      </c>
      <c r="M256" s="113">
        <f>SUMIFS(График[Возврат основной суммы долга],График[Дата с учетом нерабочих дней],$A256)</f>
        <v>0</v>
      </c>
      <c r="N256" s="56">
        <f>SUMIFS(График[Возврат начисленных %],График[Дата с учетом нерабочих дней],$A256)</f>
        <v>0</v>
      </c>
      <c r="O256" s="101">
        <v>0</v>
      </c>
      <c r="P256" s="100" cm="1">
        <f t="array" aca="1" ref="P256" ca="1">MAX(IF(AA255="Да",0,SUM(INDIRECT("M"&amp;(MAX(("Да"=AA$12:AA255)*ROW(AA$12:AA255)+1,ROW($P$12))&amp;":M"&amp;(ROW()))))-SUM(INDIRECT("W"&amp;(MAX(("Да"=AA$12:AA255)*ROW(AA$12:AA255)+1,ROW($P$12))&amp;":W"&amp;(ROW()))))),0)</f>
        <v>2728.4399999999991</v>
      </c>
      <c r="Q256" s="99">
        <f ca="1">MAX(SUM($N$13:N256)-SUM($T$13:T256),0)</f>
        <v>14640.260655737706</v>
      </c>
      <c r="R256" s="99">
        <f ca="1">Первоначальный[[#This Row],[Просроченный платеж по ОД]]+Первоначальный[[#This Row],[Просроченный платеж по процентам]]</f>
        <v>17368.700655737706</v>
      </c>
      <c r="S256" s="120">
        <f ca="1">IF(Первоначальный[[#This Row],[Просроченный платеж]]&lt;1,0,S255+1)</f>
        <v>152</v>
      </c>
      <c r="T256" s="100" cm="1">
        <f t="array" aca="1" ref="T256" ca="1">IF(Первоначальный[[#This Row],[Итого остаток на начало периода]]&lt;1,0,
IF(
AND(TYPE(VLOOKUP(1,$Z$12:Z256,1,0))=16,Первоначальный[[#This Row],[Досрочное погашение (да/"")]]=""),0,
_xlfn.IFS(AND(S255=0,Первоначальный[[#This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платеж]]&lt;&gt;0),MIN(LOOKUP(,-1/($Z$12:Z256=1),$C$12:C256)+LOOKUP(,-1/($Z$12:Z256=1),$H$12:H256),Первоначальный[[#This Row],[Полученный платеж]]+Y255),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платеж]]+Y255,SUM(Первоначальный[[#This Row],[Остаток процентов на начало периода]],Первоначальный[[#This Row],[Проценты за период]])),
AND(S255=0,Первоначальный[[#This Row],[Дата платежа из графика]]=""),0,
AND(S255=0,Первоначальный[[#This Row],[Дата платежа из графика]]=1,MAX((0&lt;&gt;S$12:S255)*ROW(S$12:S255),ROW($S$12))&gt;=MAX((1=Z$12:Z255)*ROW(Z$12:Z255),ROW($T$12)),TYPE(VLOOKUP("Да",(INDIRECT("AA"&amp;(MAX((1=Z$12:Z255)*ROW(Z$12:Z255),ROW($T$12))&amp;":AA"&amp;(ROW()-1)))),1,0))=16),MIN(LOOKUP(,-1/($Z$12:Z256=1),$C$12:C256)+LOOKUP(,-1/($Z$12:Z256=1),$H$12:H256),Первоначальный[[#This Row],[Полученный платеж]]+Y255),
AND(S255=0,TYPE(VLOOKUP("Да",(INDIRECT("AA"&amp;(MAX((1=Z$12:Z255)*ROW(Z$12:Z255),ROW($T$12))&amp;":AA"&amp;(ROW()-1)))),1,0))&lt;&gt;16),MIN(LOOKUP(,-1/($Z$12:Z256=1),$C$12:C256)+LOOKUP(,-1/($Z$12:Z256=1),$H$12:H256)-IF(AA255="Да",0,SUM(INDIRECT("T"&amp;(MAX(("Да"=AA$12:AA255)*ROW(AA$12:AA255)+1,ROW($T$12))&amp;":T"&amp;(ROW()-1))))),Первоначальный[[#This Row],[Полученный платеж]]+Y255),
AND(S255=0,MAX((0&lt;&gt;N$12:N255)*ROW(N$12:N255),ROW($S$12))&gt;=MAX((1=Z$12:Z255)*ROW(Z$12:Z255),ROW($T$12))),MIN(LOOKUP(,-1/($Z$12:Z256=1),$C$12:C256)+LOOKUP(,-1/($Z$12:Z256=1),$H$12:H256)-IF(N255&lt;&gt;0,0,SUM(INDIRECT("T"&amp;(MAX((0&lt;&gt;N$12:N255)*ROW(N$12:N255)+1,ROW($T$12))&amp;":T"&amp;(ROW()-1))))),Первоначальный[[#This Row],[Полученный платеж]]+Y255),
AND(S255=0,Первоначальный[[#This Row],[Дата платежа из графика]]=1),MIN(LOOKUP(,-1/($Z$12:Z256=1),$C$12:C256)+LOOKUP(,-1/($Z$12:Z256=1),$H$12:H256)-IF(Z255=1,0,SUM(INDIRECT("T"&amp;(MAX((1=Z$12:Z255)*ROW(Z$12:Z255)+1,ROW($T$12))&amp;":T"&amp;(ROW()-1))))),Первоначальный[[#This Row],[Полученный платеж]]+Y255),
AND(Z255&gt;0,Первоначальный[[#This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платеж]]+Y255),
AND(S255&gt;0,MAX((0&lt;&gt;S$12:S255)*ROW(S$12:S255),ROW($S$12))&gt;=MAX((1=Z$12:Z255)*ROW(Z$12:Z255),ROW($T$12)),TYPE(VLOOKUP("Да",(INDIRECT("AA"&amp;(MAX((1=Z$12:Z255)*ROW(Z$12:Z255),ROW($T$12))&amp;":AA"&amp;(ROW()-1)))),1,0))=16),MIN(LOOKUP(,-1/($Z$12:Z256=1),$C$12:C256)+LOOKUP(,-1/($Z$12:Z256=1),$H$12:H256)-SUM(INDIRECT("T"&amp;(MAX((1=Z$12:Z255)*ROW(Z$12:Z255),ROW($T$12))&amp;":T"&amp;(ROW()-1)))),Первоначальный[[#This Row],[Полученный платеж]]+Y255),
S255&gt;0,MIN(LOOKUP(,-1/($Z$12:Z256=1),$C$12:C256)+LOOKUP(,-1/($Z$12:Z256=1),$H$12:H256)-IF(Z255=1,0,SUM(INDIRECT("T"&amp;(MAX((1=Z$12:Z255)*ROW(Z$12:Z255)+1,ROW($T$12))&amp;":T"&amp;(ROW()-1))))),Первоначальный[[#This Row],[Полученный платеж]]+Y255)
)
)
)</f>
        <v>0</v>
      </c>
      <c r="U25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платеж]]+Y255-Первоначальный[[#This Row],[Полученный платёж по процентам]])</f>
        <v>0</v>
      </c>
      <c r="V256" s="55">
        <f t="shared" ca="1" si="37"/>
        <v>0</v>
      </c>
      <c r="W256" s="55" cm="1">
        <f t="array" aca="1" ref="W256" ca="1">IF(Первоначальный[[#This Row],[Итого остаток на начало периода]]&lt;1,0,
_xlfn.IFS(
AND(TYPE(VLOOKUP(1,$Z$12:Z256,1,0))=16,Первоначальный[[#This Row],[Досрочное погашение (да/"")]]=""),0,
AND(S255=0,Первоначальный[[#This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платеж]]+Y255-SUM(Первоначальный[[#This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комиссиям]]),VLOOKUP(LOOKUP(,-1/($Z$12:Z256=1),$A$12:A256),График[[Срок конец]:[Возврат основной суммы долга]],3,0)),
AND(S255=0,Первоначальный[[#This Row],[Дата платежа из графика]]="",Первоначальный[[#This Row],[Досрочное погашение (да/"")]]&lt;&gt;"Да"),0,
AND(S255=0,Первоначальный[[#This Row],[Досрочное погашение (да/"")]]=""),MIN(Первоначальный[[#This Row],[Полученный платеж]]+Y255-SUM(Первоначальный[[#This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комиссиям]]),VLOOKUP(LOOKUP(,-1/($Z$12:Z256=1),$A$12:A256),График[[Срок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платеж]]+Y255-SUM(Первоначальный[[#This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S255&gt;0,MIN(Первоначальный[[#This Row],[Полученный платеж]]+Y255-SUM(Первоначальный[[#This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комиссиям]]),SUM(INDIRECT("M"&amp;(MAX((1=S$12:S255)*ROW(S$12:S255),ROW($W$12))&amp;":M"&amp;(ROW()))))-SUM(INDIRECT("W"&amp;(MAX((1=S$12:S255)*ROW(S$12:S255),ROW($W$12))&amp;":W"&amp;(ROW()-1)))))
)
)</f>
        <v>0</v>
      </c>
      <c r="X256" s="55">
        <f t="shared" ca="1" si="38"/>
        <v>0</v>
      </c>
      <c r="Y256" s="101">
        <f t="shared" ca="1" si="45"/>
        <v>0</v>
      </c>
      <c r="Z256" s="133" t="str">
        <f>IF(TYPE((VLOOKUP(Первоначальный[[#This Row],[Дата платежа]],График[Срок конец],1,0)))=16,"",1)</f>
        <v/>
      </c>
      <c r="AA256" s="57"/>
      <c r="AB256" s="134"/>
      <c r="AC25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5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14721.060000000014</v>
      </c>
      <c r="AE25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113.67999999999994</v>
      </c>
      <c r="AF25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5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6725.4174983606572</v>
      </c>
      <c r="AH256" s="55"/>
      <c r="AI256" s="55"/>
      <c r="AJ256" s="55"/>
      <c r="AK256" s="101">
        <f t="shared" ca="1" si="46"/>
        <v>171193.49749836067</v>
      </c>
      <c r="AL256" s="129">
        <f t="array" ref="AL256">MAX((УслРестрактов[Характеристика]="Дата реструктуризации")*(УслРестрактов[Значение]=Первоначальный!$A256),0)</f>
        <v>0</v>
      </c>
    </row>
    <row r="257" spans="1:38" x14ac:dyDescent="0.25">
      <c r="A257" s="97">
        <f t="shared" si="39"/>
        <v>44388</v>
      </c>
      <c r="B257" s="100">
        <f t="shared" ca="1" si="40"/>
        <v>149633.34</v>
      </c>
      <c r="C257" s="55">
        <f t="shared" ca="1" si="48"/>
        <v>14721.060000000014</v>
      </c>
      <c r="D257" s="55">
        <f t="shared" ca="1" si="48"/>
        <v>113.67999999999994</v>
      </c>
      <c r="E257" s="55">
        <f t="shared" ca="1" si="41"/>
        <v>0</v>
      </c>
      <c r="F257" s="55">
        <f t="shared" ca="1" si="42"/>
        <v>6725.4174983606572</v>
      </c>
      <c r="G257" s="101">
        <f t="shared" ca="1" si="43"/>
        <v>171193.49749836067</v>
      </c>
      <c r="H257" s="100">
        <f ca="1">ROUND($B257*VLOOKUP($A257,$A$1:$B$10,2,1)/(365+IF(MOD(YEAR($A257),4),0,1)*($A257-$A256)),2)-Первоначальный[[#This Row],[Проценты на просроченный платеж по ОД за период]]</f>
        <v>80.09</v>
      </c>
      <c r="I257" s="55">
        <f t="shared" ca="1" si="44"/>
        <v>1.49</v>
      </c>
      <c r="J257" s="55">
        <v>0</v>
      </c>
      <c r="K257" s="55">
        <f t="shared" ca="1" si="47"/>
        <v>86.84350327868853</v>
      </c>
      <c r="L257" s="55">
        <v>0</v>
      </c>
      <c r="M257" s="113">
        <f>SUMIFS(График[Возврат основной суммы долга],График[Дата с учетом нерабочих дней],$A257)</f>
        <v>0</v>
      </c>
      <c r="N257" s="56">
        <f>SUMIFS(График[Возврат начисленных %],График[Дата с учетом нерабочих дней],$A257)</f>
        <v>0</v>
      </c>
      <c r="O257" s="101">
        <v>0</v>
      </c>
      <c r="P257" s="100" cm="1">
        <f t="array" aca="1" ref="P257" ca="1">MAX(IF(AA256="Да",0,SUM(INDIRECT("M"&amp;(MAX(("Да"=AA$12:AA256)*ROW(AA$12:AA256)+1,ROW($P$12))&amp;":M"&amp;(ROW()))))-SUM(INDIRECT("W"&amp;(MAX(("Да"=AA$12:AA256)*ROW(AA$12:AA256)+1,ROW($P$12))&amp;":W"&amp;(ROW()))))),0)</f>
        <v>2728.4399999999991</v>
      </c>
      <c r="Q257" s="99">
        <f ca="1">MAX(SUM($N$13:N257)-SUM($T$13:T257),0)</f>
        <v>14640.260655737706</v>
      </c>
      <c r="R257" s="99">
        <f ca="1">Первоначальный[[#This Row],[Просроченный платеж по ОД]]+Первоначальный[[#This Row],[Просроченный платеж по процентам]]</f>
        <v>17368.700655737706</v>
      </c>
      <c r="S257" s="120">
        <f ca="1">IF(Первоначальный[[#This Row],[Просроченный платеж]]&lt;1,0,S256+1)</f>
        <v>153</v>
      </c>
      <c r="T257" s="100" cm="1">
        <f t="array" aca="1" ref="T257" ca="1">IF(Первоначальный[[#This Row],[Итого остаток на начало периода]]&lt;1,0,
IF(
AND(TYPE(VLOOKUP(1,$Z$12:Z257,1,0))=16,Первоначальный[[#This Row],[Досрочное погашение (да/"")]]=""),0,
_xlfn.IFS(AND(S256=0,Первоначальный[[#This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платеж]]&lt;&gt;0),MIN(LOOKUP(,-1/($Z$12:Z257=1),$C$12:C257)+LOOKUP(,-1/($Z$12:Z257=1),$H$12:H257),Первоначальный[[#This Row],[Полученный платеж]]+Y256),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платеж]]+Y256,SUM(Первоначальный[[#This Row],[Остаток процентов на начало периода]],Первоначальный[[#This Row],[Проценты за период]])),
AND(S256=0,Первоначальный[[#This Row],[Дата платежа из графика]]=""),0,
AND(S256=0,Первоначальный[[#This Row],[Дата платежа из графика]]=1,MAX((0&lt;&gt;S$12:S256)*ROW(S$12:S256),ROW($S$12))&gt;=MAX((1=Z$12:Z256)*ROW(Z$12:Z256),ROW($T$12)),TYPE(VLOOKUP("Да",(INDIRECT("AA"&amp;(MAX((1=Z$12:Z256)*ROW(Z$12:Z256),ROW($T$12))&amp;":AA"&amp;(ROW()-1)))),1,0))=16),MIN(LOOKUP(,-1/($Z$12:Z257=1),$C$12:C257)+LOOKUP(,-1/($Z$12:Z257=1),$H$12:H257),Первоначальный[[#This Row],[Полученный платеж]]+Y256),
AND(S256=0,TYPE(VLOOKUP("Да",(INDIRECT("AA"&amp;(MAX((1=Z$12:Z256)*ROW(Z$12:Z256),ROW($T$12))&amp;":AA"&amp;(ROW()-1)))),1,0))&lt;&gt;16),MIN(LOOKUP(,-1/($Z$12:Z257=1),$C$12:C257)+LOOKUP(,-1/($Z$12:Z257=1),$H$12:H257)-IF(AA256="Да",0,SUM(INDIRECT("T"&amp;(MAX(("Да"=AA$12:AA256)*ROW(AA$12:AA256)+1,ROW($T$12))&amp;":T"&amp;(ROW()-1))))),Первоначальный[[#This Row],[Полученный платеж]]+Y256),
AND(S256=0,MAX((0&lt;&gt;N$12:N256)*ROW(N$12:N256),ROW($S$12))&gt;=MAX((1=Z$12:Z256)*ROW(Z$12:Z256),ROW($T$12))),MIN(LOOKUP(,-1/($Z$12:Z257=1),$C$12:C257)+LOOKUP(,-1/($Z$12:Z257=1),$H$12:H257)-IF(N256&lt;&gt;0,0,SUM(INDIRECT("T"&amp;(MAX((0&lt;&gt;N$12:N256)*ROW(N$12:N256)+1,ROW($T$12))&amp;":T"&amp;(ROW()-1))))),Первоначальный[[#This Row],[Полученный платеж]]+Y256),
AND(S256=0,Первоначальный[[#This Row],[Дата платежа из графика]]=1),MIN(LOOKUP(,-1/($Z$12:Z257=1),$C$12:C257)+LOOKUP(,-1/($Z$12:Z257=1),$H$12:H257)-IF(Z256=1,0,SUM(INDIRECT("T"&amp;(MAX((1=Z$12:Z256)*ROW(Z$12:Z256)+1,ROW($T$12))&amp;":T"&amp;(ROW()-1))))),Первоначальный[[#This Row],[Полученный платеж]]+Y256),
AND(Z256&gt;0,Первоначальный[[#This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платеж]]+Y256),
AND(S256&gt;0,MAX((0&lt;&gt;S$12:S256)*ROW(S$12:S256),ROW($S$12))&gt;=MAX((1=Z$12:Z256)*ROW(Z$12:Z256),ROW($T$12)),TYPE(VLOOKUP("Да",(INDIRECT("AA"&amp;(MAX((1=Z$12:Z256)*ROW(Z$12:Z256),ROW($T$12))&amp;":AA"&amp;(ROW()-1)))),1,0))=16),MIN(LOOKUP(,-1/($Z$12:Z257=1),$C$12:C257)+LOOKUP(,-1/($Z$12:Z257=1),$H$12:H257)-SUM(INDIRECT("T"&amp;(MAX((1=Z$12:Z256)*ROW(Z$12:Z256),ROW($T$12))&amp;":T"&amp;(ROW()-1)))),Первоначальный[[#This Row],[Полученный платеж]]+Y256),
S256&gt;0,MIN(LOOKUP(,-1/($Z$12:Z257=1),$C$12:C257)+LOOKUP(,-1/($Z$12:Z257=1),$H$12:H257)-IF(Z256=1,0,SUM(INDIRECT("T"&amp;(MAX((1=Z$12:Z256)*ROW(Z$12:Z256)+1,ROW($T$12))&amp;":T"&amp;(ROW()-1))))),Первоначальный[[#This Row],[Полученный платеж]]+Y256)
)
)
)</f>
        <v>0</v>
      </c>
      <c r="U25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платеж]]+Y256-Первоначальный[[#This Row],[Полученный платёж по процентам]])</f>
        <v>0</v>
      </c>
      <c r="V257" s="55">
        <f t="shared" ca="1" si="37"/>
        <v>0</v>
      </c>
      <c r="W257" s="55" cm="1">
        <f t="array" aca="1" ref="W257" ca="1">IF(Первоначальный[[#This Row],[Итого остаток на начало периода]]&lt;1,0,
_xlfn.IFS(
AND(TYPE(VLOOKUP(1,$Z$12:Z257,1,0))=16,Первоначальный[[#This Row],[Досрочное погашение (да/"")]]=""),0,
AND(S256=0,Первоначальный[[#This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платеж]]+Y256-SUM(Первоначальный[[#This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комиссиям]]),VLOOKUP(LOOKUP(,-1/($Z$12:Z257=1),$A$12:A257),График[[Срок конец]:[Возврат основной суммы долга]],3,0)),
AND(S256=0,Первоначальный[[#This Row],[Дата платежа из графика]]="",Первоначальный[[#This Row],[Досрочное погашение (да/"")]]&lt;&gt;"Да"),0,
AND(S256=0,Первоначальный[[#This Row],[Досрочное погашение (да/"")]]=""),MIN(Первоначальный[[#This Row],[Полученный платеж]]+Y256-SUM(Первоначальный[[#This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комиссиям]]),VLOOKUP(LOOKUP(,-1/($Z$12:Z257=1),$A$12:A257),График[[Срок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платеж]]+Y256-SUM(Первоначальный[[#This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S256&gt;0,MIN(Первоначальный[[#This Row],[Полученный платеж]]+Y256-SUM(Первоначальный[[#This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комиссиям]]),SUM(INDIRECT("M"&amp;(MAX((1=S$12:S256)*ROW(S$12:S256),ROW($W$12))&amp;":M"&amp;(ROW()))))-SUM(INDIRECT("W"&amp;(MAX((1=S$12:S256)*ROW(S$12:S256),ROW($W$12))&amp;":W"&amp;(ROW()-1)))))
)
)</f>
        <v>0</v>
      </c>
      <c r="X257" s="55">
        <f t="shared" ca="1" si="38"/>
        <v>0</v>
      </c>
      <c r="Y257" s="101">
        <f t="shared" ca="1" si="45"/>
        <v>0</v>
      </c>
      <c r="Z257" s="133" t="str">
        <f>IF(TYPE((VLOOKUP(Первоначальный[[#This Row],[Дата платежа]],График[Срок конец],1,0)))=16,"",1)</f>
        <v/>
      </c>
      <c r="AA257" s="57"/>
      <c r="AB257" s="134"/>
      <c r="AC25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5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14801.150000000014</v>
      </c>
      <c r="AE25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115.16999999999993</v>
      </c>
      <c r="AF25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5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6812.2610016393455</v>
      </c>
      <c r="AH257" s="55"/>
      <c r="AI257" s="55"/>
      <c r="AJ257" s="55"/>
      <c r="AK257" s="101">
        <f t="shared" ca="1" si="46"/>
        <v>171361.92100163939</v>
      </c>
      <c r="AL257" s="129">
        <f t="array" ref="AL257">MAX((УслРестрактов[Характеристика]="Дата реструктуризации")*(УслРестрактов[Значение]=Первоначальный!$A257),0)</f>
        <v>0</v>
      </c>
    </row>
    <row r="258" spans="1:38" x14ac:dyDescent="0.25">
      <c r="A258" s="97">
        <f t="shared" si="39"/>
        <v>44389</v>
      </c>
      <c r="B258" s="100">
        <f t="shared" ca="1" si="40"/>
        <v>149633.34</v>
      </c>
      <c r="C258" s="55">
        <f t="shared" ca="1" si="48"/>
        <v>14801.150000000014</v>
      </c>
      <c r="D258" s="55">
        <f t="shared" ca="1" si="48"/>
        <v>115.16999999999993</v>
      </c>
      <c r="E258" s="55">
        <f t="shared" ca="1" si="41"/>
        <v>0</v>
      </c>
      <c r="F258" s="55">
        <f t="shared" ca="1" si="42"/>
        <v>6812.2610016393455</v>
      </c>
      <c r="G258" s="101">
        <f t="shared" ca="1" si="43"/>
        <v>171361.92100163939</v>
      </c>
      <c r="H258" s="100">
        <f ca="1">ROUND($B258*VLOOKUP($A258,$A$1:$B$10,2,1)/(365+IF(MOD(YEAR($A258),4),0,1)*($A258-$A257)),2)-Первоначальный[[#This Row],[Проценты на просроченный платеж по ОД за период]]</f>
        <v>80.09</v>
      </c>
      <c r="I258" s="55">
        <f t="shared" ca="1" si="44"/>
        <v>1.49</v>
      </c>
      <c r="J258" s="55">
        <v>0</v>
      </c>
      <c r="K258" s="55">
        <f t="shared" ca="1" si="47"/>
        <v>86.84350327868853</v>
      </c>
      <c r="L258" s="55">
        <v>0</v>
      </c>
      <c r="M258" s="113">
        <f>SUMIFS(График[Возврат основной суммы долга],График[Дата с учетом нерабочих дней],$A258)</f>
        <v>0</v>
      </c>
      <c r="N258" s="56">
        <f>SUMIFS(График[Возврат начисленных %],График[Дата с учетом нерабочих дней],$A258)</f>
        <v>0</v>
      </c>
      <c r="O258" s="101">
        <v>0</v>
      </c>
      <c r="P258" s="100" cm="1">
        <f t="array" aca="1" ref="P258" ca="1">MAX(IF(AA257="Да",0,SUM(INDIRECT("M"&amp;(MAX(("Да"=AA$12:AA257)*ROW(AA$12:AA257)+1,ROW($P$12))&amp;":M"&amp;(ROW()))))-SUM(INDIRECT("W"&amp;(MAX(("Да"=AA$12:AA257)*ROW(AA$12:AA257)+1,ROW($P$12))&amp;":W"&amp;(ROW()))))),0)</f>
        <v>2728.4399999999991</v>
      </c>
      <c r="Q258" s="99">
        <f ca="1">MAX(SUM($N$13:N258)-SUM($T$13:T258),0)</f>
        <v>14640.260655737706</v>
      </c>
      <c r="R258" s="99">
        <f ca="1">Первоначальный[[#This Row],[Просроченный платеж по ОД]]+Первоначальный[[#This Row],[Просроченный платеж по процентам]]</f>
        <v>17368.700655737706</v>
      </c>
      <c r="S258" s="120">
        <f ca="1">IF(Первоначальный[[#This Row],[Просроченный платеж]]&lt;1,0,S257+1)</f>
        <v>154</v>
      </c>
      <c r="T258" s="100" cm="1">
        <f t="array" aca="1" ref="T258" ca="1">IF(Первоначальный[[#This Row],[Итого остаток на начало периода]]&lt;1,0,
IF(
AND(TYPE(VLOOKUP(1,$Z$12:Z258,1,0))=16,Первоначальный[[#This Row],[Досрочное погашение (да/"")]]=""),0,
_xlfn.IFS(AND(S257=0,Первоначальный[[#This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платеж]]&lt;&gt;0),MIN(LOOKUP(,-1/($Z$12:Z258=1),$C$12:C258)+LOOKUP(,-1/($Z$12:Z258=1),$H$12:H258),Первоначальный[[#This Row],[Полученный платеж]]+Y257),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платеж]]+Y257,SUM(Первоначальный[[#This Row],[Остаток процентов на начало периода]],Первоначальный[[#This Row],[Проценты за период]])),
AND(S257=0,Первоначальный[[#This Row],[Дата платежа из графика]]=""),0,
AND(S257=0,Первоначальный[[#This Row],[Дата платежа из графика]]=1,MAX((0&lt;&gt;S$12:S257)*ROW(S$12:S257),ROW($S$12))&gt;=MAX((1=Z$12:Z257)*ROW(Z$12:Z257),ROW($T$12)),TYPE(VLOOKUP("Да",(INDIRECT("AA"&amp;(MAX((1=Z$12:Z257)*ROW(Z$12:Z257),ROW($T$12))&amp;":AA"&amp;(ROW()-1)))),1,0))=16),MIN(LOOKUP(,-1/($Z$12:Z258=1),$C$12:C258)+LOOKUP(,-1/($Z$12:Z258=1),$H$12:H258),Первоначальный[[#This Row],[Полученный платеж]]+Y257),
AND(S257=0,TYPE(VLOOKUP("Да",(INDIRECT("AA"&amp;(MAX((1=Z$12:Z257)*ROW(Z$12:Z257),ROW($T$12))&amp;":AA"&amp;(ROW()-1)))),1,0))&lt;&gt;16),MIN(LOOKUP(,-1/($Z$12:Z258=1),$C$12:C258)+LOOKUP(,-1/($Z$12:Z258=1),$H$12:H258)-IF(AA257="Да",0,SUM(INDIRECT("T"&amp;(MAX(("Да"=AA$12:AA257)*ROW(AA$12:AA257)+1,ROW($T$12))&amp;":T"&amp;(ROW()-1))))),Первоначальный[[#This Row],[Полученный платеж]]+Y257),
AND(S257=0,MAX((0&lt;&gt;N$12:N257)*ROW(N$12:N257),ROW($S$12))&gt;=MAX((1=Z$12:Z257)*ROW(Z$12:Z257),ROW($T$12))),MIN(LOOKUP(,-1/($Z$12:Z258=1),$C$12:C258)+LOOKUP(,-1/($Z$12:Z258=1),$H$12:H258)-IF(N257&lt;&gt;0,0,SUM(INDIRECT("T"&amp;(MAX((0&lt;&gt;N$12:N257)*ROW(N$12:N257)+1,ROW($T$12))&amp;":T"&amp;(ROW()-1))))),Первоначальный[[#This Row],[Полученный платеж]]+Y257),
AND(S257=0,Первоначальный[[#This Row],[Дата платежа из графика]]=1),MIN(LOOKUP(,-1/($Z$12:Z258=1),$C$12:C258)+LOOKUP(,-1/($Z$12:Z258=1),$H$12:H258)-IF(Z257=1,0,SUM(INDIRECT("T"&amp;(MAX((1=Z$12:Z257)*ROW(Z$12:Z257)+1,ROW($T$12))&amp;":T"&amp;(ROW()-1))))),Первоначальный[[#This Row],[Полученный платеж]]+Y257),
AND(Z257&gt;0,Первоначальный[[#This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платеж]]+Y257),
AND(S257&gt;0,MAX((0&lt;&gt;S$12:S257)*ROW(S$12:S257),ROW($S$12))&gt;=MAX((1=Z$12:Z257)*ROW(Z$12:Z257),ROW($T$12)),TYPE(VLOOKUP("Да",(INDIRECT("AA"&amp;(MAX((1=Z$12:Z257)*ROW(Z$12:Z257),ROW($T$12))&amp;":AA"&amp;(ROW()-1)))),1,0))=16),MIN(LOOKUP(,-1/($Z$12:Z258=1),$C$12:C258)+LOOKUP(,-1/($Z$12:Z258=1),$H$12:H258)-SUM(INDIRECT("T"&amp;(MAX((1=Z$12:Z257)*ROW(Z$12:Z257),ROW($T$12))&amp;":T"&amp;(ROW()-1)))),Первоначальный[[#This Row],[Полученный платеж]]+Y257),
S257&gt;0,MIN(LOOKUP(,-1/($Z$12:Z258=1),$C$12:C258)+LOOKUP(,-1/($Z$12:Z258=1),$H$12:H258)-IF(Z257=1,0,SUM(INDIRECT("T"&amp;(MAX((1=Z$12:Z257)*ROW(Z$12:Z257)+1,ROW($T$12))&amp;":T"&amp;(ROW()-1))))),Первоначальный[[#This Row],[Полученный платеж]]+Y257)
)
)
)</f>
        <v>0</v>
      </c>
      <c r="U25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платеж]]+Y257-Первоначальный[[#This Row],[Полученный платёж по процентам]])</f>
        <v>0</v>
      </c>
      <c r="V258" s="55">
        <f t="shared" ca="1" si="37"/>
        <v>0</v>
      </c>
      <c r="W258" s="55" cm="1">
        <f t="array" aca="1" ref="W258" ca="1">IF(Первоначальный[[#This Row],[Итого остаток на начало периода]]&lt;1,0,
_xlfn.IFS(
AND(TYPE(VLOOKUP(1,$Z$12:Z258,1,0))=16,Первоначальный[[#This Row],[Досрочное погашение (да/"")]]=""),0,
AND(S257=0,Первоначальный[[#This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платеж]]+Y257-SUM(Первоначальный[[#This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комиссиям]]),VLOOKUP(LOOKUP(,-1/($Z$12:Z258=1),$A$12:A258),График[[Срок конец]:[Возврат основной суммы долга]],3,0)),
AND(S257=0,Первоначальный[[#This Row],[Дата платежа из графика]]="",Первоначальный[[#This Row],[Досрочное погашение (да/"")]]&lt;&gt;"Да"),0,
AND(S257=0,Первоначальный[[#This Row],[Досрочное погашение (да/"")]]=""),MIN(Первоначальный[[#This Row],[Полученный платеж]]+Y257-SUM(Первоначальный[[#This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комиссиям]]),VLOOKUP(LOOKUP(,-1/($Z$12:Z258=1),$A$12:A258),График[[Срок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платеж]]+Y257-SUM(Первоначальный[[#This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S257&gt;0,MIN(Первоначальный[[#This Row],[Полученный платеж]]+Y257-SUM(Первоначальный[[#This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комиссиям]]),SUM(INDIRECT("M"&amp;(MAX((1=S$12:S257)*ROW(S$12:S257),ROW($W$12))&amp;":M"&amp;(ROW()))))-SUM(INDIRECT("W"&amp;(MAX((1=S$12:S257)*ROW(S$12:S257),ROW($W$12))&amp;":W"&amp;(ROW()-1)))))
)
)</f>
        <v>0</v>
      </c>
      <c r="X258" s="55">
        <f t="shared" ca="1" si="38"/>
        <v>0</v>
      </c>
      <c r="Y258" s="101">
        <f t="shared" ca="1" si="45"/>
        <v>0</v>
      </c>
      <c r="Z258" s="133" t="str">
        <f>IF(TYPE((VLOOKUP(Первоначальный[[#This Row],[Дата платежа]],График[Срок конец],1,0)))=16,"",1)</f>
        <v/>
      </c>
      <c r="AA258" s="57"/>
      <c r="AB258" s="134"/>
      <c r="AC25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5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14881.240000000014</v>
      </c>
      <c r="AE25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116.65999999999993</v>
      </c>
      <c r="AF25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5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6899.1045049180339</v>
      </c>
      <c r="AH258" s="55"/>
      <c r="AI258" s="55"/>
      <c r="AJ258" s="55"/>
      <c r="AK258" s="101">
        <f t="shared" ca="1" si="46"/>
        <v>171530.34450491806</v>
      </c>
      <c r="AL258" s="129">
        <f t="array" ref="AL258">MAX((УслРестрактов[Характеристика]="Дата реструктуризации")*(УслРестрактов[Значение]=Первоначальный!$A258),0)</f>
        <v>0</v>
      </c>
    </row>
    <row r="259" spans="1:38" x14ac:dyDescent="0.25">
      <c r="A259" s="97">
        <f t="shared" si="39"/>
        <v>44390</v>
      </c>
      <c r="B259" s="100">
        <f t="shared" ca="1" si="40"/>
        <v>149633.34</v>
      </c>
      <c r="C259" s="55">
        <f t="shared" ca="1" si="48"/>
        <v>14881.240000000014</v>
      </c>
      <c r="D259" s="55">
        <f t="shared" ca="1" si="48"/>
        <v>116.65999999999993</v>
      </c>
      <c r="E259" s="55">
        <f t="shared" ca="1" si="41"/>
        <v>0</v>
      </c>
      <c r="F259" s="55">
        <f t="shared" ca="1" si="42"/>
        <v>6899.1045049180339</v>
      </c>
      <c r="G259" s="101">
        <f t="shared" ca="1" si="43"/>
        <v>171530.34450491806</v>
      </c>
      <c r="H259" s="100">
        <f ca="1">ROUND($B259*VLOOKUP($A259,$A$1:$B$10,2,1)/(365+IF(MOD(YEAR($A259),4),0,1)*($A259-$A258)),2)-Первоначальный[[#This Row],[Проценты на просроченный платеж по ОД за период]]</f>
        <v>80.09</v>
      </c>
      <c r="I259" s="55">
        <f t="shared" ca="1" si="44"/>
        <v>1.49</v>
      </c>
      <c r="J259" s="55">
        <v>0</v>
      </c>
      <c r="K259" s="55">
        <f t="shared" ca="1" si="47"/>
        <v>86.84350327868853</v>
      </c>
      <c r="L259" s="55">
        <v>0</v>
      </c>
      <c r="M259" s="113">
        <f>SUMIFS(График[Возврат основной суммы долга],График[Дата с учетом нерабочих дней],$A259)</f>
        <v>0</v>
      </c>
      <c r="N259" s="56">
        <f>SUMIFS(График[Возврат начисленных %],График[Дата с учетом нерабочих дней],$A259)</f>
        <v>0</v>
      </c>
      <c r="O259" s="101">
        <v>0</v>
      </c>
      <c r="P259" s="100" cm="1">
        <f t="array" aca="1" ref="P259" ca="1">MAX(IF(AA258="Да",0,SUM(INDIRECT("M"&amp;(MAX(("Да"=AA$12:AA258)*ROW(AA$12:AA258)+1,ROW($P$12))&amp;":M"&amp;(ROW()))))-SUM(INDIRECT("W"&amp;(MAX(("Да"=AA$12:AA258)*ROW(AA$12:AA258)+1,ROW($P$12))&amp;":W"&amp;(ROW()))))),0)</f>
        <v>2728.4399999999991</v>
      </c>
      <c r="Q259" s="99">
        <f ca="1">MAX(SUM($N$13:N259)-SUM($T$13:T259),0)</f>
        <v>14640.260655737706</v>
      </c>
      <c r="R259" s="99">
        <f ca="1">Первоначальный[[#This Row],[Просроченный платеж по ОД]]+Первоначальный[[#This Row],[Просроченный платеж по процентам]]</f>
        <v>17368.700655737706</v>
      </c>
      <c r="S259" s="120">
        <f ca="1">IF(Первоначальный[[#This Row],[Просроченный платеж]]&lt;1,0,S258+1)</f>
        <v>155</v>
      </c>
      <c r="T259" s="100" cm="1">
        <f t="array" aca="1" ref="T259" ca="1">IF(Первоначальный[[#This Row],[Итого остаток на начало периода]]&lt;1,0,
IF(
AND(TYPE(VLOOKUP(1,$Z$12:Z259,1,0))=16,Первоначальный[[#This Row],[Досрочное погашение (да/"")]]=""),0,
_xlfn.IFS(AND(S258=0,Первоначальный[[#This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платеж]]&lt;&gt;0),MIN(LOOKUP(,-1/($Z$12:Z259=1),$C$12:C259)+LOOKUP(,-1/($Z$12:Z259=1),$H$12:H259),Первоначальный[[#This Row],[Полученный платеж]]+Y258),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платеж]]+Y258,SUM(Первоначальный[[#This Row],[Остаток процентов на начало периода]],Первоначальный[[#This Row],[Проценты за период]])),
AND(S258=0,Первоначальный[[#This Row],[Дата платежа из графика]]=""),0,
AND(S258=0,Первоначальный[[#This Row],[Дата платежа из графика]]=1,MAX((0&lt;&gt;S$12:S258)*ROW(S$12:S258),ROW($S$12))&gt;=MAX((1=Z$12:Z258)*ROW(Z$12:Z258),ROW($T$12)),TYPE(VLOOKUP("Да",(INDIRECT("AA"&amp;(MAX((1=Z$12:Z258)*ROW(Z$12:Z258),ROW($T$12))&amp;":AA"&amp;(ROW()-1)))),1,0))=16),MIN(LOOKUP(,-1/($Z$12:Z259=1),$C$12:C259)+LOOKUP(,-1/($Z$12:Z259=1),$H$12:H259),Первоначальный[[#This Row],[Полученный платеж]]+Y258),
AND(S258=0,TYPE(VLOOKUP("Да",(INDIRECT("AA"&amp;(MAX((1=Z$12:Z258)*ROW(Z$12:Z258),ROW($T$12))&amp;":AA"&amp;(ROW()-1)))),1,0))&lt;&gt;16),MIN(LOOKUP(,-1/($Z$12:Z259=1),$C$12:C259)+LOOKUP(,-1/($Z$12:Z259=1),$H$12:H259)-IF(AA258="Да",0,SUM(INDIRECT("T"&amp;(MAX(("Да"=AA$12:AA258)*ROW(AA$12:AA258)+1,ROW($T$12))&amp;":T"&amp;(ROW()-1))))),Первоначальный[[#This Row],[Полученный платеж]]+Y258),
AND(S258=0,MAX((0&lt;&gt;N$12:N258)*ROW(N$12:N258),ROW($S$12))&gt;=MAX((1=Z$12:Z258)*ROW(Z$12:Z258),ROW($T$12))),MIN(LOOKUP(,-1/($Z$12:Z259=1),$C$12:C259)+LOOKUP(,-1/($Z$12:Z259=1),$H$12:H259)-IF(N258&lt;&gt;0,0,SUM(INDIRECT("T"&amp;(MAX((0&lt;&gt;N$12:N258)*ROW(N$12:N258)+1,ROW($T$12))&amp;":T"&amp;(ROW()-1))))),Первоначальный[[#This Row],[Полученный платеж]]+Y258),
AND(S258=0,Первоначальный[[#This Row],[Дата платежа из графика]]=1),MIN(LOOKUP(,-1/($Z$12:Z259=1),$C$12:C259)+LOOKUP(,-1/($Z$12:Z259=1),$H$12:H259)-IF(Z258=1,0,SUM(INDIRECT("T"&amp;(MAX((1=Z$12:Z258)*ROW(Z$12:Z258)+1,ROW($T$12))&amp;":T"&amp;(ROW()-1))))),Первоначальный[[#This Row],[Полученный платеж]]+Y258),
AND(Z258&gt;0,Первоначальный[[#This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платеж]]+Y258),
AND(S258&gt;0,MAX((0&lt;&gt;S$12:S258)*ROW(S$12:S258),ROW($S$12))&gt;=MAX((1=Z$12:Z258)*ROW(Z$12:Z258),ROW($T$12)),TYPE(VLOOKUP("Да",(INDIRECT("AA"&amp;(MAX((1=Z$12:Z258)*ROW(Z$12:Z258),ROW($T$12))&amp;":AA"&amp;(ROW()-1)))),1,0))=16),MIN(LOOKUP(,-1/($Z$12:Z259=1),$C$12:C259)+LOOKUP(,-1/($Z$12:Z259=1),$H$12:H259)-SUM(INDIRECT("T"&amp;(MAX((1=Z$12:Z258)*ROW(Z$12:Z258),ROW($T$12))&amp;":T"&amp;(ROW()-1)))),Первоначальный[[#This Row],[Полученный платеж]]+Y258),
S258&gt;0,MIN(LOOKUP(,-1/($Z$12:Z259=1),$C$12:C259)+LOOKUP(,-1/($Z$12:Z259=1),$H$12:H259)-IF(Z258=1,0,SUM(INDIRECT("T"&amp;(MAX((1=Z$12:Z258)*ROW(Z$12:Z258)+1,ROW($T$12))&amp;":T"&amp;(ROW()-1))))),Первоначальный[[#This Row],[Полученный платеж]]+Y258)
)
)
)</f>
        <v>0</v>
      </c>
      <c r="U25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платеж]]+Y258-Первоначальный[[#This Row],[Полученный платёж по процентам]])</f>
        <v>0</v>
      </c>
      <c r="V259" s="55">
        <f t="shared" ca="1" si="37"/>
        <v>0</v>
      </c>
      <c r="W259" s="55" cm="1">
        <f t="array" aca="1" ref="W259" ca="1">IF(Первоначальный[[#This Row],[Итого остаток на начало периода]]&lt;1,0,
_xlfn.IFS(
AND(TYPE(VLOOKUP(1,$Z$12:Z259,1,0))=16,Первоначальный[[#This Row],[Досрочное погашение (да/"")]]=""),0,
AND(S258=0,Первоначальный[[#This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платеж]]+Y258-SUM(Первоначальный[[#This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комиссиям]]),VLOOKUP(LOOKUP(,-1/($Z$12:Z259=1),$A$12:A259),График[[Срок конец]:[Возврат основной суммы долга]],3,0)),
AND(S258=0,Первоначальный[[#This Row],[Дата платежа из графика]]="",Первоначальный[[#This Row],[Досрочное погашение (да/"")]]&lt;&gt;"Да"),0,
AND(S258=0,Первоначальный[[#This Row],[Досрочное погашение (да/"")]]=""),MIN(Первоначальный[[#This Row],[Полученный платеж]]+Y258-SUM(Первоначальный[[#This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комиссиям]]),VLOOKUP(LOOKUP(,-1/($Z$12:Z259=1),$A$12:A259),График[[Срок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платеж]]+Y258-SUM(Первоначальный[[#This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S258&gt;0,MIN(Первоначальный[[#This Row],[Полученный платеж]]+Y258-SUM(Первоначальный[[#This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комиссиям]]),SUM(INDIRECT("M"&amp;(MAX((1=S$12:S258)*ROW(S$12:S258),ROW($W$12))&amp;":M"&amp;(ROW()))))-SUM(INDIRECT("W"&amp;(MAX((1=S$12:S258)*ROW(S$12:S258),ROW($W$12))&amp;":W"&amp;(ROW()-1)))))
)
)</f>
        <v>0</v>
      </c>
      <c r="X259" s="55">
        <f t="shared" ca="1" si="38"/>
        <v>0</v>
      </c>
      <c r="Y259" s="101">
        <f t="shared" ca="1" si="45"/>
        <v>0</v>
      </c>
      <c r="Z259" s="133" t="str">
        <f>IF(TYPE((VLOOKUP(Первоначальный[[#This Row],[Дата платежа]],График[Срок конец],1,0)))=16,"",1)</f>
        <v/>
      </c>
      <c r="AA259" s="57"/>
      <c r="AB259" s="134"/>
      <c r="AC25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5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14961.330000000014</v>
      </c>
      <c r="AE25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118.14999999999992</v>
      </c>
      <c r="AF25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5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6985.9480081967222</v>
      </c>
      <c r="AH259" s="55"/>
      <c r="AI259" s="55"/>
      <c r="AJ259" s="55"/>
      <c r="AK259" s="101">
        <f t="shared" ca="1" si="46"/>
        <v>171698.76800819673</v>
      </c>
      <c r="AL259" s="129">
        <f t="array" ref="AL259">MAX((УслРестрактов[Характеристика]="Дата реструктуризации")*(УслРестрактов[Значение]=Первоначальный!$A259),0)</f>
        <v>0</v>
      </c>
    </row>
    <row r="260" spans="1:38" x14ac:dyDescent="0.25">
      <c r="A260" s="97">
        <f t="shared" si="39"/>
        <v>44391</v>
      </c>
      <c r="B260" s="100">
        <f t="shared" ca="1" si="40"/>
        <v>149633.34</v>
      </c>
      <c r="C260" s="55">
        <f t="shared" ca="1" si="48"/>
        <v>14961.330000000014</v>
      </c>
      <c r="D260" s="55">
        <f t="shared" ca="1" si="48"/>
        <v>118.14999999999992</v>
      </c>
      <c r="E260" s="55">
        <f t="shared" ca="1" si="41"/>
        <v>0</v>
      </c>
      <c r="F260" s="55">
        <f t="shared" ca="1" si="42"/>
        <v>6985.9480081967222</v>
      </c>
      <c r="G260" s="101">
        <f t="shared" ca="1" si="43"/>
        <v>171698.76800819673</v>
      </c>
      <c r="H260" s="100">
        <f ca="1">ROUND($B260*VLOOKUP($A260,$A$1:$B$10,2,1)/(365+IF(MOD(YEAR($A260),4),0,1)*($A260-$A259)),2)-Первоначальный[[#This Row],[Проценты на просроченный платеж по ОД за период]]</f>
        <v>80.09</v>
      </c>
      <c r="I260" s="55">
        <f t="shared" ca="1" si="44"/>
        <v>1.49</v>
      </c>
      <c r="J260" s="55">
        <v>0</v>
      </c>
      <c r="K260" s="55">
        <f t="shared" ca="1" si="47"/>
        <v>86.84350327868853</v>
      </c>
      <c r="L260" s="55">
        <v>0</v>
      </c>
      <c r="M260" s="113">
        <f>SUMIFS(График[Возврат основной суммы долга],График[Дата с учетом нерабочих дней],$A260)</f>
        <v>0</v>
      </c>
      <c r="N260" s="56">
        <f>SUMIFS(График[Возврат начисленных %],График[Дата с учетом нерабочих дней],$A260)</f>
        <v>0</v>
      </c>
      <c r="O260" s="101">
        <v>0</v>
      </c>
      <c r="P260" s="100" cm="1">
        <f t="array" aca="1" ref="P260" ca="1">MAX(IF(AA259="Да",0,SUM(INDIRECT("M"&amp;(MAX(("Да"=AA$12:AA259)*ROW(AA$12:AA259)+1,ROW($P$12))&amp;":M"&amp;(ROW()))))-SUM(INDIRECT("W"&amp;(MAX(("Да"=AA$12:AA259)*ROW(AA$12:AA259)+1,ROW($P$12))&amp;":W"&amp;(ROW()))))),0)</f>
        <v>2728.4399999999991</v>
      </c>
      <c r="Q260" s="99">
        <f ca="1">MAX(SUM($N$13:N260)-SUM($T$13:T260),0)</f>
        <v>14640.260655737706</v>
      </c>
      <c r="R260" s="99">
        <f ca="1">Первоначальный[[#This Row],[Просроченный платеж по ОД]]+Первоначальный[[#This Row],[Просроченный платеж по процентам]]</f>
        <v>17368.700655737706</v>
      </c>
      <c r="S260" s="120">
        <f ca="1">IF(Первоначальный[[#This Row],[Просроченный платеж]]&lt;1,0,S259+1)</f>
        <v>156</v>
      </c>
      <c r="T260" s="100" cm="1">
        <f t="array" aca="1" ref="T260" ca="1">IF(Первоначальный[[#This Row],[Итого остаток на начало периода]]&lt;1,0,
IF(
AND(TYPE(VLOOKUP(1,$Z$12:Z260,1,0))=16,Первоначальный[[#This Row],[Досрочное погашение (да/"")]]=""),0,
_xlfn.IFS(AND(S259=0,Первоначальный[[#This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платеж]]&lt;&gt;0),MIN(LOOKUP(,-1/($Z$12:Z260=1),$C$12:C260)+LOOKUP(,-1/($Z$12:Z260=1),$H$12:H260),Первоначальный[[#This Row],[Полученный платеж]]+Y259),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платеж]]+Y259,SUM(Первоначальный[[#This Row],[Остаток процентов на начало периода]],Первоначальный[[#This Row],[Проценты за период]])),
AND(S259=0,Первоначальный[[#This Row],[Дата платежа из графика]]=""),0,
AND(S259=0,Первоначальный[[#This Row],[Дата платежа из графика]]=1,MAX((0&lt;&gt;S$12:S259)*ROW(S$12:S259),ROW($S$12))&gt;=MAX((1=Z$12:Z259)*ROW(Z$12:Z259),ROW($T$12)),TYPE(VLOOKUP("Да",(INDIRECT("AA"&amp;(MAX((1=Z$12:Z259)*ROW(Z$12:Z259),ROW($T$12))&amp;":AA"&amp;(ROW()-1)))),1,0))=16),MIN(LOOKUP(,-1/($Z$12:Z260=1),$C$12:C260)+LOOKUP(,-1/($Z$12:Z260=1),$H$12:H260),Первоначальный[[#This Row],[Полученный платеж]]+Y259),
AND(S259=0,TYPE(VLOOKUP("Да",(INDIRECT("AA"&amp;(MAX((1=Z$12:Z259)*ROW(Z$12:Z259),ROW($T$12))&amp;":AA"&amp;(ROW()-1)))),1,0))&lt;&gt;16),MIN(LOOKUP(,-1/($Z$12:Z260=1),$C$12:C260)+LOOKUP(,-1/($Z$12:Z260=1),$H$12:H260)-IF(AA259="Да",0,SUM(INDIRECT("T"&amp;(MAX(("Да"=AA$12:AA259)*ROW(AA$12:AA259)+1,ROW($T$12))&amp;":T"&amp;(ROW()-1))))),Первоначальный[[#This Row],[Полученный платеж]]+Y259),
AND(S259=0,MAX((0&lt;&gt;N$12:N259)*ROW(N$12:N259),ROW($S$12))&gt;=MAX((1=Z$12:Z259)*ROW(Z$12:Z259),ROW($T$12))),MIN(LOOKUP(,-1/($Z$12:Z260=1),$C$12:C260)+LOOKUP(,-1/($Z$12:Z260=1),$H$12:H260)-IF(N259&lt;&gt;0,0,SUM(INDIRECT("T"&amp;(MAX((0&lt;&gt;N$12:N259)*ROW(N$12:N259)+1,ROW($T$12))&amp;":T"&amp;(ROW()-1))))),Первоначальный[[#This Row],[Полученный платеж]]+Y259),
AND(S259=0,Первоначальный[[#This Row],[Дата платежа из графика]]=1),MIN(LOOKUP(,-1/($Z$12:Z260=1),$C$12:C260)+LOOKUP(,-1/($Z$12:Z260=1),$H$12:H260)-IF(Z259=1,0,SUM(INDIRECT("T"&amp;(MAX((1=Z$12:Z259)*ROW(Z$12:Z259)+1,ROW($T$12))&amp;":T"&amp;(ROW()-1))))),Первоначальный[[#This Row],[Полученный платеж]]+Y259),
AND(Z259&gt;0,Первоначальный[[#This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платеж]]+Y259),
AND(S259&gt;0,MAX((0&lt;&gt;S$12:S259)*ROW(S$12:S259),ROW($S$12))&gt;=MAX((1=Z$12:Z259)*ROW(Z$12:Z259),ROW($T$12)),TYPE(VLOOKUP("Да",(INDIRECT("AA"&amp;(MAX((1=Z$12:Z259)*ROW(Z$12:Z259),ROW($T$12))&amp;":AA"&amp;(ROW()-1)))),1,0))=16),MIN(LOOKUP(,-1/($Z$12:Z260=1),$C$12:C260)+LOOKUP(,-1/($Z$12:Z260=1),$H$12:H260)-SUM(INDIRECT("T"&amp;(MAX((1=Z$12:Z259)*ROW(Z$12:Z259),ROW($T$12))&amp;":T"&amp;(ROW()-1)))),Первоначальный[[#This Row],[Полученный платеж]]+Y259),
S259&gt;0,MIN(LOOKUP(,-1/($Z$12:Z260=1),$C$12:C260)+LOOKUP(,-1/($Z$12:Z260=1),$H$12:H260)-IF(Z259=1,0,SUM(INDIRECT("T"&amp;(MAX((1=Z$12:Z259)*ROW(Z$12:Z259)+1,ROW($T$12))&amp;":T"&amp;(ROW()-1))))),Первоначальный[[#This Row],[Полученный платеж]]+Y259)
)
)
)</f>
        <v>0</v>
      </c>
      <c r="U26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платеж]]+Y259-Первоначальный[[#This Row],[Полученный платёж по процентам]])</f>
        <v>0</v>
      </c>
      <c r="V260" s="55">
        <f t="shared" ca="1" si="37"/>
        <v>0</v>
      </c>
      <c r="W260" s="55" cm="1">
        <f t="array" aca="1" ref="W260" ca="1">IF(Первоначальный[[#This Row],[Итого остаток на начало периода]]&lt;1,0,
_xlfn.IFS(
AND(TYPE(VLOOKUP(1,$Z$12:Z260,1,0))=16,Первоначальный[[#This Row],[Досрочное погашение (да/"")]]=""),0,
AND(S259=0,Первоначальный[[#This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платеж]]+Y259-SUM(Первоначальный[[#This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комиссиям]]),VLOOKUP(LOOKUP(,-1/($Z$12:Z260=1),$A$12:A260),График[[Срок конец]:[Возврат основной суммы долга]],3,0)),
AND(S259=0,Первоначальный[[#This Row],[Дата платежа из графика]]="",Первоначальный[[#This Row],[Досрочное погашение (да/"")]]&lt;&gt;"Да"),0,
AND(S259=0,Первоначальный[[#This Row],[Досрочное погашение (да/"")]]=""),MIN(Первоначальный[[#This Row],[Полученный платеж]]+Y259-SUM(Первоначальный[[#This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комиссиям]]),VLOOKUP(LOOKUP(,-1/($Z$12:Z260=1),$A$12:A260),График[[Срок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платеж]]+Y259-SUM(Первоначальный[[#This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S259&gt;0,MIN(Первоначальный[[#This Row],[Полученный платеж]]+Y259-SUM(Первоначальный[[#This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комиссиям]]),SUM(INDIRECT("M"&amp;(MAX((1=S$12:S259)*ROW(S$12:S259),ROW($W$12))&amp;":M"&amp;(ROW()))))-SUM(INDIRECT("W"&amp;(MAX((1=S$12:S259)*ROW(S$12:S259),ROW($W$12))&amp;":W"&amp;(ROW()-1)))))
)
)</f>
        <v>0</v>
      </c>
      <c r="X260" s="55">
        <f t="shared" ca="1" si="38"/>
        <v>0</v>
      </c>
      <c r="Y260" s="101">
        <f t="shared" ca="1" si="45"/>
        <v>0</v>
      </c>
      <c r="Z260" s="133" t="str">
        <f>IF(TYPE((VLOOKUP(Первоначальный[[#This Row],[Дата платежа]],График[Срок конец],1,0)))=16,"",1)</f>
        <v/>
      </c>
      <c r="AA260" s="57"/>
      <c r="AB260" s="134"/>
      <c r="AC26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6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15041.420000000015</v>
      </c>
      <c r="AE26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119.63999999999992</v>
      </c>
      <c r="AF26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6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7072.7915114754105</v>
      </c>
      <c r="AH260" s="55"/>
      <c r="AI260" s="55"/>
      <c r="AJ260" s="55"/>
      <c r="AK260" s="101">
        <f t="shared" ca="1" si="46"/>
        <v>171867.19151147542</v>
      </c>
      <c r="AL260" s="129">
        <f t="array" ref="AL260">MAX((УслРестрактов[Характеристика]="Дата реструктуризации")*(УслРестрактов[Значение]=Первоначальный!$A260),0)</f>
        <v>0</v>
      </c>
    </row>
    <row r="261" spans="1:38" x14ac:dyDescent="0.25">
      <c r="A261" s="97">
        <f t="shared" si="39"/>
        <v>44392</v>
      </c>
      <c r="B261" s="100">
        <f t="shared" ca="1" si="40"/>
        <v>149633.34</v>
      </c>
      <c r="C261" s="55">
        <f t="shared" ca="1" si="48"/>
        <v>15041.420000000015</v>
      </c>
      <c r="D261" s="55">
        <f t="shared" ca="1" si="48"/>
        <v>119.63999999999992</v>
      </c>
      <c r="E261" s="55">
        <f t="shared" ca="1" si="41"/>
        <v>0</v>
      </c>
      <c r="F261" s="55">
        <f t="shared" ca="1" si="42"/>
        <v>7072.7915114754105</v>
      </c>
      <c r="G261" s="101">
        <f t="shared" ca="1" si="43"/>
        <v>171867.19151147542</v>
      </c>
      <c r="H261" s="100">
        <f ca="1">ROUND($B261*VLOOKUP($A261,$A$1:$B$10,2,1)/(365+IF(MOD(YEAR($A261),4),0,1)*($A261-$A260)),2)-Первоначальный[[#This Row],[Проценты на просроченный платеж по ОД за период]]</f>
        <v>80.09</v>
      </c>
      <c r="I261" s="55">
        <f t="shared" ca="1" si="44"/>
        <v>1.49</v>
      </c>
      <c r="J261" s="55">
        <v>0</v>
      </c>
      <c r="K261" s="55">
        <f t="shared" ca="1" si="47"/>
        <v>86.84350327868853</v>
      </c>
      <c r="L261" s="55">
        <v>0</v>
      </c>
      <c r="M261" s="113">
        <f>SUMIFS(График[Возврат основной суммы долга],График[Дата с учетом нерабочих дней],$A261)</f>
        <v>0</v>
      </c>
      <c r="N261" s="56">
        <f>SUMIFS(График[Возврат начисленных %],График[Дата с учетом нерабочих дней],$A261)</f>
        <v>0</v>
      </c>
      <c r="O261" s="101">
        <v>0</v>
      </c>
      <c r="P261" s="100" cm="1">
        <f t="array" aca="1" ref="P261" ca="1">MAX(IF(AA260="Да",0,SUM(INDIRECT("M"&amp;(MAX(("Да"=AA$12:AA260)*ROW(AA$12:AA260)+1,ROW($P$12))&amp;":M"&amp;(ROW()))))-SUM(INDIRECT("W"&amp;(MAX(("Да"=AA$12:AA260)*ROW(AA$12:AA260)+1,ROW($P$12))&amp;":W"&amp;(ROW()))))),0)</f>
        <v>2728.4399999999991</v>
      </c>
      <c r="Q261" s="99">
        <f ca="1">MAX(SUM($N$13:N261)-SUM($T$13:T261),0)</f>
        <v>14640.260655737706</v>
      </c>
      <c r="R261" s="99">
        <f ca="1">Первоначальный[[#This Row],[Просроченный платеж по ОД]]+Первоначальный[[#This Row],[Просроченный платеж по процентам]]</f>
        <v>17368.700655737706</v>
      </c>
      <c r="S261" s="120">
        <f ca="1">IF(Первоначальный[[#This Row],[Просроченный платеж]]&lt;1,0,S260+1)</f>
        <v>157</v>
      </c>
      <c r="T261" s="100" cm="1">
        <f t="array" aca="1" ref="T261" ca="1">IF(Первоначальный[[#This Row],[Итого остаток на начало периода]]&lt;1,0,
IF(
AND(TYPE(VLOOKUP(1,$Z$12:Z261,1,0))=16,Первоначальный[[#This Row],[Досрочное погашение (да/"")]]=""),0,
_xlfn.IFS(AND(S260=0,Первоначальный[[#This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платеж]]&lt;&gt;0),MIN(LOOKUP(,-1/($Z$12:Z261=1),$C$12:C261)+LOOKUP(,-1/($Z$12:Z261=1),$H$12:H261),Первоначальный[[#This Row],[Полученный платеж]]+Y260),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платеж]]+Y260,SUM(Первоначальный[[#This Row],[Остаток процентов на начало периода]],Первоначальный[[#This Row],[Проценты за период]])),
AND(S260=0,Первоначальный[[#This Row],[Дата платежа из графика]]=""),0,
AND(S260=0,Первоначальный[[#This Row],[Дата платежа из графика]]=1,MAX((0&lt;&gt;S$12:S260)*ROW(S$12:S260),ROW($S$12))&gt;=MAX((1=Z$12:Z260)*ROW(Z$12:Z260),ROW($T$12)),TYPE(VLOOKUP("Да",(INDIRECT("AA"&amp;(MAX((1=Z$12:Z260)*ROW(Z$12:Z260),ROW($T$12))&amp;":AA"&amp;(ROW()-1)))),1,0))=16),MIN(LOOKUP(,-1/($Z$12:Z261=1),$C$12:C261)+LOOKUP(,-1/($Z$12:Z261=1),$H$12:H261),Первоначальный[[#This Row],[Полученный платеж]]+Y260),
AND(S260=0,TYPE(VLOOKUP("Да",(INDIRECT("AA"&amp;(MAX((1=Z$12:Z260)*ROW(Z$12:Z260),ROW($T$12))&amp;":AA"&amp;(ROW()-1)))),1,0))&lt;&gt;16),MIN(LOOKUP(,-1/($Z$12:Z261=1),$C$12:C261)+LOOKUP(,-1/($Z$12:Z261=1),$H$12:H261)-IF(AA260="Да",0,SUM(INDIRECT("T"&amp;(MAX(("Да"=AA$12:AA260)*ROW(AA$12:AA260)+1,ROW($T$12))&amp;":T"&amp;(ROW()-1))))),Первоначальный[[#This Row],[Полученный платеж]]+Y260),
AND(S260=0,MAX((0&lt;&gt;N$12:N260)*ROW(N$12:N260),ROW($S$12))&gt;=MAX((1=Z$12:Z260)*ROW(Z$12:Z260),ROW($T$12))),MIN(LOOKUP(,-1/($Z$12:Z261=1),$C$12:C261)+LOOKUP(,-1/($Z$12:Z261=1),$H$12:H261)-IF(N260&lt;&gt;0,0,SUM(INDIRECT("T"&amp;(MAX((0&lt;&gt;N$12:N260)*ROW(N$12:N260)+1,ROW($T$12))&amp;":T"&amp;(ROW()-1))))),Первоначальный[[#This Row],[Полученный платеж]]+Y260),
AND(S260=0,Первоначальный[[#This Row],[Дата платежа из графика]]=1),MIN(LOOKUP(,-1/($Z$12:Z261=1),$C$12:C261)+LOOKUP(,-1/($Z$12:Z261=1),$H$12:H261)-IF(Z260=1,0,SUM(INDIRECT("T"&amp;(MAX((1=Z$12:Z260)*ROW(Z$12:Z260)+1,ROW($T$12))&amp;":T"&amp;(ROW()-1))))),Первоначальный[[#This Row],[Полученный платеж]]+Y260),
AND(Z260&gt;0,Первоначальный[[#This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платеж]]+Y260),
AND(S260&gt;0,MAX((0&lt;&gt;S$12:S260)*ROW(S$12:S260),ROW($S$12))&gt;=MAX((1=Z$12:Z260)*ROW(Z$12:Z260),ROW($T$12)),TYPE(VLOOKUP("Да",(INDIRECT("AA"&amp;(MAX((1=Z$12:Z260)*ROW(Z$12:Z260),ROW($T$12))&amp;":AA"&amp;(ROW()-1)))),1,0))=16),MIN(LOOKUP(,-1/($Z$12:Z261=1),$C$12:C261)+LOOKUP(,-1/($Z$12:Z261=1),$H$12:H261)-SUM(INDIRECT("T"&amp;(MAX((1=Z$12:Z260)*ROW(Z$12:Z260),ROW($T$12))&amp;":T"&amp;(ROW()-1)))),Первоначальный[[#This Row],[Полученный платеж]]+Y260),
S260&gt;0,MIN(LOOKUP(,-1/($Z$12:Z261=1),$C$12:C261)+LOOKUP(,-1/($Z$12:Z261=1),$H$12:H261)-IF(Z260=1,0,SUM(INDIRECT("T"&amp;(MAX((1=Z$12:Z260)*ROW(Z$12:Z260)+1,ROW($T$12))&amp;":T"&amp;(ROW()-1))))),Первоначальный[[#This Row],[Полученный платеж]]+Y260)
)
)
)</f>
        <v>0</v>
      </c>
      <c r="U26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платеж]]+Y260-Первоначальный[[#This Row],[Полученный платёж по процентам]])</f>
        <v>0</v>
      </c>
      <c r="V261" s="55">
        <f t="shared" ca="1" si="37"/>
        <v>0</v>
      </c>
      <c r="W261" s="55" cm="1">
        <f t="array" aca="1" ref="W261" ca="1">IF(Первоначальный[[#This Row],[Итого остаток на начало периода]]&lt;1,0,
_xlfn.IFS(
AND(TYPE(VLOOKUP(1,$Z$12:Z261,1,0))=16,Первоначальный[[#This Row],[Досрочное погашение (да/"")]]=""),0,
AND(S260=0,Первоначальный[[#This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платеж]]+Y260-SUM(Первоначальный[[#This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комиссиям]]),VLOOKUP(LOOKUP(,-1/($Z$12:Z261=1),$A$12:A261),График[[Срок конец]:[Возврат основной суммы долга]],3,0)),
AND(S260=0,Первоначальный[[#This Row],[Дата платежа из графика]]="",Первоначальный[[#This Row],[Досрочное погашение (да/"")]]&lt;&gt;"Да"),0,
AND(S260=0,Первоначальный[[#This Row],[Досрочное погашение (да/"")]]=""),MIN(Первоначальный[[#This Row],[Полученный платеж]]+Y260-SUM(Первоначальный[[#This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комиссиям]]),VLOOKUP(LOOKUP(,-1/($Z$12:Z261=1),$A$12:A261),График[[Срок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платеж]]+Y260-SUM(Первоначальный[[#This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S260&gt;0,MIN(Первоначальный[[#This Row],[Полученный платеж]]+Y260-SUM(Первоначальный[[#This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комиссиям]]),SUM(INDIRECT("M"&amp;(MAX((1=S$12:S260)*ROW(S$12:S260),ROW($W$12))&amp;":M"&amp;(ROW()))))-SUM(INDIRECT("W"&amp;(MAX((1=S$12:S260)*ROW(S$12:S260),ROW($W$12))&amp;":W"&amp;(ROW()-1)))))
)
)</f>
        <v>0</v>
      </c>
      <c r="X261" s="55">
        <f t="shared" ca="1" si="38"/>
        <v>0</v>
      </c>
      <c r="Y261" s="101">
        <f t="shared" ca="1" si="45"/>
        <v>0</v>
      </c>
      <c r="Z261" s="133" t="str">
        <f>IF(TYPE((VLOOKUP(Первоначальный[[#This Row],[Дата платежа]],График[Срок конец],1,0)))=16,"",1)</f>
        <v/>
      </c>
      <c r="AA261" s="57"/>
      <c r="AB261" s="134"/>
      <c r="AC26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6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15121.510000000015</v>
      </c>
      <c r="AE26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121.12999999999991</v>
      </c>
      <c r="AF26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6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7159.6350147540988</v>
      </c>
      <c r="AH261" s="55"/>
      <c r="AI261" s="55"/>
      <c r="AJ261" s="55"/>
      <c r="AK261" s="101">
        <f t="shared" ca="1" si="46"/>
        <v>172035.61501475412</v>
      </c>
      <c r="AL261" s="129">
        <f t="array" ref="AL261">MAX((УслРестрактов[Характеристика]="Дата реструктуризации")*(УслРестрактов[Значение]=Первоначальный!$A261),0)</f>
        <v>0</v>
      </c>
    </row>
    <row r="262" spans="1:38" x14ac:dyDescent="0.25">
      <c r="A262" s="97">
        <f t="shared" si="39"/>
        <v>44393</v>
      </c>
      <c r="B262" s="100">
        <f t="shared" ca="1" si="40"/>
        <v>149633.34</v>
      </c>
      <c r="C262" s="55">
        <f t="shared" ca="1" si="48"/>
        <v>15121.510000000015</v>
      </c>
      <c r="D262" s="55">
        <f t="shared" ca="1" si="48"/>
        <v>121.12999999999991</v>
      </c>
      <c r="E262" s="55">
        <f t="shared" ca="1" si="41"/>
        <v>0</v>
      </c>
      <c r="F262" s="55">
        <f t="shared" ca="1" si="42"/>
        <v>7159.6350147540988</v>
      </c>
      <c r="G262" s="101">
        <f t="shared" ca="1" si="43"/>
        <v>172035.61501475412</v>
      </c>
      <c r="H262" s="100">
        <f ca="1">ROUND($B262*VLOOKUP($A262,$A$1:$B$10,2,1)/(365+IF(MOD(YEAR($A262),4),0,1)*($A262-$A261)),2)-Первоначальный[[#This Row],[Проценты на просроченный платеж по ОД за период]]</f>
        <v>80.09</v>
      </c>
      <c r="I262" s="55">
        <f t="shared" ca="1" si="44"/>
        <v>1.49</v>
      </c>
      <c r="J262" s="55">
        <v>0</v>
      </c>
      <c r="K262" s="55">
        <f t="shared" ca="1" si="47"/>
        <v>86.84350327868853</v>
      </c>
      <c r="L262" s="55">
        <v>0</v>
      </c>
      <c r="M262" s="113">
        <f>SUMIFS(График[Возврат основной суммы долга],График[Дата с учетом нерабочих дней],$A262)</f>
        <v>0</v>
      </c>
      <c r="N262" s="56">
        <f>SUMIFS(График[Возврат начисленных %],График[Дата с учетом нерабочих дней],$A262)</f>
        <v>0</v>
      </c>
      <c r="O262" s="101">
        <v>0</v>
      </c>
      <c r="P262" s="100" cm="1">
        <f t="array" aca="1" ref="P262" ca="1">MAX(IF(AA261="Да",0,SUM(INDIRECT("M"&amp;(MAX(("Да"=AA$12:AA261)*ROW(AA$12:AA261)+1,ROW($P$12))&amp;":M"&amp;(ROW()))))-SUM(INDIRECT("W"&amp;(MAX(("Да"=AA$12:AA261)*ROW(AA$12:AA261)+1,ROW($P$12))&amp;":W"&amp;(ROW()))))),0)</f>
        <v>2728.4399999999991</v>
      </c>
      <c r="Q262" s="99">
        <f ca="1">MAX(SUM($N$13:N262)-SUM($T$13:T262),0)</f>
        <v>14640.260655737706</v>
      </c>
      <c r="R262" s="99">
        <f ca="1">Первоначальный[[#This Row],[Просроченный платеж по ОД]]+Первоначальный[[#This Row],[Просроченный платеж по процентам]]</f>
        <v>17368.700655737706</v>
      </c>
      <c r="S262" s="120">
        <f ca="1">IF(Первоначальный[[#This Row],[Просроченный платеж]]&lt;1,0,S261+1)</f>
        <v>158</v>
      </c>
      <c r="T262" s="100" cm="1">
        <f t="array" aca="1" ref="T262" ca="1">IF(Первоначальный[[#This Row],[Итого остаток на начало периода]]&lt;1,0,
IF(
AND(TYPE(VLOOKUP(1,$Z$12:Z262,1,0))=16,Первоначальный[[#This Row],[Досрочное погашение (да/"")]]=""),0,
_xlfn.IFS(AND(S261=0,Первоначальный[[#This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платеж]]&lt;&gt;0),MIN(LOOKUP(,-1/($Z$12:Z262=1),$C$12:C262)+LOOKUP(,-1/($Z$12:Z262=1),$H$12:H262),Первоначальный[[#This Row],[Полученный платеж]]+Y261),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платеж]]+Y261,SUM(Первоначальный[[#This Row],[Остаток процентов на начало периода]],Первоначальный[[#This Row],[Проценты за период]])),
AND(S261=0,Первоначальный[[#This Row],[Дата платежа из графика]]=""),0,
AND(S261=0,Первоначальный[[#This Row],[Дата платежа из графика]]=1,MAX((0&lt;&gt;S$12:S261)*ROW(S$12:S261),ROW($S$12))&gt;=MAX((1=Z$12:Z261)*ROW(Z$12:Z261),ROW($T$12)),TYPE(VLOOKUP("Да",(INDIRECT("AA"&amp;(MAX((1=Z$12:Z261)*ROW(Z$12:Z261),ROW($T$12))&amp;":AA"&amp;(ROW()-1)))),1,0))=16),MIN(LOOKUP(,-1/($Z$12:Z262=1),$C$12:C262)+LOOKUP(,-1/($Z$12:Z262=1),$H$12:H262),Первоначальный[[#This Row],[Полученный платеж]]+Y261),
AND(S261=0,TYPE(VLOOKUP("Да",(INDIRECT("AA"&amp;(MAX((1=Z$12:Z261)*ROW(Z$12:Z261),ROW($T$12))&amp;":AA"&amp;(ROW()-1)))),1,0))&lt;&gt;16),MIN(LOOKUP(,-1/($Z$12:Z262=1),$C$12:C262)+LOOKUP(,-1/($Z$12:Z262=1),$H$12:H262)-IF(AA261="Да",0,SUM(INDIRECT("T"&amp;(MAX(("Да"=AA$12:AA261)*ROW(AA$12:AA261)+1,ROW($T$12))&amp;":T"&amp;(ROW()-1))))),Первоначальный[[#This Row],[Полученный платеж]]+Y261),
AND(S261=0,MAX((0&lt;&gt;N$12:N261)*ROW(N$12:N261),ROW($S$12))&gt;=MAX((1=Z$12:Z261)*ROW(Z$12:Z261),ROW($T$12))),MIN(LOOKUP(,-1/($Z$12:Z262=1),$C$12:C262)+LOOKUP(,-1/($Z$12:Z262=1),$H$12:H262)-IF(N261&lt;&gt;0,0,SUM(INDIRECT("T"&amp;(MAX((0&lt;&gt;N$12:N261)*ROW(N$12:N261)+1,ROW($T$12))&amp;":T"&amp;(ROW()-1))))),Первоначальный[[#This Row],[Полученный платеж]]+Y261),
AND(S261=0,Первоначальный[[#This Row],[Дата платежа из графика]]=1),MIN(LOOKUP(,-1/($Z$12:Z262=1),$C$12:C262)+LOOKUP(,-1/($Z$12:Z262=1),$H$12:H262)-IF(Z261=1,0,SUM(INDIRECT("T"&amp;(MAX((1=Z$12:Z261)*ROW(Z$12:Z261)+1,ROW($T$12))&amp;":T"&amp;(ROW()-1))))),Первоначальный[[#This Row],[Полученный платеж]]+Y261),
AND(Z261&gt;0,Первоначальный[[#This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платеж]]+Y261),
AND(S261&gt;0,MAX((0&lt;&gt;S$12:S261)*ROW(S$12:S261),ROW($S$12))&gt;=MAX((1=Z$12:Z261)*ROW(Z$12:Z261),ROW($T$12)),TYPE(VLOOKUP("Да",(INDIRECT("AA"&amp;(MAX((1=Z$12:Z261)*ROW(Z$12:Z261),ROW($T$12))&amp;":AA"&amp;(ROW()-1)))),1,0))=16),MIN(LOOKUP(,-1/($Z$12:Z262=1),$C$12:C262)+LOOKUP(,-1/($Z$12:Z262=1),$H$12:H262)-SUM(INDIRECT("T"&amp;(MAX((1=Z$12:Z261)*ROW(Z$12:Z261),ROW($T$12))&amp;":T"&amp;(ROW()-1)))),Первоначальный[[#This Row],[Полученный платеж]]+Y261),
S261&gt;0,MIN(LOOKUP(,-1/($Z$12:Z262=1),$C$12:C262)+LOOKUP(,-1/($Z$12:Z262=1),$H$12:H262)-IF(Z261=1,0,SUM(INDIRECT("T"&amp;(MAX((1=Z$12:Z261)*ROW(Z$12:Z261)+1,ROW($T$12))&amp;":T"&amp;(ROW()-1))))),Первоначальный[[#This Row],[Полученный платеж]]+Y261)
)
)
)</f>
        <v>0</v>
      </c>
      <c r="U26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платеж]]+Y261-Первоначальный[[#This Row],[Полученный платёж по процентам]])</f>
        <v>0</v>
      </c>
      <c r="V262" s="55">
        <f t="shared" ca="1" si="37"/>
        <v>0</v>
      </c>
      <c r="W262" s="55" cm="1">
        <f t="array" aca="1" ref="W262" ca="1">IF(Первоначальный[[#This Row],[Итого остаток на начало периода]]&lt;1,0,
_xlfn.IFS(
AND(TYPE(VLOOKUP(1,$Z$12:Z262,1,0))=16,Первоначальный[[#This Row],[Досрочное погашение (да/"")]]=""),0,
AND(S261=0,Первоначальный[[#This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платеж]]+Y261-SUM(Первоначальный[[#This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комиссиям]]),VLOOKUP(LOOKUP(,-1/($Z$12:Z262=1),$A$12:A262),График[[Срок конец]:[Возврат основной суммы долга]],3,0)),
AND(S261=0,Первоначальный[[#This Row],[Дата платежа из графика]]="",Первоначальный[[#This Row],[Досрочное погашение (да/"")]]&lt;&gt;"Да"),0,
AND(S261=0,Первоначальный[[#This Row],[Досрочное погашение (да/"")]]=""),MIN(Первоначальный[[#This Row],[Полученный платеж]]+Y261-SUM(Первоначальный[[#This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комиссиям]]),VLOOKUP(LOOKUP(,-1/($Z$12:Z262=1),$A$12:A262),График[[Срок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платеж]]+Y261-SUM(Первоначальный[[#This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S261&gt;0,MIN(Первоначальный[[#This Row],[Полученный платеж]]+Y261-SUM(Первоначальный[[#This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комиссиям]]),SUM(INDIRECT("M"&amp;(MAX((1=S$12:S261)*ROW(S$12:S261),ROW($W$12))&amp;":M"&amp;(ROW()))))-SUM(INDIRECT("W"&amp;(MAX((1=S$12:S261)*ROW(S$12:S261),ROW($W$12))&amp;":W"&amp;(ROW()-1)))))
)
)</f>
        <v>0</v>
      </c>
      <c r="X262" s="55">
        <f t="shared" ca="1" si="38"/>
        <v>0</v>
      </c>
      <c r="Y262" s="101">
        <f t="shared" ca="1" si="45"/>
        <v>0</v>
      </c>
      <c r="Z262" s="133" t="str">
        <f>IF(TYPE((VLOOKUP(Первоначальный[[#This Row],[Дата платежа]],График[Срок конец],1,0)))=16,"",1)</f>
        <v/>
      </c>
      <c r="AA262" s="57"/>
      <c r="AB262" s="134"/>
      <c r="AC26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6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15201.600000000015</v>
      </c>
      <c r="AE26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122.61999999999991</v>
      </c>
      <c r="AF26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6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7246.4785180327872</v>
      </c>
      <c r="AH262" s="55"/>
      <c r="AI262" s="55"/>
      <c r="AJ262" s="55"/>
      <c r="AK262" s="101">
        <f t="shared" ca="1" si="46"/>
        <v>172204.03851803279</v>
      </c>
      <c r="AL262" s="129">
        <f t="array" ref="AL262">MAX((УслРестрактов[Характеристика]="Дата реструктуризации")*(УслРестрактов[Значение]=Первоначальный!$A262),0)</f>
        <v>0</v>
      </c>
    </row>
    <row r="263" spans="1:38" x14ac:dyDescent="0.25">
      <c r="A263" s="97">
        <f t="shared" si="39"/>
        <v>44394</v>
      </c>
      <c r="B263" s="100">
        <f t="shared" ca="1" si="40"/>
        <v>149633.34</v>
      </c>
      <c r="C263" s="55">
        <f t="shared" ca="1" si="48"/>
        <v>15201.600000000015</v>
      </c>
      <c r="D263" s="55">
        <f t="shared" ca="1" si="48"/>
        <v>122.61999999999991</v>
      </c>
      <c r="E263" s="55">
        <f t="shared" ca="1" si="41"/>
        <v>0</v>
      </c>
      <c r="F263" s="55">
        <f t="shared" ca="1" si="42"/>
        <v>7246.4785180327872</v>
      </c>
      <c r="G263" s="101">
        <f t="shared" ca="1" si="43"/>
        <v>172204.03851803279</v>
      </c>
      <c r="H263" s="100">
        <f ca="1">ROUND($B263*VLOOKUP($A263,$A$1:$B$10,2,1)/(365+IF(MOD(YEAR($A263),4),0,1)*($A263-$A262)),2)-Первоначальный[[#This Row],[Проценты на просроченный платеж по ОД за период]]</f>
        <v>80.09</v>
      </c>
      <c r="I263" s="55">
        <f t="shared" ca="1" si="44"/>
        <v>1.49</v>
      </c>
      <c r="J263" s="55">
        <v>0</v>
      </c>
      <c r="K263" s="55">
        <f t="shared" ca="1" si="47"/>
        <v>86.84350327868853</v>
      </c>
      <c r="L263" s="55">
        <v>0</v>
      </c>
      <c r="M263" s="113">
        <f>SUMIFS(График[Возврат основной суммы долга],График[Дата с учетом нерабочих дней],$A263)</f>
        <v>0</v>
      </c>
      <c r="N263" s="56">
        <f>SUMIFS(График[Возврат начисленных %],График[Дата с учетом нерабочих дней],$A263)</f>
        <v>0</v>
      </c>
      <c r="O263" s="101">
        <v>0</v>
      </c>
      <c r="P263" s="100" cm="1">
        <f t="array" aca="1" ref="P263" ca="1">MAX(IF(AA262="Да",0,SUM(INDIRECT("M"&amp;(MAX(("Да"=AA$12:AA262)*ROW(AA$12:AA262)+1,ROW($P$12))&amp;":M"&amp;(ROW()))))-SUM(INDIRECT("W"&amp;(MAX(("Да"=AA$12:AA262)*ROW(AA$12:AA262)+1,ROW($P$12))&amp;":W"&amp;(ROW()))))),0)</f>
        <v>2728.4399999999991</v>
      </c>
      <c r="Q263" s="99">
        <f ca="1">MAX(SUM($N$13:N263)-SUM($T$13:T263),0)</f>
        <v>14640.260655737706</v>
      </c>
      <c r="R263" s="99">
        <f ca="1">Первоначальный[[#This Row],[Просроченный платеж по ОД]]+Первоначальный[[#This Row],[Просроченный платеж по процентам]]</f>
        <v>17368.700655737706</v>
      </c>
      <c r="S263" s="120">
        <f ca="1">IF(Первоначальный[[#This Row],[Просроченный платеж]]&lt;1,0,S262+1)</f>
        <v>159</v>
      </c>
      <c r="T263" s="100" cm="1">
        <f t="array" aca="1" ref="T263" ca="1">IF(Первоначальный[[#This Row],[Итого остаток на начало периода]]&lt;1,0,
IF(
AND(TYPE(VLOOKUP(1,$Z$12:Z263,1,0))=16,Первоначальный[[#This Row],[Досрочное погашение (да/"")]]=""),0,
_xlfn.IFS(AND(S262=0,Первоначальный[[#This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платеж]]&lt;&gt;0),MIN(LOOKUP(,-1/($Z$12:Z263=1),$C$12:C263)+LOOKUP(,-1/($Z$12:Z263=1),$H$12:H263),Первоначальный[[#This Row],[Полученный платеж]]+Y262),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платеж]]+Y262,SUM(Первоначальный[[#This Row],[Остаток процентов на начало периода]],Первоначальный[[#This Row],[Проценты за период]])),
AND(S262=0,Первоначальный[[#This Row],[Дата платежа из графика]]=""),0,
AND(S262=0,Первоначальный[[#This Row],[Дата платежа из графика]]=1,MAX((0&lt;&gt;S$12:S262)*ROW(S$12:S262),ROW($S$12))&gt;=MAX((1=Z$12:Z262)*ROW(Z$12:Z262),ROW($T$12)),TYPE(VLOOKUP("Да",(INDIRECT("AA"&amp;(MAX((1=Z$12:Z262)*ROW(Z$12:Z262),ROW($T$12))&amp;":AA"&amp;(ROW()-1)))),1,0))=16),MIN(LOOKUP(,-1/($Z$12:Z263=1),$C$12:C263)+LOOKUP(,-1/($Z$12:Z263=1),$H$12:H263),Первоначальный[[#This Row],[Полученный платеж]]+Y262),
AND(S262=0,TYPE(VLOOKUP("Да",(INDIRECT("AA"&amp;(MAX((1=Z$12:Z262)*ROW(Z$12:Z262),ROW($T$12))&amp;":AA"&amp;(ROW()-1)))),1,0))&lt;&gt;16),MIN(LOOKUP(,-1/($Z$12:Z263=1),$C$12:C263)+LOOKUP(,-1/($Z$12:Z263=1),$H$12:H263)-IF(AA262="Да",0,SUM(INDIRECT("T"&amp;(MAX(("Да"=AA$12:AA262)*ROW(AA$12:AA262)+1,ROW($T$12))&amp;":T"&amp;(ROW()-1))))),Первоначальный[[#This Row],[Полученный платеж]]+Y262),
AND(S262=0,MAX((0&lt;&gt;N$12:N262)*ROW(N$12:N262),ROW($S$12))&gt;=MAX((1=Z$12:Z262)*ROW(Z$12:Z262),ROW($T$12))),MIN(LOOKUP(,-1/($Z$12:Z263=1),$C$12:C263)+LOOKUP(,-1/($Z$12:Z263=1),$H$12:H263)-IF(N262&lt;&gt;0,0,SUM(INDIRECT("T"&amp;(MAX((0&lt;&gt;N$12:N262)*ROW(N$12:N262)+1,ROW($T$12))&amp;":T"&amp;(ROW()-1))))),Первоначальный[[#This Row],[Полученный платеж]]+Y262),
AND(S262=0,Первоначальный[[#This Row],[Дата платежа из графика]]=1),MIN(LOOKUP(,-1/($Z$12:Z263=1),$C$12:C263)+LOOKUP(,-1/($Z$12:Z263=1),$H$12:H263)-IF(Z262=1,0,SUM(INDIRECT("T"&amp;(MAX((1=Z$12:Z262)*ROW(Z$12:Z262)+1,ROW($T$12))&amp;":T"&amp;(ROW()-1))))),Первоначальный[[#This Row],[Полученный платеж]]+Y262),
AND(Z262&gt;0,Первоначальный[[#This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платеж]]+Y262),
AND(S262&gt;0,MAX((0&lt;&gt;S$12:S262)*ROW(S$12:S262),ROW($S$12))&gt;=MAX((1=Z$12:Z262)*ROW(Z$12:Z262),ROW($T$12)),TYPE(VLOOKUP("Да",(INDIRECT("AA"&amp;(MAX((1=Z$12:Z262)*ROW(Z$12:Z262),ROW($T$12))&amp;":AA"&amp;(ROW()-1)))),1,0))=16),MIN(LOOKUP(,-1/($Z$12:Z263=1),$C$12:C263)+LOOKUP(,-1/($Z$12:Z263=1),$H$12:H263)-SUM(INDIRECT("T"&amp;(MAX((1=Z$12:Z262)*ROW(Z$12:Z262),ROW($T$12))&amp;":T"&amp;(ROW()-1)))),Первоначальный[[#This Row],[Полученный платеж]]+Y262),
S262&gt;0,MIN(LOOKUP(,-1/($Z$12:Z263=1),$C$12:C263)+LOOKUP(,-1/($Z$12:Z263=1),$H$12:H263)-IF(Z262=1,0,SUM(INDIRECT("T"&amp;(MAX((1=Z$12:Z262)*ROW(Z$12:Z262)+1,ROW($T$12))&amp;":T"&amp;(ROW()-1))))),Первоначальный[[#This Row],[Полученный платеж]]+Y262)
)
)
)</f>
        <v>0</v>
      </c>
      <c r="U26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платеж]]+Y262-Первоначальный[[#This Row],[Полученный платёж по процентам]])</f>
        <v>0</v>
      </c>
      <c r="V263" s="55">
        <f t="shared" ca="1" si="37"/>
        <v>0</v>
      </c>
      <c r="W263" s="55" cm="1">
        <f t="array" aca="1" ref="W263" ca="1">IF(Первоначальный[[#This Row],[Итого остаток на начало периода]]&lt;1,0,
_xlfn.IFS(
AND(TYPE(VLOOKUP(1,$Z$12:Z263,1,0))=16,Первоначальный[[#This Row],[Досрочное погашение (да/"")]]=""),0,
AND(S262=0,Первоначальный[[#This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платеж]]+Y262-SUM(Первоначальный[[#This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комиссиям]]),VLOOKUP(LOOKUP(,-1/($Z$12:Z263=1),$A$12:A263),График[[Срок конец]:[Возврат основной суммы долга]],3,0)),
AND(S262=0,Первоначальный[[#This Row],[Дата платежа из графика]]="",Первоначальный[[#This Row],[Досрочное погашение (да/"")]]&lt;&gt;"Да"),0,
AND(S262=0,Первоначальный[[#This Row],[Досрочное погашение (да/"")]]=""),MIN(Первоначальный[[#This Row],[Полученный платеж]]+Y262-SUM(Первоначальный[[#This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комиссиям]]),VLOOKUP(LOOKUP(,-1/($Z$12:Z263=1),$A$12:A263),График[[Срок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платеж]]+Y262-SUM(Первоначальный[[#This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S262&gt;0,MIN(Первоначальный[[#This Row],[Полученный платеж]]+Y262-SUM(Первоначальный[[#This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комиссиям]]),SUM(INDIRECT("M"&amp;(MAX((1=S$12:S262)*ROW(S$12:S262),ROW($W$12))&amp;":M"&amp;(ROW()))))-SUM(INDIRECT("W"&amp;(MAX((1=S$12:S262)*ROW(S$12:S262),ROW($W$12))&amp;":W"&amp;(ROW()-1)))))
)
)</f>
        <v>0</v>
      </c>
      <c r="X263" s="55">
        <f t="shared" ca="1" si="38"/>
        <v>0</v>
      </c>
      <c r="Y263" s="101">
        <f t="shared" ca="1" si="45"/>
        <v>0</v>
      </c>
      <c r="Z263" s="133" t="str">
        <f>IF(TYPE((VLOOKUP(Первоначальный[[#This Row],[Дата платежа]],График[Срок конец],1,0)))=16,"",1)</f>
        <v/>
      </c>
      <c r="AA263" s="57"/>
      <c r="AB263" s="134"/>
      <c r="AC26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6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15281.690000000015</v>
      </c>
      <c r="AE26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124.1099999999999</v>
      </c>
      <c r="AF26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6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7333.3220213114755</v>
      </c>
      <c r="AH263" s="55"/>
      <c r="AI263" s="55"/>
      <c r="AJ263" s="55"/>
      <c r="AK263" s="101">
        <f t="shared" ca="1" si="46"/>
        <v>172372.46202131145</v>
      </c>
      <c r="AL263" s="129">
        <f t="array" ref="AL263">MAX((УслРестрактов[Характеристика]="Дата реструктуризации")*(УслРестрактов[Значение]=Первоначальный!$A263),0)</f>
        <v>0</v>
      </c>
    </row>
    <row r="264" spans="1:38" x14ac:dyDescent="0.25">
      <c r="A264" s="97">
        <f t="shared" si="39"/>
        <v>44395</v>
      </c>
      <c r="B264" s="100">
        <f t="shared" ca="1" si="40"/>
        <v>149633.34</v>
      </c>
      <c r="C264" s="55">
        <f t="shared" ca="1" si="48"/>
        <v>15281.690000000015</v>
      </c>
      <c r="D264" s="55">
        <f t="shared" ca="1" si="48"/>
        <v>124.1099999999999</v>
      </c>
      <c r="E264" s="55">
        <f t="shared" ca="1" si="41"/>
        <v>0</v>
      </c>
      <c r="F264" s="55">
        <f t="shared" ca="1" si="42"/>
        <v>7333.3220213114755</v>
      </c>
      <c r="G264" s="101">
        <f t="shared" ca="1" si="43"/>
        <v>172372.46202131145</v>
      </c>
      <c r="H264" s="100">
        <f ca="1">ROUND($B264*VLOOKUP($A264,$A$1:$B$10,2,1)/(365+IF(MOD(YEAR($A264),4),0,1)*($A264-$A263)),2)-Первоначальный[[#This Row],[Проценты на просроченный платеж по ОД за период]]</f>
        <v>80.09</v>
      </c>
      <c r="I264" s="55">
        <f t="shared" ca="1" si="44"/>
        <v>1.49</v>
      </c>
      <c r="J264" s="55">
        <v>0</v>
      </c>
      <c r="K264" s="55">
        <f t="shared" ca="1" si="47"/>
        <v>86.84350327868853</v>
      </c>
      <c r="L264" s="55">
        <v>0</v>
      </c>
      <c r="M264" s="113">
        <f>SUMIFS(График[Возврат основной суммы долга],График[Дата с учетом нерабочих дней],$A264)</f>
        <v>0</v>
      </c>
      <c r="N264" s="56">
        <f>SUMIFS(График[Возврат начисленных %],График[Дата с учетом нерабочих дней],$A264)</f>
        <v>0</v>
      </c>
      <c r="O264" s="101">
        <v>0</v>
      </c>
      <c r="P264" s="100" cm="1">
        <f t="array" aca="1" ref="P264" ca="1">MAX(IF(AA263="Да",0,SUM(INDIRECT("M"&amp;(MAX(("Да"=AA$12:AA263)*ROW(AA$12:AA263)+1,ROW($P$12))&amp;":M"&amp;(ROW()))))-SUM(INDIRECT("W"&amp;(MAX(("Да"=AA$12:AA263)*ROW(AA$12:AA263)+1,ROW($P$12))&amp;":W"&amp;(ROW()))))),0)</f>
        <v>2728.4399999999991</v>
      </c>
      <c r="Q264" s="99">
        <f ca="1">MAX(SUM($N$13:N264)-SUM($T$13:T264),0)</f>
        <v>14640.260655737706</v>
      </c>
      <c r="R264" s="99">
        <f ca="1">Первоначальный[[#This Row],[Просроченный платеж по ОД]]+Первоначальный[[#This Row],[Просроченный платеж по процентам]]</f>
        <v>17368.700655737706</v>
      </c>
      <c r="S264" s="120">
        <f ca="1">IF(Первоначальный[[#This Row],[Просроченный платеж]]&lt;1,0,S263+1)</f>
        <v>160</v>
      </c>
      <c r="T264" s="100" cm="1">
        <f t="array" aca="1" ref="T264" ca="1">IF(Первоначальный[[#This Row],[Итого остаток на начало периода]]&lt;1,0,
IF(
AND(TYPE(VLOOKUP(1,$Z$12:Z264,1,0))=16,Первоначальный[[#This Row],[Досрочное погашение (да/"")]]=""),0,
_xlfn.IFS(AND(S263=0,Первоначальный[[#This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платеж]]&lt;&gt;0),MIN(LOOKUP(,-1/($Z$12:Z264=1),$C$12:C264)+LOOKUP(,-1/($Z$12:Z264=1),$H$12:H264),Первоначальный[[#This Row],[Полученный платеж]]+Y263),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платеж]]+Y263,SUM(Первоначальный[[#This Row],[Остаток процентов на начало периода]],Первоначальный[[#This Row],[Проценты за период]])),
AND(S263=0,Первоначальный[[#This Row],[Дата платежа из графика]]=""),0,
AND(S263=0,Первоначальный[[#This Row],[Дата платежа из графика]]=1,MAX((0&lt;&gt;S$12:S263)*ROW(S$12:S263),ROW($S$12))&gt;=MAX((1=Z$12:Z263)*ROW(Z$12:Z263),ROW($T$12)),TYPE(VLOOKUP("Да",(INDIRECT("AA"&amp;(MAX((1=Z$12:Z263)*ROW(Z$12:Z263),ROW($T$12))&amp;":AA"&amp;(ROW()-1)))),1,0))=16),MIN(LOOKUP(,-1/($Z$12:Z264=1),$C$12:C264)+LOOKUP(,-1/($Z$12:Z264=1),$H$12:H264),Первоначальный[[#This Row],[Полученный платеж]]+Y263),
AND(S263=0,TYPE(VLOOKUP("Да",(INDIRECT("AA"&amp;(MAX((1=Z$12:Z263)*ROW(Z$12:Z263),ROW($T$12))&amp;":AA"&amp;(ROW()-1)))),1,0))&lt;&gt;16),MIN(LOOKUP(,-1/($Z$12:Z264=1),$C$12:C264)+LOOKUP(,-1/($Z$12:Z264=1),$H$12:H264)-IF(AA263="Да",0,SUM(INDIRECT("T"&amp;(MAX(("Да"=AA$12:AA263)*ROW(AA$12:AA263)+1,ROW($T$12))&amp;":T"&amp;(ROW()-1))))),Первоначальный[[#This Row],[Полученный платеж]]+Y263),
AND(S263=0,MAX((0&lt;&gt;N$12:N263)*ROW(N$12:N263),ROW($S$12))&gt;=MAX((1=Z$12:Z263)*ROW(Z$12:Z263),ROW($T$12))),MIN(LOOKUP(,-1/($Z$12:Z264=1),$C$12:C264)+LOOKUP(,-1/($Z$12:Z264=1),$H$12:H264)-IF(N263&lt;&gt;0,0,SUM(INDIRECT("T"&amp;(MAX((0&lt;&gt;N$12:N263)*ROW(N$12:N263)+1,ROW($T$12))&amp;":T"&amp;(ROW()-1))))),Первоначальный[[#This Row],[Полученный платеж]]+Y263),
AND(S263=0,Первоначальный[[#This Row],[Дата платежа из графика]]=1),MIN(LOOKUP(,-1/($Z$12:Z264=1),$C$12:C264)+LOOKUP(,-1/($Z$12:Z264=1),$H$12:H264)-IF(Z263=1,0,SUM(INDIRECT("T"&amp;(MAX((1=Z$12:Z263)*ROW(Z$12:Z263)+1,ROW($T$12))&amp;":T"&amp;(ROW()-1))))),Первоначальный[[#This Row],[Полученный платеж]]+Y263),
AND(Z263&gt;0,Первоначальный[[#This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платеж]]+Y263),
AND(S263&gt;0,MAX((0&lt;&gt;S$12:S263)*ROW(S$12:S263),ROW($S$12))&gt;=MAX((1=Z$12:Z263)*ROW(Z$12:Z263),ROW($T$12)),TYPE(VLOOKUP("Да",(INDIRECT("AA"&amp;(MAX((1=Z$12:Z263)*ROW(Z$12:Z263),ROW($T$12))&amp;":AA"&amp;(ROW()-1)))),1,0))=16),MIN(LOOKUP(,-1/($Z$12:Z264=1),$C$12:C264)+LOOKUP(,-1/($Z$12:Z264=1),$H$12:H264)-SUM(INDIRECT("T"&amp;(MAX((1=Z$12:Z263)*ROW(Z$12:Z263),ROW($T$12))&amp;":T"&amp;(ROW()-1)))),Первоначальный[[#This Row],[Полученный платеж]]+Y263),
S263&gt;0,MIN(LOOKUP(,-1/($Z$12:Z264=1),$C$12:C264)+LOOKUP(,-1/($Z$12:Z264=1),$H$12:H264)-IF(Z263=1,0,SUM(INDIRECT("T"&amp;(MAX((1=Z$12:Z263)*ROW(Z$12:Z263)+1,ROW($T$12))&amp;":T"&amp;(ROW()-1))))),Первоначальный[[#This Row],[Полученный платеж]]+Y263)
)
)
)</f>
        <v>0</v>
      </c>
      <c r="U26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платеж]]+Y263-Первоначальный[[#This Row],[Полученный платёж по процентам]])</f>
        <v>0</v>
      </c>
      <c r="V264" s="55">
        <f t="shared" ca="1" si="37"/>
        <v>0</v>
      </c>
      <c r="W264" s="55" cm="1">
        <f t="array" aca="1" ref="W264" ca="1">IF(Первоначальный[[#This Row],[Итого остаток на начало периода]]&lt;1,0,
_xlfn.IFS(
AND(TYPE(VLOOKUP(1,$Z$12:Z264,1,0))=16,Первоначальный[[#This Row],[Досрочное погашение (да/"")]]=""),0,
AND(S263=0,Первоначальный[[#This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платеж]]+Y263-SUM(Первоначальный[[#This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комиссиям]]),VLOOKUP(LOOKUP(,-1/($Z$12:Z264=1),$A$12:A264),График[[Срок конец]:[Возврат основной суммы долга]],3,0)),
AND(S263=0,Первоначальный[[#This Row],[Дата платежа из графика]]="",Первоначальный[[#This Row],[Досрочное погашение (да/"")]]&lt;&gt;"Да"),0,
AND(S263=0,Первоначальный[[#This Row],[Досрочное погашение (да/"")]]=""),MIN(Первоначальный[[#This Row],[Полученный платеж]]+Y263-SUM(Первоначальный[[#This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комиссиям]]),VLOOKUP(LOOKUP(,-1/($Z$12:Z264=1),$A$12:A264),График[[Срок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платеж]]+Y263-SUM(Первоначальный[[#This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S263&gt;0,MIN(Первоначальный[[#This Row],[Полученный платеж]]+Y263-SUM(Первоначальный[[#This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комиссиям]]),SUM(INDIRECT("M"&amp;(MAX((1=S$12:S263)*ROW(S$12:S263),ROW($W$12))&amp;":M"&amp;(ROW()))))-SUM(INDIRECT("W"&amp;(MAX((1=S$12:S263)*ROW(S$12:S263),ROW($W$12))&amp;":W"&amp;(ROW()-1)))))
)
)</f>
        <v>0</v>
      </c>
      <c r="X264" s="55">
        <f t="shared" ca="1" si="38"/>
        <v>0</v>
      </c>
      <c r="Y264" s="101">
        <f t="shared" ca="1" si="45"/>
        <v>0</v>
      </c>
      <c r="Z264" s="133" t="str">
        <f>IF(TYPE((VLOOKUP(Первоначальный[[#This Row],[Дата платежа]],График[Срок конец],1,0)))=16,"",1)</f>
        <v/>
      </c>
      <c r="AA264" s="57"/>
      <c r="AB264" s="134"/>
      <c r="AC26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6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15361.780000000015</v>
      </c>
      <c r="AE26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125.59999999999989</v>
      </c>
      <c r="AF26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6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7420.1655245901638</v>
      </c>
      <c r="AH264" s="55"/>
      <c r="AI264" s="55"/>
      <c r="AJ264" s="55"/>
      <c r="AK264" s="101">
        <f t="shared" ca="1" si="46"/>
        <v>172540.88552459021</v>
      </c>
      <c r="AL264" s="129">
        <f t="array" ref="AL264">MAX((УслРестрактов[Характеристика]="Дата реструктуризации")*(УслРестрактов[Значение]=Первоначальный!$A264),0)</f>
        <v>0</v>
      </c>
    </row>
    <row r="265" spans="1:38" x14ac:dyDescent="0.25">
      <c r="A265" s="97">
        <f t="shared" si="39"/>
        <v>44396</v>
      </c>
      <c r="B265" s="100">
        <f t="shared" ca="1" si="40"/>
        <v>149633.34</v>
      </c>
      <c r="C265" s="55">
        <f t="shared" ca="1" si="48"/>
        <v>15361.780000000015</v>
      </c>
      <c r="D265" s="55">
        <f t="shared" ca="1" si="48"/>
        <v>125.59999999999989</v>
      </c>
      <c r="E265" s="55">
        <f t="shared" ca="1" si="41"/>
        <v>0</v>
      </c>
      <c r="F265" s="55">
        <f t="shared" ca="1" si="42"/>
        <v>7420.1655245901638</v>
      </c>
      <c r="G265" s="101">
        <f t="shared" ca="1" si="43"/>
        <v>172540.88552459021</v>
      </c>
      <c r="H265" s="100">
        <f ca="1">ROUND($B265*VLOOKUP($A265,$A$1:$B$10,2,1)/(365+IF(MOD(YEAR($A265),4),0,1)*($A265-$A264)),2)-Первоначальный[[#This Row],[Проценты на просроченный платеж по ОД за период]]</f>
        <v>80.09</v>
      </c>
      <c r="I265" s="55">
        <f t="shared" ca="1" si="44"/>
        <v>1.49</v>
      </c>
      <c r="J265" s="55">
        <v>0</v>
      </c>
      <c r="K265" s="55">
        <f t="shared" ca="1" si="47"/>
        <v>86.84350327868853</v>
      </c>
      <c r="L265" s="55">
        <v>0</v>
      </c>
      <c r="M265" s="113">
        <f>SUMIFS(График[Возврат основной суммы долга],График[Дата с учетом нерабочих дней],$A265)</f>
        <v>0</v>
      </c>
      <c r="N265" s="56">
        <f>SUMIFS(График[Возврат начисленных %],График[Дата с учетом нерабочих дней],$A265)</f>
        <v>0</v>
      </c>
      <c r="O265" s="101">
        <v>0</v>
      </c>
      <c r="P265" s="100" cm="1">
        <f t="array" aca="1" ref="P265" ca="1">MAX(IF(AA264="Да",0,SUM(INDIRECT("M"&amp;(MAX(("Да"=AA$12:AA264)*ROW(AA$12:AA264)+1,ROW($P$12))&amp;":M"&amp;(ROW()))))-SUM(INDIRECT("W"&amp;(MAX(("Да"=AA$12:AA264)*ROW(AA$12:AA264)+1,ROW($P$12))&amp;":W"&amp;(ROW()))))),0)</f>
        <v>2728.4399999999991</v>
      </c>
      <c r="Q265" s="99">
        <f ca="1">MAX(SUM($N$13:N265)-SUM($T$13:T265),0)</f>
        <v>14640.260655737706</v>
      </c>
      <c r="R265" s="99">
        <f ca="1">Первоначальный[[#This Row],[Просроченный платеж по ОД]]+Первоначальный[[#This Row],[Просроченный платеж по процентам]]</f>
        <v>17368.700655737706</v>
      </c>
      <c r="S265" s="120">
        <f ca="1">IF(Первоначальный[[#This Row],[Просроченный платеж]]&lt;1,0,S264+1)</f>
        <v>161</v>
      </c>
      <c r="T265" s="100" cm="1">
        <f t="array" aca="1" ref="T265" ca="1">IF(Первоначальный[[#This Row],[Итого остаток на начало периода]]&lt;1,0,
IF(
AND(TYPE(VLOOKUP(1,$Z$12:Z265,1,0))=16,Первоначальный[[#This Row],[Досрочное погашение (да/"")]]=""),0,
_xlfn.IFS(AND(S264=0,Первоначальный[[#This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платеж]]&lt;&gt;0),MIN(LOOKUP(,-1/($Z$12:Z265=1),$C$12:C265)+LOOKUP(,-1/($Z$12:Z265=1),$H$12:H265),Первоначальный[[#This Row],[Полученный платеж]]+Y264),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платеж]]+Y264,SUM(Первоначальный[[#This Row],[Остаток процентов на начало периода]],Первоначальный[[#This Row],[Проценты за период]])),
AND(S264=0,Первоначальный[[#This Row],[Дата платежа из графика]]=""),0,
AND(S264=0,Первоначальный[[#This Row],[Дата платежа из графика]]=1,MAX((0&lt;&gt;S$12:S264)*ROW(S$12:S264),ROW($S$12))&gt;=MAX((1=Z$12:Z264)*ROW(Z$12:Z264),ROW($T$12)),TYPE(VLOOKUP("Да",(INDIRECT("AA"&amp;(MAX((1=Z$12:Z264)*ROW(Z$12:Z264),ROW($T$12))&amp;":AA"&amp;(ROW()-1)))),1,0))=16),MIN(LOOKUP(,-1/($Z$12:Z265=1),$C$12:C265)+LOOKUP(,-1/($Z$12:Z265=1),$H$12:H265),Первоначальный[[#This Row],[Полученный платеж]]+Y264),
AND(S264=0,TYPE(VLOOKUP("Да",(INDIRECT("AA"&amp;(MAX((1=Z$12:Z264)*ROW(Z$12:Z264),ROW($T$12))&amp;":AA"&amp;(ROW()-1)))),1,0))&lt;&gt;16),MIN(LOOKUP(,-1/($Z$12:Z265=1),$C$12:C265)+LOOKUP(,-1/($Z$12:Z265=1),$H$12:H265)-IF(AA264="Да",0,SUM(INDIRECT("T"&amp;(MAX(("Да"=AA$12:AA264)*ROW(AA$12:AA264)+1,ROW($T$12))&amp;":T"&amp;(ROW()-1))))),Первоначальный[[#This Row],[Полученный платеж]]+Y264),
AND(S264=0,MAX((0&lt;&gt;N$12:N264)*ROW(N$12:N264),ROW($S$12))&gt;=MAX((1=Z$12:Z264)*ROW(Z$12:Z264),ROW($T$12))),MIN(LOOKUP(,-1/($Z$12:Z265=1),$C$12:C265)+LOOKUP(,-1/($Z$12:Z265=1),$H$12:H265)-IF(N264&lt;&gt;0,0,SUM(INDIRECT("T"&amp;(MAX((0&lt;&gt;N$12:N264)*ROW(N$12:N264)+1,ROW($T$12))&amp;":T"&amp;(ROW()-1))))),Первоначальный[[#This Row],[Полученный платеж]]+Y264),
AND(S264=0,Первоначальный[[#This Row],[Дата платежа из графика]]=1),MIN(LOOKUP(,-1/($Z$12:Z265=1),$C$12:C265)+LOOKUP(,-1/($Z$12:Z265=1),$H$12:H265)-IF(Z264=1,0,SUM(INDIRECT("T"&amp;(MAX((1=Z$12:Z264)*ROW(Z$12:Z264)+1,ROW($T$12))&amp;":T"&amp;(ROW()-1))))),Первоначальный[[#This Row],[Полученный платеж]]+Y264),
AND(Z264&gt;0,Первоначальный[[#This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платеж]]+Y264),
AND(S264&gt;0,MAX((0&lt;&gt;S$12:S264)*ROW(S$12:S264),ROW($S$12))&gt;=MAX((1=Z$12:Z264)*ROW(Z$12:Z264),ROW($T$12)),TYPE(VLOOKUP("Да",(INDIRECT("AA"&amp;(MAX((1=Z$12:Z264)*ROW(Z$12:Z264),ROW($T$12))&amp;":AA"&amp;(ROW()-1)))),1,0))=16),MIN(LOOKUP(,-1/($Z$12:Z265=1),$C$12:C265)+LOOKUP(,-1/($Z$12:Z265=1),$H$12:H265)-SUM(INDIRECT("T"&amp;(MAX((1=Z$12:Z264)*ROW(Z$12:Z264),ROW($T$12))&amp;":T"&amp;(ROW()-1)))),Первоначальный[[#This Row],[Полученный платеж]]+Y264),
S264&gt;0,MIN(LOOKUP(,-1/($Z$12:Z265=1),$C$12:C265)+LOOKUP(,-1/($Z$12:Z265=1),$H$12:H265)-IF(Z264=1,0,SUM(INDIRECT("T"&amp;(MAX((1=Z$12:Z264)*ROW(Z$12:Z264)+1,ROW($T$12))&amp;":T"&amp;(ROW()-1))))),Первоначальный[[#This Row],[Полученный платеж]]+Y264)
)
)
)</f>
        <v>0</v>
      </c>
      <c r="U26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платеж]]+Y264-Первоначальный[[#This Row],[Полученный платёж по процентам]])</f>
        <v>0</v>
      </c>
      <c r="V265" s="55">
        <f t="shared" ca="1" si="37"/>
        <v>0</v>
      </c>
      <c r="W265" s="55" cm="1">
        <f t="array" aca="1" ref="W265" ca="1">IF(Первоначальный[[#This Row],[Итого остаток на начало периода]]&lt;1,0,
_xlfn.IFS(
AND(TYPE(VLOOKUP(1,$Z$12:Z265,1,0))=16,Первоначальный[[#This Row],[Досрочное погашение (да/"")]]=""),0,
AND(S264=0,Первоначальный[[#This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платеж]]+Y264-SUM(Первоначальный[[#This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комиссиям]]),VLOOKUP(LOOKUP(,-1/($Z$12:Z265=1),$A$12:A265),График[[Срок конец]:[Возврат основной суммы долга]],3,0)),
AND(S264=0,Первоначальный[[#This Row],[Дата платежа из графика]]="",Первоначальный[[#This Row],[Досрочное погашение (да/"")]]&lt;&gt;"Да"),0,
AND(S264=0,Первоначальный[[#This Row],[Досрочное погашение (да/"")]]=""),MIN(Первоначальный[[#This Row],[Полученный платеж]]+Y264-SUM(Первоначальный[[#This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комиссиям]]),VLOOKUP(LOOKUP(,-1/($Z$12:Z265=1),$A$12:A265),График[[Срок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платеж]]+Y264-SUM(Первоначальный[[#This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S264&gt;0,MIN(Первоначальный[[#This Row],[Полученный платеж]]+Y264-SUM(Первоначальный[[#This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комиссиям]]),SUM(INDIRECT("M"&amp;(MAX((1=S$12:S264)*ROW(S$12:S264),ROW($W$12))&amp;":M"&amp;(ROW()))))-SUM(INDIRECT("W"&amp;(MAX((1=S$12:S264)*ROW(S$12:S264),ROW($W$12))&amp;":W"&amp;(ROW()-1)))))
)
)</f>
        <v>0</v>
      </c>
      <c r="X265" s="55">
        <f t="shared" ca="1" si="38"/>
        <v>0</v>
      </c>
      <c r="Y265" s="101">
        <f t="shared" ca="1" si="45"/>
        <v>0</v>
      </c>
      <c r="Z265" s="133" t="str">
        <f>IF(TYPE((VLOOKUP(Первоначальный[[#This Row],[Дата платежа]],График[Срок конец],1,0)))=16,"",1)</f>
        <v/>
      </c>
      <c r="AA265" s="57"/>
      <c r="AB265" s="134"/>
      <c r="AC26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6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15441.870000000015</v>
      </c>
      <c r="AE26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127.08999999999989</v>
      </c>
      <c r="AF26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6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7507.0090278688522</v>
      </c>
      <c r="AH265" s="55"/>
      <c r="AI265" s="55"/>
      <c r="AJ265" s="55"/>
      <c r="AK265" s="101">
        <f t="shared" ca="1" si="46"/>
        <v>172709.30902786888</v>
      </c>
      <c r="AL265" s="129">
        <f t="array" ref="AL265">MAX((УслРестрактов[Характеристика]="Дата реструктуризации")*(УслРестрактов[Значение]=Первоначальный!$A265),0)</f>
        <v>0</v>
      </c>
    </row>
    <row r="266" spans="1:38" x14ac:dyDescent="0.25">
      <c r="A266" s="97">
        <f t="shared" si="39"/>
        <v>44397</v>
      </c>
      <c r="B266" s="100">
        <f t="shared" ca="1" si="40"/>
        <v>149633.34</v>
      </c>
      <c r="C266" s="55">
        <f t="shared" ca="1" si="48"/>
        <v>15441.870000000015</v>
      </c>
      <c r="D266" s="55">
        <f t="shared" ca="1" si="48"/>
        <v>127.08999999999989</v>
      </c>
      <c r="E266" s="55">
        <f t="shared" ca="1" si="41"/>
        <v>0</v>
      </c>
      <c r="F266" s="55">
        <f t="shared" ca="1" si="42"/>
        <v>7507.0090278688522</v>
      </c>
      <c r="G266" s="101">
        <f t="shared" ca="1" si="43"/>
        <v>172709.30902786888</v>
      </c>
      <c r="H266" s="100">
        <f ca="1">ROUND($B266*VLOOKUP($A266,$A$1:$B$10,2,1)/(365+IF(MOD(YEAR($A266),4),0,1)*($A266-$A265)),2)-Первоначальный[[#This Row],[Проценты на просроченный платеж по ОД за период]]</f>
        <v>80.09</v>
      </c>
      <c r="I266" s="55">
        <f t="shared" ca="1" si="44"/>
        <v>1.49</v>
      </c>
      <c r="J266" s="55">
        <v>0</v>
      </c>
      <c r="K266" s="55">
        <f t="shared" ca="1" si="47"/>
        <v>86.84350327868853</v>
      </c>
      <c r="L266" s="55">
        <v>0</v>
      </c>
      <c r="M266" s="113">
        <f>SUMIFS(График[Возврат основной суммы долга],График[Дата с учетом нерабочих дней],$A266)</f>
        <v>0</v>
      </c>
      <c r="N266" s="56">
        <f>SUMIFS(График[Возврат начисленных %],График[Дата с учетом нерабочих дней],$A266)</f>
        <v>0</v>
      </c>
      <c r="O266" s="101">
        <v>0</v>
      </c>
      <c r="P266" s="100" cm="1">
        <f t="array" aca="1" ref="P266" ca="1">MAX(IF(AA265="Да",0,SUM(INDIRECT("M"&amp;(MAX(("Да"=AA$12:AA265)*ROW(AA$12:AA265)+1,ROW($P$12))&amp;":M"&amp;(ROW()))))-SUM(INDIRECT("W"&amp;(MAX(("Да"=AA$12:AA265)*ROW(AA$12:AA265)+1,ROW($P$12))&amp;":W"&amp;(ROW()))))),0)</f>
        <v>2728.4399999999991</v>
      </c>
      <c r="Q266" s="99">
        <f ca="1">MAX(SUM($N$13:N266)-SUM($T$13:T266),0)</f>
        <v>14640.260655737706</v>
      </c>
      <c r="R266" s="99">
        <f ca="1">Первоначальный[[#This Row],[Просроченный платеж по ОД]]+Первоначальный[[#This Row],[Просроченный платеж по процентам]]</f>
        <v>17368.700655737706</v>
      </c>
      <c r="S266" s="120">
        <f ca="1">IF(Первоначальный[[#This Row],[Просроченный платеж]]&lt;1,0,S265+1)</f>
        <v>162</v>
      </c>
      <c r="T266" s="100" cm="1">
        <f t="array" aca="1" ref="T266" ca="1">IF(Первоначальный[[#This Row],[Итого остаток на начало периода]]&lt;1,0,
IF(
AND(TYPE(VLOOKUP(1,$Z$12:Z266,1,0))=16,Первоначальный[[#This Row],[Досрочное погашение (да/"")]]=""),0,
_xlfn.IFS(AND(S265=0,Первоначальный[[#This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платеж]]&lt;&gt;0),MIN(LOOKUP(,-1/($Z$12:Z266=1),$C$12:C266)+LOOKUP(,-1/($Z$12:Z266=1),$H$12:H266),Первоначальный[[#This Row],[Полученный платеж]]+Y265),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платеж]]+Y265,SUM(Первоначальный[[#This Row],[Остаток процентов на начало периода]],Первоначальный[[#This Row],[Проценты за период]])),
AND(S265=0,Первоначальный[[#This Row],[Дата платежа из графика]]=""),0,
AND(S265=0,Первоначальный[[#This Row],[Дата платежа из графика]]=1,MAX((0&lt;&gt;S$12:S265)*ROW(S$12:S265),ROW($S$12))&gt;=MAX((1=Z$12:Z265)*ROW(Z$12:Z265),ROW($T$12)),TYPE(VLOOKUP("Да",(INDIRECT("AA"&amp;(MAX((1=Z$12:Z265)*ROW(Z$12:Z265),ROW($T$12))&amp;":AA"&amp;(ROW()-1)))),1,0))=16),MIN(LOOKUP(,-1/($Z$12:Z266=1),$C$12:C266)+LOOKUP(,-1/($Z$12:Z266=1),$H$12:H266),Первоначальный[[#This Row],[Полученный платеж]]+Y265),
AND(S265=0,TYPE(VLOOKUP("Да",(INDIRECT("AA"&amp;(MAX((1=Z$12:Z265)*ROW(Z$12:Z265),ROW($T$12))&amp;":AA"&amp;(ROW()-1)))),1,0))&lt;&gt;16),MIN(LOOKUP(,-1/($Z$12:Z266=1),$C$12:C266)+LOOKUP(,-1/($Z$12:Z266=1),$H$12:H266)-IF(AA265="Да",0,SUM(INDIRECT("T"&amp;(MAX(("Да"=AA$12:AA265)*ROW(AA$12:AA265)+1,ROW($T$12))&amp;":T"&amp;(ROW()-1))))),Первоначальный[[#This Row],[Полученный платеж]]+Y265),
AND(S265=0,MAX((0&lt;&gt;N$12:N265)*ROW(N$12:N265),ROW($S$12))&gt;=MAX((1=Z$12:Z265)*ROW(Z$12:Z265),ROW($T$12))),MIN(LOOKUP(,-1/($Z$12:Z266=1),$C$12:C266)+LOOKUP(,-1/($Z$12:Z266=1),$H$12:H266)-IF(N265&lt;&gt;0,0,SUM(INDIRECT("T"&amp;(MAX((0&lt;&gt;N$12:N265)*ROW(N$12:N265)+1,ROW($T$12))&amp;":T"&amp;(ROW()-1))))),Первоначальный[[#This Row],[Полученный платеж]]+Y265),
AND(S265=0,Первоначальный[[#This Row],[Дата платежа из графика]]=1),MIN(LOOKUP(,-1/($Z$12:Z266=1),$C$12:C266)+LOOKUP(,-1/($Z$12:Z266=1),$H$12:H266)-IF(Z265=1,0,SUM(INDIRECT("T"&amp;(MAX((1=Z$12:Z265)*ROW(Z$12:Z265)+1,ROW($T$12))&amp;":T"&amp;(ROW()-1))))),Первоначальный[[#This Row],[Полученный платеж]]+Y265),
AND(Z265&gt;0,Первоначальный[[#This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платеж]]+Y265),
AND(S265&gt;0,MAX((0&lt;&gt;S$12:S265)*ROW(S$12:S265),ROW($S$12))&gt;=MAX((1=Z$12:Z265)*ROW(Z$12:Z265),ROW($T$12)),TYPE(VLOOKUP("Да",(INDIRECT("AA"&amp;(MAX((1=Z$12:Z265)*ROW(Z$12:Z265),ROW($T$12))&amp;":AA"&amp;(ROW()-1)))),1,0))=16),MIN(LOOKUP(,-1/($Z$12:Z266=1),$C$12:C266)+LOOKUP(,-1/($Z$12:Z266=1),$H$12:H266)-SUM(INDIRECT("T"&amp;(MAX((1=Z$12:Z265)*ROW(Z$12:Z265),ROW($T$12))&amp;":T"&amp;(ROW()-1)))),Первоначальный[[#This Row],[Полученный платеж]]+Y265),
S265&gt;0,MIN(LOOKUP(,-1/($Z$12:Z266=1),$C$12:C266)+LOOKUP(,-1/($Z$12:Z266=1),$H$12:H266)-IF(Z265=1,0,SUM(INDIRECT("T"&amp;(MAX((1=Z$12:Z265)*ROW(Z$12:Z265)+1,ROW($T$12))&amp;":T"&amp;(ROW()-1))))),Первоначальный[[#This Row],[Полученный платеж]]+Y265)
)
)
)</f>
        <v>0</v>
      </c>
      <c r="U26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платеж]]+Y265-Первоначальный[[#This Row],[Полученный платёж по процентам]])</f>
        <v>0</v>
      </c>
      <c r="V266" s="55">
        <f t="shared" ca="1" si="37"/>
        <v>0</v>
      </c>
      <c r="W266" s="55" cm="1">
        <f t="array" aca="1" ref="W266" ca="1">IF(Первоначальный[[#This Row],[Итого остаток на начало периода]]&lt;1,0,
_xlfn.IFS(
AND(TYPE(VLOOKUP(1,$Z$12:Z266,1,0))=16,Первоначальный[[#This Row],[Досрочное погашение (да/"")]]=""),0,
AND(S265=0,Первоначальный[[#This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платеж]]+Y265-SUM(Первоначальный[[#This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комиссиям]]),VLOOKUP(LOOKUP(,-1/($Z$12:Z266=1),$A$12:A266),График[[Срок конец]:[Возврат основной суммы долга]],3,0)),
AND(S265=0,Первоначальный[[#This Row],[Дата платежа из графика]]="",Первоначальный[[#This Row],[Досрочное погашение (да/"")]]&lt;&gt;"Да"),0,
AND(S265=0,Первоначальный[[#This Row],[Досрочное погашение (да/"")]]=""),MIN(Первоначальный[[#This Row],[Полученный платеж]]+Y265-SUM(Первоначальный[[#This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комиссиям]]),VLOOKUP(LOOKUP(,-1/($Z$12:Z266=1),$A$12:A266),График[[Срок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платеж]]+Y265-SUM(Первоначальный[[#This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S265&gt;0,MIN(Первоначальный[[#This Row],[Полученный платеж]]+Y265-SUM(Первоначальный[[#This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комиссиям]]),SUM(INDIRECT("M"&amp;(MAX((1=S$12:S265)*ROW(S$12:S265),ROW($W$12))&amp;":M"&amp;(ROW()))))-SUM(INDIRECT("W"&amp;(MAX((1=S$12:S265)*ROW(S$12:S265),ROW($W$12))&amp;":W"&amp;(ROW()-1)))))
)
)</f>
        <v>0</v>
      </c>
      <c r="X266" s="55">
        <f t="shared" ca="1" si="38"/>
        <v>0</v>
      </c>
      <c r="Y266" s="101">
        <f t="shared" ca="1" si="45"/>
        <v>0</v>
      </c>
      <c r="Z266" s="133" t="str">
        <f>IF(TYPE((VLOOKUP(Первоначальный[[#This Row],[Дата платежа]],График[Срок конец],1,0)))=16,"",1)</f>
        <v/>
      </c>
      <c r="AA266" s="57"/>
      <c r="AB266" s="134"/>
      <c r="AC26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6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15521.960000000015</v>
      </c>
      <c r="AE26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128.5799999999999</v>
      </c>
      <c r="AF26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6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7593.8525311475405</v>
      </c>
      <c r="AH266" s="55"/>
      <c r="AI266" s="55"/>
      <c r="AJ266" s="55"/>
      <c r="AK266" s="101">
        <f t="shared" ca="1" si="46"/>
        <v>172877.73253114754</v>
      </c>
      <c r="AL266" s="129">
        <f t="array" ref="AL266">MAX((УслРестрактов[Характеристика]="Дата реструктуризации")*(УслРестрактов[Значение]=Первоначальный!$A266),0)</f>
        <v>0</v>
      </c>
    </row>
    <row r="267" spans="1:38" x14ac:dyDescent="0.25">
      <c r="A267" s="97">
        <f t="shared" si="39"/>
        <v>44398</v>
      </c>
      <c r="B267" s="100">
        <f t="shared" ca="1" si="40"/>
        <v>149633.34</v>
      </c>
      <c r="C267" s="55">
        <f t="shared" ca="1" si="48"/>
        <v>15521.960000000015</v>
      </c>
      <c r="D267" s="55">
        <f t="shared" ca="1" si="48"/>
        <v>128.5799999999999</v>
      </c>
      <c r="E267" s="55">
        <f t="shared" ca="1" si="41"/>
        <v>0</v>
      </c>
      <c r="F267" s="55">
        <f t="shared" ca="1" si="42"/>
        <v>7593.8525311475405</v>
      </c>
      <c r="G267" s="101">
        <f t="shared" ca="1" si="43"/>
        <v>172877.73253114754</v>
      </c>
      <c r="H267" s="100">
        <f ca="1">ROUND($B267*VLOOKUP($A267,$A$1:$B$10,2,1)/(365+IF(MOD(YEAR($A267),4),0,1)*($A267-$A266)),2)-Первоначальный[[#This Row],[Проценты на просроченный платеж по ОД за период]]</f>
        <v>80.09</v>
      </c>
      <c r="I267" s="55">
        <f t="shared" ca="1" si="44"/>
        <v>1.49</v>
      </c>
      <c r="J267" s="55">
        <v>0</v>
      </c>
      <c r="K267" s="55">
        <f t="shared" ca="1" si="47"/>
        <v>86.84350327868853</v>
      </c>
      <c r="L267" s="55">
        <v>0</v>
      </c>
      <c r="M267" s="113">
        <f>SUMIFS(График[Возврат основной суммы долга],График[Дата с учетом нерабочих дней],$A267)</f>
        <v>0</v>
      </c>
      <c r="N267" s="56">
        <f>SUMIFS(График[Возврат начисленных %],График[Дата с учетом нерабочих дней],$A267)</f>
        <v>0</v>
      </c>
      <c r="O267" s="101">
        <v>0</v>
      </c>
      <c r="P267" s="100" cm="1">
        <f t="array" aca="1" ref="P267" ca="1">MAX(IF(AA266="Да",0,SUM(INDIRECT("M"&amp;(MAX(("Да"=AA$12:AA266)*ROW(AA$12:AA266)+1,ROW($P$12))&amp;":M"&amp;(ROW()))))-SUM(INDIRECT("W"&amp;(MAX(("Да"=AA$12:AA266)*ROW(AA$12:AA266)+1,ROW($P$12))&amp;":W"&amp;(ROW()))))),0)</f>
        <v>2728.4399999999991</v>
      </c>
      <c r="Q267" s="99">
        <f ca="1">MAX(SUM($N$13:N267)-SUM($T$13:T267),0)</f>
        <v>14640.260655737706</v>
      </c>
      <c r="R267" s="99">
        <f ca="1">Первоначальный[[#This Row],[Просроченный платеж по ОД]]+Первоначальный[[#This Row],[Просроченный платеж по процентам]]</f>
        <v>17368.700655737706</v>
      </c>
      <c r="S267" s="120">
        <f ca="1">IF(Первоначальный[[#This Row],[Просроченный платеж]]&lt;1,0,S266+1)</f>
        <v>163</v>
      </c>
      <c r="T267" s="100" cm="1">
        <f t="array" aca="1" ref="T267" ca="1">IF(Первоначальный[[#This Row],[Итого остаток на начало периода]]&lt;1,0,
IF(
AND(TYPE(VLOOKUP(1,$Z$12:Z267,1,0))=16,Первоначальный[[#This Row],[Досрочное погашение (да/"")]]=""),0,
_xlfn.IFS(AND(S266=0,Первоначальный[[#This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платеж]]&lt;&gt;0),MIN(LOOKUP(,-1/($Z$12:Z267=1),$C$12:C267)+LOOKUP(,-1/($Z$12:Z267=1),$H$12:H267),Первоначальный[[#This Row],[Полученный платеж]]+Y266),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платеж]]+Y266,SUM(Первоначальный[[#This Row],[Остаток процентов на начало периода]],Первоначальный[[#This Row],[Проценты за период]])),
AND(S266=0,Первоначальный[[#This Row],[Дата платежа из графика]]=""),0,
AND(S266=0,Первоначальный[[#This Row],[Дата платежа из графика]]=1,MAX((0&lt;&gt;S$12:S266)*ROW(S$12:S266),ROW($S$12))&gt;=MAX((1=Z$12:Z266)*ROW(Z$12:Z266),ROW($T$12)),TYPE(VLOOKUP("Да",(INDIRECT("AA"&amp;(MAX((1=Z$12:Z266)*ROW(Z$12:Z266),ROW($T$12))&amp;":AA"&amp;(ROW()-1)))),1,0))=16),MIN(LOOKUP(,-1/($Z$12:Z267=1),$C$12:C267)+LOOKUP(,-1/($Z$12:Z267=1),$H$12:H267),Первоначальный[[#This Row],[Полученный платеж]]+Y266),
AND(S266=0,TYPE(VLOOKUP("Да",(INDIRECT("AA"&amp;(MAX((1=Z$12:Z266)*ROW(Z$12:Z266),ROW($T$12))&amp;":AA"&amp;(ROW()-1)))),1,0))&lt;&gt;16),MIN(LOOKUP(,-1/($Z$12:Z267=1),$C$12:C267)+LOOKUP(,-1/($Z$12:Z267=1),$H$12:H267)-IF(AA266="Да",0,SUM(INDIRECT("T"&amp;(MAX(("Да"=AA$12:AA266)*ROW(AA$12:AA266)+1,ROW($T$12))&amp;":T"&amp;(ROW()-1))))),Первоначальный[[#This Row],[Полученный платеж]]+Y266),
AND(S266=0,MAX((0&lt;&gt;N$12:N266)*ROW(N$12:N266),ROW($S$12))&gt;=MAX((1=Z$12:Z266)*ROW(Z$12:Z266),ROW($T$12))),MIN(LOOKUP(,-1/($Z$12:Z267=1),$C$12:C267)+LOOKUP(,-1/($Z$12:Z267=1),$H$12:H267)-IF(N266&lt;&gt;0,0,SUM(INDIRECT("T"&amp;(MAX((0&lt;&gt;N$12:N266)*ROW(N$12:N266)+1,ROW($T$12))&amp;":T"&amp;(ROW()-1))))),Первоначальный[[#This Row],[Полученный платеж]]+Y266),
AND(S266=0,Первоначальный[[#This Row],[Дата платежа из графика]]=1),MIN(LOOKUP(,-1/($Z$12:Z267=1),$C$12:C267)+LOOKUP(,-1/($Z$12:Z267=1),$H$12:H267)-IF(Z266=1,0,SUM(INDIRECT("T"&amp;(MAX((1=Z$12:Z266)*ROW(Z$12:Z266)+1,ROW($T$12))&amp;":T"&amp;(ROW()-1))))),Первоначальный[[#This Row],[Полученный платеж]]+Y266),
AND(Z266&gt;0,Первоначальный[[#This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платеж]]+Y266),
AND(S266&gt;0,MAX((0&lt;&gt;S$12:S266)*ROW(S$12:S266),ROW($S$12))&gt;=MAX((1=Z$12:Z266)*ROW(Z$12:Z266),ROW($T$12)),TYPE(VLOOKUP("Да",(INDIRECT("AA"&amp;(MAX((1=Z$12:Z266)*ROW(Z$12:Z266),ROW($T$12))&amp;":AA"&amp;(ROW()-1)))),1,0))=16),MIN(LOOKUP(,-1/($Z$12:Z267=1),$C$12:C267)+LOOKUP(,-1/($Z$12:Z267=1),$H$12:H267)-SUM(INDIRECT("T"&amp;(MAX((1=Z$12:Z266)*ROW(Z$12:Z266),ROW($T$12))&amp;":T"&amp;(ROW()-1)))),Первоначальный[[#This Row],[Полученный платеж]]+Y266),
S266&gt;0,MIN(LOOKUP(,-1/($Z$12:Z267=1),$C$12:C267)+LOOKUP(,-1/($Z$12:Z267=1),$H$12:H267)-IF(Z266=1,0,SUM(INDIRECT("T"&amp;(MAX((1=Z$12:Z266)*ROW(Z$12:Z266)+1,ROW($T$12))&amp;":T"&amp;(ROW()-1))))),Первоначальный[[#This Row],[Полученный платеж]]+Y266)
)
)
)</f>
        <v>0</v>
      </c>
      <c r="U26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платеж]]+Y266-Первоначальный[[#This Row],[Полученный платёж по процентам]])</f>
        <v>0</v>
      </c>
      <c r="V267" s="55">
        <f t="shared" ca="1" si="37"/>
        <v>0</v>
      </c>
      <c r="W267" s="55" cm="1">
        <f t="array" aca="1" ref="W267" ca="1">IF(Первоначальный[[#This Row],[Итого остаток на начало периода]]&lt;1,0,
_xlfn.IFS(
AND(TYPE(VLOOKUP(1,$Z$12:Z267,1,0))=16,Первоначальный[[#This Row],[Досрочное погашение (да/"")]]=""),0,
AND(S266=0,Первоначальный[[#This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платеж]]+Y266-SUM(Первоначальный[[#This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комиссиям]]),VLOOKUP(LOOKUP(,-1/($Z$12:Z267=1),$A$12:A267),График[[Срок конец]:[Возврат основной суммы долга]],3,0)),
AND(S266=0,Первоначальный[[#This Row],[Дата платежа из графика]]="",Первоначальный[[#This Row],[Досрочное погашение (да/"")]]&lt;&gt;"Да"),0,
AND(S266=0,Первоначальный[[#This Row],[Досрочное погашение (да/"")]]=""),MIN(Первоначальный[[#This Row],[Полученный платеж]]+Y266-SUM(Первоначальный[[#This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комиссиям]]),VLOOKUP(LOOKUP(,-1/($Z$12:Z267=1),$A$12:A267),График[[Срок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платеж]]+Y266-SUM(Первоначальный[[#This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S266&gt;0,MIN(Первоначальный[[#This Row],[Полученный платеж]]+Y266-SUM(Первоначальный[[#This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комиссиям]]),SUM(INDIRECT("M"&amp;(MAX((1=S$12:S266)*ROW(S$12:S266),ROW($W$12))&amp;":M"&amp;(ROW()))))-SUM(INDIRECT("W"&amp;(MAX((1=S$12:S266)*ROW(S$12:S266),ROW($W$12))&amp;":W"&amp;(ROW()-1)))))
)
)</f>
        <v>0</v>
      </c>
      <c r="X267" s="55">
        <f t="shared" ca="1" si="38"/>
        <v>0</v>
      </c>
      <c r="Y267" s="101">
        <f t="shared" ca="1" si="45"/>
        <v>0</v>
      </c>
      <c r="Z267" s="133" t="str">
        <f>IF(TYPE((VLOOKUP(Первоначальный[[#This Row],[Дата платежа]],График[Срок конец],1,0)))=16,"",1)</f>
        <v/>
      </c>
      <c r="AA267" s="57"/>
      <c r="AB267" s="134"/>
      <c r="AC26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6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15602.050000000016</v>
      </c>
      <c r="AE26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130.06999999999991</v>
      </c>
      <c r="AF26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6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7680.6960344262288</v>
      </c>
      <c r="AH267" s="55"/>
      <c r="AI267" s="55"/>
      <c r="AJ267" s="55"/>
      <c r="AK267" s="101">
        <f t="shared" ca="1" si="46"/>
        <v>173046.15603442624</v>
      </c>
      <c r="AL267" s="129">
        <f t="array" ref="AL267">MAX((УслРестрактов[Характеристика]="Дата реструктуризации")*(УслРестрактов[Значение]=Первоначальный!$A267),0)</f>
        <v>0</v>
      </c>
    </row>
    <row r="268" spans="1:38" x14ac:dyDescent="0.25">
      <c r="A268" s="97">
        <f t="shared" si="39"/>
        <v>44399</v>
      </c>
      <c r="B268" s="100">
        <f t="shared" ca="1" si="40"/>
        <v>149633.34</v>
      </c>
      <c r="C268" s="55">
        <f t="shared" ca="1" si="48"/>
        <v>15602.050000000016</v>
      </c>
      <c r="D268" s="55">
        <f t="shared" ca="1" si="48"/>
        <v>130.06999999999991</v>
      </c>
      <c r="E268" s="55">
        <f t="shared" ca="1" si="41"/>
        <v>0</v>
      </c>
      <c r="F268" s="55">
        <f t="shared" ca="1" si="42"/>
        <v>7680.6960344262288</v>
      </c>
      <c r="G268" s="101">
        <f t="shared" ca="1" si="43"/>
        <v>173046.15603442624</v>
      </c>
      <c r="H268" s="100">
        <f ca="1">ROUND($B268*VLOOKUP($A268,$A$1:$B$10,2,1)/(365+IF(MOD(YEAR($A268),4),0,1)*($A268-$A267)),2)-Первоначальный[[#This Row],[Проценты на просроченный платеж по ОД за период]]</f>
        <v>80.09</v>
      </c>
      <c r="I268" s="55">
        <f t="shared" ca="1" si="44"/>
        <v>1.49</v>
      </c>
      <c r="J268" s="55">
        <v>0</v>
      </c>
      <c r="K268" s="55">
        <f t="shared" ca="1" si="47"/>
        <v>86.84350327868853</v>
      </c>
      <c r="L268" s="55">
        <v>0</v>
      </c>
      <c r="M268" s="113">
        <f>SUMIFS(График[Возврат основной суммы долга],График[Дата с учетом нерабочих дней],$A268)</f>
        <v>0</v>
      </c>
      <c r="N268" s="56">
        <f>SUMIFS(График[Возврат начисленных %],График[Дата с учетом нерабочих дней],$A268)</f>
        <v>0</v>
      </c>
      <c r="O268" s="101">
        <v>0</v>
      </c>
      <c r="P268" s="100" cm="1">
        <f t="array" aca="1" ref="P268" ca="1">MAX(IF(AA267="Да",0,SUM(INDIRECT("M"&amp;(MAX(("Да"=AA$12:AA267)*ROW(AA$12:AA267)+1,ROW($P$12))&amp;":M"&amp;(ROW()))))-SUM(INDIRECT("W"&amp;(MAX(("Да"=AA$12:AA267)*ROW(AA$12:AA267)+1,ROW($P$12))&amp;":W"&amp;(ROW()))))),0)</f>
        <v>2728.4399999999991</v>
      </c>
      <c r="Q268" s="99">
        <f ca="1">MAX(SUM($N$13:N268)-SUM($T$13:T268),0)</f>
        <v>14640.260655737706</v>
      </c>
      <c r="R268" s="99">
        <f ca="1">Первоначальный[[#This Row],[Просроченный платеж по ОД]]+Первоначальный[[#This Row],[Просроченный платеж по процентам]]</f>
        <v>17368.700655737706</v>
      </c>
      <c r="S268" s="120">
        <f ca="1">IF(Первоначальный[[#This Row],[Просроченный платеж]]&lt;1,0,S267+1)</f>
        <v>164</v>
      </c>
      <c r="T268" s="100" cm="1">
        <f t="array" aca="1" ref="T268" ca="1">IF(Первоначальный[[#This Row],[Итого остаток на начало периода]]&lt;1,0,
IF(
AND(TYPE(VLOOKUP(1,$Z$12:Z268,1,0))=16,Первоначальный[[#This Row],[Досрочное погашение (да/"")]]=""),0,
_xlfn.IFS(AND(S267=0,Первоначальный[[#This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платеж]]&lt;&gt;0),MIN(LOOKUP(,-1/($Z$12:Z268=1),$C$12:C268)+LOOKUP(,-1/($Z$12:Z268=1),$H$12:H268),Первоначальный[[#This Row],[Полученный платеж]]+Y267),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платеж]]+Y267,SUM(Первоначальный[[#This Row],[Остаток процентов на начало периода]],Первоначальный[[#This Row],[Проценты за период]])),
AND(S267=0,Первоначальный[[#This Row],[Дата платежа из графика]]=""),0,
AND(S267=0,Первоначальный[[#This Row],[Дата платежа из графика]]=1,MAX((0&lt;&gt;S$12:S267)*ROW(S$12:S267),ROW($S$12))&gt;=MAX((1=Z$12:Z267)*ROW(Z$12:Z267),ROW($T$12)),TYPE(VLOOKUP("Да",(INDIRECT("AA"&amp;(MAX((1=Z$12:Z267)*ROW(Z$12:Z267),ROW($T$12))&amp;":AA"&amp;(ROW()-1)))),1,0))=16),MIN(LOOKUP(,-1/($Z$12:Z268=1),$C$12:C268)+LOOKUP(,-1/($Z$12:Z268=1),$H$12:H268),Первоначальный[[#This Row],[Полученный платеж]]+Y267),
AND(S267=0,TYPE(VLOOKUP("Да",(INDIRECT("AA"&amp;(MAX((1=Z$12:Z267)*ROW(Z$12:Z267),ROW($T$12))&amp;":AA"&amp;(ROW()-1)))),1,0))&lt;&gt;16),MIN(LOOKUP(,-1/($Z$12:Z268=1),$C$12:C268)+LOOKUP(,-1/($Z$12:Z268=1),$H$12:H268)-IF(AA267="Да",0,SUM(INDIRECT("T"&amp;(MAX(("Да"=AA$12:AA267)*ROW(AA$12:AA267)+1,ROW($T$12))&amp;":T"&amp;(ROW()-1))))),Первоначальный[[#This Row],[Полученный платеж]]+Y267),
AND(S267=0,MAX((0&lt;&gt;N$12:N267)*ROW(N$12:N267),ROW($S$12))&gt;=MAX((1=Z$12:Z267)*ROW(Z$12:Z267),ROW($T$12))),MIN(LOOKUP(,-1/($Z$12:Z268=1),$C$12:C268)+LOOKUP(,-1/($Z$12:Z268=1),$H$12:H268)-IF(N267&lt;&gt;0,0,SUM(INDIRECT("T"&amp;(MAX((0&lt;&gt;N$12:N267)*ROW(N$12:N267)+1,ROW($T$12))&amp;":T"&amp;(ROW()-1))))),Первоначальный[[#This Row],[Полученный платеж]]+Y267),
AND(S267=0,Первоначальный[[#This Row],[Дата платежа из графика]]=1),MIN(LOOKUP(,-1/($Z$12:Z268=1),$C$12:C268)+LOOKUP(,-1/($Z$12:Z268=1),$H$12:H268)-IF(Z267=1,0,SUM(INDIRECT("T"&amp;(MAX((1=Z$12:Z267)*ROW(Z$12:Z267)+1,ROW($T$12))&amp;":T"&amp;(ROW()-1))))),Первоначальный[[#This Row],[Полученный платеж]]+Y267),
AND(Z267&gt;0,Первоначальный[[#This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платеж]]+Y267),
AND(S267&gt;0,MAX((0&lt;&gt;S$12:S267)*ROW(S$12:S267),ROW($S$12))&gt;=MAX((1=Z$12:Z267)*ROW(Z$12:Z267),ROW($T$12)),TYPE(VLOOKUP("Да",(INDIRECT("AA"&amp;(MAX((1=Z$12:Z267)*ROW(Z$12:Z267),ROW($T$12))&amp;":AA"&amp;(ROW()-1)))),1,0))=16),MIN(LOOKUP(,-1/($Z$12:Z268=1),$C$12:C268)+LOOKUP(,-1/($Z$12:Z268=1),$H$12:H268)-SUM(INDIRECT("T"&amp;(MAX((1=Z$12:Z267)*ROW(Z$12:Z267),ROW($T$12))&amp;":T"&amp;(ROW()-1)))),Первоначальный[[#This Row],[Полученный платеж]]+Y267),
S267&gt;0,MIN(LOOKUP(,-1/($Z$12:Z268=1),$C$12:C268)+LOOKUP(,-1/($Z$12:Z268=1),$H$12:H268)-IF(Z267=1,0,SUM(INDIRECT("T"&amp;(MAX((1=Z$12:Z267)*ROW(Z$12:Z267)+1,ROW($T$12))&amp;":T"&amp;(ROW()-1))))),Первоначальный[[#This Row],[Полученный платеж]]+Y267)
)
)
)</f>
        <v>0</v>
      </c>
      <c r="U26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платеж]]+Y267-Первоначальный[[#This Row],[Полученный платёж по процентам]])</f>
        <v>0</v>
      </c>
      <c r="V268" s="55">
        <f t="shared" ca="1" si="37"/>
        <v>0</v>
      </c>
      <c r="W268" s="55" cm="1">
        <f t="array" aca="1" ref="W268" ca="1">IF(Первоначальный[[#This Row],[Итого остаток на начало периода]]&lt;1,0,
_xlfn.IFS(
AND(TYPE(VLOOKUP(1,$Z$12:Z268,1,0))=16,Первоначальный[[#This Row],[Досрочное погашение (да/"")]]=""),0,
AND(S267=0,Первоначальный[[#This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платеж]]+Y267-SUM(Первоначальный[[#This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комиссиям]]),VLOOKUP(LOOKUP(,-1/($Z$12:Z268=1),$A$12:A268),График[[Срок конец]:[Возврат основной суммы долга]],3,0)),
AND(S267=0,Первоначальный[[#This Row],[Дата платежа из графика]]="",Первоначальный[[#This Row],[Досрочное погашение (да/"")]]&lt;&gt;"Да"),0,
AND(S267=0,Первоначальный[[#This Row],[Досрочное погашение (да/"")]]=""),MIN(Первоначальный[[#This Row],[Полученный платеж]]+Y267-SUM(Первоначальный[[#This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комиссиям]]),VLOOKUP(LOOKUP(,-1/($Z$12:Z268=1),$A$12:A268),График[[Срок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платеж]]+Y267-SUM(Первоначальный[[#This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S267&gt;0,MIN(Первоначальный[[#This Row],[Полученный платеж]]+Y267-SUM(Первоначальный[[#This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комиссиям]]),SUM(INDIRECT("M"&amp;(MAX((1=S$12:S267)*ROW(S$12:S267),ROW($W$12))&amp;":M"&amp;(ROW()))))-SUM(INDIRECT("W"&amp;(MAX((1=S$12:S267)*ROW(S$12:S267),ROW($W$12))&amp;":W"&amp;(ROW()-1)))))
)
)</f>
        <v>0</v>
      </c>
      <c r="X268" s="55">
        <f t="shared" ca="1" si="38"/>
        <v>0</v>
      </c>
      <c r="Y268" s="101">
        <f t="shared" ca="1" si="45"/>
        <v>0</v>
      </c>
      <c r="Z268" s="133" t="str">
        <f>IF(TYPE((VLOOKUP(Первоначальный[[#This Row],[Дата платежа]],График[Срок конец],1,0)))=16,"",1)</f>
        <v/>
      </c>
      <c r="AA268" s="57"/>
      <c r="AB268" s="134"/>
      <c r="AC26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6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15682.140000000016</v>
      </c>
      <c r="AE26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131.55999999999992</v>
      </c>
      <c r="AF26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6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7767.5395377049172</v>
      </c>
      <c r="AH268" s="55"/>
      <c r="AI268" s="55"/>
      <c r="AJ268" s="55"/>
      <c r="AK268" s="101">
        <f t="shared" ca="1" si="46"/>
        <v>173214.57953770494</v>
      </c>
      <c r="AL268" s="129">
        <f t="array" ref="AL268">MAX((УслРестрактов[Характеристика]="Дата реструктуризации")*(УслРестрактов[Значение]=Первоначальный!$A268),0)</f>
        <v>0</v>
      </c>
    </row>
    <row r="269" spans="1:38" x14ac:dyDescent="0.25">
      <c r="A269" s="97">
        <f t="shared" si="39"/>
        <v>44400</v>
      </c>
      <c r="B269" s="100">
        <f t="shared" ca="1" si="40"/>
        <v>149633.34</v>
      </c>
      <c r="C269" s="55">
        <f t="shared" ca="1" si="48"/>
        <v>15682.140000000016</v>
      </c>
      <c r="D269" s="55">
        <f t="shared" ca="1" si="48"/>
        <v>131.55999999999992</v>
      </c>
      <c r="E269" s="55">
        <f t="shared" ca="1" si="41"/>
        <v>0</v>
      </c>
      <c r="F269" s="55">
        <f t="shared" ca="1" si="42"/>
        <v>7767.5395377049172</v>
      </c>
      <c r="G269" s="101">
        <f t="shared" ca="1" si="43"/>
        <v>173214.57953770494</v>
      </c>
      <c r="H269" s="100">
        <f ca="1">ROUND($B269*VLOOKUP($A269,$A$1:$B$10,2,1)/(365+IF(MOD(YEAR($A269),4),0,1)*($A269-$A268)),2)-Первоначальный[[#This Row],[Проценты на просроченный платеж по ОД за период]]</f>
        <v>80.09</v>
      </c>
      <c r="I269" s="55">
        <f t="shared" ca="1" si="44"/>
        <v>1.49</v>
      </c>
      <c r="J269" s="55">
        <v>0</v>
      </c>
      <c r="K269" s="55">
        <f t="shared" ca="1" si="47"/>
        <v>86.84350327868853</v>
      </c>
      <c r="L269" s="55">
        <v>0</v>
      </c>
      <c r="M269" s="113">
        <f>SUMIFS(График[Возврат основной суммы долга],График[Дата с учетом нерабочих дней],$A269)</f>
        <v>0</v>
      </c>
      <c r="N269" s="56">
        <f>SUMIFS(График[Возврат начисленных %],График[Дата с учетом нерабочих дней],$A269)</f>
        <v>0</v>
      </c>
      <c r="O269" s="101">
        <v>0</v>
      </c>
      <c r="P269" s="100" cm="1">
        <f t="array" aca="1" ref="P269" ca="1">MAX(IF(AA268="Да",0,SUM(INDIRECT("M"&amp;(MAX(("Да"=AA$12:AA268)*ROW(AA$12:AA268)+1,ROW($P$12))&amp;":M"&amp;(ROW()))))-SUM(INDIRECT("W"&amp;(MAX(("Да"=AA$12:AA268)*ROW(AA$12:AA268)+1,ROW($P$12))&amp;":W"&amp;(ROW()))))),0)</f>
        <v>2728.4399999999991</v>
      </c>
      <c r="Q269" s="99">
        <f ca="1">MAX(SUM($N$13:N269)-SUM($T$13:T269),0)</f>
        <v>14640.260655737706</v>
      </c>
      <c r="R269" s="99">
        <f ca="1">Первоначальный[[#This Row],[Просроченный платеж по ОД]]+Первоначальный[[#This Row],[Просроченный платеж по процентам]]</f>
        <v>17368.700655737706</v>
      </c>
      <c r="S269" s="120">
        <f ca="1">IF(Первоначальный[[#This Row],[Просроченный платеж]]&lt;1,0,S268+1)</f>
        <v>165</v>
      </c>
      <c r="T269" s="100" cm="1">
        <f t="array" aca="1" ref="T269" ca="1">IF(Первоначальный[[#This Row],[Итого остаток на начало периода]]&lt;1,0,
IF(
AND(TYPE(VLOOKUP(1,$Z$12:Z269,1,0))=16,Первоначальный[[#This Row],[Досрочное погашение (да/"")]]=""),0,
_xlfn.IFS(AND(S268=0,Первоначальный[[#This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платеж]]&lt;&gt;0),MIN(LOOKUP(,-1/($Z$12:Z269=1),$C$12:C269)+LOOKUP(,-1/($Z$12:Z269=1),$H$12:H269),Первоначальный[[#This Row],[Полученный платеж]]+Y268),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платеж]]+Y268,SUM(Первоначальный[[#This Row],[Остаток процентов на начало периода]],Первоначальный[[#This Row],[Проценты за период]])),
AND(S268=0,Первоначальный[[#This Row],[Дата платежа из графика]]=""),0,
AND(S268=0,Первоначальный[[#This Row],[Дата платежа из графика]]=1,MAX((0&lt;&gt;S$12:S268)*ROW(S$12:S268),ROW($S$12))&gt;=MAX((1=Z$12:Z268)*ROW(Z$12:Z268),ROW($T$12)),TYPE(VLOOKUP("Да",(INDIRECT("AA"&amp;(MAX((1=Z$12:Z268)*ROW(Z$12:Z268),ROW($T$12))&amp;":AA"&amp;(ROW()-1)))),1,0))=16),MIN(LOOKUP(,-1/($Z$12:Z269=1),$C$12:C269)+LOOKUP(,-1/($Z$12:Z269=1),$H$12:H269),Первоначальный[[#This Row],[Полученный платеж]]+Y268),
AND(S268=0,TYPE(VLOOKUP("Да",(INDIRECT("AA"&amp;(MAX((1=Z$12:Z268)*ROW(Z$12:Z268),ROW($T$12))&amp;":AA"&amp;(ROW()-1)))),1,0))&lt;&gt;16),MIN(LOOKUP(,-1/($Z$12:Z269=1),$C$12:C269)+LOOKUP(,-1/($Z$12:Z269=1),$H$12:H269)-IF(AA268="Да",0,SUM(INDIRECT("T"&amp;(MAX(("Да"=AA$12:AA268)*ROW(AA$12:AA268)+1,ROW($T$12))&amp;":T"&amp;(ROW()-1))))),Первоначальный[[#This Row],[Полученный платеж]]+Y268),
AND(S268=0,MAX((0&lt;&gt;N$12:N268)*ROW(N$12:N268),ROW($S$12))&gt;=MAX((1=Z$12:Z268)*ROW(Z$12:Z268),ROW($T$12))),MIN(LOOKUP(,-1/($Z$12:Z269=1),$C$12:C269)+LOOKUP(,-1/($Z$12:Z269=1),$H$12:H269)-IF(N268&lt;&gt;0,0,SUM(INDIRECT("T"&amp;(MAX((0&lt;&gt;N$12:N268)*ROW(N$12:N268)+1,ROW($T$12))&amp;":T"&amp;(ROW()-1))))),Первоначальный[[#This Row],[Полученный платеж]]+Y268),
AND(S268=0,Первоначальный[[#This Row],[Дата платежа из графика]]=1),MIN(LOOKUP(,-1/($Z$12:Z269=1),$C$12:C269)+LOOKUP(,-1/($Z$12:Z269=1),$H$12:H269)-IF(Z268=1,0,SUM(INDIRECT("T"&amp;(MAX((1=Z$12:Z268)*ROW(Z$12:Z268)+1,ROW($T$12))&amp;":T"&amp;(ROW()-1))))),Первоначальный[[#This Row],[Полученный платеж]]+Y268),
AND(Z268&gt;0,Первоначальный[[#This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платеж]]+Y268),
AND(S268&gt;0,MAX((0&lt;&gt;S$12:S268)*ROW(S$12:S268),ROW($S$12))&gt;=MAX((1=Z$12:Z268)*ROW(Z$12:Z268),ROW($T$12)),TYPE(VLOOKUP("Да",(INDIRECT("AA"&amp;(MAX((1=Z$12:Z268)*ROW(Z$12:Z268),ROW($T$12))&amp;":AA"&amp;(ROW()-1)))),1,0))=16),MIN(LOOKUP(,-1/($Z$12:Z269=1),$C$12:C269)+LOOKUP(,-1/($Z$12:Z269=1),$H$12:H269)-SUM(INDIRECT("T"&amp;(MAX((1=Z$12:Z268)*ROW(Z$12:Z268),ROW($T$12))&amp;":T"&amp;(ROW()-1)))),Первоначальный[[#This Row],[Полученный платеж]]+Y268),
S268&gt;0,MIN(LOOKUP(,-1/($Z$12:Z269=1),$C$12:C269)+LOOKUP(,-1/($Z$12:Z269=1),$H$12:H269)-IF(Z268=1,0,SUM(INDIRECT("T"&amp;(MAX((1=Z$12:Z268)*ROW(Z$12:Z268)+1,ROW($T$12))&amp;":T"&amp;(ROW()-1))))),Первоначальный[[#This Row],[Полученный платеж]]+Y268)
)
)
)</f>
        <v>0</v>
      </c>
      <c r="U26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платеж]]+Y268-Первоначальный[[#This Row],[Полученный платёж по процентам]])</f>
        <v>0</v>
      </c>
      <c r="V269" s="55">
        <f t="shared" ref="V269:V332" ca="1" si="49">MAX(MIN(SUM(O269,Y268)-SUM(T269:T269),SUM(E269,J269)),0)</f>
        <v>0</v>
      </c>
      <c r="W269" s="55" cm="1">
        <f t="array" aca="1" ref="W269" ca="1">IF(Первоначальный[[#This Row],[Итого остаток на начало периода]]&lt;1,0,
_xlfn.IFS(
AND(TYPE(VLOOKUP(1,$Z$12:Z269,1,0))=16,Первоначальный[[#This Row],[Досрочное погашение (да/"")]]=""),0,
AND(S268=0,Первоначальный[[#This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платеж]]+Y268-SUM(Первоначальный[[#This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комиссиям]]),VLOOKUP(LOOKUP(,-1/($Z$12:Z269=1),$A$12:A269),График[[Срок конец]:[Возврат основной суммы долга]],3,0)),
AND(S268=0,Первоначальный[[#This Row],[Дата платежа из графика]]="",Первоначальный[[#This Row],[Досрочное погашение (да/"")]]&lt;&gt;"Да"),0,
AND(S268=0,Первоначальный[[#This Row],[Досрочное погашение (да/"")]]=""),MIN(Первоначальный[[#This Row],[Полученный платеж]]+Y268-SUM(Первоначальный[[#This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комиссиям]]),VLOOKUP(LOOKUP(,-1/($Z$12:Z269=1),$A$12:A269),График[[Срок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платеж]]+Y268-SUM(Первоначальный[[#This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S268&gt;0,MIN(Первоначальный[[#This Row],[Полученный платеж]]+Y268-SUM(Первоначальный[[#This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комиссиям]]),SUM(INDIRECT("M"&amp;(MAX((1=S$12:S268)*ROW(S$12:S268),ROW($W$12))&amp;":M"&amp;(ROW()))))-SUM(INDIRECT("W"&amp;(MAX((1=S$12:S268)*ROW(S$12:S268),ROW($W$12))&amp;":W"&amp;(ROW()-1)))))
)
)</f>
        <v>0</v>
      </c>
      <c r="X269" s="55">
        <f t="shared" ref="X269:X332" ca="1" si="50">MAX(MIN(SUM(O269,Y268)-SUM(T269:W269),SUM(F269,K269)),0)</f>
        <v>0</v>
      </c>
      <c r="Y269" s="101">
        <f t="shared" ca="1" si="45"/>
        <v>0</v>
      </c>
      <c r="Z269" s="133" t="str">
        <f>IF(TYPE((VLOOKUP(Первоначальный[[#This Row],[Дата платежа]],График[Срок конец],1,0)))=16,"",1)</f>
        <v/>
      </c>
      <c r="AA269" s="57"/>
      <c r="AB269" s="134"/>
      <c r="AC26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6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15762.230000000016</v>
      </c>
      <c r="AE26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133.04999999999993</v>
      </c>
      <c r="AF26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6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7854.3830409836055</v>
      </c>
      <c r="AH269" s="55"/>
      <c r="AI269" s="55"/>
      <c r="AJ269" s="55"/>
      <c r="AK269" s="101">
        <f t="shared" ca="1" si="46"/>
        <v>173383.0030409836</v>
      </c>
      <c r="AL269" s="129">
        <f t="array" ref="AL269">MAX((УслРестрактов[Характеристика]="Дата реструктуризации")*(УслРестрактов[Значение]=Первоначальный!$A269),0)</f>
        <v>0</v>
      </c>
    </row>
    <row r="270" spans="1:38" x14ac:dyDescent="0.25">
      <c r="A270" s="97">
        <f t="shared" ref="A270:A333" si="51">A269+1</f>
        <v>44401</v>
      </c>
      <c r="B270" s="100">
        <f t="shared" ref="B270:B333" ca="1" si="52">AC269</f>
        <v>149633.34</v>
      </c>
      <c r="C270" s="55">
        <f t="shared" ca="1" si="48"/>
        <v>15762.230000000016</v>
      </c>
      <c r="D270" s="55">
        <f t="shared" ca="1" si="48"/>
        <v>133.04999999999993</v>
      </c>
      <c r="E270" s="55">
        <f t="shared" ref="E270:E333" ca="1" si="53">AF269</f>
        <v>0</v>
      </c>
      <c r="F270" s="55">
        <f t="shared" ref="F270:F333" ca="1" si="54">AG269+AH269</f>
        <v>7854.3830409836055</v>
      </c>
      <c r="G270" s="101">
        <f t="shared" ref="G270:G333" ca="1" si="55">AK269</f>
        <v>173383.0030409836</v>
      </c>
      <c r="H270" s="100">
        <f ca="1">ROUND($B270*VLOOKUP($A270,$A$1:$B$10,2,1)/(365+IF(MOD(YEAR($A270),4),0,1)*($A270-$A269)),2)-Первоначальный[[#This Row],[Проценты на просроченный платеж по ОД за период]]</f>
        <v>80.09</v>
      </c>
      <c r="I270" s="55">
        <f t="shared" ref="I270:I333" ca="1" si="56">ROUND(P269*VLOOKUP($A270,$A$1:$B$10,2,1)/(365+IF(MOD(YEAR($A270),4),0,1)*($A270-$A269)),2)</f>
        <v>1.49</v>
      </c>
      <c r="J270" s="55">
        <v>0</v>
      </c>
      <c r="K270" s="55">
        <f t="shared" ca="1" si="47"/>
        <v>86.84350327868853</v>
      </c>
      <c r="L270" s="55">
        <v>0</v>
      </c>
      <c r="M270" s="113">
        <f>SUMIFS(График[Возврат основной суммы долга],График[Дата с учетом нерабочих дней],$A270)</f>
        <v>0</v>
      </c>
      <c r="N270" s="56">
        <f>SUMIFS(График[Возврат начисленных %],График[Дата с учетом нерабочих дней],$A270)</f>
        <v>0</v>
      </c>
      <c r="O270" s="101">
        <v>0</v>
      </c>
      <c r="P270" s="100" cm="1">
        <f t="array" aca="1" ref="P270" ca="1">MAX(IF(AA269="Да",0,SUM(INDIRECT("M"&amp;(MAX(("Да"=AA$12:AA269)*ROW(AA$12:AA269)+1,ROW($P$12))&amp;":M"&amp;(ROW()))))-SUM(INDIRECT("W"&amp;(MAX(("Да"=AA$12:AA269)*ROW(AA$12:AA269)+1,ROW($P$12))&amp;":W"&amp;(ROW()))))),0)</f>
        <v>2728.4399999999991</v>
      </c>
      <c r="Q270" s="99">
        <f ca="1">MAX(SUM($N$13:N270)-SUM($T$13:T270),0)</f>
        <v>14640.260655737706</v>
      </c>
      <c r="R270" s="99">
        <f ca="1">Первоначальный[[#This Row],[Просроченный платеж по ОД]]+Первоначальный[[#This Row],[Просроченный платеж по процентам]]</f>
        <v>17368.700655737706</v>
      </c>
      <c r="S270" s="120">
        <f ca="1">IF(Первоначальный[[#This Row],[Просроченный платеж]]&lt;1,0,S269+1)</f>
        <v>166</v>
      </c>
      <c r="T270" s="100" cm="1">
        <f t="array" aca="1" ref="T270" ca="1">IF(Первоначальный[[#This Row],[Итого остаток на начало периода]]&lt;1,0,
IF(
AND(TYPE(VLOOKUP(1,$Z$12:Z270,1,0))=16,Первоначальный[[#This Row],[Досрочное погашение (да/"")]]=""),0,
_xlfn.IFS(AND(S269=0,Первоначальный[[#This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платеж]]&lt;&gt;0),MIN(LOOKUP(,-1/($Z$12:Z270=1),$C$12:C270)+LOOKUP(,-1/($Z$12:Z270=1),$H$12:H270),Первоначальный[[#This Row],[Полученный платеж]]+Y269),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платеж]]+Y269,SUM(Первоначальный[[#This Row],[Остаток процентов на начало периода]],Первоначальный[[#This Row],[Проценты за период]])),
AND(S269=0,Первоначальный[[#This Row],[Дата платежа из графика]]=""),0,
AND(S269=0,Первоначальный[[#This Row],[Дата платежа из графика]]=1,MAX((0&lt;&gt;S$12:S269)*ROW(S$12:S269),ROW($S$12))&gt;=MAX((1=Z$12:Z269)*ROW(Z$12:Z269),ROW($T$12)),TYPE(VLOOKUP("Да",(INDIRECT("AA"&amp;(MAX((1=Z$12:Z269)*ROW(Z$12:Z269),ROW($T$12))&amp;":AA"&amp;(ROW()-1)))),1,0))=16),MIN(LOOKUP(,-1/($Z$12:Z270=1),$C$12:C270)+LOOKUP(,-1/($Z$12:Z270=1),$H$12:H270),Первоначальный[[#This Row],[Полученный платеж]]+Y269),
AND(S269=0,TYPE(VLOOKUP("Да",(INDIRECT("AA"&amp;(MAX((1=Z$12:Z269)*ROW(Z$12:Z269),ROW($T$12))&amp;":AA"&amp;(ROW()-1)))),1,0))&lt;&gt;16),MIN(LOOKUP(,-1/($Z$12:Z270=1),$C$12:C270)+LOOKUP(,-1/($Z$12:Z270=1),$H$12:H270)-IF(AA269="Да",0,SUM(INDIRECT("T"&amp;(MAX(("Да"=AA$12:AA269)*ROW(AA$12:AA269)+1,ROW($T$12))&amp;":T"&amp;(ROW()-1))))),Первоначальный[[#This Row],[Полученный платеж]]+Y269),
AND(S269=0,MAX((0&lt;&gt;N$12:N269)*ROW(N$12:N269),ROW($S$12))&gt;=MAX((1=Z$12:Z269)*ROW(Z$12:Z269),ROW($T$12))),MIN(LOOKUP(,-1/($Z$12:Z270=1),$C$12:C270)+LOOKUP(,-1/($Z$12:Z270=1),$H$12:H270)-IF(N269&lt;&gt;0,0,SUM(INDIRECT("T"&amp;(MAX((0&lt;&gt;N$12:N269)*ROW(N$12:N269)+1,ROW($T$12))&amp;":T"&amp;(ROW()-1))))),Первоначальный[[#This Row],[Полученный платеж]]+Y269),
AND(S269=0,Первоначальный[[#This Row],[Дата платежа из графика]]=1),MIN(LOOKUP(,-1/($Z$12:Z270=1),$C$12:C270)+LOOKUP(,-1/($Z$12:Z270=1),$H$12:H270)-IF(Z269=1,0,SUM(INDIRECT("T"&amp;(MAX((1=Z$12:Z269)*ROW(Z$12:Z269)+1,ROW($T$12))&amp;":T"&amp;(ROW()-1))))),Первоначальный[[#This Row],[Полученный платеж]]+Y269),
AND(Z269&gt;0,Первоначальный[[#This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платеж]]+Y269),
AND(S269&gt;0,MAX((0&lt;&gt;S$12:S269)*ROW(S$12:S269),ROW($S$12))&gt;=MAX((1=Z$12:Z269)*ROW(Z$12:Z269),ROW($T$12)),TYPE(VLOOKUP("Да",(INDIRECT("AA"&amp;(MAX((1=Z$12:Z269)*ROW(Z$12:Z269),ROW($T$12))&amp;":AA"&amp;(ROW()-1)))),1,0))=16),MIN(LOOKUP(,-1/($Z$12:Z270=1),$C$12:C270)+LOOKUP(,-1/($Z$12:Z270=1),$H$12:H270)-SUM(INDIRECT("T"&amp;(MAX((1=Z$12:Z269)*ROW(Z$12:Z269),ROW($T$12))&amp;":T"&amp;(ROW()-1)))),Первоначальный[[#This Row],[Полученный платеж]]+Y269),
S269&gt;0,MIN(LOOKUP(,-1/($Z$12:Z270=1),$C$12:C270)+LOOKUP(,-1/($Z$12:Z270=1),$H$12:H270)-IF(Z269=1,0,SUM(INDIRECT("T"&amp;(MAX((1=Z$12:Z269)*ROW(Z$12:Z269)+1,ROW($T$12))&amp;":T"&amp;(ROW()-1))))),Первоначальный[[#This Row],[Полученный платеж]]+Y269)
)
)
)</f>
        <v>0</v>
      </c>
      <c r="U27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платеж]]+Y269-Первоначальный[[#This Row],[Полученный платёж по процентам]])</f>
        <v>0</v>
      </c>
      <c r="V270" s="55">
        <f t="shared" ca="1" si="49"/>
        <v>0</v>
      </c>
      <c r="W270" s="55" cm="1">
        <f t="array" aca="1" ref="W270" ca="1">IF(Первоначальный[[#This Row],[Итого остаток на начало периода]]&lt;1,0,
_xlfn.IFS(
AND(TYPE(VLOOKUP(1,$Z$12:Z270,1,0))=16,Первоначальный[[#This Row],[Досрочное погашение (да/"")]]=""),0,
AND(S269=0,Первоначальный[[#This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платеж]]+Y269-SUM(Первоначальный[[#This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комиссиям]]),VLOOKUP(LOOKUP(,-1/($Z$12:Z270=1),$A$12:A270),График[[Срок конец]:[Возврат основной суммы долга]],3,0)),
AND(S269=0,Первоначальный[[#This Row],[Дата платежа из графика]]="",Первоначальный[[#This Row],[Досрочное погашение (да/"")]]&lt;&gt;"Да"),0,
AND(S269=0,Первоначальный[[#This Row],[Досрочное погашение (да/"")]]=""),MIN(Первоначальный[[#This Row],[Полученный платеж]]+Y269-SUM(Первоначальный[[#This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комиссиям]]),VLOOKUP(LOOKUP(,-1/($Z$12:Z270=1),$A$12:A270),График[[Срок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платеж]]+Y269-SUM(Первоначальный[[#This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S269&gt;0,MIN(Первоначальный[[#This Row],[Полученный платеж]]+Y269-SUM(Первоначальный[[#This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комиссиям]]),SUM(INDIRECT("M"&amp;(MAX((1=S$12:S269)*ROW(S$12:S269),ROW($W$12))&amp;":M"&amp;(ROW()))))-SUM(INDIRECT("W"&amp;(MAX((1=S$12:S269)*ROW(S$12:S269),ROW($W$12))&amp;":W"&amp;(ROW()-1)))))
)
)</f>
        <v>0</v>
      </c>
      <c r="X270" s="55">
        <f t="shared" ca="1" si="50"/>
        <v>0</v>
      </c>
      <c r="Y270" s="101">
        <f t="shared" ref="Y270:Y333" ca="1" si="57">ROUND(Y269+O270-SUM(T270:X270),2)</f>
        <v>0</v>
      </c>
      <c r="Z270" s="133" t="str">
        <f>IF(TYPE((VLOOKUP(Первоначальный[[#This Row],[Дата платежа]],График[Срок конец],1,0)))=16,"",1)</f>
        <v/>
      </c>
      <c r="AA270" s="57"/>
      <c r="AB270" s="134"/>
      <c r="AC27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7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15842.320000000016</v>
      </c>
      <c r="AE27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134.53999999999994</v>
      </c>
      <c r="AF27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7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7941.2265442622938</v>
      </c>
      <c r="AH270" s="55"/>
      <c r="AI270" s="55"/>
      <c r="AJ270" s="55"/>
      <c r="AK270" s="101">
        <f t="shared" ref="AK270:AK333" ca="1" si="58">SUM(AC270:AJ270)</f>
        <v>173551.4265442623</v>
      </c>
      <c r="AL270" s="129">
        <f t="array" ref="AL270">MAX((УслРестрактов[Характеристика]="Дата реструктуризации")*(УслРестрактов[Значение]=Первоначальный!$A270),0)</f>
        <v>0</v>
      </c>
    </row>
    <row r="271" spans="1:38" x14ac:dyDescent="0.25">
      <c r="A271" s="97">
        <f t="shared" si="51"/>
        <v>44402</v>
      </c>
      <c r="B271" s="100">
        <f t="shared" ca="1" si="52"/>
        <v>149633.34</v>
      </c>
      <c r="C271" s="55">
        <f t="shared" ca="1" si="48"/>
        <v>15842.320000000016</v>
      </c>
      <c r="D271" s="55">
        <f t="shared" ca="1" si="48"/>
        <v>134.53999999999994</v>
      </c>
      <c r="E271" s="55">
        <f t="shared" ca="1" si="53"/>
        <v>0</v>
      </c>
      <c r="F271" s="55">
        <f t="shared" ca="1" si="54"/>
        <v>7941.2265442622938</v>
      </c>
      <c r="G271" s="101">
        <f t="shared" ca="1" si="55"/>
        <v>173551.4265442623</v>
      </c>
      <c r="H271" s="100">
        <f ca="1">ROUND($B271*VLOOKUP($A271,$A$1:$B$10,2,1)/(365+IF(MOD(YEAR($A271),4),0,1)*($A271-$A270)),2)-Первоначальный[[#This Row],[Проценты на просроченный платеж по ОД за период]]</f>
        <v>80.09</v>
      </c>
      <c r="I271" s="55">
        <f t="shared" ca="1" si="56"/>
        <v>1.49</v>
      </c>
      <c r="J271" s="55">
        <v>0</v>
      </c>
      <c r="K271" s="55">
        <f t="shared" ref="K271:K334" ca="1" si="59">IF(S271&lt;&gt;0,R271*$B$7,0)</f>
        <v>86.84350327868853</v>
      </c>
      <c r="L271" s="55">
        <v>0</v>
      </c>
      <c r="M271" s="113">
        <f>SUMIFS(График[Возврат основной суммы долга],График[Дата с учетом нерабочих дней],$A271)</f>
        <v>0</v>
      </c>
      <c r="N271" s="56">
        <f>SUMIFS(График[Возврат начисленных %],График[Дата с учетом нерабочих дней],$A271)</f>
        <v>0</v>
      </c>
      <c r="O271" s="101">
        <v>0</v>
      </c>
      <c r="P271" s="100" cm="1">
        <f t="array" aca="1" ref="P271" ca="1">MAX(IF(AA270="Да",0,SUM(INDIRECT("M"&amp;(MAX(("Да"=AA$12:AA270)*ROW(AA$12:AA270)+1,ROW($P$12))&amp;":M"&amp;(ROW()))))-SUM(INDIRECT("W"&amp;(MAX(("Да"=AA$12:AA270)*ROW(AA$12:AA270)+1,ROW($P$12))&amp;":W"&amp;(ROW()))))),0)</f>
        <v>2728.4399999999991</v>
      </c>
      <c r="Q271" s="99">
        <f ca="1">MAX(SUM($N$13:N271)-SUM($T$13:T271),0)</f>
        <v>14640.260655737706</v>
      </c>
      <c r="R271" s="99">
        <f ca="1">Первоначальный[[#This Row],[Просроченный платеж по ОД]]+Первоначальный[[#This Row],[Просроченный платеж по процентам]]</f>
        <v>17368.700655737706</v>
      </c>
      <c r="S271" s="120">
        <f ca="1">IF(Первоначальный[[#This Row],[Просроченный платеж]]&lt;1,0,S270+1)</f>
        <v>167</v>
      </c>
      <c r="T271" s="100" cm="1">
        <f t="array" aca="1" ref="T271" ca="1">IF(Первоначальный[[#This Row],[Итого остаток на начало периода]]&lt;1,0,
IF(
AND(TYPE(VLOOKUP(1,$Z$12:Z271,1,0))=16,Первоначальный[[#This Row],[Досрочное погашение (да/"")]]=""),0,
_xlfn.IFS(AND(S270=0,Первоначальный[[#This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платеж]]&lt;&gt;0),MIN(LOOKUP(,-1/($Z$12:Z271=1),$C$12:C271)+LOOKUP(,-1/($Z$12:Z271=1),$H$12:H271),Первоначальный[[#This Row],[Полученный платеж]]+Y270),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платеж]]+Y270,SUM(Первоначальный[[#This Row],[Остаток процентов на начало периода]],Первоначальный[[#This Row],[Проценты за период]])),
AND(S270=0,Первоначальный[[#This Row],[Дата платежа из графика]]=""),0,
AND(S270=0,Первоначальный[[#This Row],[Дата платежа из графика]]=1,MAX((0&lt;&gt;S$12:S270)*ROW(S$12:S270),ROW($S$12))&gt;=MAX((1=Z$12:Z270)*ROW(Z$12:Z270),ROW($T$12)),TYPE(VLOOKUP("Да",(INDIRECT("AA"&amp;(MAX((1=Z$12:Z270)*ROW(Z$12:Z270),ROW($T$12))&amp;":AA"&amp;(ROW()-1)))),1,0))=16),MIN(LOOKUP(,-1/($Z$12:Z271=1),$C$12:C271)+LOOKUP(,-1/($Z$12:Z271=1),$H$12:H271),Первоначальный[[#This Row],[Полученный платеж]]+Y270),
AND(S270=0,TYPE(VLOOKUP("Да",(INDIRECT("AA"&amp;(MAX((1=Z$12:Z270)*ROW(Z$12:Z270),ROW($T$12))&amp;":AA"&amp;(ROW()-1)))),1,0))&lt;&gt;16),MIN(LOOKUP(,-1/($Z$12:Z271=1),$C$12:C271)+LOOKUP(,-1/($Z$12:Z271=1),$H$12:H271)-IF(AA270="Да",0,SUM(INDIRECT("T"&amp;(MAX(("Да"=AA$12:AA270)*ROW(AA$12:AA270)+1,ROW($T$12))&amp;":T"&amp;(ROW()-1))))),Первоначальный[[#This Row],[Полученный платеж]]+Y270),
AND(S270=0,MAX((0&lt;&gt;N$12:N270)*ROW(N$12:N270),ROW($S$12))&gt;=MAX((1=Z$12:Z270)*ROW(Z$12:Z270),ROW($T$12))),MIN(LOOKUP(,-1/($Z$12:Z271=1),$C$12:C271)+LOOKUP(,-1/($Z$12:Z271=1),$H$12:H271)-IF(N270&lt;&gt;0,0,SUM(INDIRECT("T"&amp;(MAX((0&lt;&gt;N$12:N270)*ROW(N$12:N270)+1,ROW($T$12))&amp;":T"&amp;(ROW()-1))))),Первоначальный[[#This Row],[Полученный платеж]]+Y270),
AND(S270=0,Первоначальный[[#This Row],[Дата платежа из графика]]=1),MIN(LOOKUP(,-1/($Z$12:Z271=1),$C$12:C271)+LOOKUP(,-1/($Z$12:Z271=1),$H$12:H271)-IF(Z270=1,0,SUM(INDIRECT("T"&amp;(MAX((1=Z$12:Z270)*ROW(Z$12:Z270)+1,ROW($T$12))&amp;":T"&amp;(ROW()-1))))),Первоначальный[[#This Row],[Полученный платеж]]+Y270),
AND(Z270&gt;0,Первоначальный[[#This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платеж]]+Y270),
AND(S270&gt;0,MAX((0&lt;&gt;S$12:S270)*ROW(S$12:S270),ROW($S$12))&gt;=MAX((1=Z$12:Z270)*ROW(Z$12:Z270),ROW($T$12)),TYPE(VLOOKUP("Да",(INDIRECT("AA"&amp;(MAX((1=Z$12:Z270)*ROW(Z$12:Z270),ROW($T$12))&amp;":AA"&amp;(ROW()-1)))),1,0))=16),MIN(LOOKUP(,-1/($Z$12:Z271=1),$C$12:C271)+LOOKUP(,-1/($Z$12:Z271=1),$H$12:H271)-SUM(INDIRECT("T"&amp;(MAX((1=Z$12:Z270)*ROW(Z$12:Z270),ROW($T$12))&amp;":T"&amp;(ROW()-1)))),Первоначальный[[#This Row],[Полученный платеж]]+Y270),
S270&gt;0,MIN(LOOKUP(,-1/($Z$12:Z271=1),$C$12:C271)+LOOKUP(,-1/($Z$12:Z271=1),$H$12:H271)-IF(Z270=1,0,SUM(INDIRECT("T"&amp;(MAX((1=Z$12:Z270)*ROW(Z$12:Z270)+1,ROW($T$12))&amp;":T"&amp;(ROW()-1))))),Первоначальный[[#This Row],[Полученный платеж]]+Y270)
)
)
)</f>
        <v>0</v>
      </c>
      <c r="U27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платеж]]+Y270-Первоначальный[[#This Row],[Полученный платёж по процентам]])</f>
        <v>0</v>
      </c>
      <c r="V271" s="55">
        <f t="shared" ca="1" si="49"/>
        <v>0</v>
      </c>
      <c r="W271" s="55" cm="1">
        <f t="array" aca="1" ref="W271" ca="1">IF(Первоначальный[[#This Row],[Итого остаток на начало периода]]&lt;1,0,
_xlfn.IFS(
AND(TYPE(VLOOKUP(1,$Z$12:Z271,1,0))=16,Первоначальный[[#This Row],[Досрочное погашение (да/"")]]=""),0,
AND(S270=0,Первоначальный[[#This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платеж]]+Y270-SUM(Первоначальный[[#This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комиссиям]]),VLOOKUP(LOOKUP(,-1/($Z$12:Z271=1),$A$12:A271),График[[Срок конец]:[Возврат основной суммы долга]],3,0)),
AND(S270=0,Первоначальный[[#This Row],[Дата платежа из графика]]="",Первоначальный[[#This Row],[Досрочное погашение (да/"")]]&lt;&gt;"Да"),0,
AND(S270=0,Первоначальный[[#This Row],[Досрочное погашение (да/"")]]=""),MIN(Первоначальный[[#This Row],[Полученный платеж]]+Y270-SUM(Первоначальный[[#This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комиссиям]]),VLOOKUP(LOOKUP(,-1/($Z$12:Z271=1),$A$12:A271),График[[Срок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платеж]]+Y270-SUM(Первоначальный[[#This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S270&gt;0,MIN(Первоначальный[[#This Row],[Полученный платеж]]+Y270-SUM(Первоначальный[[#This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комиссиям]]),SUM(INDIRECT("M"&amp;(MAX((1=S$12:S270)*ROW(S$12:S270),ROW($W$12))&amp;":M"&amp;(ROW()))))-SUM(INDIRECT("W"&amp;(MAX((1=S$12:S270)*ROW(S$12:S270),ROW($W$12))&amp;":W"&amp;(ROW()-1)))))
)
)</f>
        <v>0</v>
      </c>
      <c r="X271" s="55">
        <f t="shared" ca="1" si="50"/>
        <v>0</v>
      </c>
      <c r="Y271" s="101">
        <f t="shared" ca="1" si="57"/>
        <v>0</v>
      </c>
      <c r="Z271" s="133" t="str">
        <f>IF(TYPE((VLOOKUP(Первоначальный[[#This Row],[Дата платежа]],График[Срок конец],1,0)))=16,"",1)</f>
        <v/>
      </c>
      <c r="AA271" s="57"/>
      <c r="AB271" s="134"/>
      <c r="AC27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7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15922.410000000016</v>
      </c>
      <c r="AE27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136.02999999999994</v>
      </c>
      <c r="AF27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7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8028.0700475409822</v>
      </c>
      <c r="AH271" s="55"/>
      <c r="AI271" s="55"/>
      <c r="AJ271" s="55"/>
      <c r="AK271" s="101">
        <f t="shared" ca="1" si="58"/>
        <v>173719.85004754097</v>
      </c>
      <c r="AL271" s="129">
        <f t="array" ref="AL271">MAX((УслРестрактов[Характеристика]="Дата реструктуризации")*(УслРестрактов[Значение]=Первоначальный!$A271),0)</f>
        <v>0</v>
      </c>
    </row>
    <row r="272" spans="1:38" x14ac:dyDescent="0.25">
      <c r="A272" s="97">
        <f t="shared" si="51"/>
        <v>44403</v>
      </c>
      <c r="B272" s="100">
        <f t="shared" ca="1" si="52"/>
        <v>149633.34</v>
      </c>
      <c r="C272" s="55">
        <f t="shared" ca="1" si="48"/>
        <v>15922.410000000016</v>
      </c>
      <c r="D272" s="55">
        <f t="shared" ca="1" si="48"/>
        <v>136.02999999999994</v>
      </c>
      <c r="E272" s="55">
        <f t="shared" ca="1" si="53"/>
        <v>0</v>
      </c>
      <c r="F272" s="55">
        <f t="shared" ca="1" si="54"/>
        <v>8028.0700475409822</v>
      </c>
      <c r="G272" s="101">
        <f t="shared" ca="1" si="55"/>
        <v>173719.85004754097</v>
      </c>
      <c r="H272" s="100">
        <f ca="1">ROUND($B272*VLOOKUP($A272,$A$1:$B$10,2,1)/(365+IF(MOD(YEAR($A272),4),0,1)*($A272-$A271)),2)-Первоначальный[[#This Row],[Проценты на просроченный платеж по ОД за период]]</f>
        <v>80.09</v>
      </c>
      <c r="I272" s="55">
        <f t="shared" ca="1" si="56"/>
        <v>1.49</v>
      </c>
      <c r="J272" s="55">
        <v>0</v>
      </c>
      <c r="K272" s="55">
        <f t="shared" ca="1" si="59"/>
        <v>86.84350327868853</v>
      </c>
      <c r="L272" s="55">
        <v>0</v>
      </c>
      <c r="M272" s="113">
        <f>SUMIFS(График[Возврат основной суммы долга],График[Дата с учетом нерабочих дней],$A272)</f>
        <v>0</v>
      </c>
      <c r="N272" s="56">
        <f>SUMIFS(График[Возврат начисленных %],График[Дата с учетом нерабочих дней],$A272)</f>
        <v>0</v>
      </c>
      <c r="O272" s="101">
        <v>0</v>
      </c>
      <c r="P272" s="100" cm="1">
        <f t="array" aca="1" ref="P272" ca="1">MAX(IF(AA271="Да",0,SUM(INDIRECT("M"&amp;(MAX(("Да"=AA$12:AA271)*ROW(AA$12:AA271)+1,ROW($P$12))&amp;":M"&amp;(ROW()))))-SUM(INDIRECT("W"&amp;(MAX(("Да"=AA$12:AA271)*ROW(AA$12:AA271)+1,ROW($P$12))&amp;":W"&amp;(ROW()))))),0)</f>
        <v>2728.4399999999991</v>
      </c>
      <c r="Q272" s="99">
        <f ca="1">MAX(SUM($N$13:N272)-SUM($T$13:T272),0)</f>
        <v>14640.260655737706</v>
      </c>
      <c r="R272" s="99">
        <f ca="1">Первоначальный[[#This Row],[Просроченный платеж по ОД]]+Первоначальный[[#This Row],[Просроченный платеж по процентам]]</f>
        <v>17368.700655737706</v>
      </c>
      <c r="S272" s="120">
        <f ca="1">IF(Первоначальный[[#This Row],[Просроченный платеж]]&lt;1,0,S271+1)</f>
        <v>168</v>
      </c>
      <c r="T272" s="100" cm="1">
        <f t="array" aca="1" ref="T272" ca="1">IF(Первоначальный[[#This Row],[Итого остаток на начало периода]]&lt;1,0,
IF(
AND(TYPE(VLOOKUP(1,$Z$12:Z272,1,0))=16,Первоначальный[[#This Row],[Досрочное погашение (да/"")]]=""),0,
_xlfn.IFS(AND(S271=0,Первоначальный[[#This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платеж]]&lt;&gt;0),MIN(LOOKUP(,-1/($Z$12:Z272=1),$C$12:C272)+LOOKUP(,-1/($Z$12:Z272=1),$H$12:H272),Первоначальный[[#This Row],[Полученный платеж]]+Y271),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платеж]]+Y271,SUM(Первоначальный[[#This Row],[Остаток процентов на начало периода]],Первоначальный[[#This Row],[Проценты за период]])),
AND(S271=0,Первоначальный[[#This Row],[Дата платежа из графика]]=""),0,
AND(S271=0,Первоначальный[[#This Row],[Дата платежа из графика]]=1,MAX((0&lt;&gt;S$12:S271)*ROW(S$12:S271),ROW($S$12))&gt;=MAX((1=Z$12:Z271)*ROW(Z$12:Z271),ROW($T$12)),TYPE(VLOOKUP("Да",(INDIRECT("AA"&amp;(MAX((1=Z$12:Z271)*ROW(Z$12:Z271),ROW($T$12))&amp;":AA"&amp;(ROW()-1)))),1,0))=16),MIN(LOOKUP(,-1/($Z$12:Z272=1),$C$12:C272)+LOOKUP(,-1/($Z$12:Z272=1),$H$12:H272),Первоначальный[[#This Row],[Полученный платеж]]+Y271),
AND(S271=0,TYPE(VLOOKUP("Да",(INDIRECT("AA"&amp;(MAX((1=Z$12:Z271)*ROW(Z$12:Z271),ROW($T$12))&amp;":AA"&amp;(ROW()-1)))),1,0))&lt;&gt;16),MIN(LOOKUP(,-1/($Z$12:Z272=1),$C$12:C272)+LOOKUP(,-1/($Z$12:Z272=1),$H$12:H272)-IF(AA271="Да",0,SUM(INDIRECT("T"&amp;(MAX(("Да"=AA$12:AA271)*ROW(AA$12:AA271)+1,ROW($T$12))&amp;":T"&amp;(ROW()-1))))),Первоначальный[[#This Row],[Полученный платеж]]+Y271),
AND(S271=0,MAX((0&lt;&gt;N$12:N271)*ROW(N$12:N271),ROW($S$12))&gt;=MAX((1=Z$12:Z271)*ROW(Z$12:Z271),ROW($T$12))),MIN(LOOKUP(,-1/($Z$12:Z272=1),$C$12:C272)+LOOKUP(,-1/($Z$12:Z272=1),$H$12:H272)-IF(N271&lt;&gt;0,0,SUM(INDIRECT("T"&amp;(MAX((0&lt;&gt;N$12:N271)*ROW(N$12:N271)+1,ROW($T$12))&amp;":T"&amp;(ROW()-1))))),Первоначальный[[#This Row],[Полученный платеж]]+Y271),
AND(S271=0,Первоначальный[[#This Row],[Дата платежа из графика]]=1),MIN(LOOKUP(,-1/($Z$12:Z272=1),$C$12:C272)+LOOKUP(,-1/($Z$12:Z272=1),$H$12:H272)-IF(Z271=1,0,SUM(INDIRECT("T"&amp;(MAX((1=Z$12:Z271)*ROW(Z$12:Z271)+1,ROW($T$12))&amp;":T"&amp;(ROW()-1))))),Первоначальный[[#This Row],[Полученный платеж]]+Y271),
AND(Z271&gt;0,Первоначальный[[#This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платеж]]+Y271),
AND(S271&gt;0,MAX((0&lt;&gt;S$12:S271)*ROW(S$12:S271),ROW($S$12))&gt;=MAX((1=Z$12:Z271)*ROW(Z$12:Z271),ROW($T$12)),TYPE(VLOOKUP("Да",(INDIRECT("AA"&amp;(MAX((1=Z$12:Z271)*ROW(Z$12:Z271),ROW($T$12))&amp;":AA"&amp;(ROW()-1)))),1,0))=16),MIN(LOOKUP(,-1/($Z$12:Z272=1),$C$12:C272)+LOOKUP(,-1/($Z$12:Z272=1),$H$12:H272)-SUM(INDIRECT("T"&amp;(MAX((1=Z$12:Z271)*ROW(Z$12:Z271),ROW($T$12))&amp;":T"&amp;(ROW()-1)))),Первоначальный[[#This Row],[Полученный платеж]]+Y271),
S271&gt;0,MIN(LOOKUP(,-1/($Z$12:Z272=1),$C$12:C272)+LOOKUP(,-1/($Z$12:Z272=1),$H$12:H272)-IF(Z271=1,0,SUM(INDIRECT("T"&amp;(MAX((1=Z$12:Z271)*ROW(Z$12:Z271)+1,ROW($T$12))&amp;":T"&amp;(ROW()-1))))),Первоначальный[[#This Row],[Полученный платеж]]+Y271)
)
)
)</f>
        <v>0</v>
      </c>
      <c r="U27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платеж]]+Y271-Первоначальный[[#This Row],[Полученный платёж по процентам]])</f>
        <v>0</v>
      </c>
      <c r="V272" s="55">
        <f t="shared" ca="1" si="49"/>
        <v>0</v>
      </c>
      <c r="W272" s="55" cm="1">
        <f t="array" aca="1" ref="W272" ca="1">IF(Первоначальный[[#This Row],[Итого остаток на начало периода]]&lt;1,0,
_xlfn.IFS(
AND(TYPE(VLOOKUP(1,$Z$12:Z272,1,0))=16,Первоначальный[[#This Row],[Досрочное погашение (да/"")]]=""),0,
AND(S271=0,Первоначальный[[#This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платеж]]+Y271-SUM(Первоначальный[[#This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комиссиям]]),VLOOKUP(LOOKUP(,-1/($Z$12:Z272=1),$A$12:A272),График[[Срок конец]:[Возврат основной суммы долга]],3,0)),
AND(S271=0,Первоначальный[[#This Row],[Дата платежа из графика]]="",Первоначальный[[#This Row],[Досрочное погашение (да/"")]]&lt;&gt;"Да"),0,
AND(S271=0,Первоначальный[[#This Row],[Досрочное погашение (да/"")]]=""),MIN(Первоначальный[[#This Row],[Полученный платеж]]+Y271-SUM(Первоначальный[[#This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комиссиям]]),VLOOKUP(LOOKUP(,-1/($Z$12:Z272=1),$A$12:A272),График[[Срок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платеж]]+Y271-SUM(Первоначальный[[#This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S271&gt;0,MIN(Первоначальный[[#This Row],[Полученный платеж]]+Y271-SUM(Первоначальный[[#This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комиссиям]]),SUM(INDIRECT("M"&amp;(MAX((1=S$12:S271)*ROW(S$12:S271),ROW($W$12))&amp;":M"&amp;(ROW()))))-SUM(INDIRECT("W"&amp;(MAX((1=S$12:S271)*ROW(S$12:S271),ROW($W$12))&amp;":W"&amp;(ROW()-1)))))
)
)</f>
        <v>0</v>
      </c>
      <c r="X272" s="55">
        <f t="shared" ca="1" si="50"/>
        <v>0</v>
      </c>
      <c r="Y272" s="101">
        <f t="shared" ca="1" si="57"/>
        <v>0</v>
      </c>
      <c r="Z272" s="133" t="str">
        <f>IF(TYPE((VLOOKUP(Первоначальный[[#This Row],[Дата платежа]],График[Срок конец],1,0)))=16,"",1)</f>
        <v/>
      </c>
      <c r="AA272" s="57"/>
      <c r="AB272" s="134"/>
      <c r="AC27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7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16002.500000000016</v>
      </c>
      <c r="AE27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137.51999999999995</v>
      </c>
      <c r="AF27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7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8114.9135508196705</v>
      </c>
      <c r="AH272" s="55"/>
      <c r="AI272" s="55"/>
      <c r="AJ272" s="55"/>
      <c r="AK272" s="101">
        <f t="shared" ca="1" si="58"/>
        <v>173888.27355081969</v>
      </c>
      <c r="AL272" s="129">
        <f t="array" ref="AL272">MAX((УслРестрактов[Характеристика]="Дата реструктуризации")*(УслРестрактов[Значение]=Первоначальный!$A272),0)</f>
        <v>0</v>
      </c>
    </row>
    <row r="273" spans="1:38" x14ac:dyDescent="0.25">
      <c r="A273" s="97">
        <f t="shared" si="51"/>
        <v>44404</v>
      </c>
      <c r="B273" s="100">
        <f t="shared" ca="1" si="52"/>
        <v>149633.34</v>
      </c>
      <c r="C273" s="55">
        <f t="shared" ca="1" si="48"/>
        <v>16002.500000000016</v>
      </c>
      <c r="D273" s="55">
        <f t="shared" ca="1" si="48"/>
        <v>137.51999999999995</v>
      </c>
      <c r="E273" s="55">
        <f t="shared" ca="1" si="53"/>
        <v>0</v>
      </c>
      <c r="F273" s="55">
        <f t="shared" ca="1" si="54"/>
        <v>8114.9135508196705</v>
      </c>
      <c r="G273" s="101">
        <f t="shared" ca="1" si="55"/>
        <v>173888.27355081969</v>
      </c>
      <c r="H273" s="100">
        <f ca="1">ROUND($B273*VLOOKUP($A273,$A$1:$B$10,2,1)/(365+IF(MOD(YEAR($A273),4),0,1)*($A273-$A272)),2)-Первоначальный[[#This Row],[Проценты на просроченный платеж по ОД за период]]</f>
        <v>80.09</v>
      </c>
      <c r="I273" s="55">
        <f t="shared" ca="1" si="56"/>
        <v>1.49</v>
      </c>
      <c r="J273" s="55">
        <v>0</v>
      </c>
      <c r="K273" s="55">
        <f t="shared" ca="1" si="59"/>
        <v>86.84350327868853</v>
      </c>
      <c r="L273" s="55">
        <v>0</v>
      </c>
      <c r="M273" s="113">
        <f>SUMIFS(График[Возврат основной суммы долга],График[Дата с учетом нерабочих дней],$A273)</f>
        <v>0</v>
      </c>
      <c r="N273" s="56">
        <f>SUMIFS(График[Возврат начисленных %],График[Дата с учетом нерабочих дней],$A273)</f>
        <v>0</v>
      </c>
      <c r="O273" s="101">
        <v>0</v>
      </c>
      <c r="P273" s="100" cm="1">
        <f t="array" aca="1" ref="P273" ca="1">MAX(IF(AA272="Да",0,SUM(INDIRECT("M"&amp;(MAX(("Да"=AA$12:AA272)*ROW(AA$12:AA272)+1,ROW($P$12))&amp;":M"&amp;(ROW()))))-SUM(INDIRECT("W"&amp;(MAX(("Да"=AA$12:AA272)*ROW(AA$12:AA272)+1,ROW($P$12))&amp;":W"&amp;(ROW()))))),0)</f>
        <v>2728.4399999999991</v>
      </c>
      <c r="Q273" s="99">
        <f ca="1">MAX(SUM($N$13:N273)-SUM($T$13:T273),0)</f>
        <v>14640.260655737706</v>
      </c>
      <c r="R273" s="99">
        <f ca="1">Первоначальный[[#This Row],[Просроченный платеж по ОД]]+Первоначальный[[#This Row],[Просроченный платеж по процентам]]</f>
        <v>17368.700655737706</v>
      </c>
      <c r="S273" s="120">
        <f ca="1">IF(Первоначальный[[#This Row],[Просроченный платеж]]&lt;1,0,S272+1)</f>
        <v>169</v>
      </c>
      <c r="T273" s="100" cm="1">
        <f t="array" aca="1" ref="T273" ca="1">IF(Первоначальный[[#This Row],[Итого остаток на начало периода]]&lt;1,0,
IF(
AND(TYPE(VLOOKUP(1,$Z$12:Z273,1,0))=16,Первоначальный[[#This Row],[Досрочное погашение (да/"")]]=""),0,
_xlfn.IFS(AND(S272=0,Первоначальный[[#This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платеж]]&lt;&gt;0),MIN(LOOKUP(,-1/($Z$12:Z273=1),$C$12:C273)+LOOKUP(,-1/($Z$12:Z273=1),$H$12:H273),Первоначальный[[#This Row],[Полученный платеж]]+Y272),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платеж]]+Y272,SUM(Первоначальный[[#This Row],[Остаток процентов на начало периода]],Первоначальный[[#This Row],[Проценты за период]])),
AND(S272=0,Первоначальный[[#This Row],[Дата платежа из графика]]=""),0,
AND(S272=0,Первоначальный[[#This Row],[Дата платежа из графика]]=1,MAX((0&lt;&gt;S$12:S272)*ROW(S$12:S272),ROW($S$12))&gt;=MAX((1=Z$12:Z272)*ROW(Z$12:Z272),ROW($T$12)),TYPE(VLOOKUP("Да",(INDIRECT("AA"&amp;(MAX((1=Z$12:Z272)*ROW(Z$12:Z272),ROW($T$12))&amp;":AA"&amp;(ROW()-1)))),1,0))=16),MIN(LOOKUP(,-1/($Z$12:Z273=1),$C$12:C273)+LOOKUP(,-1/($Z$12:Z273=1),$H$12:H273),Первоначальный[[#This Row],[Полученный платеж]]+Y272),
AND(S272=0,TYPE(VLOOKUP("Да",(INDIRECT("AA"&amp;(MAX((1=Z$12:Z272)*ROW(Z$12:Z272),ROW($T$12))&amp;":AA"&amp;(ROW()-1)))),1,0))&lt;&gt;16),MIN(LOOKUP(,-1/($Z$12:Z273=1),$C$12:C273)+LOOKUP(,-1/($Z$12:Z273=1),$H$12:H273)-IF(AA272="Да",0,SUM(INDIRECT("T"&amp;(MAX(("Да"=AA$12:AA272)*ROW(AA$12:AA272)+1,ROW($T$12))&amp;":T"&amp;(ROW()-1))))),Первоначальный[[#This Row],[Полученный платеж]]+Y272),
AND(S272=0,MAX((0&lt;&gt;N$12:N272)*ROW(N$12:N272),ROW($S$12))&gt;=MAX((1=Z$12:Z272)*ROW(Z$12:Z272),ROW($T$12))),MIN(LOOKUP(,-1/($Z$12:Z273=1),$C$12:C273)+LOOKUP(,-1/($Z$12:Z273=1),$H$12:H273)-IF(N272&lt;&gt;0,0,SUM(INDIRECT("T"&amp;(MAX((0&lt;&gt;N$12:N272)*ROW(N$12:N272)+1,ROW($T$12))&amp;":T"&amp;(ROW()-1))))),Первоначальный[[#This Row],[Полученный платеж]]+Y272),
AND(S272=0,Первоначальный[[#This Row],[Дата платежа из графика]]=1),MIN(LOOKUP(,-1/($Z$12:Z273=1),$C$12:C273)+LOOKUP(,-1/($Z$12:Z273=1),$H$12:H273)-IF(Z272=1,0,SUM(INDIRECT("T"&amp;(MAX((1=Z$12:Z272)*ROW(Z$12:Z272)+1,ROW($T$12))&amp;":T"&amp;(ROW()-1))))),Первоначальный[[#This Row],[Полученный платеж]]+Y272),
AND(Z272&gt;0,Первоначальный[[#This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платеж]]+Y272),
AND(S272&gt;0,MAX((0&lt;&gt;S$12:S272)*ROW(S$12:S272),ROW($S$12))&gt;=MAX((1=Z$12:Z272)*ROW(Z$12:Z272),ROW($T$12)),TYPE(VLOOKUP("Да",(INDIRECT("AA"&amp;(MAX((1=Z$12:Z272)*ROW(Z$12:Z272),ROW($T$12))&amp;":AA"&amp;(ROW()-1)))),1,0))=16),MIN(LOOKUP(,-1/($Z$12:Z273=1),$C$12:C273)+LOOKUP(,-1/($Z$12:Z273=1),$H$12:H273)-SUM(INDIRECT("T"&amp;(MAX((1=Z$12:Z272)*ROW(Z$12:Z272),ROW($T$12))&amp;":T"&amp;(ROW()-1)))),Первоначальный[[#This Row],[Полученный платеж]]+Y272),
S272&gt;0,MIN(LOOKUP(,-1/($Z$12:Z273=1),$C$12:C273)+LOOKUP(,-1/($Z$12:Z273=1),$H$12:H273)-IF(Z272=1,0,SUM(INDIRECT("T"&amp;(MAX((1=Z$12:Z272)*ROW(Z$12:Z272)+1,ROW($T$12))&amp;":T"&amp;(ROW()-1))))),Первоначальный[[#This Row],[Полученный платеж]]+Y272)
)
)
)</f>
        <v>0</v>
      </c>
      <c r="U27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платеж]]+Y272-Первоначальный[[#This Row],[Полученный платёж по процентам]])</f>
        <v>0</v>
      </c>
      <c r="V273" s="55">
        <f t="shared" ca="1" si="49"/>
        <v>0</v>
      </c>
      <c r="W273" s="55" cm="1">
        <f t="array" aca="1" ref="W273" ca="1">IF(Первоначальный[[#This Row],[Итого остаток на начало периода]]&lt;1,0,
_xlfn.IFS(
AND(TYPE(VLOOKUP(1,$Z$12:Z273,1,0))=16,Первоначальный[[#This Row],[Досрочное погашение (да/"")]]=""),0,
AND(S272=0,Первоначальный[[#This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платеж]]+Y272-SUM(Первоначальный[[#This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комиссиям]]),VLOOKUP(LOOKUP(,-1/($Z$12:Z273=1),$A$12:A273),График[[Срок конец]:[Возврат основной суммы долга]],3,0)),
AND(S272=0,Первоначальный[[#This Row],[Дата платежа из графика]]="",Первоначальный[[#This Row],[Досрочное погашение (да/"")]]&lt;&gt;"Да"),0,
AND(S272=0,Первоначальный[[#This Row],[Досрочное погашение (да/"")]]=""),MIN(Первоначальный[[#This Row],[Полученный платеж]]+Y272-SUM(Первоначальный[[#This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комиссиям]]),VLOOKUP(LOOKUP(,-1/($Z$12:Z273=1),$A$12:A273),График[[Срок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платеж]]+Y272-SUM(Первоначальный[[#This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S272&gt;0,MIN(Первоначальный[[#This Row],[Полученный платеж]]+Y272-SUM(Первоначальный[[#This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комиссиям]]),SUM(INDIRECT("M"&amp;(MAX((1=S$12:S272)*ROW(S$12:S272),ROW($W$12))&amp;":M"&amp;(ROW()))))-SUM(INDIRECT("W"&amp;(MAX((1=S$12:S272)*ROW(S$12:S272),ROW($W$12))&amp;":W"&amp;(ROW()-1)))))
)
)</f>
        <v>0</v>
      </c>
      <c r="X273" s="55">
        <f t="shared" ca="1" si="50"/>
        <v>0</v>
      </c>
      <c r="Y273" s="101">
        <f t="shared" ca="1" si="57"/>
        <v>0</v>
      </c>
      <c r="Z273" s="133" t="str">
        <f>IF(TYPE((VLOOKUP(Первоначальный[[#This Row],[Дата платежа]],График[Срок конец],1,0)))=16,"",1)</f>
        <v/>
      </c>
      <c r="AA273" s="57"/>
      <c r="AB273" s="134"/>
      <c r="AC27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7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16082.590000000017</v>
      </c>
      <c r="AE27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139.00999999999996</v>
      </c>
      <c r="AF27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7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8201.7570540983597</v>
      </c>
      <c r="AH273" s="55"/>
      <c r="AI273" s="55"/>
      <c r="AJ273" s="55"/>
      <c r="AK273" s="101">
        <f t="shared" ca="1" si="58"/>
        <v>174056.69705409839</v>
      </c>
      <c r="AL273" s="129">
        <f t="array" ref="AL273">MAX((УслРестрактов[Характеристика]="Дата реструктуризации")*(УслРестрактов[Значение]=Первоначальный!$A273),0)</f>
        <v>0</v>
      </c>
    </row>
    <row r="274" spans="1:38" x14ac:dyDescent="0.25">
      <c r="A274" s="97">
        <f t="shared" si="51"/>
        <v>44405</v>
      </c>
      <c r="B274" s="100">
        <f t="shared" ca="1" si="52"/>
        <v>149633.34</v>
      </c>
      <c r="C274" s="55">
        <f t="shared" ca="1" si="48"/>
        <v>16082.590000000017</v>
      </c>
      <c r="D274" s="55">
        <f t="shared" ca="1" si="48"/>
        <v>139.00999999999996</v>
      </c>
      <c r="E274" s="55">
        <f t="shared" ca="1" si="53"/>
        <v>0</v>
      </c>
      <c r="F274" s="55">
        <f t="shared" ca="1" si="54"/>
        <v>8201.7570540983597</v>
      </c>
      <c r="G274" s="101">
        <f t="shared" ca="1" si="55"/>
        <v>174056.69705409839</v>
      </c>
      <c r="H274" s="100">
        <f ca="1">ROUND($B274*VLOOKUP($A274,$A$1:$B$10,2,1)/(365+IF(MOD(YEAR($A274),4),0,1)*($A274-$A273)),2)-Первоначальный[[#This Row],[Проценты на просроченный платеж по ОД за период]]</f>
        <v>80.09</v>
      </c>
      <c r="I274" s="55">
        <f t="shared" ca="1" si="56"/>
        <v>1.49</v>
      </c>
      <c r="J274" s="55">
        <v>0</v>
      </c>
      <c r="K274" s="55">
        <f t="shared" ca="1" si="59"/>
        <v>86.84350327868853</v>
      </c>
      <c r="L274" s="55">
        <v>0</v>
      </c>
      <c r="M274" s="113">
        <f>SUMIFS(График[Возврат основной суммы долга],График[Дата с учетом нерабочих дней],$A274)</f>
        <v>0</v>
      </c>
      <c r="N274" s="56">
        <f>SUMIFS(График[Возврат начисленных %],График[Дата с учетом нерабочих дней],$A274)</f>
        <v>0</v>
      </c>
      <c r="O274" s="101">
        <v>0</v>
      </c>
      <c r="P274" s="100" cm="1">
        <f t="array" aca="1" ref="P274" ca="1">MAX(IF(AA273="Да",0,SUM(INDIRECT("M"&amp;(MAX(("Да"=AA$12:AA273)*ROW(AA$12:AA273)+1,ROW($P$12))&amp;":M"&amp;(ROW()))))-SUM(INDIRECT("W"&amp;(MAX(("Да"=AA$12:AA273)*ROW(AA$12:AA273)+1,ROW($P$12))&amp;":W"&amp;(ROW()))))),0)</f>
        <v>2728.4399999999991</v>
      </c>
      <c r="Q274" s="99">
        <f ca="1">MAX(SUM($N$13:N274)-SUM($T$13:T274),0)</f>
        <v>14640.260655737706</v>
      </c>
      <c r="R274" s="99">
        <f ca="1">Первоначальный[[#This Row],[Просроченный платеж по ОД]]+Первоначальный[[#This Row],[Просроченный платеж по процентам]]</f>
        <v>17368.700655737706</v>
      </c>
      <c r="S274" s="120">
        <f ca="1">IF(Первоначальный[[#This Row],[Просроченный платеж]]&lt;1,0,S273+1)</f>
        <v>170</v>
      </c>
      <c r="T274" s="100" cm="1">
        <f t="array" aca="1" ref="T274" ca="1">IF(Первоначальный[[#This Row],[Итого остаток на начало периода]]&lt;1,0,
IF(
AND(TYPE(VLOOKUP(1,$Z$12:Z274,1,0))=16,Первоначальный[[#This Row],[Досрочное погашение (да/"")]]=""),0,
_xlfn.IFS(AND(S273=0,Первоначальный[[#This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платеж]]&lt;&gt;0),MIN(LOOKUP(,-1/($Z$12:Z274=1),$C$12:C274)+LOOKUP(,-1/($Z$12:Z274=1),$H$12:H274),Первоначальный[[#This Row],[Полученный платеж]]+Y273),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платеж]]+Y273,SUM(Первоначальный[[#This Row],[Остаток процентов на начало периода]],Первоначальный[[#This Row],[Проценты за период]])),
AND(S273=0,Первоначальный[[#This Row],[Дата платежа из графика]]=""),0,
AND(S273=0,Первоначальный[[#This Row],[Дата платежа из графика]]=1,MAX((0&lt;&gt;S$12:S273)*ROW(S$12:S273),ROW($S$12))&gt;=MAX((1=Z$12:Z273)*ROW(Z$12:Z273),ROW($T$12)),TYPE(VLOOKUP("Да",(INDIRECT("AA"&amp;(MAX((1=Z$12:Z273)*ROW(Z$12:Z273),ROW($T$12))&amp;":AA"&amp;(ROW()-1)))),1,0))=16),MIN(LOOKUP(,-1/($Z$12:Z274=1),$C$12:C274)+LOOKUP(,-1/($Z$12:Z274=1),$H$12:H274),Первоначальный[[#This Row],[Полученный платеж]]+Y273),
AND(S273=0,TYPE(VLOOKUP("Да",(INDIRECT("AA"&amp;(MAX((1=Z$12:Z273)*ROW(Z$12:Z273),ROW($T$12))&amp;":AA"&amp;(ROW()-1)))),1,0))&lt;&gt;16),MIN(LOOKUP(,-1/($Z$12:Z274=1),$C$12:C274)+LOOKUP(,-1/($Z$12:Z274=1),$H$12:H274)-IF(AA273="Да",0,SUM(INDIRECT("T"&amp;(MAX(("Да"=AA$12:AA273)*ROW(AA$12:AA273)+1,ROW($T$12))&amp;":T"&amp;(ROW()-1))))),Первоначальный[[#This Row],[Полученный платеж]]+Y273),
AND(S273=0,MAX((0&lt;&gt;N$12:N273)*ROW(N$12:N273),ROW($S$12))&gt;=MAX((1=Z$12:Z273)*ROW(Z$12:Z273),ROW($T$12))),MIN(LOOKUP(,-1/($Z$12:Z274=1),$C$12:C274)+LOOKUP(,-1/($Z$12:Z274=1),$H$12:H274)-IF(N273&lt;&gt;0,0,SUM(INDIRECT("T"&amp;(MAX((0&lt;&gt;N$12:N273)*ROW(N$12:N273)+1,ROW($T$12))&amp;":T"&amp;(ROW()-1))))),Первоначальный[[#This Row],[Полученный платеж]]+Y273),
AND(S273=0,Первоначальный[[#This Row],[Дата платежа из графика]]=1),MIN(LOOKUP(,-1/($Z$12:Z274=1),$C$12:C274)+LOOKUP(,-1/($Z$12:Z274=1),$H$12:H274)-IF(Z273=1,0,SUM(INDIRECT("T"&amp;(MAX((1=Z$12:Z273)*ROW(Z$12:Z273)+1,ROW($T$12))&amp;":T"&amp;(ROW()-1))))),Первоначальный[[#This Row],[Полученный платеж]]+Y273),
AND(Z273&gt;0,Первоначальный[[#This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платеж]]+Y273),
AND(S273&gt;0,MAX((0&lt;&gt;S$12:S273)*ROW(S$12:S273),ROW($S$12))&gt;=MAX((1=Z$12:Z273)*ROW(Z$12:Z273),ROW($T$12)),TYPE(VLOOKUP("Да",(INDIRECT("AA"&amp;(MAX((1=Z$12:Z273)*ROW(Z$12:Z273),ROW($T$12))&amp;":AA"&amp;(ROW()-1)))),1,0))=16),MIN(LOOKUP(,-1/($Z$12:Z274=1),$C$12:C274)+LOOKUP(,-1/($Z$12:Z274=1),$H$12:H274)-SUM(INDIRECT("T"&amp;(MAX((1=Z$12:Z273)*ROW(Z$12:Z273),ROW($T$12))&amp;":T"&amp;(ROW()-1)))),Первоначальный[[#This Row],[Полученный платеж]]+Y273),
S273&gt;0,MIN(LOOKUP(,-1/($Z$12:Z274=1),$C$12:C274)+LOOKUP(,-1/($Z$12:Z274=1),$H$12:H274)-IF(Z273=1,0,SUM(INDIRECT("T"&amp;(MAX((1=Z$12:Z273)*ROW(Z$12:Z273)+1,ROW($T$12))&amp;":T"&amp;(ROW()-1))))),Первоначальный[[#This Row],[Полученный платеж]]+Y273)
)
)
)</f>
        <v>0</v>
      </c>
      <c r="U27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платеж]]+Y273-Первоначальный[[#This Row],[Полученный платёж по процентам]])</f>
        <v>0</v>
      </c>
      <c r="V274" s="55">
        <f t="shared" ca="1" si="49"/>
        <v>0</v>
      </c>
      <c r="W274" s="55" cm="1">
        <f t="array" aca="1" ref="W274" ca="1">IF(Первоначальный[[#This Row],[Итого остаток на начало периода]]&lt;1,0,
_xlfn.IFS(
AND(TYPE(VLOOKUP(1,$Z$12:Z274,1,0))=16,Первоначальный[[#This Row],[Досрочное погашение (да/"")]]=""),0,
AND(S273=0,Первоначальный[[#This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платеж]]+Y273-SUM(Первоначальный[[#This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комиссиям]]),VLOOKUP(LOOKUP(,-1/($Z$12:Z274=1),$A$12:A274),График[[Срок конец]:[Возврат основной суммы долга]],3,0)),
AND(S273=0,Первоначальный[[#This Row],[Дата платежа из графика]]="",Первоначальный[[#This Row],[Досрочное погашение (да/"")]]&lt;&gt;"Да"),0,
AND(S273=0,Первоначальный[[#This Row],[Досрочное погашение (да/"")]]=""),MIN(Первоначальный[[#This Row],[Полученный платеж]]+Y273-SUM(Первоначальный[[#This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комиссиям]]),VLOOKUP(LOOKUP(,-1/($Z$12:Z274=1),$A$12:A274),График[[Срок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платеж]]+Y273-SUM(Первоначальный[[#This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S273&gt;0,MIN(Первоначальный[[#This Row],[Полученный платеж]]+Y273-SUM(Первоначальный[[#This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комиссиям]]),SUM(INDIRECT("M"&amp;(MAX((1=S$12:S273)*ROW(S$12:S273),ROW($W$12))&amp;":M"&amp;(ROW()))))-SUM(INDIRECT("W"&amp;(MAX((1=S$12:S273)*ROW(S$12:S273),ROW($W$12))&amp;":W"&amp;(ROW()-1)))))
)
)</f>
        <v>0</v>
      </c>
      <c r="X274" s="55">
        <f t="shared" ca="1" si="50"/>
        <v>0</v>
      </c>
      <c r="Y274" s="101">
        <f t="shared" ca="1" si="57"/>
        <v>0</v>
      </c>
      <c r="Z274" s="133" t="str">
        <f>IF(TYPE((VLOOKUP(Первоначальный[[#This Row],[Дата платежа]],График[Срок конец],1,0)))=16,"",1)</f>
        <v/>
      </c>
      <c r="AA274" s="57"/>
      <c r="AB274" s="134"/>
      <c r="AC27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7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16162.680000000017</v>
      </c>
      <c r="AE27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140.49999999999997</v>
      </c>
      <c r="AF27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7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8288.600557377049</v>
      </c>
      <c r="AH274" s="55"/>
      <c r="AI274" s="55"/>
      <c r="AJ274" s="55"/>
      <c r="AK274" s="101">
        <f t="shared" ca="1" si="58"/>
        <v>174225.12055737706</v>
      </c>
      <c r="AL274" s="129">
        <f t="array" ref="AL274">MAX((УслРестрактов[Характеристика]="Дата реструктуризации")*(УслРестрактов[Значение]=Первоначальный!$A274),0)</f>
        <v>0</v>
      </c>
    </row>
    <row r="275" spans="1:38" x14ac:dyDescent="0.25">
      <c r="A275" s="97">
        <f t="shared" si="51"/>
        <v>44406</v>
      </c>
      <c r="B275" s="100">
        <f t="shared" ca="1" si="52"/>
        <v>149633.34</v>
      </c>
      <c r="C275" s="55">
        <f t="shared" ca="1" si="48"/>
        <v>16162.680000000017</v>
      </c>
      <c r="D275" s="55">
        <f t="shared" ca="1" si="48"/>
        <v>140.49999999999997</v>
      </c>
      <c r="E275" s="55">
        <f t="shared" ca="1" si="53"/>
        <v>0</v>
      </c>
      <c r="F275" s="55">
        <f t="shared" ca="1" si="54"/>
        <v>8288.600557377049</v>
      </c>
      <c r="G275" s="101">
        <f t="shared" ca="1" si="55"/>
        <v>174225.12055737706</v>
      </c>
      <c r="H275" s="100">
        <f ca="1">ROUND($B275*VLOOKUP($A275,$A$1:$B$10,2,1)/(365+IF(MOD(YEAR($A275),4),0,1)*($A275-$A274)),2)-Первоначальный[[#This Row],[Проценты на просроченный платеж по ОД за период]]</f>
        <v>80.09</v>
      </c>
      <c r="I275" s="55">
        <f t="shared" ca="1" si="56"/>
        <v>1.49</v>
      </c>
      <c r="J275" s="55">
        <v>0</v>
      </c>
      <c r="K275" s="55">
        <f t="shared" ca="1" si="59"/>
        <v>86.84350327868853</v>
      </c>
      <c r="L275" s="55">
        <v>0</v>
      </c>
      <c r="M275" s="113">
        <f>SUMIFS(График[Возврат основной суммы долга],График[Дата с учетом нерабочих дней],$A275)</f>
        <v>0</v>
      </c>
      <c r="N275" s="56">
        <f>SUMIFS(График[Возврат начисленных %],График[Дата с учетом нерабочих дней],$A275)</f>
        <v>0</v>
      </c>
      <c r="O275" s="101">
        <v>0</v>
      </c>
      <c r="P275" s="100" cm="1">
        <f t="array" aca="1" ref="P275" ca="1">MAX(IF(AA274="Да",0,SUM(INDIRECT("M"&amp;(MAX(("Да"=AA$12:AA274)*ROW(AA$12:AA274)+1,ROW($P$12))&amp;":M"&amp;(ROW()))))-SUM(INDIRECT("W"&amp;(MAX(("Да"=AA$12:AA274)*ROW(AA$12:AA274)+1,ROW($P$12))&amp;":W"&amp;(ROW()))))),0)</f>
        <v>2728.4399999999991</v>
      </c>
      <c r="Q275" s="99">
        <f ca="1">MAX(SUM($N$13:N275)-SUM($T$13:T275),0)</f>
        <v>14640.260655737706</v>
      </c>
      <c r="R275" s="99">
        <f ca="1">Первоначальный[[#This Row],[Просроченный платеж по ОД]]+Первоначальный[[#This Row],[Просроченный платеж по процентам]]</f>
        <v>17368.700655737706</v>
      </c>
      <c r="S275" s="120">
        <f ca="1">IF(Первоначальный[[#This Row],[Просроченный платеж]]&lt;1,0,S274+1)</f>
        <v>171</v>
      </c>
      <c r="T275" s="100" cm="1">
        <f t="array" aca="1" ref="T275" ca="1">IF(Первоначальный[[#This Row],[Итого остаток на начало периода]]&lt;1,0,
IF(
AND(TYPE(VLOOKUP(1,$Z$12:Z275,1,0))=16,Первоначальный[[#This Row],[Досрочное погашение (да/"")]]=""),0,
_xlfn.IFS(AND(S274=0,Первоначальный[[#This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платеж]]&lt;&gt;0),MIN(LOOKUP(,-1/($Z$12:Z275=1),$C$12:C275)+LOOKUP(,-1/($Z$12:Z275=1),$H$12:H275),Первоначальный[[#This Row],[Полученный платеж]]+Y274),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платеж]]+Y274,SUM(Первоначальный[[#This Row],[Остаток процентов на начало периода]],Первоначальный[[#This Row],[Проценты за период]])),
AND(S274=0,Первоначальный[[#This Row],[Дата платежа из графика]]=""),0,
AND(S274=0,Первоначальный[[#This Row],[Дата платежа из графика]]=1,MAX((0&lt;&gt;S$12:S274)*ROW(S$12:S274),ROW($S$12))&gt;=MAX((1=Z$12:Z274)*ROW(Z$12:Z274),ROW($T$12)),TYPE(VLOOKUP("Да",(INDIRECT("AA"&amp;(MAX((1=Z$12:Z274)*ROW(Z$12:Z274),ROW($T$12))&amp;":AA"&amp;(ROW()-1)))),1,0))=16),MIN(LOOKUP(,-1/($Z$12:Z275=1),$C$12:C275)+LOOKUP(,-1/($Z$12:Z275=1),$H$12:H275),Первоначальный[[#This Row],[Полученный платеж]]+Y274),
AND(S274=0,TYPE(VLOOKUP("Да",(INDIRECT("AA"&amp;(MAX((1=Z$12:Z274)*ROW(Z$12:Z274),ROW($T$12))&amp;":AA"&amp;(ROW()-1)))),1,0))&lt;&gt;16),MIN(LOOKUP(,-1/($Z$12:Z275=1),$C$12:C275)+LOOKUP(,-1/($Z$12:Z275=1),$H$12:H275)-IF(AA274="Да",0,SUM(INDIRECT("T"&amp;(MAX(("Да"=AA$12:AA274)*ROW(AA$12:AA274)+1,ROW($T$12))&amp;":T"&amp;(ROW()-1))))),Первоначальный[[#This Row],[Полученный платеж]]+Y274),
AND(S274=0,MAX((0&lt;&gt;N$12:N274)*ROW(N$12:N274),ROW($S$12))&gt;=MAX((1=Z$12:Z274)*ROW(Z$12:Z274),ROW($T$12))),MIN(LOOKUP(,-1/($Z$12:Z275=1),$C$12:C275)+LOOKUP(,-1/($Z$12:Z275=1),$H$12:H275)-IF(N274&lt;&gt;0,0,SUM(INDIRECT("T"&amp;(MAX((0&lt;&gt;N$12:N274)*ROW(N$12:N274)+1,ROW($T$12))&amp;":T"&amp;(ROW()-1))))),Первоначальный[[#This Row],[Полученный платеж]]+Y274),
AND(S274=0,Первоначальный[[#This Row],[Дата платежа из графика]]=1),MIN(LOOKUP(,-1/($Z$12:Z275=1),$C$12:C275)+LOOKUP(,-1/($Z$12:Z275=1),$H$12:H275)-IF(Z274=1,0,SUM(INDIRECT("T"&amp;(MAX((1=Z$12:Z274)*ROW(Z$12:Z274)+1,ROW($T$12))&amp;":T"&amp;(ROW()-1))))),Первоначальный[[#This Row],[Полученный платеж]]+Y274),
AND(Z274&gt;0,Первоначальный[[#This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платеж]]+Y274),
AND(S274&gt;0,MAX((0&lt;&gt;S$12:S274)*ROW(S$12:S274),ROW($S$12))&gt;=MAX((1=Z$12:Z274)*ROW(Z$12:Z274),ROW($T$12)),TYPE(VLOOKUP("Да",(INDIRECT("AA"&amp;(MAX((1=Z$12:Z274)*ROW(Z$12:Z274),ROW($T$12))&amp;":AA"&amp;(ROW()-1)))),1,0))=16),MIN(LOOKUP(,-1/($Z$12:Z275=1),$C$12:C275)+LOOKUP(,-1/($Z$12:Z275=1),$H$12:H275)-SUM(INDIRECT("T"&amp;(MAX((1=Z$12:Z274)*ROW(Z$12:Z274),ROW($T$12))&amp;":T"&amp;(ROW()-1)))),Первоначальный[[#This Row],[Полученный платеж]]+Y274),
S274&gt;0,MIN(LOOKUP(,-1/($Z$12:Z275=1),$C$12:C275)+LOOKUP(,-1/($Z$12:Z275=1),$H$12:H275)-IF(Z274=1,0,SUM(INDIRECT("T"&amp;(MAX((1=Z$12:Z274)*ROW(Z$12:Z274)+1,ROW($T$12))&amp;":T"&amp;(ROW()-1))))),Первоначальный[[#This Row],[Полученный платеж]]+Y274)
)
)
)</f>
        <v>0</v>
      </c>
      <c r="U27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платеж]]+Y274-Первоначальный[[#This Row],[Полученный платёж по процентам]])</f>
        <v>0</v>
      </c>
      <c r="V275" s="55">
        <f t="shared" ca="1" si="49"/>
        <v>0</v>
      </c>
      <c r="W275" s="55" cm="1">
        <f t="array" aca="1" ref="W275" ca="1">IF(Первоначальный[[#This Row],[Итого остаток на начало периода]]&lt;1,0,
_xlfn.IFS(
AND(TYPE(VLOOKUP(1,$Z$12:Z275,1,0))=16,Первоначальный[[#This Row],[Досрочное погашение (да/"")]]=""),0,
AND(S274=0,Первоначальный[[#This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платеж]]+Y274-SUM(Первоначальный[[#This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комиссиям]]),VLOOKUP(LOOKUP(,-1/($Z$12:Z275=1),$A$12:A275),График[[Срок конец]:[Возврат основной суммы долга]],3,0)),
AND(S274=0,Первоначальный[[#This Row],[Дата платежа из графика]]="",Первоначальный[[#This Row],[Досрочное погашение (да/"")]]&lt;&gt;"Да"),0,
AND(S274=0,Первоначальный[[#This Row],[Досрочное погашение (да/"")]]=""),MIN(Первоначальный[[#This Row],[Полученный платеж]]+Y274-SUM(Первоначальный[[#This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комиссиям]]),VLOOKUP(LOOKUP(,-1/($Z$12:Z275=1),$A$12:A275),График[[Срок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платеж]]+Y274-SUM(Первоначальный[[#This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S274&gt;0,MIN(Первоначальный[[#This Row],[Полученный платеж]]+Y274-SUM(Первоначальный[[#This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комиссиям]]),SUM(INDIRECT("M"&amp;(MAX((1=S$12:S274)*ROW(S$12:S274),ROW($W$12))&amp;":M"&amp;(ROW()))))-SUM(INDIRECT("W"&amp;(MAX((1=S$12:S274)*ROW(S$12:S274),ROW($W$12))&amp;":W"&amp;(ROW()-1)))))
)
)</f>
        <v>0</v>
      </c>
      <c r="X275" s="55">
        <f t="shared" ca="1" si="50"/>
        <v>0</v>
      </c>
      <c r="Y275" s="101">
        <f t="shared" ca="1" si="57"/>
        <v>0</v>
      </c>
      <c r="Z275" s="133" t="str">
        <f>IF(TYPE((VLOOKUP(Первоначальный[[#This Row],[Дата платежа]],График[Срок конец],1,0)))=16,"",1)</f>
        <v/>
      </c>
      <c r="AA275" s="57"/>
      <c r="AB275" s="134"/>
      <c r="AC27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7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16242.770000000017</v>
      </c>
      <c r="AE27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141.98999999999998</v>
      </c>
      <c r="AF27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7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8375.4440606557382</v>
      </c>
      <c r="AH275" s="55"/>
      <c r="AI275" s="55"/>
      <c r="AJ275" s="55"/>
      <c r="AK275" s="101">
        <f t="shared" ca="1" si="58"/>
        <v>174393.54406065575</v>
      </c>
      <c r="AL275" s="129">
        <f t="array" ref="AL275">MAX((УслРестрактов[Характеристика]="Дата реструктуризации")*(УслРестрактов[Значение]=Первоначальный!$A275),0)</f>
        <v>0</v>
      </c>
    </row>
    <row r="276" spans="1:38" x14ac:dyDescent="0.25">
      <c r="A276" s="97">
        <f t="shared" si="51"/>
        <v>44407</v>
      </c>
      <c r="B276" s="100">
        <f t="shared" ca="1" si="52"/>
        <v>149633.34</v>
      </c>
      <c r="C276" s="55">
        <f t="shared" ca="1" si="48"/>
        <v>16242.770000000017</v>
      </c>
      <c r="D276" s="55">
        <f t="shared" ca="1" si="48"/>
        <v>141.98999999999998</v>
      </c>
      <c r="E276" s="55">
        <f t="shared" ca="1" si="53"/>
        <v>0</v>
      </c>
      <c r="F276" s="55">
        <f t="shared" ca="1" si="54"/>
        <v>8375.4440606557382</v>
      </c>
      <c r="G276" s="101">
        <f t="shared" ca="1" si="55"/>
        <v>174393.54406065575</v>
      </c>
      <c r="H276" s="100">
        <f ca="1">ROUND($B276*VLOOKUP($A276,$A$1:$B$10,2,1)/(365+IF(MOD(YEAR($A276),4),0,1)*($A276-$A275)),2)-Первоначальный[[#This Row],[Проценты на просроченный платеж по ОД за период]]</f>
        <v>80.09</v>
      </c>
      <c r="I276" s="55">
        <f t="shared" ca="1" si="56"/>
        <v>1.49</v>
      </c>
      <c r="J276" s="55">
        <v>0</v>
      </c>
      <c r="K276" s="55">
        <f t="shared" ca="1" si="59"/>
        <v>86.84350327868853</v>
      </c>
      <c r="L276" s="55">
        <v>0</v>
      </c>
      <c r="M276" s="113">
        <f>SUMIFS(График[Возврат основной суммы долга],График[Дата с учетом нерабочих дней],$A276)</f>
        <v>0</v>
      </c>
      <c r="N276" s="56">
        <f>SUMIFS(График[Возврат начисленных %],График[Дата с учетом нерабочих дней],$A276)</f>
        <v>0</v>
      </c>
      <c r="O276" s="101">
        <v>0</v>
      </c>
      <c r="P276" s="100" cm="1">
        <f t="array" aca="1" ref="P276" ca="1">MAX(IF(AA275="Да",0,SUM(INDIRECT("M"&amp;(MAX(("Да"=AA$12:AA275)*ROW(AA$12:AA275)+1,ROW($P$12))&amp;":M"&amp;(ROW()))))-SUM(INDIRECT("W"&amp;(MAX(("Да"=AA$12:AA275)*ROW(AA$12:AA275)+1,ROW($P$12))&amp;":W"&amp;(ROW()))))),0)</f>
        <v>2728.4399999999991</v>
      </c>
      <c r="Q276" s="99">
        <f ca="1">MAX(SUM($N$13:N276)-SUM($T$13:T276),0)</f>
        <v>14640.260655737706</v>
      </c>
      <c r="R276" s="99">
        <f ca="1">Первоначальный[[#This Row],[Просроченный платеж по ОД]]+Первоначальный[[#This Row],[Просроченный платеж по процентам]]</f>
        <v>17368.700655737706</v>
      </c>
      <c r="S276" s="120">
        <f ca="1">IF(Первоначальный[[#This Row],[Просроченный платеж]]&lt;1,0,S275+1)</f>
        <v>172</v>
      </c>
      <c r="T276" s="100" cm="1">
        <f t="array" aca="1" ref="T276" ca="1">IF(Первоначальный[[#This Row],[Итого остаток на начало периода]]&lt;1,0,
IF(
AND(TYPE(VLOOKUP(1,$Z$12:Z276,1,0))=16,Первоначальный[[#This Row],[Досрочное погашение (да/"")]]=""),0,
_xlfn.IFS(AND(S275=0,Первоначальный[[#This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платеж]]&lt;&gt;0),MIN(LOOKUP(,-1/($Z$12:Z276=1),$C$12:C276)+LOOKUP(,-1/($Z$12:Z276=1),$H$12:H276),Первоначальный[[#This Row],[Полученный платеж]]+Y275),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платеж]]+Y275,SUM(Первоначальный[[#This Row],[Остаток процентов на начало периода]],Первоначальный[[#This Row],[Проценты за период]])),
AND(S275=0,Первоначальный[[#This Row],[Дата платежа из графика]]=""),0,
AND(S275=0,Первоначальный[[#This Row],[Дата платежа из графика]]=1,MAX((0&lt;&gt;S$12:S275)*ROW(S$12:S275),ROW($S$12))&gt;=MAX((1=Z$12:Z275)*ROW(Z$12:Z275),ROW($T$12)),TYPE(VLOOKUP("Да",(INDIRECT("AA"&amp;(MAX((1=Z$12:Z275)*ROW(Z$12:Z275),ROW($T$12))&amp;":AA"&amp;(ROW()-1)))),1,0))=16),MIN(LOOKUP(,-1/($Z$12:Z276=1),$C$12:C276)+LOOKUP(,-1/($Z$12:Z276=1),$H$12:H276),Первоначальный[[#This Row],[Полученный платеж]]+Y275),
AND(S275=0,TYPE(VLOOKUP("Да",(INDIRECT("AA"&amp;(MAX((1=Z$12:Z275)*ROW(Z$12:Z275),ROW($T$12))&amp;":AA"&amp;(ROW()-1)))),1,0))&lt;&gt;16),MIN(LOOKUP(,-1/($Z$12:Z276=1),$C$12:C276)+LOOKUP(,-1/($Z$12:Z276=1),$H$12:H276)-IF(AA275="Да",0,SUM(INDIRECT("T"&amp;(MAX(("Да"=AA$12:AA275)*ROW(AA$12:AA275)+1,ROW($T$12))&amp;":T"&amp;(ROW()-1))))),Первоначальный[[#This Row],[Полученный платеж]]+Y275),
AND(S275=0,MAX((0&lt;&gt;N$12:N275)*ROW(N$12:N275),ROW($S$12))&gt;=MAX((1=Z$12:Z275)*ROW(Z$12:Z275),ROW($T$12))),MIN(LOOKUP(,-1/($Z$12:Z276=1),$C$12:C276)+LOOKUP(,-1/($Z$12:Z276=1),$H$12:H276)-IF(N275&lt;&gt;0,0,SUM(INDIRECT("T"&amp;(MAX((0&lt;&gt;N$12:N275)*ROW(N$12:N275)+1,ROW($T$12))&amp;":T"&amp;(ROW()-1))))),Первоначальный[[#This Row],[Полученный платеж]]+Y275),
AND(S275=0,Первоначальный[[#This Row],[Дата платежа из графика]]=1),MIN(LOOKUP(,-1/($Z$12:Z276=1),$C$12:C276)+LOOKUP(,-1/($Z$12:Z276=1),$H$12:H276)-IF(Z275=1,0,SUM(INDIRECT("T"&amp;(MAX((1=Z$12:Z275)*ROW(Z$12:Z275)+1,ROW($T$12))&amp;":T"&amp;(ROW()-1))))),Первоначальный[[#This Row],[Полученный платеж]]+Y275),
AND(Z275&gt;0,Первоначальный[[#This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платеж]]+Y275),
AND(S275&gt;0,MAX((0&lt;&gt;S$12:S275)*ROW(S$12:S275),ROW($S$12))&gt;=MAX((1=Z$12:Z275)*ROW(Z$12:Z275),ROW($T$12)),TYPE(VLOOKUP("Да",(INDIRECT("AA"&amp;(MAX((1=Z$12:Z275)*ROW(Z$12:Z275),ROW($T$12))&amp;":AA"&amp;(ROW()-1)))),1,0))=16),MIN(LOOKUP(,-1/($Z$12:Z276=1),$C$12:C276)+LOOKUP(,-1/($Z$12:Z276=1),$H$12:H276)-SUM(INDIRECT("T"&amp;(MAX((1=Z$12:Z275)*ROW(Z$12:Z275),ROW($T$12))&amp;":T"&amp;(ROW()-1)))),Первоначальный[[#This Row],[Полученный платеж]]+Y275),
S275&gt;0,MIN(LOOKUP(,-1/($Z$12:Z276=1),$C$12:C276)+LOOKUP(,-1/($Z$12:Z276=1),$H$12:H276)-IF(Z275=1,0,SUM(INDIRECT("T"&amp;(MAX((1=Z$12:Z275)*ROW(Z$12:Z275)+1,ROW($T$12))&amp;":T"&amp;(ROW()-1))))),Первоначальный[[#This Row],[Полученный платеж]]+Y275)
)
)
)</f>
        <v>0</v>
      </c>
      <c r="U27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платеж]]+Y275-Первоначальный[[#This Row],[Полученный платёж по процентам]])</f>
        <v>0</v>
      </c>
      <c r="V276" s="55">
        <f t="shared" ca="1" si="49"/>
        <v>0</v>
      </c>
      <c r="W276" s="55" cm="1">
        <f t="array" aca="1" ref="W276" ca="1">IF(Первоначальный[[#This Row],[Итого остаток на начало периода]]&lt;1,0,
_xlfn.IFS(
AND(TYPE(VLOOKUP(1,$Z$12:Z276,1,0))=16,Первоначальный[[#This Row],[Досрочное погашение (да/"")]]=""),0,
AND(S275=0,Первоначальный[[#This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платеж]]+Y275-SUM(Первоначальный[[#This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комиссиям]]),VLOOKUP(LOOKUP(,-1/($Z$12:Z276=1),$A$12:A276),График[[Срок конец]:[Возврат основной суммы долга]],3,0)),
AND(S275=0,Первоначальный[[#This Row],[Дата платежа из графика]]="",Первоначальный[[#This Row],[Досрочное погашение (да/"")]]&lt;&gt;"Да"),0,
AND(S275=0,Первоначальный[[#This Row],[Досрочное погашение (да/"")]]=""),MIN(Первоначальный[[#This Row],[Полученный платеж]]+Y275-SUM(Первоначальный[[#This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комиссиям]]),VLOOKUP(LOOKUP(,-1/($Z$12:Z276=1),$A$12:A276),График[[Срок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платеж]]+Y275-SUM(Первоначальный[[#This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S275&gt;0,MIN(Первоначальный[[#This Row],[Полученный платеж]]+Y275-SUM(Первоначальный[[#This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комиссиям]]),SUM(INDIRECT("M"&amp;(MAX((1=S$12:S275)*ROW(S$12:S275),ROW($W$12))&amp;":M"&amp;(ROW()))))-SUM(INDIRECT("W"&amp;(MAX((1=S$12:S275)*ROW(S$12:S275),ROW($W$12))&amp;":W"&amp;(ROW()-1)))))
)
)</f>
        <v>0</v>
      </c>
      <c r="X276" s="55">
        <f t="shared" ca="1" si="50"/>
        <v>0</v>
      </c>
      <c r="Y276" s="101">
        <f t="shared" ca="1" si="57"/>
        <v>0</v>
      </c>
      <c r="Z276" s="133" t="str">
        <f>IF(TYPE((VLOOKUP(Первоначальный[[#This Row],[Дата платежа]],График[Срок конец],1,0)))=16,"",1)</f>
        <v/>
      </c>
      <c r="AA276" s="57"/>
      <c r="AB276" s="134"/>
      <c r="AC27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7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16322.860000000017</v>
      </c>
      <c r="AE27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143.47999999999999</v>
      </c>
      <c r="AF27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7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8462.2875639344275</v>
      </c>
      <c r="AH276" s="55"/>
      <c r="AI276" s="55"/>
      <c r="AJ276" s="55"/>
      <c r="AK276" s="101">
        <f t="shared" ca="1" si="58"/>
        <v>174561.96756393445</v>
      </c>
      <c r="AL276" s="129">
        <f t="array" ref="AL276">MAX((УслРестрактов[Характеристика]="Дата реструктуризации")*(УслРестрактов[Значение]=Первоначальный!$A276),0)</f>
        <v>0</v>
      </c>
    </row>
    <row r="277" spans="1:38" x14ac:dyDescent="0.25">
      <c r="A277" s="97">
        <f t="shared" si="51"/>
        <v>44408</v>
      </c>
      <c r="B277" s="100">
        <f t="shared" ca="1" si="52"/>
        <v>149633.34</v>
      </c>
      <c r="C277" s="55">
        <f t="shared" ca="1" si="48"/>
        <v>16322.860000000017</v>
      </c>
      <c r="D277" s="55">
        <f t="shared" ca="1" si="48"/>
        <v>143.47999999999999</v>
      </c>
      <c r="E277" s="55">
        <f t="shared" ca="1" si="53"/>
        <v>0</v>
      </c>
      <c r="F277" s="55">
        <f t="shared" ca="1" si="54"/>
        <v>8462.2875639344275</v>
      </c>
      <c r="G277" s="101">
        <f t="shared" ca="1" si="55"/>
        <v>174561.96756393445</v>
      </c>
      <c r="H277" s="100">
        <f ca="1">ROUND($B277*VLOOKUP($A277,$A$1:$B$10,2,1)/(365+IF(MOD(YEAR($A277),4),0,1)*($A277-$A276)),2)-Первоначальный[[#This Row],[Проценты на просроченный платеж по ОД за период]]</f>
        <v>80.09</v>
      </c>
      <c r="I277" s="55">
        <f t="shared" ca="1" si="56"/>
        <v>1.49</v>
      </c>
      <c r="J277" s="55">
        <v>0</v>
      </c>
      <c r="K277" s="55">
        <f t="shared" ca="1" si="59"/>
        <v>86.84350327868853</v>
      </c>
      <c r="L277" s="55">
        <v>0</v>
      </c>
      <c r="M277" s="113">
        <f>SUMIFS(График[Возврат основной суммы долга],График[Дата с учетом нерабочих дней],$A277)</f>
        <v>0</v>
      </c>
      <c r="N277" s="56">
        <f>SUMIFS(График[Возврат начисленных %],График[Дата с учетом нерабочих дней],$A277)</f>
        <v>0</v>
      </c>
      <c r="O277" s="101">
        <v>0</v>
      </c>
      <c r="P277" s="100" cm="1">
        <f t="array" aca="1" ref="P277" ca="1">MAX(IF(AA276="Да",0,SUM(INDIRECT("M"&amp;(MAX(("Да"=AA$12:AA276)*ROW(AA$12:AA276)+1,ROW($P$12))&amp;":M"&amp;(ROW()))))-SUM(INDIRECT("W"&amp;(MAX(("Да"=AA$12:AA276)*ROW(AA$12:AA276)+1,ROW($P$12))&amp;":W"&amp;(ROW()))))),0)</f>
        <v>2728.4399999999991</v>
      </c>
      <c r="Q277" s="99">
        <f ca="1">MAX(SUM($N$13:N277)-SUM($T$13:T277),0)</f>
        <v>14640.260655737706</v>
      </c>
      <c r="R277" s="99">
        <f ca="1">Первоначальный[[#This Row],[Просроченный платеж по ОД]]+Первоначальный[[#This Row],[Просроченный платеж по процентам]]</f>
        <v>17368.700655737706</v>
      </c>
      <c r="S277" s="120">
        <f ca="1">IF(Первоначальный[[#This Row],[Просроченный платеж]]&lt;1,0,S276+1)</f>
        <v>173</v>
      </c>
      <c r="T277" s="100" cm="1">
        <f t="array" aca="1" ref="T277" ca="1">IF(Первоначальный[[#This Row],[Итого остаток на начало периода]]&lt;1,0,
IF(
AND(TYPE(VLOOKUP(1,$Z$12:Z277,1,0))=16,Первоначальный[[#This Row],[Досрочное погашение (да/"")]]=""),0,
_xlfn.IFS(AND(S276=0,Первоначальный[[#This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платеж]]&lt;&gt;0),MIN(LOOKUP(,-1/($Z$12:Z277=1),$C$12:C277)+LOOKUP(,-1/($Z$12:Z277=1),$H$12:H277),Первоначальный[[#This Row],[Полученный платеж]]+Y276),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платеж]]+Y276,SUM(Первоначальный[[#This Row],[Остаток процентов на начало периода]],Первоначальный[[#This Row],[Проценты за период]])),
AND(S276=0,Первоначальный[[#This Row],[Дата платежа из графика]]=""),0,
AND(S276=0,Первоначальный[[#This Row],[Дата платежа из графика]]=1,MAX((0&lt;&gt;S$12:S276)*ROW(S$12:S276),ROW($S$12))&gt;=MAX((1=Z$12:Z276)*ROW(Z$12:Z276),ROW($T$12)),TYPE(VLOOKUP("Да",(INDIRECT("AA"&amp;(MAX((1=Z$12:Z276)*ROW(Z$12:Z276),ROW($T$12))&amp;":AA"&amp;(ROW()-1)))),1,0))=16),MIN(LOOKUP(,-1/($Z$12:Z277=1),$C$12:C277)+LOOKUP(,-1/($Z$12:Z277=1),$H$12:H277),Первоначальный[[#This Row],[Полученный платеж]]+Y276),
AND(S276=0,TYPE(VLOOKUP("Да",(INDIRECT("AA"&amp;(MAX((1=Z$12:Z276)*ROW(Z$12:Z276),ROW($T$12))&amp;":AA"&amp;(ROW()-1)))),1,0))&lt;&gt;16),MIN(LOOKUP(,-1/($Z$12:Z277=1),$C$12:C277)+LOOKUP(,-1/($Z$12:Z277=1),$H$12:H277)-IF(AA276="Да",0,SUM(INDIRECT("T"&amp;(MAX(("Да"=AA$12:AA276)*ROW(AA$12:AA276)+1,ROW($T$12))&amp;":T"&amp;(ROW()-1))))),Первоначальный[[#This Row],[Полученный платеж]]+Y276),
AND(S276=0,MAX((0&lt;&gt;N$12:N276)*ROW(N$12:N276),ROW($S$12))&gt;=MAX((1=Z$12:Z276)*ROW(Z$12:Z276),ROW($T$12))),MIN(LOOKUP(,-1/($Z$12:Z277=1),$C$12:C277)+LOOKUP(,-1/($Z$12:Z277=1),$H$12:H277)-IF(N276&lt;&gt;0,0,SUM(INDIRECT("T"&amp;(MAX((0&lt;&gt;N$12:N276)*ROW(N$12:N276)+1,ROW($T$12))&amp;":T"&amp;(ROW()-1))))),Первоначальный[[#This Row],[Полученный платеж]]+Y276),
AND(S276=0,Первоначальный[[#This Row],[Дата платежа из графика]]=1),MIN(LOOKUP(,-1/($Z$12:Z277=1),$C$12:C277)+LOOKUP(,-1/($Z$12:Z277=1),$H$12:H277)-IF(Z276=1,0,SUM(INDIRECT("T"&amp;(MAX((1=Z$12:Z276)*ROW(Z$12:Z276)+1,ROW($T$12))&amp;":T"&amp;(ROW()-1))))),Первоначальный[[#This Row],[Полученный платеж]]+Y276),
AND(Z276&gt;0,Первоначальный[[#This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платеж]]+Y276),
AND(S276&gt;0,MAX((0&lt;&gt;S$12:S276)*ROW(S$12:S276),ROW($S$12))&gt;=MAX((1=Z$12:Z276)*ROW(Z$12:Z276),ROW($T$12)),TYPE(VLOOKUP("Да",(INDIRECT("AA"&amp;(MAX((1=Z$12:Z276)*ROW(Z$12:Z276),ROW($T$12))&amp;":AA"&amp;(ROW()-1)))),1,0))=16),MIN(LOOKUP(,-1/($Z$12:Z277=1),$C$12:C277)+LOOKUP(,-1/($Z$12:Z277=1),$H$12:H277)-SUM(INDIRECT("T"&amp;(MAX((1=Z$12:Z276)*ROW(Z$12:Z276),ROW($T$12))&amp;":T"&amp;(ROW()-1)))),Первоначальный[[#This Row],[Полученный платеж]]+Y276),
S276&gt;0,MIN(LOOKUP(,-1/($Z$12:Z277=1),$C$12:C277)+LOOKUP(,-1/($Z$12:Z277=1),$H$12:H277)-IF(Z276=1,0,SUM(INDIRECT("T"&amp;(MAX((1=Z$12:Z276)*ROW(Z$12:Z276)+1,ROW($T$12))&amp;":T"&amp;(ROW()-1))))),Первоначальный[[#This Row],[Полученный платеж]]+Y276)
)
)
)</f>
        <v>0</v>
      </c>
      <c r="U27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платеж]]+Y276-Первоначальный[[#This Row],[Полученный платёж по процентам]])</f>
        <v>0</v>
      </c>
      <c r="V277" s="55">
        <f t="shared" ca="1" si="49"/>
        <v>0</v>
      </c>
      <c r="W277" s="55" cm="1">
        <f t="array" aca="1" ref="W277" ca="1">IF(Первоначальный[[#This Row],[Итого остаток на начало периода]]&lt;1,0,
_xlfn.IFS(
AND(TYPE(VLOOKUP(1,$Z$12:Z277,1,0))=16,Первоначальный[[#This Row],[Досрочное погашение (да/"")]]=""),0,
AND(S276=0,Первоначальный[[#This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платеж]]+Y276-SUM(Первоначальный[[#This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комиссиям]]),VLOOKUP(LOOKUP(,-1/($Z$12:Z277=1),$A$12:A277),График[[Срок конец]:[Возврат основной суммы долга]],3,0)),
AND(S276=0,Первоначальный[[#This Row],[Дата платежа из графика]]="",Первоначальный[[#This Row],[Досрочное погашение (да/"")]]&lt;&gt;"Да"),0,
AND(S276=0,Первоначальный[[#This Row],[Досрочное погашение (да/"")]]=""),MIN(Первоначальный[[#This Row],[Полученный платеж]]+Y276-SUM(Первоначальный[[#This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комиссиям]]),VLOOKUP(LOOKUP(,-1/($Z$12:Z277=1),$A$12:A277),График[[Срок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платеж]]+Y276-SUM(Первоначальный[[#This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S276&gt;0,MIN(Первоначальный[[#This Row],[Полученный платеж]]+Y276-SUM(Первоначальный[[#This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комиссиям]]),SUM(INDIRECT("M"&amp;(MAX((1=S$12:S276)*ROW(S$12:S276),ROW($W$12))&amp;":M"&amp;(ROW()))))-SUM(INDIRECT("W"&amp;(MAX((1=S$12:S276)*ROW(S$12:S276),ROW($W$12))&amp;":W"&amp;(ROW()-1)))))
)
)</f>
        <v>0</v>
      </c>
      <c r="X277" s="55">
        <f t="shared" ca="1" si="50"/>
        <v>0</v>
      </c>
      <c r="Y277" s="101">
        <f t="shared" ca="1" si="57"/>
        <v>0</v>
      </c>
      <c r="Z277" s="133" t="str">
        <f>IF(TYPE((VLOOKUP(Первоначальный[[#This Row],[Дата платежа]],График[Срок конец],1,0)))=16,"",1)</f>
        <v/>
      </c>
      <c r="AA277" s="57"/>
      <c r="AB277" s="134"/>
      <c r="AC27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7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16402.950000000015</v>
      </c>
      <c r="AE27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144.97</v>
      </c>
      <c r="AF27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7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8549.1310672131167</v>
      </c>
      <c r="AH277" s="55"/>
      <c r="AI277" s="55"/>
      <c r="AJ277" s="55"/>
      <c r="AK277" s="101">
        <f t="shared" ca="1" si="58"/>
        <v>174730.39106721312</v>
      </c>
      <c r="AL277" s="129">
        <f t="array" ref="AL277">MAX((УслРестрактов[Характеристика]="Дата реструктуризации")*(УслРестрактов[Значение]=Первоначальный!$A277),0)</f>
        <v>0</v>
      </c>
    </row>
    <row r="278" spans="1:38" x14ac:dyDescent="0.25">
      <c r="A278" s="97">
        <f t="shared" si="51"/>
        <v>44409</v>
      </c>
      <c r="B278" s="100">
        <f t="shared" ca="1" si="52"/>
        <v>149633.34</v>
      </c>
      <c r="C278" s="55">
        <f t="shared" ca="1" si="48"/>
        <v>16402.950000000015</v>
      </c>
      <c r="D278" s="55">
        <f t="shared" ca="1" si="48"/>
        <v>144.97</v>
      </c>
      <c r="E278" s="55">
        <f t="shared" ca="1" si="53"/>
        <v>0</v>
      </c>
      <c r="F278" s="55">
        <f t="shared" ca="1" si="54"/>
        <v>8549.1310672131167</v>
      </c>
      <c r="G278" s="101">
        <f t="shared" ca="1" si="55"/>
        <v>174730.39106721312</v>
      </c>
      <c r="H278" s="100">
        <f ca="1">ROUND($B278*VLOOKUP($A278,$A$1:$B$10,2,1)/(365+IF(MOD(YEAR($A278),4),0,1)*($A278-$A277)),2)-Первоначальный[[#This Row],[Проценты на просроченный платеж по ОД за период]]</f>
        <v>80.09</v>
      </c>
      <c r="I278" s="55">
        <f t="shared" ca="1" si="56"/>
        <v>1.49</v>
      </c>
      <c r="J278" s="55">
        <v>0</v>
      </c>
      <c r="K278" s="55">
        <f t="shared" ca="1" si="59"/>
        <v>86.84350327868853</v>
      </c>
      <c r="L278" s="55">
        <v>0</v>
      </c>
      <c r="M278" s="113">
        <f>SUMIFS(График[Возврат основной суммы долга],График[Дата с учетом нерабочих дней],$A278)</f>
        <v>0</v>
      </c>
      <c r="N278" s="56">
        <f>SUMIFS(График[Возврат начисленных %],График[Дата с учетом нерабочих дней],$A278)</f>
        <v>0</v>
      </c>
      <c r="O278" s="101">
        <v>0</v>
      </c>
      <c r="P278" s="100" cm="1">
        <f t="array" aca="1" ref="P278" ca="1">MAX(IF(AA277="Да",0,SUM(INDIRECT("M"&amp;(MAX(("Да"=AA$12:AA277)*ROW(AA$12:AA277)+1,ROW($P$12))&amp;":M"&amp;(ROW()))))-SUM(INDIRECT("W"&amp;(MAX(("Да"=AA$12:AA277)*ROW(AA$12:AA277)+1,ROW($P$12))&amp;":W"&amp;(ROW()))))),0)</f>
        <v>2728.4399999999991</v>
      </c>
      <c r="Q278" s="99">
        <f ca="1">MAX(SUM($N$13:N278)-SUM($T$13:T278),0)</f>
        <v>14640.260655737706</v>
      </c>
      <c r="R278" s="99">
        <f ca="1">Первоначальный[[#This Row],[Просроченный платеж по ОД]]+Первоначальный[[#This Row],[Просроченный платеж по процентам]]</f>
        <v>17368.700655737706</v>
      </c>
      <c r="S278" s="120">
        <f ca="1">IF(Первоначальный[[#This Row],[Просроченный платеж]]&lt;1,0,S277+1)</f>
        <v>174</v>
      </c>
      <c r="T278" s="100" cm="1">
        <f t="array" aca="1" ref="T278" ca="1">IF(Первоначальный[[#This Row],[Итого остаток на начало периода]]&lt;1,0,
IF(
AND(TYPE(VLOOKUP(1,$Z$12:Z278,1,0))=16,Первоначальный[[#This Row],[Досрочное погашение (да/"")]]=""),0,
_xlfn.IFS(AND(S277=0,Первоначальный[[#This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платеж]]&lt;&gt;0),MIN(LOOKUP(,-1/($Z$12:Z278=1),$C$12:C278)+LOOKUP(,-1/($Z$12:Z278=1),$H$12:H278),Первоначальный[[#This Row],[Полученный платеж]]+Y277),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платеж]]+Y277,SUM(Первоначальный[[#This Row],[Остаток процентов на начало периода]],Первоначальный[[#This Row],[Проценты за период]])),
AND(S277=0,Первоначальный[[#This Row],[Дата платежа из графика]]=""),0,
AND(S277=0,Первоначальный[[#This Row],[Дата платежа из графика]]=1,MAX((0&lt;&gt;S$12:S277)*ROW(S$12:S277),ROW($S$12))&gt;=MAX((1=Z$12:Z277)*ROW(Z$12:Z277),ROW($T$12)),TYPE(VLOOKUP("Да",(INDIRECT("AA"&amp;(MAX((1=Z$12:Z277)*ROW(Z$12:Z277),ROW($T$12))&amp;":AA"&amp;(ROW()-1)))),1,0))=16),MIN(LOOKUP(,-1/($Z$12:Z278=1),$C$12:C278)+LOOKUP(,-1/($Z$12:Z278=1),$H$12:H278),Первоначальный[[#This Row],[Полученный платеж]]+Y277),
AND(S277=0,TYPE(VLOOKUP("Да",(INDIRECT("AA"&amp;(MAX((1=Z$12:Z277)*ROW(Z$12:Z277),ROW($T$12))&amp;":AA"&amp;(ROW()-1)))),1,0))&lt;&gt;16),MIN(LOOKUP(,-1/($Z$12:Z278=1),$C$12:C278)+LOOKUP(,-1/($Z$12:Z278=1),$H$12:H278)-IF(AA277="Да",0,SUM(INDIRECT("T"&amp;(MAX(("Да"=AA$12:AA277)*ROW(AA$12:AA277)+1,ROW($T$12))&amp;":T"&amp;(ROW()-1))))),Первоначальный[[#This Row],[Полученный платеж]]+Y277),
AND(S277=0,MAX((0&lt;&gt;N$12:N277)*ROW(N$12:N277),ROW($S$12))&gt;=MAX((1=Z$12:Z277)*ROW(Z$12:Z277),ROW($T$12))),MIN(LOOKUP(,-1/($Z$12:Z278=1),$C$12:C278)+LOOKUP(,-1/($Z$12:Z278=1),$H$12:H278)-IF(N277&lt;&gt;0,0,SUM(INDIRECT("T"&amp;(MAX((0&lt;&gt;N$12:N277)*ROW(N$12:N277)+1,ROW($T$12))&amp;":T"&amp;(ROW()-1))))),Первоначальный[[#This Row],[Полученный платеж]]+Y277),
AND(S277=0,Первоначальный[[#This Row],[Дата платежа из графика]]=1),MIN(LOOKUP(,-1/($Z$12:Z278=1),$C$12:C278)+LOOKUP(,-1/($Z$12:Z278=1),$H$12:H278)-IF(Z277=1,0,SUM(INDIRECT("T"&amp;(MAX((1=Z$12:Z277)*ROW(Z$12:Z277)+1,ROW($T$12))&amp;":T"&amp;(ROW()-1))))),Первоначальный[[#This Row],[Полученный платеж]]+Y277),
AND(Z277&gt;0,Первоначальный[[#This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платеж]]+Y277),
AND(S277&gt;0,MAX((0&lt;&gt;S$12:S277)*ROW(S$12:S277),ROW($S$12))&gt;=MAX((1=Z$12:Z277)*ROW(Z$12:Z277),ROW($T$12)),TYPE(VLOOKUP("Да",(INDIRECT("AA"&amp;(MAX((1=Z$12:Z277)*ROW(Z$12:Z277),ROW($T$12))&amp;":AA"&amp;(ROW()-1)))),1,0))=16),MIN(LOOKUP(,-1/($Z$12:Z278=1),$C$12:C278)+LOOKUP(,-1/($Z$12:Z278=1),$H$12:H278)-SUM(INDIRECT("T"&amp;(MAX((1=Z$12:Z277)*ROW(Z$12:Z277),ROW($T$12))&amp;":T"&amp;(ROW()-1)))),Первоначальный[[#This Row],[Полученный платеж]]+Y277),
S277&gt;0,MIN(LOOKUP(,-1/($Z$12:Z278=1),$C$12:C278)+LOOKUP(,-1/($Z$12:Z278=1),$H$12:H278)-IF(Z277=1,0,SUM(INDIRECT("T"&amp;(MAX((1=Z$12:Z277)*ROW(Z$12:Z277)+1,ROW($T$12))&amp;":T"&amp;(ROW()-1))))),Первоначальный[[#This Row],[Полученный платеж]]+Y277)
)
)
)</f>
        <v>0</v>
      </c>
      <c r="U27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платеж]]+Y277-Первоначальный[[#This Row],[Полученный платёж по процентам]])</f>
        <v>0</v>
      </c>
      <c r="V278" s="55">
        <f t="shared" ca="1" si="49"/>
        <v>0</v>
      </c>
      <c r="W278" s="55" cm="1">
        <f t="array" aca="1" ref="W278" ca="1">IF(Первоначальный[[#This Row],[Итого остаток на начало периода]]&lt;1,0,
_xlfn.IFS(
AND(TYPE(VLOOKUP(1,$Z$12:Z278,1,0))=16,Первоначальный[[#This Row],[Досрочное погашение (да/"")]]=""),0,
AND(S277=0,Первоначальный[[#This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платеж]]+Y277-SUM(Первоначальный[[#This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комиссиям]]),VLOOKUP(LOOKUP(,-1/($Z$12:Z278=1),$A$12:A278),График[[Срок конец]:[Возврат основной суммы долга]],3,0)),
AND(S277=0,Первоначальный[[#This Row],[Дата платежа из графика]]="",Первоначальный[[#This Row],[Досрочное погашение (да/"")]]&lt;&gt;"Да"),0,
AND(S277=0,Первоначальный[[#This Row],[Досрочное погашение (да/"")]]=""),MIN(Первоначальный[[#This Row],[Полученный платеж]]+Y277-SUM(Первоначальный[[#This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комиссиям]]),VLOOKUP(LOOKUP(,-1/($Z$12:Z278=1),$A$12:A278),График[[Срок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платеж]]+Y277-SUM(Первоначальный[[#This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S277&gt;0,MIN(Первоначальный[[#This Row],[Полученный платеж]]+Y277-SUM(Первоначальный[[#This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комиссиям]]),SUM(INDIRECT("M"&amp;(MAX((1=S$12:S277)*ROW(S$12:S277),ROW($W$12))&amp;":M"&amp;(ROW()))))-SUM(INDIRECT("W"&amp;(MAX((1=S$12:S277)*ROW(S$12:S277),ROW($W$12))&amp;":W"&amp;(ROW()-1)))))
)
)</f>
        <v>0</v>
      </c>
      <c r="X278" s="55">
        <f t="shared" ca="1" si="50"/>
        <v>0</v>
      </c>
      <c r="Y278" s="101">
        <f t="shared" ca="1" si="57"/>
        <v>0</v>
      </c>
      <c r="Z278" s="133" t="str">
        <f>IF(TYPE((VLOOKUP(Первоначальный[[#This Row],[Дата платежа]],График[Срок конец],1,0)))=16,"",1)</f>
        <v/>
      </c>
      <c r="AA278" s="57"/>
      <c r="AB278" s="134"/>
      <c r="AC27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7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16483.040000000015</v>
      </c>
      <c r="AE27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146.46</v>
      </c>
      <c r="AF27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7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8635.9745704918059</v>
      </c>
      <c r="AH278" s="55"/>
      <c r="AI278" s="55"/>
      <c r="AJ278" s="55"/>
      <c r="AK278" s="101">
        <f t="shared" ca="1" si="58"/>
        <v>174898.81457049181</v>
      </c>
      <c r="AL278" s="129">
        <f t="array" ref="AL278">MAX((УслРестрактов[Характеристика]="Дата реструктуризации")*(УслРестрактов[Значение]=Первоначальный!$A278),0)</f>
        <v>0</v>
      </c>
    </row>
    <row r="279" spans="1:38" x14ac:dyDescent="0.25">
      <c r="A279" s="97">
        <f t="shared" si="51"/>
        <v>44410</v>
      </c>
      <c r="B279" s="100">
        <f t="shared" ca="1" si="52"/>
        <v>149633.34</v>
      </c>
      <c r="C279" s="55">
        <f t="shared" ca="1" si="48"/>
        <v>16483.040000000015</v>
      </c>
      <c r="D279" s="55">
        <f t="shared" ca="1" si="48"/>
        <v>146.46</v>
      </c>
      <c r="E279" s="55">
        <f t="shared" ca="1" si="53"/>
        <v>0</v>
      </c>
      <c r="F279" s="55">
        <f t="shared" ca="1" si="54"/>
        <v>8635.9745704918059</v>
      </c>
      <c r="G279" s="101">
        <f t="shared" ca="1" si="55"/>
        <v>174898.81457049181</v>
      </c>
      <c r="H279" s="100">
        <f ca="1">ROUND($B279*VLOOKUP($A279,$A$1:$B$10,2,1)/(365+IF(MOD(YEAR($A279),4),0,1)*($A279-$A278)),2)-Первоначальный[[#This Row],[Проценты на просроченный платеж по ОД за период]]</f>
        <v>80.09</v>
      </c>
      <c r="I279" s="55">
        <f t="shared" ca="1" si="56"/>
        <v>1.49</v>
      </c>
      <c r="J279" s="55">
        <v>0</v>
      </c>
      <c r="K279" s="55">
        <f t="shared" ca="1" si="59"/>
        <v>86.84350327868853</v>
      </c>
      <c r="L279" s="55">
        <v>0</v>
      </c>
      <c r="M279" s="113">
        <f>SUMIFS(График[Возврат основной суммы долга],График[Дата с учетом нерабочих дней],$A279)</f>
        <v>0</v>
      </c>
      <c r="N279" s="56">
        <f>SUMIFS(График[Возврат начисленных %],График[Дата с учетом нерабочих дней],$A279)</f>
        <v>0</v>
      </c>
      <c r="O279" s="101">
        <v>0</v>
      </c>
      <c r="P279" s="100" cm="1">
        <f t="array" aca="1" ref="P279" ca="1">MAX(IF(AA278="Да",0,SUM(INDIRECT("M"&amp;(MAX(("Да"=AA$12:AA278)*ROW(AA$12:AA278)+1,ROW($P$12))&amp;":M"&amp;(ROW()))))-SUM(INDIRECT("W"&amp;(MAX(("Да"=AA$12:AA278)*ROW(AA$12:AA278)+1,ROW($P$12))&amp;":W"&amp;(ROW()))))),0)</f>
        <v>2728.4399999999991</v>
      </c>
      <c r="Q279" s="99">
        <f ca="1">MAX(SUM($N$13:N279)-SUM($T$13:T279),0)</f>
        <v>14640.260655737706</v>
      </c>
      <c r="R279" s="99">
        <f ca="1">Первоначальный[[#This Row],[Просроченный платеж по ОД]]+Первоначальный[[#This Row],[Просроченный платеж по процентам]]</f>
        <v>17368.700655737706</v>
      </c>
      <c r="S279" s="120">
        <f ca="1">IF(Первоначальный[[#This Row],[Просроченный платеж]]&lt;1,0,S278+1)</f>
        <v>175</v>
      </c>
      <c r="T279" s="100" cm="1">
        <f t="array" aca="1" ref="T279" ca="1">IF(Первоначальный[[#This Row],[Итого остаток на начало периода]]&lt;1,0,
IF(
AND(TYPE(VLOOKUP(1,$Z$12:Z279,1,0))=16,Первоначальный[[#This Row],[Досрочное погашение (да/"")]]=""),0,
_xlfn.IFS(AND(S278=0,Первоначальный[[#This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платеж]]&lt;&gt;0),MIN(LOOKUP(,-1/($Z$12:Z279=1),$C$12:C279)+LOOKUP(,-1/($Z$12:Z279=1),$H$12:H279),Первоначальный[[#This Row],[Полученный платеж]]+Y278),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платеж]]+Y278,SUM(Первоначальный[[#This Row],[Остаток процентов на начало периода]],Первоначальный[[#This Row],[Проценты за период]])),
AND(S278=0,Первоначальный[[#This Row],[Дата платежа из графика]]=""),0,
AND(S278=0,Первоначальный[[#This Row],[Дата платежа из графика]]=1,MAX((0&lt;&gt;S$12:S278)*ROW(S$12:S278),ROW($S$12))&gt;=MAX((1=Z$12:Z278)*ROW(Z$12:Z278),ROW($T$12)),TYPE(VLOOKUP("Да",(INDIRECT("AA"&amp;(MAX((1=Z$12:Z278)*ROW(Z$12:Z278),ROW($T$12))&amp;":AA"&amp;(ROW()-1)))),1,0))=16),MIN(LOOKUP(,-1/($Z$12:Z279=1),$C$12:C279)+LOOKUP(,-1/($Z$12:Z279=1),$H$12:H279),Первоначальный[[#This Row],[Полученный платеж]]+Y278),
AND(S278=0,TYPE(VLOOKUP("Да",(INDIRECT("AA"&amp;(MAX((1=Z$12:Z278)*ROW(Z$12:Z278),ROW($T$12))&amp;":AA"&amp;(ROW()-1)))),1,0))&lt;&gt;16),MIN(LOOKUP(,-1/($Z$12:Z279=1),$C$12:C279)+LOOKUP(,-1/($Z$12:Z279=1),$H$12:H279)-IF(AA278="Да",0,SUM(INDIRECT("T"&amp;(MAX(("Да"=AA$12:AA278)*ROW(AA$12:AA278)+1,ROW($T$12))&amp;":T"&amp;(ROW()-1))))),Первоначальный[[#This Row],[Полученный платеж]]+Y278),
AND(S278=0,MAX((0&lt;&gt;N$12:N278)*ROW(N$12:N278),ROW($S$12))&gt;=MAX((1=Z$12:Z278)*ROW(Z$12:Z278),ROW($T$12))),MIN(LOOKUP(,-1/($Z$12:Z279=1),$C$12:C279)+LOOKUP(,-1/($Z$12:Z279=1),$H$12:H279)-IF(N278&lt;&gt;0,0,SUM(INDIRECT("T"&amp;(MAX((0&lt;&gt;N$12:N278)*ROW(N$12:N278)+1,ROW($T$12))&amp;":T"&amp;(ROW()-1))))),Первоначальный[[#This Row],[Полученный платеж]]+Y278),
AND(S278=0,Первоначальный[[#This Row],[Дата платежа из графика]]=1),MIN(LOOKUP(,-1/($Z$12:Z279=1),$C$12:C279)+LOOKUP(,-1/($Z$12:Z279=1),$H$12:H279)-IF(Z278=1,0,SUM(INDIRECT("T"&amp;(MAX((1=Z$12:Z278)*ROW(Z$12:Z278)+1,ROW($T$12))&amp;":T"&amp;(ROW()-1))))),Первоначальный[[#This Row],[Полученный платеж]]+Y278),
AND(Z278&gt;0,Первоначальный[[#This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платеж]]+Y278),
AND(S278&gt;0,MAX((0&lt;&gt;S$12:S278)*ROW(S$12:S278),ROW($S$12))&gt;=MAX((1=Z$12:Z278)*ROW(Z$12:Z278),ROW($T$12)),TYPE(VLOOKUP("Да",(INDIRECT("AA"&amp;(MAX((1=Z$12:Z278)*ROW(Z$12:Z278),ROW($T$12))&amp;":AA"&amp;(ROW()-1)))),1,0))=16),MIN(LOOKUP(,-1/($Z$12:Z279=1),$C$12:C279)+LOOKUP(,-1/($Z$12:Z279=1),$H$12:H279)-SUM(INDIRECT("T"&amp;(MAX((1=Z$12:Z278)*ROW(Z$12:Z278),ROW($T$12))&amp;":T"&amp;(ROW()-1)))),Первоначальный[[#This Row],[Полученный платеж]]+Y278),
S278&gt;0,MIN(LOOKUP(,-1/($Z$12:Z279=1),$C$12:C279)+LOOKUP(,-1/($Z$12:Z279=1),$H$12:H279)-IF(Z278=1,0,SUM(INDIRECT("T"&amp;(MAX((1=Z$12:Z278)*ROW(Z$12:Z278)+1,ROW($T$12))&amp;":T"&amp;(ROW()-1))))),Первоначальный[[#This Row],[Полученный платеж]]+Y278)
)
)
)</f>
        <v>0</v>
      </c>
      <c r="U27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платеж]]+Y278-Первоначальный[[#This Row],[Полученный платёж по процентам]])</f>
        <v>0</v>
      </c>
      <c r="V279" s="55">
        <f t="shared" ca="1" si="49"/>
        <v>0</v>
      </c>
      <c r="W279" s="55" cm="1">
        <f t="array" aca="1" ref="W279" ca="1">IF(Первоначальный[[#This Row],[Итого остаток на начало периода]]&lt;1,0,
_xlfn.IFS(
AND(TYPE(VLOOKUP(1,$Z$12:Z279,1,0))=16,Первоначальный[[#This Row],[Досрочное погашение (да/"")]]=""),0,
AND(S278=0,Первоначальный[[#This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платеж]]+Y278-SUM(Первоначальный[[#This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комиссиям]]),VLOOKUP(LOOKUP(,-1/($Z$12:Z279=1),$A$12:A279),График[[Срок конец]:[Возврат основной суммы долга]],3,0)),
AND(S278=0,Первоначальный[[#This Row],[Дата платежа из графика]]="",Первоначальный[[#This Row],[Досрочное погашение (да/"")]]&lt;&gt;"Да"),0,
AND(S278=0,Первоначальный[[#This Row],[Досрочное погашение (да/"")]]=""),MIN(Первоначальный[[#This Row],[Полученный платеж]]+Y278-SUM(Первоначальный[[#This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комиссиям]]),VLOOKUP(LOOKUP(,-1/($Z$12:Z279=1),$A$12:A279),График[[Срок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платеж]]+Y278-SUM(Первоначальный[[#This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S278&gt;0,MIN(Первоначальный[[#This Row],[Полученный платеж]]+Y278-SUM(Первоначальный[[#This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комиссиям]]),SUM(INDIRECT("M"&amp;(MAX((1=S$12:S278)*ROW(S$12:S278),ROW($W$12))&amp;":M"&amp;(ROW()))))-SUM(INDIRECT("W"&amp;(MAX((1=S$12:S278)*ROW(S$12:S278),ROW($W$12))&amp;":W"&amp;(ROW()-1)))))
)
)</f>
        <v>0</v>
      </c>
      <c r="X279" s="55">
        <f t="shared" ca="1" si="50"/>
        <v>0</v>
      </c>
      <c r="Y279" s="101">
        <f t="shared" ca="1" si="57"/>
        <v>0</v>
      </c>
      <c r="Z279" s="133" t="str">
        <f>IF(TYPE((VLOOKUP(Первоначальный[[#This Row],[Дата платежа]],График[Срок конец],1,0)))=16,"",1)</f>
        <v/>
      </c>
      <c r="AA279" s="57"/>
      <c r="AB279" s="134"/>
      <c r="AC27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7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16563.130000000016</v>
      </c>
      <c r="AE27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147.95000000000002</v>
      </c>
      <c r="AF27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7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8722.8180737704952</v>
      </c>
      <c r="AH279" s="55"/>
      <c r="AI279" s="55"/>
      <c r="AJ279" s="55"/>
      <c r="AK279" s="101">
        <f t="shared" ca="1" si="58"/>
        <v>175067.23807377051</v>
      </c>
      <c r="AL279" s="129">
        <f t="array" ref="AL279">MAX((УслРестрактов[Характеристика]="Дата реструктуризации")*(УслРестрактов[Значение]=Первоначальный!$A279),0)</f>
        <v>0</v>
      </c>
    </row>
    <row r="280" spans="1:38" x14ac:dyDescent="0.25">
      <c r="A280" s="97">
        <f t="shared" si="51"/>
        <v>44411</v>
      </c>
      <c r="B280" s="100">
        <f t="shared" ca="1" si="52"/>
        <v>149633.34</v>
      </c>
      <c r="C280" s="55">
        <f t="shared" ca="1" si="48"/>
        <v>16563.130000000016</v>
      </c>
      <c r="D280" s="55">
        <f t="shared" ca="1" si="48"/>
        <v>147.95000000000002</v>
      </c>
      <c r="E280" s="55">
        <f t="shared" ca="1" si="53"/>
        <v>0</v>
      </c>
      <c r="F280" s="55">
        <f t="shared" ca="1" si="54"/>
        <v>8722.8180737704952</v>
      </c>
      <c r="G280" s="101">
        <f t="shared" ca="1" si="55"/>
        <v>175067.23807377051</v>
      </c>
      <c r="H280" s="100">
        <f ca="1">ROUND($B280*VLOOKUP($A280,$A$1:$B$10,2,1)/(365+IF(MOD(YEAR($A280),4),0,1)*($A280-$A279)),2)-Первоначальный[[#This Row],[Проценты на просроченный платеж по ОД за период]]</f>
        <v>80.09</v>
      </c>
      <c r="I280" s="55">
        <f t="shared" ca="1" si="56"/>
        <v>1.49</v>
      </c>
      <c r="J280" s="55">
        <v>0</v>
      </c>
      <c r="K280" s="55">
        <f t="shared" ca="1" si="59"/>
        <v>86.84350327868853</v>
      </c>
      <c r="L280" s="55">
        <v>0</v>
      </c>
      <c r="M280" s="113">
        <f>SUMIFS(График[Возврат основной суммы долга],График[Дата с учетом нерабочих дней],$A280)</f>
        <v>0</v>
      </c>
      <c r="N280" s="56">
        <f>SUMIFS(График[Возврат начисленных %],График[Дата с учетом нерабочих дней],$A280)</f>
        <v>0</v>
      </c>
      <c r="O280" s="101">
        <v>0</v>
      </c>
      <c r="P280" s="100" cm="1">
        <f t="array" aca="1" ref="P280" ca="1">MAX(IF(AA279="Да",0,SUM(INDIRECT("M"&amp;(MAX(("Да"=AA$12:AA279)*ROW(AA$12:AA279)+1,ROW($P$12))&amp;":M"&amp;(ROW()))))-SUM(INDIRECT("W"&amp;(MAX(("Да"=AA$12:AA279)*ROW(AA$12:AA279)+1,ROW($P$12))&amp;":W"&amp;(ROW()))))),0)</f>
        <v>2728.4399999999991</v>
      </c>
      <c r="Q280" s="99">
        <f ca="1">MAX(SUM($N$13:N280)-SUM($T$13:T280),0)</f>
        <v>14640.260655737706</v>
      </c>
      <c r="R280" s="99">
        <f ca="1">Первоначальный[[#This Row],[Просроченный платеж по ОД]]+Первоначальный[[#This Row],[Просроченный платеж по процентам]]</f>
        <v>17368.700655737706</v>
      </c>
      <c r="S280" s="120">
        <f ca="1">IF(Первоначальный[[#This Row],[Просроченный платеж]]&lt;1,0,S279+1)</f>
        <v>176</v>
      </c>
      <c r="T280" s="100" cm="1">
        <f t="array" aca="1" ref="T280" ca="1">IF(Первоначальный[[#This Row],[Итого остаток на начало периода]]&lt;1,0,
IF(
AND(TYPE(VLOOKUP(1,$Z$12:Z280,1,0))=16,Первоначальный[[#This Row],[Досрочное погашение (да/"")]]=""),0,
_xlfn.IFS(AND(S279=0,Первоначальный[[#This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платеж]]&lt;&gt;0),MIN(LOOKUP(,-1/($Z$12:Z280=1),$C$12:C280)+LOOKUP(,-1/($Z$12:Z280=1),$H$12:H280),Первоначальный[[#This Row],[Полученный платеж]]+Y279),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платеж]]+Y279,SUM(Первоначальный[[#This Row],[Остаток процентов на начало периода]],Первоначальный[[#This Row],[Проценты за период]])),
AND(S279=0,Первоначальный[[#This Row],[Дата платежа из графика]]=""),0,
AND(S279=0,Первоначальный[[#This Row],[Дата платежа из графика]]=1,MAX((0&lt;&gt;S$12:S279)*ROW(S$12:S279),ROW($S$12))&gt;=MAX((1=Z$12:Z279)*ROW(Z$12:Z279),ROW($T$12)),TYPE(VLOOKUP("Да",(INDIRECT("AA"&amp;(MAX((1=Z$12:Z279)*ROW(Z$12:Z279),ROW($T$12))&amp;":AA"&amp;(ROW()-1)))),1,0))=16),MIN(LOOKUP(,-1/($Z$12:Z280=1),$C$12:C280)+LOOKUP(,-1/($Z$12:Z280=1),$H$12:H280),Первоначальный[[#This Row],[Полученный платеж]]+Y279),
AND(S279=0,TYPE(VLOOKUP("Да",(INDIRECT("AA"&amp;(MAX((1=Z$12:Z279)*ROW(Z$12:Z279),ROW($T$12))&amp;":AA"&amp;(ROW()-1)))),1,0))&lt;&gt;16),MIN(LOOKUP(,-1/($Z$12:Z280=1),$C$12:C280)+LOOKUP(,-1/($Z$12:Z280=1),$H$12:H280)-IF(AA279="Да",0,SUM(INDIRECT("T"&amp;(MAX(("Да"=AA$12:AA279)*ROW(AA$12:AA279)+1,ROW($T$12))&amp;":T"&amp;(ROW()-1))))),Первоначальный[[#This Row],[Полученный платеж]]+Y279),
AND(S279=0,MAX((0&lt;&gt;N$12:N279)*ROW(N$12:N279),ROW($S$12))&gt;=MAX((1=Z$12:Z279)*ROW(Z$12:Z279),ROW($T$12))),MIN(LOOKUP(,-1/($Z$12:Z280=1),$C$12:C280)+LOOKUP(,-1/($Z$12:Z280=1),$H$12:H280)-IF(N279&lt;&gt;0,0,SUM(INDIRECT("T"&amp;(MAX((0&lt;&gt;N$12:N279)*ROW(N$12:N279)+1,ROW($T$12))&amp;":T"&amp;(ROW()-1))))),Первоначальный[[#This Row],[Полученный платеж]]+Y279),
AND(S279=0,Первоначальный[[#This Row],[Дата платежа из графика]]=1),MIN(LOOKUP(,-1/($Z$12:Z280=1),$C$12:C280)+LOOKUP(,-1/($Z$12:Z280=1),$H$12:H280)-IF(Z279=1,0,SUM(INDIRECT("T"&amp;(MAX((1=Z$12:Z279)*ROW(Z$12:Z279)+1,ROW($T$12))&amp;":T"&amp;(ROW()-1))))),Первоначальный[[#This Row],[Полученный платеж]]+Y279),
AND(Z279&gt;0,Первоначальный[[#This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платеж]]+Y279),
AND(S279&gt;0,MAX((0&lt;&gt;S$12:S279)*ROW(S$12:S279),ROW($S$12))&gt;=MAX((1=Z$12:Z279)*ROW(Z$12:Z279),ROW($T$12)),TYPE(VLOOKUP("Да",(INDIRECT("AA"&amp;(MAX((1=Z$12:Z279)*ROW(Z$12:Z279),ROW($T$12))&amp;":AA"&amp;(ROW()-1)))),1,0))=16),MIN(LOOKUP(,-1/($Z$12:Z280=1),$C$12:C280)+LOOKUP(,-1/($Z$12:Z280=1),$H$12:H280)-SUM(INDIRECT("T"&amp;(MAX((1=Z$12:Z279)*ROW(Z$12:Z279),ROW($T$12))&amp;":T"&amp;(ROW()-1)))),Первоначальный[[#This Row],[Полученный платеж]]+Y279),
S279&gt;0,MIN(LOOKUP(,-1/($Z$12:Z280=1),$C$12:C280)+LOOKUP(,-1/($Z$12:Z280=1),$H$12:H280)-IF(Z279=1,0,SUM(INDIRECT("T"&amp;(MAX((1=Z$12:Z279)*ROW(Z$12:Z279)+1,ROW($T$12))&amp;":T"&amp;(ROW()-1))))),Первоначальный[[#This Row],[Полученный платеж]]+Y279)
)
)
)</f>
        <v>0</v>
      </c>
      <c r="U28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платеж]]+Y279-Первоначальный[[#This Row],[Полученный платёж по процентам]])</f>
        <v>0</v>
      </c>
      <c r="V280" s="55">
        <f t="shared" ca="1" si="49"/>
        <v>0</v>
      </c>
      <c r="W280" s="55" cm="1">
        <f t="array" aca="1" ref="W280" ca="1">IF(Первоначальный[[#This Row],[Итого остаток на начало периода]]&lt;1,0,
_xlfn.IFS(
AND(TYPE(VLOOKUP(1,$Z$12:Z280,1,0))=16,Первоначальный[[#This Row],[Досрочное погашение (да/"")]]=""),0,
AND(S279=0,Первоначальный[[#This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платеж]]+Y279-SUM(Первоначальный[[#This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комиссиям]]),VLOOKUP(LOOKUP(,-1/($Z$12:Z280=1),$A$12:A280),График[[Срок конец]:[Возврат основной суммы долга]],3,0)),
AND(S279=0,Первоначальный[[#This Row],[Дата платежа из графика]]="",Первоначальный[[#This Row],[Досрочное погашение (да/"")]]&lt;&gt;"Да"),0,
AND(S279=0,Первоначальный[[#This Row],[Досрочное погашение (да/"")]]=""),MIN(Первоначальный[[#This Row],[Полученный платеж]]+Y279-SUM(Первоначальный[[#This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комиссиям]]),VLOOKUP(LOOKUP(,-1/($Z$12:Z280=1),$A$12:A280),График[[Срок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платеж]]+Y279-SUM(Первоначальный[[#This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S279&gt;0,MIN(Первоначальный[[#This Row],[Полученный платеж]]+Y279-SUM(Первоначальный[[#This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комиссиям]]),SUM(INDIRECT("M"&amp;(MAX((1=S$12:S279)*ROW(S$12:S279),ROW($W$12))&amp;":M"&amp;(ROW()))))-SUM(INDIRECT("W"&amp;(MAX((1=S$12:S279)*ROW(S$12:S279),ROW($W$12))&amp;":W"&amp;(ROW()-1)))))
)
)</f>
        <v>0</v>
      </c>
      <c r="X280" s="55">
        <f t="shared" ca="1" si="50"/>
        <v>0</v>
      </c>
      <c r="Y280" s="101">
        <f t="shared" ca="1" si="57"/>
        <v>0</v>
      </c>
      <c r="Z280" s="133" t="str">
        <f>IF(TYPE((VLOOKUP(Первоначальный[[#This Row],[Дата платежа]],График[Срок конец],1,0)))=16,"",1)</f>
        <v/>
      </c>
      <c r="AA280" s="57"/>
      <c r="AB280" s="134"/>
      <c r="AC28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8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16643.220000000016</v>
      </c>
      <c r="AE28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149.44000000000003</v>
      </c>
      <c r="AF28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8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8809.6615770491844</v>
      </c>
      <c r="AH280" s="55"/>
      <c r="AI280" s="55"/>
      <c r="AJ280" s="55"/>
      <c r="AK280" s="101">
        <f t="shared" ca="1" si="58"/>
        <v>175235.66157704918</v>
      </c>
      <c r="AL280" s="129">
        <f t="array" ref="AL280">MAX((УслРестрактов[Характеристика]="Дата реструктуризации")*(УслРестрактов[Значение]=Первоначальный!$A280),0)</f>
        <v>0</v>
      </c>
    </row>
    <row r="281" spans="1:38" x14ac:dyDescent="0.25">
      <c r="A281" s="97">
        <f t="shared" si="51"/>
        <v>44412</v>
      </c>
      <c r="B281" s="100">
        <f t="shared" ca="1" si="52"/>
        <v>149633.34</v>
      </c>
      <c r="C281" s="55">
        <f t="shared" ca="1" si="48"/>
        <v>16643.220000000016</v>
      </c>
      <c r="D281" s="55">
        <f t="shared" ca="1" si="48"/>
        <v>149.44000000000003</v>
      </c>
      <c r="E281" s="55">
        <f t="shared" ca="1" si="53"/>
        <v>0</v>
      </c>
      <c r="F281" s="55">
        <f t="shared" ca="1" si="54"/>
        <v>8809.6615770491844</v>
      </c>
      <c r="G281" s="101">
        <f t="shared" ca="1" si="55"/>
        <v>175235.66157704918</v>
      </c>
      <c r="H281" s="100">
        <f ca="1">ROUND($B281*VLOOKUP($A281,$A$1:$B$10,2,1)/(365+IF(MOD(YEAR($A281),4),0,1)*($A281-$A280)),2)-Первоначальный[[#This Row],[Проценты на просроченный платеж по ОД за период]]</f>
        <v>80.09</v>
      </c>
      <c r="I281" s="55">
        <f t="shared" ca="1" si="56"/>
        <v>1.49</v>
      </c>
      <c r="J281" s="55">
        <v>0</v>
      </c>
      <c r="K281" s="55">
        <f t="shared" ca="1" si="59"/>
        <v>86.84350327868853</v>
      </c>
      <c r="L281" s="55">
        <v>0</v>
      </c>
      <c r="M281" s="113">
        <f>SUMIFS(График[Возврат основной суммы долга],График[Дата с учетом нерабочих дней],$A281)</f>
        <v>0</v>
      </c>
      <c r="N281" s="56">
        <f>SUMIFS(График[Возврат начисленных %],График[Дата с учетом нерабочих дней],$A281)</f>
        <v>0</v>
      </c>
      <c r="O281" s="101">
        <v>0</v>
      </c>
      <c r="P281" s="100" cm="1">
        <f t="array" aca="1" ref="P281" ca="1">MAX(IF(AA280="Да",0,SUM(INDIRECT("M"&amp;(MAX(("Да"=AA$12:AA280)*ROW(AA$12:AA280)+1,ROW($P$12))&amp;":M"&amp;(ROW()))))-SUM(INDIRECT("W"&amp;(MAX(("Да"=AA$12:AA280)*ROW(AA$12:AA280)+1,ROW($P$12))&amp;":W"&amp;(ROW()))))),0)</f>
        <v>2728.4399999999991</v>
      </c>
      <c r="Q281" s="99">
        <f ca="1">MAX(SUM($N$13:N281)-SUM($T$13:T281),0)</f>
        <v>14640.260655737706</v>
      </c>
      <c r="R281" s="99">
        <f ca="1">Первоначальный[[#This Row],[Просроченный платеж по ОД]]+Первоначальный[[#This Row],[Просроченный платеж по процентам]]</f>
        <v>17368.700655737706</v>
      </c>
      <c r="S281" s="120">
        <f ca="1">IF(Первоначальный[[#This Row],[Просроченный платеж]]&lt;1,0,S280+1)</f>
        <v>177</v>
      </c>
      <c r="T281" s="100" cm="1">
        <f t="array" aca="1" ref="T281" ca="1">IF(Первоначальный[[#This Row],[Итого остаток на начало периода]]&lt;1,0,
IF(
AND(TYPE(VLOOKUP(1,$Z$12:Z281,1,0))=16,Первоначальный[[#This Row],[Досрочное погашение (да/"")]]=""),0,
_xlfn.IFS(AND(S280=0,Первоначальный[[#This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платеж]]&lt;&gt;0),MIN(LOOKUP(,-1/($Z$12:Z281=1),$C$12:C281)+LOOKUP(,-1/($Z$12:Z281=1),$H$12:H281),Первоначальный[[#This Row],[Полученный платеж]]+Y280),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платеж]]+Y280,SUM(Первоначальный[[#This Row],[Остаток процентов на начало периода]],Первоначальный[[#This Row],[Проценты за период]])),
AND(S280=0,Первоначальный[[#This Row],[Дата платежа из графика]]=""),0,
AND(S280=0,Первоначальный[[#This Row],[Дата платежа из графика]]=1,MAX((0&lt;&gt;S$12:S280)*ROW(S$12:S280),ROW($S$12))&gt;=MAX((1=Z$12:Z280)*ROW(Z$12:Z280),ROW($T$12)),TYPE(VLOOKUP("Да",(INDIRECT("AA"&amp;(MAX((1=Z$12:Z280)*ROW(Z$12:Z280),ROW($T$12))&amp;":AA"&amp;(ROW()-1)))),1,0))=16),MIN(LOOKUP(,-1/($Z$12:Z281=1),$C$12:C281)+LOOKUP(,-1/($Z$12:Z281=1),$H$12:H281),Первоначальный[[#This Row],[Полученный платеж]]+Y280),
AND(S280=0,TYPE(VLOOKUP("Да",(INDIRECT("AA"&amp;(MAX((1=Z$12:Z280)*ROW(Z$12:Z280),ROW($T$12))&amp;":AA"&amp;(ROW()-1)))),1,0))&lt;&gt;16),MIN(LOOKUP(,-1/($Z$12:Z281=1),$C$12:C281)+LOOKUP(,-1/($Z$12:Z281=1),$H$12:H281)-IF(AA280="Да",0,SUM(INDIRECT("T"&amp;(MAX(("Да"=AA$12:AA280)*ROW(AA$12:AA280)+1,ROW($T$12))&amp;":T"&amp;(ROW()-1))))),Первоначальный[[#This Row],[Полученный платеж]]+Y280),
AND(S280=0,MAX((0&lt;&gt;N$12:N280)*ROW(N$12:N280),ROW($S$12))&gt;=MAX((1=Z$12:Z280)*ROW(Z$12:Z280),ROW($T$12))),MIN(LOOKUP(,-1/($Z$12:Z281=1),$C$12:C281)+LOOKUP(,-1/($Z$12:Z281=1),$H$12:H281)-IF(N280&lt;&gt;0,0,SUM(INDIRECT("T"&amp;(MAX((0&lt;&gt;N$12:N280)*ROW(N$12:N280)+1,ROW($T$12))&amp;":T"&amp;(ROW()-1))))),Первоначальный[[#This Row],[Полученный платеж]]+Y280),
AND(S280=0,Первоначальный[[#This Row],[Дата платежа из графика]]=1),MIN(LOOKUP(,-1/($Z$12:Z281=1),$C$12:C281)+LOOKUP(,-1/($Z$12:Z281=1),$H$12:H281)-IF(Z280=1,0,SUM(INDIRECT("T"&amp;(MAX((1=Z$12:Z280)*ROW(Z$12:Z280)+1,ROW($T$12))&amp;":T"&amp;(ROW()-1))))),Первоначальный[[#This Row],[Полученный платеж]]+Y280),
AND(Z280&gt;0,Первоначальный[[#This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платеж]]+Y280),
AND(S280&gt;0,MAX((0&lt;&gt;S$12:S280)*ROW(S$12:S280),ROW($S$12))&gt;=MAX((1=Z$12:Z280)*ROW(Z$12:Z280),ROW($T$12)),TYPE(VLOOKUP("Да",(INDIRECT("AA"&amp;(MAX((1=Z$12:Z280)*ROW(Z$12:Z280),ROW($T$12))&amp;":AA"&amp;(ROW()-1)))),1,0))=16),MIN(LOOKUP(,-1/($Z$12:Z281=1),$C$12:C281)+LOOKUP(,-1/($Z$12:Z281=1),$H$12:H281)-SUM(INDIRECT("T"&amp;(MAX((1=Z$12:Z280)*ROW(Z$12:Z280),ROW($T$12))&amp;":T"&amp;(ROW()-1)))),Первоначальный[[#This Row],[Полученный платеж]]+Y280),
S280&gt;0,MIN(LOOKUP(,-1/($Z$12:Z281=1),$C$12:C281)+LOOKUP(,-1/($Z$12:Z281=1),$H$12:H281)-IF(Z280=1,0,SUM(INDIRECT("T"&amp;(MAX((1=Z$12:Z280)*ROW(Z$12:Z280)+1,ROW($T$12))&amp;":T"&amp;(ROW()-1))))),Первоначальный[[#This Row],[Полученный платеж]]+Y280)
)
)
)</f>
        <v>0</v>
      </c>
      <c r="U28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платеж]]+Y280-Первоначальный[[#This Row],[Полученный платёж по процентам]])</f>
        <v>0</v>
      </c>
      <c r="V281" s="55">
        <f t="shared" ca="1" si="49"/>
        <v>0</v>
      </c>
      <c r="W281" s="55" cm="1">
        <f t="array" aca="1" ref="W281" ca="1">IF(Первоначальный[[#This Row],[Итого остаток на начало периода]]&lt;1,0,
_xlfn.IFS(
AND(TYPE(VLOOKUP(1,$Z$12:Z281,1,0))=16,Первоначальный[[#This Row],[Досрочное погашение (да/"")]]=""),0,
AND(S280=0,Первоначальный[[#This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платеж]]+Y280-SUM(Первоначальный[[#This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комиссиям]]),VLOOKUP(LOOKUP(,-1/($Z$12:Z281=1),$A$12:A281),График[[Срок конец]:[Возврат основной суммы долга]],3,0)),
AND(S280=0,Первоначальный[[#This Row],[Дата платежа из графика]]="",Первоначальный[[#This Row],[Досрочное погашение (да/"")]]&lt;&gt;"Да"),0,
AND(S280=0,Первоначальный[[#This Row],[Досрочное погашение (да/"")]]=""),MIN(Первоначальный[[#This Row],[Полученный платеж]]+Y280-SUM(Первоначальный[[#This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комиссиям]]),VLOOKUP(LOOKUP(,-1/($Z$12:Z281=1),$A$12:A281),График[[Срок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платеж]]+Y280-SUM(Первоначальный[[#This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S280&gt;0,MIN(Первоначальный[[#This Row],[Полученный платеж]]+Y280-SUM(Первоначальный[[#This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комиссиям]]),SUM(INDIRECT("M"&amp;(MAX((1=S$12:S280)*ROW(S$12:S280),ROW($W$12))&amp;":M"&amp;(ROW()))))-SUM(INDIRECT("W"&amp;(MAX((1=S$12:S280)*ROW(S$12:S280),ROW($W$12))&amp;":W"&amp;(ROW()-1)))))
)
)</f>
        <v>0</v>
      </c>
      <c r="X281" s="55">
        <f t="shared" ca="1" si="50"/>
        <v>0</v>
      </c>
      <c r="Y281" s="101">
        <f t="shared" ca="1" si="57"/>
        <v>0</v>
      </c>
      <c r="Z281" s="133" t="str">
        <f>IF(TYPE((VLOOKUP(Первоначальный[[#This Row],[Дата платежа]],График[Срок конец],1,0)))=16,"",1)</f>
        <v/>
      </c>
      <c r="AA281" s="57"/>
      <c r="AB281" s="134"/>
      <c r="AC28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8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16723.310000000016</v>
      </c>
      <c r="AE28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150.93000000000004</v>
      </c>
      <c r="AF28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8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8896.5050803278737</v>
      </c>
      <c r="AH281" s="55"/>
      <c r="AI281" s="55"/>
      <c r="AJ281" s="55"/>
      <c r="AK281" s="101">
        <f t="shared" ca="1" si="58"/>
        <v>175404.0850803279</v>
      </c>
      <c r="AL281" s="129">
        <f t="array" ref="AL281">MAX((УслРестрактов[Характеристика]="Дата реструктуризации")*(УслРестрактов[Значение]=Первоначальный!$A281),0)</f>
        <v>0</v>
      </c>
    </row>
    <row r="282" spans="1:38" x14ac:dyDescent="0.25">
      <c r="A282" s="97">
        <f t="shared" si="51"/>
        <v>44413</v>
      </c>
      <c r="B282" s="100">
        <f t="shared" ca="1" si="52"/>
        <v>149633.34</v>
      </c>
      <c r="C282" s="55">
        <f t="shared" ca="1" si="48"/>
        <v>16723.310000000016</v>
      </c>
      <c r="D282" s="55">
        <f t="shared" ca="1" si="48"/>
        <v>150.93000000000004</v>
      </c>
      <c r="E282" s="55">
        <f t="shared" ca="1" si="53"/>
        <v>0</v>
      </c>
      <c r="F282" s="55">
        <f t="shared" ca="1" si="54"/>
        <v>8896.5050803278737</v>
      </c>
      <c r="G282" s="101">
        <f t="shared" ca="1" si="55"/>
        <v>175404.0850803279</v>
      </c>
      <c r="H282" s="100">
        <f ca="1">ROUND($B282*VLOOKUP($A282,$A$1:$B$10,2,1)/(365+IF(MOD(YEAR($A282),4),0,1)*($A282-$A281)),2)-Первоначальный[[#This Row],[Проценты на просроченный платеж по ОД за период]]</f>
        <v>80.09</v>
      </c>
      <c r="I282" s="55">
        <f t="shared" ca="1" si="56"/>
        <v>1.49</v>
      </c>
      <c r="J282" s="55">
        <v>0</v>
      </c>
      <c r="K282" s="55">
        <f t="shared" ca="1" si="59"/>
        <v>86.84350327868853</v>
      </c>
      <c r="L282" s="55">
        <v>0</v>
      </c>
      <c r="M282" s="113">
        <f>SUMIFS(График[Возврат основной суммы долга],График[Дата с учетом нерабочих дней],$A282)</f>
        <v>0</v>
      </c>
      <c r="N282" s="56">
        <f>SUMIFS(График[Возврат начисленных %],График[Дата с учетом нерабочих дней],$A282)</f>
        <v>0</v>
      </c>
      <c r="O282" s="101">
        <v>0</v>
      </c>
      <c r="P282" s="100" cm="1">
        <f t="array" aca="1" ref="P282" ca="1">MAX(IF(AA281="Да",0,SUM(INDIRECT("M"&amp;(MAX(("Да"=AA$12:AA281)*ROW(AA$12:AA281)+1,ROW($P$12))&amp;":M"&amp;(ROW()))))-SUM(INDIRECT("W"&amp;(MAX(("Да"=AA$12:AA281)*ROW(AA$12:AA281)+1,ROW($P$12))&amp;":W"&amp;(ROW()))))),0)</f>
        <v>2728.4399999999991</v>
      </c>
      <c r="Q282" s="99">
        <f ca="1">MAX(SUM($N$13:N282)-SUM($T$13:T282),0)</f>
        <v>14640.260655737706</v>
      </c>
      <c r="R282" s="99">
        <f ca="1">Первоначальный[[#This Row],[Просроченный платеж по ОД]]+Первоначальный[[#This Row],[Просроченный платеж по процентам]]</f>
        <v>17368.700655737706</v>
      </c>
      <c r="S282" s="120">
        <f ca="1">IF(Первоначальный[[#This Row],[Просроченный платеж]]&lt;1,0,S281+1)</f>
        <v>178</v>
      </c>
      <c r="T282" s="100" cm="1">
        <f t="array" aca="1" ref="T282" ca="1">IF(Первоначальный[[#This Row],[Итого остаток на начало периода]]&lt;1,0,
IF(
AND(TYPE(VLOOKUP(1,$Z$12:Z282,1,0))=16,Первоначальный[[#This Row],[Досрочное погашение (да/"")]]=""),0,
_xlfn.IFS(AND(S281=0,Первоначальный[[#This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платеж]]&lt;&gt;0),MIN(LOOKUP(,-1/($Z$12:Z282=1),$C$12:C282)+LOOKUP(,-1/($Z$12:Z282=1),$H$12:H282),Первоначальный[[#This Row],[Полученный платеж]]+Y281),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платеж]]+Y281,SUM(Первоначальный[[#This Row],[Остаток процентов на начало периода]],Первоначальный[[#This Row],[Проценты за период]])),
AND(S281=0,Первоначальный[[#This Row],[Дата платежа из графика]]=""),0,
AND(S281=0,Первоначальный[[#This Row],[Дата платежа из графика]]=1,MAX((0&lt;&gt;S$12:S281)*ROW(S$12:S281),ROW($S$12))&gt;=MAX((1=Z$12:Z281)*ROW(Z$12:Z281),ROW($T$12)),TYPE(VLOOKUP("Да",(INDIRECT("AA"&amp;(MAX((1=Z$12:Z281)*ROW(Z$12:Z281),ROW($T$12))&amp;":AA"&amp;(ROW()-1)))),1,0))=16),MIN(LOOKUP(,-1/($Z$12:Z282=1),$C$12:C282)+LOOKUP(,-1/($Z$12:Z282=1),$H$12:H282),Первоначальный[[#This Row],[Полученный платеж]]+Y281),
AND(S281=0,TYPE(VLOOKUP("Да",(INDIRECT("AA"&amp;(MAX((1=Z$12:Z281)*ROW(Z$12:Z281),ROW($T$12))&amp;":AA"&amp;(ROW()-1)))),1,0))&lt;&gt;16),MIN(LOOKUP(,-1/($Z$12:Z282=1),$C$12:C282)+LOOKUP(,-1/($Z$12:Z282=1),$H$12:H282)-IF(AA281="Да",0,SUM(INDIRECT("T"&amp;(MAX(("Да"=AA$12:AA281)*ROW(AA$12:AA281)+1,ROW($T$12))&amp;":T"&amp;(ROW()-1))))),Первоначальный[[#This Row],[Полученный платеж]]+Y281),
AND(S281=0,MAX((0&lt;&gt;N$12:N281)*ROW(N$12:N281),ROW($S$12))&gt;=MAX((1=Z$12:Z281)*ROW(Z$12:Z281),ROW($T$12))),MIN(LOOKUP(,-1/($Z$12:Z282=1),$C$12:C282)+LOOKUP(,-1/($Z$12:Z282=1),$H$12:H282)-IF(N281&lt;&gt;0,0,SUM(INDIRECT("T"&amp;(MAX((0&lt;&gt;N$12:N281)*ROW(N$12:N281)+1,ROW($T$12))&amp;":T"&amp;(ROW()-1))))),Первоначальный[[#This Row],[Полученный платеж]]+Y281),
AND(S281=0,Первоначальный[[#This Row],[Дата платежа из графика]]=1),MIN(LOOKUP(,-1/($Z$12:Z282=1),$C$12:C282)+LOOKUP(,-1/($Z$12:Z282=1),$H$12:H282)-IF(Z281=1,0,SUM(INDIRECT("T"&amp;(MAX((1=Z$12:Z281)*ROW(Z$12:Z281)+1,ROW($T$12))&amp;":T"&amp;(ROW()-1))))),Первоначальный[[#This Row],[Полученный платеж]]+Y281),
AND(Z281&gt;0,Первоначальный[[#This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платеж]]+Y281),
AND(S281&gt;0,MAX((0&lt;&gt;S$12:S281)*ROW(S$12:S281),ROW($S$12))&gt;=MAX((1=Z$12:Z281)*ROW(Z$12:Z281),ROW($T$12)),TYPE(VLOOKUP("Да",(INDIRECT("AA"&amp;(MAX((1=Z$12:Z281)*ROW(Z$12:Z281),ROW($T$12))&amp;":AA"&amp;(ROW()-1)))),1,0))=16),MIN(LOOKUP(,-1/($Z$12:Z282=1),$C$12:C282)+LOOKUP(,-1/($Z$12:Z282=1),$H$12:H282)-SUM(INDIRECT("T"&amp;(MAX((1=Z$12:Z281)*ROW(Z$12:Z281),ROW($T$12))&amp;":T"&amp;(ROW()-1)))),Первоначальный[[#This Row],[Полученный платеж]]+Y281),
S281&gt;0,MIN(LOOKUP(,-1/($Z$12:Z282=1),$C$12:C282)+LOOKUP(,-1/($Z$12:Z282=1),$H$12:H282)-IF(Z281=1,0,SUM(INDIRECT("T"&amp;(MAX((1=Z$12:Z281)*ROW(Z$12:Z281)+1,ROW($T$12))&amp;":T"&amp;(ROW()-1))))),Первоначальный[[#This Row],[Полученный платеж]]+Y281)
)
)
)</f>
        <v>0</v>
      </c>
      <c r="U28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платеж]]+Y281-Первоначальный[[#This Row],[Полученный платёж по процентам]])</f>
        <v>0</v>
      </c>
      <c r="V282" s="55">
        <f t="shared" ca="1" si="49"/>
        <v>0</v>
      </c>
      <c r="W282" s="55" cm="1">
        <f t="array" aca="1" ref="W282" ca="1">IF(Первоначальный[[#This Row],[Итого остаток на начало периода]]&lt;1,0,
_xlfn.IFS(
AND(TYPE(VLOOKUP(1,$Z$12:Z282,1,0))=16,Первоначальный[[#This Row],[Досрочное погашение (да/"")]]=""),0,
AND(S281=0,Первоначальный[[#This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платеж]]+Y281-SUM(Первоначальный[[#This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комиссиям]]),VLOOKUP(LOOKUP(,-1/($Z$12:Z282=1),$A$12:A282),График[[Срок конец]:[Возврат основной суммы долга]],3,0)),
AND(S281=0,Первоначальный[[#This Row],[Дата платежа из графика]]="",Первоначальный[[#This Row],[Досрочное погашение (да/"")]]&lt;&gt;"Да"),0,
AND(S281=0,Первоначальный[[#This Row],[Досрочное погашение (да/"")]]=""),MIN(Первоначальный[[#This Row],[Полученный платеж]]+Y281-SUM(Первоначальный[[#This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комиссиям]]),VLOOKUP(LOOKUP(,-1/($Z$12:Z282=1),$A$12:A282),График[[Срок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платеж]]+Y281-SUM(Первоначальный[[#This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S281&gt;0,MIN(Первоначальный[[#This Row],[Полученный платеж]]+Y281-SUM(Первоначальный[[#This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комиссиям]]),SUM(INDIRECT("M"&amp;(MAX((1=S$12:S281)*ROW(S$12:S281),ROW($W$12))&amp;":M"&amp;(ROW()))))-SUM(INDIRECT("W"&amp;(MAX((1=S$12:S281)*ROW(S$12:S281),ROW($W$12))&amp;":W"&amp;(ROW()-1)))))
)
)</f>
        <v>0</v>
      </c>
      <c r="X282" s="55">
        <f t="shared" ca="1" si="50"/>
        <v>0</v>
      </c>
      <c r="Y282" s="101">
        <f t="shared" ca="1" si="57"/>
        <v>0</v>
      </c>
      <c r="Z282" s="133" t="str">
        <f>IF(TYPE((VLOOKUP(Первоначальный[[#This Row],[Дата платежа]],График[Срок конец],1,0)))=16,"",1)</f>
        <v/>
      </c>
      <c r="AA282" s="57"/>
      <c r="AB282" s="134"/>
      <c r="AC28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8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16803.400000000016</v>
      </c>
      <c r="AE28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152.42000000000004</v>
      </c>
      <c r="AF28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8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8983.3485836065629</v>
      </c>
      <c r="AH282" s="55"/>
      <c r="AI282" s="55"/>
      <c r="AJ282" s="55"/>
      <c r="AK282" s="101">
        <f t="shared" ca="1" si="58"/>
        <v>175572.5085836066</v>
      </c>
      <c r="AL282" s="129">
        <f t="array" ref="AL282">MAX((УслРестрактов[Характеристика]="Дата реструктуризации")*(УслРестрактов[Значение]=Первоначальный!$A282),0)</f>
        <v>0</v>
      </c>
    </row>
    <row r="283" spans="1:38" x14ac:dyDescent="0.25">
      <c r="A283" s="97">
        <f t="shared" si="51"/>
        <v>44414</v>
      </c>
      <c r="B283" s="100">
        <f t="shared" ca="1" si="52"/>
        <v>149633.34</v>
      </c>
      <c r="C283" s="55">
        <f t="shared" ca="1" si="48"/>
        <v>16803.400000000016</v>
      </c>
      <c r="D283" s="55">
        <f t="shared" ca="1" si="48"/>
        <v>152.42000000000004</v>
      </c>
      <c r="E283" s="55">
        <f t="shared" ca="1" si="53"/>
        <v>0</v>
      </c>
      <c r="F283" s="55">
        <f t="shared" ca="1" si="54"/>
        <v>8983.3485836065629</v>
      </c>
      <c r="G283" s="101">
        <f t="shared" ca="1" si="55"/>
        <v>175572.5085836066</v>
      </c>
      <c r="H283" s="100">
        <f ca="1">ROUND($B283*VLOOKUP($A283,$A$1:$B$10,2,1)/(365+IF(MOD(YEAR($A283),4),0,1)*($A283-$A282)),2)-Первоначальный[[#This Row],[Проценты на просроченный платеж по ОД за период]]</f>
        <v>80.09</v>
      </c>
      <c r="I283" s="55">
        <f t="shared" ca="1" si="56"/>
        <v>1.49</v>
      </c>
      <c r="J283" s="55">
        <v>0</v>
      </c>
      <c r="K283" s="55">
        <f t="shared" ca="1" si="59"/>
        <v>86.84350327868853</v>
      </c>
      <c r="L283" s="55">
        <v>0</v>
      </c>
      <c r="M283" s="113">
        <f>SUMIFS(График[Возврат основной суммы долга],График[Дата с учетом нерабочих дней],$A283)</f>
        <v>0</v>
      </c>
      <c r="N283" s="56">
        <f>SUMIFS(График[Возврат начисленных %],График[Дата с учетом нерабочих дней],$A283)</f>
        <v>0</v>
      </c>
      <c r="O283" s="101">
        <v>0</v>
      </c>
      <c r="P283" s="100" cm="1">
        <f t="array" aca="1" ref="P283" ca="1">MAX(IF(AA282="Да",0,SUM(INDIRECT("M"&amp;(MAX(("Да"=AA$12:AA282)*ROW(AA$12:AA282)+1,ROW($P$12))&amp;":M"&amp;(ROW()))))-SUM(INDIRECT("W"&amp;(MAX(("Да"=AA$12:AA282)*ROW(AA$12:AA282)+1,ROW($P$12))&amp;":W"&amp;(ROW()))))),0)</f>
        <v>2728.4399999999991</v>
      </c>
      <c r="Q283" s="99">
        <f ca="1">MAX(SUM($N$13:N283)-SUM($T$13:T283),0)</f>
        <v>14640.260655737706</v>
      </c>
      <c r="R283" s="99">
        <f ca="1">Первоначальный[[#This Row],[Просроченный платеж по ОД]]+Первоначальный[[#This Row],[Просроченный платеж по процентам]]</f>
        <v>17368.700655737706</v>
      </c>
      <c r="S283" s="120">
        <f ca="1">IF(Первоначальный[[#This Row],[Просроченный платеж]]&lt;1,0,S282+1)</f>
        <v>179</v>
      </c>
      <c r="T283" s="100" cm="1">
        <f t="array" aca="1" ref="T283" ca="1">IF(Первоначальный[[#This Row],[Итого остаток на начало периода]]&lt;1,0,
IF(
AND(TYPE(VLOOKUP(1,$Z$12:Z283,1,0))=16,Первоначальный[[#This Row],[Досрочное погашение (да/"")]]=""),0,
_xlfn.IFS(AND(S282=0,Первоначальный[[#This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платеж]]&lt;&gt;0),MIN(LOOKUP(,-1/($Z$12:Z283=1),$C$12:C283)+LOOKUP(,-1/($Z$12:Z283=1),$H$12:H283),Первоначальный[[#This Row],[Полученный платеж]]+Y282),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платеж]]+Y282,SUM(Первоначальный[[#This Row],[Остаток процентов на начало периода]],Первоначальный[[#This Row],[Проценты за период]])),
AND(S282=0,Первоначальный[[#This Row],[Дата платежа из графика]]=""),0,
AND(S282=0,Первоначальный[[#This Row],[Дата платежа из графика]]=1,MAX((0&lt;&gt;S$12:S282)*ROW(S$12:S282),ROW($S$12))&gt;=MAX((1=Z$12:Z282)*ROW(Z$12:Z282),ROW($T$12)),TYPE(VLOOKUP("Да",(INDIRECT("AA"&amp;(MAX((1=Z$12:Z282)*ROW(Z$12:Z282),ROW($T$12))&amp;":AA"&amp;(ROW()-1)))),1,0))=16),MIN(LOOKUP(,-1/($Z$12:Z283=1),$C$12:C283)+LOOKUP(,-1/($Z$12:Z283=1),$H$12:H283),Первоначальный[[#This Row],[Полученный платеж]]+Y282),
AND(S282=0,TYPE(VLOOKUP("Да",(INDIRECT("AA"&amp;(MAX((1=Z$12:Z282)*ROW(Z$12:Z282),ROW($T$12))&amp;":AA"&amp;(ROW()-1)))),1,0))&lt;&gt;16),MIN(LOOKUP(,-1/($Z$12:Z283=1),$C$12:C283)+LOOKUP(,-1/($Z$12:Z283=1),$H$12:H283)-IF(AA282="Да",0,SUM(INDIRECT("T"&amp;(MAX(("Да"=AA$12:AA282)*ROW(AA$12:AA282)+1,ROW($T$12))&amp;":T"&amp;(ROW()-1))))),Первоначальный[[#This Row],[Полученный платеж]]+Y282),
AND(S282=0,MAX((0&lt;&gt;N$12:N282)*ROW(N$12:N282),ROW($S$12))&gt;=MAX((1=Z$12:Z282)*ROW(Z$12:Z282),ROW($T$12))),MIN(LOOKUP(,-1/($Z$12:Z283=1),$C$12:C283)+LOOKUP(,-1/($Z$12:Z283=1),$H$12:H283)-IF(N282&lt;&gt;0,0,SUM(INDIRECT("T"&amp;(MAX((0&lt;&gt;N$12:N282)*ROW(N$12:N282)+1,ROW($T$12))&amp;":T"&amp;(ROW()-1))))),Первоначальный[[#This Row],[Полученный платеж]]+Y282),
AND(S282=0,Первоначальный[[#This Row],[Дата платежа из графика]]=1),MIN(LOOKUP(,-1/($Z$12:Z283=1),$C$12:C283)+LOOKUP(,-1/($Z$12:Z283=1),$H$12:H283)-IF(Z282=1,0,SUM(INDIRECT("T"&amp;(MAX((1=Z$12:Z282)*ROW(Z$12:Z282)+1,ROW($T$12))&amp;":T"&amp;(ROW()-1))))),Первоначальный[[#This Row],[Полученный платеж]]+Y282),
AND(Z282&gt;0,Первоначальный[[#This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платеж]]+Y282),
AND(S282&gt;0,MAX((0&lt;&gt;S$12:S282)*ROW(S$12:S282),ROW($S$12))&gt;=MAX((1=Z$12:Z282)*ROW(Z$12:Z282),ROW($T$12)),TYPE(VLOOKUP("Да",(INDIRECT("AA"&amp;(MAX((1=Z$12:Z282)*ROW(Z$12:Z282),ROW($T$12))&amp;":AA"&amp;(ROW()-1)))),1,0))=16),MIN(LOOKUP(,-1/($Z$12:Z283=1),$C$12:C283)+LOOKUP(,-1/($Z$12:Z283=1),$H$12:H283)-SUM(INDIRECT("T"&amp;(MAX((1=Z$12:Z282)*ROW(Z$12:Z282),ROW($T$12))&amp;":T"&amp;(ROW()-1)))),Первоначальный[[#This Row],[Полученный платеж]]+Y282),
S282&gt;0,MIN(LOOKUP(,-1/($Z$12:Z283=1),$C$12:C283)+LOOKUP(,-1/($Z$12:Z283=1),$H$12:H283)-IF(Z282=1,0,SUM(INDIRECT("T"&amp;(MAX((1=Z$12:Z282)*ROW(Z$12:Z282)+1,ROW($T$12))&amp;":T"&amp;(ROW()-1))))),Первоначальный[[#This Row],[Полученный платеж]]+Y282)
)
)
)</f>
        <v>0</v>
      </c>
      <c r="U28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платеж]]+Y282-Первоначальный[[#This Row],[Полученный платёж по процентам]])</f>
        <v>0</v>
      </c>
      <c r="V283" s="55">
        <f t="shared" ca="1" si="49"/>
        <v>0</v>
      </c>
      <c r="W283" s="55" cm="1">
        <f t="array" aca="1" ref="W283" ca="1">IF(Первоначальный[[#This Row],[Итого остаток на начало периода]]&lt;1,0,
_xlfn.IFS(
AND(TYPE(VLOOKUP(1,$Z$12:Z283,1,0))=16,Первоначальный[[#This Row],[Досрочное погашение (да/"")]]=""),0,
AND(S282=0,Первоначальный[[#This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платеж]]+Y282-SUM(Первоначальный[[#This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комиссиям]]),VLOOKUP(LOOKUP(,-1/($Z$12:Z283=1),$A$12:A283),График[[Срок конец]:[Возврат основной суммы долга]],3,0)),
AND(S282=0,Первоначальный[[#This Row],[Дата платежа из графика]]="",Первоначальный[[#This Row],[Досрочное погашение (да/"")]]&lt;&gt;"Да"),0,
AND(S282=0,Первоначальный[[#This Row],[Досрочное погашение (да/"")]]=""),MIN(Первоначальный[[#This Row],[Полученный платеж]]+Y282-SUM(Первоначальный[[#This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комиссиям]]),VLOOKUP(LOOKUP(,-1/($Z$12:Z283=1),$A$12:A283),График[[Срок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платеж]]+Y282-SUM(Первоначальный[[#This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S282&gt;0,MIN(Первоначальный[[#This Row],[Полученный платеж]]+Y282-SUM(Первоначальный[[#This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комиссиям]]),SUM(INDIRECT("M"&amp;(MAX((1=S$12:S282)*ROW(S$12:S282),ROW($W$12))&amp;":M"&amp;(ROW()))))-SUM(INDIRECT("W"&amp;(MAX((1=S$12:S282)*ROW(S$12:S282),ROW($W$12))&amp;":W"&amp;(ROW()-1)))))
)
)</f>
        <v>0</v>
      </c>
      <c r="X283" s="55">
        <f t="shared" ca="1" si="50"/>
        <v>0</v>
      </c>
      <c r="Y283" s="101">
        <f t="shared" ca="1" si="57"/>
        <v>0</v>
      </c>
      <c r="Z283" s="133" t="str">
        <f>IF(TYPE((VLOOKUP(Первоначальный[[#This Row],[Дата платежа]],График[Срок конец],1,0)))=16,"",1)</f>
        <v/>
      </c>
      <c r="AA283" s="57"/>
      <c r="AB283" s="134"/>
      <c r="AC28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8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16883.490000000016</v>
      </c>
      <c r="AE28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153.91000000000005</v>
      </c>
      <c r="AF28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8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9070.1920868852521</v>
      </c>
      <c r="AH283" s="55"/>
      <c r="AI283" s="55"/>
      <c r="AJ283" s="55"/>
      <c r="AK283" s="101">
        <f t="shared" ca="1" si="58"/>
        <v>175740.93208688527</v>
      </c>
      <c r="AL283" s="129">
        <f t="array" ref="AL283">MAX((УслРестрактов[Характеристика]="Дата реструктуризации")*(УслРестрактов[Значение]=Первоначальный!$A283),0)</f>
        <v>0</v>
      </c>
    </row>
    <row r="284" spans="1:38" x14ac:dyDescent="0.25">
      <c r="A284" s="97">
        <f t="shared" si="51"/>
        <v>44415</v>
      </c>
      <c r="B284" s="100">
        <f t="shared" ca="1" si="52"/>
        <v>149633.34</v>
      </c>
      <c r="C284" s="55">
        <f t="shared" ca="1" si="48"/>
        <v>16883.490000000016</v>
      </c>
      <c r="D284" s="55">
        <f t="shared" ca="1" si="48"/>
        <v>153.91000000000005</v>
      </c>
      <c r="E284" s="55">
        <f t="shared" ca="1" si="53"/>
        <v>0</v>
      </c>
      <c r="F284" s="55">
        <f t="shared" ca="1" si="54"/>
        <v>9070.1920868852521</v>
      </c>
      <c r="G284" s="101">
        <f t="shared" ca="1" si="55"/>
        <v>175740.93208688527</v>
      </c>
      <c r="H284" s="100">
        <f ca="1">ROUND($B284*VLOOKUP($A284,$A$1:$B$10,2,1)/(365+IF(MOD(YEAR($A284),4),0,1)*($A284-$A283)),2)-Первоначальный[[#This Row],[Проценты на просроченный платеж по ОД за период]]</f>
        <v>80.09</v>
      </c>
      <c r="I284" s="55">
        <f t="shared" ca="1" si="56"/>
        <v>1.49</v>
      </c>
      <c r="J284" s="55">
        <v>0</v>
      </c>
      <c r="K284" s="55">
        <f t="shared" ca="1" si="59"/>
        <v>86.84350327868853</v>
      </c>
      <c r="L284" s="55">
        <v>0</v>
      </c>
      <c r="M284" s="113">
        <f>SUMIFS(График[Возврат основной суммы долга],График[Дата с учетом нерабочих дней],$A284)</f>
        <v>0</v>
      </c>
      <c r="N284" s="56">
        <f>SUMIFS(График[Возврат начисленных %],График[Дата с учетом нерабочих дней],$A284)</f>
        <v>0</v>
      </c>
      <c r="O284" s="101">
        <v>0</v>
      </c>
      <c r="P284" s="100" cm="1">
        <f t="array" aca="1" ref="P284" ca="1">MAX(IF(AA283="Да",0,SUM(INDIRECT("M"&amp;(MAX(("Да"=AA$12:AA283)*ROW(AA$12:AA283)+1,ROW($P$12))&amp;":M"&amp;(ROW()))))-SUM(INDIRECT("W"&amp;(MAX(("Да"=AA$12:AA283)*ROW(AA$12:AA283)+1,ROW($P$12))&amp;":W"&amp;(ROW()))))),0)</f>
        <v>2728.4399999999991</v>
      </c>
      <c r="Q284" s="99">
        <f ca="1">MAX(SUM($N$13:N284)-SUM($T$13:T284),0)</f>
        <v>14640.260655737706</v>
      </c>
      <c r="R284" s="99">
        <f ca="1">Первоначальный[[#This Row],[Просроченный платеж по ОД]]+Первоначальный[[#This Row],[Просроченный платеж по процентам]]</f>
        <v>17368.700655737706</v>
      </c>
      <c r="S284" s="120">
        <f ca="1">IF(Первоначальный[[#This Row],[Просроченный платеж]]&lt;1,0,S283+1)</f>
        <v>180</v>
      </c>
      <c r="T284" s="100" cm="1">
        <f t="array" aca="1" ref="T284" ca="1">IF(Первоначальный[[#This Row],[Итого остаток на начало периода]]&lt;1,0,
IF(
AND(TYPE(VLOOKUP(1,$Z$12:Z284,1,0))=16,Первоначальный[[#This Row],[Досрочное погашение (да/"")]]=""),0,
_xlfn.IFS(AND(S283=0,Первоначальный[[#This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платеж]]&lt;&gt;0),MIN(LOOKUP(,-1/($Z$12:Z284=1),$C$12:C284)+LOOKUP(,-1/($Z$12:Z284=1),$H$12:H284),Первоначальный[[#This Row],[Полученный платеж]]+Y283),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платеж]]+Y283,SUM(Первоначальный[[#This Row],[Остаток процентов на начало периода]],Первоначальный[[#This Row],[Проценты за период]])),
AND(S283=0,Первоначальный[[#This Row],[Дата платежа из графика]]=""),0,
AND(S283=0,Первоначальный[[#This Row],[Дата платежа из графика]]=1,MAX((0&lt;&gt;S$12:S283)*ROW(S$12:S283),ROW($S$12))&gt;=MAX((1=Z$12:Z283)*ROW(Z$12:Z283),ROW($T$12)),TYPE(VLOOKUP("Да",(INDIRECT("AA"&amp;(MAX((1=Z$12:Z283)*ROW(Z$12:Z283),ROW($T$12))&amp;":AA"&amp;(ROW()-1)))),1,0))=16),MIN(LOOKUP(,-1/($Z$12:Z284=1),$C$12:C284)+LOOKUP(,-1/($Z$12:Z284=1),$H$12:H284),Первоначальный[[#This Row],[Полученный платеж]]+Y283),
AND(S283=0,TYPE(VLOOKUP("Да",(INDIRECT("AA"&amp;(MAX((1=Z$12:Z283)*ROW(Z$12:Z283),ROW($T$12))&amp;":AA"&amp;(ROW()-1)))),1,0))&lt;&gt;16),MIN(LOOKUP(,-1/($Z$12:Z284=1),$C$12:C284)+LOOKUP(,-1/($Z$12:Z284=1),$H$12:H284)-IF(AA283="Да",0,SUM(INDIRECT("T"&amp;(MAX(("Да"=AA$12:AA283)*ROW(AA$12:AA283)+1,ROW($T$12))&amp;":T"&amp;(ROW()-1))))),Первоначальный[[#This Row],[Полученный платеж]]+Y283),
AND(S283=0,MAX((0&lt;&gt;N$12:N283)*ROW(N$12:N283),ROW($S$12))&gt;=MAX((1=Z$12:Z283)*ROW(Z$12:Z283),ROW($T$12))),MIN(LOOKUP(,-1/($Z$12:Z284=1),$C$12:C284)+LOOKUP(,-1/($Z$12:Z284=1),$H$12:H284)-IF(N283&lt;&gt;0,0,SUM(INDIRECT("T"&amp;(MAX((0&lt;&gt;N$12:N283)*ROW(N$12:N283)+1,ROW($T$12))&amp;":T"&amp;(ROW()-1))))),Первоначальный[[#This Row],[Полученный платеж]]+Y283),
AND(S283=0,Первоначальный[[#This Row],[Дата платежа из графика]]=1),MIN(LOOKUP(,-1/($Z$12:Z284=1),$C$12:C284)+LOOKUP(,-1/($Z$12:Z284=1),$H$12:H284)-IF(Z283=1,0,SUM(INDIRECT("T"&amp;(MAX((1=Z$12:Z283)*ROW(Z$12:Z283)+1,ROW($T$12))&amp;":T"&amp;(ROW()-1))))),Первоначальный[[#This Row],[Полученный платеж]]+Y283),
AND(Z283&gt;0,Первоначальный[[#This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платеж]]+Y283),
AND(S283&gt;0,MAX((0&lt;&gt;S$12:S283)*ROW(S$12:S283),ROW($S$12))&gt;=MAX((1=Z$12:Z283)*ROW(Z$12:Z283),ROW($T$12)),TYPE(VLOOKUP("Да",(INDIRECT("AA"&amp;(MAX((1=Z$12:Z283)*ROW(Z$12:Z283),ROW($T$12))&amp;":AA"&amp;(ROW()-1)))),1,0))=16),MIN(LOOKUP(,-1/($Z$12:Z284=1),$C$12:C284)+LOOKUP(,-1/($Z$12:Z284=1),$H$12:H284)-SUM(INDIRECT("T"&amp;(MAX((1=Z$12:Z283)*ROW(Z$12:Z283),ROW($T$12))&amp;":T"&amp;(ROW()-1)))),Первоначальный[[#This Row],[Полученный платеж]]+Y283),
S283&gt;0,MIN(LOOKUP(,-1/($Z$12:Z284=1),$C$12:C284)+LOOKUP(,-1/($Z$12:Z284=1),$H$12:H284)-IF(Z283=1,0,SUM(INDIRECT("T"&amp;(MAX((1=Z$12:Z283)*ROW(Z$12:Z283)+1,ROW($T$12))&amp;":T"&amp;(ROW()-1))))),Первоначальный[[#This Row],[Полученный платеж]]+Y283)
)
)
)</f>
        <v>0</v>
      </c>
      <c r="U28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платеж]]+Y283-Первоначальный[[#This Row],[Полученный платёж по процентам]])</f>
        <v>0</v>
      </c>
      <c r="V284" s="55">
        <f t="shared" ca="1" si="49"/>
        <v>0</v>
      </c>
      <c r="W284" s="55" cm="1">
        <f t="array" aca="1" ref="W284" ca="1">IF(Первоначальный[[#This Row],[Итого остаток на начало периода]]&lt;1,0,
_xlfn.IFS(
AND(TYPE(VLOOKUP(1,$Z$12:Z284,1,0))=16,Первоначальный[[#This Row],[Досрочное погашение (да/"")]]=""),0,
AND(S283=0,Первоначальный[[#This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платеж]]+Y283-SUM(Первоначальный[[#This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комиссиям]]),VLOOKUP(LOOKUP(,-1/($Z$12:Z284=1),$A$12:A284),График[[Срок конец]:[Возврат основной суммы долга]],3,0)),
AND(S283=0,Первоначальный[[#This Row],[Дата платежа из графика]]="",Первоначальный[[#This Row],[Досрочное погашение (да/"")]]&lt;&gt;"Да"),0,
AND(S283=0,Первоначальный[[#This Row],[Досрочное погашение (да/"")]]=""),MIN(Первоначальный[[#This Row],[Полученный платеж]]+Y283-SUM(Первоначальный[[#This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комиссиям]]),VLOOKUP(LOOKUP(,-1/($Z$12:Z284=1),$A$12:A284),График[[Срок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платеж]]+Y283-SUM(Первоначальный[[#This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S283&gt;0,MIN(Первоначальный[[#This Row],[Полученный платеж]]+Y283-SUM(Первоначальный[[#This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комиссиям]]),SUM(INDIRECT("M"&amp;(MAX((1=S$12:S283)*ROW(S$12:S283),ROW($W$12))&amp;":M"&amp;(ROW()))))-SUM(INDIRECT("W"&amp;(MAX((1=S$12:S283)*ROW(S$12:S283),ROW($W$12))&amp;":W"&amp;(ROW()-1)))))
)
)</f>
        <v>0</v>
      </c>
      <c r="X284" s="55">
        <f t="shared" ca="1" si="50"/>
        <v>0</v>
      </c>
      <c r="Y284" s="101">
        <f t="shared" ca="1" si="57"/>
        <v>0</v>
      </c>
      <c r="Z284" s="133" t="str">
        <f>IF(TYPE((VLOOKUP(Первоначальный[[#This Row],[Дата платежа]],График[Срок конец],1,0)))=16,"",1)</f>
        <v/>
      </c>
      <c r="AA284" s="57"/>
      <c r="AB284" s="134"/>
      <c r="AC28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8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16963.580000000016</v>
      </c>
      <c r="AE28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155.40000000000006</v>
      </c>
      <c r="AF28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8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9157.0355901639414</v>
      </c>
      <c r="AH284" s="55"/>
      <c r="AI284" s="55"/>
      <c r="AJ284" s="55"/>
      <c r="AK284" s="101">
        <f t="shared" ca="1" si="58"/>
        <v>175909.35559016396</v>
      </c>
      <c r="AL284" s="129">
        <f t="array" ref="AL284">MAX((УслРестрактов[Характеристика]="Дата реструктуризации")*(УслРестрактов[Значение]=Первоначальный!$A284),0)</f>
        <v>0</v>
      </c>
    </row>
    <row r="285" spans="1:38" x14ac:dyDescent="0.25">
      <c r="A285" s="97">
        <f t="shared" si="51"/>
        <v>44416</v>
      </c>
      <c r="B285" s="100">
        <f t="shared" ca="1" si="52"/>
        <v>149633.34</v>
      </c>
      <c r="C285" s="55">
        <f t="shared" ref="C285:D348" ca="1" si="60">AD284+AI284</f>
        <v>16963.580000000016</v>
      </c>
      <c r="D285" s="55">
        <f t="shared" ca="1" si="60"/>
        <v>155.40000000000006</v>
      </c>
      <c r="E285" s="55">
        <f t="shared" ca="1" si="53"/>
        <v>0</v>
      </c>
      <c r="F285" s="55">
        <f t="shared" ca="1" si="54"/>
        <v>9157.0355901639414</v>
      </c>
      <c r="G285" s="101">
        <f t="shared" ca="1" si="55"/>
        <v>175909.35559016396</v>
      </c>
      <c r="H285" s="100">
        <f ca="1">ROUND($B285*VLOOKUP($A285,$A$1:$B$10,2,1)/(365+IF(MOD(YEAR($A285),4),0,1)*($A285-$A284)),2)-Первоначальный[[#This Row],[Проценты на просроченный платеж по ОД за период]]</f>
        <v>80.09</v>
      </c>
      <c r="I285" s="55">
        <f t="shared" ca="1" si="56"/>
        <v>1.49</v>
      </c>
      <c r="J285" s="55">
        <v>0</v>
      </c>
      <c r="K285" s="55">
        <f t="shared" ca="1" si="59"/>
        <v>86.84350327868853</v>
      </c>
      <c r="L285" s="55">
        <v>0</v>
      </c>
      <c r="M285" s="113">
        <f>SUMIFS(График[Возврат основной суммы долга],График[Дата с учетом нерабочих дней],$A285)</f>
        <v>0</v>
      </c>
      <c r="N285" s="56">
        <f>SUMIFS(График[Возврат начисленных %],График[Дата с учетом нерабочих дней],$A285)</f>
        <v>0</v>
      </c>
      <c r="O285" s="101">
        <v>0</v>
      </c>
      <c r="P285" s="100" cm="1">
        <f t="array" aca="1" ref="P285" ca="1">MAX(IF(AA284="Да",0,SUM(INDIRECT("M"&amp;(MAX(("Да"=AA$12:AA284)*ROW(AA$12:AA284)+1,ROW($P$12))&amp;":M"&amp;(ROW()))))-SUM(INDIRECT("W"&amp;(MAX(("Да"=AA$12:AA284)*ROW(AA$12:AA284)+1,ROW($P$12))&amp;":W"&amp;(ROW()))))),0)</f>
        <v>2728.4399999999991</v>
      </c>
      <c r="Q285" s="99">
        <f ca="1">MAX(SUM($N$13:N285)-SUM($T$13:T285),0)</f>
        <v>14640.260655737706</v>
      </c>
      <c r="R285" s="99">
        <f ca="1">Первоначальный[[#This Row],[Просроченный платеж по ОД]]+Первоначальный[[#This Row],[Просроченный платеж по процентам]]</f>
        <v>17368.700655737706</v>
      </c>
      <c r="S285" s="120">
        <f ca="1">IF(Первоначальный[[#This Row],[Просроченный платеж]]&lt;1,0,S284+1)</f>
        <v>181</v>
      </c>
      <c r="T285" s="100" cm="1">
        <f t="array" aca="1" ref="T285" ca="1">IF(Первоначальный[[#This Row],[Итого остаток на начало периода]]&lt;1,0,
IF(
AND(TYPE(VLOOKUP(1,$Z$12:Z285,1,0))=16,Первоначальный[[#This Row],[Досрочное погашение (да/"")]]=""),0,
_xlfn.IFS(AND(S284=0,Первоначальный[[#This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платеж]]&lt;&gt;0),MIN(LOOKUP(,-1/($Z$12:Z285=1),$C$12:C285)+LOOKUP(,-1/($Z$12:Z285=1),$H$12:H285),Первоначальный[[#This Row],[Полученный платеж]]+Y284),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платеж]]+Y284,SUM(Первоначальный[[#This Row],[Остаток процентов на начало периода]],Первоначальный[[#This Row],[Проценты за период]])),
AND(S284=0,Первоначальный[[#This Row],[Дата платежа из графика]]=""),0,
AND(S284=0,Первоначальный[[#This Row],[Дата платежа из графика]]=1,MAX((0&lt;&gt;S$12:S284)*ROW(S$12:S284),ROW($S$12))&gt;=MAX((1=Z$12:Z284)*ROW(Z$12:Z284),ROW($T$12)),TYPE(VLOOKUP("Да",(INDIRECT("AA"&amp;(MAX((1=Z$12:Z284)*ROW(Z$12:Z284),ROW($T$12))&amp;":AA"&amp;(ROW()-1)))),1,0))=16),MIN(LOOKUP(,-1/($Z$12:Z285=1),$C$12:C285)+LOOKUP(,-1/($Z$12:Z285=1),$H$12:H285),Первоначальный[[#This Row],[Полученный платеж]]+Y284),
AND(S284=0,TYPE(VLOOKUP("Да",(INDIRECT("AA"&amp;(MAX((1=Z$12:Z284)*ROW(Z$12:Z284),ROW($T$12))&amp;":AA"&amp;(ROW()-1)))),1,0))&lt;&gt;16),MIN(LOOKUP(,-1/($Z$12:Z285=1),$C$12:C285)+LOOKUP(,-1/($Z$12:Z285=1),$H$12:H285)-IF(AA284="Да",0,SUM(INDIRECT("T"&amp;(MAX(("Да"=AA$12:AA284)*ROW(AA$12:AA284)+1,ROW($T$12))&amp;":T"&amp;(ROW()-1))))),Первоначальный[[#This Row],[Полученный платеж]]+Y284),
AND(S284=0,MAX((0&lt;&gt;N$12:N284)*ROW(N$12:N284),ROW($S$12))&gt;=MAX((1=Z$12:Z284)*ROW(Z$12:Z284),ROW($T$12))),MIN(LOOKUP(,-1/($Z$12:Z285=1),$C$12:C285)+LOOKUP(,-1/($Z$12:Z285=1),$H$12:H285)-IF(N284&lt;&gt;0,0,SUM(INDIRECT("T"&amp;(MAX((0&lt;&gt;N$12:N284)*ROW(N$12:N284)+1,ROW($T$12))&amp;":T"&amp;(ROW()-1))))),Первоначальный[[#This Row],[Полученный платеж]]+Y284),
AND(S284=0,Первоначальный[[#This Row],[Дата платежа из графика]]=1),MIN(LOOKUP(,-1/($Z$12:Z285=1),$C$12:C285)+LOOKUP(,-1/($Z$12:Z285=1),$H$12:H285)-IF(Z284=1,0,SUM(INDIRECT("T"&amp;(MAX((1=Z$12:Z284)*ROW(Z$12:Z284)+1,ROW($T$12))&amp;":T"&amp;(ROW()-1))))),Первоначальный[[#This Row],[Полученный платеж]]+Y284),
AND(Z284&gt;0,Первоначальный[[#This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платеж]]+Y284),
AND(S284&gt;0,MAX((0&lt;&gt;S$12:S284)*ROW(S$12:S284),ROW($S$12))&gt;=MAX((1=Z$12:Z284)*ROW(Z$12:Z284),ROW($T$12)),TYPE(VLOOKUP("Да",(INDIRECT("AA"&amp;(MAX((1=Z$12:Z284)*ROW(Z$12:Z284),ROW($T$12))&amp;":AA"&amp;(ROW()-1)))),1,0))=16),MIN(LOOKUP(,-1/($Z$12:Z285=1),$C$12:C285)+LOOKUP(,-1/($Z$12:Z285=1),$H$12:H285)-SUM(INDIRECT("T"&amp;(MAX((1=Z$12:Z284)*ROW(Z$12:Z284),ROW($T$12))&amp;":T"&amp;(ROW()-1)))),Первоначальный[[#This Row],[Полученный платеж]]+Y284),
S284&gt;0,MIN(LOOKUP(,-1/($Z$12:Z285=1),$C$12:C285)+LOOKUP(,-1/($Z$12:Z285=1),$H$12:H285)-IF(Z284=1,0,SUM(INDIRECT("T"&amp;(MAX((1=Z$12:Z284)*ROW(Z$12:Z284)+1,ROW($T$12))&amp;":T"&amp;(ROW()-1))))),Первоначальный[[#This Row],[Полученный платеж]]+Y284)
)
)
)</f>
        <v>0</v>
      </c>
      <c r="U28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платеж]]+Y284-Первоначальный[[#This Row],[Полученный платёж по процентам]])</f>
        <v>0</v>
      </c>
      <c r="V285" s="55">
        <f t="shared" ca="1" si="49"/>
        <v>0</v>
      </c>
      <c r="W285" s="55" cm="1">
        <f t="array" aca="1" ref="W285" ca="1">IF(Первоначальный[[#This Row],[Итого остаток на начало периода]]&lt;1,0,
_xlfn.IFS(
AND(TYPE(VLOOKUP(1,$Z$12:Z285,1,0))=16,Первоначальный[[#This Row],[Досрочное погашение (да/"")]]=""),0,
AND(S284=0,Первоначальный[[#This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платеж]]+Y284-SUM(Первоначальный[[#This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комиссиям]]),VLOOKUP(LOOKUP(,-1/($Z$12:Z285=1),$A$12:A285),График[[Срок конец]:[Возврат основной суммы долга]],3,0)),
AND(S284=0,Первоначальный[[#This Row],[Дата платежа из графика]]="",Первоначальный[[#This Row],[Досрочное погашение (да/"")]]&lt;&gt;"Да"),0,
AND(S284=0,Первоначальный[[#This Row],[Досрочное погашение (да/"")]]=""),MIN(Первоначальный[[#This Row],[Полученный платеж]]+Y284-SUM(Первоначальный[[#This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комиссиям]]),VLOOKUP(LOOKUP(,-1/($Z$12:Z285=1),$A$12:A285),График[[Срок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платеж]]+Y284-SUM(Первоначальный[[#This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S284&gt;0,MIN(Первоначальный[[#This Row],[Полученный платеж]]+Y284-SUM(Первоначальный[[#This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комиссиям]]),SUM(INDIRECT("M"&amp;(MAX((1=S$12:S284)*ROW(S$12:S284),ROW($W$12))&amp;":M"&amp;(ROW()))))-SUM(INDIRECT("W"&amp;(MAX((1=S$12:S284)*ROW(S$12:S284),ROW($W$12))&amp;":W"&amp;(ROW()-1)))))
)
)</f>
        <v>0</v>
      </c>
      <c r="X285" s="55">
        <f t="shared" ca="1" si="50"/>
        <v>0</v>
      </c>
      <c r="Y285" s="101">
        <f t="shared" ca="1" si="57"/>
        <v>0</v>
      </c>
      <c r="Z285" s="133" t="str">
        <f>IF(TYPE((VLOOKUP(Первоначальный[[#This Row],[Дата платежа]],График[Срок конец],1,0)))=16,"",1)</f>
        <v/>
      </c>
      <c r="AA285" s="57"/>
      <c r="AB285" s="134"/>
      <c r="AC28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8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17043.670000000016</v>
      </c>
      <c r="AE28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156.89000000000007</v>
      </c>
      <c r="AF28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8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9243.8790934426306</v>
      </c>
      <c r="AH285" s="55"/>
      <c r="AI285" s="55"/>
      <c r="AJ285" s="55"/>
      <c r="AK285" s="101">
        <f t="shared" ca="1" si="58"/>
        <v>176077.77909344266</v>
      </c>
      <c r="AL285" s="129">
        <f t="array" ref="AL285">MAX((УслРестрактов[Характеристика]="Дата реструктуризации")*(УслРестрактов[Значение]=Первоначальный!$A285),0)</f>
        <v>0</v>
      </c>
    </row>
    <row r="286" spans="1:38" x14ac:dyDescent="0.25">
      <c r="A286" s="97">
        <f t="shared" si="51"/>
        <v>44417</v>
      </c>
      <c r="B286" s="100">
        <f t="shared" ca="1" si="52"/>
        <v>149633.34</v>
      </c>
      <c r="C286" s="55">
        <f t="shared" ca="1" si="60"/>
        <v>17043.670000000016</v>
      </c>
      <c r="D286" s="55">
        <f t="shared" ca="1" si="60"/>
        <v>156.89000000000007</v>
      </c>
      <c r="E286" s="55">
        <f t="shared" ca="1" si="53"/>
        <v>0</v>
      </c>
      <c r="F286" s="55">
        <f t="shared" ca="1" si="54"/>
        <v>9243.8790934426306</v>
      </c>
      <c r="G286" s="101">
        <f t="shared" ca="1" si="55"/>
        <v>176077.77909344266</v>
      </c>
      <c r="H286" s="100">
        <f ca="1">ROUND($B286*VLOOKUP($A286,$A$1:$B$10,2,1)/(365+IF(MOD(YEAR($A286),4),0,1)*($A286-$A285)),2)-Первоначальный[[#This Row],[Проценты на просроченный платеж по ОД за период]]</f>
        <v>80.09</v>
      </c>
      <c r="I286" s="55">
        <f t="shared" ca="1" si="56"/>
        <v>1.49</v>
      </c>
      <c r="J286" s="55">
        <v>0</v>
      </c>
      <c r="K286" s="55">
        <f t="shared" ca="1" si="59"/>
        <v>101.32850327868853</v>
      </c>
      <c r="L286" s="55">
        <v>0</v>
      </c>
      <c r="M286" s="113">
        <f>SUMIFS(График[Возврат основной суммы долга],График[Дата с учетом нерабочих дней],$A286)</f>
        <v>414.11000000000013</v>
      </c>
      <c r="N286" s="56">
        <f>SUMIFS(График[Возврат начисленных %],График[Дата с учетом нерабочих дней],$A286)</f>
        <v>2482.89</v>
      </c>
      <c r="O286" s="101">
        <v>0</v>
      </c>
      <c r="P286" s="100" cm="1">
        <f t="array" aca="1" ref="P286" ca="1">MAX(IF(AA285="Да",0,SUM(INDIRECT("M"&amp;(MAX(("Да"=AA$12:AA285)*ROW(AA$12:AA285)+1,ROW($P$12))&amp;":M"&amp;(ROW()))))-SUM(INDIRECT("W"&amp;(MAX(("Да"=AA$12:AA285)*ROW(AA$12:AA285)+1,ROW($P$12))&amp;":W"&amp;(ROW()))))),0)</f>
        <v>3142.5499999999993</v>
      </c>
      <c r="Q286" s="99">
        <f ca="1">MAX(SUM($N$13:N286)-SUM($T$13:T286),0)</f>
        <v>17123.150655737707</v>
      </c>
      <c r="R286" s="99">
        <f ca="1">Первоначальный[[#This Row],[Просроченный платеж по ОД]]+Первоначальный[[#This Row],[Просроченный платеж по процентам]]</f>
        <v>20265.700655737706</v>
      </c>
      <c r="S286" s="120">
        <f ca="1">IF(Первоначальный[[#This Row],[Просроченный платеж]]&lt;1,0,S285+1)</f>
        <v>182</v>
      </c>
      <c r="T286" s="100" cm="1">
        <f t="array" aca="1" ref="T286" ca="1">IF(Первоначальный[[#This Row],[Итого остаток на начало периода]]&lt;1,0,
IF(
AND(TYPE(VLOOKUP(1,$Z$12:Z286,1,0))=16,Первоначальный[[#This Row],[Досрочное погашение (да/"")]]=""),0,
_xlfn.IFS(AND(S285=0,Первоначальный[[#This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платеж]]&lt;&gt;0),MIN(LOOKUP(,-1/($Z$12:Z286=1),$C$12:C286)+LOOKUP(,-1/($Z$12:Z286=1),$H$12:H286),Первоначальный[[#This Row],[Полученный платеж]]+Y285),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платеж]]+Y285,SUM(Первоначальный[[#This Row],[Остаток процентов на начало периода]],Первоначальный[[#This Row],[Проценты за период]])),
AND(S285=0,Первоначальный[[#This Row],[Дата платежа из графика]]=""),0,
AND(S285=0,Первоначальный[[#This Row],[Дата платежа из графика]]=1,MAX((0&lt;&gt;S$12:S285)*ROW(S$12:S285),ROW($S$12))&gt;=MAX((1=Z$12:Z285)*ROW(Z$12:Z285),ROW($T$12)),TYPE(VLOOKUP("Да",(INDIRECT("AA"&amp;(MAX((1=Z$12:Z285)*ROW(Z$12:Z285),ROW($T$12))&amp;":AA"&amp;(ROW()-1)))),1,0))=16),MIN(LOOKUP(,-1/($Z$12:Z286=1),$C$12:C286)+LOOKUP(,-1/($Z$12:Z286=1),$H$12:H286),Первоначальный[[#This Row],[Полученный платеж]]+Y285),
AND(S285=0,TYPE(VLOOKUP("Да",(INDIRECT("AA"&amp;(MAX((1=Z$12:Z285)*ROW(Z$12:Z285),ROW($T$12))&amp;":AA"&amp;(ROW()-1)))),1,0))&lt;&gt;16),MIN(LOOKUP(,-1/($Z$12:Z286=1),$C$12:C286)+LOOKUP(,-1/($Z$12:Z286=1),$H$12:H286)-IF(AA285="Да",0,SUM(INDIRECT("T"&amp;(MAX(("Да"=AA$12:AA285)*ROW(AA$12:AA285)+1,ROW($T$12))&amp;":T"&amp;(ROW()-1))))),Первоначальный[[#This Row],[Полученный платеж]]+Y285),
AND(S285=0,MAX((0&lt;&gt;N$12:N285)*ROW(N$12:N285),ROW($S$12))&gt;=MAX((1=Z$12:Z285)*ROW(Z$12:Z285),ROW($T$12))),MIN(LOOKUP(,-1/($Z$12:Z286=1),$C$12:C286)+LOOKUP(,-1/($Z$12:Z286=1),$H$12:H286)-IF(N285&lt;&gt;0,0,SUM(INDIRECT("T"&amp;(MAX((0&lt;&gt;N$12:N285)*ROW(N$12:N285)+1,ROW($T$12))&amp;":T"&amp;(ROW()-1))))),Первоначальный[[#This Row],[Полученный платеж]]+Y285),
AND(S285=0,Первоначальный[[#This Row],[Дата платежа из графика]]=1),MIN(LOOKUP(,-1/($Z$12:Z286=1),$C$12:C286)+LOOKUP(,-1/($Z$12:Z286=1),$H$12:H286)-IF(Z285=1,0,SUM(INDIRECT("T"&amp;(MAX((1=Z$12:Z285)*ROW(Z$12:Z285)+1,ROW($T$12))&amp;":T"&amp;(ROW()-1))))),Первоначальный[[#This Row],[Полученный платеж]]+Y285),
AND(Z285&gt;0,Первоначальный[[#This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платеж]]+Y285),
AND(S285&gt;0,MAX((0&lt;&gt;S$12:S285)*ROW(S$12:S285),ROW($S$12))&gt;=MAX((1=Z$12:Z285)*ROW(Z$12:Z285),ROW($T$12)),TYPE(VLOOKUP("Да",(INDIRECT("AA"&amp;(MAX((1=Z$12:Z285)*ROW(Z$12:Z285),ROW($T$12))&amp;":AA"&amp;(ROW()-1)))),1,0))=16),MIN(LOOKUP(,-1/($Z$12:Z286=1),$C$12:C286)+LOOKUP(,-1/($Z$12:Z286=1),$H$12:H286)-SUM(INDIRECT("T"&amp;(MAX((1=Z$12:Z285)*ROW(Z$12:Z285),ROW($T$12))&amp;":T"&amp;(ROW()-1)))),Первоначальный[[#This Row],[Полученный платеж]]+Y285),
S285&gt;0,MIN(LOOKUP(,-1/($Z$12:Z286=1),$C$12:C286)+LOOKUP(,-1/($Z$12:Z286=1),$H$12:H286)-IF(Z285=1,0,SUM(INDIRECT("T"&amp;(MAX((1=Z$12:Z285)*ROW(Z$12:Z285)+1,ROW($T$12))&amp;":T"&amp;(ROW()-1))))),Первоначальный[[#This Row],[Полученный платеж]]+Y285)
)
)
)</f>
        <v>0</v>
      </c>
      <c r="U28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платеж]]+Y285-Первоначальный[[#This Row],[Полученный платёж по процентам]])</f>
        <v>0</v>
      </c>
      <c r="V286" s="55">
        <f t="shared" ca="1" si="49"/>
        <v>0</v>
      </c>
      <c r="W286" s="55" cm="1">
        <f t="array" aca="1" ref="W286" ca="1">IF(Первоначальный[[#This Row],[Итого остаток на начало периода]]&lt;1,0,
_xlfn.IFS(
AND(TYPE(VLOOKUP(1,$Z$12:Z286,1,0))=16,Первоначальный[[#This Row],[Досрочное погашение (да/"")]]=""),0,
AND(S285=0,Первоначальный[[#This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платеж]]+Y285-SUM(Первоначальный[[#This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комиссиям]]),VLOOKUP(LOOKUP(,-1/($Z$12:Z286=1),$A$12:A286),График[[Срок конец]:[Возврат основной суммы долга]],3,0)),
AND(S285=0,Первоначальный[[#This Row],[Дата платежа из графика]]="",Первоначальный[[#This Row],[Досрочное погашение (да/"")]]&lt;&gt;"Да"),0,
AND(S285=0,Первоначальный[[#This Row],[Досрочное погашение (да/"")]]=""),MIN(Первоначальный[[#This Row],[Полученный платеж]]+Y285-SUM(Первоначальный[[#This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комиссиям]]),VLOOKUP(LOOKUP(,-1/($Z$12:Z286=1),$A$12:A286),График[[Срок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платеж]]+Y285-SUM(Первоначальный[[#This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S285&gt;0,MIN(Первоначальный[[#This Row],[Полученный платеж]]+Y285-SUM(Первоначальный[[#This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комиссиям]]),SUM(INDIRECT("M"&amp;(MAX((1=S$12:S285)*ROW(S$12:S285),ROW($W$12))&amp;":M"&amp;(ROW()))))-SUM(INDIRECT("W"&amp;(MAX((1=S$12:S285)*ROW(S$12:S285),ROW($W$12))&amp;":W"&amp;(ROW()-1)))))
)
)</f>
        <v>0</v>
      </c>
      <c r="X286" s="55">
        <f t="shared" ca="1" si="50"/>
        <v>0</v>
      </c>
      <c r="Y286" s="101">
        <f t="shared" ca="1" si="57"/>
        <v>0</v>
      </c>
      <c r="Z286" s="133">
        <f>IF(TYPE((VLOOKUP(Первоначальный[[#This Row],[Дата платежа]],График[Срок конец],1,0)))=16,"",1)</f>
        <v>1</v>
      </c>
      <c r="AA286" s="57"/>
      <c r="AB286" s="134"/>
      <c r="AC28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8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17123.760000000017</v>
      </c>
      <c r="AE28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158.38000000000008</v>
      </c>
      <c r="AF28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8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9345.2075967213186</v>
      </c>
      <c r="AH286" s="55"/>
      <c r="AI286" s="55"/>
      <c r="AJ286" s="55"/>
      <c r="AK286" s="101">
        <f t="shared" ca="1" si="58"/>
        <v>176260.68759672134</v>
      </c>
      <c r="AL286" s="129">
        <f t="array" ref="AL286">MAX((УслРестрактов[Характеристика]="Дата реструктуризации")*(УслРестрактов[Значение]=Первоначальный!$A286),0)</f>
        <v>0</v>
      </c>
    </row>
    <row r="287" spans="1:38" x14ac:dyDescent="0.25">
      <c r="A287" s="97">
        <f t="shared" si="51"/>
        <v>44418</v>
      </c>
      <c r="B287" s="100">
        <f t="shared" ca="1" si="52"/>
        <v>149633.34</v>
      </c>
      <c r="C287" s="55">
        <f t="shared" ca="1" si="60"/>
        <v>17123.760000000017</v>
      </c>
      <c r="D287" s="55">
        <f t="shared" ca="1" si="60"/>
        <v>158.38000000000008</v>
      </c>
      <c r="E287" s="55">
        <f t="shared" ca="1" si="53"/>
        <v>0</v>
      </c>
      <c r="F287" s="55">
        <f t="shared" ca="1" si="54"/>
        <v>9345.2075967213186</v>
      </c>
      <c r="G287" s="101">
        <f t="shared" ca="1" si="55"/>
        <v>176260.68759672134</v>
      </c>
      <c r="H287" s="100">
        <f ca="1">ROUND($B287*VLOOKUP($A287,$A$1:$B$10,2,1)/(365+IF(MOD(YEAR($A287),4),0,1)*($A287-$A286)),2)-Первоначальный[[#This Row],[Проценты на просроченный платеж по ОД за период]]</f>
        <v>79.87</v>
      </c>
      <c r="I287" s="55">
        <f t="shared" ca="1" si="56"/>
        <v>1.71</v>
      </c>
      <c r="J287" s="55">
        <v>0</v>
      </c>
      <c r="K287" s="55">
        <f t="shared" ca="1" si="59"/>
        <v>101.32850327868853</v>
      </c>
      <c r="L287" s="55">
        <v>0</v>
      </c>
      <c r="M287" s="113">
        <f>SUMIFS(График[Возврат основной суммы долга],График[Дата с учетом нерабочих дней],$A287)</f>
        <v>0</v>
      </c>
      <c r="N287" s="56">
        <f>SUMIFS(График[Возврат начисленных %],График[Дата с учетом нерабочих дней],$A287)</f>
        <v>0</v>
      </c>
      <c r="O287" s="101">
        <v>0</v>
      </c>
      <c r="P287" s="100" cm="1">
        <f t="array" aca="1" ref="P287" ca="1">MAX(IF(AA286="Да",0,SUM(INDIRECT("M"&amp;(MAX(("Да"=AA$12:AA286)*ROW(AA$12:AA286)+1,ROW($P$12))&amp;":M"&amp;(ROW()))))-SUM(INDIRECT("W"&amp;(MAX(("Да"=AA$12:AA286)*ROW(AA$12:AA286)+1,ROW($P$12))&amp;":W"&amp;(ROW()))))),0)</f>
        <v>3142.5499999999993</v>
      </c>
      <c r="Q287" s="99">
        <f ca="1">MAX(SUM($N$13:N287)-SUM($T$13:T287),0)</f>
        <v>17123.150655737707</v>
      </c>
      <c r="R287" s="99">
        <f ca="1">Первоначальный[[#This Row],[Просроченный платеж по ОД]]+Первоначальный[[#This Row],[Просроченный платеж по процентам]]</f>
        <v>20265.700655737706</v>
      </c>
      <c r="S287" s="120">
        <f ca="1">IF(Первоначальный[[#This Row],[Просроченный платеж]]&lt;1,0,S286+1)</f>
        <v>183</v>
      </c>
      <c r="T287" s="100" cm="1">
        <f t="array" aca="1" ref="T287" ca="1">IF(Первоначальный[[#This Row],[Итого остаток на начало периода]]&lt;1,0,
IF(
AND(TYPE(VLOOKUP(1,$Z$12:Z287,1,0))=16,Первоначальный[[#This Row],[Досрочное погашение (да/"")]]=""),0,
_xlfn.IFS(AND(S286=0,Первоначальный[[#This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платеж]]&lt;&gt;0),MIN(LOOKUP(,-1/($Z$12:Z287=1),$C$12:C287)+LOOKUP(,-1/($Z$12:Z287=1),$H$12:H287),Первоначальный[[#This Row],[Полученный платеж]]+Y286),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платеж]]+Y286,SUM(Первоначальный[[#This Row],[Остаток процентов на начало периода]],Первоначальный[[#This Row],[Проценты за период]])),
AND(S286=0,Первоначальный[[#This Row],[Дата платежа из графика]]=""),0,
AND(S286=0,Первоначальный[[#This Row],[Дата платежа из графика]]=1,MAX((0&lt;&gt;S$12:S286)*ROW(S$12:S286),ROW($S$12))&gt;=MAX((1=Z$12:Z286)*ROW(Z$12:Z286),ROW($T$12)),TYPE(VLOOKUP("Да",(INDIRECT("AA"&amp;(MAX((1=Z$12:Z286)*ROW(Z$12:Z286),ROW($T$12))&amp;":AA"&amp;(ROW()-1)))),1,0))=16),MIN(LOOKUP(,-1/($Z$12:Z287=1),$C$12:C287)+LOOKUP(,-1/($Z$12:Z287=1),$H$12:H287),Первоначальный[[#This Row],[Полученный платеж]]+Y286),
AND(S286=0,TYPE(VLOOKUP("Да",(INDIRECT("AA"&amp;(MAX((1=Z$12:Z286)*ROW(Z$12:Z286),ROW($T$12))&amp;":AA"&amp;(ROW()-1)))),1,0))&lt;&gt;16),MIN(LOOKUP(,-1/($Z$12:Z287=1),$C$12:C287)+LOOKUP(,-1/($Z$12:Z287=1),$H$12:H287)-IF(AA286="Да",0,SUM(INDIRECT("T"&amp;(MAX(("Да"=AA$12:AA286)*ROW(AA$12:AA286)+1,ROW($T$12))&amp;":T"&amp;(ROW()-1))))),Первоначальный[[#This Row],[Полученный платеж]]+Y286),
AND(S286=0,MAX((0&lt;&gt;N$12:N286)*ROW(N$12:N286),ROW($S$12))&gt;=MAX((1=Z$12:Z286)*ROW(Z$12:Z286),ROW($T$12))),MIN(LOOKUP(,-1/($Z$12:Z287=1),$C$12:C287)+LOOKUP(,-1/($Z$12:Z287=1),$H$12:H287)-IF(N286&lt;&gt;0,0,SUM(INDIRECT("T"&amp;(MAX((0&lt;&gt;N$12:N286)*ROW(N$12:N286)+1,ROW($T$12))&amp;":T"&amp;(ROW()-1))))),Первоначальный[[#This Row],[Полученный платеж]]+Y286),
AND(S286=0,Первоначальный[[#This Row],[Дата платежа из графика]]=1),MIN(LOOKUP(,-1/($Z$12:Z287=1),$C$12:C287)+LOOKUP(,-1/($Z$12:Z287=1),$H$12:H287)-IF(Z286=1,0,SUM(INDIRECT("T"&amp;(MAX((1=Z$12:Z286)*ROW(Z$12:Z286)+1,ROW($T$12))&amp;":T"&amp;(ROW()-1))))),Первоначальный[[#This Row],[Полученный платеж]]+Y286),
AND(Z286&gt;0,Первоначальный[[#This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платеж]]+Y286),
AND(S286&gt;0,MAX((0&lt;&gt;S$12:S286)*ROW(S$12:S286),ROW($S$12))&gt;=MAX((1=Z$12:Z286)*ROW(Z$12:Z286),ROW($T$12)),TYPE(VLOOKUP("Да",(INDIRECT("AA"&amp;(MAX((1=Z$12:Z286)*ROW(Z$12:Z286),ROW($T$12))&amp;":AA"&amp;(ROW()-1)))),1,0))=16),MIN(LOOKUP(,-1/($Z$12:Z287=1),$C$12:C287)+LOOKUP(,-1/($Z$12:Z287=1),$H$12:H287)-SUM(INDIRECT("T"&amp;(MAX((1=Z$12:Z286)*ROW(Z$12:Z286),ROW($T$12))&amp;":T"&amp;(ROW()-1)))),Первоначальный[[#This Row],[Полученный платеж]]+Y286),
S286&gt;0,MIN(LOOKUP(,-1/($Z$12:Z287=1),$C$12:C287)+LOOKUP(,-1/($Z$12:Z287=1),$H$12:H287)-IF(Z286=1,0,SUM(INDIRECT("T"&amp;(MAX((1=Z$12:Z286)*ROW(Z$12:Z286)+1,ROW($T$12))&amp;":T"&amp;(ROW()-1))))),Первоначальный[[#This Row],[Полученный платеж]]+Y286)
)
)
)</f>
        <v>0</v>
      </c>
      <c r="U28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платеж]]+Y286-Первоначальный[[#This Row],[Полученный платёж по процентам]])</f>
        <v>0</v>
      </c>
      <c r="V287" s="55">
        <f t="shared" ca="1" si="49"/>
        <v>0</v>
      </c>
      <c r="W287" s="55" cm="1">
        <f t="array" aca="1" ref="W287" ca="1">IF(Первоначальный[[#This Row],[Итого остаток на начало периода]]&lt;1,0,
_xlfn.IFS(
AND(TYPE(VLOOKUP(1,$Z$12:Z287,1,0))=16,Первоначальный[[#This Row],[Досрочное погашение (да/"")]]=""),0,
AND(S286=0,Первоначальный[[#This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платеж]]+Y286-SUM(Первоначальный[[#This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комиссиям]]),VLOOKUP(LOOKUP(,-1/($Z$12:Z287=1),$A$12:A287),График[[Срок конец]:[Возврат основной суммы долга]],3,0)),
AND(S286=0,Первоначальный[[#This Row],[Дата платежа из графика]]="",Первоначальный[[#This Row],[Досрочное погашение (да/"")]]&lt;&gt;"Да"),0,
AND(S286=0,Первоначальный[[#This Row],[Досрочное погашение (да/"")]]=""),MIN(Первоначальный[[#This Row],[Полученный платеж]]+Y286-SUM(Первоначальный[[#This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комиссиям]]),VLOOKUP(LOOKUP(,-1/($Z$12:Z287=1),$A$12:A287),График[[Срок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платеж]]+Y286-SUM(Первоначальный[[#This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S286&gt;0,MIN(Первоначальный[[#This Row],[Полученный платеж]]+Y286-SUM(Первоначальный[[#This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комиссиям]]),SUM(INDIRECT("M"&amp;(MAX((1=S$12:S286)*ROW(S$12:S286),ROW($W$12))&amp;":M"&amp;(ROW()))))-SUM(INDIRECT("W"&amp;(MAX((1=S$12:S286)*ROW(S$12:S286),ROW($W$12))&amp;":W"&amp;(ROW()-1)))))
)
)</f>
        <v>0</v>
      </c>
      <c r="X287" s="55">
        <f t="shared" ca="1" si="50"/>
        <v>0</v>
      </c>
      <c r="Y287" s="101">
        <f t="shared" ca="1" si="57"/>
        <v>0</v>
      </c>
      <c r="Z287" s="133" t="str">
        <f>IF(TYPE((VLOOKUP(Первоначальный[[#This Row],[Дата платежа]],График[Срок конец],1,0)))=16,"",1)</f>
        <v/>
      </c>
      <c r="AA287" s="57"/>
      <c r="AB287" s="134"/>
      <c r="AC28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8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17203.630000000016</v>
      </c>
      <c r="AE28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160.09000000000009</v>
      </c>
      <c r="AF28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8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9446.5361000000066</v>
      </c>
      <c r="AH287" s="55"/>
      <c r="AI287" s="55"/>
      <c r="AJ287" s="55"/>
      <c r="AK287" s="101">
        <f t="shared" ca="1" si="58"/>
        <v>176443.5961</v>
      </c>
      <c r="AL287" s="129">
        <f t="array" ref="AL287">MAX((УслРестрактов[Характеристика]="Дата реструктуризации")*(УслРестрактов[Значение]=Первоначальный!$A287),0)</f>
        <v>0</v>
      </c>
    </row>
    <row r="288" spans="1:38" x14ac:dyDescent="0.25">
      <c r="A288" s="97">
        <f t="shared" si="51"/>
        <v>44419</v>
      </c>
      <c r="B288" s="100">
        <f t="shared" ca="1" si="52"/>
        <v>149633.34</v>
      </c>
      <c r="C288" s="55">
        <f t="shared" ca="1" si="60"/>
        <v>17203.630000000016</v>
      </c>
      <c r="D288" s="55">
        <f t="shared" ca="1" si="60"/>
        <v>160.09000000000009</v>
      </c>
      <c r="E288" s="55">
        <f t="shared" ca="1" si="53"/>
        <v>0</v>
      </c>
      <c r="F288" s="55">
        <f t="shared" ca="1" si="54"/>
        <v>9446.5361000000066</v>
      </c>
      <c r="G288" s="101">
        <f t="shared" ca="1" si="55"/>
        <v>176443.5961</v>
      </c>
      <c r="H288" s="100">
        <f ca="1">ROUND($B288*VLOOKUP($A288,$A$1:$B$10,2,1)/(365+IF(MOD(YEAR($A288),4),0,1)*($A288-$A287)),2)-Первоначальный[[#This Row],[Проценты на просроченный платеж по ОД за период]]</f>
        <v>79.87</v>
      </c>
      <c r="I288" s="55">
        <f t="shared" ca="1" si="56"/>
        <v>1.71</v>
      </c>
      <c r="J288" s="55">
        <v>0</v>
      </c>
      <c r="K288" s="55">
        <f t="shared" ca="1" si="59"/>
        <v>101.32850327868853</v>
      </c>
      <c r="L288" s="55">
        <v>0</v>
      </c>
      <c r="M288" s="113">
        <f>SUMIFS(График[Возврат основной суммы долга],График[Дата с учетом нерабочих дней],$A288)</f>
        <v>0</v>
      </c>
      <c r="N288" s="56">
        <f>SUMIFS(График[Возврат начисленных %],График[Дата с учетом нерабочих дней],$A288)</f>
        <v>0</v>
      </c>
      <c r="O288" s="101">
        <v>0</v>
      </c>
      <c r="P288" s="100" cm="1">
        <f t="array" aca="1" ref="P288" ca="1">MAX(IF(AA287="Да",0,SUM(INDIRECT("M"&amp;(MAX(("Да"=AA$12:AA287)*ROW(AA$12:AA287)+1,ROW($P$12))&amp;":M"&amp;(ROW()))))-SUM(INDIRECT("W"&amp;(MAX(("Да"=AA$12:AA287)*ROW(AA$12:AA287)+1,ROW($P$12))&amp;":W"&amp;(ROW()))))),0)</f>
        <v>3142.5499999999993</v>
      </c>
      <c r="Q288" s="99">
        <f ca="1">MAX(SUM($N$13:N288)-SUM($T$13:T288),0)</f>
        <v>17123.150655737707</v>
      </c>
      <c r="R288" s="99">
        <f ca="1">Первоначальный[[#This Row],[Просроченный платеж по ОД]]+Первоначальный[[#This Row],[Просроченный платеж по процентам]]</f>
        <v>20265.700655737706</v>
      </c>
      <c r="S288" s="120">
        <f ca="1">IF(Первоначальный[[#This Row],[Просроченный платеж]]&lt;1,0,S287+1)</f>
        <v>184</v>
      </c>
      <c r="T288" s="100" cm="1">
        <f t="array" aca="1" ref="T288" ca="1">IF(Первоначальный[[#This Row],[Итого остаток на начало периода]]&lt;1,0,
IF(
AND(TYPE(VLOOKUP(1,$Z$12:Z288,1,0))=16,Первоначальный[[#This Row],[Досрочное погашение (да/"")]]=""),0,
_xlfn.IFS(AND(S287=0,Первоначальный[[#This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платеж]]&lt;&gt;0),MIN(LOOKUP(,-1/($Z$12:Z288=1),$C$12:C288)+LOOKUP(,-1/($Z$12:Z288=1),$H$12:H288),Первоначальный[[#This Row],[Полученный платеж]]+Y287),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платеж]]+Y287,SUM(Первоначальный[[#This Row],[Остаток процентов на начало периода]],Первоначальный[[#This Row],[Проценты за период]])),
AND(S287=0,Первоначальный[[#This Row],[Дата платежа из графика]]=""),0,
AND(S287=0,Первоначальный[[#This Row],[Дата платежа из графика]]=1,MAX((0&lt;&gt;S$12:S287)*ROW(S$12:S287),ROW($S$12))&gt;=MAX((1=Z$12:Z287)*ROW(Z$12:Z287),ROW($T$12)),TYPE(VLOOKUP("Да",(INDIRECT("AA"&amp;(MAX((1=Z$12:Z287)*ROW(Z$12:Z287),ROW($T$12))&amp;":AA"&amp;(ROW()-1)))),1,0))=16),MIN(LOOKUP(,-1/($Z$12:Z288=1),$C$12:C288)+LOOKUP(,-1/($Z$12:Z288=1),$H$12:H288),Первоначальный[[#This Row],[Полученный платеж]]+Y287),
AND(S287=0,TYPE(VLOOKUP("Да",(INDIRECT("AA"&amp;(MAX((1=Z$12:Z287)*ROW(Z$12:Z287),ROW($T$12))&amp;":AA"&amp;(ROW()-1)))),1,0))&lt;&gt;16),MIN(LOOKUP(,-1/($Z$12:Z288=1),$C$12:C288)+LOOKUP(,-1/($Z$12:Z288=1),$H$12:H288)-IF(AA287="Да",0,SUM(INDIRECT("T"&amp;(MAX(("Да"=AA$12:AA287)*ROW(AA$12:AA287)+1,ROW($T$12))&amp;":T"&amp;(ROW()-1))))),Первоначальный[[#This Row],[Полученный платеж]]+Y287),
AND(S287=0,MAX((0&lt;&gt;N$12:N287)*ROW(N$12:N287),ROW($S$12))&gt;=MAX((1=Z$12:Z287)*ROW(Z$12:Z287),ROW($T$12))),MIN(LOOKUP(,-1/($Z$12:Z288=1),$C$12:C288)+LOOKUP(,-1/($Z$12:Z288=1),$H$12:H288)-IF(N287&lt;&gt;0,0,SUM(INDIRECT("T"&amp;(MAX((0&lt;&gt;N$12:N287)*ROW(N$12:N287)+1,ROW($T$12))&amp;":T"&amp;(ROW()-1))))),Первоначальный[[#This Row],[Полученный платеж]]+Y287),
AND(S287=0,Первоначальный[[#This Row],[Дата платежа из графика]]=1),MIN(LOOKUP(,-1/($Z$12:Z288=1),$C$12:C288)+LOOKUP(,-1/($Z$12:Z288=1),$H$12:H288)-IF(Z287=1,0,SUM(INDIRECT("T"&amp;(MAX((1=Z$12:Z287)*ROW(Z$12:Z287)+1,ROW($T$12))&amp;":T"&amp;(ROW()-1))))),Первоначальный[[#This Row],[Полученный платеж]]+Y287),
AND(Z287&gt;0,Первоначальный[[#This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платеж]]+Y287),
AND(S287&gt;0,MAX((0&lt;&gt;S$12:S287)*ROW(S$12:S287),ROW($S$12))&gt;=MAX((1=Z$12:Z287)*ROW(Z$12:Z287),ROW($T$12)),TYPE(VLOOKUP("Да",(INDIRECT("AA"&amp;(MAX((1=Z$12:Z287)*ROW(Z$12:Z287),ROW($T$12))&amp;":AA"&amp;(ROW()-1)))),1,0))=16),MIN(LOOKUP(,-1/($Z$12:Z288=1),$C$12:C288)+LOOKUP(,-1/($Z$12:Z288=1),$H$12:H288)-SUM(INDIRECT("T"&amp;(MAX((1=Z$12:Z287)*ROW(Z$12:Z287),ROW($T$12))&amp;":T"&amp;(ROW()-1)))),Первоначальный[[#This Row],[Полученный платеж]]+Y287),
S287&gt;0,MIN(LOOKUP(,-1/($Z$12:Z288=1),$C$12:C288)+LOOKUP(,-1/($Z$12:Z288=1),$H$12:H288)-IF(Z287=1,0,SUM(INDIRECT("T"&amp;(MAX((1=Z$12:Z287)*ROW(Z$12:Z287)+1,ROW($T$12))&amp;":T"&amp;(ROW()-1))))),Первоначальный[[#This Row],[Полученный платеж]]+Y287)
)
)
)</f>
        <v>0</v>
      </c>
      <c r="U28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платеж]]+Y287-Первоначальный[[#This Row],[Полученный платёж по процентам]])</f>
        <v>0</v>
      </c>
      <c r="V288" s="55">
        <f t="shared" ca="1" si="49"/>
        <v>0</v>
      </c>
      <c r="W288" s="55" cm="1">
        <f t="array" aca="1" ref="W288" ca="1">IF(Первоначальный[[#This Row],[Итого остаток на начало периода]]&lt;1,0,
_xlfn.IFS(
AND(TYPE(VLOOKUP(1,$Z$12:Z288,1,0))=16,Первоначальный[[#This Row],[Досрочное погашение (да/"")]]=""),0,
AND(S287=0,Первоначальный[[#This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платеж]]+Y287-SUM(Первоначальный[[#This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комиссиям]]),VLOOKUP(LOOKUP(,-1/($Z$12:Z288=1),$A$12:A288),График[[Срок конец]:[Возврат основной суммы долга]],3,0)),
AND(S287=0,Первоначальный[[#This Row],[Дата платежа из графика]]="",Первоначальный[[#This Row],[Досрочное погашение (да/"")]]&lt;&gt;"Да"),0,
AND(S287=0,Первоначальный[[#This Row],[Досрочное погашение (да/"")]]=""),MIN(Первоначальный[[#This Row],[Полученный платеж]]+Y287-SUM(Первоначальный[[#This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комиссиям]]),VLOOKUP(LOOKUP(,-1/($Z$12:Z288=1),$A$12:A288),График[[Срок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платеж]]+Y287-SUM(Первоначальный[[#This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S287&gt;0,MIN(Первоначальный[[#This Row],[Полученный платеж]]+Y287-SUM(Первоначальный[[#This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комиссиям]]),SUM(INDIRECT("M"&amp;(MAX((1=S$12:S287)*ROW(S$12:S287),ROW($W$12))&amp;":M"&amp;(ROW()))))-SUM(INDIRECT("W"&amp;(MAX((1=S$12:S287)*ROW(S$12:S287),ROW($W$12))&amp;":W"&amp;(ROW()-1)))))
)
)</f>
        <v>0</v>
      </c>
      <c r="X288" s="55">
        <f t="shared" ca="1" si="50"/>
        <v>0</v>
      </c>
      <c r="Y288" s="101">
        <f t="shared" ca="1" si="57"/>
        <v>0</v>
      </c>
      <c r="Z288" s="133" t="str">
        <f>IF(TYPE((VLOOKUP(Первоначальный[[#This Row],[Дата платежа]],График[Срок конец],1,0)))=16,"",1)</f>
        <v/>
      </c>
      <c r="AA288" s="57"/>
      <c r="AB288" s="134"/>
      <c r="AC28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8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17283.500000000015</v>
      </c>
      <c r="AE28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161.8000000000001</v>
      </c>
      <c r="AF28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8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9547.8646032786946</v>
      </c>
      <c r="AH288" s="55"/>
      <c r="AI288" s="55"/>
      <c r="AJ288" s="55"/>
      <c r="AK288" s="101">
        <f t="shared" ca="1" si="58"/>
        <v>176626.50460327871</v>
      </c>
      <c r="AL288" s="129">
        <f t="array" ref="AL288">MAX((УслРестрактов[Характеристика]="Дата реструктуризации")*(УслРестрактов[Значение]=Первоначальный!$A288),0)</f>
        <v>0</v>
      </c>
    </row>
    <row r="289" spans="1:38" x14ac:dyDescent="0.25">
      <c r="A289" s="97">
        <f t="shared" si="51"/>
        <v>44420</v>
      </c>
      <c r="B289" s="100">
        <f t="shared" ca="1" si="52"/>
        <v>149633.34</v>
      </c>
      <c r="C289" s="55">
        <f t="shared" ca="1" si="60"/>
        <v>17283.500000000015</v>
      </c>
      <c r="D289" s="55">
        <f t="shared" ca="1" si="60"/>
        <v>161.8000000000001</v>
      </c>
      <c r="E289" s="55">
        <f t="shared" ca="1" si="53"/>
        <v>0</v>
      </c>
      <c r="F289" s="55">
        <f t="shared" ca="1" si="54"/>
        <v>9547.8646032786946</v>
      </c>
      <c r="G289" s="101">
        <f t="shared" ca="1" si="55"/>
        <v>176626.50460327871</v>
      </c>
      <c r="H289" s="100">
        <f ca="1">ROUND($B289*VLOOKUP($A289,$A$1:$B$10,2,1)/(365+IF(MOD(YEAR($A289),4),0,1)*($A289-$A288)),2)-Первоначальный[[#This Row],[Проценты на просроченный платеж по ОД за период]]</f>
        <v>79.87</v>
      </c>
      <c r="I289" s="55">
        <f t="shared" ca="1" si="56"/>
        <v>1.71</v>
      </c>
      <c r="J289" s="55">
        <v>0</v>
      </c>
      <c r="K289" s="55">
        <f t="shared" ca="1" si="59"/>
        <v>101.32850327868853</v>
      </c>
      <c r="L289" s="55">
        <v>0</v>
      </c>
      <c r="M289" s="113">
        <f>SUMIFS(График[Возврат основной суммы долга],График[Дата с учетом нерабочих дней],$A289)</f>
        <v>0</v>
      </c>
      <c r="N289" s="56">
        <f>SUMIFS(График[Возврат начисленных %],График[Дата с учетом нерабочих дней],$A289)</f>
        <v>0</v>
      </c>
      <c r="O289" s="101">
        <v>0</v>
      </c>
      <c r="P289" s="100" cm="1">
        <f t="array" aca="1" ref="P289" ca="1">MAX(IF(AA288="Да",0,SUM(INDIRECT("M"&amp;(MAX(("Да"=AA$12:AA288)*ROW(AA$12:AA288)+1,ROW($P$12))&amp;":M"&amp;(ROW()))))-SUM(INDIRECT("W"&amp;(MAX(("Да"=AA$12:AA288)*ROW(AA$12:AA288)+1,ROW($P$12))&amp;":W"&amp;(ROW()))))),0)</f>
        <v>3142.5499999999993</v>
      </c>
      <c r="Q289" s="99">
        <f ca="1">MAX(SUM($N$13:N289)-SUM($T$13:T289),0)</f>
        <v>17123.150655737707</v>
      </c>
      <c r="R289" s="99">
        <f ca="1">Первоначальный[[#This Row],[Просроченный платеж по ОД]]+Первоначальный[[#This Row],[Просроченный платеж по процентам]]</f>
        <v>20265.700655737706</v>
      </c>
      <c r="S289" s="120">
        <f ca="1">IF(Первоначальный[[#This Row],[Просроченный платеж]]&lt;1,0,S288+1)</f>
        <v>185</v>
      </c>
      <c r="T289" s="100" cm="1">
        <f t="array" aca="1" ref="T289" ca="1">IF(Первоначальный[[#This Row],[Итого остаток на начало периода]]&lt;1,0,
IF(
AND(TYPE(VLOOKUP(1,$Z$12:Z289,1,0))=16,Первоначальный[[#This Row],[Досрочное погашение (да/"")]]=""),0,
_xlfn.IFS(AND(S288=0,Первоначальный[[#This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платеж]]&lt;&gt;0),MIN(LOOKUP(,-1/($Z$12:Z289=1),$C$12:C289)+LOOKUP(,-1/($Z$12:Z289=1),$H$12:H289),Первоначальный[[#This Row],[Полученный платеж]]+Y288),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платеж]]+Y288,SUM(Первоначальный[[#This Row],[Остаток процентов на начало периода]],Первоначальный[[#This Row],[Проценты за период]])),
AND(S288=0,Первоначальный[[#This Row],[Дата платежа из графика]]=""),0,
AND(S288=0,Первоначальный[[#This Row],[Дата платежа из графика]]=1,MAX((0&lt;&gt;S$12:S288)*ROW(S$12:S288),ROW($S$12))&gt;=MAX((1=Z$12:Z288)*ROW(Z$12:Z288),ROW($T$12)),TYPE(VLOOKUP("Да",(INDIRECT("AA"&amp;(MAX((1=Z$12:Z288)*ROW(Z$12:Z288),ROW($T$12))&amp;":AA"&amp;(ROW()-1)))),1,0))=16),MIN(LOOKUP(,-1/($Z$12:Z289=1),$C$12:C289)+LOOKUP(,-1/($Z$12:Z289=1),$H$12:H289),Первоначальный[[#This Row],[Полученный платеж]]+Y288),
AND(S288=0,TYPE(VLOOKUP("Да",(INDIRECT("AA"&amp;(MAX((1=Z$12:Z288)*ROW(Z$12:Z288),ROW($T$12))&amp;":AA"&amp;(ROW()-1)))),1,0))&lt;&gt;16),MIN(LOOKUP(,-1/($Z$12:Z289=1),$C$12:C289)+LOOKUP(,-1/($Z$12:Z289=1),$H$12:H289)-IF(AA288="Да",0,SUM(INDIRECT("T"&amp;(MAX(("Да"=AA$12:AA288)*ROW(AA$12:AA288)+1,ROW($T$12))&amp;":T"&amp;(ROW()-1))))),Первоначальный[[#This Row],[Полученный платеж]]+Y288),
AND(S288=0,MAX((0&lt;&gt;N$12:N288)*ROW(N$12:N288),ROW($S$12))&gt;=MAX((1=Z$12:Z288)*ROW(Z$12:Z288),ROW($T$12))),MIN(LOOKUP(,-1/($Z$12:Z289=1),$C$12:C289)+LOOKUP(,-1/($Z$12:Z289=1),$H$12:H289)-IF(N288&lt;&gt;0,0,SUM(INDIRECT("T"&amp;(MAX((0&lt;&gt;N$12:N288)*ROW(N$12:N288)+1,ROW($T$12))&amp;":T"&amp;(ROW()-1))))),Первоначальный[[#This Row],[Полученный платеж]]+Y288),
AND(S288=0,Первоначальный[[#This Row],[Дата платежа из графика]]=1),MIN(LOOKUP(,-1/($Z$12:Z289=1),$C$12:C289)+LOOKUP(,-1/($Z$12:Z289=1),$H$12:H289)-IF(Z288=1,0,SUM(INDIRECT("T"&amp;(MAX((1=Z$12:Z288)*ROW(Z$12:Z288)+1,ROW($T$12))&amp;":T"&amp;(ROW()-1))))),Первоначальный[[#This Row],[Полученный платеж]]+Y288),
AND(Z288&gt;0,Первоначальный[[#This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платеж]]+Y288),
AND(S288&gt;0,MAX((0&lt;&gt;S$12:S288)*ROW(S$12:S288),ROW($S$12))&gt;=MAX((1=Z$12:Z288)*ROW(Z$12:Z288),ROW($T$12)),TYPE(VLOOKUP("Да",(INDIRECT("AA"&amp;(MAX((1=Z$12:Z288)*ROW(Z$12:Z288),ROW($T$12))&amp;":AA"&amp;(ROW()-1)))),1,0))=16),MIN(LOOKUP(,-1/($Z$12:Z289=1),$C$12:C289)+LOOKUP(,-1/($Z$12:Z289=1),$H$12:H289)-SUM(INDIRECT("T"&amp;(MAX((1=Z$12:Z288)*ROW(Z$12:Z288),ROW($T$12))&amp;":T"&amp;(ROW()-1)))),Первоначальный[[#This Row],[Полученный платеж]]+Y288),
S288&gt;0,MIN(LOOKUP(,-1/($Z$12:Z289=1),$C$12:C289)+LOOKUP(,-1/($Z$12:Z289=1),$H$12:H289)-IF(Z288=1,0,SUM(INDIRECT("T"&amp;(MAX((1=Z$12:Z288)*ROW(Z$12:Z288)+1,ROW($T$12))&amp;":T"&amp;(ROW()-1))))),Первоначальный[[#This Row],[Полученный платеж]]+Y288)
)
)
)</f>
        <v>0</v>
      </c>
      <c r="U28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платеж]]+Y288-Первоначальный[[#This Row],[Полученный платёж по процентам]])</f>
        <v>0</v>
      </c>
      <c r="V289" s="55">
        <f t="shared" ca="1" si="49"/>
        <v>0</v>
      </c>
      <c r="W289" s="55" cm="1">
        <f t="array" aca="1" ref="W289" ca="1">IF(Первоначальный[[#This Row],[Итого остаток на начало периода]]&lt;1,0,
_xlfn.IFS(
AND(TYPE(VLOOKUP(1,$Z$12:Z289,1,0))=16,Первоначальный[[#This Row],[Досрочное погашение (да/"")]]=""),0,
AND(S288=0,Первоначальный[[#This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платеж]]+Y288-SUM(Первоначальный[[#This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комиссиям]]),VLOOKUP(LOOKUP(,-1/($Z$12:Z289=1),$A$12:A289),График[[Срок конец]:[Возврат основной суммы долга]],3,0)),
AND(S288=0,Первоначальный[[#This Row],[Дата платежа из графика]]="",Первоначальный[[#This Row],[Досрочное погашение (да/"")]]&lt;&gt;"Да"),0,
AND(S288=0,Первоначальный[[#This Row],[Досрочное погашение (да/"")]]=""),MIN(Первоначальный[[#This Row],[Полученный платеж]]+Y288-SUM(Первоначальный[[#This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комиссиям]]),VLOOKUP(LOOKUP(,-1/($Z$12:Z289=1),$A$12:A289),График[[Срок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платеж]]+Y288-SUM(Первоначальный[[#This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S288&gt;0,MIN(Первоначальный[[#This Row],[Полученный платеж]]+Y288-SUM(Первоначальный[[#This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комиссиям]]),SUM(INDIRECT("M"&amp;(MAX((1=S$12:S288)*ROW(S$12:S288),ROW($W$12))&amp;":M"&amp;(ROW()))))-SUM(INDIRECT("W"&amp;(MAX((1=S$12:S288)*ROW(S$12:S288),ROW($W$12))&amp;":W"&amp;(ROW()-1)))))
)
)</f>
        <v>0</v>
      </c>
      <c r="X289" s="55">
        <f t="shared" ca="1" si="50"/>
        <v>0</v>
      </c>
      <c r="Y289" s="101">
        <f t="shared" ca="1" si="57"/>
        <v>0</v>
      </c>
      <c r="Z289" s="133" t="str">
        <f>IF(TYPE((VLOOKUP(Первоначальный[[#This Row],[Дата платежа]],График[Срок конец],1,0)))=16,"",1)</f>
        <v/>
      </c>
      <c r="AA289" s="57"/>
      <c r="AB289" s="134"/>
      <c r="AC28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8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17363.370000000014</v>
      </c>
      <c r="AE28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163.5100000000001</v>
      </c>
      <c r="AF28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8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9649.1931065573826</v>
      </c>
      <c r="AH289" s="55"/>
      <c r="AI289" s="55"/>
      <c r="AJ289" s="55"/>
      <c r="AK289" s="101">
        <f t="shared" ca="1" si="58"/>
        <v>176809.41310655742</v>
      </c>
      <c r="AL289" s="129">
        <f t="array" ref="AL289">MAX((УслРестрактов[Характеристика]="Дата реструктуризации")*(УслРестрактов[Значение]=Первоначальный!$A289),0)</f>
        <v>0</v>
      </c>
    </row>
    <row r="290" spans="1:38" x14ac:dyDescent="0.25">
      <c r="A290" s="97">
        <f t="shared" si="51"/>
        <v>44421</v>
      </c>
      <c r="B290" s="100">
        <f t="shared" ca="1" si="52"/>
        <v>149633.34</v>
      </c>
      <c r="C290" s="55">
        <f t="shared" ca="1" si="60"/>
        <v>17363.370000000014</v>
      </c>
      <c r="D290" s="55">
        <f t="shared" ca="1" si="60"/>
        <v>163.5100000000001</v>
      </c>
      <c r="E290" s="55">
        <f t="shared" ca="1" si="53"/>
        <v>0</v>
      </c>
      <c r="F290" s="55">
        <f t="shared" ca="1" si="54"/>
        <v>9649.1931065573826</v>
      </c>
      <c r="G290" s="101">
        <f t="shared" ca="1" si="55"/>
        <v>176809.41310655742</v>
      </c>
      <c r="H290" s="100">
        <f ca="1">ROUND($B290*VLOOKUP($A290,$A$1:$B$10,2,1)/(365+IF(MOD(YEAR($A290),4),0,1)*($A290-$A289)),2)-Первоначальный[[#This Row],[Проценты на просроченный платеж по ОД за период]]</f>
        <v>79.87</v>
      </c>
      <c r="I290" s="55">
        <f t="shared" ca="1" si="56"/>
        <v>1.71</v>
      </c>
      <c r="J290" s="55">
        <v>0</v>
      </c>
      <c r="K290" s="55">
        <f t="shared" ca="1" si="59"/>
        <v>101.32850327868853</v>
      </c>
      <c r="L290" s="55">
        <v>0</v>
      </c>
      <c r="M290" s="113">
        <f>SUMIFS(График[Возврат основной суммы долга],График[Дата с учетом нерабочих дней],$A290)</f>
        <v>0</v>
      </c>
      <c r="N290" s="56">
        <f>SUMIFS(График[Возврат начисленных %],График[Дата с учетом нерабочих дней],$A290)</f>
        <v>0</v>
      </c>
      <c r="O290" s="101">
        <v>0</v>
      </c>
      <c r="P290" s="100" cm="1">
        <f t="array" aca="1" ref="P290" ca="1">MAX(IF(AA289="Да",0,SUM(INDIRECT("M"&amp;(MAX(("Да"=AA$12:AA289)*ROW(AA$12:AA289)+1,ROW($P$12))&amp;":M"&amp;(ROW()))))-SUM(INDIRECT("W"&amp;(MAX(("Да"=AA$12:AA289)*ROW(AA$12:AA289)+1,ROW($P$12))&amp;":W"&amp;(ROW()))))),0)</f>
        <v>3142.5499999999993</v>
      </c>
      <c r="Q290" s="99">
        <f ca="1">MAX(SUM($N$13:N290)-SUM($T$13:T290),0)</f>
        <v>17123.150655737707</v>
      </c>
      <c r="R290" s="99">
        <f ca="1">Первоначальный[[#This Row],[Просроченный платеж по ОД]]+Первоначальный[[#This Row],[Просроченный платеж по процентам]]</f>
        <v>20265.700655737706</v>
      </c>
      <c r="S290" s="120">
        <f ca="1">IF(Первоначальный[[#This Row],[Просроченный платеж]]&lt;1,0,S289+1)</f>
        <v>186</v>
      </c>
      <c r="T290" s="100" cm="1">
        <f t="array" aca="1" ref="T290" ca="1">IF(Первоначальный[[#This Row],[Итого остаток на начало периода]]&lt;1,0,
IF(
AND(TYPE(VLOOKUP(1,$Z$12:Z290,1,0))=16,Первоначальный[[#This Row],[Досрочное погашение (да/"")]]=""),0,
_xlfn.IFS(AND(S289=0,Первоначальный[[#This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платеж]]&lt;&gt;0),MIN(LOOKUP(,-1/($Z$12:Z290=1),$C$12:C290)+LOOKUP(,-1/($Z$12:Z290=1),$H$12:H290),Первоначальный[[#This Row],[Полученный платеж]]+Y289),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платеж]]+Y289,SUM(Первоначальный[[#This Row],[Остаток процентов на начало периода]],Первоначальный[[#This Row],[Проценты за период]])),
AND(S289=0,Первоначальный[[#This Row],[Дата платежа из графика]]=""),0,
AND(S289=0,Первоначальный[[#This Row],[Дата платежа из графика]]=1,MAX((0&lt;&gt;S$12:S289)*ROW(S$12:S289),ROW($S$12))&gt;=MAX((1=Z$12:Z289)*ROW(Z$12:Z289),ROW($T$12)),TYPE(VLOOKUP("Да",(INDIRECT("AA"&amp;(MAX((1=Z$12:Z289)*ROW(Z$12:Z289),ROW($T$12))&amp;":AA"&amp;(ROW()-1)))),1,0))=16),MIN(LOOKUP(,-1/($Z$12:Z290=1),$C$12:C290)+LOOKUP(,-1/($Z$12:Z290=1),$H$12:H290),Первоначальный[[#This Row],[Полученный платеж]]+Y289),
AND(S289=0,TYPE(VLOOKUP("Да",(INDIRECT("AA"&amp;(MAX((1=Z$12:Z289)*ROW(Z$12:Z289),ROW($T$12))&amp;":AA"&amp;(ROW()-1)))),1,0))&lt;&gt;16),MIN(LOOKUP(,-1/($Z$12:Z290=1),$C$12:C290)+LOOKUP(,-1/($Z$12:Z290=1),$H$12:H290)-IF(AA289="Да",0,SUM(INDIRECT("T"&amp;(MAX(("Да"=AA$12:AA289)*ROW(AA$12:AA289)+1,ROW($T$12))&amp;":T"&amp;(ROW()-1))))),Первоначальный[[#This Row],[Полученный платеж]]+Y289),
AND(S289=0,MAX((0&lt;&gt;N$12:N289)*ROW(N$12:N289),ROW($S$12))&gt;=MAX((1=Z$12:Z289)*ROW(Z$12:Z289),ROW($T$12))),MIN(LOOKUP(,-1/($Z$12:Z290=1),$C$12:C290)+LOOKUP(,-1/($Z$12:Z290=1),$H$12:H290)-IF(N289&lt;&gt;0,0,SUM(INDIRECT("T"&amp;(MAX((0&lt;&gt;N$12:N289)*ROW(N$12:N289)+1,ROW($T$12))&amp;":T"&amp;(ROW()-1))))),Первоначальный[[#This Row],[Полученный платеж]]+Y289),
AND(S289=0,Первоначальный[[#This Row],[Дата платежа из графика]]=1),MIN(LOOKUP(,-1/($Z$12:Z290=1),$C$12:C290)+LOOKUP(,-1/($Z$12:Z290=1),$H$12:H290)-IF(Z289=1,0,SUM(INDIRECT("T"&amp;(MAX((1=Z$12:Z289)*ROW(Z$12:Z289)+1,ROW($T$12))&amp;":T"&amp;(ROW()-1))))),Первоначальный[[#This Row],[Полученный платеж]]+Y289),
AND(Z289&gt;0,Первоначальный[[#This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платеж]]+Y289),
AND(S289&gt;0,MAX((0&lt;&gt;S$12:S289)*ROW(S$12:S289),ROW($S$12))&gt;=MAX((1=Z$12:Z289)*ROW(Z$12:Z289),ROW($T$12)),TYPE(VLOOKUP("Да",(INDIRECT("AA"&amp;(MAX((1=Z$12:Z289)*ROW(Z$12:Z289),ROW($T$12))&amp;":AA"&amp;(ROW()-1)))),1,0))=16),MIN(LOOKUP(,-1/($Z$12:Z290=1),$C$12:C290)+LOOKUP(,-1/($Z$12:Z290=1),$H$12:H290)-SUM(INDIRECT("T"&amp;(MAX((1=Z$12:Z289)*ROW(Z$12:Z289),ROW($T$12))&amp;":T"&amp;(ROW()-1)))),Первоначальный[[#This Row],[Полученный платеж]]+Y289),
S289&gt;0,MIN(LOOKUP(,-1/($Z$12:Z290=1),$C$12:C290)+LOOKUP(,-1/($Z$12:Z290=1),$H$12:H290)-IF(Z289=1,0,SUM(INDIRECT("T"&amp;(MAX((1=Z$12:Z289)*ROW(Z$12:Z289)+1,ROW($T$12))&amp;":T"&amp;(ROW()-1))))),Первоначальный[[#This Row],[Полученный платеж]]+Y289)
)
)
)</f>
        <v>0</v>
      </c>
      <c r="U29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платеж]]+Y289-Первоначальный[[#This Row],[Полученный платёж по процентам]])</f>
        <v>0</v>
      </c>
      <c r="V290" s="55">
        <f t="shared" ca="1" si="49"/>
        <v>0</v>
      </c>
      <c r="W290" s="55" cm="1">
        <f t="array" aca="1" ref="W290" ca="1">IF(Первоначальный[[#This Row],[Итого остаток на начало периода]]&lt;1,0,
_xlfn.IFS(
AND(TYPE(VLOOKUP(1,$Z$12:Z290,1,0))=16,Первоначальный[[#This Row],[Досрочное погашение (да/"")]]=""),0,
AND(S289=0,Первоначальный[[#This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платеж]]+Y289-SUM(Первоначальный[[#This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комиссиям]]),VLOOKUP(LOOKUP(,-1/($Z$12:Z290=1),$A$12:A290),График[[Срок конец]:[Возврат основной суммы долга]],3,0)),
AND(S289=0,Первоначальный[[#This Row],[Дата платежа из графика]]="",Первоначальный[[#This Row],[Досрочное погашение (да/"")]]&lt;&gt;"Да"),0,
AND(S289=0,Первоначальный[[#This Row],[Досрочное погашение (да/"")]]=""),MIN(Первоначальный[[#This Row],[Полученный платеж]]+Y289-SUM(Первоначальный[[#This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комиссиям]]),VLOOKUP(LOOKUP(,-1/($Z$12:Z290=1),$A$12:A290),График[[Срок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платеж]]+Y289-SUM(Первоначальный[[#This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S289&gt;0,MIN(Первоначальный[[#This Row],[Полученный платеж]]+Y289-SUM(Первоначальный[[#This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комиссиям]]),SUM(INDIRECT("M"&amp;(MAX((1=S$12:S289)*ROW(S$12:S289),ROW($W$12))&amp;":M"&amp;(ROW()))))-SUM(INDIRECT("W"&amp;(MAX((1=S$12:S289)*ROW(S$12:S289),ROW($W$12))&amp;":W"&amp;(ROW()-1)))))
)
)</f>
        <v>0</v>
      </c>
      <c r="X290" s="55">
        <f t="shared" ca="1" si="50"/>
        <v>0</v>
      </c>
      <c r="Y290" s="101">
        <f t="shared" ca="1" si="57"/>
        <v>0</v>
      </c>
      <c r="Z290" s="133" t="str">
        <f>IF(TYPE((VLOOKUP(Первоначальный[[#This Row],[Дата платежа]],График[Срок конец],1,0)))=16,"",1)</f>
        <v/>
      </c>
      <c r="AA290" s="57"/>
      <c r="AB290" s="134"/>
      <c r="AC29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9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17443.240000000013</v>
      </c>
      <c r="AE29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165.22000000000011</v>
      </c>
      <c r="AF29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9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9750.5216098360706</v>
      </c>
      <c r="AH290" s="55"/>
      <c r="AI290" s="55"/>
      <c r="AJ290" s="55"/>
      <c r="AK290" s="101">
        <f t="shared" ca="1" si="58"/>
        <v>176992.3216098361</v>
      </c>
      <c r="AL290" s="129">
        <f t="array" ref="AL290">MAX((УслРестрактов[Характеристика]="Дата реструктуризации")*(УслРестрактов[Значение]=Первоначальный!$A290),0)</f>
        <v>0</v>
      </c>
    </row>
    <row r="291" spans="1:38" x14ac:dyDescent="0.25">
      <c r="A291" s="97">
        <f t="shared" si="51"/>
        <v>44422</v>
      </c>
      <c r="B291" s="100">
        <f t="shared" ca="1" si="52"/>
        <v>149633.34</v>
      </c>
      <c r="C291" s="55">
        <f t="shared" ca="1" si="60"/>
        <v>17443.240000000013</v>
      </c>
      <c r="D291" s="55">
        <f t="shared" ca="1" si="60"/>
        <v>165.22000000000011</v>
      </c>
      <c r="E291" s="55">
        <f t="shared" ca="1" si="53"/>
        <v>0</v>
      </c>
      <c r="F291" s="55">
        <f t="shared" ca="1" si="54"/>
        <v>9750.5216098360706</v>
      </c>
      <c r="G291" s="101">
        <f t="shared" ca="1" si="55"/>
        <v>176992.3216098361</v>
      </c>
      <c r="H291" s="100">
        <f ca="1">ROUND($B291*VLOOKUP($A291,$A$1:$B$10,2,1)/(365+IF(MOD(YEAR($A291),4),0,1)*($A291-$A290)),2)-Первоначальный[[#This Row],[Проценты на просроченный платеж по ОД за период]]</f>
        <v>79.87</v>
      </c>
      <c r="I291" s="55">
        <f t="shared" ca="1" si="56"/>
        <v>1.71</v>
      </c>
      <c r="J291" s="55">
        <v>0</v>
      </c>
      <c r="K291" s="55">
        <f t="shared" ca="1" si="59"/>
        <v>101.32850327868853</v>
      </c>
      <c r="L291" s="55">
        <v>0</v>
      </c>
      <c r="M291" s="113">
        <f>SUMIFS(График[Возврат основной суммы долга],График[Дата с учетом нерабочих дней],$A291)</f>
        <v>0</v>
      </c>
      <c r="N291" s="56">
        <f>SUMIFS(График[Возврат начисленных %],График[Дата с учетом нерабочих дней],$A291)</f>
        <v>0</v>
      </c>
      <c r="O291" s="101">
        <v>0</v>
      </c>
      <c r="P291" s="100" cm="1">
        <f t="array" aca="1" ref="P291" ca="1">MAX(IF(AA290="Да",0,SUM(INDIRECT("M"&amp;(MAX(("Да"=AA$12:AA290)*ROW(AA$12:AA290)+1,ROW($P$12))&amp;":M"&amp;(ROW()))))-SUM(INDIRECT("W"&amp;(MAX(("Да"=AA$12:AA290)*ROW(AA$12:AA290)+1,ROW($P$12))&amp;":W"&amp;(ROW()))))),0)</f>
        <v>3142.5499999999993</v>
      </c>
      <c r="Q291" s="99">
        <f ca="1">MAX(SUM($N$13:N291)-SUM($T$13:T291),0)</f>
        <v>17123.150655737707</v>
      </c>
      <c r="R291" s="99">
        <f ca="1">Первоначальный[[#This Row],[Просроченный платеж по ОД]]+Первоначальный[[#This Row],[Просроченный платеж по процентам]]</f>
        <v>20265.700655737706</v>
      </c>
      <c r="S291" s="120">
        <f ca="1">IF(Первоначальный[[#This Row],[Просроченный платеж]]&lt;1,0,S290+1)</f>
        <v>187</v>
      </c>
      <c r="T291" s="100" cm="1">
        <f t="array" aca="1" ref="T291" ca="1">IF(Первоначальный[[#This Row],[Итого остаток на начало периода]]&lt;1,0,
IF(
AND(TYPE(VLOOKUP(1,$Z$12:Z291,1,0))=16,Первоначальный[[#This Row],[Досрочное погашение (да/"")]]=""),0,
_xlfn.IFS(AND(S290=0,Первоначальный[[#This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платеж]]&lt;&gt;0),MIN(LOOKUP(,-1/($Z$12:Z291=1),$C$12:C291)+LOOKUP(,-1/($Z$12:Z291=1),$H$12:H291),Первоначальный[[#This Row],[Полученный платеж]]+Y290),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платеж]]+Y290,SUM(Первоначальный[[#This Row],[Остаток процентов на начало периода]],Первоначальный[[#This Row],[Проценты за период]])),
AND(S290=0,Первоначальный[[#This Row],[Дата платежа из графика]]=""),0,
AND(S290=0,Первоначальный[[#This Row],[Дата платежа из графика]]=1,MAX((0&lt;&gt;S$12:S290)*ROW(S$12:S290),ROW($S$12))&gt;=MAX((1=Z$12:Z290)*ROW(Z$12:Z290),ROW($T$12)),TYPE(VLOOKUP("Да",(INDIRECT("AA"&amp;(MAX((1=Z$12:Z290)*ROW(Z$12:Z290),ROW($T$12))&amp;":AA"&amp;(ROW()-1)))),1,0))=16),MIN(LOOKUP(,-1/($Z$12:Z291=1),$C$12:C291)+LOOKUP(,-1/($Z$12:Z291=1),$H$12:H291),Первоначальный[[#This Row],[Полученный платеж]]+Y290),
AND(S290=0,TYPE(VLOOKUP("Да",(INDIRECT("AA"&amp;(MAX((1=Z$12:Z290)*ROW(Z$12:Z290),ROW($T$12))&amp;":AA"&amp;(ROW()-1)))),1,0))&lt;&gt;16),MIN(LOOKUP(,-1/($Z$12:Z291=1),$C$12:C291)+LOOKUP(,-1/($Z$12:Z291=1),$H$12:H291)-IF(AA290="Да",0,SUM(INDIRECT("T"&amp;(MAX(("Да"=AA$12:AA290)*ROW(AA$12:AA290)+1,ROW($T$12))&amp;":T"&amp;(ROW()-1))))),Первоначальный[[#This Row],[Полученный платеж]]+Y290),
AND(S290=0,MAX((0&lt;&gt;N$12:N290)*ROW(N$12:N290),ROW($S$12))&gt;=MAX((1=Z$12:Z290)*ROW(Z$12:Z290),ROW($T$12))),MIN(LOOKUP(,-1/($Z$12:Z291=1),$C$12:C291)+LOOKUP(,-1/($Z$12:Z291=1),$H$12:H291)-IF(N290&lt;&gt;0,0,SUM(INDIRECT("T"&amp;(MAX((0&lt;&gt;N$12:N290)*ROW(N$12:N290)+1,ROW($T$12))&amp;":T"&amp;(ROW()-1))))),Первоначальный[[#This Row],[Полученный платеж]]+Y290),
AND(S290=0,Первоначальный[[#This Row],[Дата платежа из графика]]=1),MIN(LOOKUP(,-1/($Z$12:Z291=1),$C$12:C291)+LOOKUP(,-1/($Z$12:Z291=1),$H$12:H291)-IF(Z290=1,0,SUM(INDIRECT("T"&amp;(MAX((1=Z$12:Z290)*ROW(Z$12:Z290)+1,ROW($T$12))&amp;":T"&amp;(ROW()-1))))),Первоначальный[[#This Row],[Полученный платеж]]+Y290),
AND(Z290&gt;0,Первоначальный[[#This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платеж]]+Y290),
AND(S290&gt;0,MAX((0&lt;&gt;S$12:S290)*ROW(S$12:S290),ROW($S$12))&gt;=MAX((1=Z$12:Z290)*ROW(Z$12:Z290),ROW($T$12)),TYPE(VLOOKUP("Да",(INDIRECT("AA"&amp;(MAX((1=Z$12:Z290)*ROW(Z$12:Z290),ROW($T$12))&amp;":AA"&amp;(ROW()-1)))),1,0))=16),MIN(LOOKUP(,-1/($Z$12:Z291=1),$C$12:C291)+LOOKUP(,-1/($Z$12:Z291=1),$H$12:H291)-SUM(INDIRECT("T"&amp;(MAX((1=Z$12:Z290)*ROW(Z$12:Z290),ROW($T$12))&amp;":T"&amp;(ROW()-1)))),Первоначальный[[#This Row],[Полученный платеж]]+Y290),
S290&gt;0,MIN(LOOKUP(,-1/($Z$12:Z291=1),$C$12:C291)+LOOKUP(,-1/($Z$12:Z291=1),$H$12:H291)-IF(Z290=1,0,SUM(INDIRECT("T"&amp;(MAX((1=Z$12:Z290)*ROW(Z$12:Z290)+1,ROW($T$12))&amp;":T"&amp;(ROW()-1))))),Первоначальный[[#This Row],[Полученный платеж]]+Y290)
)
)
)</f>
        <v>0</v>
      </c>
      <c r="U29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платеж]]+Y290-Первоначальный[[#This Row],[Полученный платёж по процентам]])</f>
        <v>0</v>
      </c>
      <c r="V291" s="55">
        <f t="shared" ca="1" si="49"/>
        <v>0</v>
      </c>
      <c r="W291" s="55" cm="1">
        <f t="array" aca="1" ref="W291" ca="1">IF(Первоначальный[[#This Row],[Итого остаток на начало периода]]&lt;1,0,
_xlfn.IFS(
AND(TYPE(VLOOKUP(1,$Z$12:Z291,1,0))=16,Первоначальный[[#This Row],[Досрочное погашение (да/"")]]=""),0,
AND(S290=0,Первоначальный[[#This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платеж]]+Y290-SUM(Первоначальный[[#This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комиссиям]]),VLOOKUP(LOOKUP(,-1/($Z$12:Z291=1),$A$12:A291),График[[Срок конец]:[Возврат основной суммы долга]],3,0)),
AND(S290=0,Первоначальный[[#This Row],[Дата платежа из графика]]="",Первоначальный[[#This Row],[Досрочное погашение (да/"")]]&lt;&gt;"Да"),0,
AND(S290=0,Первоначальный[[#This Row],[Досрочное погашение (да/"")]]=""),MIN(Первоначальный[[#This Row],[Полученный платеж]]+Y290-SUM(Первоначальный[[#This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комиссиям]]),VLOOKUP(LOOKUP(,-1/($Z$12:Z291=1),$A$12:A291),График[[Срок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платеж]]+Y290-SUM(Первоначальный[[#This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S290&gt;0,MIN(Первоначальный[[#This Row],[Полученный платеж]]+Y290-SUM(Первоначальный[[#This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комиссиям]]),SUM(INDIRECT("M"&amp;(MAX((1=S$12:S290)*ROW(S$12:S290),ROW($W$12))&amp;":M"&amp;(ROW()))))-SUM(INDIRECT("W"&amp;(MAX((1=S$12:S290)*ROW(S$12:S290),ROW($W$12))&amp;":W"&amp;(ROW()-1)))))
)
)</f>
        <v>0</v>
      </c>
      <c r="X291" s="55">
        <f t="shared" ca="1" si="50"/>
        <v>0</v>
      </c>
      <c r="Y291" s="101">
        <f t="shared" ca="1" si="57"/>
        <v>0</v>
      </c>
      <c r="Z291" s="133" t="str">
        <f>IF(TYPE((VLOOKUP(Первоначальный[[#This Row],[Дата платежа]],График[Срок конец],1,0)))=16,"",1)</f>
        <v/>
      </c>
      <c r="AA291" s="57"/>
      <c r="AB291" s="134"/>
      <c r="AC29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9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17523.110000000011</v>
      </c>
      <c r="AE29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166.93000000000012</v>
      </c>
      <c r="AF29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9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9851.8501131147586</v>
      </c>
      <c r="AH291" s="55"/>
      <c r="AI291" s="55"/>
      <c r="AJ291" s="55"/>
      <c r="AK291" s="101">
        <f t="shared" ca="1" si="58"/>
        <v>177175.23011311475</v>
      </c>
      <c r="AL291" s="129">
        <f t="array" ref="AL291">MAX((УслРестрактов[Характеристика]="Дата реструктуризации")*(УслРестрактов[Значение]=Первоначальный!$A291),0)</f>
        <v>0</v>
      </c>
    </row>
    <row r="292" spans="1:38" x14ac:dyDescent="0.25">
      <c r="A292" s="97">
        <f t="shared" si="51"/>
        <v>44423</v>
      </c>
      <c r="B292" s="100">
        <f t="shared" ca="1" si="52"/>
        <v>149633.34</v>
      </c>
      <c r="C292" s="55">
        <f t="shared" ca="1" si="60"/>
        <v>17523.110000000011</v>
      </c>
      <c r="D292" s="55">
        <f t="shared" ca="1" si="60"/>
        <v>166.93000000000012</v>
      </c>
      <c r="E292" s="55">
        <f t="shared" ca="1" si="53"/>
        <v>0</v>
      </c>
      <c r="F292" s="55">
        <f t="shared" ca="1" si="54"/>
        <v>9851.8501131147586</v>
      </c>
      <c r="G292" s="101">
        <f t="shared" ca="1" si="55"/>
        <v>177175.23011311475</v>
      </c>
      <c r="H292" s="100">
        <f ca="1">ROUND($B292*VLOOKUP($A292,$A$1:$B$10,2,1)/(365+IF(MOD(YEAR($A292),4),0,1)*($A292-$A291)),2)-Первоначальный[[#This Row],[Проценты на просроченный платеж по ОД за период]]</f>
        <v>79.87</v>
      </c>
      <c r="I292" s="55">
        <f t="shared" ca="1" si="56"/>
        <v>1.71</v>
      </c>
      <c r="J292" s="55">
        <v>0</v>
      </c>
      <c r="K292" s="55">
        <f t="shared" ca="1" si="59"/>
        <v>101.32850327868853</v>
      </c>
      <c r="L292" s="55">
        <v>0</v>
      </c>
      <c r="M292" s="113">
        <f>SUMIFS(График[Возврат основной суммы долга],График[Дата с учетом нерабочих дней],$A292)</f>
        <v>0</v>
      </c>
      <c r="N292" s="56">
        <f>SUMIFS(График[Возврат начисленных %],График[Дата с учетом нерабочих дней],$A292)</f>
        <v>0</v>
      </c>
      <c r="O292" s="101">
        <v>0</v>
      </c>
      <c r="P292" s="100" cm="1">
        <f t="array" aca="1" ref="P292" ca="1">MAX(IF(AA291="Да",0,SUM(INDIRECT("M"&amp;(MAX(("Да"=AA$12:AA291)*ROW(AA$12:AA291)+1,ROW($P$12))&amp;":M"&amp;(ROW()))))-SUM(INDIRECT("W"&amp;(MAX(("Да"=AA$12:AA291)*ROW(AA$12:AA291)+1,ROW($P$12))&amp;":W"&amp;(ROW()))))),0)</f>
        <v>3142.5499999999993</v>
      </c>
      <c r="Q292" s="99">
        <f ca="1">MAX(SUM($N$13:N292)-SUM($T$13:T292),0)</f>
        <v>17123.150655737707</v>
      </c>
      <c r="R292" s="99">
        <f ca="1">Первоначальный[[#This Row],[Просроченный платеж по ОД]]+Первоначальный[[#This Row],[Просроченный платеж по процентам]]</f>
        <v>20265.700655737706</v>
      </c>
      <c r="S292" s="120">
        <f ca="1">IF(Первоначальный[[#This Row],[Просроченный платеж]]&lt;1,0,S291+1)</f>
        <v>188</v>
      </c>
      <c r="T292" s="100" cm="1">
        <f t="array" aca="1" ref="T292" ca="1">IF(Первоначальный[[#This Row],[Итого остаток на начало периода]]&lt;1,0,
IF(
AND(TYPE(VLOOKUP(1,$Z$12:Z292,1,0))=16,Первоначальный[[#This Row],[Досрочное погашение (да/"")]]=""),0,
_xlfn.IFS(AND(S291=0,Первоначальный[[#This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платеж]]&lt;&gt;0),MIN(LOOKUP(,-1/($Z$12:Z292=1),$C$12:C292)+LOOKUP(,-1/($Z$12:Z292=1),$H$12:H292),Первоначальный[[#This Row],[Полученный платеж]]+Y291),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платеж]]+Y291,SUM(Первоначальный[[#This Row],[Остаток процентов на начало периода]],Первоначальный[[#This Row],[Проценты за период]])),
AND(S291=0,Первоначальный[[#This Row],[Дата платежа из графика]]=""),0,
AND(S291=0,Первоначальный[[#This Row],[Дата платежа из графика]]=1,MAX((0&lt;&gt;S$12:S291)*ROW(S$12:S291),ROW($S$12))&gt;=MAX((1=Z$12:Z291)*ROW(Z$12:Z291),ROW($T$12)),TYPE(VLOOKUP("Да",(INDIRECT("AA"&amp;(MAX((1=Z$12:Z291)*ROW(Z$12:Z291),ROW($T$12))&amp;":AA"&amp;(ROW()-1)))),1,0))=16),MIN(LOOKUP(,-1/($Z$12:Z292=1),$C$12:C292)+LOOKUP(,-1/($Z$12:Z292=1),$H$12:H292),Первоначальный[[#This Row],[Полученный платеж]]+Y291),
AND(S291=0,TYPE(VLOOKUP("Да",(INDIRECT("AA"&amp;(MAX((1=Z$12:Z291)*ROW(Z$12:Z291),ROW($T$12))&amp;":AA"&amp;(ROW()-1)))),1,0))&lt;&gt;16),MIN(LOOKUP(,-1/($Z$12:Z292=1),$C$12:C292)+LOOKUP(,-1/($Z$12:Z292=1),$H$12:H292)-IF(AA291="Да",0,SUM(INDIRECT("T"&amp;(MAX(("Да"=AA$12:AA291)*ROW(AA$12:AA291)+1,ROW($T$12))&amp;":T"&amp;(ROW()-1))))),Первоначальный[[#This Row],[Полученный платеж]]+Y291),
AND(S291=0,MAX((0&lt;&gt;N$12:N291)*ROW(N$12:N291),ROW($S$12))&gt;=MAX((1=Z$12:Z291)*ROW(Z$12:Z291),ROW($T$12))),MIN(LOOKUP(,-1/($Z$12:Z292=1),$C$12:C292)+LOOKUP(,-1/($Z$12:Z292=1),$H$12:H292)-IF(N291&lt;&gt;0,0,SUM(INDIRECT("T"&amp;(MAX((0&lt;&gt;N$12:N291)*ROW(N$12:N291)+1,ROW($T$12))&amp;":T"&amp;(ROW()-1))))),Первоначальный[[#This Row],[Полученный платеж]]+Y291),
AND(S291=0,Первоначальный[[#This Row],[Дата платежа из графика]]=1),MIN(LOOKUP(,-1/($Z$12:Z292=1),$C$12:C292)+LOOKUP(,-1/($Z$12:Z292=1),$H$12:H292)-IF(Z291=1,0,SUM(INDIRECT("T"&amp;(MAX((1=Z$12:Z291)*ROW(Z$12:Z291)+1,ROW($T$12))&amp;":T"&amp;(ROW()-1))))),Первоначальный[[#This Row],[Полученный платеж]]+Y291),
AND(Z291&gt;0,Первоначальный[[#This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платеж]]+Y291),
AND(S291&gt;0,MAX((0&lt;&gt;S$12:S291)*ROW(S$12:S291),ROW($S$12))&gt;=MAX((1=Z$12:Z291)*ROW(Z$12:Z291),ROW($T$12)),TYPE(VLOOKUP("Да",(INDIRECT("AA"&amp;(MAX((1=Z$12:Z291)*ROW(Z$12:Z291),ROW($T$12))&amp;":AA"&amp;(ROW()-1)))),1,0))=16),MIN(LOOKUP(,-1/($Z$12:Z292=1),$C$12:C292)+LOOKUP(,-1/($Z$12:Z292=1),$H$12:H292)-SUM(INDIRECT("T"&amp;(MAX((1=Z$12:Z291)*ROW(Z$12:Z291),ROW($T$12))&amp;":T"&amp;(ROW()-1)))),Первоначальный[[#This Row],[Полученный платеж]]+Y291),
S291&gt;0,MIN(LOOKUP(,-1/($Z$12:Z292=1),$C$12:C292)+LOOKUP(,-1/($Z$12:Z292=1),$H$12:H292)-IF(Z291=1,0,SUM(INDIRECT("T"&amp;(MAX((1=Z$12:Z291)*ROW(Z$12:Z291)+1,ROW($T$12))&amp;":T"&amp;(ROW()-1))))),Первоначальный[[#This Row],[Полученный платеж]]+Y291)
)
)
)</f>
        <v>0</v>
      </c>
      <c r="U29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платеж]]+Y291-Первоначальный[[#This Row],[Полученный платёж по процентам]])</f>
        <v>0</v>
      </c>
      <c r="V292" s="55">
        <f t="shared" ca="1" si="49"/>
        <v>0</v>
      </c>
      <c r="W292" s="55" cm="1">
        <f t="array" aca="1" ref="W292" ca="1">IF(Первоначальный[[#This Row],[Итого остаток на начало периода]]&lt;1,0,
_xlfn.IFS(
AND(TYPE(VLOOKUP(1,$Z$12:Z292,1,0))=16,Первоначальный[[#This Row],[Досрочное погашение (да/"")]]=""),0,
AND(S291=0,Первоначальный[[#This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платеж]]+Y291-SUM(Первоначальный[[#This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комиссиям]]),VLOOKUP(LOOKUP(,-1/($Z$12:Z292=1),$A$12:A292),График[[Срок конец]:[Возврат основной суммы долга]],3,0)),
AND(S291=0,Первоначальный[[#This Row],[Дата платежа из графика]]="",Первоначальный[[#This Row],[Досрочное погашение (да/"")]]&lt;&gt;"Да"),0,
AND(S291=0,Первоначальный[[#This Row],[Досрочное погашение (да/"")]]=""),MIN(Первоначальный[[#This Row],[Полученный платеж]]+Y291-SUM(Первоначальный[[#This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комиссиям]]),VLOOKUP(LOOKUP(,-1/($Z$12:Z292=1),$A$12:A292),График[[Срок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платеж]]+Y291-SUM(Первоначальный[[#This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S291&gt;0,MIN(Первоначальный[[#This Row],[Полученный платеж]]+Y291-SUM(Первоначальный[[#This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комиссиям]]),SUM(INDIRECT("M"&amp;(MAX((1=S$12:S291)*ROW(S$12:S291),ROW($W$12))&amp;":M"&amp;(ROW()))))-SUM(INDIRECT("W"&amp;(MAX((1=S$12:S291)*ROW(S$12:S291),ROW($W$12))&amp;":W"&amp;(ROW()-1)))))
)
)</f>
        <v>0</v>
      </c>
      <c r="X292" s="55">
        <f t="shared" ca="1" si="50"/>
        <v>0</v>
      </c>
      <c r="Y292" s="101">
        <f t="shared" ca="1" si="57"/>
        <v>0</v>
      </c>
      <c r="Z292" s="133" t="str">
        <f>IF(TYPE((VLOOKUP(Первоначальный[[#This Row],[Дата платежа]],График[Срок конец],1,0)))=16,"",1)</f>
        <v/>
      </c>
      <c r="AA292" s="57"/>
      <c r="AB292" s="134"/>
      <c r="AC29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9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17602.98000000001</v>
      </c>
      <c r="AE29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168.64000000000013</v>
      </c>
      <c r="AF29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9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9953.1786163934466</v>
      </c>
      <c r="AH292" s="55"/>
      <c r="AI292" s="55"/>
      <c r="AJ292" s="55"/>
      <c r="AK292" s="101">
        <f t="shared" ca="1" si="58"/>
        <v>177358.13861639347</v>
      </c>
      <c r="AL292" s="129">
        <f t="array" ref="AL292">MAX((УслРестрактов[Характеристика]="Дата реструктуризации")*(УслРестрактов[Значение]=Первоначальный!$A292),0)</f>
        <v>0</v>
      </c>
    </row>
    <row r="293" spans="1:38" x14ac:dyDescent="0.25">
      <c r="A293" s="97">
        <f t="shared" si="51"/>
        <v>44424</v>
      </c>
      <c r="B293" s="100">
        <f t="shared" ca="1" si="52"/>
        <v>149633.34</v>
      </c>
      <c r="C293" s="55">
        <f t="shared" ca="1" si="60"/>
        <v>17602.98000000001</v>
      </c>
      <c r="D293" s="55">
        <f t="shared" ca="1" si="60"/>
        <v>168.64000000000013</v>
      </c>
      <c r="E293" s="55">
        <f t="shared" ca="1" si="53"/>
        <v>0</v>
      </c>
      <c r="F293" s="55">
        <f t="shared" ca="1" si="54"/>
        <v>9953.1786163934466</v>
      </c>
      <c r="G293" s="101">
        <f t="shared" ca="1" si="55"/>
        <v>177358.13861639347</v>
      </c>
      <c r="H293" s="100">
        <f ca="1">ROUND($B293*VLOOKUP($A293,$A$1:$B$10,2,1)/(365+IF(MOD(YEAR($A293),4),0,1)*($A293-$A292)),2)-Первоначальный[[#This Row],[Проценты на просроченный платеж по ОД за период]]</f>
        <v>79.87</v>
      </c>
      <c r="I293" s="55">
        <f t="shared" ca="1" si="56"/>
        <v>1.71</v>
      </c>
      <c r="J293" s="55">
        <v>0</v>
      </c>
      <c r="K293" s="55">
        <f t="shared" ca="1" si="59"/>
        <v>101.32850327868853</v>
      </c>
      <c r="L293" s="55">
        <v>0</v>
      </c>
      <c r="M293" s="113">
        <f>SUMIFS(График[Возврат основной суммы долга],График[Дата с учетом нерабочих дней],$A293)</f>
        <v>0</v>
      </c>
      <c r="N293" s="56">
        <f>SUMIFS(График[Возврат начисленных %],График[Дата с учетом нерабочих дней],$A293)</f>
        <v>0</v>
      </c>
      <c r="O293" s="101">
        <v>0</v>
      </c>
      <c r="P293" s="100" cm="1">
        <f t="array" aca="1" ref="P293" ca="1">MAX(IF(AA292="Да",0,SUM(INDIRECT("M"&amp;(MAX(("Да"=AA$12:AA292)*ROW(AA$12:AA292)+1,ROW($P$12))&amp;":M"&amp;(ROW()))))-SUM(INDIRECT("W"&amp;(MAX(("Да"=AA$12:AA292)*ROW(AA$12:AA292)+1,ROW($P$12))&amp;":W"&amp;(ROW()))))),0)</f>
        <v>3142.5499999999993</v>
      </c>
      <c r="Q293" s="99">
        <f ca="1">MAX(SUM($N$13:N293)-SUM($T$13:T293),0)</f>
        <v>17123.150655737707</v>
      </c>
      <c r="R293" s="99">
        <f ca="1">Первоначальный[[#This Row],[Просроченный платеж по ОД]]+Первоначальный[[#This Row],[Просроченный платеж по процентам]]</f>
        <v>20265.700655737706</v>
      </c>
      <c r="S293" s="120">
        <f ca="1">IF(Первоначальный[[#This Row],[Просроченный платеж]]&lt;1,0,S292+1)</f>
        <v>189</v>
      </c>
      <c r="T293" s="100" cm="1">
        <f t="array" aca="1" ref="T293" ca="1">IF(Первоначальный[[#This Row],[Итого остаток на начало периода]]&lt;1,0,
IF(
AND(TYPE(VLOOKUP(1,$Z$12:Z293,1,0))=16,Первоначальный[[#This Row],[Досрочное погашение (да/"")]]=""),0,
_xlfn.IFS(AND(S292=0,Первоначальный[[#This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платеж]]&lt;&gt;0),MIN(LOOKUP(,-1/($Z$12:Z293=1),$C$12:C293)+LOOKUP(,-1/($Z$12:Z293=1),$H$12:H293),Первоначальный[[#This Row],[Полученный платеж]]+Y292),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платеж]]+Y292,SUM(Первоначальный[[#This Row],[Остаток процентов на начало периода]],Первоначальный[[#This Row],[Проценты за период]])),
AND(S292=0,Первоначальный[[#This Row],[Дата платежа из графика]]=""),0,
AND(S292=0,Первоначальный[[#This Row],[Дата платежа из графика]]=1,MAX((0&lt;&gt;S$12:S292)*ROW(S$12:S292),ROW($S$12))&gt;=MAX((1=Z$12:Z292)*ROW(Z$12:Z292),ROW($T$12)),TYPE(VLOOKUP("Да",(INDIRECT("AA"&amp;(MAX((1=Z$12:Z292)*ROW(Z$12:Z292),ROW($T$12))&amp;":AA"&amp;(ROW()-1)))),1,0))=16),MIN(LOOKUP(,-1/($Z$12:Z293=1),$C$12:C293)+LOOKUP(,-1/($Z$12:Z293=1),$H$12:H293),Первоначальный[[#This Row],[Полученный платеж]]+Y292),
AND(S292=0,TYPE(VLOOKUP("Да",(INDIRECT("AA"&amp;(MAX((1=Z$12:Z292)*ROW(Z$12:Z292),ROW($T$12))&amp;":AA"&amp;(ROW()-1)))),1,0))&lt;&gt;16),MIN(LOOKUP(,-1/($Z$12:Z293=1),$C$12:C293)+LOOKUP(,-1/($Z$12:Z293=1),$H$12:H293)-IF(AA292="Да",0,SUM(INDIRECT("T"&amp;(MAX(("Да"=AA$12:AA292)*ROW(AA$12:AA292)+1,ROW($T$12))&amp;":T"&amp;(ROW()-1))))),Первоначальный[[#This Row],[Полученный платеж]]+Y292),
AND(S292=0,MAX((0&lt;&gt;N$12:N292)*ROW(N$12:N292),ROW($S$12))&gt;=MAX((1=Z$12:Z292)*ROW(Z$12:Z292),ROW($T$12))),MIN(LOOKUP(,-1/($Z$12:Z293=1),$C$12:C293)+LOOKUP(,-1/($Z$12:Z293=1),$H$12:H293)-IF(N292&lt;&gt;0,0,SUM(INDIRECT("T"&amp;(MAX((0&lt;&gt;N$12:N292)*ROW(N$12:N292)+1,ROW($T$12))&amp;":T"&amp;(ROW()-1))))),Первоначальный[[#This Row],[Полученный платеж]]+Y292),
AND(S292=0,Первоначальный[[#This Row],[Дата платежа из графика]]=1),MIN(LOOKUP(,-1/($Z$12:Z293=1),$C$12:C293)+LOOKUP(,-1/($Z$12:Z293=1),$H$12:H293)-IF(Z292=1,0,SUM(INDIRECT("T"&amp;(MAX((1=Z$12:Z292)*ROW(Z$12:Z292)+1,ROW($T$12))&amp;":T"&amp;(ROW()-1))))),Первоначальный[[#This Row],[Полученный платеж]]+Y292),
AND(Z292&gt;0,Первоначальный[[#This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платеж]]+Y292),
AND(S292&gt;0,MAX((0&lt;&gt;S$12:S292)*ROW(S$12:S292),ROW($S$12))&gt;=MAX((1=Z$12:Z292)*ROW(Z$12:Z292),ROW($T$12)),TYPE(VLOOKUP("Да",(INDIRECT("AA"&amp;(MAX((1=Z$12:Z292)*ROW(Z$12:Z292),ROW($T$12))&amp;":AA"&amp;(ROW()-1)))),1,0))=16),MIN(LOOKUP(,-1/($Z$12:Z293=1),$C$12:C293)+LOOKUP(,-1/($Z$12:Z293=1),$H$12:H293)-SUM(INDIRECT("T"&amp;(MAX((1=Z$12:Z292)*ROW(Z$12:Z292),ROW($T$12))&amp;":T"&amp;(ROW()-1)))),Первоначальный[[#This Row],[Полученный платеж]]+Y292),
S292&gt;0,MIN(LOOKUP(,-1/($Z$12:Z293=1),$C$12:C293)+LOOKUP(,-1/($Z$12:Z293=1),$H$12:H293)-IF(Z292=1,0,SUM(INDIRECT("T"&amp;(MAX((1=Z$12:Z292)*ROW(Z$12:Z292)+1,ROW($T$12))&amp;":T"&amp;(ROW()-1))))),Первоначальный[[#This Row],[Полученный платеж]]+Y292)
)
)
)</f>
        <v>0</v>
      </c>
      <c r="U29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платеж]]+Y292-Первоначальный[[#This Row],[Полученный платёж по процентам]])</f>
        <v>0</v>
      </c>
      <c r="V293" s="55">
        <f t="shared" ca="1" si="49"/>
        <v>0</v>
      </c>
      <c r="W293" s="55" cm="1">
        <f t="array" aca="1" ref="W293" ca="1">IF(Первоначальный[[#This Row],[Итого остаток на начало периода]]&lt;1,0,
_xlfn.IFS(
AND(TYPE(VLOOKUP(1,$Z$12:Z293,1,0))=16,Первоначальный[[#This Row],[Досрочное погашение (да/"")]]=""),0,
AND(S292=0,Первоначальный[[#This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платеж]]+Y292-SUM(Первоначальный[[#This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комиссиям]]),VLOOKUP(LOOKUP(,-1/($Z$12:Z293=1),$A$12:A293),График[[Срок конец]:[Возврат основной суммы долга]],3,0)),
AND(S292=0,Первоначальный[[#This Row],[Дата платежа из графика]]="",Первоначальный[[#This Row],[Досрочное погашение (да/"")]]&lt;&gt;"Да"),0,
AND(S292=0,Первоначальный[[#This Row],[Досрочное погашение (да/"")]]=""),MIN(Первоначальный[[#This Row],[Полученный платеж]]+Y292-SUM(Первоначальный[[#This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комиссиям]]),VLOOKUP(LOOKUP(,-1/($Z$12:Z293=1),$A$12:A293),График[[Срок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платеж]]+Y292-SUM(Первоначальный[[#This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S292&gt;0,MIN(Первоначальный[[#This Row],[Полученный платеж]]+Y292-SUM(Первоначальный[[#This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комиссиям]]),SUM(INDIRECT("M"&amp;(MAX((1=S$12:S292)*ROW(S$12:S292),ROW($W$12))&amp;":M"&amp;(ROW()))))-SUM(INDIRECT("W"&amp;(MAX((1=S$12:S292)*ROW(S$12:S292),ROW($W$12))&amp;":W"&amp;(ROW()-1)))))
)
)</f>
        <v>0</v>
      </c>
      <c r="X293" s="55">
        <f t="shared" ca="1" si="50"/>
        <v>0</v>
      </c>
      <c r="Y293" s="101">
        <f t="shared" ca="1" si="57"/>
        <v>0</v>
      </c>
      <c r="Z293" s="133" t="str">
        <f>IF(TYPE((VLOOKUP(Первоначальный[[#This Row],[Дата платежа]],График[Срок конец],1,0)))=16,"",1)</f>
        <v/>
      </c>
      <c r="AA293" s="57"/>
      <c r="AB293" s="134"/>
      <c r="AC29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9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17682.850000000009</v>
      </c>
      <c r="AE29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170.35000000000014</v>
      </c>
      <c r="AF29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9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10054.507119672135</v>
      </c>
      <c r="AH293" s="55"/>
      <c r="AI293" s="55"/>
      <c r="AJ293" s="55"/>
      <c r="AK293" s="101">
        <f t="shared" ca="1" si="58"/>
        <v>177541.04711967215</v>
      </c>
      <c r="AL293" s="129">
        <f t="array" ref="AL293">MAX((УслРестрактов[Характеристика]="Дата реструктуризации")*(УслРестрактов[Значение]=Первоначальный!$A293),0)</f>
        <v>0</v>
      </c>
    </row>
    <row r="294" spans="1:38" x14ac:dyDescent="0.25">
      <c r="A294" s="97">
        <f t="shared" si="51"/>
        <v>44425</v>
      </c>
      <c r="B294" s="100">
        <f t="shared" ca="1" si="52"/>
        <v>149633.34</v>
      </c>
      <c r="C294" s="55">
        <f t="shared" ca="1" si="60"/>
        <v>17682.850000000009</v>
      </c>
      <c r="D294" s="55">
        <f t="shared" ca="1" si="60"/>
        <v>170.35000000000014</v>
      </c>
      <c r="E294" s="55">
        <f t="shared" ca="1" si="53"/>
        <v>0</v>
      </c>
      <c r="F294" s="55">
        <f t="shared" ca="1" si="54"/>
        <v>10054.507119672135</v>
      </c>
      <c r="G294" s="101">
        <f t="shared" ca="1" si="55"/>
        <v>177541.04711967215</v>
      </c>
      <c r="H294" s="100">
        <f ca="1">ROUND($B294*VLOOKUP($A294,$A$1:$B$10,2,1)/(365+IF(MOD(YEAR($A294),4),0,1)*($A294-$A293)),2)-Первоначальный[[#This Row],[Проценты на просроченный платеж по ОД за период]]</f>
        <v>79.87</v>
      </c>
      <c r="I294" s="55">
        <f t="shared" ca="1" si="56"/>
        <v>1.71</v>
      </c>
      <c r="J294" s="55">
        <v>0</v>
      </c>
      <c r="K294" s="55">
        <f t="shared" ca="1" si="59"/>
        <v>101.32850327868853</v>
      </c>
      <c r="L294" s="55">
        <v>0</v>
      </c>
      <c r="M294" s="113">
        <f>SUMIFS(График[Возврат основной суммы долга],График[Дата с учетом нерабочих дней],$A294)</f>
        <v>0</v>
      </c>
      <c r="N294" s="56">
        <f>SUMIFS(График[Возврат начисленных %],График[Дата с учетом нерабочих дней],$A294)</f>
        <v>0</v>
      </c>
      <c r="O294" s="101">
        <v>0</v>
      </c>
      <c r="P294" s="100" cm="1">
        <f t="array" aca="1" ref="P294" ca="1">MAX(IF(AA293="Да",0,SUM(INDIRECT("M"&amp;(MAX(("Да"=AA$12:AA293)*ROW(AA$12:AA293)+1,ROW($P$12))&amp;":M"&amp;(ROW()))))-SUM(INDIRECT("W"&amp;(MAX(("Да"=AA$12:AA293)*ROW(AA$12:AA293)+1,ROW($P$12))&amp;":W"&amp;(ROW()))))),0)</f>
        <v>3142.5499999999993</v>
      </c>
      <c r="Q294" s="99">
        <f ca="1">MAX(SUM($N$13:N294)-SUM($T$13:T294),0)</f>
        <v>17123.150655737707</v>
      </c>
      <c r="R294" s="99">
        <f ca="1">Первоначальный[[#This Row],[Просроченный платеж по ОД]]+Первоначальный[[#This Row],[Просроченный платеж по процентам]]</f>
        <v>20265.700655737706</v>
      </c>
      <c r="S294" s="120">
        <f ca="1">IF(Первоначальный[[#This Row],[Просроченный платеж]]&lt;1,0,S293+1)</f>
        <v>190</v>
      </c>
      <c r="T294" s="100" cm="1">
        <f t="array" aca="1" ref="T294" ca="1">IF(Первоначальный[[#This Row],[Итого остаток на начало периода]]&lt;1,0,
IF(
AND(TYPE(VLOOKUP(1,$Z$12:Z294,1,0))=16,Первоначальный[[#This Row],[Досрочное погашение (да/"")]]=""),0,
_xlfn.IFS(AND(S293=0,Первоначальный[[#This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платеж]]&lt;&gt;0),MIN(LOOKUP(,-1/($Z$12:Z294=1),$C$12:C294)+LOOKUP(,-1/($Z$12:Z294=1),$H$12:H294),Первоначальный[[#This Row],[Полученный платеж]]+Y293),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платеж]]+Y293,SUM(Первоначальный[[#This Row],[Остаток процентов на начало периода]],Первоначальный[[#This Row],[Проценты за период]])),
AND(S293=0,Первоначальный[[#This Row],[Дата платежа из графика]]=""),0,
AND(S293=0,Первоначальный[[#This Row],[Дата платежа из графика]]=1,MAX((0&lt;&gt;S$12:S293)*ROW(S$12:S293),ROW($S$12))&gt;=MAX((1=Z$12:Z293)*ROW(Z$12:Z293),ROW($T$12)),TYPE(VLOOKUP("Да",(INDIRECT("AA"&amp;(MAX((1=Z$12:Z293)*ROW(Z$12:Z293),ROW($T$12))&amp;":AA"&amp;(ROW()-1)))),1,0))=16),MIN(LOOKUP(,-1/($Z$12:Z294=1),$C$12:C294)+LOOKUP(,-1/($Z$12:Z294=1),$H$12:H294),Первоначальный[[#This Row],[Полученный платеж]]+Y293),
AND(S293=0,TYPE(VLOOKUP("Да",(INDIRECT("AA"&amp;(MAX((1=Z$12:Z293)*ROW(Z$12:Z293),ROW($T$12))&amp;":AA"&amp;(ROW()-1)))),1,0))&lt;&gt;16),MIN(LOOKUP(,-1/($Z$12:Z294=1),$C$12:C294)+LOOKUP(,-1/($Z$12:Z294=1),$H$12:H294)-IF(AA293="Да",0,SUM(INDIRECT("T"&amp;(MAX(("Да"=AA$12:AA293)*ROW(AA$12:AA293)+1,ROW($T$12))&amp;":T"&amp;(ROW()-1))))),Первоначальный[[#This Row],[Полученный платеж]]+Y293),
AND(S293=0,MAX((0&lt;&gt;N$12:N293)*ROW(N$12:N293),ROW($S$12))&gt;=MAX((1=Z$12:Z293)*ROW(Z$12:Z293),ROW($T$12))),MIN(LOOKUP(,-1/($Z$12:Z294=1),$C$12:C294)+LOOKUP(,-1/($Z$12:Z294=1),$H$12:H294)-IF(N293&lt;&gt;0,0,SUM(INDIRECT("T"&amp;(MAX((0&lt;&gt;N$12:N293)*ROW(N$12:N293)+1,ROW($T$12))&amp;":T"&amp;(ROW()-1))))),Первоначальный[[#This Row],[Полученный платеж]]+Y293),
AND(S293=0,Первоначальный[[#This Row],[Дата платежа из графика]]=1),MIN(LOOKUP(,-1/($Z$12:Z294=1),$C$12:C294)+LOOKUP(,-1/($Z$12:Z294=1),$H$12:H294)-IF(Z293=1,0,SUM(INDIRECT("T"&amp;(MAX((1=Z$12:Z293)*ROW(Z$12:Z293)+1,ROW($T$12))&amp;":T"&amp;(ROW()-1))))),Первоначальный[[#This Row],[Полученный платеж]]+Y293),
AND(Z293&gt;0,Первоначальный[[#This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платеж]]+Y293),
AND(S293&gt;0,MAX((0&lt;&gt;S$12:S293)*ROW(S$12:S293),ROW($S$12))&gt;=MAX((1=Z$12:Z293)*ROW(Z$12:Z293),ROW($T$12)),TYPE(VLOOKUP("Да",(INDIRECT("AA"&amp;(MAX((1=Z$12:Z293)*ROW(Z$12:Z293),ROW($T$12))&amp;":AA"&amp;(ROW()-1)))),1,0))=16),MIN(LOOKUP(,-1/($Z$12:Z294=1),$C$12:C294)+LOOKUP(,-1/($Z$12:Z294=1),$H$12:H294)-SUM(INDIRECT("T"&amp;(MAX((1=Z$12:Z293)*ROW(Z$12:Z293),ROW($T$12))&amp;":T"&amp;(ROW()-1)))),Первоначальный[[#This Row],[Полученный платеж]]+Y293),
S293&gt;0,MIN(LOOKUP(,-1/($Z$12:Z294=1),$C$12:C294)+LOOKUP(,-1/($Z$12:Z294=1),$H$12:H294)-IF(Z293=1,0,SUM(INDIRECT("T"&amp;(MAX((1=Z$12:Z293)*ROW(Z$12:Z293)+1,ROW($T$12))&amp;":T"&amp;(ROW()-1))))),Первоначальный[[#This Row],[Полученный платеж]]+Y293)
)
)
)</f>
        <v>0</v>
      </c>
      <c r="U29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платеж]]+Y293-Первоначальный[[#This Row],[Полученный платёж по процентам]])</f>
        <v>0</v>
      </c>
      <c r="V294" s="55">
        <f t="shared" ca="1" si="49"/>
        <v>0</v>
      </c>
      <c r="W294" s="55" cm="1">
        <f t="array" aca="1" ref="W294" ca="1">IF(Первоначальный[[#This Row],[Итого остаток на начало периода]]&lt;1,0,
_xlfn.IFS(
AND(TYPE(VLOOKUP(1,$Z$12:Z294,1,0))=16,Первоначальный[[#This Row],[Досрочное погашение (да/"")]]=""),0,
AND(S293=0,Первоначальный[[#This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платеж]]+Y293-SUM(Первоначальный[[#This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комиссиям]]),VLOOKUP(LOOKUP(,-1/($Z$12:Z294=1),$A$12:A294),График[[Срок конец]:[Возврат основной суммы долга]],3,0)),
AND(S293=0,Первоначальный[[#This Row],[Дата платежа из графика]]="",Первоначальный[[#This Row],[Досрочное погашение (да/"")]]&lt;&gt;"Да"),0,
AND(S293=0,Первоначальный[[#This Row],[Досрочное погашение (да/"")]]=""),MIN(Первоначальный[[#This Row],[Полученный платеж]]+Y293-SUM(Первоначальный[[#This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комиссиям]]),VLOOKUP(LOOKUP(,-1/($Z$12:Z294=1),$A$12:A294),График[[Срок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платеж]]+Y293-SUM(Первоначальный[[#This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S293&gt;0,MIN(Первоначальный[[#This Row],[Полученный платеж]]+Y293-SUM(Первоначальный[[#This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комиссиям]]),SUM(INDIRECT("M"&amp;(MAX((1=S$12:S293)*ROW(S$12:S293),ROW($W$12))&amp;":M"&amp;(ROW()))))-SUM(INDIRECT("W"&amp;(MAX((1=S$12:S293)*ROW(S$12:S293),ROW($W$12))&amp;":W"&amp;(ROW()-1)))))
)
)</f>
        <v>0</v>
      </c>
      <c r="X294" s="55">
        <f t="shared" ca="1" si="50"/>
        <v>0</v>
      </c>
      <c r="Y294" s="101">
        <f t="shared" ca="1" si="57"/>
        <v>0</v>
      </c>
      <c r="Z294" s="133" t="str">
        <f>IF(TYPE((VLOOKUP(Первоначальный[[#This Row],[Дата платежа]],График[Срок конец],1,0)))=16,"",1)</f>
        <v/>
      </c>
      <c r="AA294" s="57"/>
      <c r="AB294" s="134"/>
      <c r="AC29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9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17762.720000000008</v>
      </c>
      <c r="AE29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172.06000000000014</v>
      </c>
      <c r="AF29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9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10155.835622950823</v>
      </c>
      <c r="AH294" s="55"/>
      <c r="AI294" s="55"/>
      <c r="AJ294" s="55"/>
      <c r="AK294" s="101">
        <f t="shared" ca="1" si="58"/>
        <v>177723.95562295083</v>
      </c>
      <c r="AL294" s="129">
        <f t="array" ref="AL294">MAX((УслРестрактов[Характеристика]="Дата реструктуризации")*(УслРестрактов[Значение]=Первоначальный!$A294),0)</f>
        <v>0</v>
      </c>
    </row>
    <row r="295" spans="1:38" x14ac:dyDescent="0.25">
      <c r="A295" s="97">
        <f t="shared" si="51"/>
        <v>44426</v>
      </c>
      <c r="B295" s="100">
        <f t="shared" ca="1" si="52"/>
        <v>149633.34</v>
      </c>
      <c r="C295" s="55">
        <f t="shared" ca="1" si="60"/>
        <v>17762.720000000008</v>
      </c>
      <c r="D295" s="55">
        <f t="shared" ca="1" si="60"/>
        <v>172.06000000000014</v>
      </c>
      <c r="E295" s="55">
        <f t="shared" ca="1" si="53"/>
        <v>0</v>
      </c>
      <c r="F295" s="55">
        <f t="shared" ca="1" si="54"/>
        <v>10155.835622950823</v>
      </c>
      <c r="G295" s="101">
        <f t="shared" ca="1" si="55"/>
        <v>177723.95562295083</v>
      </c>
      <c r="H295" s="100">
        <f ca="1">ROUND($B295*VLOOKUP($A295,$A$1:$B$10,2,1)/(365+IF(MOD(YEAR($A295),4),0,1)*($A295-$A294)),2)-Первоначальный[[#This Row],[Проценты на просроченный платеж по ОД за период]]</f>
        <v>79.87</v>
      </c>
      <c r="I295" s="55">
        <f t="shared" ca="1" si="56"/>
        <v>1.71</v>
      </c>
      <c r="J295" s="55">
        <v>0</v>
      </c>
      <c r="K295" s="55">
        <f t="shared" ca="1" si="59"/>
        <v>101.32850327868853</v>
      </c>
      <c r="L295" s="55">
        <v>0</v>
      </c>
      <c r="M295" s="113">
        <f>SUMIFS(График[Возврат основной суммы долга],График[Дата с учетом нерабочих дней],$A295)</f>
        <v>0</v>
      </c>
      <c r="N295" s="56">
        <f>SUMIFS(График[Возврат начисленных %],График[Дата с учетом нерабочих дней],$A295)</f>
        <v>0</v>
      </c>
      <c r="O295" s="101">
        <v>0</v>
      </c>
      <c r="P295" s="100" cm="1">
        <f t="array" aca="1" ref="P295" ca="1">MAX(IF(AA294="Да",0,SUM(INDIRECT("M"&amp;(MAX(("Да"=AA$12:AA294)*ROW(AA$12:AA294)+1,ROW($P$12))&amp;":M"&amp;(ROW()))))-SUM(INDIRECT("W"&amp;(MAX(("Да"=AA$12:AA294)*ROW(AA$12:AA294)+1,ROW($P$12))&amp;":W"&amp;(ROW()))))),0)</f>
        <v>3142.5499999999993</v>
      </c>
      <c r="Q295" s="99">
        <f ca="1">MAX(SUM($N$13:N295)-SUM($T$13:T295),0)</f>
        <v>17123.150655737707</v>
      </c>
      <c r="R295" s="99">
        <f ca="1">Первоначальный[[#This Row],[Просроченный платеж по ОД]]+Первоначальный[[#This Row],[Просроченный платеж по процентам]]</f>
        <v>20265.700655737706</v>
      </c>
      <c r="S295" s="120">
        <f ca="1">IF(Первоначальный[[#This Row],[Просроченный платеж]]&lt;1,0,S294+1)</f>
        <v>191</v>
      </c>
      <c r="T295" s="100" cm="1">
        <f t="array" aca="1" ref="T295" ca="1">IF(Первоначальный[[#This Row],[Итого остаток на начало периода]]&lt;1,0,
IF(
AND(TYPE(VLOOKUP(1,$Z$12:Z295,1,0))=16,Первоначальный[[#This Row],[Досрочное погашение (да/"")]]=""),0,
_xlfn.IFS(AND(S294=0,Первоначальный[[#This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платеж]]&lt;&gt;0),MIN(LOOKUP(,-1/($Z$12:Z295=1),$C$12:C295)+LOOKUP(,-1/($Z$12:Z295=1),$H$12:H295),Первоначальный[[#This Row],[Полученный платеж]]+Y294),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платеж]]+Y294,SUM(Первоначальный[[#This Row],[Остаток процентов на начало периода]],Первоначальный[[#This Row],[Проценты за период]])),
AND(S294=0,Первоначальный[[#This Row],[Дата платежа из графика]]=""),0,
AND(S294=0,Первоначальный[[#This Row],[Дата платежа из графика]]=1,MAX((0&lt;&gt;S$12:S294)*ROW(S$12:S294),ROW($S$12))&gt;=MAX((1=Z$12:Z294)*ROW(Z$12:Z294),ROW($T$12)),TYPE(VLOOKUP("Да",(INDIRECT("AA"&amp;(MAX((1=Z$12:Z294)*ROW(Z$12:Z294),ROW($T$12))&amp;":AA"&amp;(ROW()-1)))),1,0))=16),MIN(LOOKUP(,-1/($Z$12:Z295=1),$C$12:C295)+LOOKUP(,-1/($Z$12:Z295=1),$H$12:H295),Первоначальный[[#This Row],[Полученный платеж]]+Y294),
AND(S294=0,TYPE(VLOOKUP("Да",(INDIRECT("AA"&amp;(MAX((1=Z$12:Z294)*ROW(Z$12:Z294),ROW($T$12))&amp;":AA"&amp;(ROW()-1)))),1,0))&lt;&gt;16),MIN(LOOKUP(,-1/($Z$12:Z295=1),$C$12:C295)+LOOKUP(,-1/($Z$12:Z295=1),$H$12:H295)-IF(AA294="Да",0,SUM(INDIRECT("T"&amp;(MAX(("Да"=AA$12:AA294)*ROW(AA$12:AA294)+1,ROW($T$12))&amp;":T"&amp;(ROW()-1))))),Первоначальный[[#This Row],[Полученный платеж]]+Y294),
AND(S294=0,MAX((0&lt;&gt;N$12:N294)*ROW(N$12:N294),ROW($S$12))&gt;=MAX((1=Z$12:Z294)*ROW(Z$12:Z294),ROW($T$12))),MIN(LOOKUP(,-1/($Z$12:Z295=1),$C$12:C295)+LOOKUP(,-1/($Z$12:Z295=1),$H$12:H295)-IF(N294&lt;&gt;0,0,SUM(INDIRECT("T"&amp;(MAX((0&lt;&gt;N$12:N294)*ROW(N$12:N294)+1,ROW($T$12))&amp;":T"&amp;(ROW()-1))))),Первоначальный[[#This Row],[Полученный платеж]]+Y294),
AND(S294=0,Первоначальный[[#This Row],[Дата платежа из графика]]=1),MIN(LOOKUP(,-1/($Z$12:Z295=1),$C$12:C295)+LOOKUP(,-1/($Z$12:Z295=1),$H$12:H295)-IF(Z294=1,0,SUM(INDIRECT("T"&amp;(MAX((1=Z$12:Z294)*ROW(Z$12:Z294)+1,ROW($T$12))&amp;":T"&amp;(ROW()-1))))),Первоначальный[[#This Row],[Полученный платеж]]+Y294),
AND(Z294&gt;0,Первоначальный[[#This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платеж]]+Y294),
AND(S294&gt;0,MAX((0&lt;&gt;S$12:S294)*ROW(S$12:S294),ROW($S$12))&gt;=MAX((1=Z$12:Z294)*ROW(Z$12:Z294),ROW($T$12)),TYPE(VLOOKUP("Да",(INDIRECT("AA"&amp;(MAX((1=Z$12:Z294)*ROW(Z$12:Z294),ROW($T$12))&amp;":AA"&amp;(ROW()-1)))),1,0))=16),MIN(LOOKUP(,-1/($Z$12:Z295=1),$C$12:C295)+LOOKUP(,-1/($Z$12:Z295=1),$H$12:H295)-SUM(INDIRECT("T"&amp;(MAX((1=Z$12:Z294)*ROW(Z$12:Z294),ROW($T$12))&amp;":T"&amp;(ROW()-1)))),Первоначальный[[#This Row],[Полученный платеж]]+Y294),
S294&gt;0,MIN(LOOKUP(,-1/($Z$12:Z295=1),$C$12:C295)+LOOKUP(,-1/($Z$12:Z295=1),$H$12:H295)-IF(Z294=1,0,SUM(INDIRECT("T"&amp;(MAX((1=Z$12:Z294)*ROW(Z$12:Z294)+1,ROW($T$12))&amp;":T"&amp;(ROW()-1))))),Первоначальный[[#This Row],[Полученный платеж]]+Y294)
)
)
)</f>
        <v>0</v>
      </c>
      <c r="U29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платеж]]+Y294-Первоначальный[[#This Row],[Полученный платёж по процентам]])</f>
        <v>0</v>
      </c>
      <c r="V295" s="55">
        <f t="shared" ca="1" si="49"/>
        <v>0</v>
      </c>
      <c r="W295" s="55" cm="1">
        <f t="array" aca="1" ref="W295" ca="1">IF(Первоначальный[[#This Row],[Итого остаток на начало периода]]&lt;1,0,
_xlfn.IFS(
AND(TYPE(VLOOKUP(1,$Z$12:Z295,1,0))=16,Первоначальный[[#This Row],[Досрочное погашение (да/"")]]=""),0,
AND(S294=0,Первоначальный[[#This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платеж]]+Y294-SUM(Первоначальный[[#This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комиссиям]]),VLOOKUP(LOOKUP(,-1/($Z$12:Z295=1),$A$12:A295),График[[Срок конец]:[Возврат основной суммы долга]],3,0)),
AND(S294=0,Первоначальный[[#This Row],[Дата платежа из графика]]="",Первоначальный[[#This Row],[Досрочное погашение (да/"")]]&lt;&gt;"Да"),0,
AND(S294=0,Первоначальный[[#This Row],[Досрочное погашение (да/"")]]=""),MIN(Первоначальный[[#This Row],[Полученный платеж]]+Y294-SUM(Первоначальный[[#This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комиссиям]]),VLOOKUP(LOOKUP(,-1/($Z$12:Z295=1),$A$12:A295),График[[Срок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платеж]]+Y294-SUM(Первоначальный[[#This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S294&gt;0,MIN(Первоначальный[[#This Row],[Полученный платеж]]+Y294-SUM(Первоначальный[[#This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комиссиям]]),SUM(INDIRECT("M"&amp;(MAX((1=S$12:S294)*ROW(S$12:S294),ROW($W$12))&amp;":M"&amp;(ROW()))))-SUM(INDIRECT("W"&amp;(MAX((1=S$12:S294)*ROW(S$12:S294),ROW($W$12))&amp;":W"&amp;(ROW()-1)))))
)
)</f>
        <v>0</v>
      </c>
      <c r="X295" s="55">
        <f t="shared" ca="1" si="50"/>
        <v>0</v>
      </c>
      <c r="Y295" s="101">
        <f t="shared" ca="1" si="57"/>
        <v>0</v>
      </c>
      <c r="Z295" s="133" t="str">
        <f>IF(TYPE((VLOOKUP(Первоначальный[[#This Row],[Дата платежа]],График[Срок конец],1,0)))=16,"",1)</f>
        <v/>
      </c>
      <c r="AA295" s="57"/>
      <c r="AB295" s="134"/>
      <c r="AC29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9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17842.590000000007</v>
      </c>
      <c r="AE29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173.77000000000015</v>
      </c>
      <c r="AF29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9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10257.164126229511</v>
      </c>
      <c r="AH295" s="55"/>
      <c r="AI295" s="55"/>
      <c r="AJ295" s="55"/>
      <c r="AK295" s="101">
        <f t="shared" ca="1" si="58"/>
        <v>177906.86412622948</v>
      </c>
      <c r="AL295" s="129">
        <f t="array" ref="AL295">MAX((УслРестрактов[Характеристика]="Дата реструктуризации")*(УслРестрактов[Значение]=Первоначальный!$A295),0)</f>
        <v>0</v>
      </c>
    </row>
    <row r="296" spans="1:38" x14ac:dyDescent="0.25">
      <c r="A296" s="97">
        <f t="shared" si="51"/>
        <v>44427</v>
      </c>
      <c r="B296" s="100">
        <f t="shared" ca="1" si="52"/>
        <v>149633.34</v>
      </c>
      <c r="C296" s="55">
        <f t="shared" ca="1" si="60"/>
        <v>17842.590000000007</v>
      </c>
      <c r="D296" s="55">
        <f t="shared" ca="1" si="60"/>
        <v>173.77000000000015</v>
      </c>
      <c r="E296" s="55">
        <f t="shared" ca="1" si="53"/>
        <v>0</v>
      </c>
      <c r="F296" s="55">
        <f t="shared" ca="1" si="54"/>
        <v>10257.164126229511</v>
      </c>
      <c r="G296" s="101">
        <f t="shared" ca="1" si="55"/>
        <v>177906.86412622948</v>
      </c>
      <c r="H296" s="100">
        <f ca="1">ROUND($B296*VLOOKUP($A296,$A$1:$B$10,2,1)/(365+IF(MOD(YEAR($A296),4),0,1)*($A296-$A295)),2)-Первоначальный[[#This Row],[Проценты на просроченный платеж по ОД за период]]</f>
        <v>79.87</v>
      </c>
      <c r="I296" s="55">
        <f t="shared" ca="1" si="56"/>
        <v>1.71</v>
      </c>
      <c r="J296" s="55">
        <v>0</v>
      </c>
      <c r="K296" s="55">
        <f t="shared" ca="1" si="59"/>
        <v>101.32850327868853</v>
      </c>
      <c r="L296" s="55">
        <v>0</v>
      </c>
      <c r="M296" s="113">
        <f>SUMIFS(График[Возврат основной суммы долга],График[Дата с учетом нерабочих дней],$A296)</f>
        <v>0</v>
      </c>
      <c r="N296" s="56">
        <f>SUMIFS(График[Возврат начисленных %],График[Дата с учетом нерабочих дней],$A296)</f>
        <v>0</v>
      </c>
      <c r="O296" s="101">
        <v>0</v>
      </c>
      <c r="P296" s="100" cm="1">
        <f t="array" aca="1" ref="P296" ca="1">MAX(IF(AA295="Да",0,SUM(INDIRECT("M"&amp;(MAX(("Да"=AA$12:AA295)*ROW(AA$12:AA295)+1,ROW($P$12))&amp;":M"&amp;(ROW()))))-SUM(INDIRECT("W"&amp;(MAX(("Да"=AA$12:AA295)*ROW(AA$12:AA295)+1,ROW($P$12))&amp;":W"&amp;(ROW()))))),0)</f>
        <v>3142.5499999999993</v>
      </c>
      <c r="Q296" s="99">
        <f ca="1">MAX(SUM($N$13:N296)-SUM($T$13:T296),0)</f>
        <v>17123.150655737707</v>
      </c>
      <c r="R296" s="99">
        <f ca="1">Первоначальный[[#This Row],[Просроченный платеж по ОД]]+Первоначальный[[#This Row],[Просроченный платеж по процентам]]</f>
        <v>20265.700655737706</v>
      </c>
      <c r="S296" s="120">
        <f ca="1">IF(Первоначальный[[#This Row],[Просроченный платеж]]&lt;1,0,S295+1)</f>
        <v>192</v>
      </c>
      <c r="T296" s="100" cm="1">
        <f t="array" aca="1" ref="T296" ca="1">IF(Первоначальный[[#This Row],[Итого остаток на начало периода]]&lt;1,0,
IF(
AND(TYPE(VLOOKUP(1,$Z$12:Z296,1,0))=16,Первоначальный[[#This Row],[Досрочное погашение (да/"")]]=""),0,
_xlfn.IFS(AND(S295=0,Первоначальный[[#This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платеж]]&lt;&gt;0),MIN(LOOKUP(,-1/($Z$12:Z296=1),$C$12:C296)+LOOKUP(,-1/($Z$12:Z296=1),$H$12:H296),Первоначальный[[#This Row],[Полученный платеж]]+Y295),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платеж]]+Y295,SUM(Первоначальный[[#This Row],[Остаток процентов на начало периода]],Первоначальный[[#This Row],[Проценты за период]])),
AND(S295=0,Первоначальный[[#This Row],[Дата платежа из графика]]=""),0,
AND(S295=0,Первоначальный[[#This Row],[Дата платежа из графика]]=1,MAX((0&lt;&gt;S$12:S295)*ROW(S$12:S295),ROW($S$12))&gt;=MAX((1=Z$12:Z295)*ROW(Z$12:Z295),ROW($T$12)),TYPE(VLOOKUP("Да",(INDIRECT("AA"&amp;(MAX((1=Z$12:Z295)*ROW(Z$12:Z295),ROW($T$12))&amp;":AA"&amp;(ROW()-1)))),1,0))=16),MIN(LOOKUP(,-1/($Z$12:Z296=1),$C$12:C296)+LOOKUP(,-1/($Z$12:Z296=1),$H$12:H296),Первоначальный[[#This Row],[Полученный платеж]]+Y295),
AND(S295=0,TYPE(VLOOKUP("Да",(INDIRECT("AA"&amp;(MAX((1=Z$12:Z295)*ROW(Z$12:Z295),ROW($T$12))&amp;":AA"&amp;(ROW()-1)))),1,0))&lt;&gt;16),MIN(LOOKUP(,-1/($Z$12:Z296=1),$C$12:C296)+LOOKUP(,-1/($Z$12:Z296=1),$H$12:H296)-IF(AA295="Да",0,SUM(INDIRECT("T"&amp;(MAX(("Да"=AA$12:AA295)*ROW(AA$12:AA295)+1,ROW($T$12))&amp;":T"&amp;(ROW()-1))))),Первоначальный[[#This Row],[Полученный платеж]]+Y295),
AND(S295=0,MAX((0&lt;&gt;N$12:N295)*ROW(N$12:N295),ROW($S$12))&gt;=MAX((1=Z$12:Z295)*ROW(Z$12:Z295),ROW($T$12))),MIN(LOOKUP(,-1/($Z$12:Z296=1),$C$12:C296)+LOOKUP(,-1/($Z$12:Z296=1),$H$12:H296)-IF(N295&lt;&gt;0,0,SUM(INDIRECT("T"&amp;(MAX((0&lt;&gt;N$12:N295)*ROW(N$12:N295)+1,ROW($T$12))&amp;":T"&amp;(ROW()-1))))),Первоначальный[[#This Row],[Полученный платеж]]+Y295),
AND(S295=0,Первоначальный[[#This Row],[Дата платежа из графика]]=1),MIN(LOOKUP(,-1/($Z$12:Z296=1),$C$12:C296)+LOOKUP(,-1/($Z$12:Z296=1),$H$12:H296)-IF(Z295=1,0,SUM(INDIRECT("T"&amp;(MAX((1=Z$12:Z295)*ROW(Z$12:Z295)+1,ROW($T$12))&amp;":T"&amp;(ROW()-1))))),Первоначальный[[#This Row],[Полученный платеж]]+Y295),
AND(Z295&gt;0,Первоначальный[[#This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платеж]]+Y295),
AND(S295&gt;0,MAX((0&lt;&gt;S$12:S295)*ROW(S$12:S295),ROW($S$12))&gt;=MAX((1=Z$12:Z295)*ROW(Z$12:Z295),ROW($T$12)),TYPE(VLOOKUP("Да",(INDIRECT("AA"&amp;(MAX((1=Z$12:Z295)*ROW(Z$12:Z295),ROW($T$12))&amp;":AA"&amp;(ROW()-1)))),1,0))=16),MIN(LOOKUP(,-1/($Z$12:Z296=1),$C$12:C296)+LOOKUP(,-1/($Z$12:Z296=1),$H$12:H296)-SUM(INDIRECT("T"&amp;(MAX((1=Z$12:Z295)*ROW(Z$12:Z295),ROW($T$12))&amp;":T"&amp;(ROW()-1)))),Первоначальный[[#This Row],[Полученный платеж]]+Y295),
S295&gt;0,MIN(LOOKUP(,-1/($Z$12:Z296=1),$C$12:C296)+LOOKUP(,-1/($Z$12:Z296=1),$H$12:H296)-IF(Z295=1,0,SUM(INDIRECT("T"&amp;(MAX((1=Z$12:Z295)*ROW(Z$12:Z295)+1,ROW($T$12))&amp;":T"&amp;(ROW()-1))))),Первоначальный[[#This Row],[Полученный платеж]]+Y295)
)
)
)</f>
        <v>0</v>
      </c>
      <c r="U29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платеж]]+Y295-Первоначальный[[#This Row],[Полученный платёж по процентам]])</f>
        <v>0</v>
      </c>
      <c r="V296" s="55">
        <f t="shared" ca="1" si="49"/>
        <v>0</v>
      </c>
      <c r="W296" s="55" cm="1">
        <f t="array" aca="1" ref="W296" ca="1">IF(Первоначальный[[#This Row],[Итого остаток на начало периода]]&lt;1,0,
_xlfn.IFS(
AND(TYPE(VLOOKUP(1,$Z$12:Z296,1,0))=16,Первоначальный[[#This Row],[Досрочное погашение (да/"")]]=""),0,
AND(S295=0,Первоначальный[[#This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платеж]]+Y295-SUM(Первоначальный[[#This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комиссиям]]),VLOOKUP(LOOKUP(,-1/($Z$12:Z296=1),$A$12:A296),График[[Срок конец]:[Возврат основной суммы долга]],3,0)),
AND(S295=0,Первоначальный[[#This Row],[Дата платежа из графика]]="",Первоначальный[[#This Row],[Досрочное погашение (да/"")]]&lt;&gt;"Да"),0,
AND(S295=0,Первоначальный[[#This Row],[Досрочное погашение (да/"")]]=""),MIN(Первоначальный[[#This Row],[Полученный платеж]]+Y295-SUM(Первоначальный[[#This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комиссиям]]),VLOOKUP(LOOKUP(,-1/($Z$12:Z296=1),$A$12:A296),График[[Срок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платеж]]+Y295-SUM(Первоначальный[[#This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S295&gt;0,MIN(Первоначальный[[#This Row],[Полученный платеж]]+Y295-SUM(Первоначальный[[#This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комиссиям]]),SUM(INDIRECT("M"&amp;(MAX((1=S$12:S295)*ROW(S$12:S295),ROW($W$12))&amp;":M"&amp;(ROW()))))-SUM(INDIRECT("W"&amp;(MAX((1=S$12:S295)*ROW(S$12:S295),ROW($W$12))&amp;":W"&amp;(ROW()-1)))))
)
)</f>
        <v>0</v>
      </c>
      <c r="X296" s="55">
        <f t="shared" ca="1" si="50"/>
        <v>0</v>
      </c>
      <c r="Y296" s="101">
        <f t="shared" ca="1" si="57"/>
        <v>0</v>
      </c>
      <c r="Z296" s="133" t="str">
        <f>IF(TYPE((VLOOKUP(Первоначальный[[#This Row],[Дата платежа]],График[Срок конец],1,0)))=16,"",1)</f>
        <v/>
      </c>
      <c r="AA296" s="57"/>
      <c r="AB296" s="134"/>
      <c r="AC29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9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17922.460000000006</v>
      </c>
      <c r="AE29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175.48000000000016</v>
      </c>
      <c r="AF29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9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10358.492629508199</v>
      </c>
      <c r="AH296" s="55"/>
      <c r="AI296" s="55"/>
      <c r="AJ296" s="55"/>
      <c r="AK296" s="101">
        <f t="shared" ca="1" si="58"/>
        <v>178089.7726295082</v>
      </c>
      <c r="AL296" s="129">
        <f t="array" ref="AL296">MAX((УслРестрактов[Характеристика]="Дата реструктуризации")*(УслРестрактов[Значение]=Первоначальный!$A296),0)</f>
        <v>0</v>
      </c>
    </row>
    <row r="297" spans="1:38" x14ac:dyDescent="0.25">
      <c r="A297" s="97">
        <f t="shared" si="51"/>
        <v>44428</v>
      </c>
      <c r="B297" s="100">
        <f t="shared" ca="1" si="52"/>
        <v>149633.34</v>
      </c>
      <c r="C297" s="55">
        <f t="shared" ca="1" si="60"/>
        <v>17922.460000000006</v>
      </c>
      <c r="D297" s="55">
        <f t="shared" ca="1" si="60"/>
        <v>175.48000000000016</v>
      </c>
      <c r="E297" s="55">
        <f t="shared" ca="1" si="53"/>
        <v>0</v>
      </c>
      <c r="F297" s="55">
        <f t="shared" ca="1" si="54"/>
        <v>10358.492629508199</v>
      </c>
      <c r="G297" s="101">
        <f t="shared" ca="1" si="55"/>
        <v>178089.7726295082</v>
      </c>
      <c r="H297" s="100">
        <f ca="1">ROUND($B297*VLOOKUP($A297,$A$1:$B$10,2,1)/(365+IF(MOD(YEAR($A297),4),0,1)*($A297-$A296)),2)-Первоначальный[[#This Row],[Проценты на просроченный платеж по ОД за период]]</f>
        <v>79.87</v>
      </c>
      <c r="I297" s="55">
        <f t="shared" ca="1" si="56"/>
        <v>1.71</v>
      </c>
      <c r="J297" s="55">
        <v>0</v>
      </c>
      <c r="K297" s="55">
        <f t="shared" ca="1" si="59"/>
        <v>101.32850327868853</v>
      </c>
      <c r="L297" s="55">
        <v>0</v>
      </c>
      <c r="M297" s="113">
        <f>SUMIFS(График[Возврат основной суммы долга],График[Дата с учетом нерабочих дней],$A297)</f>
        <v>0</v>
      </c>
      <c r="N297" s="56">
        <f>SUMIFS(График[Возврат начисленных %],График[Дата с учетом нерабочих дней],$A297)</f>
        <v>0</v>
      </c>
      <c r="O297" s="101">
        <v>0</v>
      </c>
      <c r="P297" s="100" cm="1">
        <f t="array" aca="1" ref="P297" ca="1">MAX(IF(AA296="Да",0,SUM(INDIRECT("M"&amp;(MAX(("Да"=AA$12:AA296)*ROW(AA$12:AA296)+1,ROW($P$12))&amp;":M"&amp;(ROW()))))-SUM(INDIRECT("W"&amp;(MAX(("Да"=AA$12:AA296)*ROW(AA$12:AA296)+1,ROW($P$12))&amp;":W"&amp;(ROW()))))),0)</f>
        <v>3142.5499999999993</v>
      </c>
      <c r="Q297" s="99">
        <f ca="1">MAX(SUM($N$13:N297)-SUM($T$13:T297),0)</f>
        <v>17123.150655737707</v>
      </c>
      <c r="R297" s="99">
        <f ca="1">Первоначальный[[#This Row],[Просроченный платеж по ОД]]+Первоначальный[[#This Row],[Просроченный платеж по процентам]]</f>
        <v>20265.700655737706</v>
      </c>
      <c r="S297" s="120">
        <f ca="1">IF(Первоначальный[[#This Row],[Просроченный платеж]]&lt;1,0,S296+1)</f>
        <v>193</v>
      </c>
      <c r="T297" s="100" cm="1">
        <f t="array" aca="1" ref="T297" ca="1">IF(Первоначальный[[#This Row],[Итого остаток на начало периода]]&lt;1,0,
IF(
AND(TYPE(VLOOKUP(1,$Z$12:Z297,1,0))=16,Первоначальный[[#This Row],[Досрочное погашение (да/"")]]=""),0,
_xlfn.IFS(AND(S296=0,Первоначальный[[#This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платеж]]&lt;&gt;0),MIN(LOOKUP(,-1/($Z$12:Z297=1),$C$12:C297)+LOOKUP(,-1/($Z$12:Z297=1),$H$12:H297),Первоначальный[[#This Row],[Полученный платеж]]+Y296),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платеж]]+Y296,SUM(Первоначальный[[#This Row],[Остаток процентов на начало периода]],Первоначальный[[#This Row],[Проценты за период]])),
AND(S296=0,Первоначальный[[#This Row],[Дата платежа из графика]]=""),0,
AND(S296=0,Первоначальный[[#This Row],[Дата платежа из графика]]=1,MAX((0&lt;&gt;S$12:S296)*ROW(S$12:S296),ROW($S$12))&gt;=MAX((1=Z$12:Z296)*ROW(Z$12:Z296),ROW($T$12)),TYPE(VLOOKUP("Да",(INDIRECT("AA"&amp;(MAX((1=Z$12:Z296)*ROW(Z$12:Z296),ROW($T$12))&amp;":AA"&amp;(ROW()-1)))),1,0))=16),MIN(LOOKUP(,-1/($Z$12:Z297=1),$C$12:C297)+LOOKUP(,-1/($Z$12:Z297=1),$H$12:H297),Первоначальный[[#This Row],[Полученный платеж]]+Y296),
AND(S296=0,TYPE(VLOOKUP("Да",(INDIRECT("AA"&amp;(MAX((1=Z$12:Z296)*ROW(Z$12:Z296),ROW($T$12))&amp;":AA"&amp;(ROW()-1)))),1,0))&lt;&gt;16),MIN(LOOKUP(,-1/($Z$12:Z297=1),$C$12:C297)+LOOKUP(,-1/($Z$12:Z297=1),$H$12:H297)-IF(AA296="Да",0,SUM(INDIRECT("T"&amp;(MAX(("Да"=AA$12:AA296)*ROW(AA$12:AA296)+1,ROW($T$12))&amp;":T"&amp;(ROW()-1))))),Первоначальный[[#This Row],[Полученный платеж]]+Y296),
AND(S296=0,MAX((0&lt;&gt;N$12:N296)*ROW(N$12:N296),ROW($S$12))&gt;=MAX((1=Z$12:Z296)*ROW(Z$12:Z296),ROW($T$12))),MIN(LOOKUP(,-1/($Z$12:Z297=1),$C$12:C297)+LOOKUP(,-1/($Z$12:Z297=1),$H$12:H297)-IF(N296&lt;&gt;0,0,SUM(INDIRECT("T"&amp;(MAX((0&lt;&gt;N$12:N296)*ROW(N$12:N296)+1,ROW($T$12))&amp;":T"&amp;(ROW()-1))))),Первоначальный[[#This Row],[Полученный платеж]]+Y296),
AND(S296=0,Первоначальный[[#This Row],[Дата платежа из графика]]=1),MIN(LOOKUP(,-1/($Z$12:Z297=1),$C$12:C297)+LOOKUP(,-1/($Z$12:Z297=1),$H$12:H297)-IF(Z296=1,0,SUM(INDIRECT("T"&amp;(MAX((1=Z$12:Z296)*ROW(Z$12:Z296)+1,ROW($T$12))&amp;":T"&amp;(ROW()-1))))),Первоначальный[[#This Row],[Полученный платеж]]+Y296),
AND(Z296&gt;0,Первоначальный[[#This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платеж]]+Y296),
AND(S296&gt;0,MAX((0&lt;&gt;S$12:S296)*ROW(S$12:S296),ROW($S$12))&gt;=MAX((1=Z$12:Z296)*ROW(Z$12:Z296),ROW($T$12)),TYPE(VLOOKUP("Да",(INDIRECT("AA"&amp;(MAX((1=Z$12:Z296)*ROW(Z$12:Z296),ROW($T$12))&amp;":AA"&amp;(ROW()-1)))),1,0))=16),MIN(LOOKUP(,-1/($Z$12:Z297=1),$C$12:C297)+LOOKUP(,-1/($Z$12:Z297=1),$H$12:H297)-SUM(INDIRECT("T"&amp;(MAX((1=Z$12:Z296)*ROW(Z$12:Z296),ROW($T$12))&amp;":T"&amp;(ROW()-1)))),Первоначальный[[#This Row],[Полученный платеж]]+Y296),
S296&gt;0,MIN(LOOKUP(,-1/($Z$12:Z297=1),$C$12:C297)+LOOKUP(,-1/($Z$12:Z297=1),$H$12:H297)-IF(Z296=1,0,SUM(INDIRECT("T"&amp;(MAX((1=Z$12:Z296)*ROW(Z$12:Z296)+1,ROW($T$12))&amp;":T"&amp;(ROW()-1))))),Первоначальный[[#This Row],[Полученный платеж]]+Y296)
)
)
)</f>
        <v>0</v>
      </c>
      <c r="U29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платеж]]+Y296-Первоначальный[[#This Row],[Полученный платёж по процентам]])</f>
        <v>0</v>
      </c>
      <c r="V297" s="55">
        <f t="shared" ca="1" si="49"/>
        <v>0</v>
      </c>
      <c r="W297" s="55" cm="1">
        <f t="array" aca="1" ref="W297" ca="1">IF(Первоначальный[[#This Row],[Итого остаток на начало периода]]&lt;1,0,
_xlfn.IFS(
AND(TYPE(VLOOKUP(1,$Z$12:Z297,1,0))=16,Первоначальный[[#This Row],[Досрочное погашение (да/"")]]=""),0,
AND(S296=0,Первоначальный[[#This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платеж]]+Y296-SUM(Первоначальный[[#This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комиссиям]]),VLOOKUP(LOOKUP(,-1/($Z$12:Z297=1),$A$12:A297),График[[Срок конец]:[Возврат основной суммы долга]],3,0)),
AND(S296=0,Первоначальный[[#This Row],[Дата платежа из графика]]="",Первоначальный[[#This Row],[Досрочное погашение (да/"")]]&lt;&gt;"Да"),0,
AND(S296=0,Первоначальный[[#This Row],[Досрочное погашение (да/"")]]=""),MIN(Первоначальный[[#This Row],[Полученный платеж]]+Y296-SUM(Первоначальный[[#This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комиссиям]]),VLOOKUP(LOOKUP(,-1/($Z$12:Z297=1),$A$12:A297),График[[Срок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платеж]]+Y296-SUM(Первоначальный[[#This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S296&gt;0,MIN(Первоначальный[[#This Row],[Полученный платеж]]+Y296-SUM(Первоначальный[[#This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комиссиям]]),SUM(INDIRECT("M"&amp;(MAX((1=S$12:S296)*ROW(S$12:S296),ROW($W$12))&amp;":M"&amp;(ROW()))))-SUM(INDIRECT("W"&amp;(MAX((1=S$12:S296)*ROW(S$12:S296),ROW($W$12))&amp;":W"&amp;(ROW()-1)))))
)
)</f>
        <v>0</v>
      </c>
      <c r="X297" s="55">
        <f t="shared" ca="1" si="50"/>
        <v>0</v>
      </c>
      <c r="Y297" s="101">
        <f t="shared" ca="1" si="57"/>
        <v>0</v>
      </c>
      <c r="Z297" s="133" t="str">
        <f>IF(TYPE((VLOOKUP(Первоначальный[[#This Row],[Дата платежа]],График[Срок конец],1,0)))=16,"",1)</f>
        <v/>
      </c>
      <c r="AA297" s="57"/>
      <c r="AB297" s="134"/>
      <c r="AC29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9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18002.330000000005</v>
      </c>
      <c r="AE29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177.19000000000017</v>
      </c>
      <c r="AF29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9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10459.821132786887</v>
      </c>
      <c r="AH297" s="55"/>
      <c r="AI297" s="55"/>
      <c r="AJ297" s="55"/>
      <c r="AK297" s="101">
        <f t="shared" ca="1" si="58"/>
        <v>178272.68113278691</v>
      </c>
      <c r="AL297" s="129">
        <f t="array" ref="AL297">MAX((УслРестрактов[Характеристика]="Дата реструктуризации")*(УслРестрактов[Значение]=Первоначальный!$A297),0)</f>
        <v>0</v>
      </c>
    </row>
    <row r="298" spans="1:38" x14ac:dyDescent="0.25">
      <c r="A298" s="97">
        <f t="shared" si="51"/>
        <v>44429</v>
      </c>
      <c r="B298" s="100">
        <f t="shared" ca="1" si="52"/>
        <v>149633.34</v>
      </c>
      <c r="C298" s="55">
        <f t="shared" ca="1" si="60"/>
        <v>18002.330000000005</v>
      </c>
      <c r="D298" s="55">
        <f t="shared" ca="1" si="60"/>
        <v>177.19000000000017</v>
      </c>
      <c r="E298" s="55">
        <f t="shared" ca="1" si="53"/>
        <v>0</v>
      </c>
      <c r="F298" s="55">
        <f t="shared" ca="1" si="54"/>
        <v>10459.821132786887</v>
      </c>
      <c r="G298" s="101">
        <f t="shared" ca="1" si="55"/>
        <v>178272.68113278691</v>
      </c>
      <c r="H298" s="100">
        <f ca="1">ROUND($B298*VLOOKUP($A298,$A$1:$B$10,2,1)/(365+IF(MOD(YEAR($A298),4),0,1)*($A298-$A297)),2)-Первоначальный[[#This Row],[Проценты на просроченный платеж по ОД за период]]</f>
        <v>79.87</v>
      </c>
      <c r="I298" s="55">
        <f t="shared" ca="1" si="56"/>
        <v>1.71</v>
      </c>
      <c r="J298" s="55">
        <v>0</v>
      </c>
      <c r="K298" s="55">
        <f t="shared" ca="1" si="59"/>
        <v>101.32850327868853</v>
      </c>
      <c r="L298" s="55">
        <v>0</v>
      </c>
      <c r="M298" s="113">
        <f>SUMIFS(График[Возврат основной суммы долга],График[Дата с учетом нерабочих дней],$A298)</f>
        <v>0</v>
      </c>
      <c r="N298" s="56">
        <f>SUMIFS(График[Возврат начисленных %],График[Дата с учетом нерабочих дней],$A298)</f>
        <v>0</v>
      </c>
      <c r="O298" s="101">
        <v>0</v>
      </c>
      <c r="P298" s="100" cm="1">
        <f t="array" aca="1" ref="P298" ca="1">MAX(IF(AA297="Да",0,SUM(INDIRECT("M"&amp;(MAX(("Да"=AA$12:AA297)*ROW(AA$12:AA297)+1,ROW($P$12))&amp;":M"&amp;(ROW()))))-SUM(INDIRECT("W"&amp;(MAX(("Да"=AA$12:AA297)*ROW(AA$12:AA297)+1,ROW($P$12))&amp;":W"&amp;(ROW()))))),0)</f>
        <v>3142.5499999999993</v>
      </c>
      <c r="Q298" s="99">
        <f ca="1">MAX(SUM($N$13:N298)-SUM($T$13:T298),0)</f>
        <v>17123.150655737707</v>
      </c>
      <c r="R298" s="99">
        <f ca="1">Первоначальный[[#This Row],[Просроченный платеж по ОД]]+Первоначальный[[#This Row],[Просроченный платеж по процентам]]</f>
        <v>20265.700655737706</v>
      </c>
      <c r="S298" s="120">
        <f ca="1">IF(Первоначальный[[#This Row],[Просроченный платеж]]&lt;1,0,S297+1)</f>
        <v>194</v>
      </c>
      <c r="T298" s="100" cm="1">
        <f t="array" aca="1" ref="T298" ca="1">IF(Первоначальный[[#This Row],[Итого остаток на начало периода]]&lt;1,0,
IF(
AND(TYPE(VLOOKUP(1,$Z$12:Z298,1,0))=16,Первоначальный[[#This Row],[Досрочное погашение (да/"")]]=""),0,
_xlfn.IFS(AND(S297=0,Первоначальный[[#This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платеж]]&lt;&gt;0),MIN(LOOKUP(,-1/($Z$12:Z298=1),$C$12:C298)+LOOKUP(,-1/($Z$12:Z298=1),$H$12:H298),Первоначальный[[#This Row],[Полученный платеж]]+Y297),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платеж]]+Y297,SUM(Первоначальный[[#This Row],[Остаток процентов на начало периода]],Первоначальный[[#This Row],[Проценты за период]])),
AND(S297=0,Первоначальный[[#This Row],[Дата платежа из графика]]=""),0,
AND(S297=0,Первоначальный[[#This Row],[Дата платежа из графика]]=1,MAX((0&lt;&gt;S$12:S297)*ROW(S$12:S297),ROW($S$12))&gt;=MAX((1=Z$12:Z297)*ROW(Z$12:Z297),ROW($T$12)),TYPE(VLOOKUP("Да",(INDIRECT("AA"&amp;(MAX((1=Z$12:Z297)*ROW(Z$12:Z297),ROW($T$12))&amp;":AA"&amp;(ROW()-1)))),1,0))=16),MIN(LOOKUP(,-1/($Z$12:Z298=1),$C$12:C298)+LOOKUP(,-1/($Z$12:Z298=1),$H$12:H298),Первоначальный[[#This Row],[Полученный платеж]]+Y297),
AND(S297=0,TYPE(VLOOKUP("Да",(INDIRECT("AA"&amp;(MAX((1=Z$12:Z297)*ROW(Z$12:Z297),ROW($T$12))&amp;":AA"&amp;(ROW()-1)))),1,0))&lt;&gt;16),MIN(LOOKUP(,-1/($Z$12:Z298=1),$C$12:C298)+LOOKUP(,-1/($Z$12:Z298=1),$H$12:H298)-IF(AA297="Да",0,SUM(INDIRECT("T"&amp;(MAX(("Да"=AA$12:AA297)*ROW(AA$12:AA297)+1,ROW($T$12))&amp;":T"&amp;(ROW()-1))))),Первоначальный[[#This Row],[Полученный платеж]]+Y297),
AND(S297=0,MAX((0&lt;&gt;N$12:N297)*ROW(N$12:N297),ROW($S$12))&gt;=MAX((1=Z$12:Z297)*ROW(Z$12:Z297),ROW($T$12))),MIN(LOOKUP(,-1/($Z$12:Z298=1),$C$12:C298)+LOOKUP(,-1/($Z$12:Z298=1),$H$12:H298)-IF(N297&lt;&gt;0,0,SUM(INDIRECT("T"&amp;(MAX((0&lt;&gt;N$12:N297)*ROW(N$12:N297)+1,ROW($T$12))&amp;":T"&amp;(ROW()-1))))),Первоначальный[[#This Row],[Полученный платеж]]+Y297),
AND(S297=0,Первоначальный[[#This Row],[Дата платежа из графика]]=1),MIN(LOOKUP(,-1/($Z$12:Z298=1),$C$12:C298)+LOOKUP(,-1/($Z$12:Z298=1),$H$12:H298)-IF(Z297=1,0,SUM(INDIRECT("T"&amp;(MAX((1=Z$12:Z297)*ROW(Z$12:Z297)+1,ROW($T$12))&amp;":T"&amp;(ROW()-1))))),Первоначальный[[#This Row],[Полученный платеж]]+Y297),
AND(Z297&gt;0,Первоначальный[[#This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платеж]]+Y297),
AND(S297&gt;0,MAX((0&lt;&gt;S$12:S297)*ROW(S$12:S297),ROW($S$12))&gt;=MAX((1=Z$12:Z297)*ROW(Z$12:Z297),ROW($T$12)),TYPE(VLOOKUP("Да",(INDIRECT("AA"&amp;(MAX((1=Z$12:Z297)*ROW(Z$12:Z297),ROW($T$12))&amp;":AA"&amp;(ROW()-1)))),1,0))=16),MIN(LOOKUP(,-1/($Z$12:Z298=1),$C$12:C298)+LOOKUP(,-1/($Z$12:Z298=1),$H$12:H298)-SUM(INDIRECT("T"&amp;(MAX((1=Z$12:Z297)*ROW(Z$12:Z297),ROW($T$12))&amp;":T"&amp;(ROW()-1)))),Первоначальный[[#This Row],[Полученный платеж]]+Y297),
S297&gt;0,MIN(LOOKUP(,-1/($Z$12:Z298=1),$C$12:C298)+LOOKUP(,-1/($Z$12:Z298=1),$H$12:H298)-IF(Z297=1,0,SUM(INDIRECT("T"&amp;(MAX((1=Z$12:Z297)*ROW(Z$12:Z297)+1,ROW($T$12))&amp;":T"&amp;(ROW()-1))))),Первоначальный[[#This Row],[Полученный платеж]]+Y297)
)
)
)</f>
        <v>0</v>
      </c>
      <c r="U29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платеж]]+Y297-Первоначальный[[#This Row],[Полученный платёж по процентам]])</f>
        <v>0</v>
      </c>
      <c r="V298" s="55">
        <f t="shared" ca="1" si="49"/>
        <v>0</v>
      </c>
      <c r="W298" s="55" cm="1">
        <f t="array" aca="1" ref="W298" ca="1">IF(Первоначальный[[#This Row],[Итого остаток на начало периода]]&lt;1,0,
_xlfn.IFS(
AND(TYPE(VLOOKUP(1,$Z$12:Z298,1,0))=16,Первоначальный[[#This Row],[Досрочное погашение (да/"")]]=""),0,
AND(S297=0,Первоначальный[[#This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платеж]]+Y297-SUM(Первоначальный[[#This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комиссиям]]),VLOOKUP(LOOKUP(,-1/($Z$12:Z298=1),$A$12:A298),График[[Срок конец]:[Возврат основной суммы долга]],3,0)),
AND(S297=0,Первоначальный[[#This Row],[Дата платежа из графика]]="",Первоначальный[[#This Row],[Досрочное погашение (да/"")]]&lt;&gt;"Да"),0,
AND(S297=0,Первоначальный[[#This Row],[Досрочное погашение (да/"")]]=""),MIN(Первоначальный[[#This Row],[Полученный платеж]]+Y297-SUM(Первоначальный[[#This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комиссиям]]),VLOOKUP(LOOKUP(,-1/($Z$12:Z298=1),$A$12:A298),График[[Срок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платеж]]+Y297-SUM(Первоначальный[[#This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S297&gt;0,MIN(Первоначальный[[#This Row],[Полученный платеж]]+Y297-SUM(Первоначальный[[#This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комиссиям]]),SUM(INDIRECT("M"&amp;(MAX((1=S$12:S297)*ROW(S$12:S297),ROW($W$12))&amp;":M"&amp;(ROW()))))-SUM(INDIRECT("W"&amp;(MAX((1=S$12:S297)*ROW(S$12:S297),ROW($W$12))&amp;":W"&amp;(ROW()-1)))))
)
)</f>
        <v>0</v>
      </c>
      <c r="X298" s="55">
        <f t="shared" ca="1" si="50"/>
        <v>0</v>
      </c>
      <c r="Y298" s="101">
        <f t="shared" ca="1" si="57"/>
        <v>0</v>
      </c>
      <c r="Z298" s="133" t="str">
        <f>IF(TYPE((VLOOKUP(Первоначальный[[#This Row],[Дата платежа]],График[Срок конец],1,0)))=16,"",1)</f>
        <v/>
      </c>
      <c r="AA298" s="57"/>
      <c r="AB298" s="134"/>
      <c r="AC29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9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18082.200000000004</v>
      </c>
      <c r="AE29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178.90000000000018</v>
      </c>
      <c r="AF29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9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10561.149636065575</v>
      </c>
      <c r="AH298" s="55"/>
      <c r="AI298" s="55"/>
      <c r="AJ298" s="55"/>
      <c r="AK298" s="101">
        <f t="shared" ca="1" si="58"/>
        <v>178455.58963606559</v>
      </c>
      <c r="AL298" s="129">
        <f t="array" ref="AL298">MAX((УслРестрактов[Характеристика]="Дата реструктуризации")*(УслРестрактов[Значение]=Первоначальный!$A298),0)</f>
        <v>0</v>
      </c>
    </row>
    <row r="299" spans="1:38" x14ac:dyDescent="0.25">
      <c r="A299" s="97">
        <f t="shared" si="51"/>
        <v>44430</v>
      </c>
      <c r="B299" s="100">
        <f t="shared" ca="1" si="52"/>
        <v>149633.34</v>
      </c>
      <c r="C299" s="55">
        <f t="shared" ca="1" si="60"/>
        <v>18082.200000000004</v>
      </c>
      <c r="D299" s="55">
        <f t="shared" ca="1" si="60"/>
        <v>178.90000000000018</v>
      </c>
      <c r="E299" s="55">
        <f t="shared" ca="1" si="53"/>
        <v>0</v>
      </c>
      <c r="F299" s="55">
        <f t="shared" ca="1" si="54"/>
        <v>10561.149636065575</v>
      </c>
      <c r="G299" s="101">
        <f t="shared" ca="1" si="55"/>
        <v>178455.58963606559</v>
      </c>
      <c r="H299" s="100">
        <f ca="1">ROUND($B299*VLOOKUP($A299,$A$1:$B$10,2,1)/(365+IF(MOD(YEAR($A299),4),0,1)*($A299-$A298)),2)-Первоначальный[[#This Row],[Проценты на просроченный платеж по ОД за период]]</f>
        <v>79.87</v>
      </c>
      <c r="I299" s="55">
        <f t="shared" ca="1" si="56"/>
        <v>1.71</v>
      </c>
      <c r="J299" s="55">
        <v>0</v>
      </c>
      <c r="K299" s="55">
        <f t="shared" ca="1" si="59"/>
        <v>101.32850327868853</v>
      </c>
      <c r="L299" s="55">
        <v>0</v>
      </c>
      <c r="M299" s="113">
        <f>SUMIFS(График[Возврат основной суммы долга],График[Дата с учетом нерабочих дней],$A299)</f>
        <v>0</v>
      </c>
      <c r="N299" s="56">
        <f>SUMIFS(График[Возврат начисленных %],График[Дата с учетом нерабочих дней],$A299)</f>
        <v>0</v>
      </c>
      <c r="O299" s="101">
        <v>0</v>
      </c>
      <c r="P299" s="100" cm="1">
        <f t="array" aca="1" ref="P299" ca="1">MAX(IF(AA298="Да",0,SUM(INDIRECT("M"&amp;(MAX(("Да"=AA$12:AA298)*ROW(AA$12:AA298)+1,ROW($P$12))&amp;":M"&amp;(ROW()))))-SUM(INDIRECT("W"&amp;(MAX(("Да"=AA$12:AA298)*ROW(AA$12:AA298)+1,ROW($P$12))&amp;":W"&amp;(ROW()))))),0)</f>
        <v>3142.5499999999993</v>
      </c>
      <c r="Q299" s="99">
        <f ca="1">MAX(SUM($N$13:N299)-SUM($T$13:T299),0)</f>
        <v>17123.150655737707</v>
      </c>
      <c r="R299" s="99">
        <f ca="1">Первоначальный[[#This Row],[Просроченный платеж по ОД]]+Первоначальный[[#This Row],[Просроченный платеж по процентам]]</f>
        <v>20265.700655737706</v>
      </c>
      <c r="S299" s="120">
        <f ca="1">IF(Первоначальный[[#This Row],[Просроченный платеж]]&lt;1,0,S298+1)</f>
        <v>195</v>
      </c>
      <c r="T299" s="100" cm="1">
        <f t="array" aca="1" ref="T299" ca="1">IF(Первоначальный[[#This Row],[Итого остаток на начало периода]]&lt;1,0,
IF(
AND(TYPE(VLOOKUP(1,$Z$12:Z299,1,0))=16,Первоначальный[[#This Row],[Досрочное погашение (да/"")]]=""),0,
_xlfn.IFS(AND(S298=0,Первоначальный[[#This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платеж]]&lt;&gt;0),MIN(LOOKUP(,-1/($Z$12:Z299=1),$C$12:C299)+LOOKUP(,-1/($Z$12:Z299=1),$H$12:H299),Первоначальный[[#This Row],[Полученный платеж]]+Y298),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платеж]]+Y298,SUM(Первоначальный[[#This Row],[Остаток процентов на начало периода]],Первоначальный[[#This Row],[Проценты за период]])),
AND(S298=0,Первоначальный[[#This Row],[Дата платежа из графика]]=""),0,
AND(S298=0,Первоначальный[[#This Row],[Дата платежа из графика]]=1,MAX((0&lt;&gt;S$12:S298)*ROW(S$12:S298),ROW($S$12))&gt;=MAX((1=Z$12:Z298)*ROW(Z$12:Z298),ROW($T$12)),TYPE(VLOOKUP("Да",(INDIRECT("AA"&amp;(MAX((1=Z$12:Z298)*ROW(Z$12:Z298),ROW($T$12))&amp;":AA"&amp;(ROW()-1)))),1,0))=16),MIN(LOOKUP(,-1/($Z$12:Z299=1),$C$12:C299)+LOOKUP(,-1/($Z$12:Z299=1),$H$12:H299),Первоначальный[[#This Row],[Полученный платеж]]+Y298),
AND(S298=0,TYPE(VLOOKUP("Да",(INDIRECT("AA"&amp;(MAX((1=Z$12:Z298)*ROW(Z$12:Z298),ROW($T$12))&amp;":AA"&amp;(ROW()-1)))),1,0))&lt;&gt;16),MIN(LOOKUP(,-1/($Z$12:Z299=1),$C$12:C299)+LOOKUP(,-1/($Z$12:Z299=1),$H$12:H299)-IF(AA298="Да",0,SUM(INDIRECT("T"&amp;(MAX(("Да"=AA$12:AA298)*ROW(AA$12:AA298)+1,ROW($T$12))&amp;":T"&amp;(ROW()-1))))),Первоначальный[[#This Row],[Полученный платеж]]+Y298),
AND(S298=0,MAX((0&lt;&gt;N$12:N298)*ROW(N$12:N298),ROW($S$12))&gt;=MAX((1=Z$12:Z298)*ROW(Z$12:Z298),ROW($T$12))),MIN(LOOKUP(,-1/($Z$12:Z299=1),$C$12:C299)+LOOKUP(,-1/($Z$12:Z299=1),$H$12:H299)-IF(N298&lt;&gt;0,0,SUM(INDIRECT("T"&amp;(MAX((0&lt;&gt;N$12:N298)*ROW(N$12:N298)+1,ROW($T$12))&amp;":T"&amp;(ROW()-1))))),Первоначальный[[#This Row],[Полученный платеж]]+Y298),
AND(S298=0,Первоначальный[[#This Row],[Дата платежа из графика]]=1),MIN(LOOKUP(,-1/($Z$12:Z299=1),$C$12:C299)+LOOKUP(,-1/($Z$12:Z299=1),$H$12:H299)-IF(Z298=1,0,SUM(INDIRECT("T"&amp;(MAX((1=Z$12:Z298)*ROW(Z$12:Z298)+1,ROW($T$12))&amp;":T"&amp;(ROW()-1))))),Первоначальный[[#This Row],[Полученный платеж]]+Y298),
AND(Z298&gt;0,Первоначальный[[#This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платеж]]+Y298),
AND(S298&gt;0,MAX((0&lt;&gt;S$12:S298)*ROW(S$12:S298),ROW($S$12))&gt;=MAX((1=Z$12:Z298)*ROW(Z$12:Z298),ROW($T$12)),TYPE(VLOOKUP("Да",(INDIRECT("AA"&amp;(MAX((1=Z$12:Z298)*ROW(Z$12:Z298),ROW($T$12))&amp;":AA"&amp;(ROW()-1)))),1,0))=16),MIN(LOOKUP(,-1/($Z$12:Z299=1),$C$12:C299)+LOOKUP(,-1/($Z$12:Z299=1),$H$12:H299)-SUM(INDIRECT("T"&amp;(MAX((1=Z$12:Z298)*ROW(Z$12:Z298),ROW($T$12))&amp;":T"&amp;(ROW()-1)))),Первоначальный[[#This Row],[Полученный платеж]]+Y298),
S298&gt;0,MIN(LOOKUP(,-1/($Z$12:Z299=1),$C$12:C299)+LOOKUP(,-1/($Z$12:Z299=1),$H$12:H299)-IF(Z298=1,0,SUM(INDIRECT("T"&amp;(MAX((1=Z$12:Z298)*ROW(Z$12:Z298)+1,ROW($T$12))&amp;":T"&amp;(ROW()-1))))),Первоначальный[[#This Row],[Полученный платеж]]+Y298)
)
)
)</f>
        <v>0</v>
      </c>
      <c r="U29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платеж]]+Y298-Первоначальный[[#This Row],[Полученный платёж по процентам]])</f>
        <v>0</v>
      </c>
      <c r="V299" s="55">
        <f t="shared" ca="1" si="49"/>
        <v>0</v>
      </c>
      <c r="W299" s="55" cm="1">
        <f t="array" aca="1" ref="W299" ca="1">IF(Первоначальный[[#This Row],[Итого остаток на начало периода]]&lt;1,0,
_xlfn.IFS(
AND(TYPE(VLOOKUP(1,$Z$12:Z299,1,0))=16,Первоначальный[[#This Row],[Досрочное погашение (да/"")]]=""),0,
AND(S298=0,Первоначальный[[#This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платеж]]+Y298-SUM(Первоначальный[[#This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комиссиям]]),VLOOKUP(LOOKUP(,-1/($Z$12:Z299=1),$A$12:A299),График[[Срок конец]:[Возврат основной суммы долга]],3,0)),
AND(S298=0,Первоначальный[[#This Row],[Дата платежа из графика]]="",Первоначальный[[#This Row],[Досрочное погашение (да/"")]]&lt;&gt;"Да"),0,
AND(S298=0,Первоначальный[[#This Row],[Досрочное погашение (да/"")]]=""),MIN(Первоначальный[[#This Row],[Полученный платеж]]+Y298-SUM(Первоначальный[[#This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комиссиям]]),VLOOKUP(LOOKUP(,-1/($Z$12:Z299=1),$A$12:A299),График[[Срок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платеж]]+Y298-SUM(Первоначальный[[#This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S298&gt;0,MIN(Первоначальный[[#This Row],[Полученный платеж]]+Y298-SUM(Первоначальный[[#This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комиссиям]]),SUM(INDIRECT("M"&amp;(MAX((1=S$12:S298)*ROW(S$12:S298),ROW($W$12))&amp;":M"&amp;(ROW()))))-SUM(INDIRECT("W"&amp;(MAX((1=S$12:S298)*ROW(S$12:S298),ROW($W$12))&amp;":W"&amp;(ROW()-1)))))
)
)</f>
        <v>0</v>
      </c>
      <c r="X299" s="55">
        <f t="shared" ca="1" si="50"/>
        <v>0</v>
      </c>
      <c r="Y299" s="101">
        <f t="shared" ca="1" si="57"/>
        <v>0</v>
      </c>
      <c r="Z299" s="133" t="str">
        <f>IF(TYPE((VLOOKUP(Первоначальный[[#This Row],[Дата платежа]],График[Срок конец],1,0)))=16,"",1)</f>
        <v/>
      </c>
      <c r="AA299" s="57"/>
      <c r="AB299" s="134"/>
      <c r="AC29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29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18162.070000000003</v>
      </c>
      <c r="AE29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180.61000000000018</v>
      </c>
      <c r="AF29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29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10662.478139344263</v>
      </c>
      <c r="AH299" s="55"/>
      <c r="AI299" s="55"/>
      <c r="AJ299" s="55"/>
      <c r="AK299" s="101">
        <f t="shared" ca="1" si="58"/>
        <v>178638.49813934424</v>
      </c>
      <c r="AL299" s="129">
        <f t="array" ref="AL299">MAX((УслРестрактов[Характеристика]="Дата реструктуризации")*(УслРестрактов[Значение]=Первоначальный!$A299),0)</f>
        <v>0</v>
      </c>
    </row>
    <row r="300" spans="1:38" x14ac:dyDescent="0.25">
      <c r="A300" s="97">
        <f t="shared" si="51"/>
        <v>44431</v>
      </c>
      <c r="B300" s="100">
        <f t="shared" ca="1" si="52"/>
        <v>149633.34</v>
      </c>
      <c r="C300" s="55">
        <f t="shared" ca="1" si="60"/>
        <v>18162.070000000003</v>
      </c>
      <c r="D300" s="55">
        <f t="shared" ca="1" si="60"/>
        <v>180.61000000000018</v>
      </c>
      <c r="E300" s="55">
        <f t="shared" ca="1" si="53"/>
        <v>0</v>
      </c>
      <c r="F300" s="55">
        <f t="shared" ca="1" si="54"/>
        <v>10662.478139344263</v>
      </c>
      <c r="G300" s="101">
        <f t="shared" ca="1" si="55"/>
        <v>178638.49813934424</v>
      </c>
      <c r="H300" s="100">
        <f ca="1">ROUND($B300*VLOOKUP($A300,$A$1:$B$10,2,1)/(365+IF(MOD(YEAR($A300),4),0,1)*($A300-$A299)),2)-Первоначальный[[#This Row],[Проценты на просроченный платеж по ОД за период]]</f>
        <v>79.87</v>
      </c>
      <c r="I300" s="55">
        <f t="shared" ca="1" si="56"/>
        <v>1.71</v>
      </c>
      <c r="J300" s="55">
        <v>0</v>
      </c>
      <c r="K300" s="55">
        <f t="shared" ca="1" si="59"/>
        <v>101.32850327868853</v>
      </c>
      <c r="L300" s="55">
        <v>0</v>
      </c>
      <c r="M300" s="113">
        <f>SUMIFS(График[Возврат основной суммы долга],График[Дата с учетом нерабочих дней],$A300)</f>
        <v>0</v>
      </c>
      <c r="N300" s="56">
        <f>SUMIFS(График[Возврат начисленных %],График[Дата с учетом нерабочих дней],$A300)</f>
        <v>0</v>
      </c>
      <c r="O300" s="101">
        <v>0</v>
      </c>
      <c r="P300" s="100" cm="1">
        <f t="array" aca="1" ref="P300" ca="1">MAX(IF(AA299="Да",0,SUM(INDIRECT("M"&amp;(MAX(("Да"=AA$12:AA299)*ROW(AA$12:AA299)+1,ROW($P$12))&amp;":M"&amp;(ROW()))))-SUM(INDIRECT("W"&amp;(MAX(("Да"=AA$12:AA299)*ROW(AA$12:AA299)+1,ROW($P$12))&amp;":W"&amp;(ROW()))))),0)</f>
        <v>3142.5499999999993</v>
      </c>
      <c r="Q300" s="99">
        <f ca="1">MAX(SUM($N$13:N300)-SUM($T$13:T300),0)</f>
        <v>17123.150655737707</v>
      </c>
      <c r="R300" s="99">
        <f ca="1">Первоначальный[[#This Row],[Просроченный платеж по ОД]]+Первоначальный[[#This Row],[Просроченный платеж по процентам]]</f>
        <v>20265.700655737706</v>
      </c>
      <c r="S300" s="120">
        <f ca="1">IF(Первоначальный[[#This Row],[Просроченный платеж]]&lt;1,0,S299+1)</f>
        <v>196</v>
      </c>
      <c r="T300" s="100" cm="1">
        <f t="array" aca="1" ref="T300" ca="1">IF(Первоначальный[[#This Row],[Итого остаток на начало периода]]&lt;1,0,
IF(
AND(TYPE(VLOOKUP(1,$Z$12:Z300,1,0))=16,Первоначальный[[#This Row],[Досрочное погашение (да/"")]]=""),0,
_xlfn.IFS(AND(S299=0,Первоначальный[[#This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платеж]]&lt;&gt;0),MIN(LOOKUP(,-1/($Z$12:Z300=1),$C$12:C300)+LOOKUP(,-1/($Z$12:Z300=1),$H$12:H300),Первоначальный[[#This Row],[Полученный платеж]]+Y299),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платеж]]+Y299,SUM(Первоначальный[[#This Row],[Остаток процентов на начало периода]],Первоначальный[[#This Row],[Проценты за период]])),
AND(S299=0,Первоначальный[[#This Row],[Дата платежа из графика]]=""),0,
AND(S299=0,Первоначальный[[#This Row],[Дата платежа из графика]]=1,MAX((0&lt;&gt;S$12:S299)*ROW(S$12:S299),ROW($S$12))&gt;=MAX((1=Z$12:Z299)*ROW(Z$12:Z299),ROW($T$12)),TYPE(VLOOKUP("Да",(INDIRECT("AA"&amp;(MAX((1=Z$12:Z299)*ROW(Z$12:Z299),ROW($T$12))&amp;":AA"&amp;(ROW()-1)))),1,0))=16),MIN(LOOKUP(,-1/($Z$12:Z300=1),$C$12:C300)+LOOKUP(,-1/($Z$12:Z300=1),$H$12:H300),Первоначальный[[#This Row],[Полученный платеж]]+Y299),
AND(S299=0,TYPE(VLOOKUP("Да",(INDIRECT("AA"&amp;(MAX((1=Z$12:Z299)*ROW(Z$12:Z299),ROW($T$12))&amp;":AA"&amp;(ROW()-1)))),1,0))&lt;&gt;16),MIN(LOOKUP(,-1/($Z$12:Z300=1),$C$12:C300)+LOOKUP(,-1/($Z$12:Z300=1),$H$12:H300)-IF(AA299="Да",0,SUM(INDIRECT("T"&amp;(MAX(("Да"=AA$12:AA299)*ROW(AA$12:AA299)+1,ROW($T$12))&amp;":T"&amp;(ROW()-1))))),Первоначальный[[#This Row],[Полученный платеж]]+Y299),
AND(S299=0,MAX((0&lt;&gt;N$12:N299)*ROW(N$12:N299),ROW($S$12))&gt;=MAX((1=Z$12:Z299)*ROW(Z$12:Z299),ROW($T$12))),MIN(LOOKUP(,-1/($Z$12:Z300=1),$C$12:C300)+LOOKUP(,-1/($Z$12:Z300=1),$H$12:H300)-IF(N299&lt;&gt;0,0,SUM(INDIRECT("T"&amp;(MAX((0&lt;&gt;N$12:N299)*ROW(N$12:N299)+1,ROW($T$12))&amp;":T"&amp;(ROW()-1))))),Первоначальный[[#This Row],[Полученный платеж]]+Y299),
AND(S299=0,Первоначальный[[#This Row],[Дата платежа из графика]]=1),MIN(LOOKUP(,-1/($Z$12:Z300=1),$C$12:C300)+LOOKUP(,-1/($Z$12:Z300=1),$H$12:H300)-IF(Z299=1,0,SUM(INDIRECT("T"&amp;(MAX((1=Z$12:Z299)*ROW(Z$12:Z299)+1,ROW($T$12))&amp;":T"&amp;(ROW()-1))))),Первоначальный[[#This Row],[Полученный платеж]]+Y299),
AND(Z299&gt;0,Первоначальный[[#This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платеж]]+Y299),
AND(S299&gt;0,MAX((0&lt;&gt;S$12:S299)*ROW(S$12:S299),ROW($S$12))&gt;=MAX((1=Z$12:Z299)*ROW(Z$12:Z299),ROW($T$12)),TYPE(VLOOKUP("Да",(INDIRECT("AA"&amp;(MAX((1=Z$12:Z299)*ROW(Z$12:Z299),ROW($T$12))&amp;":AA"&amp;(ROW()-1)))),1,0))=16),MIN(LOOKUP(,-1/($Z$12:Z300=1),$C$12:C300)+LOOKUP(,-1/($Z$12:Z300=1),$H$12:H300)-SUM(INDIRECT("T"&amp;(MAX((1=Z$12:Z299)*ROW(Z$12:Z299),ROW($T$12))&amp;":T"&amp;(ROW()-1)))),Первоначальный[[#This Row],[Полученный платеж]]+Y299),
S299&gt;0,MIN(LOOKUP(,-1/($Z$12:Z300=1),$C$12:C300)+LOOKUP(,-1/($Z$12:Z300=1),$H$12:H300)-IF(Z299=1,0,SUM(INDIRECT("T"&amp;(MAX((1=Z$12:Z299)*ROW(Z$12:Z299)+1,ROW($T$12))&amp;":T"&amp;(ROW()-1))))),Первоначальный[[#This Row],[Полученный платеж]]+Y299)
)
)
)</f>
        <v>0</v>
      </c>
      <c r="U30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платеж]]+Y299-Первоначальный[[#This Row],[Полученный платёж по процентам]])</f>
        <v>0</v>
      </c>
      <c r="V300" s="55">
        <f t="shared" ca="1" si="49"/>
        <v>0</v>
      </c>
      <c r="W300" s="55" cm="1">
        <f t="array" aca="1" ref="W300" ca="1">IF(Первоначальный[[#This Row],[Итого остаток на начало периода]]&lt;1,0,
_xlfn.IFS(
AND(TYPE(VLOOKUP(1,$Z$12:Z300,1,0))=16,Первоначальный[[#This Row],[Досрочное погашение (да/"")]]=""),0,
AND(S299=0,Первоначальный[[#This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платеж]]+Y299-SUM(Первоначальный[[#This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комиссиям]]),VLOOKUP(LOOKUP(,-1/($Z$12:Z300=1),$A$12:A300),График[[Срок конец]:[Возврат основной суммы долга]],3,0)),
AND(S299=0,Первоначальный[[#This Row],[Дата платежа из графика]]="",Первоначальный[[#This Row],[Досрочное погашение (да/"")]]&lt;&gt;"Да"),0,
AND(S299=0,Первоначальный[[#This Row],[Досрочное погашение (да/"")]]=""),MIN(Первоначальный[[#This Row],[Полученный платеж]]+Y299-SUM(Первоначальный[[#This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комиссиям]]),VLOOKUP(LOOKUP(,-1/($Z$12:Z300=1),$A$12:A300),График[[Срок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платеж]]+Y299-SUM(Первоначальный[[#This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S299&gt;0,MIN(Первоначальный[[#This Row],[Полученный платеж]]+Y299-SUM(Первоначальный[[#This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комиссиям]]),SUM(INDIRECT("M"&amp;(MAX((1=S$12:S299)*ROW(S$12:S299),ROW($W$12))&amp;":M"&amp;(ROW()))))-SUM(INDIRECT("W"&amp;(MAX((1=S$12:S299)*ROW(S$12:S299),ROW($W$12))&amp;":W"&amp;(ROW()-1)))))
)
)</f>
        <v>0</v>
      </c>
      <c r="X300" s="55">
        <f t="shared" ca="1" si="50"/>
        <v>0</v>
      </c>
      <c r="Y300" s="101">
        <f t="shared" ca="1" si="57"/>
        <v>0</v>
      </c>
      <c r="Z300" s="133" t="str">
        <f>IF(TYPE((VLOOKUP(Первоначальный[[#This Row],[Дата платежа]],График[Срок конец],1,0)))=16,"",1)</f>
        <v/>
      </c>
      <c r="AA300" s="57"/>
      <c r="AB300" s="134"/>
      <c r="AC30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0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18241.940000000002</v>
      </c>
      <c r="AE30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182.32000000000019</v>
      </c>
      <c r="AF30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0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10763.806642622951</v>
      </c>
      <c r="AH300" s="55"/>
      <c r="AI300" s="55"/>
      <c r="AJ300" s="55"/>
      <c r="AK300" s="101">
        <f t="shared" ca="1" si="58"/>
        <v>178821.40664262295</v>
      </c>
      <c r="AL300" s="129">
        <f t="array" ref="AL300">MAX((УслРестрактов[Характеристика]="Дата реструктуризации")*(УслРестрактов[Значение]=Первоначальный!$A300),0)</f>
        <v>0</v>
      </c>
    </row>
    <row r="301" spans="1:38" x14ac:dyDescent="0.25">
      <c r="A301" s="97">
        <f t="shared" si="51"/>
        <v>44432</v>
      </c>
      <c r="B301" s="100">
        <f t="shared" ca="1" si="52"/>
        <v>149633.34</v>
      </c>
      <c r="C301" s="55">
        <f t="shared" ca="1" si="60"/>
        <v>18241.940000000002</v>
      </c>
      <c r="D301" s="55">
        <f t="shared" ca="1" si="60"/>
        <v>182.32000000000019</v>
      </c>
      <c r="E301" s="55">
        <f t="shared" ca="1" si="53"/>
        <v>0</v>
      </c>
      <c r="F301" s="55">
        <f t="shared" ca="1" si="54"/>
        <v>10763.806642622951</v>
      </c>
      <c r="G301" s="101">
        <f t="shared" ca="1" si="55"/>
        <v>178821.40664262295</v>
      </c>
      <c r="H301" s="100">
        <f ca="1">ROUND($B301*VLOOKUP($A301,$A$1:$B$10,2,1)/(365+IF(MOD(YEAR($A301),4),0,1)*($A301-$A300)),2)-Первоначальный[[#This Row],[Проценты на просроченный платеж по ОД за период]]</f>
        <v>79.87</v>
      </c>
      <c r="I301" s="55">
        <f t="shared" ca="1" si="56"/>
        <v>1.71</v>
      </c>
      <c r="J301" s="55">
        <v>0</v>
      </c>
      <c r="K301" s="55">
        <f t="shared" ca="1" si="59"/>
        <v>101.32850327868853</v>
      </c>
      <c r="L301" s="55">
        <v>0</v>
      </c>
      <c r="M301" s="113">
        <f>SUMIFS(График[Возврат основной суммы долга],График[Дата с учетом нерабочих дней],$A301)</f>
        <v>0</v>
      </c>
      <c r="N301" s="56">
        <f>SUMIFS(График[Возврат начисленных %],График[Дата с учетом нерабочих дней],$A301)</f>
        <v>0</v>
      </c>
      <c r="O301" s="101">
        <v>0</v>
      </c>
      <c r="P301" s="100" cm="1">
        <f t="array" aca="1" ref="P301" ca="1">MAX(IF(AA300="Да",0,SUM(INDIRECT("M"&amp;(MAX(("Да"=AA$12:AA300)*ROW(AA$12:AA300)+1,ROW($P$12))&amp;":M"&amp;(ROW()))))-SUM(INDIRECT("W"&amp;(MAX(("Да"=AA$12:AA300)*ROW(AA$12:AA300)+1,ROW($P$12))&amp;":W"&amp;(ROW()))))),0)</f>
        <v>3142.5499999999993</v>
      </c>
      <c r="Q301" s="99">
        <f ca="1">MAX(SUM($N$13:N301)-SUM($T$13:T301),0)</f>
        <v>17123.150655737707</v>
      </c>
      <c r="R301" s="99">
        <f ca="1">Первоначальный[[#This Row],[Просроченный платеж по ОД]]+Первоначальный[[#This Row],[Просроченный платеж по процентам]]</f>
        <v>20265.700655737706</v>
      </c>
      <c r="S301" s="120">
        <f ca="1">IF(Первоначальный[[#This Row],[Просроченный платеж]]&lt;1,0,S300+1)</f>
        <v>197</v>
      </c>
      <c r="T301" s="100" cm="1">
        <f t="array" aca="1" ref="T301" ca="1">IF(Первоначальный[[#This Row],[Итого остаток на начало периода]]&lt;1,0,
IF(
AND(TYPE(VLOOKUP(1,$Z$12:Z301,1,0))=16,Первоначальный[[#This Row],[Досрочное погашение (да/"")]]=""),0,
_xlfn.IFS(AND(S300=0,Первоначальный[[#This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платеж]]&lt;&gt;0),MIN(LOOKUP(,-1/($Z$12:Z301=1),$C$12:C301)+LOOKUP(,-1/($Z$12:Z301=1),$H$12:H301),Первоначальный[[#This Row],[Полученный платеж]]+Y300),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платеж]]+Y300,SUM(Первоначальный[[#This Row],[Остаток процентов на начало периода]],Первоначальный[[#This Row],[Проценты за период]])),
AND(S300=0,Первоначальный[[#This Row],[Дата платежа из графика]]=""),0,
AND(S300=0,Первоначальный[[#This Row],[Дата платежа из графика]]=1,MAX((0&lt;&gt;S$12:S300)*ROW(S$12:S300),ROW($S$12))&gt;=MAX((1=Z$12:Z300)*ROW(Z$12:Z300),ROW($T$12)),TYPE(VLOOKUP("Да",(INDIRECT("AA"&amp;(MAX((1=Z$12:Z300)*ROW(Z$12:Z300),ROW($T$12))&amp;":AA"&amp;(ROW()-1)))),1,0))=16),MIN(LOOKUP(,-1/($Z$12:Z301=1),$C$12:C301)+LOOKUP(,-1/($Z$12:Z301=1),$H$12:H301),Первоначальный[[#This Row],[Полученный платеж]]+Y300),
AND(S300=0,TYPE(VLOOKUP("Да",(INDIRECT("AA"&amp;(MAX((1=Z$12:Z300)*ROW(Z$12:Z300),ROW($T$12))&amp;":AA"&amp;(ROW()-1)))),1,0))&lt;&gt;16),MIN(LOOKUP(,-1/($Z$12:Z301=1),$C$12:C301)+LOOKUP(,-1/($Z$12:Z301=1),$H$12:H301)-IF(AA300="Да",0,SUM(INDIRECT("T"&amp;(MAX(("Да"=AA$12:AA300)*ROW(AA$12:AA300)+1,ROW($T$12))&amp;":T"&amp;(ROW()-1))))),Первоначальный[[#This Row],[Полученный платеж]]+Y300),
AND(S300=0,MAX((0&lt;&gt;N$12:N300)*ROW(N$12:N300),ROW($S$12))&gt;=MAX((1=Z$12:Z300)*ROW(Z$12:Z300),ROW($T$12))),MIN(LOOKUP(,-1/($Z$12:Z301=1),$C$12:C301)+LOOKUP(,-1/($Z$12:Z301=1),$H$12:H301)-IF(N300&lt;&gt;0,0,SUM(INDIRECT("T"&amp;(MAX((0&lt;&gt;N$12:N300)*ROW(N$12:N300)+1,ROW($T$12))&amp;":T"&amp;(ROW()-1))))),Первоначальный[[#This Row],[Полученный платеж]]+Y300),
AND(S300=0,Первоначальный[[#This Row],[Дата платежа из графика]]=1),MIN(LOOKUP(,-1/($Z$12:Z301=1),$C$12:C301)+LOOKUP(,-1/($Z$12:Z301=1),$H$12:H301)-IF(Z300=1,0,SUM(INDIRECT("T"&amp;(MAX((1=Z$12:Z300)*ROW(Z$12:Z300)+1,ROW($T$12))&amp;":T"&amp;(ROW()-1))))),Первоначальный[[#This Row],[Полученный платеж]]+Y300),
AND(Z300&gt;0,Первоначальный[[#This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платеж]]+Y300),
AND(S300&gt;0,MAX((0&lt;&gt;S$12:S300)*ROW(S$12:S300),ROW($S$12))&gt;=MAX((1=Z$12:Z300)*ROW(Z$12:Z300),ROW($T$12)),TYPE(VLOOKUP("Да",(INDIRECT("AA"&amp;(MAX((1=Z$12:Z300)*ROW(Z$12:Z300),ROW($T$12))&amp;":AA"&amp;(ROW()-1)))),1,0))=16),MIN(LOOKUP(,-1/($Z$12:Z301=1),$C$12:C301)+LOOKUP(,-1/($Z$12:Z301=1),$H$12:H301)-SUM(INDIRECT("T"&amp;(MAX((1=Z$12:Z300)*ROW(Z$12:Z300),ROW($T$12))&amp;":T"&amp;(ROW()-1)))),Первоначальный[[#This Row],[Полученный платеж]]+Y300),
S300&gt;0,MIN(LOOKUP(,-1/($Z$12:Z301=1),$C$12:C301)+LOOKUP(,-1/($Z$12:Z301=1),$H$12:H301)-IF(Z300=1,0,SUM(INDIRECT("T"&amp;(MAX((1=Z$12:Z300)*ROW(Z$12:Z300)+1,ROW($T$12))&amp;":T"&amp;(ROW()-1))))),Первоначальный[[#This Row],[Полученный платеж]]+Y300)
)
)
)</f>
        <v>0</v>
      </c>
      <c r="U30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платеж]]+Y300-Первоначальный[[#This Row],[Полученный платёж по процентам]])</f>
        <v>0</v>
      </c>
      <c r="V301" s="55">
        <f t="shared" ca="1" si="49"/>
        <v>0</v>
      </c>
      <c r="W301" s="55" cm="1">
        <f t="array" aca="1" ref="W301" ca="1">IF(Первоначальный[[#This Row],[Итого остаток на начало периода]]&lt;1,0,
_xlfn.IFS(
AND(TYPE(VLOOKUP(1,$Z$12:Z301,1,0))=16,Первоначальный[[#This Row],[Досрочное погашение (да/"")]]=""),0,
AND(S300=0,Первоначальный[[#This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платеж]]+Y300-SUM(Первоначальный[[#This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комиссиям]]),VLOOKUP(LOOKUP(,-1/($Z$12:Z301=1),$A$12:A301),График[[Срок конец]:[Возврат основной суммы долга]],3,0)),
AND(S300=0,Первоначальный[[#This Row],[Дата платежа из графика]]="",Первоначальный[[#This Row],[Досрочное погашение (да/"")]]&lt;&gt;"Да"),0,
AND(S300=0,Первоначальный[[#This Row],[Досрочное погашение (да/"")]]=""),MIN(Первоначальный[[#This Row],[Полученный платеж]]+Y300-SUM(Первоначальный[[#This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комиссиям]]),VLOOKUP(LOOKUP(,-1/($Z$12:Z301=1),$A$12:A301),График[[Срок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платеж]]+Y300-SUM(Первоначальный[[#This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S300&gt;0,MIN(Первоначальный[[#This Row],[Полученный платеж]]+Y300-SUM(Первоначальный[[#This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комиссиям]]),SUM(INDIRECT("M"&amp;(MAX((1=S$12:S300)*ROW(S$12:S300),ROW($W$12))&amp;":M"&amp;(ROW()))))-SUM(INDIRECT("W"&amp;(MAX((1=S$12:S300)*ROW(S$12:S300),ROW($W$12))&amp;":W"&amp;(ROW()-1)))))
)
)</f>
        <v>0</v>
      </c>
      <c r="X301" s="55">
        <f t="shared" ca="1" si="50"/>
        <v>0</v>
      </c>
      <c r="Y301" s="101">
        <f t="shared" ca="1" si="57"/>
        <v>0</v>
      </c>
      <c r="Z301" s="133" t="str">
        <f>IF(TYPE((VLOOKUP(Первоначальный[[#This Row],[Дата платежа]],График[Срок конец],1,0)))=16,"",1)</f>
        <v/>
      </c>
      <c r="AA301" s="57"/>
      <c r="AB301" s="134"/>
      <c r="AC30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0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18321.810000000001</v>
      </c>
      <c r="AE30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184.0300000000002</v>
      </c>
      <c r="AF30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0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10865.135145901639</v>
      </c>
      <c r="AH301" s="55"/>
      <c r="AI301" s="55"/>
      <c r="AJ301" s="55"/>
      <c r="AK301" s="101">
        <f t="shared" ca="1" si="58"/>
        <v>179004.31514590164</v>
      </c>
      <c r="AL301" s="129">
        <f t="array" ref="AL301">MAX((УслРестрактов[Характеристика]="Дата реструктуризации")*(УслРестрактов[Значение]=Первоначальный!$A301),0)</f>
        <v>0</v>
      </c>
    </row>
    <row r="302" spans="1:38" x14ac:dyDescent="0.25">
      <c r="A302" s="97">
        <f t="shared" si="51"/>
        <v>44433</v>
      </c>
      <c r="B302" s="100">
        <f t="shared" ca="1" si="52"/>
        <v>149633.34</v>
      </c>
      <c r="C302" s="55">
        <f t="shared" ca="1" si="60"/>
        <v>18321.810000000001</v>
      </c>
      <c r="D302" s="55">
        <f t="shared" ca="1" si="60"/>
        <v>184.0300000000002</v>
      </c>
      <c r="E302" s="55">
        <f t="shared" ca="1" si="53"/>
        <v>0</v>
      </c>
      <c r="F302" s="55">
        <f t="shared" ca="1" si="54"/>
        <v>10865.135145901639</v>
      </c>
      <c r="G302" s="101">
        <f t="shared" ca="1" si="55"/>
        <v>179004.31514590164</v>
      </c>
      <c r="H302" s="100">
        <f ca="1">ROUND($B302*VLOOKUP($A302,$A$1:$B$10,2,1)/(365+IF(MOD(YEAR($A302),4),0,1)*($A302-$A301)),2)-Первоначальный[[#This Row],[Проценты на просроченный платеж по ОД за период]]</f>
        <v>79.87</v>
      </c>
      <c r="I302" s="55">
        <f t="shared" ca="1" si="56"/>
        <v>1.71</v>
      </c>
      <c r="J302" s="55">
        <v>0</v>
      </c>
      <c r="K302" s="55">
        <f t="shared" ca="1" si="59"/>
        <v>101.32850327868853</v>
      </c>
      <c r="L302" s="55">
        <v>0</v>
      </c>
      <c r="M302" s="113">
        <f>SUMIFS(График[Возврат основной суммы долга],График[Дата с учетом нерабочих дней],$A302)</f>
        <v>0</v>
      </c>
      <c r="N302" s="56">
        <f>SUMIFS(График[Возврат начисленных %],График[Дата с учетом нерабочих дней],$A302)</f>
        <v>0</v>
      </c>
      <c r="O302" s="101">
        <v>0</v>
      </c>
      <c r="P302" s="100" cm="1">
        <f t="array" aca="1" ref="P302" ca="1">MAX(IF(AA301="Да",0,SUM(INDIRECT("M"&amp;(MAX(("Да"=AA$12:AA301)*ROW(AA$12:AA301)+1,ROW($P$12))&amp;":M"&amp;(ROW()))))-SUM(INDIRECT("W"&amp;(MAX(("Да"=AA$12:AA301)*ROW(AA$12:AA301)+1,ROW($P$12))&amp;":W"&amp;(ROW()))))),0)</f>
        <v>3142.5499999999993</v>
      </c>
      <c r="Q302" s="99">
        <f ca="1">MAX(SUM($N$13:N302)-SUM($T$13:T302),0)</f>
        <v>17123.150655737707</v>
      </c>
      <c r="R302" s="99">
        <f ca="1">Первоначальный[[#This Row],[Просроченный платеж по ОД]]+Первоначальный[[#This Row],[Просроченный платеж по процентам]]</f>
        <v>20265.700655737706</v>
      </c>
      <c r="S302" s="120">
        <f ca="1">IF(Первоначальный[[#This Row],[Просроченный платеж]]&lt;1,0,S301+1)</f>
        <v>198</v>
      </c>
      <c r="T302" s="100" cm="1">
        <f t="array" aca="1" ref="T302" ca="1">IF(Первоначальный[[#This Row],[Итого остаток на начало периода]]&lt;1,0,
IF(
AND(TYPE(VLOOKUP(1,$Z$12:Z302,1,0))=16,Первоначальный[[#This Row],[Досрочное погашение (да/"")]]=""),0,
_xlfn.IFS(AND(S301=0,Первоначальный[[#This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платеж]]&lt;&gt;0),MIN(LOOKUP(,-1/($Z$12:Z302=1),$C$12:C302)+LOOKUP(,-1/($Z$12:Z302=1),$H$12:H302),Первоначальный[[#This Row],[Полученный платеж]]+Y301),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платеж]]+Y301,SUM(Первоначальный[[#This Row],[Остаток процентов на начало периода]],Первоначальный[[#This Row],[Проценты за период]])),
AND(S301=0,Первоначальный[[#This Row],[Дата платежа из графика]]=""),0,
AND(S301=0,Первоначальный[[#This Row],[Дата платежа из графика]]=1,MAX((0&lt;&gt;S$12:S301)*ROW(S$12:S301),ROW($S$12))&gt;=MAX((1=Z$12:Z301)*ROW(Z$12:Z301),ROW($T$12)),TYPE(VLOOKUP("Да",(INDIRECT("AA"&amp;(MAX((1=Z$12:Z301)*ROW(Z$12:Z301),ROW($T$12))&amp;":AA"&amp;(ROW()-1)))),1,0))=16),MIN(LOOKUP(,-1/($Z$12:Z302=1),$C$12:C302)+LOOKUP(,-1/($Z$12:Z302=1),$H$12:H302),Первоначальный[[#This Row],[Полученный платеж]]+Y301),
AND(S301=0,TYPE(VLOOKUP("Да",(INDIRECT("AA"&amp;(MAX((1=Z$12:Z301)*ROW(Z$12:Z301),ROW($T$12))&amp;":AA"&amp;(ROW()-1)))),1,0))&lt;&gt;16),MIN(LOOKUP(,-1/($Z$12:Z302=1),$C$12:C302)+LOOKUP(,-1/($Z$12:Z302=1),$H$12:H302)-IF(AA301="Да",0,SUM(INDIRECT("T"&amp;(MAX(("Да"=AA$12:AA301)*ROW(AA$12:AA301)+1,ROW($T$12))&amp;":T"&amp;(ROW()-1))))),Первоначальный[[#This Row],[Полученный платеж]]+Y301),
AND(S301=0,MAX((0&lt;&gt;N$12:N301)*ROW(N$12:N301),ROW($S$12))&gt;=MAX((1=Z$12:Z301)*ROW(Z$12:Z301),ROW($T$12))),MIN(LOOKUP(,-1/($Z$12:Z302=1),$C$12:C302)+LOOKUP(,-1/($Z$12:Z302=1),$H$12:H302)-IF(N301&lt;&gt;0,0,SUM(INDIRECT("T"&amp;(MAX((0&lt;&gt;N$12:N301)*ROW(N$12:N301)+1,ROW($T$12))&amp;":T"&amp;(ROW()-1))))),Первоначальный[[#This Row],[Полученный платеж]]+Y301),
AND(S301=0,Первоначальный[[#This Row],[Дата платежа из графика]]=1),MIN(LOOKUP(,-1/($Z$12:Z302=1),$C$12:C302)+LOOKUP(,-1/($Z$12:Z302=1),$H$12:H302)-IF(Z301=1,0,SUM(INDIRECT("T"&amp;(MAX((1=Z$12:Z301)*ROW(Z$12:Z301)+1,ROW($T$12))&amp;":T"&amp;(ROW()-1))))),Первоначальный[[#This Row],[Полученный платеж]]+Y301),
AND(Z301&gt;0,Первоначальный[[#This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платеж]]+Y301),
AND(S301&gt;0,MAX((0&lt;&gt;S$12:S301)*ROW(S$12:S301),ROW($S$12))&gt;=MAX((1=Z$12:Z301)*ROW(Z$12:Z301),ROW($T$12)),TYPE(VLOOKUP("Да",(INDIRECT("AA"&amp;(MAX((1=Z$12:Z301)*ROW(Z$12:Z301),ROW($T$12))&amp;":AA"&amp;(ROW()-1)))),1,0))=16),MIN(LOOKUP(,-1/($Z$12:Z302=1),$C$12:C302)+LOOKUP(,-1/($Z$12:Z302=1),$H$12:H302)-SUM(INDIRECT("T"&amp;(MAX((1=Z$12:Z301)*ROW(Z$12:Z301),ROW($T$12))&amp;":T"&amp;(ROW()-1)))),Первоначальный[[#This Row],[Полученный платеж]]+Y301),
S301&gt;0,MIN(LOOKUP(,-1/($Z$12:Z302=1),$C$12:C302)+LOOKUP(,-1/($Z$12:Z302=1),$H$12:H302)-IF(Z301=1,0,SUM(INDIRECT("T"&amp;(MAX((1=Z$12:Z301)*ROW(Z$12:Z301)+1,ROW($T$12))&amp;":T"&amp;(ROW()-1))))),Первоначальный[[#This Row],[Полученный платеж]]+Y301)
)
)
)</f>
        <v>0</v>
      </c>
      <c r="U30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платеж]]+Y301-Первоначальный[[#This Row],[Полученный платёж по процентам]])</f>
        <v>0</v>
      </c>
      <c r="V302" s="55">
        <f t="shared" ca="1" si="49"/>
        <v>0</v>
      </c>
      <c r="W302" s="55" cm="1">
        <f t="array" aca="1" ref="W302" ca="1">IF(Первоначальный[[#This Row],[Итого остаток на начало периода]]&lt;1,0,
_xlfn.IFS(
AND(TYPE(VLOOKUP(1,$Z$12:Z302,1,0))=16,Первоначальный[[#This Row],[Досрочное погашение (да/"")]]=""),0,
AND(S301=0,Первоначальный[[#This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платеж]]+Y301-SUM(Первоначальный[[#This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комиссиям]]),VLOOKUP(LOOKUP(,-1/($Z$12:Z302=1),$A$12:A302),График[[Срок конец]:[Возврат основной суммы долга]],3,0)),
AND(S301=0,Первоначальный[[#This Row],[Дата платежа из графика]]="",Первоначальный[[#This Row],[Досрочное погашение (да/"")]]&lt;&gt;"Да"),0,
AND(S301=0,Первоначальный[[#This Row],[Досрочное погашение (да/"")]]=""),MIN(Первоначальный[[#This Row],[Полученный платеж]]+Y301-SUM(Первоначальный[[#This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комиссиям]]),VLOOKUP(LOOKUP(,-1/($Z$12:Z302=1),$A$12:A302),График[[Срок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платеж]]+Y301-SUM(Первоначальный[[#This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S301&gt;0,MIN(Первоначальный[[#This Row],[Полученный платеж]]+Y301-SUM(Первоначальный[[#This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комиссиям]]),SUM(INDIRECT("M"&amp;(MAX((1=S$12:S301)*ROW(S$12:S301),ROW($W$12))&amp;":M"&amp;(ROW()))))-SUM(INDIRECT("W"&amp;(MAX((1=S$12:S301)*ROW(S$12:S301),ROW($W$12))&amp;":W"&amp;(ROW()-1)))))
)
)</f>
        <v>0</v>
      </c>
      <c r="X302" s="55">
        <f t="shared" ca="1" si="50"/>
        <v>0</v>
      </c>
      <c r="Y302" s="101">
        <f t="shared" ca="1" si="57"/>
        <v>0</v>
      </c>
      <c r="Z302" s="133" t="str">
        <f>IF(TYPE((VLOOKUP(Первоначальный[[#This Row],[Дата платежа]],График[Срок конец],1,0)))=16,"",1)</f>
        <v/>
      </c>
      <c r="AA302" s="57"/>
      <c r="AB302" s="134"/>
      <c r="AC30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0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18401.68</v>
      </c>
      <c r="AE30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185.74000000000021</v>
      </c>
      <c r="AF30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0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10966.463649180327</v>
      </c>
      <c r="AH302" s="55"/>
      <c r="AI302" s="55"/>
      <c r="AJ302" s="55"/>
      <c r="AK302" s="101">
        <f t="shared" ca="1" si="58"/>
        <v>179187.22364918032</v>
      </c>
      <c r="AL302" s="129">
        <f t="array" ref="AL302">MAX((УслРестрактов[Характеристика]="Дата реструктуризации")*(УслРестрактов[Значение]=Первоначальный!$A302),0)</f>
        <v>0</v>
      </c>
    </row>
    <row r="303" spans="1:38" x14ac:dyDescent="0.25">
      <c r="A303" s="97">
        <f t="shared" si="51"/>
        <v>44434</v>
      </c>
      <c r="B303" s="100">
        <f t="shared" ca="1" si="52"/>
        <v>149633.34</v>
      </c>
      <c r="C303" s="55">
        <f t="shared" ca="1" si="60"/>
        <v>18401.68</v>
      </c>
      <c r="D303" s="55">
        <f t="shared" ca="1" si="60"/>
        <v>185.74000000000021</v>
      </c>
      <c r="E303" s="55">
        <f t="shared" ca="1" si="53"/>
        <v>0</v>
      </c>
      <c r="F303" s="55">
        <f t="shared" ca="1" si="54"/>
        <v>10966.463649180327</v>
      </c>
      <c r="G303" s="101">
        <f t="shared" ca="1" si="55"/>
        <v>179187.22364918032</v>
      </c>
      <c r="H303" s="100">
        <f ca="1">ROUND($B303*VLOOKUP($A303,$A$1:$B$10,2,1)/(365+IF(MOD(YEAR($A303),4),0,1)*($A303-$A302)),2)-Первоначальный[[#This Row],[Проценты на просроченный платеж по ОД за период]]</f>
        <v>79.87</v>
      </c>
      <c r="I303" s="55">
        <f t="shared" ca="1" si="56"/>
        <v>1.71</v>
      </c>
      <c r="J303" s="55">
        <v>0</v>
      </c>
      <c r="K303" s="55">
        <f t="shared" ca="1" si="59"/>
        <v>101.32850327868853</v>
      </c>
      <c r="L303" s="55">
        <v>0</v>
      </c>
      <c r="M303" s="113">
        <f>SUMIFS(График[Возврат основной суммы долга],График[Дата с учетом нерабочих дней],$A303)</f>
        <v>0</v>
      </c>
      <c r="N303" s="56">
        <f>SUMIFS(График[Возврат начисленных %],График[Дата с учетом нерабочих дней],$A303)</f>
        <v>0</v>
      </c>
      <c r="O303" s="101">
        <v>0</v>
      </c>
      <c r="P303" s="100" cm="1">
        <f t="array" aca="1" ref="P303" ca="1">MAX(IF(AA302="Да",0,SUM(INDIRECT("M"&amp;(MAX(("Да"=AA$12:AA302)*ROW(AA$12:AA302)+1,ROW($P$12))&amp;":M"&amp;(ROW()))))-SUM(INDIRECT("W"&amp;(MAX(("Да"=AA$12:AA302)*ROW(AA$12:AA302)+1,ROW($P$12))&amp;":W"&amp;(ROW()))))),0)</f>
        <v>3142.5499999999993</v>
      </c>
      <c r="Q303" s="99">
        <f ca="1">MAX(SUM($N$13:N303)-SUM($T$13:T303),0)</f>
        <v>17123.150655737707</v>
      </c>
      <c r="R303" s="99">
        <f ca="1">Первоначальный[[#This Row],[Просроченный платеж по ОД]]+Первоначальный[[#This Row],[Просроченный платеж по процентам]]</f>
        <v>20265.700655737706</v>
      </c>
      <c r="S303" s="120">
        <f ca="1">IF(Первоначальный[[#This Row],[Просроченный платеж]]&lt;1,0,S302+1)</f>
        <v>199</v>
      </c>
      <c r="T303" s="100" cm="1">
        <f t="array" aca="1" ref="T303" ca="1">IF(Первоначальный[[#This Row],[Итого остаток на начало периода]]&lt;1,0,
IF(
AND(TYPE(VLOOKUP(1,$Z$12:Z303,1,0))=16,Первоначальный[[#This Row],[Досрочное погашение (да/"")]]=""),0,
_xlfn.IFS(AND(S302=0,Первоначальный[[#This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платеж]]&lt;&gt;0),MIN(LOOKUP(,-1/($Z$12:Z303=1),$C$12:C303)+LOOKUP(,-1/($Z$12:Z303=1),$H$12:H303),Первоначальный[[#This Row],[Полученный платеж]]+Y302),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платеж]]+Y302,SUM(Первоначальный[[#This Row],[Остаток процентов на начало периода]],Первоначальный[[#This Row],[Проценты за период]])),
AND(S302=0,Первоначальный[[#This Row],[Дата платежа из графика]]=""),0,
AND(S302=0,Первоначальный[[#This Row],[Дата платежа из графика]]=1,MAX((0&lt;&gt;S$12:S302)*ROW(S$12:S302),ROW($S$12))&gt;=MAX((1=Z$12:Z302)*ROW(Z$12:Z302),ROW($T$12)),TYPE(VLOOKUP("Да",(INDIRECT("AA"&amp;(MAX((1=Z$12:Z302)*ROW(Z$12:Z302),ROW($T$12))&amp;":AA"&amp;(ROW()-1)))),1,0))=16),MIN(LOOKUP(,-1/($Z$12:Z303=1),$C$12:C303)+LOOKUP(,-1/($Z$12:Z303=1),$H$12:H303),Первоначальный[[#This Row],[Полученный платеж]]+Y302),
AND(S302=0,TYPE(VLOOKUP("Да",(INDIRECT("AA"&amp;(MAX((1=Z$12:Z302)*ROW(Z$12:Z302),ROW($T$12))&amp;":AA"&amp;(ROW()-1)))),1,0))&lt;&gt;16),MIN(LOOKUP(,-1/($Z$12:Z303=1),$C$12:C303)+LOOKUP(,-1/($Z$12:Z303=1),$H$12:H303)-IF(AA302="Да",0,SUM(INDIRECT("T"&amp;(MAX(("Да"=AA$12:AA302)*ROW(AA$12:AA302)+1,ROW($T$12))&amp;":T"&amp;(ROW()-1))))),Первоначальный[[#This Row],[Полученный платеж]]+Y302),
AND(S302=0,MAX((0&lt;&gt;N$12:N302)*ROW(N$12:N302),ROW($S$12))&gt;=MAX((1=Z$12:Z302)*ROW(Z$12:Z302),ROW($T$12))),MIN(LOOKUP(,-1/($Z$12:Z303=1),$C$12:C303)+LOOKUP(,-1/($Z$12:Z303=1),$H$12:H303)-IF(N302&lt;&gt;0,0,SUM(INDIRECT("T"&amp;(MAX((0&lt;&gt;N$12:N302)*ROW(N$12:N302)+1,ROW($T$12))&amp;":T"&amp;(ROW()-1))))),Первоначальный[[#This Row],[Полученный платеж]]+Y302),
AND(S302=0,Первоначальный[[#This Row],[Дата платежа из графика]]=1),MIN(LOOKUP(,-1/($Z$12:Z303=1),$C$12:C303)+LOOKUP(,-1/($Z$12:Z303=1),$H$12:H303)-IF(Z302=1,0,SUM(INDIRECT("T"&amp;(MAX((1=Z$12:Z302)*ROW(Z$12:Z302)+1,ROW($T$12))&amp;":T"&amp;(ROW()-1))))),Первоначальный[[#This Row],[Полученный платеж]]+Y302),
AND(Z302&gt;0,Первоначальный[[#This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платеж]]+Y302),
AND(S302&gt;0,MAX((0&lt;&gt;S$12:S302)*ROW(S$12:S302),ROW($S$12))&gt;=MAX((1=Z$12:Z302)*ROW(Z$12:Z302),ROW($T$12)),TYPE(VLOOKUP("Да",(INDIRECT("AA"&amp;(MAX((1=Z$12:Z302)*ROW(Z$12:Z302),ROW($T$12))&amp;":AA"&amp;(ROW()-1)))),1,0))=16),MIN(LOOKUP(,-1/($Z$12:Z303=1),$C$12:C303)+LOOKUP(,-1/($Z$12:Z303=1),$H$12:H303)-SUM(INDIRECT("T"&amp;(MAX((1=Z$12:Z302)*ROW(Z$12:Z302),ROW($T$12))&amp;":T"&amp;(ROW()-1)))),Первоначальный[[#This Row],[Полученный платеж]]+Y302),
S302&gt;0,MIN(LOOKUP(,-1/($Z$12:Z303=1),$C$12:C303)+LOOKUP(,-1/($Z$12:Z303=1),$H$12:H303)-IF(Z302=1,0,SUM(INDIRECT("T"&amp;(MAX((1=Z$12:Z302)*ROW(Z$12:Z302)+1,ROW($T$12))&amp;":T"&amp;(ROW()-1))))),Первоначальный[[#This Row],[Полученный платеж]]+Y302)
)
)
)</f>
        <v>0</v>
      </c>
      <c r="U30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платеж]]+Y302-Первоначальный[[#This Row],[Полученный платёж по процентам]])</f>
        <v>0</v>
      </c>
      <c r="V303" s="55">
        <f t="shared" ca="1" si="49"/>
        <v>0</v>
      </c>
      <c r="W303" s="55" cm="1">
        <f t="array" aca="1" ref="W303" ca="1">IF(Первоначальный[[#This Row],[Итого остаток на начало периода]]&lt;1,0,
_xlfn.IFS(
AND(TYPE(VLOOKUP(1,$Z$12:Z303,1,0))=16,Первоначальный[[#This Row],[Досрочное погашение (да/"")]]=""),0,
AND(S302=0,Первоначальный[[#This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платеж]]+Y302-SUM(Первоначальный[[#This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комиссиям]]),VLOOKUP(LOOKUP(,-1/($Z$12:Z303=1),$A$12:A303),График[[Срок конец]:[Возврат основной суммы долга]],3,0)),
AND(S302=0,Первоначальный[[#This Row],[Дата платежа из графика]]="",Первоначальный[[#This Row],[Досрочное погашение (да/"")]]&lt;&gt;"Да"),0,
AND(S302=0,Первоначальный[[#This Row],[Досрочное погашение (да/"")]]=""),MIN(Первоначальный[[#This Row],[Полученный платеж]]+Y302-SUM(Первоначальный[[#This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комиссиям]]),VLOOKUP(LOOKUP(,-1/($Z$12:Z303=1),$A$12:A303),График[[Срок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платеж]]+Y302-SUM(Первоначальный[[#This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S302&gt;0,MIN(Первоначальный[[#This Row],[Полученный платеж]]+Y302-SUM(Первоначальный[[#This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комиссиям]]),SUM(INDIRECT("M"&amp;(MAX((1=S$12:S302)*ROW(S$12:S302),ROW($W$12))&amp;":M"&amp;(ROW()))))-SUM(INDIRECT("W"&amp;(MAX((1=S$12:S302)*ROW(S$12:S302),ROW($W$12))&amp;":W"&amp;(ROW()-1)))))
)
)</f>
        <v>0</v>
      </c>
      <c r="X303" s="55">
        <f t="shared" ca="1" si="50"/>
        <v>0</v>
      </c>
      <c r="Y303" s="101">
        <f t="shared" ca="1" si="57"/>
        <v>0</v>
      </c>
      <c r="Z303" s="133" t="str">
        <f>IF(TYPE((VLOOKUP(Первоначальный[[#This Row],[Дата платежа]],График[Срок конец],1,0)))=16,"",1)</f>
        <v/>
      </c>
      <c r="AA303" s="57"/>
      <c r="AB303" s="134"/>
      <c r="AC30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0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18481.55</v>
      </c>
      <c r="AE30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187.45000000000022</v>
      </c>
      <c r="AF30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0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11067.792152459015</v>
      </c>
      <c r="AH303" s="55"/>
      <c r="AI303" s="55"/>
      <c r="AJ303" s="55"/>
      <c r="AK303" s="101">
        <f t="shared" ca="1" si="58"/>
        <v>179370.132152459</v>
      </c>
      <c r="AL303" s="129">
        <f t="array" ref="AL303">MAX((УслРестрактов[Характеристика]="Дата реструктуризации")*(УслРестрактов[Значение]=Первоначальный!$A303),0)</f>
        <v>0</v>
      </c>
    </row>
    <row r="304" spans="1:38" x14ac:dyDescent="0.25">
      <c r="A304" s="97">
        <f t="shared" si="51"/>
        <v>44435</v>
      </c>
      <c r="B304" s="100">
        <f t="shared" ca="1" si="52"/>
        <v>149633.34</v>
      </c>
      <c r="C304" s="55">
        <f t="shared" ca="1" si="60"/>
        <v>18481.55</v>
      </c>
      <c r="D304" s="55">
        <f t="shared" ca="1" si="60"/>
        <v>187.45000000000022</v>
      </c>
      <c r="E304" s="55">
        <f t="shared" ca="1" si="53"/>
        <v>0</v>
      </c>
      <c r="F304" s="55">
        <f t="shared" ca="1" si="54"/>
        <v>11067.792152459015</v>
      </c>
      <c r="G304" s="101">
        <f t="shared" ca="1" si="55"/>
        <v>179370.132152459</v>
      </c>
      <c r="H304" s="100">
        <f ca="1">ROUND($B304*VLOOKUP($A304,$A$1:$B$10,2,1)/(365+IF(MOD(YEAR($A304),4),0,1)*($A304-$A303)),2)-Первоначальный[[#This Row],[Проценты на просроченный платеж по ОД за период]]</f>
        <v>79.87</v>
      </c>
      <c r="I304" s="55">
        <f t="shared" ca="1" si="56"/>
        <v>1.71</v>
      </c>
      <c r="J304" s="55">
        <v>0</v>
      </c>
      <c r="K304" s="55">
        <f t="shared" ca="1" si="59"/>
        <v>101.32850327868853</v>
      </c>
      <c r="L304" s="55">
        <v>0</v>
      </c>
      <c r="M304" s="113">
        <f>SUMIFS(График[Возврат основной суммы долга],График[Дата с учетом нерабочих дней],$A304)</f>
        <v>0</v>
      </c>
      <c r="N304" s="56">
        <f>SUMIFS(График[Возврат начисленных %],График[Дата с учетом нерабочих дней],$A304)</f>
        <v>0</v>
      </c>
      <c r="O304" s="101">
        <v>0</v>
      </c>
      <c r="P304" s="100" cm="1">
        <f t="array" aca="1" ref="P304" ca="1">MAX(IF(AA303="Да",0,SUM(INDIRECT("M"&amp;(MAX(("Да"=AA$12:AA303)*ROW(AA$12:AA303)+1,ROW($P$12))&amp;":M"&amp;(ROW()))))-SUM(INDIRECT("W"&amp;(MAX(("Да"=AA$12:AA303)*ROW(AA$12:AA303)+1,ROW($P$12))&amp;":W"&amp;(ROW()))))),0)</f>
        <v>3142.5499999999993</v>
      </c>
      <c r="Q304" s="99">
        <f ca="1">MAX(SUM($N$13:N304)-SUM($T$13:T304),0)</f>
        <v>17123.150655737707</v>
      </c>
      <c r="R304" s="99">
        <f ca="1">Первоначальный[[#This Row],[Просроченный платеж по ОД]]+Первоначальный[[#This Row],[Просроченный платеж по процентам]]</f>
        <v>20265.700655737706</v>
      </c>
      <c r="S304" s="120">
        <f ca="1">IF(Первоначальный[[#This Row],[Просроченный платеж]]&lt;1,0,S303+1)</f>
        <v>200</v>
      </c>
      <c r="T304" s="100" cm="1">
        <f t="array" aca="1" ref="T304" ca="1">IF(Первоначальный[[#This Row],[Итого остаток на начало периода]]&lt;1,0,
IF(
AND(TYPE(VLOOKUP(1,$Z$12:Z304,1,0))=16,Первоначальный[[#This Row],[Досрочное погашение (да/"")]]=""),0,
_xlfn.IFS(AND(S303=0,Первоначальный[[#This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платеж]]&lt;&gt;0),MIN(LOOKUP(,-1/($Z$12:Z304=1),$C$12:C304)+LOOKUP(,-1/($Z$12:Z304=1),$H$12:H304),Первоначальный[[#This Row],[Полученный платеж]]+Y303),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платеж]]+Y303,SUM(Первоначальный[[#This Row],[Остаток процентов на начало периода]],Первоначальный[[#This Row],[Проценты за период]])),
AND(S303=0,Первоначальный[[#This Row],[Дата платежа из графика]]=""),0,
AND(S303=0,Первоначальный[[#This Row],[Дата платежа из графика]]=1,MAX((0&lt;&gt;S$12:S303)*ROW(S$12:S303),ROW($S$12))&gt;=MAX((1=Z$12:Z303)*ROW(Z$12:Z303),ROW($T$12)),TYPE(VLOOKUP("Да",(INDIRECT("AA"&amp;(MAX((1=Z$12:Z303)*ROW(Z$12:Z303),ROW($T$12))&amp;":AA"&amp;(ROW()-1)))),1,0))=16),MIN(LOOKUP(,-1/($Z$12:Z304=1),$C$12:C304)+LOOKUP(,-1/($Z$12:Z304=1),$H$12:H304),Первоначальный[[#This Row],[Полученный платеж]]+Y303),
AND(S303=0,TYPE(VLOOKUP("Да",(INDIRECT("AA"&amp;(MAX((1=Z$12:Z303)*ROW(Z$12:Z303),ROW($T$12))&amp;":AA"&amp;(ROW()-1)))),1,0))&lt;&gt;16),MIN(LOOKUP(,-1/($Z$12:Z304=1),$C$12:C304)+LOOKUP(,-1/($Z$12:Z304=1),$H$12:H304)-IF(AA303="Да",0,SUM(INDIRECT("T"&amp;(MAX(("Да"=AA$12:AA303)*ROW(AA$12:AA303)+1,ROW($T$12))&amp;":T"&amp;(ROW()-1))))),Первоначальный[[#This Row],[Полученный платеж]]+Y303),
AND(S303=0,MAX((0&lt;&gt;N$12:N303)*ROW(N$12:N303),ROW($S$12))&gt;=MAX((1=Z$12:Z303)*ROW(Z$12:Z303),ROW($T$12))),MIN(LOOKUP(,-1/($Z$12:Z304=1),$C$12:C304)+LOOKUP(,-1/($Z$12:Z304=1),$H$12:H304)-IF(N303&lt;&gt;0,0,SUM(INDIRECT("T"&amp;(MAX((0&lt;&gt;N$12:N303)*ROW(N$12:N303)+1,ROW($T$12))&amp;":T"&amp;(ROW()-1))))),Первоначальный[[#This Row],[Полученный платеж]]+Y303),
AND(S303=0,Первоначальный[[#This Row],[Дата платежа из графика]]=1),MIN(LOOKUP(,-1/($Z$12:Z304=1),$C$12:C304)+LOOKUP(,-1/($Z$12:Z304=1),$H$12:H304)-IF(Z303=1,0,SUM(INDIRECT("T"&amp;(MAX((1=Z$12:Z303)*ROW(Z$12:Z303)+1,ROW($T$12))&amp;":T"&amp;(ROW()-1))))),Первоначальный[[#This Row],[Полученный платеж]]+Y303),
AND(Z303&gt;0,Первоначальный[[#This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платеж]]+Y303),
AND(S303&gt;0,MAX((0&lt;&gt;S$12:S303)*ROW(S$12:S303),ROW($S$12))&gt;=MAX((1=Z$12:Z303)*ROW(Z$12:Z303),ROW($T$12)),TYPE(VLOOKUP("Да",(INDIRECT("AA"&amp;(MAX((1=Z$12:Z303)*ROW(Z$12:Z303),ROW($T$12))&amp;":AA"&amp;(ROW()-1)))),1,0))=16),MIN(LOOKUP(,-1/($Z$12:Z304=1),$C$12:C304)+LOOKUP(,-1/($Z$12:Z304=1),$H$12:H304)-SUM(INDIRECT("T"&amp;(MAX((1=Z$12:Z303)*ROW(Z$12:Z303),ROW($T$12))&amp;":T"&amp;(ROW()-1)))),Первоначальный[[#This Row],[Полученный платеж]]+Y303),
S303&gt;0,MIN(LOOKUP(,-1/($Z$12:Z304=1),$C$12:C304)+LOOKUP(,-1/($Z$12:Z304=1),$H$12:H304)-IF(Z303=1,0,SUM(INDIRECT("T"&amp;(MAX((1=Z$12:Z303)*ROW(Z$12:Z303)+1,ROW($T$12))&amp;":T"&amp;(ROW()-1))))),Первоначальный[[#This Row],[Полученный платеж]]+Y303)
)
)
)</f>
        <v>0</v>
      </c>
      <c r="U30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платеж]]+Y303-Первоначальный[[#This Row],[Полученный платёж по процентам]])</f>
        <v>0</v>
      </c>
      <c r="V304" s="55">
        <f t="shared" ca="1" si="49"/>
        <v>0</v>
      </c>
      <c r="W304" s="55" cm="1">
        <f t="array" aca="1" ref="W304" ca="1">IF(Первоначальный[[#This Row],[Итого остаток на начало периода]]&lt;1,0,
_xlfn.IFS(
AND(TYPE(VLOOKUP(1,$Z$12:Z304,1,0))=16,Первоначальный[[#This Row],[Досрочное погашение (да/"")]]=""),0,
AND(S303=0,Первоначальный[[#This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платеж]]+Y303-SUM(Первоначальный[[#This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комиссиям]]),VLOOKUP(LOOKUP(,-1/($Z$12:Z304=1),$A$12:A304),График[[Срок конец]:[Возврат основной суммы долга]],3,0)),
AND(S303=0,Первоначальный[[#This Row],[Дата платежа из графика]]="",Первоначальный[[#This Row],[Досрочное погашение (да/"")]]&lt;&gt;"Да"),0,
AND(S303=0,Первоначальный[[#This Row],[Досрочное погашение (да/"")]]=""),MIN(Первоначальный[[#This Row],[Полученный платеж]]+Y303-SUM(Первоначальный[[#This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комиссиям]]),VLOOKUP(LOOKUP(,-1/($Z$12:Z304=1),$A$12:A304),График[[Срок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платеж]]+Y303-SUM(Первоначальный[[#This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S303&gt;0,MIN(Первоначальный[[#This Row],[Полученный платеж]]+Y303-SUM(Первоначальный[[#This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комиссиям]]),SUM(INDIRECT("M"&amp;(MAX((1=S$12:S303)*ROW(S$12:S303),ROW($W$12))&amp;":M"&amp;(ROW()))))-SUM(INDIRECT("W"&amp;(MAX((1=S$12:S303)*ROW(S$12:S303),ROW($W$12))&amp;":W"&amp;(ROW()-1)))))
)
)</f>
        <v>0</v>
      </c>
      <c r="X304" s="55">
        <f t="shared" ca="1" si="50"/>
        <v>0</v>
      </c>
      <c r="Y304" s="101">
        <f t="shared" ca="1" si="57"/>
        <v>0</v>
      </c>
      <c r="Z304" s="133" t="str">
        <f>IF(TYPE((VLOOKUP(Первоначальный[[#This Row],[Дата платежа]],График[Срок конец],1,0)))=16,"",1)</f>
        <v/>
      </c>
      <c r="AA304" s="57"/>
      <c r="AB304" s="134"/>
      <c r="AC30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0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18561.419999999998</v>
      </c>
      <c r="AE30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189.16000000000022</v>
      </c>
      <c r="AF30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0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11169.120655737703</v>
      </c>
      <c r="AH304" s="55"/>
      <c r="AI304" s="55"/>
      <c r="AJ304" s="55"/>
      <c r="AK304" s="101">
        <f t="shared" ca="1" si="58"/>
        <v>179553.04065573771</v>
      </c>
      <c r="AL304" s="129">
        <f t="array" ref="AL304">MAX((УслРестрактов[Характеристика]="Дата реструктуризации")*(УслРестрактов[Значение]=Первоначальный!$A304),0)</f>
        <v>0</v>
      </c>
    </row>
    <row r="305" spans="1:38" x14ac:dyDescent="0.25">
      <c r="A305" s="97">
        <f t="shared" si="51"/>
        <v>44436</v>
      </c>
      <c r="B305" s="100">
        <f t="shared" ca="1" si="52"/>
        <v>149633.34</v>
      </c>
      <c r="C305" s="55">
        <f t="shared" ca="1" si="60"/>
        <v>18561.419999999998</v>
      </c>
      <c r="D305" s="55">
        <f t="shared" ca="1" si="60"/>
        <v>189.16000000000022</v>
      </c>
      <c r="E305" s="55">
        <f t="shared" ca="1" si="53"/>
        <v>0</v>
      </c>
      <c r="F305" s="55">
        <f t="shared" ca="1" si="54"/>
        <v>11169.120655737703</v>
      </c>
      <c r="G305" s="101">
        <f t="shared" ca="1" si="55"/>
        <v>179553.04065573771</v>
      </c>
      <c r="H305" s="100">
        <f ca="1">ROUND($B305*VLOOKUP($A305,$A$1:$B$10,2,1)/(365+IF(MOD(YEAR($A305),4),0,1)*($A305-$A304)),2)-Первоначальный[[#This Row],[Проценты на просроченный платеж по ОД за период]]</f>
        <v>79.87</v>
      </c>
      <c r="I305" s="55">
        <f t="shared" ca="1" si="56"/>
        <v>1.71</v>
      </c>
      <c r="J305" s="55">
        <v>0</v>
      </c>
      <c r="K305" s="55">
        <f t="shared" ca="1" si="59"/>
        <v>101.32850327868853</v>
      </c>
      <c r="L305" s="55">
        <v>0</v>
      </c>
      <c r="M305" s="113">
        <f>SUMIFS(График[Возврат основной суммы долга],График[Дата с учетом нерабочих дней],$A305)</f>
        <v>0</v>
      </c>
      <c r="N305" s="56">
        <f>SUMIFS(График[Возврат начисленных %],График[Дата с учетом нерабочих дней],$A305)</f>
        <v>0</v>
      </c>
      <c r="O305" s="101">
        <v>0</v>
      </c>
      <c r="P305" s="100" cm="1">
        <f t="array" aca="1" ref="P305" ca="1">MAX(IF(AA304="Да",0,SUM(INDIRECT("M"&amp;(MAX(("Да"=AA$12:AA304)*ROW(AA$12:AA304)+1,ROW($P$12))&amp;":M"&amp;(ROW()))))-SUM(INDIRECT("W"&amp;(MAX(("Да"=AA$12:AA304)*ROW(AA$12:AA304)+1,ROW($P$12))&amp;":W"&amp;(ROW()))))),0)</f>
        <v>3142.5499999999993</v>
      </c>
      <c r="Q305" s="99">
        <f ca="1">MAX(SUM($N$13:N305)-SUM($T$13:T305),0)</f>
        <v>17123.150655737707</v>
      </c>
      <c r="R305" s="99">
        <f ca="1">Первоначальный[[#This Row],[Просроченный платеж по ОД]]+Первоначальный[[#This Row],[Просроченный платеж по процентам]]</f>
        <v>20265.700655737706</v>
      </c>
      <c r="S305" s="120">
        <f ca="1">IF(Первоначальный[[#This Row],[Просроченный платеж]]&lt;1,0,S304+1)</f>
        <v>201</v>
      </c>
      <c r="T305" s="100" cm="1">
        <f t="array" aca="1" ref="T305" ca="1">IF(Первоначальный[[#This Row],[Итого остаток на начало периода]]&lt;1,0,
IF(
AND(TYPE(VLOOKUP(1,$Z$12:Z305,1,0))=16,Первоначальный[[#This Row],[Досрочное погашение (да/"")]]=""),0,
_xlfn.IFS(AND(S304=0,Первоначальный[[#This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платеж]]&lt;&gt;0),MIN(LOOKUP(,-1/($Z$12:Z305=1),$C$12:C305)+LOOKUP(,-1/($Z$12:Z305=1),$H$12:H305),Первоначальный[[#This Row],[Полученный платеж]]+Y304),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платеж]]+Y304,SUM(Первоначальный[[#This Row],[Остаток процентов на начало периода]],Первоначальный[[#This Row],[Проценты за период]])),
AND(S304=0,Первоначальный[[#This Row],[Дата платежа из графика]]=""),0,
AND(S304=0,Первоначальный[[#This Row],[Дата платежа из графика]]=1,MAX((0&lt;&gt;S$12:S304)*ROW(S$12:S304),ROW($S$12))&gt;=MAX((1=Z$12:Z304)*ROW(Z$12:Z304),ROW($T$12)),TYPE(VLOOKUP("Да",(INDIRECT("AA"&amp;(MAX((1=Z$12:Z304)*ROW(Z$12:Z304),ROW($T$12))&amp;":AA"&amp;(ROW()-1)))),1,0))=16),MIN(LOOKUP(,-1/($Z$12:Z305=1),$C$12:C305)+LOOKUP(,-1/($Z$12:Z305=1),$H$12:H305),Первоначальный[[#This Row],[Полученный платеж]]+Y304),
AND(S304=0,TYPE(VLOOKUP("Да",(INDIRECT("AA"&amp;(MAX((1=Z$12:Z304)*ROW(Z$12:Z304),ROW($T$12))&amp;":AA"&amp;(ROW()-1)))),1,0))&lt;&gt;16),MIN(LOOKUP(,-1/($Z$12:Z305=1),$C$12:C305)+LOOKUP(,-1/($Z$12:Z305=1),$H$12:H305)-IF(AA304="Да",0,SUM(INDIRECT("T"&amp;(MAX(("Да"=AA$12:AA304)*ROW(AA$12:AA304)+1,ROW($T$12))&amp;":T"&amp;(ROW()-1))))),Первоначальный[[#This Row],[Полученный платеж]]+Y304),
AND(S304=0,MAX((0&lt;&gt;N$12:N304)*ROW(N$12:N304),ROW($S$12))&gt;=MAX((1=Z$12:Z304)*ROW(Z$12:Z304),ROW($T$12))),MIN(LOOKUP(,-1/($Z$12:Z305=1),$C$12:C305)+LOOKUP(,-1/($Z$12:Z305=1),$H$12:H305)-IF(N304&lt;&gt;0,0,SUM(INDIRECT("T"&amp;(MAX((0&lt;&gt;N$12:N304)*ROW(N$12:N304)+1,ROW($T$12))&amp;":T"&amp;(ROW()-1))))),Первоначальный[[#This Row],[Полученный платеж]]+Y304),
AND(S304=0,Первоначальный[[#This Row],[Дата платежа из графика]]=1),MIN(LOOKUP(,-1/($Z$12:Z305=1),$C$12:C305)+LOOKUP(,-1/($Z$12:Z305=1),$H$12:H305)-IF(Z304=1,0,SUM(INDIRECT("T"&amp;(MAX((1=Z$12:Z304)*ROW(Z$12:Z304)+1,ROW($T$12))&amp;":T"&amp;(ROW()-1))))),Первоначальный[[#This Row],[Полученный платеж]]+Y304),
AND(Z304&gt;0,Первоначальный[[#This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платеж]]+Y304),
AND(S304&gt;0,MAX((0&lt;&gt;S$12:S304)*ROW(S$12:S304),ROW($S$12))&gt;=MAX((1=Z$12:Z304)*ROW(Z$12:Z304),ROW($T$12)),TYPE(VLOOKUP("Да",(INDIRECT("AA"&amp;(MAX((1=Z$12:Z304)*ROW(Z$12:Z304),ROW($T$12))&amp;":AA"&amp;(ROW()-1)))),1,0))=16),MIN(LOOKUP(,-1/($Z$12:Z305=1),$C$12:C305)+LOOKUP(,-1/($Z$12:Z305=1),$H$12:H305)-SUM(INDIRECT("T"&amp;(MAX((1=Z$12:Z304)*ROW(Z$12:Z304),ROW($T$12))&amp;":T"&amp;(ROW()-1)))),Первоначальный[[#This Row],[Полученный платеж]]+Y304),
S304&gt;0,MIN(LOOKUP(,-1/($Z$12:Z305=1),$C$12:C305)+LOOKUP(,-1/($Z$12:Z305=1),$H$12:H305)-IF(Z304=1,0,SUM(INDIRECT("T"&amp;(MAX((1=Z$12:Z304)*ROW(Z$12:Z304)+1,ROW($T$12))&amp;":T"&amp;(ROW()-1))))),Первоначальный[[#This Row],[Полученный платеж]]+Y304)
)
)
)</f>
        <v>0</v>
      </c>
      <c r="U30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платеж]]+Y304-Первоначальный[[#This Row],[Полученный платёж по процентам]])</f>
        <v>0</v>
      </c>
      <c r="V305" s="55">
        <f t="shared" ca="1" si="49"/>
        <v>0</v>
      </c>
      <c r="W305" s="55" cm="1">
        <f t="array" aca="1" ref="W305" ca="1">IF(Первоначальный[[#This Row],[Итого остаток на начало периода]]&lt;1,0,
_xlfn.IFS(
AND(TYPE(VLOOKUP(1,$Z$12:Z305,1,0))=16,Первоначальный[[#This Row],[Досрочное погашение (да/"")]]=""),0,
AND(S304=0,Первоначальный[[#This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платеж]]+Y304-SUM(Первоначальный[[#This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комиссиям]]),VLOOKUP(LOOKUP(,-1/($Z$12:Z305=1),$A$12:A305),График[[Срок конец]:[Возврат основной суммы долга]],3,0)),
AND(S304=0,Первоначальный[[#This Row],[Дата платежа из графика]]="",Первоначальный[[#This Row],[Досрочное погашение (да/"")]]&lt;&gt;"Да"),0,
AND(S304=0,Первоначальный[[#This Row],[Досрочное погашение (да/"")]]=""),MIN(Первоначальный[[#This Row],[Полученный платеж]]+Y304-SUM(Первоначальный[[#This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комиссиям]]),VLOOKUP(LOOKUP(,-1/($Z$12:Z305=1),$A$12:A305),График[[Срок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платеж]]+Y304-SUM(Первоначальный[[#This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S304&gt;0,MIN(Первоначальный[[#This Row],[Полученный платеж]]+Y304-SUM(Первоначальный[[#This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комиссиям]]),SUM(INDIRECT("M"&amp;(MAX((1=S$12:S304)*ROW(S$12:S304),ROW($W$12))&amp;":M"&amp;(ROW()))))-SUM(INDIRECT("W"&amp;(MAX((1=S$12:S304)*ROW(S$12:S304),ROW($W$12))&amp;":W"&amp;(ROW()-1)))))
)
)</f>
        <v>0</v>
      </c>
      <c r="X305" s="55">
        <f t="shared" ca="1" si="50"/>
        <v>0</v>
      </c>
      <c r="Y305" s="101">
        <f t="shared" ca="1" si="57"/>
        <v>0</v>
      </c>
      <c r="Z305" s="133" t="str">
        <f>IF(TYPE((VLOOKUP(Первоначальный[[#This Row],[Дата платежа]],График[Срок конец],1,0)))=16,"",1)</f>
        <v/>
      </c>
      <c r="AA305" s="57"/>
      <c r="AB305" s="134"/>
      <c r="AC30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0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18641.289999999997</v>
      </c>
      <c r="AE30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190.87000000000023</v>
      </c>
      <c r="AF30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0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11270.449159016391</v>
      </c>
      <c r="AH305" s="55"/>
      <c r="AI305" s="55"/>
      <c r="AJ305" s="55"/>
      <c r="AK305" s="101">
        <f t="shared" ca="1" si="58"/>
        <v>179735.9491590164</v>
      </c>
      <c r="AL305" s="129">
        <f t="array" ref="AL305">MAX((УслРестрактов[Характеристика]="Дата реструктуризации")*(УслРестрактов[Значение]=Первоначальный!$A305),0)</f>
        <v>0</v>
      </c>
    </row>
    <row r="306" spans="1:38" x14ac:dyDescent="0.25">
      <c r="A306" s="97">
        <f t="shared" si="51"/>
        <v>44437</v>
      </c>
      <c r="B306" s="100">
        <f t="shared" ca="1" si="52"/>
        <v>149633.34</v>
      </c>
      <c r="C306" s="55">
        <f t="shared" ca="1" si="60"/>
        <v>18641.289999999997</v>
      </c>
      <c r="D306" s="55">
        <f t="shared" ca="1" si="60"/>
        <v>190.87000000000023</v>
      </c>
      <c r="E306" s="55">
        <f t="shared" ca="1" si="53"/>
        <v>0</v>
      </c>
      <c r="F306" s="55">
        <f t="shared" ca="1" si="54"/>
        <v>11270.449159016391</v>
      </c>
      <c r="G306" s="101">
        <f t="shared" ca="1" si="55"/>
        <v>179735.9491590164</v>
      </c>
      <c r="H306" s="100">
        <f ca="1">ROUND($B306*VLOOKUP($A306,$A$1:$B$10,2,1)/(365+IF(MOD(YEAR($A306),4),0,1)*($A306-$A305)),2)-Первоначальный[[#This Row],[Проценты на просроченный платеж по ОД за период]]</f>
        <v>79.87</v>
      </c>
      <c r="I306" s="55">
        <f t="shared" ca="1" si="56"/>
        <v>1.71</v>
      </c>
      <c r="J306" s="55">
        <v>0</v>
      </c>
      <c r="K306" s="55">
        <f t="shared" ca="1" si="59"/>
        <v>101.32850327868853</v>
      </c>
      <c r="L306" s="55">
        <v>0</v>
      </c>
      <c r="M306" s="113">
        <f>SUMIFS(График[Возврат основной суммы долга],График[Дата с учетом нерабочих дней],$A306)</f>
        <v>0</v>
      </c>
      <c r="N306" s="56">
        <f>SUMIFS(График[Возврат начисленных %],График[Дата с учетом нерабочих дней],$A306)</f>
        <v>0</v>
      </c>
      <c r="O306" s="101">
        <v>0</v>
      </c>
      <c r="P306" s="100" cm="1">
        <f t="array" aca="1" ref="P306" ca="1">MAX(IF(AA305="Да",0,SUM(INDIRECT("M"&amp;(MAX(("Да"=AA$12:AA305)*ROW(AA$12:AA305)+1,ROW($P$12))&amp;":M"&amp;(ROW()))))-SUM(INDIRECT("W"&amp;(MAX(("Да"=AA$12:AA305)*ROW(AA$12:AA305)+1,ROW($P$12))&amp;":W"&amp;(ROW()))))),0)</f>
        <v>3142.5499999999993</v>
      </c>
      <c r="Q306" s="99">
        <f ca="1">MAX(SUM($N$13:N306)-SUM($T$13:T306),0)</f>
        <v>17123.150655737707</v>
      </c>
      <c r="R306" s="99">
        <f ca="1">Первоначальный[[#This Row],[Просроченный платеж по ОД]]+Первоначальный[[#This Row],[Просроченный платеж по процентам]]</f>
        <v>20265.700655737706</v>
      </c>
      <c r="S306" s="120">
        <f ca="1">IF(Первоначальный[[#This Row],[Просроченный платеж]]&lt;1,0,S305+1)</f>
        <v>202</v>
      </c>
      <c r="T306" s="100" cm="1">
        <f t="array" aca="1" ref="T306" ca="1">IF(Первоначальный[[#This Row],[Итого остаток на начало периода]]&lt;1,0,
IF(
AND(TYPE(VLOOKUP(1,$Z$12:Z306,1,0))=16,Первоначальный[[#This Row],[Досрочное погашение (да/"")]]=""),0,
_xlfn.IFS(AND(S305=0,Первоначальный[[#This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платеж]]&lt;&gt;0),MIN(LOOKUP(,-1/($Z$12:Z306=1),$C$12:C306)+LOOKUP(,-1/($Z$12:Z306=1),$H$12:H306),Первоначальный[[#This Row],[Полученный платеж]]+Y305),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платеж]]+Y305,SUM(Первоначальный[[#This Row],[Остаток процентов на начало периода]],Первоначальный[[#This Row],[Проценты за период]])),
AND(S305=0,Первоначальный[[#This Row],[Дата платежа из графика]]=""),0,
AND(S305=0,Первоначальный[[#This Row],[Дата платежа из графика]]=1,MAX((0&lt;&gt;S$12:S305)*ROW(S$12:S305),ROW($S$12))&gt;=MAX((1=Z$12:Z305)*ROW(Z$12:Z305),ROW($T$12)),TYPE(VLOOKUP("Да",(INDIRECT("AA"&amp;(MAX((1=Z$12:Z305)*ROW(Z$12:Z305),ROW($T$12))&amp;":AA"&amp;(ROW()-1)))),1,0))=16),MIN(LOOKUP(,-1/($Z$12:Z306=1),$C$12:C306)+LOOKUP(,-1/($Z$12:Z306=1),$H$12:H306),Первоначальный[[#This Row],[Полученный платеж]]+Y305),
AND(S305=0,TYPE(VLOOKUP("Да",(INDIRECT("AA"&amp;(MAX((1=Z$12:Z305)*ROW(Z$12:Z305),ROW($T$12))&amp;":AA"&amp;(ROW()-1)))),1,0))&lt;&gt;16),MIN(LOOKUP(,-1/($Z$12:Z306=1),$C$12:C306)+LOOKUP(,-1/($Z$12:Z306=1),$H$12:H306)-IF(AA305="Да",0,SUM(INDIRECT("T"&amp;(MAX(("Да"=AA$12:AA305)*ROW(AA$12:AA305)+1,ROW($T$12))&amp;":T"&amp;(ROW()-1))))),Первоначальный[[#This Row],[Полученный платеж]]+Y305),
AND(S305=0,MAX((0&lt;&gt;N$12:N305)*ROW(N$12:N305),ROW($S$12))&gt;=MAX((1=Z$12:Z305)*ROW(Z$12:Z305),ROW($T$12))),MIN(LOOKUP(,-1/($Z$12:Z306=1),$C$12:C306)+LOOKUP(,-1/($Z$12:Z306=1),$H$12:H306)-IF(N305&lt;&gt;0,0,SUM(INDIRECT("T"&amp;(MAX((0&lt;&gt;N$12:N305)*ROW(N$12:N305)+1,ROW($T$12))&amp;":T"&amp;(ROW()-1))))),Первоначальный[[#This Row],[Полученный платеж]]+Y305),
AND(S305=0,Первоначальный[[#This Row],[Дата платежа из графика]]=1),MIN(LOOKUP(,-1/($Z$12:Z306=1),$C$12:C306)+LOOKUP(,-1/($Z$12:Z306=1),$H$12:H306)-IF(Z305=1,0,SUM(INDIRECT("T"&amp;(MAX((1=Z$12:Z305)*ROW(Z$12:Z305)+1,ROW($T$12))&amp;":T"&amp;(ROW()-1))))),Первоначальный[[#This Row],[Полученный платеж]]+Y305),
AND(Z305&gt;0,Первоначальный[[#This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платеж]]+Y305),
AND(S305&gt;0,MAX((0&lt;&gt;S$12:S305)*ROW(S$12:S305),ROW($S$12))&gt;=MAX((1=Z$12:Z305)*ROW(Z$12:Z305),ROW($T$12)),TYPE(VLOOKUP("Да",(INDIRECT("AA"&amp;(MAX((1=Z$12:Z305)*ROW(Z$12:Z305),ROW($T$12))&amp;":AA"&amp;(ROW()-1)))),1,0))=16),MIN(LOOKUP(,-1/($Z$12:Z306=1),$C$12:C306)+LOOKUP(,-1/($Z$12:Z306=1),$H$12:H306)-SUM(INDIRECT("T"&amp;(MAX((1=Z$12:Z305)*ROW(Z$12:Z305),ROW($T$12))&amp;":T"&amp;(ROW()-1)))),Первоначальный[[#This Row],[Полученный платеж]]+Y305),
S305&gt;0,MIN(LOOKUP(,-1/($Z$12:Z306=1),$C$12:C306)+LOOKUP(,-1/($Z$12:Z306=1),$H$12:H306)-IF(Z305=1,0,SUM(INDIRECT("T"&amp;(MAX((1=Z$12:Z305)*ROW(Z$12:Z305)+1,ROW($T$12))&amp;":T"&amp;(ROW()-1))))),Первоначальный[[#This Row],[Полученный платеж]]+Y305)
)
)
)</f>
        <v>0</v>
      </c>
      <c r="U30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платеж]]+Y305-Первоначальный[[#This Row],[Полученный платёж по процентам]])</f>
        <v>0</v>
      </c>
      <c r="V306" s="55">
        <f t="shared" ca="1" si="49"/>
        <v>0</v>
      </c>
      <c r="W306" s="55" cm="1">
        <f t="array" aca="1" ref="W306" ca="1">IF(Первоначальный[[#This Row],[Итого остаток на начало периода]]&lt;1,0,
_xlfn.IFS(
AND(TYPE(VLOOKUP(1,$Z$12:Z306,1,0))=16,Первоначальный[[#This Row],[Досрочное погашение (да/"")]]=""),0,
AND(S305=0,Первоначальный[[#This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платеж]]+Y305-SUM(Первоначальный[[#This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комиссиям]]),VLOOKUP(LOOKUP(,-1/($Z$12:Z306=1),$A$12:A306),График[[Срок конец]:[Возврат основной суммы долга]],3,0)),
AND(S305=0,Первоначальный[[#This Row],[Дата платежа из графика]]="",Первоначальный[[#This Row],[Досрочное погашение (да/"")]]&lt;&gt;"Да"),0,
AND(S305=0,Первоначальный[[#This Row],[Досрочное погашение (да/"")]]=""),MIN(Первоначальный[[#This Row],[Полученный платеж]]+Y305-SUM(Первоначальный[[#This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комиссиям]]),VLOOKUP(LOOKUP(,-1/($Z$12:Z306=1),$A$12:A306),График[[Срок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платеж]]+Y305-SUM(Первоначальный[[#This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S305&gt;0,MIN(Первоначальный[[#This Row],[Полученный платеж]]+Y305-SUM(Первоначальный[[#This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комиссиям]]),SUM(INDIRECT("M"&amp;(MAX((1=S$12:S305)*ROW(S$12:S305),ROW($W$12))&amp;":M"&amp;(ROW()))))-SUM(INDIRECT("W"&amp;(MAX((1=S$12:S305)*ROW(S$12:S305),ROW($W$12))&amp;":W"&amp;(ROW()-1)))))
)
)</f>
        <v>0</v>
      </c>
      <c r="X306" s="55">
        <f t="shared" ca="1" si="50"/>
        <v>0</v>
      </c>
      <c r="Y306" s="101">
        <f t="shared" ca="1" si="57"/>
        <v>0</v>
      </c>
      <c r="Z306" s="133" t="str">
        <f>IF(TYPE((VLOOKUP(Первоначальный[[#This Row],[Дата платежа]],График[Срок конец],1,0)))=16,"",1)</f>
        <v/>
      </c>
      <c r="AA306" s="57"/>
      <c r="AB306" s="134"/>
      <c r="AC30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0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18721.159999999996</v>
      </c>
      <c r="AE30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192.58000000000024</v>
      </c>
      <c r="AF30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0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11371.777662295079</v>
      </c>
      <c r="AH306" s="55"/>
      <c r="AI306" s="55"/>
      <c r="AJ306" s="55"/>
      <c r="AK306" s="101">
        <f t="shared" ca="1" si="58"/>
        <v>179918.85766229508</v>
      </c>
      <c r="AL306" s="129">
        <f t="array" ref="AL306">MAX((УслРестрактов[Характеристика]="Дата реструктуризации")*(УслРестрактов[Значение]=Первоначальный!$A306),0)</f>
        <v>0</v>
      </c>
    </row>
    <row r="307" spans="1:38" x14ac:dyDescent="0.25">
      <c r="A307" s="97">
        <f t="shared" si="51"/>
        <v>44438</v>
      </c>
      <c r="B307" s="100">
        <f t="shared" ca="1" si="52"/>
        <v>149633.34</v>
      </c>
      <c r="C307" s="55">
        <f t="shared" ca="1" si="60"/>
        <v>18721.159999999996</v>
      </c>
      <c r="D307" s="55">
        <f t="shared" ca="1" si="60"/>
        <v>192.58000000000024</v>
      </c>
      <c r="E307" s="55">
        <f t="shared" ca="1" si="53"/>
        <v>0</v>
      </c>
      <c r="F307" s="55">
        <f t="shared" ca="1" si="54"/>
        <v>11371.777662295079</v>
      </c>
      <c r="G307" s="101">
        <f t="shared" ca="1" si="55"/>
        <v>179918.85766229508</v>
      </c>
      <c r="H307" s="100">
        <f ca="1">ROUND($B307*VLOOKUP($A307,$A$1:$B$10,2,1)/(365+IF(MOD(YEAR($A307),4),0,1)*($A307-$A306)),2)-Первоначальный[[#This Row],[Проценты на просроченный платеж по ОД за период]]</f>
        <v>79.87</v>
      </c>
      <c r="I307" s="55">
        <f t="shared" ca="1" si="56"/>
        <v>1.71</v>
      </c>
      <c r="J307" s="55">
        <v>0</v>
      </c>
      <c r="K307" s="55">
        <f t="shared" ca="1" si="59"/>
        <v>101.32850327868853</v>
      </c>
      <c r="L307" s="55">
        <v>0</v>
      </c>
      <c r="M307" s="113">
        <f>SUMIFS(График[Возврат основной суммы долга],График[Дата с учетом нерабочих дней],$A307)</f>
        <v>0</v>
      </c>
      <c r="N307" s="56">
        <f>SUMIFS(График[Возврат начисленных %],График[Дата с учетом нерабочих дней],$A307)</f>
        <v>0</v>
      </c>
      <c r="O307" s="101">
        <v>0</v>
      </c>
      <c r="P307" s="100" cm="1">
        <f t="array" aca="1" ref="P307" ca="1">MAX(IF(AA306="Да",0,SUM(INDIRECT("M"&amp;(MAX(("Да"=AA$12:AA306)*ROW(AA$12:AA306)+1,ROW($P$12))&amp;":M"&amp;(ROW()))))-SUM(INDIRECT("W"&amp;(MAX(("Да"=AA$12:AA306)*ROW(AA$12:AA306)+1,ROW($P$12))&amp;":W"&amp;(ROW()))))),0)</f>
        <v>3142.5499999999993</v>
      </c>
      <c r="Q307" s="99">
        <f ca="1">MAX(SUM($N$13:N307)-SUM($T$13:T307),0)</f>
        <v>17123.150655737707</v>
      </c>
      <c r="R307" s="99">
        <f ca="1">Первоначальный[[#This Row],[Просроченный платеж по ОД]]+Первоначальный[[#This Row],[Просроченный платеж по процентам]]</f>
        <v>20265.700655737706</v>
      </c>
      <c r="S307" s="120">
        <f ca="1">IF(Первоначальный[[#This Row],[Просроченный платеж]]&lt;1,0,S306+1)</f>
        <v>203</v>
      </c>
      <c r="T307" s="100" cm="1">
        <f t="array" aca="1" ref="T307" ca="1">IF(Первоначальный[[#This Row],[Итого остаток на начало периода]]&lt;1,0,
IF(
AND(TYPE(VLOOKUP(1,$Z$12:Z307,1,0))=16,Первоначальный[[#This Row],[Досрочное погашение (да/"")]]=""),0,
_xlfn.IFS(AND(S306=0,Первоначальный[[#This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платеж]]&lt;&gt;0),MIN(LOOKUP(,-1/($Z$12:Z307=1),$C$12:C307)+LOOKUP(,-1/($Z$12:Z307=1),$H$12:H307),Первоначальный[[#This Row],[Полученный платеж]]+Y306),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платеж]]+Y306,SUM(Первоначальный[[#This Row],[Остаток процентов на начало периода]],Первоначальный[[#This Row],[Проценты за период]])),
AND(S306=0,Первоначальный[[#This Row],[Дата платежа из графика]]=""),0,
AND(S306=0,Первоначальный[[#This Row],[Дата платежа из графика]]=1,MAX((0&lt;&gt;S$12:S306)*ROW(S$12:S306),ROW($S$12))&gt;=MAX((1=Z$12:Z306)*ROW(Z$12:Z306),ROW($T$12)),TYPE(VLOOKUP("Да",(INDIRECT("AA"&amp;(MAX((1=Z$12:Z306)*ROW(Z$12:Z306),ROW($T$12))&amp;":AA"&amp;(ROW()-1)))),1,0))=16),MIN(LOOKUP(,-1/($Z$12:Z307=1),$C$12:C307)+LOOKUP(,-1/($Z$12:Z307=1),$H$12:H307),Первоначальный[[#This Row],[Полученный платеж]]+Y306),
AND(S306=0,TYPE(VLOOKUP("Да",(INDIRECT("AA"&amp;(MAX((1=Z$12:Z306)*ROW(Z$12:Z306),ROW($T$12))&amp;":AA"&amp;(ROW()-1)))),1,0))&lt;&gt;16),MIN(LOOKUP(,-1/($Z$12:Z307=1),$C$12:C307)+LOOKUP(,-1/($Z$12:Z307=1),$H$12:H307)-IF(AA306="Да",0,SUM(INDIRECT("T"&amp;(MAX(("Да"=AA$12:AA306)*ROW(AA$12:AA306)+1,ROW($T$12))&amp;":T"&amp;(ROW()-1))))),Первоначальный[[#This Row],[Полученный платеж]]+Y306),
AND(S306=0,MAX((0&lt;&gt;N$12:N306)*ROW(N$12:N306),ROW($S$12))&gt;=MAX((1=Z$12:Z306)*ROW(Z$12:Z306),ROW($T$12))),MIN(LOOKUP(,-1/($Z$12:Z307=1),$C$12:C307)+LOOKUP(,-1/($Z$12:Z307=1),$H$12:H307)-IF(N306&lt;&gt;0,0,SUM(INDIRECT("T"&amp;(MAX((0&lt;&gt;N$12:N306)*ROW(N$12:N306)+1,ROW($T$12))&amp;":T"&amp;(ROW()-1))))),Первоначальный[[#This Row],[Полученный платеж]]+Y306),
AND(S306=0,Первоначальный[[#This Row],[Дата платежа из графика]]=1),MIN(LOOKUP(,-1/($Z$12:Z307=1),$C$12:C307)+LOOKUP(,-1/($Z$12:Z307=1),$H$12:H307)-IF(Z306=1,0,SUM(INDIRECT("T"&amp;(MAX((1=Z$12:Z306)*ROW(Z$12:Z306)+1,ROW($T$12))&amp;":T"&amp;(ROW()-1))))),Первоначальный[[#This Row],[Полученный платеж]]+Y306),
AND(Z306&gt;0,Первоначальный[[#This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платеж]]+Y306),
AND(S306&gt;0,MAX((0&lt;&gt;S$12:S306)*ROW(S$12:S306),ROW($S$12))&gt;=MAX((1=Z$12:Z306)*ROW(Z$12:Z306),ROW($T$12)),TYPE(VLOOKUP("Да",(INDIRECT("AA"&amp;(MAX((1=Z$12:Z306)*ROW(Z$12:Z306),ROW($T$12))&amp;":AA"&amp;(ROW()-1)))),1,0))=16),MIN(LOOKUP(,-1/($Z$12:Z307=1),$C$12:C307)+LOOKUP(,-1/($Z$12:Z307=1),$H$12:H307)-SUM(INDIRECT("T"&amp;(MAX((1=Z$12:Z306)*ROW(Z$12:Z306),ROW($T$12))&amp;":T"&amp;(ROW()-1)))),Первоначальный[[#This Row],[Полученный платеж]]+Y306),
S306&gt;0,MIN(LOOKUP(,-1/($Z$12:Z307=1),$C$12:C307)+LOOKUP(,-1/($Z$12:Z307=1),$H$12:H307)-IF(Z306=1,0,SUM(INDIRECT("T"&amp;(MAX((1=Z$12:Z306)*ROW(Z$12:Z306)+1,ROW($T$12))&amp;":T"&amp;(ROW()-1))))),Первоначальный[[#This Row],[Полученный платеж]]+Y306)
)
)
)</f>
        <v>0</v>
      </c>
      <c r="U30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платеж]]+Y306-Первоначальный[[#This Row],[Полученный платёж по процентам]])</f>
        <v>0</v>
      </c>
      <c r="V307" s="55">
        <f t="shared" ca="1" si="49"/>
        <v>0</v>
      </c>
      <c r="W307" s="55" cm="1">
        <f t="array" aca="1" ref="W307" ca="1">IF(Первоначальный[[#This Row],[Итого остаток на начало периода]]&lt;1,0,
_xlfn.IFS(
AND(TYPE(VLOOKUP(1,$Z$12:Z307,1,0))=16,Первоначальный[[#This Row],[Досрочное погашение (да/"")]]=""),0,
AND(S306=0,Первоначальный[[#This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платеж]]+Y306-SUM(Первоначальный[[#This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комиссиям]]),VLOOKUP(LOOKUP(,-1/($Z$12:Z307=1),$A$12:A307),График[[Срок конец]:[Возврат основной суммы долга]],3,0)),
AND(S306=0,Первоначальный[[#This Row],[Дата платежа из графика]]="",Первоначальный[[#This Row],[Досрочное погашение (да/"")]]&lt;&gt;"Да"),0,
AND(S306=0,Первоначальный[[#This Row],[Досрочное погашение (да/"")]]=""),MIN(Первоначальный[[#This Row],[Полученный платеж]]+Y306-SUM(Первоначальный[[#This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комиссиям]]),VLOOKUP(LOOKUP(,-1/($Z$12:Z307=1),$A$12:A307),График[[Срок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платеж]]+Y306-SUM(Первоначальный[[#This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S306&gt;0,MIN(Первоначальный[[#This Row],[Полученный платеж]]+Y306-SUM(Первоначальный[[#This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комиссиям]]),SUM(INDIRECT("M"&amp;(MAX((1=S$12:S306)*ROW(S$12:S306),ROW($W$12))&amp;":M"&amp;(ROW()))))-SUM(INDIRECT("W"&amp;(MAX((1=S$12:S306)*ROW(S$12:S306),ROW($W$12))&amp;":W"&amp;(ROW()-1)))))
)
)</f>
        <v>0</v>
      </c>
      <c r="X307" s="55">
        <f t="shared" ca="1" si="50"/>
        <v>0</v>
      </c>
      <c r="Y307" s="101">
        <f t="shared" ca="1" si="57"/>
        <v>0</v>
      </c>
      <c r="Z307" s="133" t="str">
        <f>IF(TYPE((VLOOKUP(Первоначальный[[#This Row],[Дата платежа]],График[Срок конец],1,0)))=16,"",1)</f>
        <v/>
      </c>
      <c r="AA307" s="57"/>
      <c r="AB307" s="134"/>
      <c r="AC30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0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18801.029999999995</v>
      </c>
      <c r="AE30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194.29000000000025</v>
      </c>
      <c r="AF30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0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11473.106165573767</v>
      </c>
      <c r="AH307" s="55"/>
      <c r="AI307" s="55"/>
      <c r="AJ307" s="55"/>
      <c r="AK307" s="101">
        <f t="shared" ca="1" si="58"/>
        <v>180101.76616557376</v>
      </c>
      <c r="AL307" s="129">
        <f t="array" ref="AL307">MAX((УслРестрактов[Характеристика]="Дата реструктуризации")*(УслРестрактов[Значение]=Первоначальный!$A307),0)</f>
        <v>0</v>
      </c>
    </row>
    <row r="308" spans="1:38" x14ac:dyDescent="0.25">
      <c r="A308" s="97">
        <f t="shared" si="51"/>
        <v>44439</v>
      </c>
      <c r="B308" s="100">
        <f t="shared" ca="1" si="52"/>
        <v>149633.34</v>
      </c>
      <c r="C308" s="55">
        <f t="shared" ca="1" si="60"/>
        <v>18801.029999999995</v>
      </c>
      <c r="D308" s="55">
        <f t="shared" ca="1" si="60"/>
        <v>194.29000000000025</v>
      </c>
      <c r="E308" s="55">
        <f t="shared" ca="1" si="53"/>
        <v>0</v>
      </c>
      <c r="F308" s="55">
        <f t="shared" ca="1" si="54"/>
        <v>11473.106165573767</v>
      </c>
      <c r="G308" s="101">
        <f t="shared" ca="1" si="55"/>
        <v>180101.76616557376</v>
      </c>
      <c r="H308" s="100">
        <f ca="1">ROUND($B308*VLOOKUP($A308,$A$1:$B$10,2,1)/(365+IF(MOD(YEAR($A308),4),0,1)*($A308-$A307)),2)-Первоначальный[[#This Row],[Проценты на просроченный платеж по ОД за период]]</f>
        <v>79.87</v>
      </c>
      <c r="I308" s="55">
        <f t="shared" ca="1" si="56"/>
        <v>1.71</v>
      </c>
      <c r="J308" s="55">
        <v>0</v>
      </c>
      <c r="K308" s="55">
        <f t="shared" ca="1" si="59"/>
        <v>101.32850327868853</v>
      </c>
      <c r="L308" s="55">
        <v>0</v>
      </c>
      <c r="M308" s="113">
        <f>SUMIFS(График[Возврат основной суммы долга],График[Дата с учетом нерабочих дней],$A308)</f>
        <v>0</v>
      </c>
      <c r="N308" s="56">
        <f>SUMIFS(График[Возврат начисленных %],График[Дата с учетом нерабочих дней],$A308)</f>
        <v>0</v>
      </c>
      <c r="O308" s="101">
        <v>0</v>
      </c>
      <c r="P308" s="100" cm="1">
        <f t="array" aca="1" ref="P308" ca="1">MAX(IF(AA307="Да",0,SUM(INDIRECT("M"&amp;(MAX(("Да"=AA$12:AA307)*ROW(AA$12:AA307)+1,ROW($P$12))&amp;":M"&amp;(ROW()))))-SUM(INDIRECT("W"&amp;(MAX(("Да"=AA$12:AA307)*ROW(AA$12:AA307)+1,ROW($P$12))&amp;":W"&amp;(ROW()))))),0)</f>
        <v>3142.5499999999993</v>
      </c>
      <c r="Q308" s="99">
        <f ca="1">MAX(SUM($N$13:N308)-SUM($T$13:T308),0)</f>
        <v>17123.150655737707</v>
      </c>
      <c r="R308" s="99">
        <f ca="1">Первоначальный[[#This Row],[Просроченный платеж по ОД]]+Первоначальный[[#This Row],[Просроченный платеж по процентам]]</f>
        <v>20265.700655737706</v>
      </c>
      <c r="S308" s="120">
        <f ca="1">IF(Первоначальный[[#This Row],[Просроченный платеж]]&lt;1,0,S307+1)</f>
        <v>204</v>
      </c>
      <c r="T308" s="100" cm="1">
        <f t="array" aca="1" ref="T308" ca="1">IF(Первоначальный[[#This Row],[Итого остаток на начало периода]]&lt;1,0,
IF(
AND(TYPE(VLOOKUP(1,$Z$12:Z308,1,0))=16,Первоначальный[[#This Row],[Досрочное погашение (да/"")]]=""),0,
_xlfn.IFS(AND(S307=0,Первоначальный[[#This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платеж]]&lt;&gt;0),MIN(LOOKUP(,-1/($Z$12:Z308=1),$C$12:C308)+LOOKUP(,-1/($Z$12:Z308=1),$H$12:H308),Первоначальный[[#This Row],[Полученный платеж]]+Y307),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платеж]]+Y307,SUM(Первоначальный[[#This Row],[Остаток процентов на начало периода]],Первоначальный[[#This Row],[Проценты за период]])),
AND(S307=0,Первоначальный[[#This Row],[Дата платежа из графика]]=""),0,
AND(S307=0,Первоначальный[[#This Row],[Дата платежа из графика]]=1,MAX((0&lt;&gt;S$12:S307)*ROW(S$12:S307),ROW($S$12))&gt;=MAX((1=Z$12:Z307)*ROW(Z$12:Z307),ROW($T$12)),TYPE(VLOOKUP("Да",(INDIRECT("AA"&amp;(MAX((1=Z$12:Z307)*ROW(Z$12:Z307),ROW($T$12))&amp;":AA"&amp;(ROW()-1)))),1,0))=16),MIN(LOOKUP(,-1/($Z$12:Z308=1),$C$12:C308)+LOOKUP(,-1/($Z$12:Z308=1),$H$12:H308),Первоначальный[[#This Row],[Полученный платеж]]+Y307),
AND(S307=0,TYPE(VLOOKUP("Да",(INDIRECT("AA"&amp;(MAX((1=Z$12:Z307)*ROW(Z$12:Z307),ROW($T$12))&amp;":AA"&amp;(ROW()-1)))),1,0))&lt;&gt;16),MIN(LOOKUP(,-1/($Z$12:Z308=1),$C$12:C308)+LOOKUP(,-1/($Z$12:Z308=1),$H$12:H308)-IF(AA307="Да",0,SUM(INDIRECT("T"&amp;(MAX(("Да"=AA$12:AA307)*ROW(AA$12:AA307)+1,ROW($T$12))&amp;":T"&amp;(ROW()-1))))),Первоначальный[[#This Row],[Полученный платеж]]+Y307),
AND(S307=0,MAX((0&lt;&gt;N$12:N307)*ROW(N$12:N307),ROW($S$12))&gt;=MAX((1=Z$12:Z307)*ROW(Z$12:Z307),ROW($T$12))),MIN(LOOKUP(,-1/($Z$12:Z308=1),$C$12:C308)+LOOKUP(,-1/($Z$12:Z308=1),$H$12:H308)-IF(N307&lt;&gt;0,0,SUM(INDIRECT("T"&amp;(MAX((0&lt;&gt;N$12:N307)*ROW(N$12:N307)+1,ROW($T$12))&amp;":T"&amp;(ROW()-1))))),Первоначальный[[#This Row],[Полученный платеж]]+Y307),
AND(S307=0,Первоначальный[[#This Row],[Дата платежа из графика]]=1),MIN(LOOKUP(,-1/($Z$12:Z308=1),$C$12:C308)+LOOKUP(,-1/($Z$12:Z308=1),$H$12:H308)-IF(Z307=1,0,SUM(INDIRECT("T"&amp;(MAX((1=Z$12:Z307)*ROW(Z$12:Z307)+1,ROW($T$12))&amp;":T"&amp;(ROW()-1))))),Первоначальный[[#This Row],[Полученный платеж]]+Y307),
AND(Z307&gt;0,Первоначальный[[#This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платеж]]+Y307),
AND(S307&gt;0,MAX((0&lt;&gt;S$12:S307)*ROW(S$12:S307),ROW($S$12))&gt;=MAX((1=Z$12:Z307)*ROW(Z$12:Z307),ROW($T$12)),TYPE(VLOOKUP("Да",(INDIRECT("AA"&amp;(MAX((1=Z$12:Z307)*ROW(Z$12:Z307),ROW($T$12))&amp;":AA"&amp;(ROW()-1)))),1,0))=16),MIN(LOOKUP(,-1/($Z$12:Z308=1),$C$12:C308)+LOOKUP(,-1/($Z$12:Z308=1),$H$12:H308)-SUM(INDIRECT("T"&amp;(MAX((1=Z$12:Z307)*ROW(Z$12:Z307),ROW($T$12))&amp;":T"&amp;(ROW()-1)))),Первоначальный[[#This Row],[Полученный платеж]]+Y307),
S307&gt;0,MIN(LOOKUP(,-1/($Z$12:Z308=1),$C$12:C308)+LOOKUP(,-1/($Z$12:Z308=1),$H$12:H308)-IF(Z307=1,0,SUM(INDIRECT("T"&amp;(MAX((1=Z$12:Z307)*ROW(Z$12:Z307)+1,ROW($T$12))&amp;":T"&amp;(ROW()-1))))),Первоначальный[[#This Row],[Полученный платеж]]+Y307)
)
)
)</f>
        <v>0</v>
      </c>
      <c r="U30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платеж]]+Y307-Первоначальный[[#This Row],[Полученный платёж по процентам]])</f>
        <v>0</v>
      </c>
      <c r="V308" s="55">
        <f t="shared" ca="1" si="49"/>
        <v>0</v>
      </c>
      <c r="W308" s="55" cm="1">
        <f t="array" aca="1" ref="W308" ca="1">IF(Первоначальный[[#This Row],[Итого остаток на начало периода]]&lt;1,0,
_xlfn.IFS(
AND(TYPE(VLOOKUP(1,$Z$12:Z308,1,0))=16,Первоначальный[[#This Row],[Досрочное погашение (да/"")]]=""),0,
AND(S307=0,Первоначальный[[#This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платеж]]+Y307-SUM(Первоначальный[[#This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комиссиям]]),VLOOKUP(LOOKUP(,-1/($Z$12:Z308=1),$A$12:A308),График[[Срок конец]:[Возврат основной суммы долга]],3,0)),
AND(S307=0,Первоначальный[[#This Row],[Дата платежа из графика]]="",Первоначальный[[#This Row],[Досрочное погашение (да/"")]]&lt;&gt;"Да"),0,
AND(S307=0,Первоначальный[[#This Row],[Досрочное погашение (да/"")]]=""),MIN(Первоначальный[[#This Row],[Полученный платеж]]+Y307-SUM(Первоначальный[[#This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комиссиям]]),VLOOKUP(LOOKUP(,-1/($Z$12:Z308=1),$A$12:A308),График[[Срок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платеж]]+Y307-SUM(Первоначальный[[#This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S307&gt;0,MIN(Первоначальный[[#This Row],[Полученный платеж]]+Y307-SUM(Первоначальный[[#This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комиссиям]]),SUM(INDIRECT("M"&amp;(MAX((1=S$12:S307)*ROW(S$12:S307),ROW($W$12))&amp;":M"&amp;(ROW()))))-SUM(INDIRECT("W"&amp;(MAX((1=S$12:S307)*ROW(S$12:S307),ROW($W$12))&amp;":W"&amp;(ROW()-1)))))
)
)</f>
        <v>0</v>
      </c>
      <c r="X308" s="55">
        <f t="shared" ca="1" si="50"/>
        <v>0</v>
      </c>
      <c r="Y308" s="101">
        <f t="shared" ca="1" si="57"/>
        <v>0</v>
      </c>
      <c r="Z308" s="133" t="str">
        <f>IF(TYPE((VLOOKUP(Первоначальный[[#This Row],[Дата платежа]],График[Срок конец],1,0)))=16,"",1)</f>
        <v/>
      </c>
      <c r="AA308" s="57"/>
      <c r="AB308" s="134"/>
      <c r="AC30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0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18880.899999999994</v>
      </c>
      <c r="AE30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196.00000000000026</v>
      </c>
      <c r="AF30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0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11574.434668852455</v>
      </c>
      <c r="AH308" s="55"/>
      <c r="AI308" s="55"/>
      <c r="AJ308" s="55"/>
      <c r="AK308" s="101">
        <f t="shared" ca="1" si="58"/>
        <v>180284.67466885244</v>
      </c>
      <c r="AL308" s="129">
        <f t="array" ref="AL308">MAX((УслРестрактов[Характеристика]="Дата реструктуризации")*(УслРестрактов[Значение]=Первоначальный!$A308),0)</f>
        <v>0</v>
      </c>
    </row>
    <row r="309" spans="1:38" x14ac:dyDescent="0.25">
      <c r="A309" s="97">
        <f t="shared" si="51"/>
        <v>44440</v>
      </c>
      <c r="B309" s="100">
        <f t="shared" ca="1" si="52"/>
        <v>149633.34</v>
      </c>
      <c r="C309" s="55">
        <f t="shared" ca="1" si="60"/>
        <v>18880.899999999994</v>
      </c>
      <c r="D309" s="55">
        <f t="shared" ca="1" si="60"/>
        <v>196.00000000000026</v>
      </c>
      <c r="E309" s="55">
        <f t="shared" ca="1" si="53"/>
        <v>0</v>
      </c>
      <c r="F309" s="55">
        <f t="shared" ca="1" si="54"/>
        <v>11574.434668852455</v>
      </c>
      <c r="G309" s="101">
        <f t="shared" ca="1" si="55"/>
        <v>180284.67466885244</v>
      </c>
      <c r="H309" s="100">
        <f ca="1">ROUND($B309*VLOOKUP($A309,$A$1:$B$10,2,1)/(365+IF(MOD(YEAR($A309),4),0,1)*($A309-$A308)),2)-Первоначальный[[#This Row],[Проценты на просроченный платеж по ОД за период]]</f>
        <v>79.87</v>
      </c>
      <c r="I309" s="55">
        <f t="shared" ca="1" si="56"/>
        <v>1.71</v>
      </c>
      <c r="J309" s="55">
        <v>0</v>
      </c>
      <c r="K309" s="55">
        <f t="shared" ca="1" si="59"/>
        <v>101.32850327868853</v>
      </c>
      <c r="L309" s="55">
        <v>0</v>
      </c>
      <c r="M309" s="113">
        <f>SUMIFS(График[Возврат основной суммы долга],График[Дата с учетом нерабочих дней],$A309)</f>
        <v>0</v>
      </c>
      <c r="N309" s="56">
        <f>SUMIFS(График[Возврат начисленных %],График[Дата с учетом нерабочих дней],$A309)</f>
        <v>0</v>
      </c>
      <c r="O309" s="101">
        <v>0</v>
      </c>
      <c r="P309" s="100" cm="1">
        <f t="array" aca="1" ref="P309" ca="1">MAX(IF(AA308="Да",0,SUM(INDIRECT("M"&amp;(MAX(("Да"=AA$12:AA308)*ROW(AA$12:AA308)+1,ROW($P$12))&amp;":M"&amp;(ROW()))))-SUM(INDIRECT("W"&amp;(MAX(("Да"=AA$12:AA308)*ROW(AA$12:AA308)+1,ROW($P$12))&amp;":W"&amp;(ROW()))))),0)</f>
        <v>3142.5499999999993</v>
      </c>
      <c r="Q309" s="99">
        <f ca="1">MAX(SUM($N$13:N309)-SUM($T$13:T309),0)</f>
        <v>17123.150655737707</v>
      </c>
      <c r="R309" s="99">
        <f ca="1">Первоначальный[[#This Row],[Просроченный платеж по ОД]]+Первоначальный[[#This Row],[Просроченный платеж по процентам]]</f>
        <v>20265.700655737706</v>
      </c>
      <c r="S309" s="120">
        <f ca="1">IF(Первоначальный[[#This Row],[Просроченный платеж]]&lt;1,0,S308+1)</f>
        <v>205</v>
      </c>
      <c r="T309" s="100" cm="1">
        <f t="array" aca="1" ref="T309" ca="1">IF(Первоначальный[[#This Row],[Итого остаток на начало периода]]&lt;1,0,
IF(
AND(TYPE(VLOOKUP(1,$Z$12:Z309,1,0))=16,Первоначальный[[#This Row],[Досрочное погашение (да/"")]]=""),0,
_xlfn.IFS(AND(S308=0,Первоначальный[[#This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платеж]]&lt;&gt;0),MIN(LOOKUP(,-1/($Z$12:Z309=1),$C$12:C309)+LOOKUP(,-1/($Z$12:Z309=1),$H$12:H309),Первоначальный[[#This Row],[Полученный платеж]]+Y308),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платеж]]+Y308,SUM(Первоначальный[[#This Row],[Остаток процентов на начало периода]],Первоначальный[[#This Row],[Проценты за период]])),
AND(S308=0,Первоначальный[[#This Row],[Дата платежа из графика]]=""),0,
AND(S308=0,Первоначальный[[#This Row],[Дата платежа из графика]]=1,MAX((0&lt;&gt;S$12:S308)*ROW(S$12:S308),ROW($S$12))&gt;=MAX((1=Z$12:Z308)*ROW(Z$12:Z308),ROW($T$12)),TYPE(VLOOKUP("Да",(INDIRECT("AA"&amp;(MAX((1=Z$12:Z308)*ROW(Z$12:Z308),ROW($T$12))&amp;":AA"&amp;(ROW()-1)))),1,0))=16),MIN(LOOKUP(,-1/($Z$12:Z309=1),$C$12:C309)+LOOKUP(,-1/($Z$12:Z309=1),$H$12:H309),Первоначальный[[#This Row],[Полученный платеж]]+Y308),
AND(S308=0,TYPE(VLOOKUP("Да",(INDIRECT("AA"&amp;(MAX((1=Z$12:Z308)*ROW(Z$12:Z308),ROW($T$12))&amp;":AA"&amp;(ROW()-1)))),1,0))&lt;&gt;16),MIN(LOOKUP(,-1/($Z$12:Z309=1),$C$12:C309)+LOOKUP(,-1/($Z$12:Z309=1),$H$12:H309)-IF(AA308="Да",0,SUM(INDIRECT("T"&amp;(MAX(("Да"=AA$12:AA308)*ROW(AA$12:AA308)+1,ROW($T$12))&amp;":T"&amp;(ROW()-1))))),Первоначальный[[#This Row],[Полученный платеж]]+Y308),
AND(S308=0,MAX((0&lt;&gt;N$12:N308)*ROW(N$12:N308),ROW($S$12))&gt;=MAX((1=Z$12:Z308)*ROW(Z$12:Z308),ROW($T$12))),MIN(LOOKUP(,-1/($Z$12:Z309=1),$C$12:C309)+LOOKUP(,-1/($Z$12:Z309=1),$H$12:H309)-IF(N308&lt;&gt;0,0,SUM(INDIRECT("T"&amp;(MAX((0&lt;&gt;N$12:N308)*ROW(N$12:N308)+1,ROW($T$12))&amp;":T"&amp;(ROW()-1))))),Первоначальный[[#This Row],[Полученный платеж]]+Y308),
AND(S308=0,Первоначальный[[#This Row],[Дата платежа из графика]]=1),MIN(LOOKUP(,-1/($Z$12:Z309=1),$C$12:C309)+LOOKUP(,-1/($Z$12:Z309=1),$H$12:H309)-IF(Z308=1,0,SUM(INDIRECT("T"&amp;(MAX((1=Z$12:Z308)*ROW(Z$12:Z308)+1,ROW($T$12))&amp;":T"&amp;(ROW()-1))))),Первоначальный[[#This Row],[Полученный платеж]]+Y308),
AND(Z308&gt;0,Первоначальный[[#This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платеж]]+Y308),
AND(S308&gt;0,MAX((0&lt;&gt;S$12:S308)*ROW(S$12:S308),ROW($S$12))&gt;=MAX((1=Z$12:Z308)*ROW(Z$12:Z308),ROW($T$12)),TYPE(VLOOKUP("Да",(INDIRECT("AA"&amp;(MAX((1=Z$12:Z308)*ROW(Z$12:Z308),ROW($T$12))&amp;":AA"&amp;(ROW()-1)))),1,0))=16),MIN(LOOKUP(,-1/($Z$12:Z309=1),$C$12:C309)+LOOKUP(,-1/($Z$12:Z309=1),$H$12:H309)-SUM(INDIRECT("T"&amp;(MAX((1=Z$12:Z308)*ROW(Z$12:Z308),ROW($T$12))&amp;":T"&amp;(ROW()-1)))),Первоначальный[[#This Row],[Полученный платеж]]+Y308),
S308&gt;0,MIN(LOOKUP(,-1/($Z$12:Z309=1),$C$12:C309)+LOOKUP(,-1/($Z$12:Z309=1),$H$12:H309)-IF(Z308=1,0,SUM(INDIRECT("T"&amp;(MAX((1=Z$12:Z308)*ROW(Z$12:Z308)+1,ROW($T$12))&amp;":T"&amp;(ROW()-1))))),Первоначальный[[#This Row],[Полученный платеж]]+Y308)
)
)
)</f>
        <v>0</v>
      </c>
      <c r="U30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платеж]]+Y308-Первоначальный[[#This Row],[Полученный платёж по процентам]])</f>
        <v>0</v>
      </c>
      <c r="V309" s="55">
        <f t="shared" ca="1" si="49"/>
        <v>0</v>
      </c>
      <c r="W309" s="55" cm="1">
        <f t="array" aca="1" ref="W309" ca="1">IF(Первоначальный[[#This Row],[Итого остаток на начало периода]]&lt;1,0,
_xlfn.IFS(
AND(TYPE(VLOOKUP(1,$Z$12:Z309,1,0))=16,Первоначальный[[#This Row],[Досрочное погашение (да/"")]]=""),0,
AND(S308=0,Первоначальный[[#This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платеж]]+Y308-SUM(Первоначальный[[#This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комиссиям]]),VLOOKUP(LOOKUP(,-1/($Z$12:Z309=1),$A$12:A309),График[[Срок конец]:[Возврат основной суммы долга]],3,0)),
AND(S308=0,Первоначальный[[#This Row],[Дата платежа из графика]]="",Первоначальный[[#This Row],[Досрочное погашение (да/"")]]&lt;&gt;"Да"),0,
AND(S308=0,Первоначальный[[#This Row],[Досрочное погашение (да/"")]]=""),MIN(Первоначальный[[#This Row],[Полученный платеж]]+Y308-SUM(Первоначальный[[#This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комиссиям]]),VLOOKUP(LOOKUP(,-1/($Z$12:Z309=1),$A$12:A309),График[[Срок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платеж]]+Y308-SUM(Первоначальный[[#This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S308&gt;0,MIN(Первоначальный[[#This Row],[Полученный платеж]]+Y308-SUM(Первоначальный[[#This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комиссиям]]),SUM(INDIRECT("M"&amp;(MAX((1=S$12:S308)*ROW(S$12:S308),ROW($W$12))&amp;":M"&amp;(ROW()))))-SUM(INDIRECT("W"&amp;(MAX((1=S$12:S308)*ROW(S$12:S308),ROW($W$12))&amp;":W"&amp;(ROW()-1)))))
)
)</f>
        <v>0</v>
      </c>
      <c r="X309" s="55">
        <f t="shared" ca="1" si="50"/>
        <v>0</v>
      </c>
      <c r="Y309" s="101">
        <f t="shared" ca="1" si="57"/>
        <v>0</v>
      </c>
      <c r="Z309" s="133" t="str">
        <f>IF(TYPE((VLOOKUP(Первоначальный[[#This Row],[Дата платежа]],График[Срок конец],1,0)))=16,"",1)</f>
        <v/>
      </c>
      <c r="AA309" s="57"/>
      <c r="AB309" s="134"/>
      <c r="AC30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0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18960.769999999993</v>
      </c>
      <c r="AE30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197.71000000000026</v>
      </c>
      <c r="AF30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0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11675.763172131143</v>
      </c>
      <c r="AH309" s="55"/>
      <c r="AI309" s="55"/>
      <c r="AJ309" s="55"/>
      <c r="AK309" s="101">
        <f t="shared" ca="1" si="58"/>
        <v>180467.58317213113</v>
      </c>
      <c r="AL309" s="129">
        <f t="array" ref="AL309">MAX((УслРестрактов[Характеристика]="Дата реструктуризации")*(УслРестрактов[Значение]=Первоначальный!$A309),0)</f>
        <v>0</v>
      </c>
    </row>
    <row r="310" spans="1:38" x14ac:dyDescent="0.25">
      <c r="A310" s="97">
        <f t="shared" si="51"/>
        <v>44441</v>
      </c>
      <c r="B310" s="100">
        <f t="shared" ca="1" si="52"/>
        <v>149633.34</v>
      </c>
      <c r="C310" s="55">
        <f t="shared" ca="1" si="60"/>
        <v>18960.769999999993</v>
      </c>
      <c r="D310" s="55">
        <f t="shared" ca="1" si="60"/>
        <v>197.71000000000026</v>
      </c>
      <c r="E310" s="55">
        <f t="shared" ca="1" si="53"/>
        <v>0</v>
      </c>
      <c r="F310" s="55">
        <f t="shared" ca="1" si="54"/>
        <v>11675.763172131143</v>
      </c>
      <c r="G310" s="101">
        <f t="shared" ca="1" si="55"/>
        <v>180467.58317213113</v>
      </c>
      <c r="H310" s="100">
        <f ca="1">ROUND($B310*VLOOKUP($A310,$A$1:$B$10,2,1)/(365+IF(MOD(YEAR($A310),4),0,1)*($A310-$A309)),2)-Первоначальный[[#This Row],[Проценты на просроченный платеж по ОД за период]]</f>
        <v>79.87</v>
      </c>
      <c r="I310" s="55">
        <f t="shared" ca="1" si="56"/>
        <v>1.71</v>
      </c>
      <c r="J310" s="55">
        <v>0</v>
      </c>
      <c r="K310" s="55">
        <f t="shared" ca="1" si="59"/>
        <v>101.32850327868853</v>
      </c>
      <c r="L310" s="55">
        <v>0</v>
      </c>
      <c r="M310" s="113">
        <f>SUMIFS(График[Возврат основной суммы долга],График[Дата с учетом нерабочих дней],$A310)</f>
        <v>0</v>
      </c>
      <c r="N310" s="56">
        <f>SUMIFS(График[Возврат начисленных %],График[Дата с учетом нерабочих дней],$A310)</f>
        <v>0</v>
      </c>
      <c r="O310" s="101">
        <v>0</v>
      </c>
      <c r="P310" s="100" cm="1">
        <f t="array" aca="1" ref="P310" ca="1">MAX(IF(AA309="Да",0,SUM(INDIRECT("M"&amp;(MAX(("Да"=AA$12:AA309)*ROW(AA$12:AA309)+1,ROW($P$12))&amp;":M"&amp;(ROW()))))-SUM(INDIRECT("W"&amp;(MAX(("Да"=AA$12:AA309)*ROW(AA$12:AA309)+1,ROW($P$12))&amp;":W"&amp;(ROW()))))),0)</f>
        <v>3142.5499999999993</v>
      </c>
      <c r="Q310" s="99">
        <f ca="1">MAX(SUM($N$13:N310)-SUM($T$13:T310),0)</f>
        <v>17123.150655737707</v>
      </c>
      <c r="R310" s="99">
        <f ca="1">Первоначальный[[#This Row],[Просроченный платеж по ОД]]+Первоначальный[[#This Row],[Просроченный платеж по процентам]]</f>
        <v>20265.700655737706</v>
      </c>
      <c r="S310" s="120">
        <f ca="1">IF(Первоначальный[[#This Row],[Просроченный платеж]]&lt;1,0,S309+1)</f>
        <v>206</v>
      </c>
      <c r="T310" s="100" cm="1">
        <f t="array" aca="1" ref="T310" ca="1">IF(Первоначальный[[#This Row],[Итого остаток на начало периода]]&lt;1,0,
IF(
AND(TYPE(VLOOKUP(1,$Z$12:Z310,1,0))=16,Первоначальный[[#This Row],[Досрочное погашение (да/"")]]=""),0,
_xlfn.IFS(AND(S309=0,Первоначальный[[#This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платеж]]&lt;&gt;0),MIN(LOOKUP(,-1/($Z$12:Z310=1),$C$12:C310)+LOOKUP(,-1/($Z$12:Z310=1),$H$12:H310),Первоначальный[[#This Row],[Полученный платеж]]+Y309),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платеж]]+Y309,SUM(Первоначальный[[#This Row],[Остаток процентов на начало периода]],Первоначальный[[#This Row],[Проценты за период]])),
AND(S309=0,Первоначальный[[#This Row],[Дата платежа из графика]]=""),0,
AND(S309=0,Первоначальный[[#This Row],[Дата платежа из графика]]=1,MAX((0&lt;&gt;S$12:S309)*ROW(S$12:S309),ROW($S$12))&gt;=MAX((1=Z$12:Z309)*ROW(Z$12:Z309),ROW($T$12)),TYPE(VLOOKUP("Да",(INDIRECT("AA"&amp;(MAX((1=Z$12:Z309)*ROW(Z$12:Z309),ROW($T$12))&amp;":AA"&amp;(ROW()-1)))),1,0))=16),MIN(LOOKUP(,-1/($Z$12:Z310=1),$C$12:C310)+LOOKUP(,-1/($Z$12:Z310=1),$H$12:H310),Первоначальный[[#This Row],[Полученный платеж]]+Y309),
AND(S309=0,TYPE(VLOOKUP("Да",(INDIRECT("AA"&amp;(MAX((1=Z$12:Z309)*ROW(Z$12:Z309),ROW($T$12))&amp;":AA"&amp;(ROW()-1)))),1,0))&lt;&gt;16),MIN(LOOKUP(,-1/($Z$12:Z310=1),$C$12:C310)+LOOKUP(,-1/($Z$12:Z310=1),$H$12:H310)-IF(AA309="Да",0,SUM(INDIRECT("T"&amp;(MAX(("Да"=AA$12:AA309)*ROW(AA$12:AA309)+1,ROW($T$12))&amp;":T"&amp;(ROW()-1))))),Первоначальный[[#This Row],[Полученный платеж]]+Y309),
AND(S309=0,MAX((0&lt;&gt;N$12:N309)*ROW(N$12:N309),ROW($S$12))&gt;=MAX((1=Z$12:Z309)*ROW(Z$12:Z309),ROW($T$12))),MIN(LOOKUP(,-1/($Z$12:Z310=1),$C$12:C310)+LOOKUP(,-1/($Z$12:Z310=1),$H$12:H310)-IF(N309&lt;&gt;0,0,SUM(INDIRECT("T"&amp;(MAX((0&lt;&gt;N$12:N309)*ROW(N$12:N309)+1,ROW($T$12))&amp;":T"&amp;(ROW()-1))))),Первоначальный[[#This Row],[Полученный платеж]]+Y309),
AND(S309=0,Первоначальный[[#This Row],[Дата платежа из графика]]=1),MIN(LOOKUP(,-1/($Z$12:Z310=1),$C$12:C310)+LOOKUP(,-1/($Z$12:Z310=1),$H$12:H310)-IF(Z309=1,0,SUM(INDIRECT("T"&amp;(MAX((1=Z$12:Z309)*ROW(Z$12:Z309)+1,ROW($T$12))&amp;":T"&amp;(ROW()-1))))),Первоначальный[[#This Row],[Полученный платеж]]+Y309),
AND(Z309&gt;0,Первоначальный[[#This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платеж]]+Y309),
AND(S309&gt;0,MAX((0&lt;&gt;S$12:S309)*ROW(S$12:S309),ROW($S$12))&gt;=MAX((1=Z$12:Z309)*ROW(Z$12:Z309),ROW($T$12)),TYPE(VLOOKUP("Да",(INDIRECT("AA"&amp;(MAX((1=Z$12:Z309)*ROW(Z$12:Z309),ROW($T$12))&amp;":AA"&amp;(ROW()-1)))),1,0))=16),MIN(LOOKUP(,-1/($Z$12:Z310=1),$C$12:C310)+LOOKUP(,-1/($Z$12:Z310=1),$H$12:H310)-SUM(INDIRECT("T"&amp;(MAX((1=Z$12:Z309)*ROW(Z$12:Z309),ROW($T$12))&amp;":T"&amp;(ROW()-1)))),Первоначальный[[#This Row],[Полученный платеж]]+Y309),
S309&gt;0,MIN(LOOKUP(,-1/($Z$12:Z310=1),$C$12:C310)+LOOKUP(,-1/($Z$12:Z310=1),$H$12:H310)-IF(Z309=1,0,SUM(INDIRECT("T"&amp;(MAX((1=Z$12:Z309)*ROW(Z$12:Z309)+1,ROW($T$12))&amp;":T"&amp;(ROW()-1))))),Первоначальный[[#This Row],[Полученный платеж]]+Y309)
)
)
)</f>
        <v>0</v>
      </c>
      <c r="U31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платеж]]+Y309-Первоначальный[[#This Row],[Полученный платёж по процентам]])</f>
        <v>0</v>
      </c>
      <c r="V310" s="55">
        <f t="shared" ca="1" si="49"/>
        <v>0</v>
      </c>
      <c r="W310" s="55" cm="1">
        <f t="array" aca="1" ref="W310" ca="1">IF(Первоначальный[[#This Row],[Итого остаток на начало периода]]&lt;1,0,
_xlfn.IFS(
AND(TYPE(VLOOKUP(1,$Z$12:Z310,1,0))=16,Первоначальный[[#This Row],[Досрочное погашение (да/"")]]=""),0,
AND(S309=0,Первоначальный[[#This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платеж]]+Y309-SUM(Первоначальный[[#This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комиссиям]]),VLOOKUP(LOOKUP(,-1/($Z$12:Z310=1),$A$12:A310),График[[Срок конец]:[Возврат основной суммы долга]],3,0)),
AND(S309=0,Первоначальный[[#This Row],[Дата платежа из графика]]="",Первоначальный[[#This Row],[Досрочное погашение (да/"")]]&lt;&gt;"Да"),0,
AND(S309=0,Первоначальный[[#This Row],[Досрочное погашение (да/"")]]=""),MIN(Первоначальный[[#This Row],[Полученный платеж]]+Y309-SUM(Первоначальный[[#This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комиссиям]]),VLOOKUP(LOOKUP(,-1/($Z$12:Z310=1),$A$12:A310),График[[Срок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платеж]]+Y309-SUM(Первоначальный[[#This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S309&gt;0,MIN(Первоначальный[[#This Row],[Полученный платеж]]+Y309-SUM(Первоначальный[[#This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комиссиям]]),SUM(INDIRECT("M"&amp;(MAX((1=S$12:S309)*ROW(S$12:S309),ROW($W$12))&amp;":M"&amp;(ROW()))))-SUM(INDIRECT("W"&amp;(MAX((1=S$12:S309)*ROW(S$12:S309),ROW($W$12))&amp;":W"&amp;(ROW()-1)))))
)
)</f>
        <v>0</v>
      </c>
      <c r="X310" s="55">
        <f t="shared" ca="1" si="50"/>
        <v>0</v>
      </c>
      <c r="Y310" s="101">
        <f t="shared" ca="1" si="57"/>
        <v>0</v>
      </c>
      <c r="Z310" s="133" t="str">
        <f>IF(TYPE((VLOOKUP(Первоначальный[[#This Row],[Дата платежа]],График[Срок конец],1,0)))=16,"",1)</f>
        <v/>
      </c>
      <c r="AA310" s="57"/>
      <c r="AB310" s="134"/>
      <c r="AC31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1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19040.639999999992</v>
      </c>
      <c r="AE31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199.42000000000027</v>
      </c>
      <c r="AF31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1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11777.091675409831</v>
      </c>
      <c r="AH310" s="55"/>
      <c r="AI310" s="55"/>
      <c r="AJ310" s="55"/>
      <c r="AK310" s="101">
        <f t="shared" ca="1" si="58"/>
        <v>180650.49167540984</v>
      </c>
      <c r="AL310" s="129">
        <f t="array" ref="AL310">MAX((УслРестрактов[Характеристика]="Дата реструктуризации")*(УслРестрактов[Значение]=Первоначальный!$A310),0)</f>
        <v>0</v>
      </c>
    </row>
    <row r="311" spans="1:38" x14ac:dyDescent="0.25">
      <c r="A311" s="97">
        <f t="shared" si="51"/>
        <v>44442</v>
      </c>
      <c r="B311" s="100">
        <f t="shared" ca="1" si="52"/>
        <v>149633.34</v>
      </c>
      <c r="C311" s="55">
        <f t="shared" ca="1" si="60"/>
        <v>19040.639999999992</v>
      </c>
      <c r="D311" s="55">
        <f t="shared" ca="1" si="60"/>
        <v>199.42000000000027</v>
      </c>
      <c r="E311" s="55">
        <f t="shared" ca="1" si="53"/>
        <v>0</v>
      </c>
      <c r="F311" s="55">
        <f t="shared" ca="1" si="54"/>
        <v>11777.091675409831</v>
      </c>
      <c r="G311" s="101">
        <f t="shared" ca="1" si="55"/>
        <v>180650.49167540984</v>
      </c>
      <c r="H311" s="100">
        <f ca="1">ROUND($B311*VLOOKUP($A311,$A$1:$B$10,2,1)/(365+IF(MOD(YEAR($A311),4),0,1)*($A311-$A310)),2)-Первоначальный[[#This Row],[Проценты на просроченный платеж по ОД за период]]</f>
        <v>79.87</v>
      </c>
      <c r="I311" s="55">
        <f t="shared" ca="1" si="56"/>
        <v>1.71</v>
      </c>
      <c r="J311" s="55">
        <v>0</v>
      </c>
      <c r="K311" s="55">
        <f t="shared" ca="1" si="59"/>
        <v>101.32850327868853</v>
      </c>
      <c r="L311" s="55">
        <v>0</v>
      </c>
      <c r="M311" s="113">
        <f>SUMIFS(График[Возврат основной суммы долга],График[Дата с учетом нерабочих дней],$A311)</f>
        <v>0</v>
      </c>
      <c r="N311" s="56">
        <f>SUMIFS(График[Возврат начисленных %],График[Дата с учетом нерабочих дней],$A311)</f>
        <v>0</v>
      </c>
      <c r="O311" s="101">
        <v>0</v>
      </c>
      <c r="P311" s="100" cm="1">
        <f t="array" aca="1" ref="P311" ca="1">MAX(IF(AA310="Да",0,SUM(INDIRECT("M"&amp;(MAX(("Да"=AA$12:AA310)*ROW(AA$12:AA310)+1,ROW($P$12))&amp;":M"&amp;(ROW()))))-SUM(INDIRECT("W"&amp;(MAX(("Да"=AA$12:AA310)*ROW(AA$12:AA310)+1,ROW($P$12))&amp;":W"&amp;(ROW()))))),0)</f>
        <v>3142.5499999999993</v>
      </c>
      <c r="Q311" s="99">
        <f ca="1">MAX(SUM($N$13:N311)-SUM($T$13:T311),0)</f>
        <v>17123.150655737707</v>
      </c>
      <c r="R311" s="99">
        <f ca="1">Первоначальный[[#This Row],[Просроченный платеж по ОД]]+Первоначальный[[#This Row],[Просроченный платеж по процентам]]</f>
        <v>20265.700655737706</v>
      </c>
      <c r="S311" s="120">
        <f ca="1">IF(Первоначальный[[#This Row],[Просроченный платеж]]&lt;1,0,S310+1)</f>
        <v>207</v>
      </c>
      <c r="T311" s="100" cm="1">
        <f t="array" aca="1" ref="T311" ca="1">IF(Первоначальный[[#This Row],[Итого остаток на начало периода]]&lt;1,0,
IF(
AND(TYPE(VLOOKUP(1,$Z$12:Z311,1,0))=16,Первоначальный[[#This Row],[Досрочное погашение (да/"")]]=""),0,
_xlfn.IFS(AND(S310=0,Первоначальный[[#This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платеж]]&lt;&gt;0),MIN(LOOKUP(,-1/($Z$12:Z311=1),$C$12:C311)+LOOKUP(,-1/($Z$12:Z311=1),$H$12:H311),Первоначальный[[#This Row],[Полученный платеж]]+Y310),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платеж]]+Y310,SUM(Первоначальный[[#This Row],[Остаток процентов на начало периода]],Первоначальный[[#This Row],[Проценты за период]])),
AND(S310=0,Первоначальный[[#This Row],[Дата платежа из графика]]=""),0,
AND(S310=0,Первоначальный[[#This Row],[Дата платежа из графика]]=1,MAX((0&lt;&gt;S$12:S310)*ROW(S$12:S310),ROW($S$12))&gt;=MAX((1=Z$12:Z310)*ROW(Z$12:Z310),ROW($T$12)),TYPE(VLOOKUP("Да",(INDIRECT("AA"&amp;(MAX((1=Z$12:Z310)*ROW(Z$12:Z310),ROW($T$12))&amp;":AA"&amp;(ROW()-1)))),1,0))=16),MIN(LOOKUP(,-1/($Z$12:Z311=1),$C$12:C311)+LOOKUP(,-1/($Z$12:Z311=1),$H$12:H311),Первоначальный[[#This Row],[Полученный платеж]]+Y310),
AND(S310=0,TYPE(VLOOKUP("Да",(INDIRECT("AA"&amp;(MAX((1=Z$12:Z310)*ROW(Z$12:Z310),ROW($T$12))&amp;":AA"&amp;(ROW()-1)))),1,0))&lt;&gt;16),MIN(LOOKUP(,-1/($Z$12:Z311=1),$C$12:C311)+LOOKUP(,-1/($Z$12:Z311=1),$H$12:H311)-IF(AA310="Да",0,SUM(INDIRECT("T"&amp;(MAX(("Да"=AA$12:AA310)*ROW(AA$12:AA310)+1,ROW($T$12))&amp;":T"&amp;(ROW()-1))))),Первоначальный[[#This Row],[Полученный платеж]]+Y310),
AND(S310=0,MAX((0&lt;&gt;N$12:N310)*ROW(N$12:N310),ROW($S$12))&gt;=MAX((1=Z$12:Z310)*ROW(Z$12:Z310),ROW($T$12))),MIN(LOOKUP(,-1/($Z$12:Z311=1),$C$12:C311)+LOOKUP(,-1/($Z$12:Z311=1),$H$12:H311)-IF(N310&lt;&gt;0,0,SUM(INDIRECT("T"&amp;(MAX((0&lt;&gt;N$12:N310)*ROW(N$12:N310)+1,ROW($T$12))&amp;":T"&amp;(ROW()-1))))),Первоначальный[[#This Row],[Полученный платеж]]+Y310),
AND(S310=0,Первоначальный[[#This Row],[Дата платежа из графика]]=1),MIN(LOOKUP(,-1/($Z$12:Z311=1),$C$12:C311)+LOOKUP(,-1/($Z$12:Z311=1),$H$12:H311)-IF(Z310=1,0,SUM(INDIRECT("T"&amp;(MAX((1=Z$12:Z310)*ROW(Z$12:Z310)+1,ROW($T$12))&amp;":T"&amp;(ROW()-1))))),Первоначальный[[#This Row],[Полученный платеж]]+Y310),
AND(Z310&gt;0,Первоначальный[[#This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платеж]]+Y310),
AND(S310&gt;0,MAX((0&lt;&gt;S$12:S310)*ROW(S$12:S310),ROW($S$12))&gt;=MAX((1=Z$12:Z310)*ROW(Z$12:Z310),ROW($T$12)),TYPE(VLOOKUP("Да",(INDIRECT("AA"&amp;(MAX((1=Z$12:Z310)*ROW(Z$12:Z310),ROW($T$12))&amp;":AA"&amp;(ROW()-1)))),1,0))=16),MIN(LOOKUP(,-1/($Z$12:Z311=1),$C$12:C311)+LOOKUP(,-1/($Z$12:Z311=1),$H$12:H311)-SUM(INDIRECT("T"&amp;(MAX((1=Z$12:Z310)*ROW(Z$12:Z310),ROW($T$12))&amp;":T"&amp;(ROW()-1)))),Первоначальный[[#This Row],[Полученный платеж]]+Y310),
S310&gt;0,MIN(LOOKUP(,-1/($Z$12:Z311=1),$C$12:C311)+LOOKUP(,-1/($Z$12:Z311=1),$H$12:H311)-IF(Z310=1,0,SUM(INDIRECT("T"&amp;(MAX((1=Z$12:Z310)*ROW(Z$12:Z310)+1,ROW($T$12))&amp;":T"&amp;(ROW()-1))))),Первоначальный[[#This Row],[Полученный платеж]]+Y310)
)
)
)</f>
        <v>0</v>
      </c>
      <c r="U31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платеж]]+Y310-Первоначальный[[#This Row],[Полученный платёж по процентам]])</f>
        <v>0</v>
      </c>
      <c r="V311" s="55">
        <f t="shared" ca="1" si="49"/>
        <v>0</v>
      </c>
      <c r="W311" s="55" cm="1">
        <f t="array" aca="1" ref="W311" ca="1">IF(Первоначальный[[#This Row],[Итого остаток на начало периода]]&lt;1,0,
_xlfn.IFS(
AND(TYPE(VLOOKUP(1,$Z$12:Z311,1,0))=16,Первоначальный[[#This Row],[Досрочное погашение (да/"")]]=""),0,
AND(S310=0,Первоначальный[[#This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платеж]]+Y310-SUM(Первоначальный[[#This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комиссиям]]),VLOOKUP(LOOKUP(,-1/($Z$12:Z311=1),$A$12:A311),График[[Срок конец]:[Возврат основной суммы долга]],3,0)),
AND(S310=0,Первоначальный[[#This Row],[Дата платежа из графика]]="",Первоначальный[[#This Row],[Досрочное погашение (да/"")]]&lt;&gt;"Да"),0,
AND(S310=0,Первоначальный[[#This Row],[Досрочное погашение (да/"")]]=""),MIN(Первоначальный[[#This Row],[Полученный платеж]]+Y310-SUM(Первоначальный[[#This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комиссиям]]),VLOOKUP(LOOKUP(,-1/($Z$12:Z311=1),$A$12:A311),График[[Срок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платеж]]+Y310-SUM(Первоначальный[[#This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S310&gt;0,MIN(Первоначальный[[#This Row],[Полученный платеж]]+Y310-SUM(Первоначальный[[#This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комиссиям]]),SUM(INDIRECT("M"&amp;(MAX((1=S$12:S310)*ROW(S$12:S310),ROW($W$12))&amp;":M"&amp;(ROW()))))-SUM(INDIRECT("W"&amp;(MAX((1=S$12:S310)*ROW(S$12:S310),ROW($W$12))&amp;":W"&amp;(ROW()-1)))))
)
)</f>
        <v>0</v>
      </c>
      <c r="X311" s="55">
        <f t="shared" ca="1" si="50"/>
        <v>0</v>
      </c>
      <c r="Y311" s="101">
        <f t="shared" ca="1" si="57"/>
        <v>0</v>
      </c>
      <c r="Z311" s="133" t="str">
        <f>IF(TYPE((VLOOKUP(Первоначальный[[#This Row],[Дата платежа]],График[Срок конец],1,0)))=16,"",1)</f>
        <v/>
      </c>
      <c r="AA311" s="57"/>
      <c r="AB311" s="134"/>
      <c r="AC31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1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19120.509999999991</v>
      </c>
      <c r="AE31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201.13000000000028</v>
      </c>
      <c r="AF31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1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11878.420178688519</v>
      </c>
      <c r="AH311" s="55"/>
      <c r="AI311" s="55"/>
      <c r="AJ311" s="55"/>
      <c r="AK311" s="101">
        <f t="shared" ca="1" si="58"/>
        <v>180833.40017868849</v>
      </c>
      <c r="AL311" s="129">
        <f t="array" ref="AL311">MAX((УслРестрактов[Характеристика]="Дата реструктуризации")*(УслРестрактов[Значение]=Первоначальный!$A311),0)</f>
        <v>0</v>
      </c>
    </row>
    <row r="312" spans="1:38" x14ac:dyDescent="0.25">
      <c r="A312" s="97">
        <f t="shared" si="51"/>
        <v>44443</v>
      </c>
      <c r="B312" s="100">
        <f t="shared" ca="1" si="52"/>
        <v>149633.34</v>
      </c>
      <c r="C312" s="55">
        <f t="shared" ca="1" si="60"/>
        <v>19120.509999999991</v>
      </c>
      <c r="D312" s="55">
        <f t="shared" ca="1" si="60"/>
        <v>201.13000000000028</v>
      </c>
      <c r="E312" s="55">
        <f t="shared" ca="1" si="53"/>
        <v>0</v>
      </c>
      <c r="F312" s="55">
        <f t="shared" ca="1" si="54"/>
        <v>11878.420178688519</v>
      </c>
      <c r="G312" s="101">
        <f t="shared" ca="1" si="55"/>
        <v>180833.40017868849</v>
      </c>
      <c r="H312" s="100">
        <f ca="1">ROUND($B312*VLOOKUP($A312,$A$1:$B$10,2,1)/(365+IF(MOD(YEAR($A312),4),0,1)*($A312-$A311)),2)-Первоначальный[[#This Row],[Проценты на просроченный платеж по ОД за период]]</f>
        <v>79.87</v>
      </c>
      <c r="I312" s="55">
        <f t="shared" ca="1" si="56"/>
        <v>1.71</v>
      </c>
      <c r="J312" s="55">
        <v>0</v>
      </c>
      <c r="K312" s="55">
        <f t="shared" ca="1" si="59"/>
        <v>101.32850327868853</v>
      </c>
      <c r="L312" s="55">
        <v>0</v>
      </c>
      <c r="M312" s="113">
        <f>SUMIFS(График[Возврат основной суммы долга],График[Дата с учетом нерабочих дней],$A312)</f>
        <v>0</v>
      </c>
      <c r="N312" s="56">
        <f>SUMIFS(График[Возврат начисленных %],График[Дата с учетом нерабочих дней],$A312)</f>
        <v>0</v>
      </c>
      <c r="O312" s="101">
        <v>0</v>
      </c>
      <c r="P312" s="100" cm="1">
        <f t="array" aca="1" ref="P312" ca="1">MAX(IF(AA311="Да",0,SUM(INDIRECT("M"&amp;(MAX(("Да"=AA$12:AA311)*ROW(AA$12:AA311)+1,ROW($P$12))&amp;":M"&amp;(ROW()))))-SUM(INDIRECT("W"&amp;(MAX(("Да"=AA$12:AA311)*ROW(AA$12:AA311)+1,ROW($P$12))&amp;":W"&amp;(ROW()))))),0)</f>
        <v>3142.5499999999993</v>
      </c>
      <c r="Q312" s="99">
        <f ca="1">MAX(SUM($N$13:N312)-SUM($T$13:T312),0)</f>
        <v>17123.150655737707</v>
      </c>
      <c r="R312" s="99">
        <f ca="1">Первоначальный[[#This Row],[Просроченный платеж по ОД]]+Первоначальный[[#This Row],[Просроченный платеж по процентам]]</f>
        <v>20265.700655737706</v>
      </c>
      <c r="S312" s="120">
        <f ca="1">IF(Первоначальный[[#This Row],[Просроченный платеж]]&lt;1,0,S311+1)</f>
        <v>208</v>
      </c>
      <c r="T312" s="100" cm="1">
        <f t="array" aca="1" ref="T312" ca="1">IF(Первоначальный[[#This Row],[Итого остаток на начало периода]]&lt;1,0,
IF(
AND(TYPE(VLOOKUP(1,$Z$12:Z312,1,0))=16,Первоначальный[[#This Row],[Досрочное погашение (да/"")]]=""),0,
_xlfn.IFS(AND(S311=0,Первоначальный[[#This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платеж]]&lt;&gt;0),MIN(LOOKUP(,-1/($Z$12:Z312=1),$C$12:C312)+LOOKUP(,-1/($Z$12:Z312=1),$H$12:H312),Первоначальный[[#This Row],[Полученный платеж]]+Y311),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платеж]]+Y311,SUM(Первоначальный[[#This Row],[Остаток процентов на начало периода]],Первоначальный[[#This Row],[Проценты за период]])),
AND(S311=0,Первоначальный[[#This Row],[Дата платежа из графика]]=""),0,
AND(S311=0,Первоначальный[[#This Row],[Дата платежа из графика]]=1,MAX((0&lt;&gt;S$12:S311)*ROW(S$12:S311),ROW($S$12))&gt;=MAX((1=Z$12:Z311)*ROW(Z$12:Z311),ROW($T$12)),TYPE(VLOOKUP("Да",(INDIRECT("AA"&amp;(MAX((1=Z$12:Z311)*ROW(Z$12:Z311),ROW($T$12))&amp;":AA"&amp;(ROW()-1)))),1,0))=16),MIN(LOOKUP(,-1/($Z$12:Z312=1),$C$12:C312)+LOOKUP(,-1/($Z$12:Z312=1),$H$12:H312),Первоначальный[[#This Row],[Полученный платеж]]+Y311),
AND(S311=0,TYPE(VLOOKUP("Да",(INDIRECT("AA"&amp;(MAX((1=Z$12:Z311)*ROW(Z$12:Z311),ROW($T$12))&amp;":AA"&amp;(ROW()-1)))),1,0))&lt;&gt;16),MIN(LOOKUP(,-1/($Z$12:Z312=1),$C$12:C312)+LOOKUP(,-1/($Z$12:Z312=1),$H$12:H312)-IF(AA311="Да",0,SUM(INDIRECT("T"&amp;(MAX(("Да"=AA$12:AA311)*ROW(AA$12:AA311)+1,ROW($T$12))&amp;":T"&amp;(ROW()-1))))),Первоначальный[[#This Row],[Полученный платеж]]+Y311),
AND(S311=0,MAX((0&lt;&gt;N$12:N311)*ROW(N$12:N311),ROW($S$12))&gt;=MAX((1=Z$12:Z311)*ROW(Z$12:Z311),ROW($T$12))),MIN(LOOKUP(,-1/($Z$12:Z312=1),$C$12:C312)+LOOKUP(,-1/($Z$12:Z312=1),$H$12:H312)-IF(N311&lt;&gt;0,0,SUM(INDIRECT("T"&amp;(MAX((0&lt;&gt;N$12:N311)*ROW(N$12:N311)+1,ROW($T$12))&amp;":T"&amp;(ROW()-1))))),Первоначальный[[#This Row],[Полученный платеж]]+Y311),
AND(S311=0,Первоначальный[[#This Row],[Дата платежа из графика]]=1),MIN(LOOKUP(,-1/($Z$12:Z312=1),$C$12:C312)+LOOKUP(,-1/($Z$12:Z312=1),$H$12:H312)-IF(Z311=1,0,SUM(INDIRECT("T"&amp;(MAX((1=Z$12:Z311)*ROW(Z$12:Z311)+1,ROW($T$12))&amp;":T"&amp;(ROW()-1))))),Первоначальный[[#This Row],[Полученный платеж]]+Y311),
AND(Z311&gt;0,Первоначальный[[#This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платеж]]+Y311),
AND(S311&gt;0,MAX((0&lt;&gt;S$12:S311)*ROW(S$12:S311),ROW($S$12))&gt;=MAX((1=Z$12:Z311)*ROW(Z$12:Z311),ROW($T$12)),TYPE(VLOOKUP("Да",(INDIRECT("AA"&amp;(MAX((1=Z$12:Z311)*ROW(Z$12:Z311),ROW($T$12))&amp;":AA"&amp;(ROW()-1)))),1,0))=16),MIN(LOOKUP(,-1/($Z$12:Z312=1),$C$12:C312)+LOOKUP(,-1/($Z$12:Z312=1),$H$12:H312)-SUM(INDIRECT("T"&amp;(MAX((1=Z$12:Z311)*ROW(Z$12:Z311),ROW($T$12))&amp;":T"&amp;(ROW()-1)))),Первоначальный[[#This Row],[Полученный платеж]]+Y311),
S311&gt;0,MIN(LOOKUP(,-1/($Z$12:Z312=1),$C$12:C312)+LOOKUP(,-1/($Z$12:Z312=1),$H$12:H312)-IF(Z311=1,0,SUM(INDIRECT("T"&amp;(MAX((1=Z$12:Z311)*ROW(Z$12:Z311)+1,ROW($T$12))&amp;":T"&amp;(ROW()-1))))),Первоначальный[[#This Row],[Полученный платеж]]+Y311)
)
)
)</f>
        <v>0</v>
      </c>
      <c r="U31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платеж]]+Y311-Первоначальный[[#This Row],[Полученный платёж по процентам]])</f>
        <v>0</v>
      </c>
      <c r="V312" s="55">
        <f t="shared" ca="1" si="49"/>
        <v>0</v>
      </c>
      <c r="W312" s="55" cm="1">
        <f t="array" aca="1" ref="W312" ca="1">IF(Первоначальный[[#This Row],[Итого остаток на начало периода]]&lt;1,0,
_xlfn.IFS(
AND(TYPE(VLOOKUP(1,$Z$12:Z312,1,0))=16,Первоначальный[[#This Row],[Досрочное погашение (да/"")]]=""),0,
AND(S311=0,Первоначальный[[#This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платеж]]+Y311-SUM(Первоначальный[[#This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комиссиям]]),VLOOKUP(LOOKUP(,-1/($Z$12:Z312=1),$A$12:A312),График[[Срок конец]:[Возврат основной суммы долга]],3,0)),
AND(S311=0,Первоначальный[[#This Row],[Дата платежа из графика]]="",Первоначальный[[#This Row],[Досрочное погашение (да/"")]]&lt;&gt;"Да"),0,
AND(S311=0,Первоначальный[[#This Row],[Досрочное погашение (да/"")]]=""),MIN(Первоначальный[[#This Row],[Полученный платеж]]+Y311-SUM(Первоначальный[[#This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комиссиям]]),VLOOKUP(LOOKUP(,-1/($Z$12:Z312=1),$A$12:A312),График[[Срок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платеж]]+Y311-SUM(Первоначальный[[#This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S311&gt;0,MIN(Первоначальный[[#This Row],[Полученный платеж]]+Y311-SUM(Первоначальный[[#This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комиссиям]]),SUM(INDIRECT("M"&amp;(MAX((1=S$12:S311)*ROW(S$12:S311),ROW($W$12))&amp;":M"&amp;(ROW()))))-SUM(INDIRECT("W"&amp;(MAX((1=S$12:S311)*ROW(S$12:S311),ROW($W$12))&amp;":W"&amp;(ROW()-1)))))
)
)</f>
        <v>0</v>
      </c>
      <c r="X312" s="55">
        <f t="shared" ca="1" si="50"/>
        <v>0</v>
      </c>
      <c r="Y312" s="101">
        <f t="shared" ca="1" si="57"/>
        <v>0</v>
      </c>
      <c r="Z312" s="133" t="str">
        <f>IF(TYPE((VLOOKUP(Первоначальный[[#This Row],[Дата платежа]],График[Срок конец],1,0)))=16,"",1)</f>
        <v/>
      </c>
      <c r="AA312" s="57"/>
      <c r="AB312" s="134"/>
      <c r="AC31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1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19200.37999999999</v>
      </c>
      <c r="AE31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202.84000000000029</v>
      </c>
      <c r="AF31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1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11979.748681967207</v>
      </c>
      <c r="AH312" s="55"/>
      <c r="AI312" s="55"/>
      <c r="AJ312" s="55"/>
      <c r="AK312" s="101">
        <f t="shared" ca="1" si="58"/>
        <v>181016.30868196717</v>
      </c>
      <c r="AL312" s="129">
        <f t="array" ref="AL312">MAX((УслРестрактов[Характеристика]="Дата реструктуризации")*(УслРестрактов[Значение]=Первоначальный!$A312),0)</f>
        <v>0</v>
      </c>
    </row>
    <row r="313" spans="1:38" x14ac:dyDescent="0.25">
      <c r="A313" s="97">
        <f t="shared" si="51"/>
        <v>44444</v>
      </c>
      <c r="B313" s="100">
        <f t="shared" ca="1" si="52"/>
        <v>149633.34</v>
      </c>
      <c r="C313" s="55">
        <f t="shared" ca="1" si="60"/>
        <v>19200.37999999999</v>
      </c>
      <c r="D313" s="55">
        <f t="shared" ca="1" si="60"/>
        <v>202.84000000000029</v>
      </c>
      <c r="E313" s="55">
        <f t="shared" ca="1" si="53"/>
        <v>0</v>
      </c>
      <c r="F313" s="55">
        <f t="shared" ca="1" si="54"/>
        <v>11979.748681967207</v>
      </c>
      <c r="G313" s="101">
        <f t="shared" ca="1" si="55"/>
        <v>181016.30868196717</v>
      </c>
      <c r="H313" s="100">
        <f ca="1">ROUND($B313*VLOOKUP($A313,$A$1:$B$10,2,1)/(365+IF(MOD(YEAR($A313),4),0,1)*($A313-$A312)),2)-Первоначальный[[#This Row],[Проценты на просроченный платеж по ОД за период]]</f>
        <v>79.87</v>
      </c>
      <c r="I313" s="55">
        <f t="shared" ca="1" si="56"/>
        <v>1.71</v>
      </c>
      <c r="J313" s="55">
        <v>0</v>
      </c>
      <c r="K313" s="55">
        <f t="shared" ca="1" si="59"/>
        <v>101.32850327868853</v>
      </c>
      <c r="L313" s="55">
        <v>0</v>
      </c>
      <c r="M313" s="113">
        <f>SUMIFS(График[Возврат основной суммы долга],График[Дата с учетом нерабочих дней],$A313)</f>
        <v>0</v>
      </c>
      <c r="N313" s="56">
        <f>SUMIFS(График[Возврат начисленных %],График[Дата с учетом нерабочих дней],$A313)</f>
        <v>0</v>
      </c>
      <c r="O313" s="101">
        <v>0</v>
      </c>
      <c r="P313" s="100" cm="1">
        <f t="array" aca="1" ref="P313" ca="1">MAX(IF(AA312="Да",0,SUM(INDIRECT("M"&amp;(MAX(("Да"=AA$12:AA312)*ROW(AA$12:AA312)+1,ROW($P$12))&amp;":M"&amp;(ROW()))))-SUM(INDIRECT("W"&amp;(MAX(("Да"=AA$12:AA312)*ROW(AA$12:AA312)+1,ROW($P$12))&amp;":W"&amp;(ROW()))))),0)</f>
        <v>3142.5499999999993</v>
      </c>
      <c r="Q313" s="99">
        <f ca="1">MAX(SUM($N$13:N313)-SUM($T$13:T313),0)</f>
        <v>17123.150655737707</v>
      </c>
      <c r="R313" s="99">
        <f ca="1">Первоначальный[[#This Row],[Просроченный платеж по ОД]]+Первоначальный[[#This Row],[Просроченный платеж по процентам]]</f>
        <v>20265.700655737706</v>
      </c>
      <c r="S313" s="120">
        <f ca="1">IF(Первоначальный[[#This Row],[Просроченный платеж]]&lt;1,0,S312+1)</f>
        <v>209</v>
      </c>
      <c r="T313" s="100" cm="1">
        <f t="array" aca="1" ref="T313" ca="1">IF(Первоначальный[[#This Row],[Итого остаток на начало периода]]&lt;1,0,
IF(
AND(TYPE(VLOOKUP(1,$Z$12:Z313,1,0))=16,Первоначальный[[#This Row],[Досрочное погашение (да/"")]]=""),0,
_xlfn.IFS(AND(S312=0,Первоначальный[[#This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платеж]]&lt;&gt;0),MIN(LOOKUP(,-1/($Z$12:Z313=1),$C$12:C313)+LOOKUP(,-1/($Z$12:Z313=1),$H$12:H313),Первоначальный[[#This Row],[Полученный платеж]]+Y312),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платеж]]+Y312,SUM(Первоначальный[[#This Row],[Остаток процентов на начало периода]],Первоначальный[[#This Row],[Проценты за период]])),
AND(S312=0,Первоначальный[[#This Row],[Дата платежа из графика]]=""),0,
AND(S312=0,Первоначальный[[#This Row],[Дата платежа из графика]]=1,MAX((0&lt;&gt;S$12:S312)*ROW(S$12:S312),ROW($S$12))&gt;=MAX((1=Z$12:Z312)*ROW(Z$12:Z312),ROW($T$12)),TYPE(VLOOKUP("Да",(INDIRECT("AA"&amp;(MAX((1=Z$12:Z312)*ROW(Z$12:Z312),ROW($T$12))&amp;":AA"&amp;(ROW()-1)))),1,0))=16),MIN(LOOKUP(,-1/($Z$12:Z313=1),$C$12:C313)+LOOKUP(,-1/($Z$12:Z313=1),$H$12:H313),Первоначальный[[#This Row],[Полученный платеж]]+Y312),
AND(S312=0,TYPE(VLOOKUP("Да",(INDIRECT("AA"&amp;(MAX((1=Z$12:Z312)*ROW(Z$12:Z312),ROW($T$12))&amp;":AA"&amp;(ROW()-1)))),1,0))&lt;&gt;16),MIN(LOOKUP(,-1/($Z$12:Z313=1),$C$12:C313)+LOOKUP(,-1/($Z$12:Z313=1),$H$12:H313)-IF(AA312="Да",0,SUM(INDIRECT("T"&amp;(MAX(("Да"=AA$12:AA312)*ROW(AA$12:AA312)+1,ROW($T$12))&amp;":T"&amp;(ROW()-1))))),Первоначальный[[#This Row],[Полученный платеж]]+Y312),
AND(S312=0,MAX((0&lt;&gt;N$12:N312)*ROW(N$12:N312),ROW($S$12))&gt;=MAX((1=Z$12:Z312)*ROW(Z$12:Z312),ROW($T$12))),MIN(LOOKUP(,-1/($Z$12:Z313=1),$C$12:C313)+LOOKUP(,-1/($Z$12:Z313=1),$H$12:H313)-IF(N312&lt;&gt;0,0,SUM(INDIRECT("T"&amp;(MAX((0&lt;&gt;N$12:N312)*ROW(N$12:N312)+1,ROW($T$12))&amp;":T"&amp;(ROW()-1))))),Первоначальный[[#This Row],[Полученный платеж]]+Y312),
AND(S312=0,Первоначальный[[#This Row],[Дата платежа из графика]]=1),MIN(LOOKUP(,-1/($Z$12:Z313=1),$C$12:C313)+LOOKUP(,-1/($Z$12:Z313=1),$H$12:H313)-IF(Z312=1,0,SUM(INDIRECT("T"&amp;(MAX((1=Z$12:Z312)*ROW(Z$12:Z312)+1,ROW($T$12))&amp;":T"&amp;(ROW()-1))))),Первоначальный[[#This Row],[Полученный платеж]]+Y312),
AND(Z312&gt;0,Первоначальный[[#This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платеж]]+Y312),
AND(S312&gt;0,MAX((0&lt;&gt;S$12:S312)*ROW(S$12:S312),ROW($S$12))&gt;=MAX((1=Z$12:Z312)*ROW(Z$12:Z312),ROW($T$12)),TYPE(VLOOKUP("Да",(INDIRECT("AA"&amp;(MAX((1=Z$12:Z312)*ROW(Z$12:Z312),ROW($T$12))&amp;":AA"&amp;(ROW()-1)))),1,0))=16),MIN(LOOKUP(,-1/($Z$12:Z313=1),$C$12:C313)+LOOKUP(,-1/($Z$12:Z313=1),$H$12:H313)-SUM(INDIRECT("T"&amp;(MAX((1=Z$12:Z312)*ROW(Z$12:Z312),ROW($T$12))&amp;":T"&amp;(ROW()-1)))),Первоначальный[[#This Row],[Полученный платеж]]+Y312),
S312&gt;0,MIN(LOOKUP(,-1/($Z$12:Z313=1),$C$12:C313)+LOOKUP(,-1/($Z$12:Z313=1),$H$12:H313)-IF(Z312=1,0,SUM(INDIRECT("T"&amp;(MAX((1=Z$12:Z312)*ROW(Z$12:Z312)+1,ROW($T$12))&amp;":T"&amp;(ROW()-1))))),Первоначальный[[#This Row],[Полученный платеж]]+Y312)
)
)
)</f>
        <v>0</v>
      </c>
      <c r="U31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платеж]]+Y312-Первоначальный[[#This Row],[Полученный платёж по процентам]])</f>
        <v>0</v>
      </c>
      <c r="V313" s="55">
        <f t="shared" ca="1" si="49"/>
        <v>0</v>
      </c>
      <c r="W313" s="55" cm="1">
        <f t="array" aca="1" ref="W313" ca="1">IF(Первоначальный[[#This Row],[Итого остаток на начало периода]]&lt;1,0,
_xlfn.IFS(
AND(TYPE(VLOOKUP(1,$Z$12:Z313,1,0))=16,Первоначальный[[#This Row],[Досрочное погашение (да/"")]]=""),0,
AND(S312=0,Первоначальный[[#This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платеж]]+Y312-SUM(Первоначальный[[#This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комиссиям]]),VLOOKUP(LOOKUP(,-1/($Z$12:Z313=1),$A$12:A313),График[[Срок конец]:[Возврат основной суммы долга]],3,0)),
AND(S312=0,Первоначальный[[#This Row],[Дата платежа из графика]]="",Первоначальный[[#This Row],[Досрочное погашение (да/"")]]&lt;&gt;"Да"),0,
AND(S312=0,Первоначальный[[#This Row],[Досрочное погашение (да/"")]]=""),MIN(Первоначальный[[#This Row],[Полученный платеж]]+Y312-SUM(Первоначальный[[#This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комиссиям]]),VLOOKUP(LOOKUP(,-1/($Z$12:Z313=1),$A$12:A313),График[[Срок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платеж]]+Y312-SUM(Первоначальный[[#This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S312&gt;0,MIN(Первоначальный[[#This Row],[Полученный платеж]]+Y312-SUM(Первоначальный[[#This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комиссиям]]),SUM(INDIRECT("M"&amp;(MAX((1=S$12:S312)*ROW(S$12:S312),ROW($W$12))&amp;":M"&amp;(ROW()))))-SUM(INDIRECT("W"&amp;(MAX((1=S$12:S312)*ROW(S$12:S312),ROW($W$12))&amp;":W"&amp;(ROW()-1)))))
)
)</f>
        <v>0</v>
      </c>
      <c r="X313" s="55">
        <f t="shared" ca="1" si="50"/>
        <v>0</v>
      </c>
      <c r="Y313" s="101">
        <f t="shared" ca="1" si="57"/>
        <v>0</v>
      </c>
      <c r="Z313" s="133" t="str">
        <f>IF(TYPE((VLOOKUP(Первоначальный[[#This Row],[Дата платежа]],График[Срок конец],1,0)))=16,"",1)</f>
        <v/>
      </c>
      <c r="AA313" s="57"/>
      <c r="AB313" s="134"/>
      <c r="AC31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1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19280.249999999989</v>
      </c>
      <c r="AE31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204.5500000000003</v>
      </c>
      <c r="AF31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1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12081.077185245895</v>
      </c>
      <c r="AH313" s="55"/>
      <c r="AI313" s="55"/>
      <c r="AJ313" s="55"/>
      <c r="AK313" s="101">
        <f t="shared" ca="1" si="58"/>
        <v>181199.21718524589</v>
      </c>
      <c r="AL313" s="129">
        <f t="array" ref="AL313">MAX((УслРестрактов[Характеристика]="Дата реструктуризации")*(УслРестрактов[Значение]=Первоначальный!$A313),0)</f>
        <v>0</v>
      </c>
    </row>
    <row r="314" spans="1:38" x14ac:dyDescent="0.25">
      <c r="A314" s="97">
        <f t="shared" si="51"/>
        <v>44445</v>
      </c>
      <c r="B314" s="100">
        <f t="shared" ca="1" si="52"/>
        <v>149633.34</v>
      </c>
      <c r="C314" s="55">
        <f t="shared" ca="1" si="60"/>
        <v>19280.249999999989</v>
      </c>
      <c r="D314" s="55">
        <f t="shared" ca="1" si="60"/>
        <v>204.5500000000003</v>
      </c>
      <c r="E314" s="55">
        <f t="shared" ca="1" si="53"/>
        <v>0</v>
      </c>
      <c r="F314" s="55">
        <f t="shared" ca="1" si="54"/>
        <v>12081.077185245895</v>
      </c>
      <c r="G314" s="101">
        <f t="shared" ca="1" si="55"/>
        <v>181199.21718524589</v>
      </c>
      <c r="H314" s="100">
        <f ca="1">ROUND($B314*VLOOKUP($A314,$A$1:$B$10,2,1)/(365+IF(MOD(YEAR($A314),4),0,1)*($A314-$A313)),2)-Первоначальный[[#This Row],[Проценты на просроченный платеж по ОД за период]]</f>
        <v>79.87</v>
      </c>
      <c r="I314" s="55">
        <f t="shared" ca="1" si="56"/>
        <v>1.71</v>
      </c>
      <c r="J314" s="55">
        <v>0</v>
      </c>
      <c r="K314" s="55">
        <f t="shared" ca="1" si="59"/>
        <v>101.32850327868853</v>
      </c>
      <c r="L314" s="55">
        <v>0</v>
      </c>
      <c r="M314" s="113">
        <f>SUMIFS(График[Возврат основной суммы долга],График[Дата с учетом нерабочих дней],$A314)</f>
        <v>0</v>
      </c>
      <c r="N314" s="56">
        <f>SUMIFS(График[Возврат начисленных %],График[Дата с учетом нерабочих дней],$A314)</f>
        <v>0</v>
      </c>
      <c r="O314" s="101">
        <v>0</v>
      </c>
      <c r="P314" s="100" cm="1">
        <f t="array" aca="1" ref="P314" ca="1">MAX(IF(AA313="Да",0,SUM(INDIRECT("M"&amp;(MAX(("Да"=AA$12:AA313)*ROW(AA$12:AA313)+1,ROW($P$12))&amp;":M"&amp;(ROW()))))-SUM(INDIRECT("W"&amp;(MAX(("Да"=AA$12:AA313)*ROW(AA$12:AA313)+1,ROW($P$12))&amp;":W"&amp;(ROW()))))),0)</f>
        <v>3142.5499999999993</v>
      </c>
      <c r="Q314" s="99">
        <f ca="1">MAX(SUM($N$13:N314)-SUM($T$13:T314),0)</f>
        <v>17123.150655737707</v>
      </c>
      <c r="R314" s="99">
        <f ca="1">Первоначальный[[#This Row],[Просроченный платеж по ОД]]+Первоначальный[[#This Row],[Просроченный платеж по процентам]]</f>
        <v>20265.700655737706</v>
      </c>
      <c r="S314" s="120">
        <f ca="1">IF(Первоначальный[[#This Row],[Просроченный платеж]]&lt;1,0,S313+1)</f>
        <v>210</v>
      </c>
      <c r="T314" s="100" cm="1">
        <f t="array" aca="1" ref="T314" ca="1">IF(Первоначальный[[#This Row],[Итого остаток на начало периода]]&lt;1,0,
IF(
AND(TYPE(VLOOKUP(1,$Z$12:Z314,1,0))=16,Первоначальный[[#This Row],[Досрочное погашение (да/"")]]=""),0,
_xlfn.IFS(AND(S313=0,Первоначальный[[#This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платеж]]&lt;&gt;0),MIN(LOOKUP(,-1/($Z$12:Z314=1),$C$12:C314)+LOOKUP(,-1/($Z$12:Z314=1),$H$12:H314),Первоначальный[[#This Row],[Полученный платеж]]+Y313),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платеж]]+Y313,SUM(Первоначальный[[#This Row],[Остаток процентов на начало периода]],Первоначальный[[#This Row],[Проценты за период]])),
AND(S313=0,Первоначальный[[#This Row],[Дата платежа из графика]]=""),0,
AND(S313=0,Первоначальный[[#This Row],[Дата платежа из графика]]=1,MAX((0&lt;&gt;S$12:S313)*ROW(S$12:S313),ROW($S$12))&gt;=MAX((1=Z$12:Z313)*ROW(Z$12:Z313),ROW($T$12)),TYPE(VLOOKUP("Да",(INDIRECT("AA"&amp;(MAX((1=Z$12:Z313)*ROW(Z$12:Z313),ROW($T$12))&amp;":AA"&amp;(ROW()-1)))),1,0))=16),MIN(LOOKUP(,-1/($Z$12:Z314=1),$C$12:C314)+LOOKUP(,-1/($Z$12:Z314=1),$H$12:H314),Первоначальный[[#This Row],[Полученный платеж]]+Y313),
AND(S313=0,TYPE(VLOOKUP("Да",(INDIRECT("AA"&amp;(MAX((1=Z$12:Z313)*ROW(Z$12:Z313),ROW($T$12))&amp;":AA"&amp;(ROW()-1)))),1,0))&lt;&gt;16),MIN(LOOKUP(,-1/($Z$12:Z314=1),$C$12:C314)+LOOKUP(,-1/($Z$12:Z314=1),$H$12:H314)-IF(AA313="Да",0,SUM(INDIRECT("T"&amp;(MAX(("Да"=AA$12:AA313)*ROW(AA$12:AA313)+1,ROW($T$12))&amp;":T"&amp;(ROW()-1))))),Первоначальный[[#This Row],[Полученный платеж]]+Y313),
AND(S313=0,MAX((0&lt;&gt;N$12:N313)*ROW(N$12:N313),ROW($S$12))&gt;=MAX((1=Z$12:Z313)*ROW(Z$12:Z313),ROW($T$12))),MIN(LOOKUP(,-1/($Z$12:Z314=1),$C$12:C314)+LOOKUP(,-1/($Z$12:Z314=1),$H$12:H314)-IF(N313&lt;&gt;0,0,SUM(INDIRECT("T"&amp;(MAX((0&lt;&gt;N$12:N313)*ROW(N$12:N313)+1,ROW($T$12))&amp;":T"&amp;(ROW()-1))))),Первоначальный[[#This Row],[Полученный платеж]]+Y313),
AND(S313=0,Первоначальный[[#This Row],[Дата платежа из графика]]=1),MIN(LOOKUP(,-1/($Z$12:Z314=1),$C$12:C314)+LOOKUP(,-1/($Z$12:Z314=1),$H$12:H314)-IF(Z313=1,0,SUM(INDIRECT("T"&amp;(MAX((1=Z$12:Z313)*ROW(Z$12:Z313)+1,ROW($T$12))&amp;":T"&amp;(ROW()-1))))),Первоначальный[[#This Row],[Полученный платеж]]+Y313),
AND(Z313&gt;0,Первоначальный[[#This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платеж]]+Y313),
AND(S313&gt;0,MAX((0&lt;&gt;S$12:S313)*ROW(S$12:S313),ROW($S$12))&gt;=MAX((1=Z$12:Z313)*ROW(Z$12:Z313),ROW($T$12)),TYPE(VLOOKUP("Да",(INDIRECT("AA"&amp;(MAX((1=Z$12:Z313)*ROW(Z$12:Z313),ROW($T$12))&amp;":AA"&amp;(ROW()-1)))),1,0))=16),MIN(LOOKUP(,-1/($Z$12:Z314=1),$C$12:C314)+LOOKUP(,-1/($Z$12:Z314=1),$H$12:H314)-SUM(INDIRECT("T"&amp;(MAX((1=Z$12:Z313)*ROW(Z$12:Z313),ROW($T$12))&amp;":T"&amp;(ROW()-1)))),Первоначальный[[#This Row],[Полученный платеж]]+Y313),
S313&gt;0,MIN(LOOKUP(,-1/($Z$12:Z314=1),$C$12:C314)+LOOKUP(,-1/($Z$12:Z314=1),$H$12:H314)-IF(Z313=1,0,SUM(INDIRECT("T"&amp;(MAX((1=Z$12:Z313)*ROW(Z$12:Z313)+1,ROW($T$12))&amp;":T"&amp;(ROW()-1))))),Первоначальный[[#This Row],[Полученный платеж]]+Y313)
)
)
)</f>
        <v>0</v>
      </c>
      <c r="U31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платеж]]+Y313-Первоначальный[[#This Row],[Полученный платёж по процентам]])</f>
        <v>0</v>
      </c>
      <c r="V314" s="55">
        <f t="shared" ca="1" si="49"/>
        <v>0</v>
      </c>
      <c r="W314" s="55" cm="1">
        <f t="array" aca="1" ref="W314" ca="1">IF(Первоначальный[[#This Row],[Итого остаток на начало периода]]&lt;1,0,
_xlfn.IFS(
AND(TYPE(VLOOKUP(1,$Z$12:Z314,1,0))=16,Первоначальный[[#This Row],[Досрочное погашение (да/"")]]=""),0,
AND(S313=0,Первоначальный[[#This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платеж]]+Y313-SUM(Первоначальный[[#This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комиссиям]]),VLOOKUP(LOOKUP(,-1/($Z$12:Z314=1),$A$12:A314),График[[Срок конец]:[Возврат основной суммы долга]],3,0)),
AND(S313=0,Первоначальный[[#This Row],[Дата платежа из графика]]="",Первоначальный[[#This Row],[Досрочное погашение (да/"")]]&lt;&gt;"Да"),0,
AND(S313=0,Первоначальный[[#This Row],[Досрочное погашение (да/"")]]=""),MIN(Первоначальный[[#This Row],[Полученный платеж]]+Y313-SUM(Первоначальный[[#This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комиссиям]]),VLOOKUP(LOOKUP(,-1/($Z$12:Z314=1),$A$12:A314),График[[Срок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платеж]]+Y313-SUM(Первоначальный[[#This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S313&gt;0,MIN(Первоначальный[[#This Row],[Полученный платеж]]+Y313-SUM(Первоначальный[[#This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комиссиям]]),SUM(INDIRECT("M"&amp;(MAX((1=S$12:S313)*ROW(S$12:S313),ROW($W$12))&amp;":M"&amp;(ROW()))))-SUM(INDIRECT("W"&amp;(MAX((1=S$12:S313)*ROW(S$12:S313),ROW($W$12))&amp;":W"&amp;(ROW()-1)))))
)
)</f>
        <v>0</v>
      </c>
      <c r="X314" s="55">
        <f t="shared" ca="1" si="50"/>
        <v>0</v>
      </c>
      <c r="Y314" s="101">
        <f t="shared" ca="1" si="57"/>
        <v>0</v>
      </c>
      <c r="Z314" s="133" t="str">
        <f>IF(TYPE((VLOOKUP(Первоначальный[[#This Row],[Дата платежа]],График[Срок конец],1,0)))=16,"",1)</f>
        <v/>
      </c>
      <c r="AA314" s="57"/>
      <c r="AB314" s="134"/>
      <c r="AC31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1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19360.119999999988</v>
      </c>
      <c r="AE31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206.2600000000003</v>
      </c>
      <c r="AF31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1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12182.405688524583</v>
      </c>
      <c r="AH314" s="55"/>
      <c r="AI314" s="55"/>
      <c r="AJ314" s="55"/>
      <c r="AK314" s="101">
        <f t="shared" ca="1" si="58"/>
        <v>181382.1256885246</v>
      </c>
      <c r="AL314" s="129">
        <f t="array" ref="AL314">MAX((УслРестрактов[Характеристика]="Дата реструктуризации")*(УслРестрактов[Значение]=Первоначальный!$A314),0)</f>
        <v>0</v>
      </c>
    </row>
    <row r="315" spans="1:38" x14ac:dyDescent="0.25">
      <c r="A315" s="97">
        <f t="shared" si="51"/>
        <v>44446</v>
      </c>
      <c r="B315" s="100">
        <f t="shared" ca="1" si="52"/>
        <v>149633.34</v>
      </c>
      <c r="C315" s="55">
        <f t="shared" ca="1" si="60"/>
        <v>19360.119999999988</v>
      </c>
      <c r="D315" s="55">
        <f t="shared" ca="1" si="60"/>
        <v>206.2600000000003</v>
      </c>
      <c r="E315" s="55">
        <f t="shared" ca="1" si="53"/>
        <v>0</v>
      </c>
      <c r="F315" s="55">
        <f t="shared" ca="1" si="54"/>
        <v>12182.405688524583</v>
      </c>
      <c r="G315" s="101">
        <f t="shared" ca="1" si="55"/>
        <v>181382.1256885246</v>
      </c>
      <c r="H315" s="100">
        <f ca="1">ROUND($B315*VLOOKUP($A315,$A$1:$B$10,2,1)/(365+IF(MOD(YEAR($A315),4),0,1)*($A315-$A314)),2)-Первоначальный[[#This Row],[Проценты на просроченный платеж по ОД за период]]</f>
        <v>79.87</v>
      </c>
      <c r="I315" s="55">
        <f t="shared" ca="1" si="56"/>
        <v>1.71</v>
      </c>
      <c r="J315" s="55">
        <v>0</v>
      </c>
      <c r="K315" s="55">
        <f t="shared" ca="1" si="59"/>
        <v>101.32850327868853</v>
      </c>
      <c r="L315" s="55">
        <v>0</v>
      </c>
      <c r="M315" s="113">
        <f>SUMIFS(График[Возврат основной суммы долга],График[Дата с учетом нерабочих дней],$A315)</f>
        <v>0</v>
      </c>
      <c r="N315" s="56">
        <f>SUMIFS(График[Возврат начисленных %],График[Дата с учетом нерабочих дней],$A315)</f>
        <v>0</v>
      </c>
      <c r="O315" s="101">
        <v>0</v>
      </c>
      <c r="P315" s="100" cm="1">
        <f t="array" aca="1" ref="P315" ca="1">MAX(IF(AA314="Да",0,SUM(INDIRECT("M"&amp;(MAX(("Да"=AA$12:AA314)*ROW(AA$12:AA314)+1,ROW($P$12))&amp;":M"&amp;(ROW()))))-SUM(INDIRECT("W"&amp;(MAX(("Да"=AA$12:AA314)*ROW(AA$12:AA314)+1,ROW($P$12))&amp;":W"&amp;(ROW()))))),0)</f>
        <v>3142.5499999999993</v>
      </c>
      <c r="Q315" s="99">
        <f ca="1">MAX(SUM($N$13:N315)-SUM($T$13:T315),0)</f>
        <v>17123.150655737707</v>
      </c>
      <c r="R315" s="99">
        <f ca="1">Первоначальный[[#This Row],[Просроченный платеж по ОД]]+Первоначальный[[#This Row],[Просроченный платеж по процентам]]</f>
        <v>20265.700655737706</v>
      </c>
      <c r="S315" s="120">
        <f ca="1">IF(Первоначальный[[#This Row],[Просроченный платеж]]&lt;1,0,S314+1)</f>
        <v>211</v>
      </c>
      <c r="T315" s="100" cm="1">
        <f t="array" aca="1" ref="T315" ca="1">IF(Первоначальный[[#This Row],[Итого остаток на начало периода]]&lt;1,0,
IF(
AND(TYPE(VLOOKUP(1,$Z$12:Z315,1,0))=16,Первоначальный[[#This Row],[Досрочное погашение (да/"")]]=""),0,
_xlfn.IFS(AND(S314=0,Первоначальный[[#This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платеж]]&lt;&gt;0),MIN(LOOKUP(,-1/($Z$12:Z315=1),$C$12:C315)+LOOKUP(,-1/($Z$12:Z315=1),$H$12:H315),Первоначальный[[#This Row],[Полученный платеж]]+Y314),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платеж]]+Y314,SUM(Первоначальный[[#This Row],[Остаток процентов на начало периода]],Первоначальный[[#This Row],[Проценты за период]])),
AND(S314=0,Первоначальный[[#This Row],[Дата платежа из графика]]=""),0,
AND(S314=0,Первоначальный[[#This Row],[Дата платежа из графика]]=1,MAX((0&lt;&gt;S$12:S314)*ROW(S$12:S314),ROW($S$12))&gt;=MAX((1=Z$12:Z314)*ROW(Z$12:Z314),ROW($T$12)),TYPE(VLOOKUP("Да",(INDIRECT("AA"&amp;(MAX((1=Z$12:Z314)*ROW(Z$12:Z314),ROW($T$12))&amp;":AA"&amp;(ROW()-1)))),1,0))=16),MIN(LOOKUP(,-1/($Z$12:Z315=1),$C$12:C315)+LOOKUP(,-1/($Z$12:Z315=1),$H$12:H315),Первоначальный[[#This Row],[Полученный платеж]]+Y314),
AND(S314=0,TYPE(VLOOKUP("Да",(INDIRECT("AA"&amp;(MAX((1=Z$12:Z314)*ROW(Z$12:Z314),ROW($T$12))&amp;":AA"&amp;(ROW()-1)))),1,0))&lt;&gt;16),MIN(LOOKUP(,-1/($Z$12:Z315=1),$C$12:C315)+LOOKUP(,-1/($Z$12:Z315=1),$H$12:H315)-IF(AA314="Да",0,SUM(INDIRECT("T"&amp;(MAX(("Да"=AA$12:AA314)*ROW(AA$12:AA314)+1,ROW($T$12))&amp;":T"&amp;(ROW()-1))))),Первоначальный[[#This Row],[Полученный платеж]]+Y314),
AND(S314=0,MAX((0&lt;&gt;N$12:N314)*ROW(N$12:N314),ROW($S$12))&gt;=MAX((1=Z$12:Z314)*ROW(Z$12:Z314),ROW($T$12))),MIN(LOOKUP(,-1/($Z$12:Z315=1),$C$12:C315)+LOOKUP(,-1/($Z$12:Z315=1),$H$12:H315)-IF(N314&lt;&gt;0,0,SUM(INDIRECT("T"&amp;(MAX((0&lt;&gt;N$12:N314)*ROW(N$12:N314)+1,ROW($T$12))&amp;":T"&amp;(ROW()-1))))),Первоначальный[[#This Row],[Полученный платеж]]+Y314),
AND(S314=0,Первоначальный[[#This Row],[Дата платежа из графика]]=1),MIN(LOOKUP(,-1/($Z$12:Z315=1),$C$12:C315)+LOOKUP(,-1/($Z$12:Z315=1),$H$12:H315)-IF(Z314=1,0,SUM(INDIRECT("T"&amp;(MAX((1=Z$12:Z314)*ROW(Z$12:Z314)+1,ROW($T$12))&amp;":T"&amp;(ROW()-1))))),Первоначальный[[#This Row],[Полученный платеж]]+Y314),
AND(Z314&gt;0,Первоначальный[[#This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платеж]]+Y314),
AND(S314&gt;0,MAX((0&lt;&gt;S$12:S314)*ROW(S$12:S314),ROW($S$12))&gt;=MAX((1=Z$12:Z314)*ROW(Z$12:Z314),ROW($T$12)),TYPE(VLOOKUP("Да",(INDIRECT("AA"&amp;(MAX((1=Z$12:Z314)*ROW(Z$12:Z314),ROW($T$12))&amp;":AA"&amp;(ROW()-1)))),1,0))=16),MIN(LOOKUP(,-1/($Z$12:Z315=1),$C$12:C315)+LOOKUP(,-1/($Z$12:Z315=1),$H$12:H315)-SUM(INDIRECT("T"&amp;(MAX((1=Z$12:Z314)*ROW(Z$12:Z314),ROW($T$12))&amp;":T"&amp;(ROW()-1)))),Первоначальный[[#This Row],[Полученный платеж]]+Y314),
S314&gt;0,MIN(LOOKUP(,-1/($Z$12:Z315=1),$C$12:C315)+LOOKUP(,-1/($Z$12:Z315=1),$H$12:H315)-IF(Z314=1,0,SUM(INDIRECT("T"&amp;(MAX((1=Z$12:Z314)*ROW(Z$12:Z314)+1,ROW($T$12))&amp;":T"&amp;(ROW()-1))))),Первоначальный[[#This Row],[Полученный платеж]]+Y314)
)
)
)</f>
        <v>0</v>
      </c>
      <c r="U31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платеж]]+Y314-Первоначальный[[#This Row],[Полученный платёж по процентам]])</f>
        <v>0</v>
      </c>
      <c r="V315" s="55">
        <f t="shared" ca="1" si="49"/>
        <v>0</v>
      </c>
      <c r="W315" s="55" cm="1">
        <f t="array" aca="1" ref="W315" ca="1">IF(Первоначальный[[#This Row],[Итого остаток на начало периода]]&lt;1,0,
_xlfn.IFS(
AND(TYPE(VLOOKUP(1,$Z$12:Z315,1,0))=16,Первоначальный[[#This Row],[Досрочное погашение (да/"")]]=""),0,
AND(S314=0,Первоначальный[[#This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платеж]]+Y314-SUM(Первоначальный[[#This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комиссиям]]),VLOOKUP(LOOKUP(,-1/($Z$12:Z315=1),$A$12:A315),График[[Срок конец]:[Возврат основной суммы долга]],3,0)),
AND(S314=0,Первоначальный[[#This Row],[Дата платежа из графика]]="",Первоначальный[[#This Row],[Досрочное погашение (да/"")]]&lt;&gt;"Да"),0,
AND(S314=0,Первоначальный[[#This Row],[Досрочное погашение (да/"")]]=""),MIN(Первоначальный[[#This Row],[Полученный платеж]]+Y314-SUM(Первоначальный[[#This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комиссиям]]),VLOOKUP(LOOKUP(,-1/($Z$12:Z315=1),$A$12:A315),График[[Срок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платеж]]+Y314-SUM(Первоначальный[[#This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S314&gt;0,MIN(Первоначальный[[#This Row],[Полученный платеж]]+Y314-SUM(Первоначальный[[#This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комиссиям]]),SUM(INDIRECT("M"&amp;(MAX((1=S$12:S314)*ROW(S$12:S314),ROW($W$12))&amp;":M"&amp;(ROW()))))-SUM(INDIRECT("W"&amp;(MAX((1=S$12:S314)*ROW(S$12:S314),ROW($W$12))&amp;":W"&amp;(ROW()-1)))))
)
)</f>
        <v>0</v>
      </c>
      <c r="X315" s="55">
        <f t="shared" ca="1" si="50"/>
        <v>0</v>
      </c>
      <c r="Y315" s="101">
        <f t="shared" ca="1" si="57"/>
        <v>0</v>
      </c>
      <c r="Z315" s="133" t="str">
        <f>IF(TYPE((VLOOKUP(Первоначальный[[#This Row],[Дата платежа]],График[Срок конец],1,0)))=16,"",1)</f>
        <v/>
      </c>
      <c r="AA315" s="57"/>
      <c r="AB315" s="134"/>
      <c r="AC31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1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19439.989999999987</v>
      </c>
      <c r="AE31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207.97000000000031</v>
      </c>
      <c r="AF31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1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12283.734191803271</v>
      </c>
      <c r="AH315" s="55"/>
      <c r="AI315" s="55"/>
      <c r="AJ315" s="55"/>
      <c r="AK315" s="101">
        <f t="shared" ca="1" si="58"/>
        <v>181565.03419180325</v>
      </c>
      <c r="AL315" s="129">
        <f t="array" ref="AL315">MAX((УслРестрактов[Характеристика]="Дата реструктуризации")*(УслРестрактов[Значение]=Первоначальный!$A315),0)</f>
        <v>0</v>
      </c>
    </row>
    <row r="316" spans="1:38" x14ac:dyDescent="0.25">
      <c r="A316" s="97">
        <f t="shared" si="51"/>
        <v>44447</v>
      </c>
      <c r="B316" s="100">
        <f t="shared" ca="1" si="52"/>
        <v>149633.34</v>
      </c>
      <c r="C316" s="55">
        <f t="shared" ca="1" si="60"/>
        <v>19439.989999999987</v>
      </c>
      <c r="D316" s="55">
        <f t="shared" ca="1" si="60"/>
        <v>207.97000000000031</v>
      </c>
      <c r="E316" s="55">
        <f t="shared" ca="1" si="53"/>
        <v>0</v>
      </c>
      <c r="F316" s="55">
        <f t="shared" ca="1" si="54"/>
        <v>12283.734191803271</v>
      </c>
      <c r="G316" s="101">
        <f t="shared" ca="1" si="55"/>
        <v>181565.03419180325</v>
      </c>
      <c r="H316" s="100">
        <f ca="1">ROUND($B316*VLOOKUP($A316,$A$1:$B$10,2,1)/(365+IF(MOD(YEAR($A316),4),0,1)*($A316-$A315)),2)-Первоначальный[[#This Row],[Проценты на просроченный платеж по ОД за период]]</f>
        <v>79.87</v>
      </c>
      <c r="I316" s="55">
        <f t="shared" ca="1" si="56"/>
        <v>1.71</v>
      </c>
      <c r="J316" s="55">
        <v>0</v>
      </c>
      <c r="K316" s="55">
        <f t="shared" ca="1" si="59"/>
        <v>101.32850327868853</v>
      </c>
      <c r="L316" s="55">
        <v>0</v>
      </c>
      <c r="M316" s="113">
        <f>SUMIFS(График[Возврат основной суммы долга],График[Дата с учетом нерабочих дней],$A316)</f>
        <v>0</v>
      </c>
      <c r="N316" s="56">
        <f>SUMIFS(График[Возврат начисленных %],График[Дата с учетом нерабочих дней],$A316)</f>
        <v>0</v>
      </c>
      <c r="O316" s="101">
        <v>0</v>
      </c>
      <c r="P316" s="100" cm="1">
        <f t="array" aca="1" ref="P316" ca="1">MAX(IF(AA315="Да",0,SUM(INDIRECT("M"&amp;(MAX(("Да"=AA$12:AA315)*ROW(AA$12:AA315)+1,ROW($P$12))&amp;":M"&amp;(ROW()))))-SUM(INDIRECT("W"&amp;(MAX(("Да"=AA$12:AA315)*ROW(AA$12:AA315)+1,ROW($P$12))&amp;":W"&amp;(ROW()))))),0)</f>
        <v>3142.5499999999993</v>
      </c>
      <c r="Q316" s="99">
        <f ca="1">MAX(SUM($N$13:N316)-SUM($T$13:T316),0)</f>
        <v>17123.150655737707</v>
      </c>
      <c r="R316" s="99">
        <f ca="1">Первоначальный[[#This Row],[Просроченный платеж по ОД]]+Первоначальный[[#This Row],[Просроченный платеж по процентам]]</f>
        <v>20265.700655737706</v>
      </c>
      <c r="S316" s="120">
        <f ca="1">IF(Первоначальный[[#This Row],[Просроченный платеж]]&lt;1,0,S315+1)</f>
        <v>212</v>
      </c>
      <c r="T316" s="100" cm="1">
        <f t="array" aca="1" ref="T316" ca="1">IF(Первоначальный[[#This Row],[Итого остаток на начало периода]]&lt;1,0,
IF(
AND(TYPE(VLOOKUP(1,$Z$12:Z316,1,0))=16,Первоначальный[[#This Row],[Досрочное погашение (да/"")]]=""),0,
_xlfn.IFS(AND(S315=0,Первоначальный[[#This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платеж]]&lt;&gt;0),MIN(LOOKUP(,-1/($Z$12:Z316=1),$C$12:C316)+LOOKUP(,-1/($Z$12:Z316=1),$H$12:H316),Первоначальный[[#This Row],[Полученный платеж]]+Y315),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платеж]]+Y315,SUM(Первоначальный[[#This Row],[Остаток процентов на начало периода]],Первоначальный[[#This Row],[Проценты за период]])),
AND(S315=0,Первоначальный[[#This Row],[Дата платежа из графика]]=""),0,
AND(S315=0,Первоначальный[[#This Row],[Дата платежа из графика]]=1,MAX((0&lt;&gt;S$12:S315)*ROW(S$12:S315),ROW($S$12))&gt;=MAX((1=Z$12:Z315)*ROW(Z$12:Z315),ROW($T$12)),TYPE(VLOOKUP("Да",(INDIRECT("AA"&amp;(MAX((1=Z$12:Z315)*ROW(Z$12:Z315),ROW($T$12))&amp;":AA"&amp;(ROW()-1)))),1,0))=16),MIN(LOOKUP(,-1/($Z$12:Z316=1),$C$12:C316)+LOOKUP(,-1/($Z$12:Z316=1),$H$12:H316),Первоначальный[[#This Row],[Полученный платеж]]+Y315),
AND(S315=0,TYPE(VLOOKUP("Да",(INDIRECT("AA"&amp;(MAX((1=Z$12:Z315)*ROW(Z$12:Z315),ROW($T$12))&amp;":AA"&amp;(ROW()-1)))),1,0))&lt;&gt;16),MIN(LOOKUP(,-1/($Z$12:Z316=1),$C$12:C316)+LOOKUP(,-1/($Z$12:Z316=1),$H$12:H316)-IF(AA315="Да",0,SUM(INDIRECT("T"&amp;(MAX(("Да"=AA$12:AA315)*ROW(AA$12:AA315)+1,ROW($T$12))&amp;":T"&amp;(ROW()-1))))),Первоначальный[[#This Row],[Полученный платеж]]+Y315),
AND(S315=0,MAX((0&lt;&gt;N$12:N315)*ROW(N$12:N315),ROW($S$12))&gt;=MAX((1=Z$12:Z315)*ROW(Z$12:Z315),ROW($T$12))),MIN(LOOKUP(,-1/($Z$12:Z316=1),$C$12:C316)+LOOKUP(,-1/($Z$12:Z316=1),$H$12:H316)-IF(N315&lt;&gt;0,0,SUM(INDIRECT("T"&amp;(MAX((0&lt;&gt;N$12:N315)*ROW(N$12:N315)+1,ROW($T$12))&amp;":T"&amp;(ROW()-1))))),Первоначальный[[#This Row],[Полученный платеж]]+Y315),
AND(S315=0,Первоначальный[[#This Row],[Дата платежа из графика]]=1),MIN(LOOKUP(,-1/($Z$12:Z316=1),$C$12:C316)+LOOKUP(,-1/($Z$12:Z316=1),$H$12:H316)-IF(Z315=1,0,SUM(INDIRECT("T"&amp;(MAX((1=Z$12:Z315)*ROW(Z$12:Z315)+1,ROW($T$12))&amp;":T"&amp;(ROW()-1))))),Первоначальный[[#This Row],[Полученный платеж]]+Y315),
AND(Z315&gt;0,Первоначальный[[#This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платеж]]+Y315),
AND(S315&gt;0,MAX((0&lt;&gt;S$12:S315)*ROW(S$12:S315),ROW($S$12))&gt;=MAX((1=Z$12:Z315)*ROW(Z$12:Z315),ROW($T$12)),TYPE(VLOOKUP("Да",(INDIRECT("AA"&amp;(MAX((1=Z$12:Z315)*ROW(Z$12:Z315),ROW($T$12))&amp;":AA"&amp;(ROW()-1)))),1,0))=16),MIN(LOOKUP(,-1/($Z$12:Z316=1),$C$12:C316)+LOOKUP(,-1/($Z$12:Z316=1),$H$12:H316)-SUM(INDIRECT("T"&amp;(MAX((1=Z$12:Z315)*ROW(Z$12:Z315),ROW($T$12))&amp;":T"&amp;(ROW()-1)))),Первоначальный[[#This Row],[Полученный платеж]]+Y315),
S315&gt;0,MIN(LOOKUP(,-1/($Z$12:Z316=1),$C$12:C316)+LOOKUP(,-1/($Z$12:Z316=1),$H$12:H316)-IF(Z315=1,0,SUM(INDIRECT("T"&amp;(MAX((1=Z$12:Z315)*ROW(Z$12:Z315)+1,ROW($T$12))&amp;":T"&amp;(ROW()-1))))),Первоначальный[[#This Row],[Полученный платеж]]+Y315)
)
)
)</f>
        <v>0</v>
      </c>
      <c r="U31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платеж]]+Y315-Первоначальный[[#This Row],[Полученный платёж по процентам]])</f>
        <v>0</v>
      </c>
      <c r="V316" s="55">
        <f t="shared" ca="1" si="49"/>
        <v>0</v>
      </c>
      <c r="W316" s="55" cm="1">
        <f t="array" aca="1" ref="W316" ca="1">IF(Первоначальный[[#This Row],[Итого остаток на начало периода]]&lt;1,0,
_xlfn.IFS(
AND(TYPE(VLOOKUP(1,$Z$12:Z316,1,0))=16,Первоначальный[[#This Row],[Досрочное погашение (да/"")]]=""),0,
AND(S315=0,Первоначальный[[#This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платеж]]+Y315-SUM(Первоначальный[[#This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комиссиям]]),VLOOKUP(LOOKUP(,-1/($Z$12:Z316=1),$A$12:A316),График[[Срок конец]:[Возврат основной суммы долга]],3,0)),
AND(S315=0,Первоначальный[[#This Row],[Дата платежа из графика]]="",Первоначальный[[#This Row],[Досрочное погашение (да/"")]]&lt;&gt;"Да"),0,
AND(S315=0,Первоначальный[[#This Row],[Досрочное погашение (да/"")]]=""),MIN(Первоначальный[[#This Row],[Полученный платеж]]+Y315-SUM(Первоначальный[[#This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комиссиям]]),VLOOKUP(LOOKUP(,-1/($Z$12:Z316=1),$A$12:A316),График[[Срок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платеж]]+Y315-SUM(Первоначальный[[#This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S315&gt;0,MIN(Первоначальный[[#This Row],[Полученный платеж]]+Y315-SUM(Первоначальный[[#This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комиссиям]]),SUM(INDIRECT("M"&amp;(MAX((1=S$12:S315)*ROW(S$12:S315),ROW($W$12))&amp;":M"&amp;(ROW()))))-SUM(INDIRECT("W"&amp;(MAX((1=S$12:S315)*ROW(S$12:S315),ROW($W$12))&amp;":W"&amp;(ROW()-1)))))
)
)</f>
        <v>0</v>
      </c>
      <c r="X316" s="55">
        <f t="shared" ca="1" si="50"/>
        <v>0</v>
      </c>
      <c r="Y316" s="101">
        <f t="shared" ca="1" si="57"/>
        <v>0</v>
      </c>
      <c r="Z316" s="133" t="str">
        <f>IF(TYPE((VLOOKUP(Первоначальный[[#This Row],[Дата платежа]],График[Срок конец],1,0)))=16,"",1)</f>
        <v/>
      </c>
      <c r="AA316" s="57"/>
      <c r="AB316" s="134"/>
      <c r="AC31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1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19519.859999999986</v>
      </c>
      <c r="AE31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209.68000000000032</v>
      </c>
      <c r="AF31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1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12385.062695081959</v>
      </c>
      <c r="AH316" s="55"/>
      <c r="AI316" s="55"/>
      <c r="AJ316" s="55"/>
      <c r="AK316" s="101">
        <f t="shared" ca="1" si="58"/>
        <v>181747.94269508193</v>
      </c>
      <c r="AL316" s="129">
        <f t="array" ref="AL316">MAX((УслРестрактов[Характеристика]="Дата реструктуризации")*(УслРестрактов[Значение]=Первоначальный!$A316),0)</f>
        <v>0</v>
      </c>
    </row>
    <row r="317" spans="1:38" x14ac:dyDescent="0.25">
      <c r="A317" s="97">
        <f t="shared" si="51"/>
        <v>44448</v>
      </c>
      <c r="B317" s="100">
        <f t="shared" ca="1" si="52"/>
        <v>149633.34</v>
      </c>
      <c r="C317" s="55">
        <f t="shared" ca="1" si="60"/>
        <v>19519.859999999986</v>
      </c>
      <c r="D317" s="55">
        <f t="shared" ca="1" si="60"/>
        <v>209.68000000000032</v>
      </c>
      <c r="E317" s="55">
        <f t="shared" ca="1" si="53"/>
        <v>0</v>
      </c>
      <c r="F317" s="55">
        <f t="shared" ca="1" si="54"/>
        <v>12385.062695081959</v>
      </c>
      <c r="G317" s="101">
        <f t="shared" ca="1" si="55"/>
        <v>181747.94269508193</v>
      </c>
      <c r="H317" s="100">
        <f ca="1">ROUND($B317*VLOOKUP($A317,$A$1:$B$10,2,1)/(365+IF(MOD(YEAR($A317),4),0,1)*($A317-$A316)),2)-Первоначальный[[#This Row],[Проценты на просроченный платеж по ОД за период]]</f>
        <v>79.87</v>
      </c>
      <c r="I317" s="55">
        <f t="shared" ca="1" si="56"/>
        <v>1.71</v>
      </c>
      <c r="J317" s="55">
        <v>0</v>
      </c>
      <c r="K317" s="55">
        <f t="shared" ca="1" si="59"/>
        <v>115.81350327868853</v>
      </c>
      <c r="L317" s="55">
        <v>0</v>
      </c>
      <c r="M317" s="113">
        <f>SUMIFS(График[Возврат основной суммы долга],График[Дата с учетом нерабочих дней],$A317)</f>
        <v>421.09999999999991</v>
      </c>
      <c r="N317" s="56">
        <f>SUMIFS(График[Возврат начисленных %],График[Дата с учетом нерабочих дней],$A317)</f>
        <v>2475.9</v>
      </c>
      <c r="O317" s="101">
        <v>0</v>
      </c>
      <c r="P317" s="100" cm="1">
        <f t="array" aca="1" ref="P317" ca="1">MAX(IF(AA316="Да",0,SUM(INDIRECT("M"&amp;(MAX(("Да"=AA$12:AA316)*ROW(AA$12:AA316)+1,ROW($P$12))&amp;":M"&amp;(ROW()))))-SUM(INDIRECT("W"&amp;(MAX(("Да"=AA$12:AA316)*ROW(AA$12:AA316)+1,ROW($P$12))&amp;":W"&amp;(ROW()))))),0)</f>
        <v>3563.6499999999992</v>
      </c>
      <c r="Q317" s="99">
        <f ca="1">MAX(SUM($N$13:N317)-SUM($T$13:T317),0)</f>
        <v>19599.050655737708</v>
      </c>
      <c r="R317" s="99">
        <f ca="1">Первоначальный[[#This Row],[Просроченный платеж по ОД]]+Первоначальный[[#This Row],[Просроченный платеж по процентам]]</f>
        <v>23162.700655737706</v>
      </c>
      <c r="S317" s="120">
        <f ca="1">IF(Первоначальный[[#This Row],[Просроченный платеж]]&lt;1,0,S316+1)</f>
        <v>213</v>
      </c>
      <c r="T317" s="100" cm="1">
        <f t="array" aca="1" ref="T317" ca="1">IF(Первоначальный[[#This Row],[Итого остаток на начало периода]]&lt;1,0,
IF(
AND(TYPE(VLOOKUP(1,$Z$12:Z317,1,0))=16,Первоначальный[[#This Row],[Досрочное погашение (да/"")]]=""),0,
_xlfn.IFS(AND(S316=0,Первоначальный[[#This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платеж]]&lt;&gt;0),MIN(LOOKUP(,-1/($Z$12:Z317=1),$C$12:C317)+LOOKUP(,-1/($Z$12:Z317=1),$H$12:H317),Первоначальный[[#This Row],[Полученный платеж]]+Y316),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платеж]]+Y316,SUM(Первоначальный[[#This Row],[Остаток процентов на начало периода]],Первоначальный[[#This Row],[Проценты за период]])),
AND(S316=0,Первоначальный[[#This Row],[Дата платежа из графика]]=""),0,
AND(S316=0,Первоначальный[[#This Row],[Дата платежа из графика]]=1,MAX((0&lt;&gt;S$12:S316)*ROW(S$12:S316),ROW($S$12))&gt;=MAX((1=Z$12:Z316)*ROW(Z$12:Z316),ROW($T$12)),TYPE(VLOOKUP("Да",(INDIRECT("AA"&amp;(MAX((1=Z$12:Z316)*ROW(Z$12:Z316),ROW($T$12))&amp;":AA"&amp;(ROW()-1)))),1,0))=16),MIN(LOOKUP(,-1/($Z$12:Z317=1),$C$12:C317)+LOOKUP(,-1/($Z$12:Z317=1),$H$12:H317),Первоначальный[[#This Row],[Полученный платеж]]+Y316),
AND(S316=0,TYPE(VLOOKUP("Да",(INDIRECT("AA"&amp;(MAX((1=Z$12:Z316)*ROW(Z$12:Z316),ROW($T$12))&amp;":AA"&amp;(ROW()-1)))),1,0))&lt;&gt;16),MIN(LOOKUP(,-1/($Z$12:Z317=1),$C$12:C317)+LOOKUP(,-1/($Z$12:Z317=1),$H$12:H317)-IF(AA316="Да",0,SUM(INDIRECT("T"&amp;(MAX(("Да"=AA$12:AA316)*ROW(AA$12:AA316)+1,ROW($T$12))&amp;":T"&amp;(ROW()-1))))),Первоначальный[[#This Row],[Полученный платеж]]+Y316),
AND(S316=0,MAX((0&lt;&gt;N$12:N316)*ROW(N$12:N316),ROW($S$12))&gt;=MAX((1=Z$12:Z316)*ROW(Z$12:Z316),ROW($T$12))),MIN(LOOKUP(,-1/($Z$12:Z317=1),$C$12:C317)+LOOKUP(,-1/($Z$12:Z317=1),$H$12:H317)-IF(N316&lt;&gt;0,0,SUM(INDIRECT("T"&amp;(MAX((0&lt;&gt;N$12:N316)*ROW(N$12:N316)+1,ROW($T$12))&amp;":T"&amp;(ROW()-1))))),Первоначальный[[#This Row],[Полученный платеж]]+Y316),
AND(S316=0,Первоначальный[[#This Row],[Дата платежа из графика]]=1),MIN(LOOKUP(,-1/($Z$12:Z317=1),$C$12:C317)+LOOKUP(,-1/($Z$12:Z317=1),$H$12:H317)-IF(Z316=1,0,SUM(INDIRECT("T"&amp;(MAX((1=Z$12:Z316)*ROW(Z$12:Z316)+1,ROW($T$12))&amp;":T"&amp;(ROW()-1))))),Первоначальный[[#This Row],[Полученный платеж]]+Y316),
AND(Z316&gt;0,Первоначальный[[#This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платеж]]+Y316),
AND(S316&gt;0,MAX((0&lt;&gt;S$12:S316)*ROW(S$12:S316),ROW($S$12))&gt;=MAX((1=Z$12:Z316)*ROW(Z$12:Z316),ROW($T$12)),TYPE(VLOOKUP("Да",(INDIRECT("AA"&amp;(MAX((1=Z$12:Z316)*ROW(Z$12:Z316),ROW($T$12))&amp;":AA"&amp;(ROW()-1)))),1,0))=16),MIN(LOOKUP(,-1/($Z$12:Z317=1),$C$12:C317)+LOOKUP(,-1/($Z$12:Z317=1),$H$12:H317)-SUM(INDIRECT("T"&amp;(MAX((1=Z$12:Z316)*ROW(Z$12:Z316),ROW($T$12))&amp;":T"&amp;(ROW()-1)))),Первоначальный[[#This Row],[Полученный платеж]]+Y316),
S316&gt;0,MIN(LOOKUP(,-1/($Z$12:Z317=1),$C$12:C317)+LOOKUP(,-1/($Z$12:Z317=1),$H$12:H317)-IF(Z316=1,0,SUM(INDIRECT("T"&amp;(MAX((1=Z$12:Z316)*ROW(Z$12:Z316)+1,ROW($T$12))&amp;":T"&amp;(ROW()-1))))),Первоначальный[[#This Row],[Полученный платеж]]+Y316)
)
)
)</f>
        <v>0</v>
      </c>
      <c r="U31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платеж]]+Y316-Первоначальный[[#This Row],[Полученный платёж по процентам]])</f>
        <v>0</v>
      </c>
      <c r="V317" s="55">
        <f t="shared" ca="1" si="49"/>
        <v>0</v>
      </c>
      <c r="W317" s="55" cm="1">
        <f t="array" aca="1" ref="W317" ca="1">IF(Первоначальный[[#This Row],[Итого остаток на начало периода]]&lt;1,0,
_xlfn.IFS(
AND(TYPE(VLOOKUP(1,$Z$12:Z317,1,0))=16,Первоначальный[[#This Row],[Досрочное погашение (да/"")]]=""),0,
AND(S316=0,Первоначальный[[#This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платеж]]+Y316-SUM(Первоначальный[[#This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комиссиям]]),VLOOKUP(LOOKUP(,-1/($Z$12:Z317=1),$A$12:A317),График[[Срок конец]:[Возврат основной суммы долга]],3,0)),
AND(S316=0,Первоначальный[[#This Row],[Дата платежа из графика]]="",Первоначальный[[#This Row],[Досрочное погашение (да/"")]]&lt;&gt;"Да"),0,
AND(S316=0,Первоначальный[[#This Row],[Досрочное погашение (да/"")]]=""),MIN(Первоначальный[[#This Row],[Полученный платеж]]+Y316-SUM(Первоначальный[[#This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комиссиям]]),VLOOKUP(LOOKUP(,-1/($Z$12:Z317=1),$A$12:A317),График[[Срок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платеж]]+Y316-SUM(Первоначальный[[#This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S316&gt;0,MIN(Первоначальный[[#This Row],[Полученный платеж]]+Y316-SUM(Первоначальный[[#This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комиссиям]]),SUM(INDIRECT("M"&amp;(MAX((1=S$12:S316)*ROW(S$12:S316),ROW($W$12))&amp;":M"&amp;(ROW()))))-SUM(INDIRECT("W"&amp;(MAX((1=S$12:S316)*ROW(S$12:S316),ROW($W$12))&amp;":W"&amp;(ROW()-1)))))
)
)</f>
        <v>0</v>
      </c>
      <c r="X317" s="55">
        <f t="shared" ca="1" si="50"/>
        <v>0</v>
      </c>
      <c r="Y317" s="101">
        <f t="shared" ca="1" si="57"/>
        <v>0</v>
      </c>
      <c r="Z317" s="133">
        <f>IF(TYPE((VLOOKUP(Первоначальный[[#This Row],[Дата платежа]],График[Срок конец],1,0)))=16,"",1)</f>
        <v>1</v>
      </c>
      <c r="AA317" s="57"/>
      <c r="AB317" s="134"/>
      <c r="AC31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1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19599.729999999985</v>
      </c>
      <c r="AE31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211.39000000000033</v>
      </c>
      <c r="AF31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1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12500.876198360647</v>
      </c>
      <c r="AH317" s="55"/>
      <c r="AI317" s="55"/>
      <c r="AJ317" s="55"/>
      <c r="AK317" s="101">
        <f t="shared" ca="1" si="58"/>
        <v>181945.33619836063</v>
      </c>
      <c r="AL317" s="129">
        <f t="array" ref="AL317">MAX((УслРестрактов[Характеристика]="Дата реструктуризации")*(УслРестрактов[Значение]=Первоначальный!$A317),0)</f>
        <v>0</v>
      </c>
    </row>
    <row r="318" spans="1:38" x14ac:dyDescent="0.25">
      <c r="A318" s="97">
        <f t="shared" si="51"/>
        <v>44449</v>
      </c>
      <c r="B318" s="100">
        <f t="shared" ca="1" si="52"/>
        <v>149633.34</v>
      </c>
      <c r="C318" s="55">
        <f t="shared" ca="1" si="60"/>
        <v>19599.729999999985</v>
      </c>
      <c r="D318" s="55">
        <f t="shared" ca="1" si="60"/>
        <v>211.39000000000033</v>
      </c>
      <c r="E318" s="55">
        <f t="shared" ca="1" si="53"/>
        <v>0</v>
      </c>
      <c r="F318" s="55">
        <f t="shared" ca="1" si="54"/>
        <v>12500.876198360647</v>
      </c>
      <c r="G318" s="101">
        <f t="shared" ca="1" si="55"/>
        <v>181945.33619836063</v>
      </c>
      <c r="H318" s="100">
        <f ca="1">ROUND($B318*VLOOKUP($A318,$A$1:$B$10,2,1)/(365+IF(MOD(YEAR($A318),4),0,1)*($A318-$A317)),2)-Первоначальный[[#This Row],[Проценты на просроченный платеж по ОД за период]]</f>
        <v>79.64</v>
      </c>
      <c r="I318" s="55">
        <f t="shared" ca="1" si="56"/>
        <v>1.94</v>
      </c>
      <c r="J318" s="55">
        <v>0</v>
      </c>
      <c r="K318" s="55">
        <f t="shared" ca="1" si="59"/>
        <v>115.81350327868853</v>
      </c>
      <c r="L318" s="55">
        <v>0</v>
      </c>
      <c r="M318" s="113">
        <f>SUMIFS(График[Возврат основной суммы долга],График[Дата с учетом нерабочих дней],$A318)</f>
        <v>0</v>
      </c>
      <c r="N318" s="56">
        <f>SUMIFS(График[Возврат начисленных %],График[Дата с учетом нерабочих дней],$A318)</f>
        <v>0</v>
      </c>
      <c r="O318" s="101">
        <v>0</v>
      </c>
      <c r="P318" s="100" cm="1">
        <f t="array" aca="1" ref="P318" ca="1">MAX(IF(AA317="Да",0,SUM(INDIRECT("M"&amp;(MAX(("Да"=AA$12:AA317)*ROW(AA$12:AA317)+1,ROW($P$12))&amp;":M"&amp;(ROW()))))-SUM(INDIRECT("W"&amp;(MAX(("Да"=AA$12:AA317)*ROW(AA$12:AA317)+1,ROW($P$12))&amp;":W"&amp;(ROW()))))),0)</f>
        <v>3563.6499999999992</v>
      </c>
      <c r="Q318" s="99">
        <f ca="1">MAX(SUM($N$13:N318)-SUM($T$13:T318),0)</f>
        <v>19599.050655737708</v>
      </c>
      <c r="R318" s="99">
        <f ca="1">Первоначальный[[#This Row],[Просроченный платеж по ОД]]+Первоначальный[[#This Row],[Просроченный платеж по процентам]]</f>
        <v>23162.700655737706</v>
      </c>
      <c r="S318" s="120">
        <f ca="1">IF(Первоначальный[[#This Row],[Просроченный платеж]]&lt;1,0,S317+1)</f>
        <v>214</v>
      </c>
      <c r="T318" s="100" cm="1">
        <f t="array" aca="1" ref="T318" ca="1">IF(Первоначальный[[#This Row],[Итого остаток на начало периода]]&lt;1,0,
IF(
AND(TYPE(VLOOKUP(1,$Z$12:Z318,1,0))=16,Первоначальный[[#This Row],[Досрочное погашение (да/"")]]=""),0,
_xlfn.IFS(AND(S317=0,Первоначальный[[#This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платеж]]&lt;&gt;0),MIN(LOOKUP(,-1/($Z$12:Z318=1),$C$12:C318)+LOOKUP(,-1/($Z$12:Z318=1),$H$12:H318),Первоначальный[[#This Row],[Полученный платеж]]+Y317),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платеж]]+Y317,SUM(Первоначальный[[#This Row],[Остаток процентов на начало периода]],Первоначальный[[#This Row],[Проценты за период]])),
AND(S317=0,Первоначальный[[#This Row],[Дата платежа из графика]]=""),0,
AND(S317=0,Первоначальный[[#This Row],[Дата платежа из графика]]=1,MAX((0&lt;&gt;S$12:S317)*ROW(S$12:S317),ROW($S$12))&gt;=MAX((1=Z$12:Z317)*ROW(Z$12:Z317),ROW($T$12)),TYPE(VLOOKUP("Да",(INDIRECT("AA"&amp;(MAX((1=Z$12:Z317)*ROW(Z$12:Z317),ROW($T$12))&amp;":AA"&amp;(ROW()-1)))),1,0))=16),MIN(LOOKUP(,-1/($Z$12:Z318=1),$C$12:C318)+LOOKUP(,-1/($Z$12:Z318=1),$H$12:H318),Первоначальный[[#This Row],[Полученный платеж]]+Y317),
AND(S317=0,TYPE(VLOOKUP("Да",(INDIRECT("AA"&amp;(MAX((1=Z$12:Z317)*ROW(Z$12:Z317),ROW($T$12))&amp;":AA"&amp;(ROW()-1)))),1,0))&lt;&gt;16),MIN(LOOKUP(,-1/($Z$12:Z318=1),$C$12:C318)+LOOKUP(,-1/($Z$12:Z318=1),$H$12:H318)-IF(AA317="Да",0,SUM(INDIRECT("T"&amp;(MAX(("Да"=AA$12:AA317)*ROW(AA$12:AA317)+1,ROW($T$12))&amp;":T"&amp;(ROW()-1))))),Первоначальный[[#This Row],[Полученный платеж]]+Y317),
AND(S317=0,MAX((0&lt;&gt;N$12:N317)*ROW(N$12:N317),ROW($S$12))&gt;=MAX((1=Z$12:Z317)*ROW(Z$12:Z317),ROW($T$12))),MIN(LOOKUP(,-1/($Z$12:Z318=1),$C$12:C318)+LOOKUP(,-1/($Z$12:Z318=1),$H$12:H318)-IF(N317&lt;&gt;0,0,SUM(INDIRECT("T"&amp;(MAX((0&lt;&gt;N$12:N317)*ROW(N$12:N317)+1,ROW($T$12))&amp;":T"&amp;(ROW()-1))))),Первоначальный[[#This Row],[Полученный платеж]]+Y317),
AND(S317=0,Первоначальный[[#This Row],[Дата платежа из графика]]=1),MIN(LOOKUP(,-1/($Z$12:Z318=1),$C$12:C318)+LOOKUP(,-1/($Z$12:Z318=1),$H$12:H318)-IF(Z317=1,0,SUM(INDIRECT("T"&amp;(MAX((1=Z$12:Z317)*ROW(Z$12:Z317)+1,ROW($T$12))&amp;":T"&amp;(ROW()-1))))),Первоначальный[[#This Row],[Полученный платеж]]+Y317),
AND(Z317&gt;0,Первоначальный[[#This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платеж]]+Y317),
AND(S317&gt;0,MAX((0&lt;&gt;S$12:S317)*ROW(S$12:S317),ROW($S$12))&gt;=MAX((1=Z$12:Z317)*ROW(Z$12:Z317),ROW($T$12)),TYPE(VLOOKUP("Да",(INDIRECT("AA"&amp;(MAX((1=Z$12:Z317)*ROW(Z$12:Z317),ROW($T$12))&amp;":AA"&amp;(ROW()-1)))),1,0))=16),MIN(LOOKUP(,-1/($Z$12:Z318=1),$C$12:C318)+LOOKUP(,-1/($Z$12:Z318=1),$H$12:H318)-SUM(INDIRECT("T"&amp;(MAX((1=Z$12:Z317)*ROW(Z$12:Z317),ROW($T$12))&amp;":T"&amp;(ROW()-1)))),Первоначальный[[#This Row],[Полученный платеж]]+Y317),
S317&gt;0,MIN(LOOKUP(,-1/($Z$12:Z318=1),$C$12:C318)+LOOKUP(,-1/($Z$12:Z318=1),$H$12:H318)-IF(Z317=1,0,SUM(INDIRECT("T"&amp;(MAX((1=Z$12:Z317)*ROW(Z$12:Z317)+1,ROW($T$12))&amp;":T"&amp;(ROW()-1))))),Первоначальный[[#This Row],[Полученный платеж]]+Y317)
)
)
)</f>
        <v>0</v>
      </c>
      <c r="U31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платеж]]+Y317-Первоначальный[[#This Row],[Полученный платёж по процентам]])</f>
        <v>0</v>
      </c>
      <c r="V318" s="55">
        <f t="shared" ca="1" si="49"/>
        <v>0</v>
      </c>
      <c r="W318" s="55" cm="1">
        <f t="array" aca="1" ref="W318" ca="1">IF(Первоначальный[[#This Row],[Итого остаток на начало периода]]&lt;1,0,
_xlfn.IFS(
AND(TYPE(VLOOKUP(1,$Z$12:Z318,1,0))=16,Первоначальный[[#This Row],[Досрочное погашение (да/"")]]=""),0,
AND(S317=0,Первоначальный[[#This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платеж]]+Y317-SUM(Первоначальный[[#This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комиссиям]]),VLOOKUP(LOOKUP(,-1/($Z$12:Z318=1),$A$12:A318),График[[Срок конец]:[Возврат основной суммы долга]],3,0)),
AND(S317=0,Первоначальный[[#This Row],[Дата платежа из графика]]="",Первоначальный[[#This Row],[Досрочное погашение (да/"")]]&lt;&gt;"Да"),0,
AND(S317=0,Первоначальный[[#This Row],[Досрочное погашение (да/"")]]=""),MIN(Первоначальный[[#This Row],[Полученный платеж]]+Y317-SUM(Первоначальный[[#This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комиссиям]]),VLOOKUP(LOOKUP(,-1/($Z$12:Z318=1),$A$12:A318),График[[Срок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платеж]]+Y317-SUM(Первоначальный[[#This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S317&gt;0,MIN(Первоначальный[[#This Row],[Полученный платеж]]+Y317-SUM(Первоначальный[[#This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комиссиям]]),SUM(INDIRECT("M"&amp;(MAX((1=S$12:S317)*ROW(S$12:S317),ROW($W$12))&amp;":M"&amp;(ROW()))))-SUM(INDIRECT("W"&amp;(MAX((1=S$12:S317)*ROW(S$12:S317),ROW($W$12))&amp;":W"&amp;(ROW()-1)))))
)
)</f>
        <v>0</v>
      </c>
      <c r="X318" s="55">
        <f t="shared" ca="1" si="50"/>
        <v>0</v>
      </c>
      <c r="Y318" s="101">
        <f t="shared" ca="1" si="57"/>
        <v>0</v>
      </c>
      <c r="Z318" s="133" t="str">
        <f>IF(TYPE((VLOOKUP(Первоначальный[[#This Row],[Дата платежа]],График[Срок конец],1,0)))=16,"",1)</f>
        <v/>
      </c>
      <c r="AA318" s="57"/>
      <c r="AB318" s="134"/>
      <c r="AC31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1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19679.369999999984</v>
      </c>
      <c r="AE31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213.33000000000033</v>
      </c>
      <c r="AF31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1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12616.689701639336</v>
      </c>
      <c r="AH318" s="55"/>
      <c r="AI318" s="55"/>
      <c r="AJ318" s="55"/>
      <c r="AK318" s="101">
        <f t="shared" ca="1" si="58"/>
        <v>182142.72970163933</v>
      </c>
      <c r="AL318" s="129">
        <f t="array" ref="AL318">MAX((УслРестрактов[Характеристика]="Дата реструктуризации")*(УслРестрактов[Значение]=Первоначальный!$A318),0)</f>
        <v>0</v>
      </c>
    </row>
    <row r="319" spans="1:38" x14ac:dyDescent="0.25">
      <c r="A319" s="97">
        <f t="shared" si="51"/>
        <v>44450</v>
      </c>
      <c r="B319" s="100">
        <f t="shared" ca="1" si="52"/>
        <v>149633.34</v>
      </c>
      <c r="C319" s="55">
        <f t="shared" ca="1" si="60"/>
        <v>19679.369999999984</v>
      </c>
      <c r="D319" s="55">
        <f t="shared" ca="1" si="60"/>
        <v>213.33000000000033</v>
      </c>
      <c r="E319" s="55">
        <f t="shared" ca="1" si="53"/>
        <v>0</v>
      </c>
      <c r="F319" s="55">
        <f t="shared" ca="1" si="54"/>
        <v>12616.689701639336</v>
      </c>
      <c r="G319" s="101">
        <f t="shared" ca="1" si="55"/>
        <v>182142.72970163933</v>
      </c>
      <c r="H319" s="100">
        <f ca="1">ROUND($B319*VLOOKUP($A319,$A$1:$B$10,2,1)/(365+IF(MOD(YEAR($A319),4),0,1)*($A319-$A318)),2)-Первоначальный[[#This Row],[Проценты на просроченный платеж по ОД за период]]</f>
        <v>79.64</v>
      </c>
      <c r="I319" s="55">
        <f t="shared" ca="1" si="56"/>
        <v>1.94</v>
      </c>
      <c r="J319" s="55">
        <v>0</v>
      </c>
      <c r="K319" s="55">
        <f t="shared" ca="1" si="59"/>
        <v>115.81350327868853</v>
      </c>
      <c r="L319" s="55">
        <v>0</v>
      </c>
      <c r="M319" s="113">
        <f>SUMIFS(График[Возврат основной суммы долга],График[Дата с учетом нерабочих дней],$A319)</f>
        <v>0</v>
      </c>
      <c r="N319" s="56">
        <f>SUMIFS(График[Возврат начисленных %],График[Дата с учетом нерабочих дней],$A319)</f>
        <v>0</v>
      </c>
      <c r="O319" s="101">
        <v>0</v>
      </c>
      <c r="P319" s="100" cm="1">
        <f t="array" aca="1" ref="P319" ca="1">MAX(IF(AA318="Да",0,SUM(INDIRECT("M"&amp;(MAX(("Да"=AA$12:AA318)*ROW(AA$12:AA318)+1,ROW($P$12))&amp;":M"&amp;(ROW()))))-SUM(INDIRECT("W"&amp;(MAX(("Да"=AA$12:AA318)*ROW(AA$12:AA318)+1,ROW($P$12))&amp;":W"&amp;(ROW()))))),0)</f>
        <v>3563.6499999999992</v>
      </c>
      <c r="Q319" s="99">
        <f ca="1">MAX(SUM($N$13:N319)-SUM($T$13:T319),0)</f>
        <v>19599.050655737708</v>
      </c>
      <c r="R319" s="99">
        <f ca="1">Первоначальный[[#This Row],[Просроченный платеж по ОД]]+Первоначальный[[#This Row],[Просроченный платеж по процентам]]</f>
        <v>23162.700655737706</v>
      </c>
      <c r="S319" s="120">
        <f ca="1">IF(Первоначальный[[#This Row],[Просроченный платеж]]&lt;1,0,S318+1)</f>
        <v>215</v>
      </c>
      <c r="T319" s="100" cm="1">
        <f t="array" aca="1" ref="T319" ca="1">IF(Первоначальный[[#This Row],[Итого остаток на начало периода]]&lt;1,0,
IF(
AND(TYPE(VLOOKUP(1,$Z$12:Z319,1,0))=16,Первоначальный[[#This Row],[Досрочное погашение (да/"")]]=""),0,
_xlfn.IFS(AND(S318=0,Первоначальный[[#This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платеж]]&lt;&gt;0),MIN(LOOKUP(,-1/($Z$12:Z319=1),$C$12:C319)+LOOKUP(,-1/($Z$12:Z319=1),$H$12:H319),Первоначальный[[#This Row],[Полученный платеж]]+Y318),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платеж]]+Y318,SUM(Первоначальный[[#This Row],[Остаток процентов на начало периода]],Первоначальный[[#This Row],[Проценты за период]])),
AND(S318=0,Первоначальный[[#This Row],[Дата платежа из графика]]=""),0,
AND(S318=0,Первоначальный[[#This Row],[Дата платежа из графика]]=1,MAX((0&lt;&gt;S$12:S318)*ROW(S$12:S318),ROW($S$12))&gt;=MAX((1=Z$12:Z318)*ROW(Z$12:Z318),ROW($T$12)),TYPE(VLOOKUP("Да",(INDIRECT("AA"&amp;(MAX((1=Z$12:Z318)*ROW(Z$12:Z318),ROW($T$12))&amp;":AA"&amp;(ROW()-1)))),1,0))=16),MIN(LOOKUP(,-1/($Z$12:Z319=1),$C$12:C319)+LOOKUP(,-1/($Z$12:Z319=1),$H$12:H319),Первоначальный[[#This Row],[Полученный платеж]]+Y318),
AND(S318=0,TYPE(VLOOKUP("Да",(INDIRECT("AA"&amp;(MAX((1=Z$12:Z318)*ROW(Z$12:Z318),ROW($T$12))&amp;":AA"&amp;(ROW()-1)))),1,0))&lt;&gt;16),MIN(LOOKUP(,-1/($Z$12:Z319=1),$C$12:C319)+LOOKUP(,-1/($Z$12:Z319=1),$H$12:H319)-IF(AA318="Да",0,SUM(INDIRECT("T"&amp;(MAX(("Да"=AA$12:AA318)*ROW(AA$12:AA318)+1,ROW($T$12))&amp;":T"&amp;(ROW()-1))))),Первоначальный[[#This Row],[Полученный платеж]]+Y318),
AND(S318=0,MAX((0&lt;&gt;N$12:N318)*ROW(N$12:N318),ROW($S$12))&gt;=MAX((1=Z$12:Z318)*ROW(Z$12:Z318),ROW($T$12))),MIN(LOOKUP(,-1/($Z$12:Z319=1),$C$12:C319)+LOOKUP(,-1/($Z$12:Z319=1),$H$12:H319)-IF(N318&lt;&gt;0,0,SUM(INDIRECT("T"&amp;(MAX((0&lt;&gt;N$12:N318)*ROW(N$12:N318)+1,ROW($T$12))&amp;":T"&amp;(ROW()-1))))),Первоначальный[[#This Row],[Полученный платеж]]+Y318),
AND(S318=0,Первоначальный[[#This Row],[Дата платежа из графика]]=1),MIN(LOOKUP(,-1/($Z$12:Z319=1),$C$12:C319)+LOOKUP(,-1/($Z$12:Z319=1),$H$12:H319)-IF(Z318=1,0,SUM(INDIRECT("T"&amp;(MAX((1=Z$12:Z318)*ROW(Z$12:Z318)+1,ROW($T$12))&amp;":T"&amp;(ROW()-1))))),Первоначальный[[#This Row],[Полученный платеж]]+Y318),
AND(Z318&gt;0,Первоначальный[[#This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платеж]]+Y318),
AND(S318&gt;0,MAX((0&lt;&gt;S$12:S318)*ROW(S$12:S318),ROW($S$12))&gt;=MAX((1=Z$12:Z318)*ROW(Z$12:Z318),ROW($T$12)),TYPE(VLOOKUP("Да",(INDIRECT("AA"&amp;(MAX((1=Z$12:Z318)*ROW(Z$12:Z318),ROW($T$12))&amp;":AA"&amp;(ROW()-1)))),1,0))=16),MIN(LOOKUP(,-1/($Z$12:Z319=1),$C$12:C319)+LOOKUP(,-1/($Z$12:Z319=1),$H$12:H319)-SUM(INDIRECT("T"&amp;(MAX((1=Z$12:Z318)*ROW(Z$12:Z318),ROW($T$12))&amp;":T"&amp;(ROW()-1)))),Первоначальный[[#This Row],[Полученный платеж]]+Y318),
S318&gt;0,MIN(LOOKUP(,-1/($Z$12:Z319=1),$C$12:C319)+LOOKUP(,-1/($Z$12:Z319=1),$H$12:H319)-IF(Z318=1,0,SUM(INDIRECT("T"&amp;(MAX((1=Z$12:Z318)*ROW(Z$12:Z318)+1,ROW($T$12))&amp;":T"&amp;(ROW()-1))))),Первоначальный[[#This Row],[Полученный платеж]]+Y318)
)
)
)</f>
        <v>0</v>
      </c>
      <c r="U31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платеж]]+Y318-Первоначальный[[#This Row],[Полученный платёж по процентам]])</f>
        <v>0</v>
      </c>
      <c r="V319" s="55">
        <f t="shared" ca="1" si="49"/>
        <v>0</v>
      </c>
      <c r="W319" s="55" cm="1">
        <f t="array" aca="1" ref="W319" ca="1">IF(Первоначальный[[#This Row],[Итого остаток на начало периода]]&lt;1,0,
_xlfn.IFS(
AND(TYPE(VLOOKUP(1,$Z$12:Z319,1,0))=16,Первоначальный[[#This Row],[Досрочное погашение (да/"")]]=""),0,
AND(S318=0,Первоначальный[[#This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платеж]]+Y318-SUM(Первоначальный[[#This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комиссиям]]),VLOOKUP(LOOKUP(,-1/($Z$12:Z319=1),$A$12:A319),График[[Срок конец]:[Возврат основной суммы долга]],3,0)),
AND(S318=0,Первоначальный[[#This Row],[Дата платежа из графика]]="",Первоначальный[[#This Row],[Досрочное погашение (да/"")]]&lt;&gt;"Да"),0,
AND(S318=0,Первоначальный[[#This Row],[Досрочное погашение (да/"")]]=""),MIN(Первоначальный[[#This Row],[Полученный платеж]]+Y318-SUM(Первоначальный[[#This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комиссиям]]),VLOOKUP(LOOKUP(,-1/($Z$12:Z319=1),$A$12:A319),График[[Срок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платеж]]+Y318-SUM(Первоначальный[[#This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S318&gt;0,MIN(Первоначальный[[#This Row],[Полученный платеж]]+Y318-SUM(Первоначальный[[#This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комиссиям]]),SUM(INDIRECT("M"&amp;(MAX((1=S$12:S318)*ROW(S$12:S318),ROW($W$12))&amp;":M"&amp;(ROW()))))-SUM(INDIRECT("W"&amp;(MAX((1=S$12:S318)*ROW(S$12:S318),ROW($W$12))&amp;":W"&amp;(ROW()-1)))))
)
)</f>
        <v>0</v>
      </c>
      <c r="X319" s="55">
        <f t="shared" ca="1" si="50"/>
        <v>0</v>
      </c>
      <c r="Y319" s="101">
        <f t="shared" ca="1" si="57"/>
        <v>0</v>
      </c>
      <c r="Z319" s="133" t="str">
        <f>IF(TYPE((VLOOKUP(Первоначальный[[#This Row],[Дата платежа]],График[Срок конец],1,0)))=16,"",1)</f>
        <v/>
      </c>
      <c r="AA319" s="57"/>
      <c r="AB319" s="134"/>
      <c r="AC31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1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19759.009999999984</v>
      </c>
      <c r="AE31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215.27000000000032</v>
      </c>
      <c r="AF31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1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12732.503204918024</v>
      </c>
      <c r="AH319" s="55"/>
      <c r="AI319" s="55"/>
      <c r="AJ319" s="55"/>
      <c r="AK319" s="101">
        <f t="shared" ca="1" si="58"/>
        <v>182340.123204918</v>
      </c>
      <c r="AL319" s="129">
        <f t="array" ref="AL319">MAX((УслРестрактов[Характеристика]="Дата реструктуризации")*(УслРестрактов[Значение]=Первоначальный!$A319),0)</f>
        <v>0</v>
      </c>
    </row>
    <row r="320" spans="1:38" x14ac:dyDescent="0.25">
      <c r="A320" s="97">
        <f t="shared" si="51"/>
        <v>44451</v>
      </c>
      <c r="B320" s="100">
        <f t="shared" ca="1" si="52"/>
        <v>149633.34</v>
      </c>
      <c r="C320" s="55">
        <f t="shared" ca="1" si="60"/>
        <v>19759.009999999984</v>
      </c>
      <c r="D320" s="55">
        <f t="shared" ca="1" si="60"/>
        <v>215.27000000000032</v>
      </c>
      <c r="E320" s="55">
        <f t="shared" ca="1" si="53"/>
        <v>0</v>
      </c>
      <c r="F320" s="55">
        <f t="shared" ca="1" si="54"/>
        <v>12732.503204918024</v>
      </c>
      <c r="G320" s="101">
        <f t="shared" ca="1" si="55"/>
        <v>182340.123204918</v>
      </c>
      <c r="H320" s="100">
        <f ca="1">ROUND($B320*VLOOKUP($A320,$A$1:$B$10,2,1)/(365+IF(MOD(YEAR($A320),4),0,1)*($A320-$A319)),2)-Первоначальный[[#This Row],[Проценты на просроченный платеж по ОД за период]]</f>
        <v>79.64</v>
      </c>
      <c r="I320" s="55">
        <f t="shared" ca="1" si="56"/>
        <v>1.94</v>
      </c>
      <c r="J320" s="55">
        <v>0</v>
      </c>
      <c r="K320" s="55">
        <f t="shared" ca="1" si="59"/>
        <v>115.81350327868853</v>
      </c>
      <c r="L320" s="55">
        <v>0</v>
      </c>
      <c r="M320" s="113">
        <f>SUMIFS(График[Возврат основной суммы долга],График[Дата с учетом нерабочих дней],$A320)</f>
        <v>0</v>
      </c>
      <c r="N320" s="56">
        <f>SUMIFS(График[Возврат начисленных %],График[Дата с учетом нерабочих дней],$A320)</f>
        <v>0</v>
      </c>
      <c r="O320" s="101">
        <v>0</v>
      </c>
      <c r="P320" s="100" cm="1">
        <f t="array" aca="1" ref="P320" ca="1">MAX(IF(AA319="Да",0,SUM(INDIRECT("M"&amp;(MAX(("Да"=AA$12:AA319)*ROW(AA$12:AA319)+1,ROW($P$12))&amp;":M"&amp;(ROW()))))-SUM(INDIRECT("W"&amp;(MAX(("Да"=AA$12:AA319)*ROW(AA$12:AA319)+1,ROW($P$12))&amp;":W"&amp;(ROW()))))),0)</f>
        <v>3563.6499999999992</v>
      </c>
      <c r="Q320" s="99">
        <f ca="1">MAX(SUM($N$13:N320)-SUM($T$13:T320),0)</f>
        <v>19599.050655737708</v>
      </c>
      <c r="R320" s="99">
        <f ca="1">Первоначальный[[#This Row],[Просроченный платеж по ОД]]+Первоначальный[[#This Row],[Просроченный платеж по процентам]]</f>
        <v>23162.700655737706</v>
      </c>
      <c r="S320" s="120">
        <f ca="1">IF(Первоначальный[[#This Row],[Просроченный платеж]]&lt;1,0,S319+1)</f>
        <v>216</v>
      </c>
      <c r="T320" s="100" cm="1">
        <f t="array" aca="1" ref="T320" ca="1">IF(Первоначальный[[#This Row],[Итого остаток на начало периода]]&lt;1,0,
IF(
AND(TYPE(VLOOKUP(1,$Z$12:Z320,1,0))=16,Первоначальный[[#This Row],[Досрочное погашение (да/"")]]=""),0,
_xlfn.IFS(AND(S319=0,Первоначальный[[#This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платеж]]&lt;&gt;0),MIN(LOOKUP(,-1/($Z$12:Z320=1),$C$12:C320)+LOOKUP(,-1/($Z$12:Z320=1),$H$12:H320),Первоначальный[[#This Row],[Полученный платеж]]+Y319),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платеж]]+Y319,SUM(Первоначальный[[#This Row],[Остаток процентов на начало периода]],Первоначальный[[#This Row],[Проценты за период]])),
AND(S319=0,Первоначальный[[#This Row],[Дата платежа из графика]]=""),0,
AND(S319=0,Первоначальный[[#This Row],[Дата платежа из графика]]=1,MAX((0&lt;&gt;S$12:S319)*ROW(S$12:S319),ROW($S$12))&gt;=MAX((1=Z$12:Z319)*ROW(Z$12:Z319),ROW($T$12)),TYPE(VLOOKUP("Да",(INDIRECT("AA"&amp;(MAX((1=Z$12:Z319)*ROW(Z$12:Z319),ROW($T$12))&amp;":AA"&amp;(ROW()-1)))),1,0))=16),MIN(LOOKUP(,-1/($Z$12:Z320=1),$C$12:C320)+LOOKUP(,-1/($Z$12:Z320=1),$H$12:H320),Первоначальный[[#This Row],[Полученный платеж]]+Y319),
AND(S319=0,TYPE(VLOOKUP("Да",(INDIRECT("AA"&amp;(MAX((1=Z$12:Z319)*ROW(Z$12:Z319),ROW($T$12))&amp;":AA"&amp;(ROW()-1)))),1,0))&lt;&gt;16),MIN(LOOKUP(,-1/($Z$12:Z320=1),$C$12:C320)+LOOKUP(,-1/($Z$12:Z320=1),$H$12:H320)-IF(AA319="Да",0,SUM(INDIRECT("T"&amp;(MAX(("Да"=AA$12:AA319)*ROW(AA$12:AA319)+1,ROW($T$12))&amp;":T"&amp;(ROW()-1))))),Первоначальный[[#This Row],[Полученный платеж]]+Y319),
AND(S319=0,MAX((0&lt;&gt;N$12:N319)*ROW(N$12:N319),ROW($S$12))&gt;=MAX((1=Z$12:Z319)*ROW(Z$12:Z319),ROW($T$12))),MIN(LOOKUP(,-1/($Z$12:Z320=1),$C$12:C320)+LOOKUP(,-1/($Z$12:Z320=1),$H$12:H320)-IF(N319&lt;&gt;0,0,SUM(INDIRECT("T"&amp;(MAX((0&lt;&gt;N$12:N319)*ROW(N$12:N319)+1,ROW($T$12))&amp;":T"&amp;(ROW()-1))))),Первоначальный[[#This Row],[Полученный платеж]]+Y319),
AND(S319=0,Первоначальный[[#This Row],[Дата платежа из графика]]=1),MIN(LOOKUP(,-1/($Z$12:Z320=1),$C$12:C320)+LOOKUP(,-1/($Z$12:Z320=1),$H$12:H320)-IF(Z319=1,0,SUM(INDIRECT("T"&amp;(MAX((1=Z$12:Z319)*ROW(Z$12:Z319)+1,ROW($T$12))&amp;":T"&amp;(ROW()-1))))),Первоначальный[[#This Row],[Полученный платеж]]+Y319),
AND(Z319&gt;0,Первоначальный[[#This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платеж]]+Y319),
AND(S319&gt;0,MAX((0&lt;&gt;S$12:S319)*ROW(S$12:S319),ROW($S$12))&gt;=MAX((1=Z$12:Z319)*ROW(Z$12:Z319),ROW($T$12)),TYPE(VLOOKUP("Да",(INDIRECT("AA"&amp;(MAX((1=Z$12:Z319)*ROW(Z$12:Z319),ROW($T$12))&amp;":AA"&amp;(ROW()-1)))),1,0))=16),MIN(LOOKUP(,-1/($Z$12:Z320=1),$C$12:C320)+LOOKUP(,-1/($Z$12:Z320=1),$H$12:H320)-SUM(INDIRECT("T"&amp;(MAX((1=Z$12:Z319)*ROW(Z$12:Z319),ROW($T$12))&amp;":T"&amp;(ROW()-1)))),Первоначальный[[#This Row],[Полученный платеж]]+Y319),
S319&gt;0,MIN(LOOKUP(,-1/($Z$12:Z320=1),$C$12:C320)+LOOKUP(,-1/($Z$12:Z320=1),$H$12:H320)-IF(Z319=1,0,SUM(INDIRECT("T"&amp;(MAX((1=Z$12:Z319)*ROW(Z$12:Z319)+1,ROW($T$12))&amp;":T"&amp;(ROW()-1))))),Первоначальный[[#This Row],[Полученный платеж]]+Y319)
)
)
)</f>
        <v>0</v>
      </c>
      <c r="U32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платеж]]+Y319-Первоначальный[[#This Row],[Полученный платёж по процентам]])</f>
        <v>0</v>
      </c>
      <c r="V320" s="55">
        <f t="shared" ca="1" si="49"/>
        <v>0</v>
      </c>
      <c r="W320" s="55" cm="1">
        <f t="array" aca="1" ref="W320" ca="1">IF(Первоначальный[[#This Row],[Итого остаток на начало периода]]&lt;1,0,
_xlfn.IFS(
AND(TYPE(VLOOKUP(1,$Z$12:Z320,1,0))=16,Первоначальный[[#This Row],[Досрочное погашение (да/"")]]=""),0,
AND(S319=0,Первоначальный[[#This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платеж]]+Y319-SUM(Первоначальный[[#This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комиссиям]]),VLOOKUP(LOOKUP(,-1/($Z$12:Z320=1),$A$12:A320),График[[Срок конец]:[Возврат основной суммы долга]],3,0)),
AND(S319=0,Первоначальный[[#This Row],[Дата платежа из графика]]="",Первоначальный[[#This Row],[Досрочное погашение (да/"")]]&lt;&gt;"Да"),0,
AND(S319=0,Первоначальный[[#This Row],[Досрочное погашение (да/"")]]=""),MIN(Первоначальный[[#This Row],[Полученный платеж]]+Y319-SUM(Первоначальный[[#This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комиссиям]]),VLOOKUP(LOOKUP(,-1/($Z$12:Z320=1),$A$12:A320),График[[Срок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платеж]]+Y319-SUM(Первоначальный[[#This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S319&gt;0,MIN(Первоначальный[[#This Row],[Полученный платеж]]+Y319-SUM(Первоначальный[[#This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комиссиям]]),SUM(INDIRECT("M"&amp;(MAX((1=S$12:S319)*ROW(S$12:S319),ROW($W$12))&amp;":M"&amp;(ROW()))))-SUM(INDIRECT("W"&amp;(MAX((1=S$12:S319)*ROW(S$12:S319),ROW($W$12))&amp;":W"&amp;(ROW()-1)))))
)
)</f>
        <v>0</v>
      </c>
      <c r="X320" s="55">
        <f t="shared" ca="1" si="50"/>
        <v>0</v>
      </c>
      <c r="Y320" s="101">
        <f t="shared" ca="1" si="57"/>
        <v>0</v>
      </c>
      <c r="Z320" s="133" t="str">
        <f>IF(TYPE((VLOOKUP(Первоначальный[[#This Row],[Дата платежа]],График[Срок конец],1,0)))=16,"",1)</f>
        <v/>
      </c>
      <c r="AA320" s="57"/>
      <c r="AB320" s="134"/>
      <c r="AC32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2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19838.649999999983</v>
      </c>
      <c r="AE32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217.21000000000032</v>
      </c>
      <c r="AF32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2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12848.316708196713</v>
      </c>
      <c r="AH320" s="55"/>
      <c r="AI320" s="55"/>
      <c r="AJ320" s="55"/>
      <c r="AK320" s="101">
        <f t="shared" ca="1" si="58"/>
        <v>182537.51670819669</v>
      </c>
      <c r="AL320" s="129">
        <f t="array" ref="AL320">MAX((УслРестрактов[Характеристика]="Дата реструктуризации")*(УслРестрактов[Значение]=Первоначальный!$A320),0)</f>
        <v>0</v>
      </c>
    </row>
    <row r="321" spans="1:38" x14ac:dyDescent="0.25">
      <c r="A321" s="97">
        <f t="shared" si="51"/>
        <v>44452</v>
      </c>
      <c r="B321" s="100">
        <f t="shared" ca="1" si="52"/>
        <v>149633.34</v>
      </c>
      <c r="C321" s="55">
        <f t="shared" ca="1" si="60"/>
        <v>19838.649999999983</v>
      </c>
      <c r="D321" s="55">
        <f t="shared" ca="1" si="60"/>
        <v>217.21000000000032</v>
      </c>
      <c r="E321" s="55">
        <f t="shared" ca="1" si="53"/>
        <v>0</v>
      </c>
      <c r="F321" s="55">
        <f t="shared" ca="1" si="54"/>
        <v>12848.316708196713</v>
      </c>
      <c r="G321" s="101">
        <f t="shared" ca="1" si="55"/>
        <v>182537.51670819669</v>
      </c>
      <c r="H321" s="100">
        <f ca="1">ROUND($B321*VLOOKUP($A321,$A$1:$B$10,2,1)/(365+IF(MOD(YEAR($A321),4),0,1)*($A321-$A320)),2)-Первоначальный[[#This Row],[Проценты на просроченный платеж по ОД за период]]</f>
        <v>79.64</v>
      </c>
      <c r="I321" s="55">
        <f t="shared" ca="1" si="56"/>
        <v>1.94</v>
      </c>
      <c r="J321" s="55">
        <v>0</v>
      </c>
      <c r="K321" s="55">
        <f t="shared" ca="1" si="59"/>
        <v>115.81350327868853</v>
      </c>
      <c r="L321" s="55">
        <v>0</v>
      </c>
      <c r="M321" s="113">
        <f>SUMIFS(График[Возврат основной суммы долга],График[Дата с учетом нерабочих дней],$A321)</f>
        <v>0</v>
      </c>
      <c r="N321" s="56">
        <f>SUMIFS(График[Возврат начисленных %],График[Дата с учетом нерабочих дней],$A321)</f>
        <v>0</v>
      </c>
      <c r="O321" s="101">
        <v>0</v>
      </c>
      <c r="P321" s="100" cm="1">
        <f t="array" aca="1" ref="P321" ca="1">MAX(IF(AA320="Да",0,SUM(INDIRECT("M"&amp;(MAX(("Да"=AA$12:AA320)*ROW(AA$12:AA320)+1,ROW($P$12))&amp;":M"&amp;(ROW()))))-SUM(INDIRECT("W"&amp;(MAX(("Да"=AA$12:AA320)*ROW(AA$12:AA320)+1,ROW($P$12))&amp;":W"&amp;(ROW()))))),0)</f>
        <v>3563.6499999999992</v>
      </c>
      <c r="Q321" s="99">
        <f ca="1">MAX(SUM($N$13:N321)-SUM($T$13:T321),0)</f>
        <v>19599.050655737708</v>
      </c>
      <c r="R321" s="99">
        <f ca="1">Первоначальный[[#This Row],[Просроченный платеж по ОД]]+Первоначальный[[#This Row],[Просроченный платеж по процентам]]</f>
        <v>23162.700655737706</v>
      </c>
      <c r="S321" s="120">
        <f ca="1">IF(Первоначальный[[#This Row],[Просроченный платеж]]&lt;1,0,S320+1)</f>
        <v>217</v>
      </c>
      <c r="T321" s="100" cm="1">
        <f t="array" aca="1" ref="T321" ca="1">IF(Первоначальный[[#This Row],[Итого остаток на начало периода]]&lt;1,0,
IF(
AND(TYPE(VLOOKUP(1,$Z$12:Z321,1,0))=16,Первоначальный[[#This Row],[Досрочное погашение (да/"")]]=""),0,
_xlfn.IFS(AND(S320=0,Первоначальный[[#This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платеж]]&lt;&gt;0),MIN(LOOKUP(,-1/($Z$12:Z321=1),$C$12:C321)+LOOKUP(,-1/($Z$12:Z321=1),$H$12:H321),Первоначальный[[#This Row],[Полученный платеж]]+Y320),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платеж]]+Y320,SUM(Первоначальный[[#This Row],[Остаток процентов на начало периода]],Первоначальный[[#This Row],[Проценты за период]])),
AND(S320=0,Первоначальный[[#This Row],[Дата платежа из графика]]=""),0,
AND(S320=0,Первоначальный[[#This Row],[Дата платежа из графика]]=1,MAX((0&lt;&gt;S$12:S320)*ROW(S$12:S320),ROW($S$12))&gt;=MAX((1=Z$12:Z320)*ROW(Z$12:Z320),ROW($T$12)),TYPE(VLOOKUP("Да",(INDIRECT("AA"&amp;(MAX((1=Z$12:Z320)*ROW(Z$12:Z320),ROW($T$12))&amp;":AA"&amp;(ROW()-1)))),1,0))=16),MIN(LOOKUP(,-1/($Z$12:Z321=1),$C$12:C321)+LOOKUP(,-1/($Z$12:Z321=1),$H$12:H321),Первоначальный[[#This Row],[Полученный платеж]]+Y320),
AND(S320=0,TYPE(VLOOKUP("Да",(INDIRECT("AA"&amp;(MAX((1=Z$12:Z320)*ROW(Z$12:Z320),ROW($T$12))&amp;":AA"&amp;(ROW()-1)))),1,0))&lt;&gt;16),MIN(LOOKUP(,-1/($Z$12:Z321=1),$C$12:C321)+LOOKUP(,-1/($Z$12:Z321=1),$H$12:H321)-IF(AA320="Да",0,SUM(INDIRECT("T"&amp;(MAX(("Да"=AA$12:AA320)*ROW(AA$12:AA320)+1,ROW($T$12))&amp;":T"&amp;(ROW()-1))))),Первоначальный[[#This Row],[Полученный платеж]]+Y320),
AND(S320=0,MAX((0&lt;&gt;N$12:N320)*ROW(N$12:N320),ROW($S$12))&gt;=MAX((1=Z$12:Z320)*ROW(Z$12:Z320),ROW($T$12))),MIN(LOOKUP(,-1/($Z$12:Z321=1),$C$12:C321)+LOOKUP(,-1/($Z$12:Z321=1),$H$12:H321)-IF(N320&lt;&gt;0,0,SUM(INDIRECT("T"&amp;(MAX((0&lt;&gt;N$12:N320)*ROW(N$12:N320)+1,ROW($T$12))&amp;":T"&amp;(ROW()-1))))),Первоначальный[[#This Row],[Полученный платеж]]+Y320),
AND(S320=0,Первоначальный[[#This Row],[Дата платежа из графика]]=1),MIN(LOOKUP(,-1/($Z$12:Z321=1),$C$12:C321)+LOOKUP(,-1/($Z$12:Z321=1),$H$12:H321)-IF(Z320=1,0,SUM(INDIRECT("T"&amp;(MAX((1=Z$12:Z320)*ROW(Z$12:Z320)+1,ROW($T$12))&amp;":T"&amp;(ROW()-1))))),Первоначальный[[#This Row],[Полученный платеж]]+Y320),
AND(Z320&gt;0,Первоначальный[[#This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платеж]]+Y320),
AND(S320&gt;0,MAX((0&lt;&gt;S$12:S320)*ROW(S$12:S320),ROW($S$12))&gt;=MAX((1=Z$12:Z320)*ROW(Z$12:Z320),ROW($T$12)),TYPE(VLOOKUP("Да",(INDIRECT("AA"&amp;(MAX((1=Z$12:Z320)*ROW(Z$12:Z320),ROW($T$12))&amp;":AA"&amp;(ROW()-1)))),1,0))=16),MIN(LOOKUP(,-1/($Z$12:Z321=1),$C$12:C321)+LOOKUP(,-1/($Z$12:Z321=1),$H$12:H321)-SUM(INDIRECT("T"&amp;(MAX((1=Z$12:Z320)*ROW(Z$12:Z320),ROW($T$12))&amp;":T"&amp;(ROW()-1)))),Первоначальный[[#This Row],[Полученный платеж]]+Y320),
S320&gt;0,MIN(LOOKUP(,-1/($Z$12:Z321=1),$C$12:C321)+LOOKUP(,-1/($Z$12:Z321=1),$H$12:H321)-IF(Z320=1,0,SUM(INDIRECT("T"&amp;(MAX((1=Z$12:Z320)*ROW(Z$12:Z320)+1,ROW($T$12))&amp;":T"&amp;(ROW()-1))))),Первоначальный[[#This Row],[Полученный платеж]]+Y320)
)
)
)</f>
        <v>0</v>
      </c>
      <c r="U32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платеж]]+Y320-Первоначальный[[#This Row],[Полученный платёж по процентам]])</f>
        <v>0</v>
      </c>
      <c r="V321" s="55">
        <f t="shared" ca="1" si="49"/>
        <v>0</v>
      </c>
      <c r="W321" s="55" cm="1">
        <f t="array" aca="1" ref="W321" ca="1">IF(Первоначальный[[#This Row],[Итого остаток на начало периода]]&lt;1,0,
_xlfn.IFS(
AND(TYPE(VLOOKUP(1,$Z$12:Z321,1,0))=16,Первоначальный[[#This Row],[Досрочное погашение (да/"")]]=""),0,
AND(S320=0,Первоначальный[[#This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платеж]]+Y320-SUM(Первоначальный[[#This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комиссиям]]),VLOOKUP(LOOKUP(,-1/($Z$12:Z321=1),$A$12:A321),График[[Срок конец]:[Возврат основной суммы долга]],3,0)),
AND(S320=0,Первоначальный[[#This Row],[Дата платежа из графика]]="",Первоначальный[[#This Row],[Досрочное погашение (да/"")]]&lt;&gt;"Да"),0,
AND(S320=0,Первоначальный[[#This Row],[Досрочное погашение (да/"")]]=""),MIN(Первоначальный[[#This Row],[Полученный платеж]]+Y320-SUM(Первоначальный[[#This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комиссиям]]),VLOOKUP(LOOKUP(,-1/($Z$12:Z321=1),$A$12:A321),График[[Срок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платеж]]+Y320-SUM(Первоначальный[[#This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S320&gt;0,MIN(Первоначальный[[#This Row],[Полученный платеж]]+Y320-SUM(Первоначальный[[#This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комиссиям]]),SUM(INDIRECT("M"&amp;(MAX((1=S$12:S320)*ROW(S$12:S320),ROW($W$12))&amp;":M"&amp;(ROW()))))-SUM(INDIRECT("W"&amp;(MAX((1=S$12:S320)*ROW(S$12:S320),ROW($W$12))&amp;":W"&amp;(ROW()-1)))))
)
)</f>
        <v>0</v>
      </c>
      <c r="X321" s="55">
        <f t="shared" ca="1" si="50"/>
        <v>0</v>
      </c>
      <c r="Y321" s="101">
        <f t="shared" ca="1" si="57"/>
        <v>0</v>
      </c>
      <c r="Z321" s="133" t="str">
        <f>IF(TYPE((VLOOKUP(Первоначальный[[#This Row],[Дата платежа]],График[Срок конец],1,0)))=16,"",1)</f>
        <v/>
      </c>
      <c r="AA321" s="57"/>
      <c r="AB321" s="134"/>
      <c r="AC32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2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19918.289999999983</v>
      </c>
      <c r="AE32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219.15000000000032</v>
      </c>
      <c r="AF32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2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12964.130211475402</v>
      </c>
      <c r="AH321" s="55"/>
      <c r="AI321" s="55"/>
      <c r="AJ321" s="55"/>
      <c r="AK321" s="101">
        <f t="shared" ca="1" si="58"/>
        <v>182734.91021147536</v>
      </c>
      <c r="AL321" s="129">
        <f t="array" ref="AL321">MAX((УслРестрактов[Характеристика]="Дата реструктуризации")*(УслРестрактов[Значение]=Первоначальный!$A321),0)</f>
        <v>0</v>
      </c>
    </row>
    <row r="322" spans="1:38" x14ac:dyDescent="0.25">
      <c r="A322" s="97">
        <f t="shared" si="51"/>
        <v>44453</v>
      </c>
      <c r="B322" s="100">
        <f t="shared" ca="1" si="52"/>
        <v>149633.34</v>
      </c>
      <c r="C322" s="55">
        <f t="shared" ca="1" si="60"/>
        <v>19918.289999999983</v>
      </c>
      <c r="D322" s="55">
        <f t="shared" ca="1" si="60"/>
        <v>219.15000000000032</v>
      </c>
      <c r="E322" s="55">
        <f t="shared" ca="1" si="53"/>
        <v>0</v>
      </c>
      <c r="F322" s="55">
        <f t="shared" ca="1" si="54"/>
        <v>12964.130211475402</v>
      </c>
      <c r="G322" s="101">
        <f t="shared" ca="1" si="55"/>
        <v>182734.91021147536</v>
      </c>
      <c r="H322" s="100">
        <f ca="1">ROUND($B322*VLOOKUP($A322,$A$1:$B$10,2,1)/(365+IF(MOD(YEAR($A322),4),0,1)*($A322-$A321)),2)-Первоначальный[[#This Row],[Проценты на просроченный платеж по ОД за период]]</f>
        <v>79.64</v>
      </c>
      <c r="I322" s="55">
        <f t="shared" ca="1" si="56"/>
        <v>1.94</v>
      </c>
      <c r="J322" s="55">
        <v>0</v>
      </c>
      <c r="K322" s="55">
        <f t="shared" ca="1" si="59"/>
        <v>115.81350327868853</v>
      </c>
      <c r="L322" s="55">
        <v>0</v>
      </c>
      <c r="M322" s="113">
        <f>SUMIFS(График[Возврат основной суммы долга],График[Дата с учетом нерабочих дней],$A322)</f>
        <v>0</v>
      </c>
      <c r="N322" s="56">
        <f>SUMIFS(График[Возврат начисленных %],График[Дата с учетом нерабочих дней],$A322)</f>
        <v>0</v>
      </c>
      <c r="O322" s="101">
        <v>0</v>
      </c>
      <c r="P322" s="100" cm="1">
        <f t="array" aca="1" ref="P322" ca="1">MAX(IF(AA321="Да",0,SUM(INDIRECT("M"&amp;(MAX(("Да"=AA$12:AA321)*ROW(AA$12:AA321)+1,ROW($P$12))&amp;":M"&amp;(ROW()))))-SUM(INDIRECT("W"&amp;(MAX(("Да"=AA$12:AA321)*ROW(AA$12:AA321)+1,ROW($P$12))&amp;":W"&amp;(ROW()))))),0)</f>
        <v>3563.6499999999992</v>
      </c>
      <c r="Q322" s="99">
        <f ca="1">MAX(SUM($N$13:N322)-SUM($T$13:T322),0)</f>
        <v>19599.050655737708</v>
      </c>
      <c r="R322" s="99">
        <f ca="1">Первоначальный[[#This Row],[Просроченный платеж по ОД]]+Первоначальный[[#This Row],[Просроченный платеж по процентам]]</f>
        <v>23162.700655737706</v>
      </c>
      <c r="S322" s="120">
        <f ca="1">IF(Первоначальный[[#This Row],[Просроченный платеж]]&lt;1,0,S321+1)</f>
        <v>218</v>
      </c>
      <c r="T322" s="100" cm="1">
        <f t="array" aca="1" ref="T322" ca="1">IF(Первоначальный[[#This Row],[Итого остаток на начало периода]]&lt;1,0,
IF(
AND(TYPE(VLOOKUP(1,$Z$12:Z322,1,0))=16,Первоначальный[[#This Row],[Досрочное погашение (да/"")]]=""),0,
_xlfn.IFS(AND(S321=0,Первоначальный[[#This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платеж]]&lt;&gt;0),MIN(LOOKUP(,-1/($Z$12:Z322=1),$C$12:C322)+LOOKUP(,-1/($Z$12:Z322=1),$H$12:H322),Первоначальный[[#This Row],[Полученный платеж]]+Y321),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платеж]]+Y321,SUM(Первоначальный[[#This Row],[Остаток процентов на начало периода]],Первоначальный[[#This Row],[Проценты за период]])),
AND(S321=0,Первоначальный[[#This Row],[Дата платежа из графика]]=""),0,
AND(S321=0,Первоначальный[[#This Row],[Дата платежа из графика]]=1,MAX((0&lt;&gt;S$12:S321)*ROW(S$12:S321),ROW($S$12))&gt;=MAX((1=Z$12:Z321)*ROW(Z$12:Z321),ROW($T$12)),TYPE(VLOOKUP("Да",(INDIRECT("AA"&amp;(MAX((1=Z$12:Z321)*ROW(Z$12:Z321),ROW($T$12))&amp;":AA"&amp;(ROW()-1)))),1,0))=16),MIN(LOOKUP(,-1/($Z$12:Z322=1),$C$12:C322)+LOOKUP(,-1/($Z$12:Z322=1),$H$12:H322),Первоначальный[[#This Row],[Полученный платеж]]+Y321),
AND(S321=0,TYPE(VLOOKUP("Да",(INDIRECT("AA"&amp;(MAX((1=Z$12:Z321)*ROW(Z$12:Z321),ROW($T$12))&amp;":AA"&amp;(ROW()-1)))),1,0))&lt;&gt;16),MIN(LOOKUP(,-1/($Z$12:Z322=1),$C$12:C322)+LOOKUP(,-1/($Z$12:Z322=1),$H$12:H322)-IF(AA321="Да",0,SUM(INDIRECT("T"&amp;(MAX(("Да"=AA$12:AA321)*ROW(AA$12:AA321)+1,ROW($T$12))&amp;":T"&amp;(ROW()-1))))),Первоначальный[[#This Row],[Полученный платеж]]+Y321),
AND(S321=0,MAX((0&lt;&gt;N$12:N321)*ROW(N$12:N321),ROW($S$12))&gt;=MAX((1=Z$12:Z321)*ROW(Z$12:Z321),ROW($T$12))),MIN(LOOKUP(,-1/($Z$12:Z322=1),$C$12:C322)+LOOKUP(,-1/($Z$12:Z322=1),$H$12:H322)-IF(N321&lt;&gt;0,0,SUM(INDIRECT("T"&amp;(MAX((0&lt;&gt;N$12:N321)*ROW(N$12:N321)+1,ROW($T$12))&amp;":T"&amp;(ROW()-1))))),Первоначальный[[#This Row],[Полученный платеж]]+Y321),
AND(S321=0,Первоначальный[[#This Row],[Дата платежа из графика]]=1),MIN(LOOKUP(,-1/($Z$12:Z322=1),$C$12:C322)+LOOKUP(,-1/($Z$12:Z322=1),$H$12:H322)-IF(Z321=1,0,SUM(INDIRECT("T"&amp;(MAX((1=Z$12:Z321)*ROW(Z$12:Z321)+1,ROW($T$12))&amp;":T"&amp;(ROW()-1))))),Первоначальный[[#This Row],[Полученный платеж]]+Y321),
AND(Z321&gt;0,Первоначальный[[#This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платеж]]+Y321),
AND(S321&gt;0,MAX((0&lt;&gt;S$12:S321)*ROW(S$12:S321),ROW($S$12))&gt;=MAX((1=Z$12:Z321)*ROW(Z$12:Z321),ROW($T$12)),TYPE(VLOOKUP("Да",(INDIRECT("AA"&amp;(MAX((1=Z$12:Z321)*ROW(Z$12:Z321),ROW($T$12))&amp;":AA"&amp;(ROW()-1)))),1,0))=16),MIN(LOOKUP(,-1/($Z$12:Z322=1),$C$12:C322)+LOOKUP(,-1/($Z$12:Z322=1),$H$12:H322)-SUM(INDIRECT("T"&amp;(MAX((1=Z$12:Z321)*ROW(Z$12:Z321),ROW($T$12))&amp;":T"&amp;(ROW()-1)))),Первоначальный[[#This Row],[Полученный платеж]]+Y321),
S321&gt;0,MIN(LOOKUP(,-1/($Z$12:Z322=1),$C$12:C322)+LOOKUP(,-1/($Z$12:Z322=1),$H$12:H322)-IF(Z321=1,0,SUM(INDIRECT("T"&amp;(MAX((1=Z$12:Z321)*ROW(Z$12:Z321)+1,ROW($T$12))&amp;":T"&amp;(ROW()-1))))),Первоначальный[[#This Row],[Полученный платеж]]+Y321)
)
)
)</f>
        <v>0</v>
      </c>
      <c r="U32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платеж]]+Y321-Первоначальный[[#This Row],[Полученный платёж по процентам]])</f>
        <v>0</v>
      </c>
      <c r="V322" s="55">
        <f t="shared" ca="1" si="49"/>
        <v>0</v>
      </c>
      <c r="W322" s="55" cm="1">
        <f t="array" aca="1" ref="W322" ca="1">IF(Первоначальный[[#This Row],[Итого остаток на начало периода]]&lt;1,0,
_xlfn.IFS(
AND(TYPE(VLOOKUP(1,$Z$12:Z322,1,0))=16,Первоначальный[[#This Row],[Досрочное погашение (да/"")]]=""),0,
AND(S321=0,Первоначальный[[#This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платеж]]+Y321-SUM(Первоначальный[[#This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комиссиям]]),VLOOKUP(LOOKUP(,-1/($Z$12:Z322=1),$A$12:A322),График[[Срок конец]:[Возврат основной суммы долга]],3,0)),
AND(S321=0,Первоначальный[[#This Row],[Дата платежа из графика]]="",Первоначальный[[#This Row],[Досрочное погашение (да/"")]]&lt;&gt;"Да"),0,
AND(S321=0,Первоначальный[[#This Row],[Досрочное погашение (да/"")]]=""),MIN(Первоначальный[[#This Row],[Полученный платеж]]+Y321-SUM(Первоначальный[[#This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комиссиям]]),VLOOKUP(LOOKUP(,-1/($Z$12:Z322=1),$A$12:A322),График[[Срок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платеж]]+Y321-SUM(Первоначальный[[#This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S321&gt;0,MIN(Первоначальный[[#This Row],[Полученный платеж]]+Y321-SUM(Первоначальный[[#This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комиссиям]]),SUM(INDIRECT("M"&amp;(MAX((1=S$12:S321)*ROW(S$12:S321),ROW($W$12))&amp;":M"&amp;(ROW()))))-SUM(INDIRECT("W"&amp;(MAX((1=S$12:S321)*ROW(S$12:S321),ROW($W$12))&amp;":W"&amp;(ROW()-1)))))
)
)</f>
        <v>0</v>
      </c>
      <c r="X322" s="55">
        <f t="shared" ca="1" si="50"/>
        <v>0</v>
      </c>
      <c r="Y322" s="101">
        <f t="shared" ca="1" si="57"/>
        <v>0</v>
      </c>
      <c r="Z322" s="133" t="str">
        <f>IF(TYPE((VLOOKUP(Первоначальный[[#This Row],[Дата платежа]],График[Срок конец],1,0)))=16,"",1)</f>
        <v/>
      </c>
      <c r="AA322" s="57"/>
      <c r="AB322" s="134"/>
      <c r="AC32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2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19997.929999999982</v>
      </c>
      <c r="AE32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221.09000000000032</v>
      </c>
      <c r="AF32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2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13079.94371475409</v>
      </c>
      <c r="AH322" s="55"/>
      <c r="AI322" s="55"/>
      <c r="AJ322" s="55"/>
      <c r="AK322" s="101">
        <f t="shared" ca="1" si="58"/>
        <v>182932.30371475409</v>
      </c>
      <c r="AL322" s="129">
        <f t="array" ref="AL322">MAX((УслРестрактов[Характеристика]="Дата реструктуризации")*(УслРестрактов[Значение]=Первоначальный!$A322),0)</f>
        <v>0</v>
      </c>
    </row>
    <row r="323" spans="1:38" x14ac:dyDescent="0.25">
      <c r="A323" s="97">
        <f t="shared" si="51"/>
        <v>44454</v>
      </c>
      <c r="B323" s="100">
        <f t="shared" ca="1" si="52"/>
        <v>149633.34</v>
      </c>
      <c r="C323" s="55">
        <f t="shared" ca="1" si="60"/>
        <v>19997.929999999982</v>
      </c>
      <c r="D323" s="55">
        <f t="shared" ca="1" si="60"/>
        <v>221.09000000000032</v>
      </c>
      <c r="E323" s="55">
        <f t="shared" ca="1" si="53"/>
        <v>0</v>
      </c>
      <c r="F323" s="55">
        <f t="shared" ca="1" si="54"/>
        <v>13079.94371475409</v>
      </c>
      <c r="G323" s="101">
        <f t="shared" ca="1" si="55"/>
        <v>182932.30371475409</v>
      </c>
      <c r="H323" s="100">
        <f ca="1">ROUND($B323*VLOOKUP($A323,$A$1:$B$10,2,1)/(365+IF(MOD(YEAR($A323),4),0,1)*($A323-$A322)),2)-Первоначальный[[#This Row],[Проценты на просроченный платеж по ОД за период]]</f>
        <v>79.64</v>
      </c>
      <c r="I323" s="55">
        <f t="shared" ca="1" si="56"/>
        <v>1.94</v>
      </c>
      <c r="J323" s="55">
        <v>0</v>
      </c>
      <c r="K323" s="55">
        <f t="shared" ca="1" si="59"/>
        <v>115.81350327868853</v>
      </c>
      <c r="L323" s="55">
        <v>0</v>
      </c>
      <c r="M323" s="113">
        <f>SUMIFS(График[Возврат основной суммы долга],График[Дата с учетом нерабочих дней],$A323)</f>
        <v>0</v>
      </c>
      <c r="N323" s="56">
        <f>SUMIFS(График[Возврат начисленных %],График[Дата с учетом нерабочих дней],$A323)</f>
        <v>0</v>
      </c>
      <c r="O323" s="101">
        <v>0</v>
      </c>
      <c r="P323" s="100" cm="1">
        <f t="array" aca="1" ref="P323" ca="1">MAX(IF(AA322="Да",0,SUM(INDIRECT("M"&amp;(MAX(("Да"=AA$12:AA322)*ROW(AA$12:AA322)+1,ROW($P$12))&amp;":M"&amp;(ROW()))))-SUM(INDIRECT("W"&amp;(MAX(("Да"=AA$12:AA322)*ROW(AA$12:AA322)+1,ROW($P$12))&amp;":W"&amp;(ROW()))))),0)</f>
        <v>3563.6499999999992</v>
      </c>
      <c r="Q323" s="99">
        <f ca="1">MAX(SUM($N$13:N323)-SUM($T$13:T323),0)</f>
        <v>19599.050655737708</v>
      </c>
      <c r="R323" s="99">
        <f ca="1">Первоначальный[[#This Row],[Просроченный платеж по ОД]]+Первоначальный[[#This Row],[Просроченный платеж по процентам]]</f>
        <v>23162.700655737706</v>
      </c>
      <c r="S323" s="120">
        <f ca="1">IF(Первоначальный[[#This Row],[Просроченный платеж]]&lt;1,0,S322+1)</f>
        <v>219</v>
      </c>
      <c r="T323" s="100" cm="1">
        <f t="array" aca="1" ref="T323" ca="1">IF(Первоначальный[[#This Row],[Итого остаток на начало периода]]&lt;1,0,
IF(
AND(TYPE(VLOOKUP(1,$Z$12:Z323,1,0))=16,Первоначальный[[#This Row],[Досрочное погашение (да/"")]]=""),0,
_xlfn.IFS(AND(S322=0,Первоначальный[[#This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платеж]]&lt;&gt;0),MIN(LOOKUP(,-1/($Z$12:Z323=1),$C$12:C323)+LOOKUP(,-1/($Z$12:Z323=1),$H$12:H323),Первоначальный[[#This Row],[Полученный платеж]]+Y322),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платеж]]+Y322,SUM(Первоначальный[[#This Row],[Остаток процентов на начало периода]],Первоначальный[[#This Row],[Проценты за период]])),
AND(S322=0,Первоначальный[[#This Row],[Дата платежа из графика]]=""),0,
AND(S322=0,Первоначальный[[#This Row],[Дата платежа из графика]]=1,MAX((0&lt;&gt;S$12:S322)*ROW(S$12:S322),ROW($S$12))&gt;=MAX((1=Z$12:Z322)*ROW(Z$12:Z322),ROW($T$12)),TYPE(VLOOKUP("Да",(INDIRECT("AA"&amp;(MAX((1=Z$12:Z322)*ROW(Z$12:Z322),ROW($T$12))&amp;":AA"&amp;(ROW()-1)))),1,0))=16),MIN(LOOKUP(,-1/($Z$12:Z323=1),$C$12:C323)+LOOKUP(,-1/($Z$12:Z323=1),$H$12:H323),Первоначальный[[#This Row],[Полученный платеж]]+Y322),
AND(S322=0,TYPE(VLOOKUP("Да",(INDIRECT("AA"&amp;(MAX((1=Z$12:Z322)*ROW(Z$12:Z322),ROW($T$12))&amp;":AA"&amp;(ROW()-1)))),1,0))&lt;&gt;16),MIN(LOOKUP(,-1/($Z$12:Z323=1),$C$12:C323)+LOOKUP(,-1/($Z$12:Z323=1),$H$12:H323)-IF(AA322="Да",0,SUM(INDIRECT("T"&amp;(MAX(("Да"=AA$12:AA322)*ROW(AA$12:AA322)+1,ROW($T$12))&amp;":T"&amp;(ROW()-1))))),Первоначальный[[#This Row],[Полученный платеж]]+Y322),
AND(S322=0,MAX((0&lt;&gt;N$12:N322)*ROW(N$12:N322),ROW($S$12))&gt;=MAX((1=Z$12:Z322)*ROW(Z$12:Z322),ROW($T$12))),MIN(LOOKUP(,-1/($Z$12:Z323=1),$C$12:C323)+LOOKUP(,-1/($Z$12:Z323=1),$H$12:H323)-IF(N322&lt;&gt;0,0,SUM(INDIRECT("T"&amp;(MAX((0&lt;&gt;N$12:N322)*ROW(N$12:N322)+1,ROW($T$12))&amp;":T"&amp;(ROW()-1))))),Первоначальный[[#This Row],[Полученный платеж]]+Y322),
AND(S322=0,Первоначальный[[#This Row],[Дата платежа из графика]]=1),MIN(LOOKUP(,-1/($Z$12:Z323=1),$C$12:C323)+LOOKUP(,-1/($Z$12:Z323=1),$H$12:H323)-IF(Z322=1,0,SUM(INDIRECT("T"&amp;(MAX((1=Z$12:Z322)*ROW(Z$12:Z322)+1,ROW($T$12))&amp;":T"&amp;(ROW()-1))))),Первоначальный[[#This Row],[Полученный платеж]]+Y322),
AND(Z322&gt;0,Первоначальный[[#This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платеж]]+Y322),
AND(S322&gt;0,MAX((0&lt;&gt;S$12:S322)*ROW(S$12:S322),ROW($S$12))&gt;=MAX((1=Z$12:Z322)*ROW(Z$12:Z322),ROW($T$12)),TYPE(VLOOKUP("Да",(INDIRECT("AA"&amp;(MAX((1=Z$12:Z322)*ROW(Z$12:Z322),ROW($T$12))&amp;":AA"&amp;(ROW()-1)))),1,0))=16),MIN(LOOKUP(,-1/($Z$12:Z323=1),$C$12:C323)+LOOKUP(,-1/($Z$12:Z323=1),$H$12:H323)-SUM(INDIRECT("T"&amp;(MAX((1=Z$12:Z322)*ROW(Z$12:Z322),ROW($T$12))&amp;":T"&amp;(ROW()-1)))),Первоначальный[[#This Row],[Полученный платеж]]+Y322),
S322&gt;0,MIN(LOOKUP(,-1/($Z$12:Z323=1),$C$12:C323)+LOOKUP(,-1/($Z$12:Z323=1),$H$12:H323)-IF(Z322=1,0,SUM(INDIRECT("T"&amp;(MAX((1=Z$12:Z322)*ROW(Z$12:Z322)+1,ROW($T$12))&amp;":T"&amp;(ROW()-1))))),Первоначальный[[#This Row],[Полученный платеж]]+Y322)
)
)
)</f>
        <v>0</v>
      </c>
      <c r="U32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платеж]]+Y322-Первоначальный[[#This Row],[Полученный платёж по процентам]])</f>
        <v>0</v>
      </c>
      <c r="V323" s="55">
        <f t="shared" ca="1" si="49"/>
        <v>0</v>
      </c>
      <c r="W323" s="55" cm="1">
        <f t="array" aca="1" ref="W323" ca="1">IF(Первоначальный[[#This Row],[Итого остаток на начало периода]]&lt;1,0,
_xlfn.IFS(
AND(TYPE(VLOOKUP(1,$Z$12:Z323,1,0))=16,Первоначальный[[#This Row],[Досрочное погашение (да/"")]]=""),0,
AND(S322=0,Первоначальный[[#This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платеж]]+Y322-SUM(Первоначальный[[#This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комиссиям]]),VLOOKUP(LOOKUP(,-1/($Z$12:Z323=1),$A$12:A323),График[[Срок конец]:[Возврат основной суммы долга]],3,0)),
AND(S322=0,Первоначальный[[#This Row],[Дата платежа из графика]]="",Первоначальный[[#This Row],[Досрочное погашение (да/"")]]&lt;&gt;"Да"),0,
AND(S322=0,Первоначальный[[#This Row],[Досрочное погашение (да/"")]]=""),MIN(Первоначальный[[#This Row],[Полученный платеж]]+Y322-SUM(Первоначальный[[#This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комиссиям]]),VLOOKUP(LOOKUP(,-1/($Z$12:Z323=1),$A$12:A323),График[[Срок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платеж]]+Y322-SUM(Первоначальный[[#This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S322&gt;0,MIN(Первоначальный[[#This Row],[Полученный платеж]]+Y322-SUM(Первоначальный[[#This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комиссиям]]),SUM(INDIRECT("M"&amp;(MAX((1=S$12:S322)*ROW(S$12:S322),ROW($W$12))&amp;":M"&amp;(ROW()))))-SUM(INDIRECT("W"&amp;(MAX((1=S$12:S322)*ROW(S$12:S322),ROW($W$12))&amp;":W"&amp;(ROW()-1)))))
)
)</f>
        <v>0</v>
      </c>
      <c r="X323" s="55">
        <f t="shared" ca="1" si="50"/>
        <v>0</v>
      </c>
      <c r="Y323" s="101">
        <f t="shared" ca="1" si="57"/>
        <v>0</v>
      </c>
      <c r="Z323" s="133" t="str">
        <f>IF(TYPE((VLOOKUP(Первоначальный[[#This Row],[Дата платежа]],График[Срок конец],1,0)))=16,"",1)</f>
        <v/>
      </c>
      <c r="AA323" s="57"/>
      <c r="AB323" s="134"/>
      <c r="AC32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2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20077.569999999982</v>
      </c>
      <c r="AE32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223.03000000000031</v>
      </c>
      <c r="AF32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2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13195.757218032779</v>
      </c>
      <c r="AH323" s="55"/>
      <c r="AI323" s="55"/>
      <c r="AJ323" s="55"/>
      <c r="AK323" s="101">
        <f t="shared" ca="1" si="58"/>
        <v>183129.69721803276</v>
      </c>
      <c r="AL323" s="129">
        <f t="array" ref="AL323">MAX((УслРестрактов[Характеристика]="Дата реструктуризации")*(УслРестрактов[Значение]=Первоначальный!$A323),0)</f>
        <v>0</v>
      </c>
    </row>
    <row r="324" spans="1:38" x14ac:dyDescent="0.25">
      <c r="A324" s="97">
        <f t="shared" si="51"/>
        <v>44455</v>
      </c>
      <c r="B324" s="100">
        <f t="shared" ca="1" si="52"/>
        <v>149633.34</v>
      </c>
      <c r="C324" s="55">
        <f t="shared" ca="1" si="60"/>
        <v>20077.569999999982</v>
      </c>
      <c r="D324" s="55">
        <f t="shared" ca="1" si="60"/>
        <v>223.03000000000031</v>
      </c>
      <c r="E324" s="55">
        <f t="shared" ca="1" si="53"/>
        <v>0</v>
      </c>
      <c r="F324" s="55">
        <f t="shared" ca="1" si="54"/>
        <v>13195.757218032779</v>
      </c>
      <c r="G324" s="101">
        <f t="shared" ca="1" si="55"/>
        <v>183129.69721803276</v>
      </c>
      <c r="H324" s="100">
        <f ca="1">ROUND($B324*VLOOKUP($A324,$A$1:$B$10,2,1)/(365+IF(MOD(YEAR($A324),4),0,1)*($A324-$A323)),2)-Первоначальный[[#This Row],[Проценты на просроченный платеж по ОД за период]]</f>
        <v>79.64</v>
      </c>
      <c r="I324" s="55">
        <f t="shared" ca="1" si="56"/>
        <v>1.94</v>
      </c>
      <c r="J324" s="55">
        <v>0</v>
      </c>
      <c r="K324" s="55">
        <f t="shared" ca="1" si="59"/>
        <v>115.81350327868853</v>
      </c>
      <c r="L324" s="55">
        <v>0</v>
      </c>
      <c r="M324" s="113">
        <f>SUMIFS(График[Возврат основной суммы долга],График[Дата с учетом нерабочих дней],$A324)</f>
        <v>0</v>
      </c>
      <c r="N324" s="56">
        <f>SUMIFS(График[Возврат начисленных %],График[Дата с учетом нерабочих дней],$A324)</f>
        <v>0</v>
      </c>
      <c r="O324" s="101">
        <v>0</v>
      </c>
      <c r="P324" s="100" cm="1">
        <f t="array" aca="1" ref="P324" ca="1">MAX(IF(AA323="Да",0,SUM(INDIRECT("M"&amp;(MAX(("Да"=AA$12:AA323)*ROW(AA$12:AA323)+1,ROW($P$12))&amp;":M"&amp;(ROW()))))-SUM(INDIRECT("W"&amp;(MAX(("Да"=AA$12:AA323)*ROW(AA$12:AA323)+1,ROW($P$12))&amp;":W"&amp;(ROW()))))),0)</f>
        <v>3563.6499999999992</v>
      </c>
      <c r="Q324" s="99">
        <f ca="1">MAX(SUM($N$13:N324)-SUM($T$13:T324),0)</f>
        <v>19599.050655737708</v>
      </c>
      <c r="R324" s="99">
        <f ca="1">Первоначальный[[#This Row],[Просроченный платеж по ОД]]+Первоначальный[[#This Row],[Просроченный платеж по процентам]]</f>
        <v>23162.700655737706</v>
      </c>
      <c r="S324" s="120">
        <f ca="1">IF(Первоначальный[[#This Row],[Просроченный платеж]]&lt;1,0,S323+1)</f>
        <v>220</v>
      </c>
      <c r="T324" s="100" cm="1">
        <f t="array" aca="1" ref="T324" ca="1">IF(Первоначальный[[#This Row],[Итого остаток на начало периода]]&lt;1,0,
IF(
AND(TYPE(VLOOKUP(1,$Z$12:Z324,1,0))=16,Первоначальный[[#This Row],[Досрочное погашение (да/"")]]=""),0,
_xlfn.IFS(AND(S323=0,Первоначальный[[#This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платеж]]&lt;&gt;0),MIN(LOOKUP(,-1/($Z$12:Z324=1),$C$12:C324)+LOOKUP(,-1/($Z$12:Z324=1),$H$12:H324),Первоначальный[[#This Row],[Полученный платеж]]+Y323),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платеж]]+Y323,SUM(Первоначальный[[#This Row],[Остаток процентов на начало периода]],Первоначальный[[#This Row],[Проценты за период]])),
AND(S323=0,Первоначальный[[#This Row],[Дата платежа из графика]]=""),0,
AND(S323=0,Первоначальный[[#This Row],[Дата платежа из графика]]=1,MAX((0&lt;&gt;S$12:S323)*ROW(S$12:S323),ROW($S$12))&gt;=MAX((1=Z$12:Z323)*ROW(Z$12:Z323),ROW($T$12)),TYPE(VLOOKUP("Да",(INDIRECT("AA"&amp;(MAX((1=Z$12:Z323)*ROW(Z$12:Z323),ROW($T$12))&amp;":AA"&amp;(ROW()-1)))),1,0))=16),MIN(LOOKUP(,-1/($Z$12:Z324=1),$C$12:C324)+LOOKUP(,-1/($Z$12:Z324=1),$H$12:H324),Первоначальный[[#This Row],[Полученный платеж]]+Y323),
AND(S323=0,TYPE(VLOOKUP("Да",(INDIRECT("AA"&amp;(MAX((1=Z$12:Z323)*ROW(Z$12:Z323),ROW($T$12))&amp;":AA"&amp;(ROW()-1)))),1,0))&lt;&gt;16),MIN(LOOKUP(,-1/($Z$12:Z324=1),$C$12:C324)+LOOKUP(,-1/($Z$12:Z324=1),$H$12:H324)-IF(AA323="Да",0,SUM(INDIRECT("T"&amp;(MAX(("Да"=AA$12:AA323)*ROW(AA$12:AA323)+1,ROW($T$12))&amp;":T"&amp;(ROW()-1))))),Первоначальный[[#This Row],[Полученный платеж]]+Y323),
AND(S323=0,MAX((0&lt;&gt;N$12:N323)*ROW(N$12:N323),ROW($S$12))&gt;=MAX((1=Z$12:Z323)*ROW(Z$12:Z323),ROW($T$12))),MIN(LOOKUP(,-1/($Z$12:Z324=1),$C$12:C324)+LOOKUP(,-1/($Z$12:Z324=1),$H$12:H324)-IF(N323&lt;&gt;0,0,SUM(INDIRECT("T"&amp;(MAX((0&lt;&gt;N$12:N323)*ROW(N$12:N323)+1,ROW($T$12))&amp;":T"&amp;(ROW()-1))))),Первоначальный[[#This Row],[Полученный платеж]]+Y323),
AND(S323=0,Первоначальный[[#This Row],[Дата платежа из графика]]=1),MIN(LOOKUP(,-1/($Z$12:Z324=1),$C$12:C324)+LOOKUP(,-1/($Z$12:Z324=1),$H$12:H324)-IF(Z323=1,0,SUM(INDIRECT("T"&amp;(MAX((1=Z$12:Z323)*ROW(Z$12:Z323)+1,ROW($T$12))&amp;":T"&amp;(ROW()-1))))),Первоначальный[[#This Row],[Полученный платеж]]+Y323),
AND(Z323&gt;0,Первоначальный[[#This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платеж]]+Y323),
AND(S323&gt;0,MAX((0&lt;&gt;S$12:S323)*ROW(S$12:S323),ROW($S$12))&gt;=MAX((1=Z$12:Z323)*ROW(Z$12:Z323),ROW($T$12)),TYPE(VLOOKUP("Да",(INDIRECT("AA"&amp;(MAX((1=Z$12:Z323)*ROW(Z$12:Z323),ROW($T$12))&amp;":AA"&amp;(ROW()-1)))),1,0))=16),MIN(LOOKUP(,-1/($Z$12:Z324=1),$C$12:C324)+LOOKUP(,-1/($Z$12:Z324=1),$H$12:H324)-SUM(INDIRECT("T"&amp;(MAX((1=Z$12:Z323)*ROW(Z$12:Z323),ROW($T$12))&amp;":T"&amp;(ROW()-1)))),Первоначальный[[#This Row],[Полученный платеж]]+Y323),
S323&gt;0,MIN(LOOKUP(,-1/($Z$12:Z324=1),$C$12:C324)+LOOKUP(,-1/($Z$12:Z324=1),$H$12:H324)-IF(Z323=1,0,SUM(INDIRECT("T"&amp;(MAX((1=Z$12:Z323)*ROW(Z$12:Z323)+1,ROW($T$12))&amp;":T"&amp;(ROW()-1))))),Первоначальный[[#This Row],[Полученный платеж]]+Y323)
)
)
)</f>
        <v>0</v>
      </c>
      <c r="U32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платеж]]+Y323-Первоначальный[[#This Row],[Полученный платёж по процентам]])</f>
        <v>0</v>
      </c>
      <c r="V324" s="55">
        <f t="shared" ca="1" si="49"/>
        <v>0</v>
      </c>
      <c r="W324" s="55" cm="1">
        <f t="array" aca="1" ref="W324" ca="1">IF(Первоначальный[[#This Row],[Итого остаток на начало периода]]&lt;1,0,
_xlfn.IFS(
AND(TYPE(VLOOKUP(1,$Z$12:Z324,1,0))=16,Первоначальный[[#This Row],[Досрочное погашение (да/"")]]=""),0,
AND(S323=0,Первоначальный[[#This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платеж]]+Y323-SUM(Первоначальный[[#This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комиссиям]]),VLOOKUP(LOOKUP(,-1/($Z$12:Z324=1),$A$12:A324),График[[Срок конец]:[Возврат основной суммы долга]],3,0)),
AND(S323=0,Первоначальный[[#This Row],[Дата платежа из графика]]="",Первоначальный[[#This Row],[Досрочное погашение (да/"")]]&lt;&gt;"Да"),0,
AND(S323=0,Первоначальный[[#This Row],[Досрочное погашение (да/"")]]=""),MIN(Первоначальный[[#This Row],[Полученный платеж]]+Y323-SUM(Первоначальный[[#This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комиссиям]]),VLOOKUP(LOOKUP(,-1/($Z$12:Z324=1),$A$12:A324),График[[Срок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платеж]]+Y323-SUM(Первоначальный[[#This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S323&gt;0,MIN(Первоначальный[[#This Row],[Полученный платеж]]+Y323-SUM(Первоначальный[[#This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комиссиям]]),SUM(INDIRECT("M"&amp;(MAX((1=S$12:S323)*ROW(S$12:S323),ROW($W$12))&amp;":M"&amp;(ROW()))))-SUM(INDIRECT("W"&amp;(MAX((1=S$12:S323)*ROW(S$12:S323),ROW($W$12))&amp;":W"&amp;(ROW()-1)))))
)
)</f>
        <v>0</v>
      </c>
      <c r="X324" s="55">
        <f t="shared" ca="1" si="50"/>
        <v>0</v>
      </c>
      <c r="Y324" s="101">
        <f t="shared" ca="1" si="57"/>
        <v>0</v>
      </c>
      <c r="Z324" s="133" t="str">
        <f>IF(TYPE((VLOOKUP(Первоначальный[[#This Row],[Дата платежа]],График[Срок конец],1,0)))=16,"",1)</f>
        <v/>
      </c>
      <c r="AA324" s="57"/>
      <c r="AB324" s="134"/>
      <c r="AC32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2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20157.209999999981</v>
      </c>
      <c r="AE32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224.97000000000031</v>
      </c>
      <c r="AF32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2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13311.570721311467</v>
      </c>
      <c r="AH324" s="55"/>
      <c r="AI324" s="55"/>
      <c r="AJ324" s="55"/>
      <c r="AK324" s="101">
        <f t="shared" ca="1" si="58"/>
        <v>183327.09072131146</v>
      </c>
      <c r="AL324" s="129">
        <f t="array" ref="AL324">MAX((УслРестрактов[Характеристика]="Дата реструктуризации")*(УслРестрактов[Значение]=Первоначальный!$A324),0)</f>
        <v>0</v>
      </c>
    </row>
    <row r="325" spans="1:38" x14ac:dyDescent="0.25">
      <c r="A325" s="97">
        <f t="shared" si="51"/>
        <v>44456</v>
      </c>
      <c r="B325" s="100">
        <f t="shared" ca="1" si="52"/>
        <v>149633.34</v>
      </c>
      <c r="C325" s="55">
        <f t="shared" ca="1" si="60"/>
        <v>20157.209999999981</v>
      </c>
      <c r="D325" s="55">
        <f t="shared" ca="1" si="60"/>
        <v>224.97000000000031</v>
      </c>
      <c r="E325" s="55">
        <f t="shared" ca="1" si="53"/>
        <v>0</v>
      </c>
      <c r="F325" s="55">
        <f t="shared" ca="1" si="54"/>
        <v>13311.570721311467</v>
      </c>
      <c r="G325" s="101">
        <f t="shared" ca="1" si="55"/>
        <v>183327.09072131146</v>
      </c>
      <c r="H325" s="100">
        <f ca="1">ROUND($B325*VLOOKUP($A325,$A$1:$B$10,2,1)/(365+IF(MOD(YEAR($A325),4),0,1)*($A325-$A324)),2)-Первоначальный[[#This Row],[Проценты на просроченный платеж по ОД за период]]</f>
        <v>79.64</v>
      </c>
      <c r="I325" s="55">
        <f t="shared" ca="1" si="56"/>
        <v>1.94</v>
      </c>
      <c r="J325" s="55">
        <v>0</v>
      </c>
      <c r="K325" s="55">
        <f t="shared" ca="1" si="59"/>
        <v>115.81350327868853</v>
      </c>
      <c r="L325" s="55">
        <v>0</v>
      </c>
      <c r="M325" s="113">
        <f>SUMIFS(График[Возврат основной суммы долга],График[Дата с учетом нерабочих дней],$A325)</f>
        <v>0</v>
      </c>
      <c r="N325" s="56">
        <f>SUMIFS(График[Возврат начисленных %],График[Дата с учетом нерабочих дней],$A325)</f>
        <v>0</v>
      </c>
      <c r="O325" s="101">
        <v>0</v>
      </c>
      <c r="P325" s="100" cm="1">
        <f t="array" aca="1" ref="P325" ca="1">MAX(IF(AA324="Да",0,SUM(INDIRECT("M"&amp;(MAX(("Да"=AA$12:AA324)*ROW(AA$12:AA324)+1,ROW($P$12))&amp;":M"&amp;(ROW()))))-SUM(INDIRECT("W"&amp;(MAX(("Да"=AA$12:AA324)*ROW(AA$12:AA324)+1,ROW($P$12))&amp;":W"&amp;(ROW()))))),0)</f>
        <v>3563.6499999999992</v>
      </c>
      <c r="Q325" s="99">
        <f ca="1">MAX(SUM($N$13:N325)-SUM($T$13:T325),0)</f>
        <v>19599.050655737708</v>
      </c>
      <c r="R325" s="99">
        <f ca="1">Первоначальный[[#This Row],[Просроченный платеж по ОД]]+Первоначальный[[#This Row],[Просроченный платеж по процентам]]</f>
        <v>23162.700655737706</v>
      </c>
      <c r="S325" s="120">
        <f ca="1">IF(Первоначальный[[#This Row],[Просроченный платеж]]&lt;1,0,S324+1)</f>
        <v>221</v>
      </c>
      <c r="T325" s="100" cm="1">
        <f t="array" aca="1" ref="T325" ca="1">IF(Первоначальный[[#This Row],[Итого остаток на начало периода]]&lt;1,0,
IF(
AND(TYPE(VLOOKUP(1,$Z$12:Z325,1,0))=16,Первоначальный[[#This Row],[Досрочное погашение (да/"")]]=""),0,
_xlfn.IFS(AND(S324=0,Первоначальный[[#This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платеж]]&lt;&gt;0),MIN(LOOKUP(,-1/($Z$12:Z325=1),$C$12:C325)+LOOKUP(,-1/($Z$12:Z325=1),$H$12:H325),Первоначальный[[#This Row],[Полученный платеж]]+Y324),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платеж]]+Y324,SUM(Первоначальный[[#This Row],[Остаток процентов на начало периода]],Первоначальный[[#This Row],[Проценты за период]])),
AND(S324=0,Первоначальный[[#This Row],[Дата платежа из графика]]=""),0,
AND(S324=0,Первоначальный[[#This Row],[Дата платежа из графика]]=1,MAX((0&lt;&gt;S$12:S324)*ROW(S$12:S324),ROW($S$12))&gt;=MAX((1=Z$12:Z324)*ROW(Z$12:Z324),ROW($T$12)),TYPE(VLOOKUP("Да",(INDIRECT("AA"&amp;(MAX((1=Z$12:Z324)*ROW(Z$12:Z324),ROW($T$12))&amp;":AA"&amp;(ROW()-1)))),1,0))=16),MIN(LOOKUP(,-1/($Z$12:Z325=1),$C$12:C325)+LOOKUP(,-1/($Z$12:Z325=1),$H$12:H325),Первоначальный[[#This Row],[Полученный платеж]]+Y324),
AND(S324=0,TYPE(VLOOKUP("Да",(INDIRECT("AA"&amp;(MAX((1=Z$12:Z324)*ROW(Z$12:Z324),ROW($T$12))&amp;":AA"&amp;(ROW()-1)))),1,0))&lt;&gt;16),MIN(LOOKUP(,-1/($Z$12:Z325=1),$C$12:C325)+LOOKUP(,-1/($Z$12:Z325=1),$H$12:H325)-IF(AA324="Да",0,SUM(INDIRECT("T"&amp;(MAX(("Да"=AA$12:AA324)*ROW(AA$12:AA324)+1,ROW($T$12))&amp;":T"&amp;(ROW()-1))))),Первоначальный[[#This Row],[Полученный платеж]]+Y324),
AND(S324=0,MAX((0&lt;&gt;N$12:N324)*ROW(N$12:N324),ROW($S$12))&gt;=MAX((1=Z$12:Z324)*ROW(Z$12:Z324),ROW($T$12))),MIN(LOOKUP(,-1/($Z$12:Z325=1),$C$12:C325)+LOOKUP(,-1/($Z$12:Z325=1),$H$12:H325)-IF(N324&lt;&gt;0,0,SUM(INDIRECT("T"&amp;(MAX((0&lt;&gt;N$12:N324)*ROW(N$12:N324)+1,ROW($T$12))&amp;":T"&amp;(ROW()-1))))),Первоначальный[[#This Row],[Полученный платеж]]+Y324),
AND(S324=0,Первоначальный[[#This Row],[Дата платежа из графика]]=1),MIN(LOOKUP(,-1/($Z$12:Z325=1),$C$12:C325)+LOOKUP(,-1/($Z$12:Z325=1),$H$12:H325)-IF(Z324=1,0,SUM(INDIRECT("T"&amp;(MAX((1=Z$12:Z324)*ROW(Z$12:Z324)+1,ROW($T$12))&amp;":T"&amp;(ROW()-1))))),Первоначальный[[#This Row],[Полученный платеж]]+Y324),
AND(Z324&gt;0,Первоначальный[[#This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платеж]]+Y324),
AND(S324&gt;0,MAX((0&lt;&gt;S$12:S324)*ROW(S$12:S324),ROW($S$12))&gt;=MAX((1=Z$12:Z324)*ROW(Z$12:Z324),ROW($T$12)),TYPE(VLOOKUP("Да",(INDIRECT("AA"&amp;(MAX((1=Z$12:Z324)*ROW(Z$12:Z324),ROW($T$12))&amp;":AA"&amp;(ROW()-1)))),1,0))=16),MIN(LOOKUP(,-1/($Z$12:Z325=1),$C$12:C325)+LOOKUP(,-1/($Z$12:Z325=1),$H$12:H325)-SUM(INDIRECT("T"&amp;(MAX((1=Z$12:Z324)*ROW(Z$12:Z324),ROW($T$12))&amp;":T"&amp;(ROW()-1)))),Первоначальный[[#This Row],[Полученный платеж]]+Y324),
S324&gt;0,MIN(LOOKUP(,-1/($Z$12:Z325=1),$C$12:C325)+LOOKUP(,-1/($Z$12:Z325=1),$H$12:H325)-IF(Z324=1,0,SUM(INDIRECT("T"&amp;(MAX((1=Z$12:Z324)*ROW(Z$12:Z324)+1,ROW($T$12))&amp;":T"&amp;(ROW()-1))))),Первоначальный[[#This Row],[Полученный платеж]]+Y324)
)
)
)</f>
        <v>0</v>
      </c>
      <c r="U32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платеж]]+Y324-Первоначальный[[#This Row],[Полученный платёж по процентам]])</f>
        <v>0</v>
      </c>
      <c r="V325" s="55">
        <f t="shared" ca="1" si="49"/>
        <v>0</v>
      </c>
      <c r="W325" s="55" cm="1">
        <f t="array" aca="1" ref="W325" ca="1">IF(Первоначальный[[#This Row],[Итого остаток на начало периода]]&lt;1,0,
_xlfn.IFS(
AND(TYPE(VLOOKUP(1,$Z$12:Z325,1,0))=16,Первоначальный[[#This Row],[Досрочное погашение (да/"")]]=""),0,
AND(S324=0,Первоначальный[[#This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платеж]]+Y324-SUM(Первоначальный[[#This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комиссиям]]),VLOOKUP(LOOKUP(,-1/($Z$12:Z325=1),$A$12:A325),График[[Срок конец]:[Возврат основной суммы долга]],3,0)),
AND(S324=0,Первоначальный[[#This Row],[Дата платежа из графика]]="",Первоначальный[[#This Row],[Досрочное погашение (да/"")]]&lt;&gt;"Да"),0,
AND(S324=0,Первоначальный[[#This Row],[Досрочное погашение (да/"")]]=""),MIN(Первоначальный[[#This Row],[Полученный платеж]]+Y324-SUM(Первоначальный[[#This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комиссиям]]),VLOOKUP(LOOKUP(,-1/($Z$12:Z325=1),$A$12:A325),График[[Срок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платеж]]+Y324-SUM(Первоначальный[[#This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S324&gt;0,MIN(Первоначальный[[#This Row],[Полученный платеж]]+Y324-SUM(Первоначальный[[#This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комиссиям]]),SUM(INDIRECT("M"&amp;(MAX((1=S$12:S324)*ROW(S$12:S324),ROW($W$12))&amp;":M"&amp;(ROW()))))-SUM(INDIRECT("W"&amp;(MAX((1=S$12:S324)*ROW(S$12:S324),ROW($W$12))&amp;":W"&amp;(ROW()-1)))))
)
)</f>
        <v>0</v>
      </c>
      <c r="X325" s="55">
        <f t="shared" ca="1" si="50"/>
        <v>0</v>
      </c>
      <c r="Y325" s="101">
        <f t="shared" ca="1" si="57"/>
        <v>0</v>
      </c>
      <c r="Z325" s="133" t="str">
        <f>IF(TYPE((VLOOKUP(Первоначальный[[#This Row],[Дата платежа]],График[Срок конец],1,0)))=16,"",1)</f>
        <v/>
      </c>
      <c r="AA325" s="57"/>
      <c r="AB325" s="134"/>
      <c r="AC32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2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20236.84999999998</v>
      </c>
      <c r="AE32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226.91000000000031</v>
      </c>
      <c r="AF32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2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13427.384224590156</v>
      </c>
      <c r="AH325" s="55"/>
      <c r="AI325" s="55"/>
      <c r="AJ325" s="55"/>
      <c r="AK325" s="101">
        <f t="shared" ca="1" si="58"/>
        <v>183524.48422459012</v>
      </c>
      <c r="AL325" s="129">
        <f t="array" ref="AL325">MAX((УслРестрактов[Характеристика]="Дата реструктуризации")*(УслРестрактов[Значение]=Первоначальный!$A325),0)</f>
        <v>0</v>
      </c>
    </row>
    <row r="326" spans="1:38" x14ac:dyDescent="0.25">
      <c r="A326" s="97">
        <f t="shared" si="51"/>
        <v>44457</v>
      </c>
      <c r="B326" s="100">
        <f t="shared" ca="1" si="52"/>
        <v>149633.34</v>
      </c>
      <c r="C326" s="55">
        <f t="shared" ca="1" si="60"/>
        <v>20236.84999999998</v>
      </c>
      <c r="D326" s="55">
        <f t="shared" ca="1" si="60"/>
        <v>226.91000000000031</v>
      </c>
      <c r="E326" s="55">
        <f t="shared" ca="1" si="53"/>
        <v>0</v>
      </c>
      <c r="F326" s="55">
        <f t="shared" ca="1" si="54"/>
        <v>13427.384224590156</v>
      </c>
      <c r="G326" s="101">
        <f t="shared" ca="1" si="55"/>
        <v>183524.48422459012</v>
      </c>
      <c r="H326" s="100">
        <f ca="1">ROUND($B326*VLOOKUP($A326,$A$1:$B$10,2,1)/(365+IF(MOD(YEAR($A326),4),0,1)*($A326-$A325)),2)-Первоначальный[[#This Row],[Проценты на просроченный платеж по ОД за период]]</f>
        <v>79.64</v>
      </c>
      <c r="I326" s="55">
        <f t="shared" ca="1" si="56"/>
        <v>1.94</v>
      </c>
      <c r="J326" s="55">
        <v>0</v>
      </c>
      <c r="K326" s="55">
        <f t="shared" ca="1" si="59"/>
        <v>115.81350327868853</v>
      </c>
      <c r="L326" s="55">
        <v>0</v>
      </c>
      <c r="M326" s="113">
        <f>SUMIFS(График[Возврат основной суммы долга],График[Дата с учетом нерабочих дней],$A326)</f>
        <v>0</v>
      </c>
      <c r="N326" s="56">
        <f>SUMIFS(График[Возврат начисленных %],График[Дата с учетом нерабочих дней],$A326)</f>
        <v>0</v>
      </c>
      <c r="O326" s="101">
        <v>0</v>
      </c>
      <c r="P326" s="100" cm="1">
        <f t="array" aca="1" ref="P326" ca="1">MAX(IF(AA325="Да",0,SUM(INDIRECT("M"&amp;(MAX(("Да"=AA$12:AA325)*ROW(AA$12:AA325)+1,ROW($P$12))&amp;":M"&amp;(ROW()))))-SUM(INDIRECT("W"&amp;(MAX(("Да"=AA$12:AA325)*ROW(AA$12:AA325)+1,ROW($P$12))&amp;":W"&amp;(ROW()))))),0)</f>
        <v>3563.6499999999992</v>
      </c>
      <c r="Q326" s="99">
        <f ca="1">MAX(SUM($N$13:N326)-SUM($T$13:T326),0)</f>
        <v>19599.050655737708</v>
      </c>
      <c r="R326" s="99">
        <f ca="1">Первоначальный[[#This Row],[Просроченный платеж по ОД]]+Первоначальный[[#This Row],[Просроченный платеж по процентам]]</f>
        <v>23162.700655737706</v>
      </c>
      <c r="S326" s="120">
        <f ca="1">IF(Первоначальный[[#This Row],[Просроченный платеж]]&lt;1,0,S325+1)</f>
        <v>222</v>
      </c>
      <c r="T326" s="100" cm="1">
        <f t="array" aca="1" ref="T326" ca="1">IF(Первоначальный[[#This Row],[Итого остаток на начало периода]]&lt;1,0,
IF(
AND(TYPE(VLOOKUP(1,$Z$12:Z326,1,0))=16,Первоначальный[[#This Row],[Досрочное погашение (да/"")]]=""),0,
_xlfn.IFS(AND(S325=0,Первоначальный[[#This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платеж]]&lt;&gt;0),MIN(LOOKUP(,-1/($Z$12:Z326=1),$C$12:C326)+LOOKUP(,-1/($Z$12:Z326=1),$H$12:H326),Первоначальный[[#This Row],[Полученный платеж]]+Y325),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платеж]]+Y325,SUM(Первоначальный[[#This Row],[Остаток процентов на начало периода]],Первоначальный[[#This Row],[Проценты за период]])),
AND(S325=0,Первоначальный[[#This Row],[Дата платежа из графика]]=""),0,
AND(S325=0,Первоначальный[[#This Row],[Дата платежа из графика]]=1,MAX((0&lt;&gt;S$12:S325)*ROW(S$12:S325),ROW($S$12))&gt;=MAX((1=Z$12:Z325)*ROW(Z$12:Z325),ROW($T$12)),TYPE(VLOOKUP("Да",(INDIRECT("AA"&amp;(MAX((1=Z$12:Z325)*ROW(Z$12:Z325),ROW($T$12))&amp;":AA"&amp;(ROW()-1)))),1,0))=16),MIN(LOOKUP(,-1/($Z$12:Z326=1),$C$12:C326)+LOOKUP(,-1/($Z$12:Z326=1),$H$12:H326),Первоначальный[[#This Row],[Полученный платеж]]+Y325),
AND(S325=0,TYPE(VLOOKUP("Да",(INDIRECT("AA"&amp;(MAX((1=Z$12:Z325)*ROW(Z$12:Z325),ROW($T$12))&amp;":AA"&amp;(ROW()-1)))),1,0))&lt;&gt;16),MIN(LOOKUP(,-1/($Z$12:Z326=1),$C$12:C326)+LOOKUP(,-1/($Z$12:Z326=1),$H$12:H326)-IF(AA325="Да",0,SUM(INDIRECT("T"&amp;(MAX(("Да"=AA$12:AA325)*ROW(AA$12:AA325)+1,ROW($T$12))&amp;":T"&amp;(ROW()-1))))),Первоначальный[[#This Row],[Полученный платеж]]+Y325),
AND(S325=0,MAX((0&lt;&gt;N$12:N325)*ROW(N$12:N325),ROW($S$12))&gt;=MAX((1=Z$12:Z325)*ROW(Z$12:Z325),ROW($T$12))),MIN(LOOKUP(,-1/($Z$12:Z326=1),$C$12:C326)+LOOKUP(,-1/($Z$12:Z326=1),$H$12:H326)-IF(N325&lt;&gt;0,0,SUM(INDIRECT("T"&amp;(MAX((0&lt;&gt;N$12:N325)*ROW(N$12:N325)+1,ROW($T$12))&amp;":T"&amp;(ROW()-1))))),Первоначальный[[#This Row],[Полученный платеж]]+Y325),
AND(S325=0,Первоначальный[[#This Row],[Дата платежа из графика]]=1),MIN(LOOKUP(,-1/($Z$12:Z326=1),$C$12:C326)+LOOKUP(,-1/($Z$12:Z326=1),$H$12:H326)-IF(Z325=1,0,SUM(INDIRECT("T"&amp;(MAX((1=Z$12:Z325)*ROW(Z$12:Z325)+1,ROW($T$12))&amp;":T"&amp;(ROW()-1))))),Первоначальный[[#This Row],[Полученный платеж]]+Y325),
AND(Z325&gt;0,Первоначальный[[#This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платеж]]+Y325),
AND(S325&gt;0,MAX((0&lt;&gt;S$12:S325)*ROW(S$12:S325),ROW($S$12))&gt;=MAX((1=Z$12:Z325)*ROW(Z$12:Z325),ROW($T$12)),TYPE(VLOOKUP("Да",(INDIRECT("AA"&amp;(MAX((1=Z$12:Z325)*ROW(Z$12:Z325),ROW($T$12))&amp;":AA"&amp;(ROW()-1)))),1,0))=16),MIN(LOOKUP(,-1/($Z$12:Z326=1),$C$12:C326)+LOOKUP(,-1/($Z$12:Z326=1),$H$12:H326)-SUM(INDIRECT("T"&amp;(MAX((1=Z$12:Z325)*ROW(Z$12:Z325),ROW($T$12))&amp;":T"&amp;(ROW()-1)))),Первоначальный[[#This Row],[Полученный платеж]]+Y325),
S325&gt;0,MIN(LOOKUP(,-1/($Z$12:Z326=1),$C$12:C326)+LOOKUP(,-1/($Z$12:Z326=1),$H$12:H326)-IF(Z325=1,0,SUM(INDIRECT("T"&amp;(MAX((1=Z$12:Z325)*ROW(Z$12:Z325)+1,ROW($T$12))&amp;":T"&amp;(ROW()-1))))),Первоначальный[[#This Row],[Полученный платеж]]+Y325)
)
)
)</f>
        <v>0</v>
      </c>
      <c r="U32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платеж]]+Y325-Первоначальный[[#This Row],[Полученный платёж по процентам]])</f>
        <v>0</v>
      </c>
      <c r="V326" s="55">
        <f t="shared" ca="1" si="49"/>
        <v>0</v>
      </c>
      <c r="W326" s="55" cm="1">
        <f t="array" aca="1" ref="W326" ca="1">IF(Первоначальный[[#This Row],[Итого остаток на начало периода]]&lt;1,0,
_xlfn.IFS(
AND(TYPE(VLOOKUP(1,$Z$12:Z326,1,0))=16,Первоначальный[[#This Row],[Досрочное погашение (да/"")]]=""),0,
AND(S325=0,Первоначальный[[#This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платеж]]+Y325-SUM(Первоначальный[[#This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комиссиям]]),VLOOKUP(LOOKUP(,-1/($Z$12:Z326=1),$A$12:A326),График[[Срок конец]:[Возврат основной суммы долга]],3,0)),
AND(S325=0,Первоначальный[[#This Row],[Дата платежа из графика]]="",Первоначальный[[#This Row],[Досрочное погашение (да/"")]]&lt;&gt;"Да"),0,
AND(S325=0,Первоначальный[[#This Row],[Досрочное погашение (да/"")]]=""),MIN(Первоначальный[[#This Row],[Полученный платеж]]+Y325-SUM(Первоначальный[[#This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комиссиям]]),VLOOKUP(LOOKUP(,-1/($Z$12:Z326=1),$A$12:A326),График[[Срок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платеж]]+Y325-SUM(Первоначальный[[#This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S325&gt;0,MIN(Первоначальный[[#This Row],[Полученный платеж]]+Y325-SUM(Первоначальный[[#This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комиссиям]]),SUM(INDIRECT("M"&amp;(MAX((1=S$12:S325)*ROW(S$12:S325),ROW($W$12))&amp;":M"&amp;(ROW()))))-SUM(INDIRECT("W"&amp;(MAX((1=S$12:S325)*ROW(S$12:S325),ROW($W$12))&amp;":W"&amp;(ROW()-1)))))
)
)</f>
        <v>0</v>
      </c>
      <c r="X326" s="55">
        <f t="shared" ca="1" si="50"/>
        <v>0</v>
      </c>
      <c r="Y326" s="101">
        <f t="shared" ca="1" si="57"/>
        <v>0</v>
      </c>
      <c r="Z326" s="133" t="str">
        <f>IF(TYPE((VLOOKUP(Первоначальный[[#This Row],[Дата платежа]],График[Срок конец],1,0)))=16,"",1)</f>
        <v/>
      </c>
      <c r="AA326" s="57"/>
      <c r="AB326" s="134"/>
      <c r="AC32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2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20316.48999999998</v>
      </c>
      <c r="AE32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228.85000000000031</v>
      </c>
      <c r="AF32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2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13543.197727868845</v>
      </c>
      <c r="AH326" s="55"/>
      <c r="AI326" s="55"/>
      <c r="AJ326" s="55"/>
      <c r="AK326" s="101">
        <f t="shared" ca="1" si="58"/>
        <v>183721.87772786885</v>
      </c>
      <c r="AL326" s="129">
        <f t="array" ref="AL326">MAX((УслРестрактов[Характеристика]="Дата реструктуризации")*(УслРестрактов[Значение]=Первоначальный!$A326),0)</f>
        <v>0</v>
      </c>
    </row>
    <row r="327" spans="1:38" x14ac:dyDescent="0.25">
      <c r="A327" s="97">
        <f t="shared" si="51"/>
        <v>44458</v>
      </c>
      <c r="B327" s="100">
        <f t="shared" ca="1" si="52"/>
        <v>149633.34</v>
      </c>
      <c r="C327" s="55">
        <f t="shared" ca="1" si="60"/>
        <v>20316.48999999998</v>
      </c>
      <c r="D327" s="55">
        <f t="shared" ca="1" si="60"/>
        <v>228.85000000000031</v>
      </c>
      <c r="E327" s="55">
        <f t="shared" ca="1" si="53"/>
        <v>0</v>
      </c>
      <c r="F327" s="55">
        <f t="shared" ca="1" si="54"/>
        <v>13543.197727868845</v>
      </c>
      <c r="G327" s="101">
        <f t="shared" ca="1" si="55"/>
        <v>183721.87772786885</v>
      </c>
      <c r="H327" s="100">
        <f ca="1">ROUND($B327*VLOOKUP($A327,$A$1:$B$10,2,1)/(365+IF(MOD(YEAR($A327),4),0,1)*($A327-$A326)),2)-Первоначальный[[#This Row],[Проценты на просроченный платеж по ОД за период]]</f>
        <v>79.64</v>
      </c>
      <c r="I327" s="55">
        <f t="shared" ca="1" si="56"/>
        <v>1.94</v>
      </c>
      <c r="J327" s="55">
        <v>0</v>
      </c>
      <c r="K327" s="55">
        <f t="shared" ca="1" si="59"/>
        <v>115.81350327868853</v>
      </c>
      <c r="L327" s="55">
        <v>0</v>
      </c>
      <c r="M327" s="113">
        <f>SUMIFS(График[Возврат основной суммы долга],График[Дата с учетом нерабочих дней],$A327)</f>
        <v>0</v>
      </c>
      <c r="N327" s="56">
        <f>SUMIFS(График[Возврат начисленных %],График[Дата с учетом нерабочих дней],$A327)</f>
        <v>0</v>
      </c>
      <c r="O327" s="101">
        <v>0</v>
      </c>
      <c r="P327" s="100" cm="1">
        <f t="array" aca="1" ref="P327" ca="1">MAX(IF(AA326="Да",0,SUM(INDIRECT("M"&amp;(MAX(("Да"=AA$12:AA326)*ROW(AA$12:AA326)+1,ROW($P$12))&amp;":M"&amp;(ROW()))))-SUM(INDIRECT("W"&amp;(MAX(("Да"=AA$12:AA326)*ROW(AA$12:AA326)+1,ROW($P$12))&amp;":W"&amp;(ROW()))))),0)</f>
        <v>3563.6499999999992</v>
      </c>
      <c r="Q327" s="99">
        <f ca="1">MAX(SUM($N$13:N327)-SUM($T$13:T327),0)</f>
        <v>19599.050655737708</v>
      </c>
      <c r="R327" s="99">
        <f ca="1">Первоначальный[[#This Row],[Просроченный платеж по ОД]]+Первоначальный[[#This Row],[Просроченный платеж по процентам]]</f>
        <v>23162.700655737706</v>
      </c>
      <c r="S327" s="120">
        <f ca="1">IF(Первоначальный[[#This Row],[Просроченный платеж]]&lt;1,0,S326+1)</f>
        <v>223</v>
      </c>
      <c r="T327" s="100" cm="1">
        <f t="array" aca="1" ref="T327" ca="1">IF(Первоначальный[[#This Row],[Итого остаток на начало периода]]&lt;1,0,
IF(
AND(TYPE(VLOOKUP(1,$Z$12:Z327,1,0))=16,Первоначальный[[#This Row],[Досрочное погашение (да/"")]]=""),0,
_xlfn.IFS(AND(S326=0,Первоначальный[[#This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платеж]]&lt;&gt;0),MIN(LOOKUP(,-1/($Z$12:Z327=1),$C$12:C327)+LOOKUP(,-1/($Z$12:Z327=1),$H$12:H327),Первоначальный[[#This Row],[Полученный платеж]]+Y326),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платеж]]+Y326,SUM(Первоначальный[[#This Row],[Остаток процентов на начало периода]],Первоначальный[[#This Row],[Проценты за период]])),
AND(S326=0,Первоначальный[[#This Row],[Дата платежа из графика]]=""),0,
AND(S326=0,Первоначальный[[#This Row],[Дата платежа из графика]]=1,MAX((0&lt;&gt;S$12:S326)*ROW(S$12:S326),ROW($S$12))&gt;=MAX((1=Z$12:Z326)*ROW(Z$12:Z326),ROW($T$12)),TYPE(VLOOKUP("Да",(INDIRECT("AA"&amp;(MAX((1=Z$12:Z326)*ROW(Z$12:Z326),ROW($T$12))&amp;":AA"&amp;(ROW()-1)))),1,0))=16),MIN(LOOKUP(,-1/($Z$12:Z327=1),$C$12:C327)+LOOKUP(,-1/($Z$12:Z327=1),$H$12:H327),Первоначальный[[#This Row],[Полученный платеж]]+Y326),
AND(S326=0,TYPE(VLOOKUP("Да",(INDIRECT("AA"&amp;(MAX((1=Z$12:Z326)*ROW(Z$12:Z326),ROW($T$12))&amp;":AA"&amp;(ROW()-1)))),1,0))&lt;&gt;16),MIN(LOOKUP(,-1/($Z$12:Z327=1),$C$12:C327)+LOOKUP(,-1/($Z$12:Z327=1),$H$12:H327)-IF(AA326="Да",0,SUM(INDIRECT("T"&amp;(MAX(("Да"=AA$12:AA326)*ROW(AA$12:AA326)+1,ROW($T$12))&amp;":T"&amp;(ROW()-1))))),Первоначальный[[#This Row],[Полученный платеж]]+Y326),
AND(S326=0,MAX((0&lt;&gt;N$12:N326)*ROW(N$12:N326),ROW($S$12))&gt;=MAX((1=Z$12:Z326)*ROW(Z$12:Z326),ROW($T$12))),MIN(LOOKUP(,-1/($Z$12:Z327=1),$C$12:C327)+LOOKUP(,-1/($Z$12:Z327=1),$H$12:H327)-IF(N326&lt;&gt;0,0,SUM(INDIRECT("T"&amp;(MAX((0&lt;&gt;N$12:N326)*ROW(N$12:N326)+1,ROW($T$12))&amp;":T"&amp;(ROW()-1))))),Первоначальный[[#This Row],[Полученный платеж]]+Y326),
AND(S326=0,Первоначальный[[#This Row],[Дата платежа из графика]]=1),MIN(LOOKUP(,-1/($Z$12:Z327=1),$C$12:C327)+LOOKUP(,-1/($Z$12:Z327=1),$H$12:H327)-IF(Z326=1,0,SUM(INDIRECT("T"&amp;(MAX((1=Z$12:Z326)*ROW(Z$12:Z326)+1,ROW($T$12))&amp;":T"&amp;(ROW()-1))))),Первоначальный[[#This Row],[Полученный платеж]]+Y326),
AND(Z326&gt;0,Первоначальный[[#This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платеж]]+Y326),
AND(S326&gt;0,MAX((0&lt;&gt;S$12:S326)*ROW(S$12:S326),ROW($S$12))&gt;=MAX((1=Z$12:Z326)*ROW(Z$12:Z326),ROW($T$12)),TYPE(VLOOKUP("Да",(INDIRECT("AA"&amp;(MAX((1=Z$12:Z326)*ROW(Z$12:Z326),ROW($T$12))&amp;":AA"&amp;(ROW()-1)))),1,0))=16),MIN(LOOKUP(,-1/($Z$12:Z327=1),$C$12:C327)+LOOKUP(,-1/($Z$12:Z327=1),$H$12:H327)-SUM(INDIRECT("T"&amp;(MAX((1=Z$12:Z326)*ROW(Z$12:Z326),ROW($T$12))&amp;":T"&amp;(ROW()-1)))),Первоначальный[[#This Row],[Полученный платеж]]+Y326),
S326&gt;0,MIN(LOOKUP(,-1/($Z$12:Z327=1),$C$12:C327)+LOOKUP(,-1/($Z$12:Z327=1),$H$12:H327)-IF(Z326=1,0,SUM(INDIRECT("T"&amp;(MAX((1=Z$12:Z326)*ROW(Z$12:Z326)+1,ROW($T$12))&amp;":T"&amp;(ROW()-1))))),Первоначальный[[#This Row],[Полученный платеж]]+Y326)
)
)
)</f>
        <v>0</v>
      </c>
      <c r="U32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платеж]]+Y326-Первоначальный[[#This Row],[Полученный платёж по процентам]])</f>
        <v>0</v>
      </c>
      <c r="V327" s="55">
        <f t="shared" ca="1" si="49"/>
        <v>0</v>
      </c>
      <c r="W327" s="55" cm="1">
        <f t="array" aca="1" ref="W327" ca="1">IF(Первоначальный[[#This Row],[Итого остаток на начало периода]]&lt;1,0,
_xlfn.IFS(
AND(TYPE(VLOOKUP(1,$Z$12:Z327,1,0))=16,Первоначальный[[#This Row],[Досрочное погашение (да/"")]]=""),0,
AND(S326=0,Первоначальный[[#This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платеж]]+Y326-SUM(Первоначальный[[#This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комиссиям]]),VLOOKUP(LOOKUP(,-1/($Z$12:Z327=1),$A$12:A327),График[[Срок конец]:[Возврат основной суммы долга]],3,0)),
AND(S326=0,Первоначальный[[#This Row],[Дата платежа из графика]]="",Первоначальный[[#This Row],[Досрочное погашение (да/"")]]&lt;&gt;"Да"),0,
AND(S326=0,Первоначальный[[#This Row],[Досрочное погашение (да/"")]]=""),MIN(Первоначальный[[#This Row],[Полученный платеж]]+Y326-SUM(Первоначальный[[#This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комиссиям]]),VLOOKUP(LOOKUP(,-1/($Z$12:Z327=1),$A$12:A327),График[[Срок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платеж]]+Y326-SUM(Первоначальный[[#This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S326&gt;0,MIN(Первоначальный[[#This Row],[Полученный платеж]]+Y326-SUM(Первоначальный[[#This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комиссиям]]),SUM(INDIRECT("M"&amp;(MAX((1=S$12:S326)*ROW(S$12:S326),ROW($W$12))&amp;":M"&amp;(ROW()))))-SUM(INDIRECT("W"&amp;(MAX((1=S$12:S326)*ROW(S$12:S326),ROW($W$12))&amp;":W"&amp;(ROW()-1)))))
)
)</f>
        <v>0</v>
      </c>
      <c r="X327" s="55">
        <f t="shared" ca="1" si="50"/>
        <v>0</v>
      </c>
      <c r="Y327" s="101">
        <f t="shared" ca="1" si="57"/>
        <v>0</v>
      </c>
      <c r="Z327" s="133" t="str">
        <f>IF(TYPE((VLOOKUP(Первоначальный[[#This Row],[Дата платежа]],График[Срок конец],1,0)))=16,"",1)</f>
        <v/>
      </c>
      <c r="AA327" s="57"/>
      <c r="AB327" s="134"/>
      <c r="AC32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2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20396.129999999979</v>
      </c>
      <c r="AE32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230.7900000000003</v>
      </c>
      <c r="AF32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2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13659.011231147533</v>
      </c>
      <c r="AH327" s="55"/>
      <c r="AI327" s="55"/>
      <c r="AJ327" s="55"/>
      <c r="AK327" s="101">
        <f t="shared" ca="1" si="58"/>
        <v>183919.27123114752</v>
      </c>
      <c r="AL327" s="129">
        <f t="array" ref="AL327">MAX((УслРестрактов[Характеристика]="Дата реструктуризации")*(УслРестрактов[Значение]=Первоначальный!$A327),0)</f>
        <v>0</v>
      </c>
    </row>
    <row r="328" spans="1:38" x14ac:dyDescent="0.25">
      <c r="A328" s="97">
        <f t="shared" si="51"/>
        <v>44459</v>
      </c>
      <c r="B328" s="100">
        <f t="shared" ca="1" si="52"/>
        <v>149633.34</v>
      </c>
      <c r="C328" s="55">
        <f t="shared" ca="1" si="60"/>
        <v>20396.129999999979</v>
      </c>
      <c r="D328" s="55">
        <f t="shared" ca="1" si="60"/>
        <v>230.7900000000003</v>
      </c>
      <c r="E328" s="55">
        <f t="shared" ca="1" si="53"/>
        <v>0</v>
      </c>
      <c r="F328" s="55">
        <f t="shared" ca="1" si="54"/>
        <v>13659.011231147533</v>
      </c>
      <c r="G328" s="101">
        <f t="shared" ca="1" si="55"/>
        <v>183919.27123114752</v>
      </c>
      <c r="H328" s="100">
        <f ca="1">ROUND($B328*VLOOKUP($A328,$A$1:$B$10,2,1)/(365+IF(MOD(YEAR($A328),4),0,1)*($A328-$A327)),2)-Первоначальный[[#This Row],[Проценты на просроченный платеж по ОД за период]]</f>
        <v>79.64</v>
      </c>
      <c r="I328" s="55">
        <f t="shared" ca="1" si="56"/>
        <v>1.94</v>
      </c>
      <c r="J328" s="55">
        <v>0</v>
      </c>
      <c r="K328" s="55">
        <f t="shared" ca="1" si="59"/>
        <v>115.81350327868853</v>
      </c>
      <c r="L328" s="55">
        <v>0</v>
      </c>
      <c r="M328" s="113">
        <f>SUMIFS(График[Возврат основной суммы долга],График[Дата с учетом нерабочих дней],$A328)</f>
        <v>0</v>
      </c>
      <c r="N328" s="56">
        <f>SUMIFS(График[Возврат начисленных %],График[Дата с учетом нерабочих дней],$A328)</f>
        <v>0</v>
      </c>
      <c r="O328" s="101">
        <v>0</v>
      </c>
      <c r="P328" s="100" cm="1">
        <f t="array" aca="1" ref="P328" ca="1">MAX(IF(AA327="Да",0,SUM(INDIRECT("M"&amp;(MAX(("Да"=AA$12:AA327)*ROW(AA$12:AA327)+1,ROW($P$12))&amp;":M"&amp;(ROW()))))-SUM(INDIRECT("W"&amp;(MAX(("Да"=AA$12:AA327)*ROW(AA$12:AA327)+1,ROW($P$12))&amp;":W"&amp;(ROW()))))),0)</f>
        <v>3563.6499999999992</v>
      </c>
      <c r="Q328" s="99">
        <f ca="1">MAX(SUM($N$13:N328)-SUM($T$13:T328),0)</f>
        <v>19599.050655737708</v>
      </c>
      <c r="R328" s="99">
        <f ca="1">Первоначальный[[#This Row],[Просроченный платеж по ОД]]+Первоначальный[[#This Row],[Просроченный платеж по процентам]]</f>
        <v>23162.700655737706</v>
      </c>
      <c r="S328" s="120">
        <f ca="1">IF(Первоначальный[[#This Row],[Просроченный платеж]]&lt;1,0,S327+1)</f>
        <v>224</v>
      </c>
      <c r="T328" s="100" cm="1">
        <f t="array" aca="1" ref="T328" ca="1">IF(Первоначальный[[#This Row],[Итого остаток на начало периода]]&lt;1,0,
IF(
AND(TYPE(VLOOKUP(1,$Z$12:Z328,1,0))=16,Первоначальный[[#This Row],[Досрочное погашение (да/"")]]=""),0,
_xlfn.IFS(AND(S327=0,Первоначальный[[#This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платеж]]&lt;&gt;0),MIN(LOOKUP(,-1/($Z$12:Z328=1),$C$12:C328)+LOOKUP(,-1/($Z$12:Z328=1),$H$12:H328),Первоначальный[[#This Row],[Полученный платеж]]+Y327),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платеж]]+Y327,SUM(Первоначальный[[#This Row],[Остаток процентов на начало периода]],Первоначальный[[#This Row],[Проценты за период]])),
AND(S327=0,Первоначальный[[#This Row],[Дата платежа из графика]]=""),0,
AND(S327=0,Первоначальный[[#This Row],[Дата платежа из графика]]=1,MAX((0&lt;&gt;S$12:S327)*ROW(S$12:S327),ROW($S$12))&gt;=MAX((1=Z$12:Z327)*ROW(Z$12:Z327),ROW($T$12)),TYPE(VLOOKUP("Да",(INDIRECT("AA"&amp;(MAX((1=Z$12:Z327)*ROW(Z$12:Z327),ROW($T$12))&amp;":AA"&amp;(ROW()-1)))),1,0))=16),MIN(LOOKUP(,-1/($Z$12:Z328=1),$C$12:C328)+LOOKUP(,-1/($Z$12:Z328=1),$H$12:H328),Первоначальный[[#This Row],[Полученный платеж]]+Y327),
AND(S327=0,TYPE(VLOOKUP("Да",(INDIRECT("AA"&amp;(MAX((1=Z$12:Z327)*ROW(Z$12:Z327),ROW($T$12))&amp;":AA"&amp;(ROW()-1)))),1,0))&lt;&gt;16),MIN(LOOKUP(,-1/($Z$12:Z328=1),$C$12:C328)+LOOKUP(,-1/($Z$12:Z328=1),$H$12:H328)-IF(AA327="Да",0,SUM(INDIRECT("T"&amp;(MAX(("Да"=AA$12:AA327)*ROW(AA$12:AA327)+1,ROW($T$12))&amp;":T"&amp;(ROW()-1))))),Первоначальный[[#This Row],[Полученный платеж]]+Y327),
AND(S327=0,MAX((0&lt;&gt;N$12:N327)*ROW(N$12:N327),ROW($S$12))&gt;=MAX((1=Z$12:Z327)*ROW(Z$12:Z327),ROW($T$12))),MIN(LOOKUP(,-1/($Z$12:Z328=1),$C$12:C328)+LOOKUP(,-1/($Z$12:Z328=1),$H$12:H328)-IF(N327&lt;&gt;0,0,SUM(INDIRECT("T"&amp;(MAX((0&lt;&gt;N$12:N327)*ROW(N$12:N327)+1,ROW($T$12))&amp;":T"&amp;(ROW()-1))))),Первоначальный[[#This Row],[Полученный платеж]]+Y327),
AND(S327=0,Первоначальный[[#This Row],[Дата платежа из графика]]=1),MIN(LOOKUP(,-1/($Z$12:Z328=1),$C$12:C328)+LOOKUP(,-1/($Z$12:Z328=1),$H$12:H328)-IF(Z327=1,0,SUM(INDIRECT("T"&amp;(MAX((1=Z$12:Z327)*ROW(Z$12:Z327)+1,ROW($T$12))&amp;":T"&amp;(ROW()-1))))),Первоначальный[[#This Row],[Полученный платеж]]+Y327),
AND(Z327&gt;0,Первоначальный[[#This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платеж]]+Y327),
AND(S327&gt;0,MAX((0&lt;&gt;S$12:S327)*ROW(S$12:S327),ROW($S$12))&gt;=MAX((1=Z$12:Z327)*ROW(Z$12:Z327),ROW($T$12)),TYPE(VLOOKUP("Да",(INDIRECT("AA"&amp;(MAX((1=Z$12:Z327)*ROW(Z$12:Z327),ROW($T$12))&amp;":AA"&amp;(ROW()-1)))),1,0))=16),MIN(LOOKUP(,-1/($Z$12:Z328=1),$C$12:C328)+LOOKUP(,-1/($Z$12:Z328=1),$H$12:H328)-SUM(INDIRECT("T"&amp;(MAX((1=Z$12:Z327)*ROW(Z$12:Z327),ROW($T$12))&amp;":T"&amp;(ROW()-1)))),Первоначальный[[#This Row],[Полученный платеж]]+Y327),
S327&gt;0,MIN(LOOKUP(,-1/($Z$12:Z328=1),$C$12:C328)+LOOKUP(,-1/($Z$12:Z328=1),$H$12:H328)-IF(Z327=1,0,SUM(INDIRECT("T"&amp;(MAX((1=Z$12:Z327)*ROW(Z$12:Z327)+1,ROW($T$12))&amp;":T"&amp;(ROW()-1))))),Первоначальный[[#This Row],[Полученный платеж]]+Y327)
)
)
)</f>
        <v>0</v>
      </c>
      <c r="U32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платеж]]+Y327-Первоначальный[[#This Row],[Полученный платёж по процентам]])</f>
        <v>0</v>
      </c>
      <c r="V328" s="55">
        <f t="shared" ca="1" si="49"/>
        <v>0</v>
      </c>
      <c r="W328" s="55" cm="1">
        <f t="array" aca="1" ref="W328" ca="1">IF(Первоначальный[[#This Row],[Итого остаток на начало периода]]&lt;1,0,
_xlfn.IFS(
AND(TYPE(VLOOKUP(1,$Z$12:Z328,1,0))=16,Первоначальный[[#This Row],[Досрочное погашение (да/"")]]=""),0,
AND(S327=0,Первоначальный[[#This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платеж]]+Y327-SUM(Первоначальный[[#This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комиссиям]]),VLOOKUP(LOOKUP(,-1/($Z$12:Z328=1),$A$12:A328),График[[Срок конец]:[Возврат основной суммы долга]],3,0)),
AND(S327=0,Первоначальный[[#This Row],[Дата платежа из графика]]="",Первоначальный[[#This Row],[Досрочное погашение (да/"")]]&lt;&gt;"Да"),0,
AND(S327=0,Первоначальный[[#This Row],[Досрочное погашение (да/"")]]=""),MIN(Первоначальный[[#This Row],[Полученный платеж]]+Y327-SUM(Первоначальный[[#This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комиссиям]]),VLOOKUP(LOOKUP(,-1/($Z$12:Z328=1),$A$12:A328),График[[Срок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платеж]]+Y327-SUM(Первоначальный[[#This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S327&gt;0,MIN(Первоначальный[[#This Row],[Полученный платеж]]+Y327-SUM(Первоначальный[[#This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комиссиям]]),SUM(INDIRECT("M"&amp;(MAX((1=S$12:S327)*ROW(S$12:S327),ROW($W$12))&amp;":M"&amp;(ROW()))))-SUM(INDIRECT("W"&amp;(MAX((1=S$12:S327)*ROW(S$12:S327),ROW($W$12))&amp;":W"&amp;(ROW()-1)))))
)
)</f>
        <v>0</v>
      </c>
      <c r="X328" s="55">
        <f t="shared" ca="1" si="50"/>
        <v>0</v>
      </c>
      <c r="Y328" s="101">
        <f t="shared" ca="1" si="57"/>
        <v>0</v>
      </c>
      <c r="Z328" s="133" t="str">
        <f>IF(TYPE((VLOOKUP(Первоначальный[[#This Row],[Дата платежа]],График[Срок конец],1,0)))=16,"",1)</f>
        <v/>
      </c>
      <c r="AA328" s="57"/>
      <c r="AB328" s="134"/>
      <c r="AC32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2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20475.769999999979</v>
      </c>
      <c r="AE32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232.7300000000003</v>
      </c>
      <c r="AF32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2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13774.824734426222</v>
      </c>
      <c r="AH328" s="55"/>
      <c r="AI328" s="55"/>
      <c r="AJ328" s="55"/>
      <c r="AK328" s="101">
        <f t="shared" ca="1" si="58"/>
        <v>184116.66473442622</v>
      </c>
      <c r="AL328" s="129">
        <f t="array" ref="AL328">MAX((УслРестрактов[Характеристика]="Дата реструктуризации")*(УслРестрактов[Значение]=Первоначальный!$A328),0)</f>
        <v>0</v>
      </c>
    </row>
    <row r="329" spans="1:38" x14ac:dyDescent="0.25">
      <c r="A329" s="97">
        <f t="shared" si="51"/>
        <v>44460</v>
      </c>
      <c r="B329" s="100">
        <f t="shared" ca="1" si="52"/>
        <v>149633.34</v>
      </c>
      <c r="C329" s="55">
        <f t="shared" ca="1" si="60"/>
        <v>20475.769999999979</v>
      </c>
      <c r="D329" s="55">
        <f t="shared" ca="1" si="60"/>
        <v>232.7300000000003</v>
      </c>
      <c r="E329" s="55">
        <f t="shared" ca="1" si="53"/>
        <v>0</v>
      </c>
      <c r="F329" s="55">
        <f t="shared" ca="1" si="54"/>
        <v>13774.824734426222</v>
      </c>
      <c r="G329" s="101">
        <f t="shared" ca="1" si="55"/>
        <v>184116.66473442622</v>
      </c>
      <c r="H329" s="100">
        <f ca="1">ROUND($B329*VLOOKUP($A329,$A$1:$B$10,2,1)/(365+IF(MOD(YEAR($A329),4),0,1)*($A329-$A328)),2)-Первоначальный[[#This Row],[Проценты на просроченный платеж по ОД за период]]</f>
        <v>79.64</v>
      </c>
      <c r="I329" s="55">
        <f t="shared" ca="1" si="56"/>
        <v>1.94</v>
      </c>
      <c r="J329" s="55">
        <v>0</v>
      </c>
      <c r="K329" s="55">
        <f t="shared" ca="1" si="59"/>
        <v>115.81350327868853</v>
      </c>
      <c r="L329" s="55">
        <v>0</v>
      </c>
      <c r="M329" s="113">
        <f>SUMIFS(График[Возврат основной суммы долга],График[Дата с учетом нерабочих дней],$A329)</f>
        <v>0</v>
      </c>
      <c r="N329" s="56">
        <f>SUMIFS(График[Возврат начисленных %],График[Дата с учетом нерабочих дней],$A329)</f>
        <v>0</v>
      </c>
      <c r="O329" s="101">
        <v>0</v>
      </c>
      <c r="P329" s="100" cm="1">
        <f t="array" aca="1" ref="P329" ca="1">MAX(IF(AA328="Да",0,SUM(INDIRECT("M"&amp;(MAX(("Да"=AA$12:AA328)*ROW(AA$12:AA328)+1,ROW($P$12))&amp;":M"&amp;(ROW()))))-SUM(INDIRECT("W"&amp;(MAX(("Да"=AA$12:AA328)*ROW(AA$12:AA328)+1,ROW($P$12))&amp;":W"&amp;(ROW()))))),0)</f>
        <v>3563.6499999999992</v>
      </c>
      <c r="Q329" s="99">
        <f ca="1">MAX(SUM($N$13:N329)-SUM($T$13:T329),0)</f>
        <v>19599.050655737708</v>
      </c>
      <c r="R329" s="99">
        <f ca="1">Первоначальный[[#This Row],[Просроченный платеж по ОД]]+Первоначальный[[#This Row],[Просроченный платеж по процентам]]</f>
        <v>23162.700655737706</v>
      </c>
      <c r="S329" s="120">
        <f ca="1">IF(Первоначальный[[#This Row],[Просроченный платеж]]&lt;1,0,S328+1)</f>
        <v>225</v>
      </c>
      <c r="T329" s="100" cm="1">
        <f t="array" aca="1" ref="T329" ca="1">IF(Первоначальный[[#This Row],[Итого остаток на начало периода]]&lt;1,0,
IF(
AND(TYPE(VLOOKUP(1,$Z$12:Z329,1,0))=16,Первоначальный[[#This Row],[Досрочное погашение (да/"")]]=""),0,
_xlfn.IFS(AND(S328=0,Первоначальный[[#This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платеж]]&lt;&gt;0),MIN(LOOKUP(,-1/($Z$12:Z329=1),$C$12:C329)+LOOKUP(,-1/($Z$12:Z329=1),$H$12:H329),Первоначальный[[#This Row],[Полученный платеж]]+Y328),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платеж]]+Y328,SUM(Первоначальный[[#This Row],[Остаток процентов на начало периода]],Первоначальный[[#This Row],[Проценты за период]])),
AND(S328=0,Первоначальный[[#This Row],[Дата платежа из графика]]=""),0,
AND(S328=0,Первоначальный[[#This Row],[Дата платежа из графика]]=1,MAX((0&lt;&gt;S$12:S328)*ROW(S$12:S328),ROW($S$12))&gt;=MAX((1=Z$12:Z328)*ROW(Z$12:Z328),ROW($T$12)),TYPE(VLOOKUP("Да",(INDIRECT("AA"&amp;(MAX((1=Z$12:Z328)*ROW(Z$12:Z328),ROW($T$12))&amp;":AA"&amp;(ROW()-1)))),1,0))=16),MIN(LOOKUP(,-1/($Z$12:Z329=1),$C$12:C329)+LOOKUP(,-1/($Z$12:Z329=1),$H$12:H329),Первоначальный[[#This Row],[Полученный платеж]]+Y328),
AND(S328=0,TYPE(VLOOKUP("Да",(INDIRECT("AA"&amp;(MAX((1=Z$12:Z328)*ROW(Z$12:Z328),ROW($T$12))&amp;":AA"&amp;(ROW()-1)))),1,0))&lt;&gt;16),MIN(LOOKUP(,-1/($Z$12:Z329=1),$C$12:C329)+LOOKUP(,-1/($Z$12:Z329=1),$H$12:H329)-IF(AA328="Да",0,SUM(INDIRECT("T"&amp;(MAX(("Да"=AA$12:AA328)*ROW(AA$12:AA328)+1,ROW($T$12))&amp;":T"&amp;(ROW()-1))))),Первоначальный[[#This Row],[Полученный платеж]]+Y328),
AND(S328=0,MAX((0&lt;&gt;N$12:N328)*ROW(N$12:N328),ROW($S$12))&gt;=MAX((1=Z$12:Z328)*ROW(Z$12:Z328),ROW($T$12))),MIN(LOOKUP(,-1/($Z$12:Z329=1),$C$12:C329)+LOOKUP(,-1/($Z$12:Z329=1),$H$12:H329)-IF(N328&lt;&gt;0,0,SUM(INDIRECT("T"&amp;(MAX((0&lt;&gt;N$12:N328)*ROW(N$12:N328)+1,ROW($T$12))&amp;":T"&amp;(ROW()-1))))),Первоначальный[[#This Row],[Полученный платеж]]+Y328),
AND(S328=0,Первоначальный[[#This Row],[Дата платежа из графика]]=1),MIN(LOOKUP(,-1/($Z$12:Z329=1),$C$12:C329)+LOOKUP(,-1/($Z$12:Z329=1),$H$12:H329)-IF(Z328=1,0,SUM(INDIRECT("T"&amp;(MAX((1=Z$12:Z328)*ROW(Z$12:Z328)+1,ROW($T$12))&amp;":T"&amp;(ROW()-1))))),Первоначальный[[#This Row],[Полученный платеж]]+Y328),
AND(Z328&gt;0,Первоначальный[[#This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платеж]]+Y328),
AND(S328&gt;0,MAX((0&lt;&gt;S$12:S328)*ROW(S$12:S328),ROW($S$12))&gt;=MAX((1=Z$12:Z328)*ROW(Z$12:Z328),ROW($T$12)),TYPE(VLOOKUP("Да",(INDIRECT("AA"&amp;(MAX((1=Z$12:Z328)*ROW(Z$12:Z328),ROW($T$12))&amp;":AA"&amp;(ROW()-1)))),1,0))=16),MIN(LOOKUP(,-1/($Z$12:Z329=1),$C$12:C329)+LOOKUP(,-1/($Z$12:Z329=1),$H$12:H329)-SUM(INDIRECT("T"&amp;(MAX((1=Z$12:Z328)*ROW(Z$12:Z328),ROW($T$12))&amp;":T"&amp;(ROW()-1)))),Первоначальный[[#This Row],[Полученный платеж]]+Y328),
S328&gt;0,MIN(LOOKUP(,-1/($Z$12:Z329=1),$C$12:C329)+LOOKUP(,-1/($Z$12:Z329=1),$H$12:H329)-IF(Z328=1,0,SUM(INDIRECT("T"&amp;(MAX((1=Z$12:Z328)*ROW(Z$12:Z328)+1,ROW($T$12))&amp;":T"&amp;(ROW()-1))))),Первоначальный[[#This Row],[Полученный платеж]]+Y328)
)
)
)</f>
        <v>0</v>
      </c>
      <c r="U32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платеж]]+Y328-Первоначальный[[#This Row],[Полученный платёж по процентам]])</f>
        <v>0</v>
      </c>
      <c r="V329" s="55">
        <f t="shared" ca="1" si="49"/>
        <v>0</v>
      </c>
      <c r="W329" s="55" cm="1">
        <f t="array" aca="1" ref="W329" ca="1">IF(Первоначальный[[#This Row],[Итого остаток на начало периода]]&lt;1,0,
_xlfn.IFS(
AND(TYPE(VLOOKUP(1,$Z$12:Z329,1,0))=16,Первоначальный[[#This Row],[Досрочное погашение (да/"")]]=""),0,
AND(S328=0,Первоначальный[[#This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платеж]]+Y328-SUM(Первоначальный[[#This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комиссиям]]),VLOOKUP(LOOKUP(,-1/($Z$12:Z329=1),$A$12:A329),График[[Срок конец]:[Возврат основной суммы долга]],3,0)),
AND(S328=0,Первоначальный[[#This Row],[Дата платежа из графика]]="",Первоначальный[[#This Row],[Досрочное погашение (да/"")]]&lt;&gt;"Да"),0,
AND(S328=0,Первоначальный[[#This Row],[Досрочное погашение (да/"")]]=""),MIN(Первоначальный[[#This Row],[Полученный платеж]]+Y328-SUM(Первоначальный[[#This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комиссиям]]),VLOOKUP(LOOKUP(,-1/($Z$12:Z329=1),$A$12:A329),График[[Срок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платеж]]+Y328-SUM(Первоначальный[[#This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S328&gt;0,MIN(Первоначальный[[#This Row],[Полученный платеж]]+Y328-SUM(Первоначальный[[#This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комиссиям]]),SUM(INDIRECT("M"&amp;(MAX((1=S$12:S328)*ROW(S$12:S328),ROW($W$12))&amp;":M"&amp;(ROW()))))-SUM(INDIRECT("W"&amp;(MAX((1=S$12:S328)*ROW(S$12:S328),ROW($W$12))&amp;":W"&amp;(ROW()-1)))))
)
)</f>
        <v>0</v>
      </c>
      <c r="X329" s="55">
        <f t="shared" ca="1" si="50"/>
        <v>0</v>
      </c>
      <c r="Y329" s="101">
        <f t="shared" ca="1" si="57"/>
        <v>0</v>
      </c>
      <c r="Z329" s="133" t="str">
        <f>IF(TYPE((VLOOKUP(Первоначальный[[#This Row],[Дата платежа]],График[Срок конец],1,0)))=16,"",1)</f>
        <v/>
      </c>
      <c r="AA329" s="57"/>
      <c r="AB329" s="134"/>
      <c r="AC32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2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20555.409999999978</v>
      </c>
      <c r="AE32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234.6700000000003</v>
      </c>
      <c r="AF32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2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13890.63823770491</v>
      </c>
      <c r="AH329" s="55"/>
      <c r="AI329" s="55"/>
      <c r="AJ329" s="55"/>
      <c r="AK329" s="101">
        <f t="shared" ca="1" si="58"/>
        <v>184314.05823770488</v>
      </c>
      <c r="AL329" s="129">
        <f t="array" ref="AL329">MAX((УслРестрактов[Характеристика]="Дата реструктуризации")*(УслРестрактов[Значение]=Первоначальный!$A329),0)</f>
        <v>0</v>
      </c>
    </row>
    <row r="330" spans="1:38" x14ac:dyDescent="0.25">
      <c r="A330" s="97">
        <f t="shared" si="51"/>
        <v>44461</v>
      </c>
      <c r="B330" s="100">
        <f t="shared" ca="1" si="52"/>
        <v>149633.34</v>
      </c>
      <c r="C330" s="55">
        <f t="shared" ca="1" si="60"/>
        <v>20555.409999999978</v>
      </c>
      <c r="D330" s="55">
        <f t="shared" ca="1" si="60"/>
        <v>234.6700000000003</v>
      </c>
      <c r="E330" s="55">
        <f t="shared" ca="1" si="53"/>
        <v>0</v>
      </c>
      <c r="F330" s="55">
        <f t="shared" ca="1" si="54"/>
        <v>13890.63823770491</v>
      </c>
      <c r="G330" s="101">
        <f t="shared" ca="1" si="55"/>
        <v>184314.05823770488</v>
      </c>
      <c r="H330" s="100">
        <f ca="1">ROUND($B330*VLOOKUP($A330,$A$1:$B$10,2,1)/(365+IF(MOD(YEAR($A330),4),0,1)*($A330-$A329)),2)-Первоначальный[[#This Row],[Проценты на просроченный платеж по ОД за период]]</f>
        <v>79.64</v>
      </c>
      <c r="I330" s="55">
        <f t="shared" ca="1" si="56"/>
        <v>1.94</v>
      </c>
      <c r="J330" s="55">
        <v>0</v>
      </c>
      <c r="K330" s="55">
        <f t="shared" ca="1" si="59"/>
        <v>115.81350327868853</v>
      </c>
      <c r="L330" s="55">
        <v>0</v>
      </c>
      <c r="M330" s="113">
        <f>SUMIFS(График[Возврат основной суммы долга],График[Дата с учетом нерабочих дней],$A330)</f>
        <v>0</v>
      </c>
      <c r="N330" s="56">
        <f>SUMIFS(График[Возврат начисленных %],График[Дата с учетом нерабочих дней],$A330)</f>
        <v>0</v>
      </c>
      <c r="O330" s="101">
        <v>0</v>
      </c>
      <c r="P330" s="100" cm="1">
        <f t="array" aca="1" ref="P330" ca="1">MAX(IF(AA329="Да",0,SUM(INDIRECT("M"&amp;(MAX(("Да"=AA$12:AA329)*ROW(AA$12:AA329)+1,ROW($P$12))&amp;":M"&amp;(ROW()))))-SUM(INDIRECT("W"&amp;(MAX(("Да"=AA$12:AA329)*ROW(AA$12:AA329)+1,ROW($P$12))&amp;":W"&amp;(ROW()))))),0)</f>
        <v>3563.6499999999992</v>
      </c>
      <c r="Q330" s="99">
        <f ca="1">MAX(SUM($N$13:N330)-SUM($T$13:T330),0)</f>
        <v>19599.050655737708</v>
      </c>
      <c r="R330" s="99">
        <f ca="1">Первоначальный[[#This Row],[Просроченный платеж по ОД]]+Первоначальный[[#This Row],[Просроченный платеж по процентам]]</f>
        <v>23162.700655737706</v>
      </c>
      <c r="S330" s="120">
        <f ca="1">IF(Первоначальный[[#This Row],[Просроченный платеж]]&lt;1,0,S329+1)</f>
        <v>226</v>
      </c>
      <c r="T330" s="100" cm="1">
        <f t="array" aca="1" ref="T330" ca="1">IF(Первоначальный[[#This Row],[Итого остаток на начало периода]]&lt;1,0,
IF(
AND(TYPE(VLOOKUP(1,$Z$12:Z330,1,0))=16,Первоначальный[[#This Row],[Досрочное погашение (да/"")]]=""),0,
_xlfn.IFS(AND(S329=0,Первоначальный[[#This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платеж]]&lt;&gt;0),MIN(LOOKUP(,-1/($Z$12:Z330=1),$C$12:C330)+LOOKUP(,-1/($Z$12:Z330=1),$H$12:H330),Первоначальный[[#This Row],[Полученный платеж]]+Y329),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платеж]]+Y329,SUM(Первоначальный[[#This Row],[Остаток процентов на начало периода]],Первоначальный[[#This Row],[Проценты за период]])),
AND(S329=0,Первоначальный[[#This Row],[Дата платежа из графика]]=""),0,
AND(S329=0,Первоначальный[[#This Row],[Дата платежа из графика]]=1,MAX((0&lt;&gt;S$12:S329)*ROW(S$12:S329),ROW($S$12))&gt;=MAX((1=Z$12:Z329)*ROW(Z$12:Z329),ROW($T$12)),TYPE(VLOOKUP("Да",(INDIRECT("AA"&amp;(MAX((1=Z$12:Z329)*ROW(Z$12:Z329),ROW($T$12))&amp;":AA"&amp;(ROW()-1)))),1,0))=16),MIN(LOOKUP(,-1/($Z$12:Z330=1),$C$12:C330)+LOOKUP(,-1/($Z$12:Z330=1),$H$12:H330),Первоначальный[[#This Row],[Полученный платеж]]+Y329),
AND(S329=0,TYPE(VLOOKUP("Да",(INDIRECT("AA"&amp;(MAX((1=Z$12:Z329)*ROW(Z$12:Z329),ROW($T$12))&amp;":AA"&amp;(ROW()-1)))),1,0))&lt;&gt;16),MIN(LOOKUP(,-1/($Z$12:Z330=1),$C$12:C330)+LOOKUP(,-1/($Z$12:Z330=1),$H$12:H330)-IF(AA329="Да",0,SUM(INDIRECT("T"&amp;(MAX(("Да"=AA$12:AA329)*ROW(AA$12:AA329)+1,ROW($T$12))&amp;":T"&amp;(ROW()-1))))),Первоначальный[[#This Row],[Полученный платеж]]+Y329),
AND(S329=0,MAX((0&lt;&gt;N$12:N329)*ROW(N$12:N329),ROW($S$12))&gt;=MAX((1=Z$12:Z329)*ROW(Z$12:Z329),ROW($T$12))),MIN(LOOKUP(,-1/($Z$12:Z330=1),$C$12:C330)+LOOKUP(,-1/($Z$12:Z330=1),$H$12:H330)-IF(N329&lt;&gt;0,0,SUM(INDIRECT("T"&amp;(MAX((0&lt;&gt;N$12:N329)*ROW(N$12:N329)+1,ROW($T$12))&amp;":T"&amp;(ROW()-1))))),Первоначальный[[#This Row],[Полученный платеж]]+Y329),
AND(S329=0,Первоначальный[[#This Row],[Дата платежа из графика]]=1),MIN(LOOKUP(,-1/($Z$12:Z330=1),$C$12:C330)+LOOKUP(,-1/($Z$12:Z330=1),$H$12:H330)-IF(Z329=1,0,SUM(INDIRECT("T"&amp;(MAX((1=Z$12:Z329)*ROW(Z$12:Z329)+1,ROW($T$12))&amp;":T"&amp;(ROW()-1))))),Первоначальный[[#This Row],[Полученный платеж]]+Y329),
AND(Z329&gt;0,Первоначальный[[#This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платеж]]+Y329),
AND(S329&gt;0,MAX((0&lt;&gt;S$12:S329)*ROW(S$12:S329),ROW($S$12))&gt;=MAX((1=Z$12:Z329)*ROW(Z$12:Z329),ROW($T$12)),TYPE(VLOOKUP("Да",(INDIRECT("AA"&amp;(MAX((1=Z$12:Z329)*ROW(Z$12:Z329),ROW($T$12))&amp;":AA"&amp;(ROW()-1)))),1,0))=16),MIN(LOOKUP(,-1/($Z$12:Z330=1),$C$12:C330)+LOOKUP(,-1/($Z$12:Z330=1),$H$12:H330)-SUM(INDIRECT("T"&amp;(MAX((1=Z$12:Z329)*ROW(Z$12:Z329),ROW($T$12))&amp;":T"&amp;(ROW()-1)))),Первоначальный[[#This Row],[Полученный платеж]]+Y329),
S329&gt;0,MIN(LOOKUP(,-1/($Z$12:Z330=1),$C$12:C330)+LOOKUP(,-1/($Z$12:Z330=1),$H$12:H330)-IF(Z329=1,0,SUM(INDIRECT("T"&amp;(MAX((1=Z$12:Z329)*ROW(Z$12:Z329)+1,ROW($T$12))&amp;":T"&amp;(ROW()-1))))),Первоначальный[[#This Row],[Полученный платеж]]+Y329)
)
)
)</f>
        <v>0</v>
      </c>
      <c r="U33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платеж]]+Y329-Первоначальный[[#This Row],[Полученный платёж по процентам]])</f>
        <v>0</v>
      </c>
      <c r="V330" s="55">
        <f t="shared" ca="1" si="49"/>
        <v>0</v>
      </c>
      <c r="W330" s="55" cm="1">
        <f t="array" aca="1" ref="W330" ca="1">IF(Первоначальный[[#This Row],[Итого остаток на начало периода]]&lt;1,0,
_xlfn.IFS(
AND(TYPE(VLOOKUP(1,$Z$12:Z330,1,0))=16,Первоначальный[[#This Row],[Досрочное погашение (да/"")]]=""),0,
AND(S329=0,Первоначальный[[#This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платеж]]+Y329-SUM(Первоначальный[[#This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комиссиям]]),VLOOKUP(LOOKUP(,-1/($Z$12:Z330=1),$A$12:A330),График[[Срок конец]:[Возврат основной суммы долга]],3,0)),
AND(S329=0,Первоначальный[[#This Row],[Дата платежа из графика]]="",Первоначальный[[#This Row],[Досрочное погашение (да/"")]]&lt;&gt;"Да"),0,
AND(S329=0,Первоначальный[[#This Row],[Досрочное погашение (да/"")]]=""),MIN(Первоначальный[[#This Row],[Полученный платеж]]+Y329-SUM(Первоначальный[[#This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комиссиям]]),VLOOKUP(LOOKUP(,-1/($Z$12:Z330=1),$A$12:A330),График[[Срок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платеж]]+Y329-SUM(Первоначальный[[#This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S329&gt;0,MIN(Первоначальный[[#This Row],[Полученный платеж]]+Y329-SUM(Первоначальный[[#This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комиссиям]]),SUM(INDIRECT("M"&amp;(MAX((1=S$12:S329)*ROW(S$12:S329),ROW($W$12))&amp;":M"&amp;(ROW()))))-SUM(INDIRECT("W"&amp;(MAX((1=S$12:S329)*ROW(S$12:S329),ROW($W$12))&amp;":W"&amp;(ROW()-1)))))
)
)</f>
        <v>0</v>
      </c>
      <c r="X330" s="55">
        <f t="shared" ca="1" si="50"/>
        <v>0</v>
      </c>
      <c r="Y330" s="101">
        <f t="shared" ca="1" si="57"/>
        <v>0</v>
      </c>
      <c r="Z330" s="133" t="str">
        <f>IF(TYPE((VLOOKUP(Первоначальный[[#This Row],[Дата платежа]],График[Срок конец],1,0)))=16,"",1)</f>
        <v/>
      </c>
      <c r="AA330" s="57"/>
      <c r="AB330" s="134"/>
      <c r="AC33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3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20635.049999999977</v>
      </c>
      <c r="AE33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236.6100000000003</v>
      </c>
      <c r="AF33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3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14006.451740983599</v>
      </c>
      <c r="AH330" s="55"/>
      <c r="AI330" s="55"/>
      <c r="AJ330" s="55"/>
      <c r="AK330" s="101">
        <f t="shared" ca="1" si="58"/>
        <v>184511.45174098358</v>
      </c>
      <c r="AL330" s="129">
        <f t="array" ref="AL330">MAX((УслРестрактов[Характеристика]="Дата реструктуризации")*(УслРестрактов[Значение]=Первоначальный!$A330),0)</f>
        <v>0</v>
      </c>
    </row>
    <row r="331" spans="1:38" x14ac:dyDescent="0.25">
      <c r="A331" s="97">
        <f t="shared" si="51"/>
        <v>44462</v>
      </c>
      <c r="B331" s="100">
        <f t="shared" ca="1" si="52"/>
        <v>149633.34</v>
      </c>
      <c r="C331" s="55">
        <f t="shared" ca="1" si="60"/>
        <v>20635.049999999977</v>
      </c>
      <c r="D331" s="55">
        <f t="shared" ca="1" si="60"/>
        <v>236.6100000000003</v>
      </c>
      <c r="E331" s="55">
        <f t="shared" ca="1" si="53"/>
        <v>0</v>
      </c>
      <c r="F331" s="55">
        <f t="shared" ca="1" si="54"/>
        <v>14006.451740983599</v>
      </c>
      <c r="G331" s="101">
        <f t="shared" ca="1" si="55"/>
        <v>184511.45174098358</v>
      </c>
      <c r="H331" s="100">
        <f ca="1">ROUND($B331*VLOOKUP($A331,$A$1:$B$10,2,1)/(365+IF(MOD(YEAR($A331),4),0,1)*($A331-$A330)),2)-Первоначальный[[#This Row],[Проценты на просроченный платеж по ОД за период]]</f>
        <v>79.64</v>
      </c>
      <c r="I331" s="55">
        <f t="shared" ca="1" si="56"/>
        <v>1.94</v>
      </c>
      <c r="J331" s="55">
        <v>0</v>
      </c>
      <c r="K331" s="55">
        <f t="shared" ca="1" si="59"/>
        <v>115.81350327868853</v>
      </c>
      <c r="L331" s="55">
        <v>0</v>
      </c>
      <c r="M331" s="113">
        <f>SUMIFS(График[Возврат основной суммы долга],График[Дата с учетом нерабочих дней],$A331)</f>
        <v>0</v>
      </c>
      <c r="N331" s="56">
        <f>SUMIFS(График[Возврат начисленных %],График[Дата с учетом нерабочих дней],$A331)</f>
        <v>0</v>
      </c>
      <c r="O331" s="101">
        <v>0</v>
      </c>
      <c r="P331" s="100" cm="1">
        <f t="array" aca="1" ref="P331" ca="1">MAX(IF(AA330="Да",0,SUM(INDIRECT("M"&amp;(MAX(("Да"=AA$12:AA330)*ROW(AA$12:AA330)+1,ROW($P$12))&amp;":M"&amp;(ROW()))))-SUM(INDIRECT("W"&amp;(MAX(("Да"=AA$12:AA330)*ROW(AA$12:AA330)+1,ROW($P$12))&amp;":W"&amp;(ROW()))))),0)</f>
        <v>3563.6499999999992</v>
      </c>
      <c r="Q331" s="99">
        <f ca="1">MAX(SUM($N$13:N331)-SUM($T$13:T331),0)</f>
        <v>19599.050655737708</v>
      </c>
      <c r="R331" s="99">
        <f ca="1">Первоначальный[[#This Row],[Просроченный платеж по ОД]]+Первоначальный[[#This Row],[Просроченный платеж по процентам]]</f>
        <v>23162.700655737706</v>
      </c>
      <c r="S331" s="120">
        <f ca="1">IF(Первоначальный[[#This Row],[Просроченный платеж]]&lt;1,0,S330+1)</f>
        <v>227</v>
      </c>
      <c r="T331" s="100" cm="1">
        <f t="array" aca="1" ref="T331" ca="1">IF(Первоначальный[[#This Row],[Итого остаток на начало периода]]&lt;1,0,
IF(
AND(TYPE(VLOOKUP(1,$Z$12:Z331,1,0))=16,Первоначальный[[#This Row],[Досрочное погашение (да/"")]]=""),0,
_xlfn.IFS(AND(S330=0,Первоначальный[[#This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платеж]]&lt;&gt;0),MIN(LOOKUP(,-1/($Z$12:Z331=1),$C$12:C331)+LOOKUP(,-1/($Z$12:Z331=1),$H$12:H331),Первоначальный[[#This Row],[Полученный платеж]]+Y330),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платеж]]+Y330,SUM(Первоначальный[[#This Row],[Остаток процентов на начало периода]],Первоначальный[[#This Row],[Проценты за период]])),
AND(S330=0,Первоначальный[[#This Row],[Дата платежа из графика]]=""),0,
AND(S330=0,Первоначальный[[#This Row],[Дата платежа из графика]]=1,MAX((0&lt;&gt;S$12:S330)*ROW(S$12:S330),ROW($S$12))&gt;=MAX((1=Z$12:Z330)*ROW(Z$12:Z330),ROW($T$12)),TYPE(VLOOKUP("Да",(INDIRECT("AA"&amp;(MAX((1=Z$12:Z330)*ROW(Z$12:Z330),ROW($T$12))&amp;":AA"&amp;(ROW()-1)))),1,0))=16),MIN(LOOKUP(,-1/($Z$12:Z331=1),$C$12:C331)+LOOKUP(,-1/($Z$12:Z331=1),$H$12:H331),Первоначальный[[#This Row],[Полученный платеж]]+Y330),
AND(S330=0,TYPE(VLOOKUP("Да",(INDIRECT("AA"&amp;(MAX((1=Z$12:Z330)*ROW(Z$12:Z330),ROW($T$12))&amp;":AA"&amp;(ROW()-1)))),1,0))&lt;&gt;16),MIN(LOOKUP(,-1/($Z$12:Z331=1),$C$12:C331)+LOOKUP(,-1/($Z$12:Z331=1),$H$12:H331)-IF(AA330="Да",0,SUM(INDIRECT("T"&amp;(MAX(("Да"=AA$12:AA330)*ROW(AA$12:AA330)+1,ROW($T$12))&amp;":T"&amp;(ROW()-1))))),Первоначальный[[#This Row],[Полученный платеж]]+Y330),
AND(S330=0,MAX((0&lt;&gt;N$12:N330)*ROW(N$12:N330),ROW($S$12))&gt;=MAX((1=Z$12:Z330)*ROW(Z$12:Z330),ROW($T$12))),MIN(LOOKUP(,-1/($Z$12:Z331=1),$C$12:C331)+LOOKUP(,-1/($Z$12:Z331=1),$H$12:H331)-IF(N330&lt;&gt;0,0,SUM(INDIRECT("T"&amp;(MAX((0&lt;&gt;N$12:N330)*ROW(N$12:N330)+1,ROW($T$12))&amp;":T"&amp;(ROW()-1))))),Первоначальный[[#This Row],[Полученный платеж]]+Y330),
AND(S330=0,Первоначальный[[#This Row],[Дата платежа из графика]]=1),MIN(LOOKUP(,-1/($Z$12:Z331=1),$C$12:C331)+LOOKUP(,-1/($Z$12:Z331=1),$H$12:H331)-IF(Z330=1,0,SUM(INDIRECT("T"&amp;(MAX((1=Z$12:Z330)*ROW(Z$12:Z330)+1,ROW($T$12))&amp;":T"&amp;(ROW()-1))))),Первоначальный[[#This Row],[Полученный платеж]]+Y330),
AND(Z330&gt;0,Первоначальный[[#This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платеж]]+Y330),
AND(S330&gt;0,MAX((0&lt;&gt;S$12:S330)*ROW(S$12:S330),ROW($S$12))&gt;=MAX((1=Z$12:Z330)*ROW(Z$12:Z330),ROW($T$12)),TYPE(VLOOKUP("Да",(INDIRECT("AA"&amp;(MAX((1=Z$12:Z330)*ROW(Z$12:Z330),ROW($T$12))&amp;":AA"&amp;(ROW()-1)))),1,0))=16),MIN(LOOKUP(,-1/($Z$12:Z331=1),$C$12:C331)+LOOKUP(,-1/($Z$12:Z331=1),$H$12:H331)-SUM(INDIRECT("T"&amp;(MAX((1=Z$12:Z330)*ROW(Z$12:Z330),ROW($T$12))&amp;":T"&amp;(ROW()-1)))),Первоначальный[[#This Row],[Полученный платеж]]+Y330),
S330&gt;0,MIN(LOOKUP(,-1/($Z$12:Z331=1),$C$12:C331)+LOOKUP(,-1/($Z$12:Z331=1),$H$12:H331)-IF(Z330=1,0,SUM(INDIRECT("T"&amp;(MAX((1=Z$12:Z330)*ROW(Z$12:Z330)+1,ROW($T$12))&amp;":T"&amp;(ROW()-1))))),Первоначальный[[#This Row],[Полученный платеж]]+Y330)
)
)
)</f>
        <v>0</v>
      </c>
      <c r="U33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платеж]]+Y330-Первоначальный[[#This Row],[Полученный платёж по процентам]])</f>
        <v>0</v>
      </c>
      <c r="V331" s="55">
        <f t="shared" ca="1" si="49"/>
        <v>0</v>
      </c>
      <c r="W331" s="55" cm="1">
        <f t="array" aca="1" ref="W331" ca="1">IF(Первоначальный[[#This Row],[Итого остаток на начало периода]]&lt;1,0,
_xlfn.IFS(
AND(TYPE(VLOOKUP(1,$Z$12:Z331,1,0))=16,Первоначальный[[#This Row],[Досрочное погашение (да/"")]]=""),0,
AND(S330=0,Первоначальный[[#This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платеж]]+Y330-SUM(Первоначальный[[#This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комиссиям]]),VLOOKUP(LOOKUP(,-1/($Z$12:Z331=1),$A$12:A331),График[[Срок конец]:[Возврат основной суммы долга]],3,0)),
AND(S330=0,Первоначальный[[#This Row],[Дата платежа из графика]]="",Первоначальный[[#This Row],[Досрочное погашение (да/"")]]&lt;&gt;"Да"),0,
AND(S330=0,Первоначальный[[#This Row],[Досрочное погашение (да/"")]]=""),MIN(Первоначальный[[#This Row],[Полученный платеж]]+Y330-SUM(Первоначальный[[#This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комиссиям]]),VLOOKUP(LOOKUP(,-1/($Z$12:Z331=1),$A$12:A331),График[[Срок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платеж]]+Y330-SUM(Первоначальный[[#This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S330&gt;0,MIN(Первоначальный[[#This Row],[Полученный платеж]]+Y330-SUM(Первоначальный[[#This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комиссиям]]),SUM(INDIRECT("M"&amp;(MAX((1=S$12:S330)*ROW(S$12:S330),ROW($W$12))&amp;":M"&amp;(ROW()))))-SUM(INDIRECT("W"&amp;(MAX((1=S$12:S330)*ROW(S$12:S330),ROW($W$12))&amp;":W"&amp;(ROW()-1)))))
)
)</f>
        <v>0</v>
      </c>
      <c r="X331" s="55">
        <f t="shared" ca="1" si="50"/>
        <v>0</v>
      </c>
      <c r="Y331" s="101">
        <f t="shared" ca="1" si="57"/>
        <v>0</v>
      </c>
      <c r="Z331" s="133" t="str">
        <f>IF(TYPE((VLOOKUP(Первоначальный[[#This Row],[Дата платежа]],График[Срок конец],1,0)))=16,"",1)</f>
        <v/>
      </c>
      <c r="AA331" s="57"/>
      <c r="AB331" s="134"/>
      <c r="AC33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3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20714.689999999977</v>
      </c>
      <c r="AE33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238.5500000000003</v>
      </c>
      <c r="AF33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3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14122.265244262288</v>
      </c>
      <c r="AH331" s="55"/>
      <c r="AI331" s="55"/>
      <c r="AJ331" s="55"/>
      <c r="AK331" s="101">
        <f t="shared" ca="1" si="58"/>
        <v>184708.84524426225</v>
      </c>
      <c r="AL331" s="129">
        <f t="array" ref="AL331">MAX((УслРестрактов[Характеристика]="Дата реструктуризации")*(УслРестрактов[Значение]=Первоначальный!$A331),0)</f>
        <v>0</v>
      </c>
    </row>
    <row r="332" spans="1:38" x14ac:dyDescent="0.25">
      <c r="A332" s="97">
        <f t="shared" si="51"/>
        <v>44463</v>
      </c>
      <c r="B332" s="100">
        <f t="shared" ca="1" si="52"/>
        <v>149633.34</v>
      </c>
      <c r="C332" s="55">
        <f t="shared" ca="1" si="60"/>
        <v>20714.689999999977</v>
      </c>
      <c r="D332" s="55">
        <f t="shared" ca="1" si="60"/>
        <v>238.5500000000003</v>
      </c>
      <c r="E332" s="55">
        <f t="shared" ca="1" si="53"/>
        <v>0</v>
      </c>
      <c r="F332" s="55">
        <f t="shared" ca="1" si="54"/>
        <v>14122.265244262288</v>
      </c>
      <c r="G332" s="101">
        <f t="shared" ca="1" si="55"/>
        <v>184708.84524426225</v>
      </c>
      <c r="H332" s="100">
        <f ca="1">ROUND($B332*VLOOKUP($A332,$A$1:$B$10,2,1)/(365+IF(MOD(YEAR($A332),4),0,1)*($A332-$A331)),2)-Первоначальный[[#This Row],[Проценты на просроченный платеж по ОД за период]]</f>
        <v>79.64</v>
      </c>
      <c r="I332" s="55">
        <f t="shared" ca="1" si="56"/>
        <v>1.94</v>
      </c>
      <c r="J332" s="55">
        <v>0</v>
      </c>
      <c r="K332" s="55">
        <f t="shared" ca="1" si="59"/>
        <v>115.81350327868853</v>
      </c>
      <c r="L332" s="55">
        <v>0</v>
      </c>
      <c r="M332" s="113">
        <f>SUMIFS(График[Возврат основной суммы долга],График[Дата с учетом нерабочих дней],$A332)</f>
        <v>0</v>
      </c>
      <c r="N332" s="56">
        <f>SUMIFS(График[Возврат начисленных %],График[Дата с учетом нерабочих дней],$A332)</f>
        <v>0</v>
      </c>
      <c r="O332" s="101">
        <v>0</v>
      </c>
      <c r="P332" s="100" cm="1">
        <f t="array" aca="1" ref="P332" ca="1">MAX(IF(AA331="Да",0,SUM(INDIRECT("M"&amp;(MAX(("Да"=AA$12:AA331)*ROW(AA$12:AA331)+1,ROW($P$12))&amp;":M"&amp;(ROW()))))-SUM(INDIRECT("W"&amp;(MAX(("Да"=AA$12:AA331)*ROW(AA$12:AA331)+1,ROW($P$12))&amp;":W"&amp;(ROW()))))),0)</f>
        <v>3563.6499999999992</v>
      </c>
      <c r="Q332" s="99">
        <f ca="1">MAX(SUM($N$13:N332)-SUM($T$13:T332),0)</f>
        <v>19599.050655737708</v>
      </c>
      <c r="R332" s="99">
        <f ca="1">Первоначальный[[#This Row],[Просроченный платеж по ОД]]+Первоначальный[[#This Row],[Просроченный платеж по процентам]]</f>
        <v>23162.700655737706</v>
      </c>
      <c r="S332" s="120">
        <f ca="1">IF(Первоначальный[[#This Row],[Просроченный платеж]]&lt;1,0,S331+1)</f>
        <v>228</v>
      </c>
      <c r="T332" s="100" cm="1">
        <f t="array" aca="1" ref="T332" ca="1">IF(Первоначальный[[#This Row],[Итого остаток на начало периода]]&lt;1,0,
IF(
AND(TYPE(VLOOKUP(1,$Z$12:Z332,1,0))=16,Первоначальный[[#This Row],[Досрочное погашение (да/"")]]=""),0,
_xlfn.IFS(AND(S331=0,Первоначальный[[#This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платеж]]&lt;&gt;0),MIN(LOOKUP(,-1/($Z$12:Z332=1),$C$12:C332)+LOOKUP(,-1/($Z$12:Z332=1),$H$12:H332),Первоначальный[[#This Row],[Полученный платеж]]+Y331),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платеж]]+Y331,SUM(Первоначальный[[#This Row],[Остаток процентов на начало периода]],Первоначальный[[#This Row],[Проценты за период]])),
AND(S331=0,Первоначальный[[#This Row],[Дата платежа из графика]]=""),0,
AND(S331=0,Первоначальный[[#This Row],[Дата платежа из графика]]=1,MAX((0&lt;&gt;S$12:S331)*ROW(S$12:S331),ROW($S$12))&gt;=MAX((1=Z$12:Z331)*ROW(Z$12:Z331),ROW($T$12)),TYPE(VLOOKUP("Да",(INDIRECT("AA"&amp;(MAX((1=Z$12:Z331)*ROW(Z$12:Z331),ROW($T$12))&amp;":AA"&amp;(ROW()-1)))),1,0))=16),MIN(LOOKUP(,-1/($Z$12:Z332=1),$C$12:C332)+LOOKUP(,-1/($Z$12:Z332=1),$H$12:H332),Первоначальный[[#This Row],[Полученный платеж]]+Y331),
AND(S331=0,TYPE(VLOOKUP("Да",(INDIRECT("AA"&amp;(MAX((1=Z$12:Z331)*ROW(Z$12:Z331),ROW($T$12))&amp;":AA"&amp;(ROW()-1)))),1,0))&lt;&gt;16),MIN(LOOKUP(,-1/($Z$12:Z332=1),$C$12:C332)+LOOKUP(,-1/($Z$12:Z332=1),$H$12:H332)-IF(AA331="Да",0,SUM(INDIRECT("T"&amp;(MAX(("Да"=AA$12:AA331)*ROW(AA$12:AA331)+1,ROW($T$12))&amp;":T"&amp;(ROW()-1))))),Первоначальный[[#This Row],[Полученный платеж]]+Y331),
AND(S331=0,MAX((0&lt;&gt;N$12:N331)*ROW(N$12:N331),ROW($S$12))&gt;=MAX((1=Z$12:Z331)*ROW(Z$12:Z331),ROW($T$12))),MIN(LOOKUP(,-1/($Z$12:Z332=1),$C$12:C332)+LOOKUP(,-1/($Z$12:Z332=1),$H$12:H332)-IF(N331&lt;&gt;0,0,SUM(INDIRECT("T"&amp;(MAX((0&lt;&gt;N$12:N331)*ROW(N$12:N331)+1,ROW($T$12))&amp;":T"&amp;(ROW()-1))))),Первоначальный[[#This Row],[Полученный платеж]]+Y331),
AND(S331=0,Первоначальный[[#This Row],[Дата платежа из графика]]=1),MIN(LOOKUP(,-1/($Z$12:Z332=1),$C$12:C332)+LOOKUP(,-1/($Z$12:Z332=1),$H$12:H332)-IF(Z331=1,0,SUM(INDIRECT("T"&amp;(MAX((1=Z$12:Z331)*ROW(Z$12:Z331)+1,ROW($T$12))&amp;":T"&amp;(ROW()-1))))),Первоначальный[[#This Row],[Полученный платеж]]+Y331),
AND(Z331&gt;0,Первоначальный[[#This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платеж]]+Y331),
AND(S331&gt;0,MAX((0&lt;&gt;S$12:S331)*ROW(S$12:S331),ROW($S$12))&gt;=MAX((1=Z$12:Z331)*ROW(Z$12:Z331),ROW($T$12)),TYPE(VLOOKUP("Да",(INDIRECT("AA"&amp;(MAX((1=Z$12:Z331)*ROW(Z$12:Z331),ROW($T$12))&amp;":AA"&amp;(ROW()-1)))),1,0))=16),MIN(LOOKUP(,-1/($Z$12:Z332=1),$C$12:C332)+LOOKUP(,-1/($Z$12:Z332=1),$H$12:H332)-SUM(INDIRECT("T"&amp;(MAX((1=Z$12:Z331)*ROW(Z$12:Z331),ROW($T$12))&amp;":T"&amp;(ROW()-1)))),Первоначальный[[#This Row],[Полученный платеж]]+Y331),
S331&gt;0,MIN(LOOKUP(,-1/($Z$12:Z332=1),$C$12:C332)+LOOKUP(,-1/($Z$12:Z332=1),$H$12:H332)-IF(Z331=1,0,SUM(INDIRECT("T"&amp;(MAX((1=Z$12:Z331)*ROW(Z$12:Z331)+1,ROW($T$12))&amp;":T"&amp;(ROW()-1))))),Первоначальный[[#This Row],[Полученный платеж]]+Y331)
)
)
)</f>
        <v>0</v>
      </c>
      <c r="U33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платеж]]+Y331-Первоначальный[[#This Row],[Полученный платёж по процентам]])</f>
        <v>0</v>
      </c>
      <c r="V332" s="55">
        <f t="shared" ca="1" si="49"/>
        <v>0</v>
      </c>
      <c r="W332" s="55" cm="1">
        <f t="array" aca="1" ref="W332" ca="1">IF(Первоначальный[[#This Row],[Итого остаток на начало периода]]&lt;1,0,
_xlfn.IFS(
AND(TYPE(VLOOKUP(1,$Z$12:Z332,1,0))=16,Первоначальный[[#This Row],[Досрочное погашение (да/"")]]=""),0,
AND(S331=0,Первоначальный[[#This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платеж]]+Y331-SUM(Первоначальный[[#This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комиссиям]]),VLOOKUP(LOOKUP(,-1/($Z$12:Z332=1),$A$12:A332),График[[Срок конец]:[Возврат основной суммы долга]],3,0)),
AND(S331=0,Первоначальный[[#This Row],[Дата платежа из графика]]="",Первоначальный[[#This Row],[Досрочное погашение (да/"")]]&lt;&gt;"Да"),0,
AND(S331=0,Первоначальный[[#This Row],[Досрочное погашение (да/"")]]=""),MIN(Первоначальный[[#This Row],[Полученный платеж]]+Y331-SUM(Первоначальный[[#This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комиссиям]]),VLOOKUP(LOOKUP(,-1/($Z$12:Z332=1),$A$12:A332),График[[Срок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платеж]]+Y331-SUM(Первоначальный[[#This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S331&gt;0,MIN(Первоначальный[[#This Row],[Полученный платеж]]+Y331-SUM(Первоначальный[[#This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комиссиям]]),SUM(INDIRECT("M"&amp;(MAX((1=S$12:S331)*ROW(S$12:S331),ROW($W$12))&amp;":M"&amp;(ROW()))))-SUM(INDIRECT("W"&amp;(MAX((1=S$12:S331)*ROW(S$12:S331),ROW($W$12))&amp;":W"&amp;(ROW()-1)))))
)
)</f>
        <v>0</v>
      </c>
      <c r="X332" s="55">
        <f t="shared" ca="1" si="50"/>
        <v>0</v>
      </c>
      <c r="Y332" s="101">
        <f t="shared" ca="1" si="57"/>
        <v>0</v>
      </c>
      <c r="Z332" s="133" t="str">
        <f>IF(TYPE((VLOOKUP(Первоначальный[[#This Row],[Дата платежа]],График[Срок конец],1,0)))=16,"",1)</f>
        <v/>
      </c>
      <c r="AA332" s="57"/>
      <c r="AB332" s="134"/>
      <c r="AC33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3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20794.329999999976</v>
      </c>
      <c r="AE33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240.49000000000029</v>
      </c>
      <c r="AF33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3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14238.078747540976</v>
      </c>
      <c r="AH332" s="55"/>
      <c r="AI332" s="55"/>
      <c r="AJ332" s="55"/>
      <c r="AK332" s="101">
        <f t="shared" ca="1" si="58"/>
        <v>184906.23874754095</v>
      </c>
      <c r="AL332" s="129">
        <f t="array" ref="AL332">MAX((УслРестрактов[Характеристика]="Дата реструктуризации")*(УслРестрактов[Значение]=Первоначальный!$A332),0)</f>
        <v>0</v>
      </c>
    </row>
    <row r="333" spans="1:38" x14ac:dyDescent="0.25">
      <c r="A333" s="97">
        <f t="shared" si="51"/>
        <v>44464</v>
      </c>
      <c r="B333" s="100">
        <f t="shared" ca="1" si="52"/>
        <v>149633.34</v>
      </c>
      <c r="C333" s="55">
        <f t="shared" ca="1" si="60"/>
        <v>20794.329999999976</v>
      </c>
      <c r="D333" s="55">
        <f t="shared" ca="1" si="60"/>
        <v>240.49000000000029</v>
      </c>
      <c r="E333" s="55">
        <f t="shared" ca="1" si="53"/>
        <v>0</v>
      </c>
      <c r="F333" s="55">
        <f t="shared" ca="1" si="54"/>
        <v>14238.078747540976</v>
      </c>
      <c r="G333" s="101">
        <f t="shared" ca="1" si="55"/>
        <v>184906.23874754095</v>
      </c>
      <c r="H333" s="100">
        <f ca="1">ROUND($B333*VLOOKUP($A333,$A$1:$B$10,2,1)/(365+IF(MOD(YEAR($A333),4),0,1)*($A333-$A332)),2)-Первоначальный[[#This Row],[Проценты на просроченный платеж по ОД за период]]</f>
        <v>79.64</v>
      </c>
      <c r="I333" s="55">
        <f t="shared" ca="1" si="56"/>
        <v>1.94</v>
      </c>
      <c r="J333" s="55">
        <v>0</v>
      </c>
      <c r="K333" s="55">
        <f t="shared" ca="1" si="59"/>
        <v>115.81350327868853</v>
      </c>
      <c r="L333" s="55">
        <v>0</v>
      </c>
      <c r="M333" s="113">
        <f>SUMIFS(График[Возврат основной суммы долга],График[Дата с учетом нерабочих дней],$A333)</f>
        <v>0</v>
      </c>
      <c r="N333" s="56">
        <f>SUMIFS(График[Возврат начисленных %],График[Дата с учетом нерабочих дней],$A333)</f>
        <v>0</v>
      </c>
      <c r="O333" s="101">
        <v>0</v>
      </c>
      <c r="P333" s="100" cm="1">
        <f t="array" aca="1" ref="P333" ca="1">MAX(IF(AA332="Да",0,SUM(INDIRECT("M"&amp;(MAX(("Да"=AA$12:AA332)*ROW(AA$12:AA332)+1,ROW($P$12))&amp;":M"&amp;(ROW()))))-SUM(INDIRECT("W"&amp;(MAX(("Да"=AA$12:AA332)*ROW(AA$12:AA332)+1,ROW($P$12))&amp;":W"&amp;(ROW()))))),0)</f>
        <v>3563.6499999999992</v>
      </c>
      <c r="Q333" s="99">
        <f ca="1">MAX(SUM($N$13:N333)-SUM($T$13:T333),0)</f>
        <v>19599.050655737708</v>
      </c>
      <c r="R333" s="99">
        <f ca="1">Первоначальный[[#This Row],[Просроченный платеж по ОД]]+Первоначальный[[#This Row],[Просроченный платеж по процентам]]</f>
        <v>23162.700655737706</v>
      </c>
      <c r="S333" s="120">
        <f ca="1">IF(Первоначальный[[#This Row],[Просроченный платеж]]&lt;1,0,S332+1)</f>
        <v>229</v>
      </c>
      <c r="T333" s="100" cm="1">
        <f t="array" aca="1" ref="T333" ca="1">IF(Первоначальный[[#This Row],[Итого остаток на начало периода]]&lt;1,0,
IF(
AND(TYPE(VLOOKUP(1,$Z$12:Z333,1,0))=16,Первоначальный[[#This Row],[Досрочное погашение (да/"")]]=""),0,
_xlfn.IFS(AND(S332=0,Первоначальный[[#This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платеж]]&lt;&gt;0),MIN(LOOKUP(,-1/($Z$12:Z333=1),$C$12:C333)+LOOKUP(,-1/($Z$12:Z333=1),$H$12:H333),Первоначальный[[#This Row],[Полученный платеж]]+Y332),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платеж]]+Y332,SUM(Первоначальный[[#This Row],[Остаток процентов на начало периода]],Первоначальный[[#This Row],[Проценты за период]])),
AND(S332=0,Первоначальный[[#This Row],[Дата платежа из графика]]=""),0,
AND(S332=0,Первоначальный[[#This Row],[Дата платежа из графика]]=1,MAX((0&lt;&gt;S$12:S332)*ROW(S$12:S332),ROW($S$12))&gt;=MAX((1=Z$12:Z332)*ROW(Z$12:Z332),ROW($T$12)),TYPE(VLOOKUP("Да",(INDIRECT("AA"&amp;(MAX((1=Z$12:Z332)*ROW(Z$12:Z332),ROW($T$12))&amp;":AA"&amp;(ROW()-1)))),1,0))=16),MIN(LOOKUP(,-1/($Z$12:Z333=1),$C$12:C333)+LOOKUP(,-1/($Z$12:Z333=1),$H$12:H333),Первоначальный[[#This Row],[Полученный платеж]]+Y332),
AND(S332=0,TYPE(VLOOKUP("Да",(INDIRECT("AA"&amp;(MAX((1=Z$12:Z332)*ROW(Z$12:Z332),ROW($T$12))&amp;":AA"&amp;(ROW()-1)))),1,0))&lt;&gt;16),MIN(LOOKUP(,-1/($Z$12:Z333=1),$C$12:C333)+LOOKUP(,-1/($Z$12:Z333=1),$H$12:H333)-IF(AA332="Да",0,SUM(INDIRECT("T"&amp;(MAX(("Да"=AA$12:AA332)*ROW(AA$12:AA332)+1,ROW($T$12))&amp;":T"&amp;(ROW()-1))))),Первоначальный[[#This Row],[Полученный платеж]]+Y332),
AND(S332=0,MAX((0&lt;&gt;N$12:N332)*ROW(N$12:N332),ROW($S$12))&gt;=MAX((1=Z$12:Z332)*ROW(Z$12:Z332),ROW($T$12))),MIN(LOOKUP(,-1/($Z$12:Z333=1),$C$12:C333)+LOOKUP(,-1/($Z$12:Z333=1),$H$12:H333)-IF(N332&lt;&gt;0,0,SUM(INDIRECT("T"&amp;(MAX((0&lt;&gt;N$12:N332)*ROW(N$12:N332)+1,ROW($T$12))&amp;":T"&amp;(ROW()-1))))),Первоначальный[[#This Row],[Полученный платеж]]+Y332),
AND(S332=0,Первоначальный[[#This Row],[Дата платежа из графика]]=1),MIN(LOOKUP(,-1/($Z$12:Z333=1),$C$12:C333)+LOOKUP(,-1/($Z$12:Z333=1),$H$12:H333)-IF(Z332=1,0,SUM(INDIRECT("T"&amp;(MAX((1=Z$12:Z332)*ROW(Z$12:Z332)+1,ROW($T$12))&amp;":T"&amp;(ROW()-1))))),Первоначальный[[#This Row],[Полученный платеж]]+Y332),
AND(Z332&gt;0,Первоначальный[[#This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платеж]]+Y332),
AND(S332&gt;0,MAX((0&lt;&gt;S$12:S332)*ROW(S$12:S332),ROW($S$12))&gt;=MAX((1=Z$12:Z332)*ROW(Z$12:Z332),ROW($T$12)),TYPE(VLOOKUP("Да",(INDIRECT("AA"&amp;(MAX((1=Z$12:Z332)*ROW(Z$12:Z332),ROW($T$12))&amp;":AA"&amp;(ROW()-1)))),1,0))=16),MIN(LOOKUP(,-1/($Z$12:Z333=1),$C$12:C333)+LOOKUP(,-1/($Z$12:Z333=1),$H$12:H333)-SUM(INDIRECT("T"&amp;(MAX((1=Z$12:Z332)*ROW(Z$12:Z332),ROW($T$12))&amp;":T"&amp;(ROW()-1)))),Первоначальный[[#This Row],[Полученный платеж]]+Y332),
S332&gt;0,MIN(LOOKUP(,-1/($Z$12:Z333=1),$C$12:C333)+LOOKUP(,-1/($Z$12:Z333=1),$H$12:H333)-IF(Z332=1,0,SUM(INDIRECT("T"&amp;(MAX((1=Z$12:Z332)*ROW(Z$12:Z332)+1,ROW($T$12))&amp;":T"&amp;(ROW()-1))))),Первоначальный[[#This Row],[Полученный платеж]]+Y332)
)
)
)</f>
        <v>0</v>
      </c>
      <c r="U33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платеж]]+Y332-Первоначальный[[#This Row],[Полученный платёж по процентам]])</f>
        <v>0</v>
      </c>
      <c r="V333" s="55">
        <f t="shared" ref="V333:V396" ca="1" si="61">MAX(MIN(SUM(O333,Y332)-SUM(T333:T333),SUM(E333,J333)),0)</f>
        <v>0</v>
      </c>
      <c r="W333" s="55" cm="1">
        <f t="array" aca="1" ref="W333" ca="1">IF(Первоначальный[[#This Row],[Итого остаток на начало периода]]&lt;1,0,
_xlfn.IFS(
AND(TYPE(VLOOKUP(1,$Z$12:Z333,1,0))=16,Первоначальный[[#This Row],[Досрочное погашение (да/"")]]=""),0,
AND(S332=0,Первоначальный[[#This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платеж]]+Y332-SUM(Первоначальный[[#This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комиссиям]]),VLOOKUP(LOOKUP(,-1/($Z$12:Z333=1),$A$12:A333),График[[Срок конец]:[Возврат основной суммы долга]],3,0)),
AND(S332=0,Первоначальный[[#This Row],[Дата платежа из графика]]="",Первоначальный[[#This Row],[Досрочное погашение (да/"")]]&lt;&gt;"Да"),0,
AND(S332=0,Первоначальный[[#This Row],[Досрочное погашение (да/"")]]=""),MIN(Первоначальный[[#This Row],[Полученный платеж]]+Y332-SUM(Первоначальный[[#This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комиссиям]]),VLOOKUP(LOOKUP(,-1/($Z$12:Z333=1),$A$12:A333),График[[Срок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платеж]]+Y332-SUM(Первоначальный[[#This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S332&gt;0,MIN(Первоначальный[[#This Row],[Полученный платеж]]+Y332-SUM(Первоначальный[[#This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комиссиям]]),SUM(INDIRECT("M"&amp;(MAX((1=S$12:S332)*ROW(S$12:S332),ROW($W$12))&amp;":M"&amp;(ROW()))))-SUM(INDIRECT("W"&amp;(MAX((1=S$12:S332)*ROW(S$12:S332),ROW($W$12))&amp;":W"&amp;(ROW()-1)))))
)
)</f>
        <v>0</v>
      </c>
      <c r="X333" s="55">
        <f t="shared" ref="X333:X396" ca="1" si="62">MAX(MIN(SUM(O333,Y332)-SUM(T333:W333),SUM(F333,K333)),0)</f>
        <v>0</v>
      </c>
      <c r="Y333" s="101">
        <f t="shared" ca="1" si="57"/>
        <v>0</v>
      </c>
      <c r="Z333" s="133" t="str">
        <f>IF(TYPE((VLOOKUP(Первоначальный[[#This Row],[Дата платежа]],График[Срок конец],1,0)))=16,"",1)</f>
        <v/>
      </c>
      <c r="AA333" s="57"/>
      <c r="AB333" s="134"/>
      <c r="AC33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3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20873.969999999976</v>
      </c>
      <c r="AE33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242.43000000000029</v>
      </c>
      <c r="AF33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3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14353.892250819665</v>
      </c>
      <c r="AH333" s="55"/>
      <c r="AI333" s="55"/>
      <c r="AJ333" s="55"/>
      <c r="AK333" s="101">
        <f t="shared" ca="1" si="58"/>
        <v>185103.63225081962</v>
      </c>
      <c r="AL333" s="129">
        <f t="array" ref="AL333">MAX((УслРестрактов[Характеристика]="Дата реструктуризации")*(УслРестрактов[Значение]=Первоначальный!$A333),0)</f>
        <v>0</v>
      </c>
    </row>
    <row r="334" spans="1:38" x14ac:dyDescent="0.25">
      <c r="A334" s="97">
        <f t="shared" ref="A334:A397" si="63">A333+1</f>
        <v>44465</v>
      </c>
      <c r="B334" s="100">
        <f t="shared" ref="B334:B397" ca="1" si="64">AC333</f>
        <v>149633.34</v>
      </c>
      <c r="C334" s="55">
        <f t="shared" ca="1" si="60"/>
        <v>20873.969999999976</v>
      </c>
      <c r="D334" s="55">
        <f t="shared" ca="1" si="60"/>
        <v>242.43000000000029</v>
      </c>
      <c r="E334" s="55">
        <f t="shared" ref="E334:E397" ca="1" si="65">AF333</f>
        <v>0</v>
      </c>
      <c r="F334" s="55">
        <f t="shared" ref="F334:F397" ca="1" si="66">AG333+AH333</f>
        <v>14353.892250819665</v>
      </c>
      <c r="G334" s="101">
        <f t="shared" ref="G334:G397" ca="1" si="67">AK333</f>
        <v>185103.63225081962</v>
      </c>
      <c r="H334" s="100">
        <f ca="1">ROUND($B334*VLOOKUP($A334,$A$1:$B$10,2,1)/(365+IF(MOD(YEAR($A334),4),0,1)*($A334-$A333)),2)-Первоначальный[[#This Row],[Проценты на просроченный платеж по ОД за период]]</f>
        <v>79.64</v>
      </c>
      <c r="I334" s="55">
        <f t="shared" ref="I334:I397" ca="1" si="68">ROUND(P333*VLOOKUP($A334,$A$1:$B$10,2,1)/(365+IF(MOD(YEAR($A334),4),0,1)*($A334-$A333)),2)</f>
        <v>1.94</v>
      </c>
      <c r="J334" s="55">
        <v>0</v>
      </c>
      <c r="K334" s="55">
        <f t="shared" ca="1" si="59"/>
        <v>115.81350327868853</v>
      </c>
      <c r="L334" s="55">
        <v>0</v>
      </c>
      <c r="M334" s="113">
        <f>SUMIFS(График[Возврат основной суммы долга],График[Дата с учетом нерабочих дней],$A334)</f>
        <v>0</v>
      </c>
      <c r="N334" s="56">
        <f>SUMIFS(График[Возврат начисленных %],График[Дата с учетом нерабочих дней],$A334)</f>
        <v>0</v>
      </c>
      <c r="O334" s="101">
        <v>0</v>
      </c>
      <c r="P334" s="100" cm="1">
        <f t="array" aca="1" ref="P334" ca="1">MAX(IF(AA333="Да",0,SUM(INDIRECT("M"&amp;(MAX(("Да"=AA$12:AA333)*ROW(AA$12:AA333)+1,ROW($P$12))&amp;":M"&amp;(ROW()))))-SUM(INDIRECT("W"&amp;(MAX(("Да"=AA$12:AA333)*ROW(AA$12:AA333)+1,ROW($P$12))&amp;":W"&amp;(ROW()))))),0)</f>
        <v>3563.6499999999992</v>
      </c>
      <c r="Q334" s="99">
        <f ca="1">MAX(SUM($N$13:N334)-SUM($T$13:T334),0)</f>
        <v>19599.050655737708</v>
      </c>
      <c r="R334" s="99">
        <f ca="1">Первоначальный[[#This Row],[Просроченный платеж по ОД]]+Первоначальный[[#This Row],[Просроченный платеж по процентам]]</f>
        <v>23162.700655737706</v>
      </c>
      <c r="S334" s="120">
        <f ca="1">IF(Первоначальный[[#This Row],[Просроченный платеж]]&lt;1,0,S333+1)</f>
        <v>230</v>
      </c>
      <c r="T334" s="100" cm="1">
        <f t="array" aca="1" ref="T334" ca="1">IF(Первоначальный[[#This Row],[Итого остаток на начало периода]]&lt;1,0,
IF(
AND(TYPE(VLOOKUP(1,$Z$12:Z334,1,0))=16,Первоначальный[[#This Row],[Досрочное погашение (да/"")]]=""),0,
_xlfn.IFS(AND(S333=0,Первоначальный[[#This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платеж]]&lt;&gt;0),MIN(LOOKUP(,-1/($Z$12:Z334=1),$C$12:C334)+LOOKUP(,-1/($Z$12:Z334=1),$H$12:H334),Первоначальный[[#This Row],[Полученный платеж]]+Y333),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платеж]]+Y333,SUM(Первоначальный[[#This Row],[Остаток процентов на начало периода]],Первоначальный[[#This Row],[Проценты за период]])),
AND(S333=0,Первоначальный[[#This Row],[Дата платежа из графика]]=""),0,
AND(S333=0,Первоначальный[[#This Row],[Дата платежа из графика]]=1,MAX((0&lt;&gt;S$12:S333)*ROW(S$12:S333),ROW($S$12))&gt;=MAX((1=Z$12:Z333)*ROW(Z$12:Z333),ROW($T$12)),TYPE(VLOOKUP("Да",(INDIRECT("AA"&amp;(MAX((1=Z$12:Z333)*ROW(Z$12:Z333),ROW($T$12))&amp;":AA"&amp;(ROW()-1)))),1,0))=16),MIN(LOOKUP(,-1/($Z$12:Z334=1),$C$12:C334)+LOOKUP(,-1/($Z$12:Z334=1),$H$12:H334),Первоначальный[[#This Row],[Полученный платеж]]+Y333),
AND(S333=0,TYPE(VLOOKUP("Да",(INDIRECT("AA"&amp;(MAX((1=Z$12:Z333)*ROW(Z$12:Z333),ROW($T$12))&amp;":AA"&amp;(ROW()-1)))),1,0))&lt;&gt;16),MIN(LOOKUP(,-1/($Z$12:Z334=1),$C$12:C334)+LOOKUP(,-1/($Z$12:Z334=1),$H$12:H334)-IF(AA333="Да",0,SUM(INDIRECT("T"&amp;(MAX(("Да"=AA$12:AA333)*ROW(AA$12:AA333)+1,ROW($T$12))&amp;":T"&amp;(ROW()-1))))),Первоначальный[[#This Row],[Полученный платеж]]+Y333),
AND(S333=0,MAX((0&lt;&gt;N$12:N333)*ROW(N$12:N333),ROW($S$12))&gt;=MAX((1=Z$12:Z333)*ROW(Z$12:Z333),ROW($T$12))),MIN(LOOKUP(,-1/($Z$12:Z334=1),$C$12:C334)+LOOKUP(,-1/($Z$12:Z334=1),$H$12:H334)-IF(N333&lt;&gt;0,0,SUM(INDIRECT("T"&amp;(MAX((0&lt;&gt;N$12:N333)*ROW(N$12:N333)+1,ROW($T$12))&amp;":T"&amp;(ROW()-1))))),Первоначальный[[#This Row],[Полученный платеж]]+Y333),
AND(S333=0,Первоначальный[[#This Row],[Дата платежа из графика]]=1),MIN(LOOKUP(,-1/($Z$12:Z334=1),$C$12:C334)+LOOKUP(,-1/($Z$12:Z334=1),$H$12:H334)-IF(Z333=1,0,SUM(INDIRECT("T"&amp;(MAX((1=Z$12:Z333)*ROW(Z$12:Z333)+1,ROW($T$12))&amp;":T"&amp;(ROW()-1))))),Первоначальный[[#This Row],[Полученный платеж]]+Y333),
AND(Z333&gt;0,Первоначальный[[#This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платеж]]+Y333),
AND(S333&gt;0,MAX((0&lt;&gt;S$12:S333)*ROW(S$12:S333),ROW($S$12))&gt;=MAX((1=Z$12:Z333)*ROW(Z$12:Z333),ROW($T$12)),TYPE(VLOOKUP("Да",(INDIRECT("AA"&amp;(MAX((1=Z$12:Z333)*ROW(Z$12:Z333),ROW($T$12))&amp;":AA"&amp;(ROW()-1)))),1,0))=16),MIN(LOOKUP(,-1/($Z$12:Z334=1),$C$12:C334)+LOOKUP(,-1/($Z$12:Z334=1),$H$12:H334)-SUM(INDIRECT("T"&amp;(MAX((1=Z$12:Z333)*ROW(Z$12:Z333),ROW($T$12))&amp;":T"&amp;(ROW()-1)))),Первоначальный[[#This Row],[Полученный платеж]]+Y333),
S333&gt;0,MIN(LOOKUP(,-1/($Z$12:Z334=1),$C$12:C334)+LOOKUP(,-1/($Z$12:Z334=1),$H$12:H334)-IF(Z333=1,0,SUM(INDIRECT("T"&amp;(MAX((1=Z$12:Z333)*ROW(Z$12:Z333)+1,ROW($T$12))&amp;":T"&amp;(ROW()-1))))),Первоначальный[[#This Row],[Полученный платеж]]+Y333)
)
)
)</f>
        <v>0</v>
      </c>
      <c r="U33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платеж]]+Y333-Первоначальный[[#This Row],[Полученный платёж по процентам]])</f>
        <v>0</v>
      </c>
      <c r="V334" s="55">
        <f t="shared" ca="1" si="61"/>
        <v>0</v>
      </c>
      <c r="W334" s="55" cm="1">
        <f t="array" aca="1" ref="W334" ca="1">IF(Первоначальный[[#This Row],[Итого остаток на начало периода]]&lt;1,0,
_xlfn.IFS(
AND(TYPE(VLOOKUP(1,$Z$12:Z334,1,0))=16,Первоначальный[[#This Row],[Досрочное погашение (да/"")]]=""),0,
AND(S333=0,Первоначальный[[#This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платеж]]+Y333-SUM(Первоначальный[[#This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комиссиям]]),VLOOKUP(LOOKUP(,-1/($Z$12:Z334=1),$A$12:A334),График[[Срок конец]:[Возврат основной суммы долга]],3,0)),
AND(S333=0,Первоначальный[[#This Row],[Дата платежа из графика]]="",Первоначальный[[#This Row],[Досрочное погашение (да/"")]]&lt;&gt;"Да"),0,
AND(S333=0,Первоначальный[[#This Row],[Досрочное погашение (да/"")]]=""),MIN(Первоначальный[[#This Row],[Полученный платеж]]+Y333-SUM(Первоначальный[[#This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комиссиям]]),VLOOKUP(LOOKUP(,-1/($Z$12:Z334=1),$A$12:A334),График[[Срок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платеж]]+Y333-SUM(Первоначальный[[#This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S333&gt;0,MIN(Первоначальный[[#This Row],[Полученный платеж]]+Y333-SUM(Первоначальный[[#This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комиссиям]]),SUM(INDIRECT("M"&amp;(MAX((1=S$12:S333)*ROW(S$12:S333),ROW($W$12))&amp;":M"&amp;(ROW()))))-SUM(INDIRECT("W"&amp;(MAX((1=S$12:S333)*ROW(S$12:S333),ROW($W$12))&amp;":W"&amp;(ROW()-1)))))
)
)</f>
        <v>0</v>
      </c>
      <c r="X334" s="55">
        <f t="shared" ca="1" si="62"/>
        <v>0</v>
      </c>
      <c r="Y334" s="101">
        <f t="shared" ref="Y334:Y397" ca="1" si="69">ROUND(Y333+O334-SUM(T334:X334),2)</f>
        <v>0</v>
      </c>
      <c r="Z334" s="133" t="str">
        <f>IF(TYPE((VLOOKUP(Первоначальный[[#This Row],[Дата платежа]],График[Срок конец],1,0)))=16,"",1)</f>
        <v/>
      </c>
      <c r="AA334" s="57"/>
      <c r="AB334" s="134"/>
      <c r="AC33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3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20953.609999999975</v>
      </c>
      <c r="AE33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244.37000000000029</v>
      </c>
      <c r="AF33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3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14469.705754098353</v>
      </c>
      <c r="AH334" s="55"/>
      <c r="AI334" s="55"/>
      <c r="AJ334" s="55"/>
      <c r="AK334" s="101">
        <f t="shared" ref="AK334:AK397" ca="1" si="70">SUM(AC334:AJ334)</f>
        <v>185301.02575409834</v>
      </c>
      <c r="AL334" s="129">
        <f t="array" ref="AL334">MAX((УслРестрактов[Характеристика]="Дата реструктуризации")*(УслРестрактов[Значение]=Первоначальный!$A334),0)</f>
        <v>0</v>
      </c>
    </row>
    <row r="335" spans="1:38" x14ac:dyDescent="0.25">
      <c r="A335" s="97">
        <f t="shared" si="63"/>
        <v>44466</v>
      </c>
      <c r="B335" s="100">
        <f t="shared" ca="1" si="64"/>
        <v>149633.34</v>
      </c>
      <c r="C335" s="55">
        <f t="shared" ca="1" si="60"/>
        <v>20953.609999999975</v>
      </c>
      <c r="D335" s="55">
        <f t="shared" ca="1" si="60"/>
        <v>244.37000000000029</v>
      </c>
      <c r="E335" s="55">
        <f t="shared" ca="1" si="65"/>
        <v>0</v>
      </c>
      <c r="F335" s="55">
        <f t="shared" ca="1" si="66"/>
        <v>14469.705754098353</v>
      </c>
      <c r="G335" s="101">
        <f t="shared" ca="1" si="67"/>
        <v>185301.02575409834</v>
      </c>
      <c r="H335" s="100">
        <f ca="1">ROUND($B335*VLOOKUP($A335,$A$1:$B$10,2,1)/(365+IF(MOD(YEAR($A335),4),0,1)*($A335-$A334)),2)-Первоначальный[[#This Row],[Проценты на просроченный платеж по ОД за период]]</f>
        <v>79.64</v>
      </c>
      <c r="I335" s="55">
        <f t="shared" ca="1" si="68"/>
        <v>1.94</v>
      </c>
      <c r="J335" s="55">
        <v>0</v>
      </c>
      <c r="K335" s="55">
        <f t="shared" ref="K335:K398" ca="1" si="71">IF(S335&lt;&gt;0,R335*$B$7,0)</f>
        <v>115.81350327868853</v>
      </c>
      <c r="L335" s="55">
        <v>0</v>
      </c>
      <c r="M335" s="113">
        <f>SUMIFS(График[Возврат основной суммы долга],График[Дата с учетом нерабочих дней],$A335)</f>
        <v>0</v>
      </c>
      <c r="N335" s="56">
        <f>SUMIFS(График[Возврат начисленных %],График[Дата с учетом нерабочих дней],$A335)</f>
        <v>0</v>
      </c>
      <c r="O335" s="101">
        <v>0</v>
      </c>
      <c r="P335" s="100" cm="1">
        <f t="array" aca="1" ref="P335" ca="1">MAX(IF(AA334="Да",0,SUM(INDIRECT("M"&amp;(MAX(("Да"=AA$12:AA334)*ROW(AA$12:AA334)+1,ROW($P$12))&amp;":M"&amp;(ROW()))))-SUM(INDIRECT("W"&amp;(MAX(("Да"=AA$12:AA334)*ROW(AA$12:AA334)+1,ROW($P$12))&amp;":W"&amp;(ROW()))))),0)</f>
        <v>3563.6499999999992</v>
      </c>
      <c r="Q335" s="99">
        <f ca="1">MAX(SUM($N$13:N335)-SUM($T$13:T335),0)</f>
        <v>19599.050655737708</v>
      </c>
      <c r="R335" s="99">
        <f ca="1">Первоначальный[[#This Row],[Просроченный платеж по ОД]]+Первоначальный[[#This Row],[Просроченный платеж по процентам]]</f>
        <v>23162.700655737706</v>
      </c>
      <c r="S335" s="120">
        <f ca="1">IF(Первоначальный[[#This Row],[Просроченный платеж]]&lt;1,0,S334+1)</f>
        <v>231</v>
      </c>
      <c r="T335" s="100" cm="1">
        <f t="array" aca="1" ref="T335" ca="1">IF(Первоначальный[[#This Row],[Итого остаток на начало периода]]&lt;1,0,
IF(
AND(TYPE(VLOOKUP(1,$Z$12:Z335,1,0))=16,Первоначальный[[#This Row],[Досрочное погашение (да/"")]]=""),0,
_xlfn.IFS(AND(S334=0,Первоначальный[[#This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платеж]]&lt;&gt;0),MIN(LOOKUP(,-1/($Z$12:Z335=1),$C$12:C335)+LOOKUP(,-1/($Z$12:Z335=1),$H$12:H335),Первоначальный[[#This Row],[Полученный платеж]]+Y334),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платеж]]+Y334,SUM(Первоначальный[[#This Row],[Остаток процентов на начало периода]],Первоначальный[[#This Row],[Проценты за период]])),
AND(S334=0,Первоначальный[[#This Row],[Дата платежа из графика]]=""),0,
AND(S334=0,Первоначальный[[#This Row],[Дата платежа из графика]]=1,MAX((0&lt;&gt;S$12:S334)*ROW(S$12:S334),ROW($S$12))&gt;=MAX((1=Z$12:Z334)*ROW(Z$12:Z334),ROW($T$12)),TYPE(VLOOKUP("Да",(INDIRECT("AA"&amp;(MAX((1=Z$12:Z334)*ROW(Z$12:Z334),ROW($T$12))&amp;":AA"&amp;(ROW()-1)))),1,0))=16),MIN(LOOKUP(,-1/($Z$12:Z335=1),$C$12:C335)+LOOKUP(,-1/($Z$12:Z335=1),$H$12:H335),Первоначальный[[#This Row],[Полученный платеж]]+Y334),
AND(S334=0,TYPE(VLOOKUP("Да",(INDIRECT("AA"&amp;(MAX((1=Z$12:Z334)*ROW(Z$12:Z334),ROW($T$12))&amp;":AA"&amp;(ROW()-1)))),1,0))&lt;&gt;16),MIN(LOOKUP(,-1/($Z$12:Z335=1),$C$12:C335)+LOOKUP(,-1/($Z$12:Z335=1),$H$12:H335)-IF(AA334="Да",0,SUM(INDIRECT("T"&amp;(MAX(("Да"=AA$12:AA334)*ROW(AA$12:AA334)+1,ROW($T$12))&amp;":T"&amp;(ROW()-1))))),Первоначальный[[#This Row],[Полученный платеж]]+Y334),
AND(S334=0,MAX((0&lt;&gt;N$12:N334)*ROW(N$12:N334),ROW($S$12))&gt;=MAX((1=Z$12:Z334)*ROW(Z$12:Z334),ROW($T$12))),MIN(LOOKUP(,-1/($Z$12:Z335=1),$C$12:C335)+LOOKUP(,-1/($Z$12:Z335=1),$H$12:H335)-IF(N334&lt;&gt;0,0,SUM(INDIRECT("T"&amp;(MAX((0&lt;&gt;N$12:N334)*ROW(N$12:N334)+1,ROW($T$12))&amp;":T"&amp;(ROW()-1))))),Первоначальный[[#This Row],[Полученный платеж]]+Y334),
AND(S334=0,Первоначальный[[#This Row],[Дата платежа из графика]]=1),MIN(LOOKUP(,-1/($Z$12:Z335=1),$C$12:C335)+LOOKUP(,-1/($Z$12:Z335=1),$H$12:H335)-IF(Z334=1,0,SUM(INDIRECT("T"&amp;(MAX((1=Z$12:Z334)*ROW(Z$12:Z334)+1,ROW($T$12))&amp;":T"&amp;(ROW()-1))))),Первоначальный[[#This Row],[Полученный платеж]]+Y334),
AND(Z334&gt;0,Первоначальный[[#This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платеж]]+Y334),
AND(S334&gt;0,MAX((0&lt;&gt;S$12:S334)*ROW(S$12:S334),ROW($S$12))&gt;=MAX((1=Z$12:Z334)*ROW(Z$12:Z334),ROW($T$12)),TYPE(VLOOKUP("Да",(INDIRECT("AA"&amp;(MAX((1=Z$12:Z334)*ROW(Z$12:Z334),ROW($T$12))&amp;":AA"&amp;(ROW()-1)))),1,0))=16),MIN(LOOKUP(,-1/($Z$12:Z335=1),$C$12:C335)+LOOKUP(,-1/($Z$12:Z335=1),$H$12:H335)-SUM(INDIRECT("T"&amp;(MAX((1=Z$12:Z334)*ROW(Z$12:Z334),ROW($T$12))&amp;":T"&amp;(ROW()-1)))),Первоначальный[[#This Row],[Полученный платеж]]+Y334),
S334&gt;0,MIN(LOOKUP(,-1/($Z$12:Z335=1),$C$12:C335)+LOOKUP(,-1/($Z$12:Z335=1),$H$12:H335)-IF(Z334=1,0,SUM(INDIRECT("T"&amp;(MAX((1=Z$12:Z334)*ROW(Z$12:Z334)+1,ROW($T$12))&amp;":T"&amp;(ROW()-1))))),Первоначальный[[#This Row],[Полученный платеж]]+Y334)
)
)
)</f>
        <v>0</v>
      </c>
      <c r="U33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платеж]]+Y334-Первоначальный[[#This Row],[Полученный платёж по процентам]])</f>
        <v>0</v>
      </c>
      <c r="V335" s="55">
        <f t="shared" ca="1" si="61"/>
        <v>0</v>
      </c>
      <c r="W335" s="55" cm="1">
        <f t="array" aca="1" ref="W335" ca="1">IF(Первоначальный[[#This Row],[Итого остаток на начало периода]]&lt;1,0,
_xlfn.IFS(
AND(TYPE(VLOOKUP(1,$Z$12:Z335,1,0))=16,Первоначальный[[#This Row],[Досрочное погашение (да/"")]]=""),0,
AND(S334=0,Первоначальный[[#This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платеж]]+Y334-SUM(Первоначальный[[#This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комиссиям]]),VLOOKUP(LOOKUP(,-1/($Z$12:Z335=1),$A$12:A335),График[[Срок конец]:[Возврат основной суммы долга]],3,0)),
AND(S334=0,Первоначальный[[#This Row],[Дата платежа из графика]]="",Первоначальный[[#This Row],[Досрочное погашение (да/"")]]&lt;&gt;"Да"),0,
AND(S334=0,Первоначальный[[#This Row],[Досрочное погашение (да/"")]]=""),MIN(Первоначальный[[#This Row],[Полученный платеж]]+Y334-SUM(Первоначальный[[#This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комиссиям]]),VLOOKUP(LOOKUP(,-1/($Z$12:Z335=1),$A$12:A335),График[[Срок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платеж]]+Y334-SUM(Первоначальный[[#This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S334&gt;0,MIN(Первоначальный[[#This Row],[Полученный платеж]]+Y334-SUM(Первоначальный[[#This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комиссиям]]),SUM(INDIRECT("M"&amp;(MAX((1=S$12:S334)*ROW(S$12:S334),ROW($W$12))&amp;":M"&amp;(ROW()))))-SUM(INDIRECT("W"&amp;(MAX((1=S$12:S334)*ROW(S$12:S334),ROW($W$12))&amp;":W"&amp;(ROW()-1)))))
)
)</f>
        <v>0</v>
      </c>
      <c r="X335" s="55">
        <f t="shared" ca="1" si="62"/>
        <v>0</v>
      </c>
      <c r="Y335" s="101">
        <f t="shared" ca="1" si="69"/>
        <v>0</v>
      </c>
      <c r="Z335" s="133" t="str">
        <f>IF(TYPE((VLOOKUP(Первоначальный[[#This Row],[Дата платежа]],График[Срок конец],1,0)))=16,"",1)</f>
        <v/>
      </c>
      <c r="AA335" s="57"/>
      <c r="AB335" s="134"/>
      <c r="AC33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3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21033.249999999975</v>
      </c>
      <c r="AE33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246.31000000000029</v>
      </c>
      <c r="AF33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3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14585.519257377042</v>
      </c>
      <c r="AH335" s="55"/>
      <c r="AI335" s="55"/>
      <c r="AJ335" s="55"/>
      <c r="AK335" s="101">
        <f t="shared" ca="1" si="70"/>
        <v>185498.41925737701</v>
      </c>
      <c r="AL335" s="129">
        <f t="array" ref="AL335">MAX((УслРестрактов[Характеристика]="Дата реструктуризации")*(УслРестрактов[Значение]=Первоначальный!$A335),0)</f>
        <v>0</v>
      </c>
    </row>
    <row r="336" spans="1:38" x14ac:dyDescent="0.25">
      <c r="A336" s="97">
        <f t="shared" si="63"/>
        <v>44467</v>
      </c>
      <c r="B336" s="100">
        <f t="shared" ca="1" si="64"/>
        <v>149633.34</v>
      </c>
      <c r="C336" s="55">
        <f t="shared" ca="1" si="60"/>
        <v>21033.249999999975</v>
      </c>
      <c r="D336" s="55">
        <f t="shared" ca="1" si="60"/>
        <v>246.31000000000029</v>
      </c>
      <c r="E336" s="55">
        <f t="shared" ca="1" si="65"/>
        <v>0</v>
      </c>
      <c r="F336" s="55">
        <f t="shared" ca="1" si="66"/>
        <v>14585.519257377042</v>
      </c>
      <c r="G336" s="101">
        <f t="shared" ca="1" si="67"/>
        <v>185498.41925737701</v>
      </c>
      <c r="H336" s="100">
        <f ca="1">ROUND($B336*VLOOKUP($A336,$A$1:$B$10,2,1)/(365+IF(MOD(YEAR($A336),4),0,1)*($A336-$A335)),2)-Первоначальный[[#This Row],[Проценты на просроченный платеж по ОД за период]]</f>
        <v>79.64</v>
      </c>
      <c r="I336" s="55">
        <f t="shared" ca="1" si="68"/>
        <v>1.94</v>
      </c>
      <c r="J336" s="55">
        <v>0</v>
      </c>
      <c r="K336" s="55">
        <f t="shared" ca="1" si="71"/>
        <v>115.81350327868853</v>
      </c>
      <c r="L336" s="55">
        <v>0</v>
      </c>
      <c r="M336" s="113">
        <f>SUMIFS(График[Возврат основной суммы долга],График[Дата с учетом нерабочих дней],$A336)</f>
        <v>0</v>
      </c>
      <c r="N336" s="56">
        <f>SUMIFS(График[Возврат начисленных %],График[Дата с учетом нерабочих дней],$A336)</f>
        <v>0</v>
      </c>
      <c r="O336" s="101">
        <v>0</v>
      </c>
      <c r="P336" s="100" cm="1">
        <f t="array" aca="1" ref="P336" ca="1">MAX(IF(AA335="Да",0,SUM(INDIRECT("M"&amp;(MAX(("Да"=AA$12:AA335)*ROW(AA$12:AA335)+1,ROW($P$12))&amp;":M"&amp;(ROW()))))-SUM(INDIRECT("W"&amp;(MAX(("Да"=AA$12:AA335)*ROW(AA$12:AA335)+1,ROW($P$12))&amp;":W"&amp;(ROW()))))),0)</f>
        <v>3563.6499999999992</v>
      </c>
      <c r="Q336" s="99">
        <f ca="1">MAX(SUM($N$13:N336)-SUM($T$13:T336),0)</f>
        <v>19599.050655737708</v>
      </c>
      <c r="R336" s="99">
        <f ca="1">Первоначальный[[#This Row],[Просроченный платеж по ОД]]+Первоначальный[[#This Row],[Просроченный платеж по процентам]]</f>
        <v>23162.700655737706</v>
      </c>
      <c r="S336" s="120">
        <f ca="1">IF(Первоначальный[[#This Row],[Просроченный платеж]]&lt;1,0,S335+1)</f>
        <v>232</v>
      </c>
      <c r="T336" s="100" cm="1">
        <f t="array" aca="1" ref="T336" ca="1">IF(Первоначальный[[#This Row],[Итого остаток на начало периода]]&lt;1,0,
IF(
AND(TYPE(VLOOKUP(1,$Z$12:Z336,1,0))=16,Первоначальный[[#This Row],[Досрочное погашение (да/"")]]=""),0,
_xlfn.IFS(AND(S335=0,Первоначальный[[#This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платеж]]&lt;&gt;0),MIN(LOOKUP(,-1/($Z$12:Z336=1),$C$12:C336)+LOOKUP(,-1/($Z$12:Z336=1),$H$12:H336),Первоначальный[[#This Row],[Полученный платеж]]+Y335),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платеж]]+Y335,SUM(Первоначальный[[#This Row],[Остаток процентов на начало периода]],Первоначальный[[#This Row],[Проценты за период]])),
AND(S335=0,Первоначальный[[#This Row],[Дата платежа из графика]]=""),0,
AND(S335=0,Первоначальный[[#This Row],[Дата платежа из графика]]=1,MAX((0&lt;&gt;S$12:S335)*ROW(S$12:S335),ROW($S$12))&gt;=MAX((1=Z$12:Z335)*ROW(Z$12:Z335),ROW($T$12)),TYPE(VLOOKUP("Да",(INDIRECT("AA"&amp;(MAX((1=Z$12:Z335)*ROW(Z$12:Z335),ROW($T$12))&amp;":AA"&amp;(ROW()-1)))),1,0))=16),MIN(LOOKUP(,-1/($Z$12:Z336=1),$C$12:C336)+LOOKUP(,-1/($Z$12:Z336=1),$H$12:H336),Первоначальный[[#This Row],[Полученный платеж]]+Y335),
AND(S335=0,TYPE(VLOOKUP("Да",(INDIRECT("AA"&amp;(MAX((1=Z$12:Z335)*ROW(Z$12:Z335),ROW($T$12))&amp;":AA"&amp;(ROW()-1)))),1,0))&lt;&gt;16),MIN(LOOKUP(,-1/($Z$12:Z336=1),$C$12:C336)+LOOKUP(,-1/($Z$12:Z336=1),$H$12:H336)-IF(AA335="Да",0,SUM(INDIRECT("T"&amp;(MAX(("Да"=AA$12:AA335)*ROW(AA$12:AA335)+1,ROW($T$12))&amp;":T"&amp;(ROW()-1))))),Первоначальный[[#This Row],[Полученный платеж]]+Y335),
AND(S335=0,MAX((0&lt;&gt;N$12:N335)*ROW(N$12:N335),ROW($S$12))&gt;=MAX((1=Z$12:Z335)*ROW(Z$12:Z335),ROW($T$12))),MIN(LOOKUP(,-1/($Z$12:Z336=1),$C$12:C336)+LOOKUP(,-1/($Z$12:Z336=1),$H$12:H336)-IF(N335&lt;&gt;0,0,SUM(INDIRECT("T"&amp;(MAX((0&lt;&gt;N$12:N335)*ROW(N$12:N335)+1,ROW($T$12))&amp;":T"&amp;(ROW()-1))))),Первоначальный[[#This Row],[Полученный платеж]]+Y335),
AND(S335=0,Первоначальный[[#This Row],[Дата платежа из графика]]=1),MIN(LOOKUP(,-1/($Z$12:Z336=1),$C$12:C336)+LOOKUP(,-1/($Z$12:Z336=1),$H$12:H336)-IF(Z335=1,0,SUM(INDIRECT("T"&amp;(MAX((1=Z$12:Z335)*ROW(Z$12:Z335)+1,ROW($T$12))&amp;":T"&amp;(ROW()-1))))),Первоначальный[[#This Row],[Полученный платеж]]+Y335),
AND(Z335&gt;0,Первоначальный[[#This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платеж]]+Y335),
AND(S335&gt;0,MAX((0&lt;&gt;S$12:S335)*ROW(S$12:S335),ROW($S$12))&gt;=MAX((1=Z$12:Z335)*ROW(Z$12:Z335),ROW($T$12)),TYPE(VLOOKUP("Да",(INDIRECT("AA"&amp;(MAX((1=Z$12:Z335)*ROW(Z$12:Z335),ROW($T$12))&amp;":AA"&amp;(ROW()-1)))),1,0))=16),MIN(LOOKUP(,-1/($Z$12:Z336=1),$C$12:C336)+LOOKUP(,-1/($Z$12:Z336=1),$H$12:H336)-SUM(INDIRECT("T"&amp;(MAX((1=Z$12:Z335)*ROW(Z$12:Z335),ROW($T$12))&amp;":T"&amp;(ROW()-1)))),Первоначальный[[#This Row],[Полученный платеж]]+Y335),
S335&gt;0,MIN(LOOKUP(,-1/($Z$12:Z336=1),$C$12:C336)+LOOKUP(,-1/($Z$12:Z336=1),$H$12:H336)-IF(Z335=1,0,SUM(INDIRECT("T"&amp;(MAX((1=Z$12:Z335)*ROW(Z$12:Z335)+1,ROW($T$12))&amp;":T"&amp;(ROW()-1))))),Первоначальный[[#This Row],[Полученный платеж]]+Y335)
)
)
)</f>
        <v>0</v>
      </c>
      <c r="U33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платеж]]+Y335-Первоначальный[[#This Row],[Полученный платёж по процентам]])</f>
        <v>0</v>
      </c>
      <c r="V336" s="55">
        <f t="shared" ca="1" si="61"/>
        <v>0</v>
      </c>
      <c r="W336" s="55" cm="1">
        <f t="array" aca="1" ref="W336" ca="1">IF(Первоначальный[[#This Row],[Итого остаток на начало периода]]&lt;1,0,
_xlfn.IFS(
AND(TYPE(VLOOKUP(1,$Z$12:Z336,1,0))=16,Первоначальный[[#This Row],[Досрочное погашение (да/"")]]=""),0,
AND(S335=0,Первоначальный[[#This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платеж]]+Y335-SUM(Первоначальный[[#This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комиссиям]]),VLOOKUP(LOOKUP(,-1/($Z$12:Z336=1),$A$12:A336),График[[Срок конец]:[Возврат основной суммы долга]],3,0)),
AND(S335=0,Первоначальный[[#This Row],[Дата платежа из графика]]="",Первоначальный[[#This Row],[Досрочное погашение (да/"")]]&lt;&gt;"Да"),0,
AND(S335=0,Первоначальный[[#This Row],[Досрочное погашение (да/"")]]=""),MIN(Первоначальный[[#This Row],[Полученный платеж]]+Y335-SUM(Первоначальный[[#This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комиссиям]]),VLOOKUP(LOOKUP(,-1/($Z$12:Z336=1),$A$12:A336),График[[Срок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платеж]]+Y335-SUM(Первоначальный[[#This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S335&gt;0,MIN(Первоначальный[[#This Row],[Полученный платеж]]+Y335-SUM(Первоначальный[[#This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комиссиям]]),SUM(INDIRECT("M"&amp;(MAX((1=S$12:S335)*ROW(S$12:S335),ROW($W$12))&amp;":M"&amp;(ROW()))))-SUM(INDIRECT("W"&amp;(MAX((1=S$12:S335)*ROW(S$12:S335),ROW($W$12))&amp;":W"&amp;(ROW()-1)))))
)
)</f>
        <v>0</v>
      </c>
      <c r="X336" s="55">
        <f t="shared" ca="1" si="62"/>
        <v>0</v>
      </c>
      <c r="Y336" s="101">
        <f t="shared" ca="1" si="69"/>
        <v>0</v>
      </c>
      <c r="Z336" s="133" t="str">
        <f>IF(TYPE((VLOOKUP(Первоначальный[[#This Row],[Дата платежа]],График[Срок конец],1,0)))=16,"",1)</f>
        <v/>
      </c>
      <c r="AA336" s="57"/>
      <c r="AB336" s="134"/>
      <c r="AC33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3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21112.889999999974</v>
      </c>
      <c r="AE33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248.25000000000028</v>
      </c>
      <c r="AF33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3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14701.33276065573</v>
      </c>
      <c r="AH336" s="55"/>
      <c r="AI336" s="55"/>
      <c r="AJ336" s="55"/>
      <c r="AK336" s="101">
        <f t="shared" ca="1" si="70"/>
        <v>185695.81276065571</v>
      </c>
      <c r="AL336" s="129">
        <f t="array" ref="AL336">MAX((УслРестрактов[Характеристика]="Дата реструктуризации")*(УслРестрактов[Значение]=Первоначальный!$A336),0)</f>
        <v>0</v>
      </c>
    </row>
    <row r="337" spans="1:38" x14ac:dyDescent="0.25">
      <c r="A337" s="97">
        <f t="shared" si="63"/>
        <v>44468</v>
      </c>
      <c r="B337" s="100">
        <f t="shared" ca="1" si="64"/>
        <v>149633.34</v>
      </c>
      <c r="C337" s="55">
        <f t="shared" ca="1" si="60"/>
        <v>21112.889999999974</v>
      </c>
      <c r="D337" s="55">
        <f t="shared" ca="1" si="60"/>
        <v>248.25000000000028</v>
      </c>
      <c r="E337" s="55">
        <f t="shared" ca="1" si="65"/>
        <v>0</v>
      </c>
      <c r="F337" s="55">
        <f t="shared" ca="1" si="66"/>
        <v>14701.33276065573</v>
      </c>
      <c r="G337" s="101">
        <f t="shared" ca="1" si="67"/>
        <v>185695.81276065571</v>
      </c>
      <c r="H337" s="100">
        <f ca="1">ROUND($B337*VLOOKUP($A337,$A$1:$B$10,2,1)/(365+IF(MOD(YEAR($A337),4),0,1)*($A337-$A336)),2)-Первоначальный[[#This Row],[Проценты на просроченный платеж по ОД за период]]</f>
        <v>79.64</v>
      </c>
      <c r="I337" s="55">
        <f t="shared" ca="1" si="68"/>
        <v>1.94</v>
      </c>
      <c r="J337" s="55">
        <v>0</v>
      </c>
      <c r="K337" s="55">
        <f t="shared" ca="1" si="71"/>
        <v>115.81350327868853</v>
      </c>
      <c r="L337" s="55">
        <v>0</v>
      </c>
      <c r="M337" s="113">
        <f>SUMIFS(График[Возврат основной суммы долга],График[Дата с учетом нерабочих дней],$A337)</f>
        <v>0</v>
      </c>
      <c r="N337" s="56">
        <f>SUMIFS(График[Возврат начисленных %],График[Дата с учетом нерабочих дней],$A337)</f>
        <v>0</v>
      </c>
      <c r="O337" s="101">
        <v>0</v>
      </c>
      <c r="P337" s="100" cm="1">
        <f t="array" aca="1" ref="P337" ca="1">MAX(IF(AA336="Да",0,SUM(INDIRECT("M"&amp;(MAX(("Да"=AA$12:AA336)*ROW(AA$12:AA336)+1,ROW($P$12))&amp;":M"&amp;(ROW()))))-SUM(INDIRECT("W"&amp;(MAX(("Да"=AA$12:AA336)*ROW(AA$12:AA336)+1,ROW($P$12))&amp;":W"&amp;(ROW()))))),0)</f>
        <v>3563.6499999999992</v>
      </c>
      <c r="Q337" s="99">
        <f ca="1">MAX(SUM($N$13:N337)-SUM($T$13:T337),0)</f>
        <v>19599.050655737708</v>
      </c>
      <c r="R337" s="99">
        <f ca="1">Первоначальный[[#This Row],[Просроченный платеж по ОД]]+Первоначальный[[#This Row],[Просроченный платеж по процентам]]</f>
        <v>23162.700655737706</v>
      </c>
      <c r="S337" s="120">
        <f ca="1">IF(Первоначальный[[#This Row],[Просроченный платеж]]&lt;1,0,S336+1)</f>
        <v>233</v>
      </c>
      <c r="T337" s="100" cm="1">
        <f t="array" aca="1" ref="T337" ca="1">IF(Первоначальный[[#This Row],[Итого остаток на начало периода]]&lt;1,0,
IF(
AND(TYPE(VLOOKUP(1,$Z$12:Z337,1,0))=16,Первоначальный[[#This Row],[Досрочное погашение (да/"")]]=""),0,
_xlfn.IFS(AND(S336=0,Первоначальный[[#This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платеж]]&lt;&gt;0),MIN(LOOKUP(,-1/($Z$12:Z337=1),$C$12:C337)+LOOKUP(,-1/($Z$12:Z337=1),$H$12:H337),Первоначальный[[#This Row],[Полученный платеж]]+Y336),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платеж]]+Y336,SUM(Первоначальный[[#This Row],[Остаток процентов на начало периода]],Первоначальный[[#This Row],[Проценты за период]])),
AND(S336=0,Первоначальный[[#This Row],[Дата платежа из графика]]=""),0,
AND(S336=0,Первоначальный[[#This Row],[Дата платежа из графика]]=1,MAX((0&lt;&gt;S$12:S336)*ROW(S$12:S336),ROW($S$12))&gt;=MAX((1=Z$12:Z336)*ROW(Z$12:Z336),ROW($T$12)),TYPE(VLOOKUP("Да",(INDIRECT("AA"&amp;(MAX((1=Z$12:Z336)*ROW(Z$12:Z336),ROW($T$12))&amp;":AA"&amp;(ROW()-1)))),1,0))=16),MIN(LOOKUP(,-1/($Z$12:Z337=1),$C$12:C337)+LOOKUP(,-1/($Z$12:Z337=1),$H$12:H337),Первоначальный[[#This Row],[Полученный платеж]]+Y336),
AND(S336=0,TYPE(VLOOKUP("Да",(INDIRECT("AA"&amp;(MAX((1=Z$12:Z336)*ROW(Z$12:Z336),ROW($T$12))&amp;":AA"&amp;(ROW()-1)))),1,0))&lt;&gt;16),MIN(LOOKUP(,-1/($Z$12:Z337=1),$C$12:C337)+LOOKUP(,-1/($Z$12:Z337=1),$H$12:H337)-IF(AA336="Да",0,SUM(INDIRECT("T"&amp;(MAX(("Да"=AA$12:AA336)*ROW(AA$12:AA336)+1,ROW($T$12))&amp;":T"&amp;(ROW()-1))))),Первоначальный[[#This Row],[Полученный платеж]]+Y336),
AND(S336=0,MAX((0&lt;&gt;N$12:N336)*ROW(N$12:N336),ROW($S$12))&gt;=MAX((1=Z$12:Z336)*ROW(Z$12:Z336),ROW($T$12))),MIN(LOOKUP(,-1/($Z$12:Z337=1),$C$12:C337)+LOOKUP(,-1/($Z$12:Z337=1),$H$12:H337)-IF(N336&lt;&gt;0,0,SUM(INDIRECT("T"&amp;(MAX((0&lt;&gt;N$12:N336)*ROW(N$12:N336)+1,ROW($T$12))&amp;":T"&amp;(ROW()-1))))),Первоначальный[[#This Row],[Полученный платеж]]+Y336),
AND(S336=0,Первоначальный[[#This Row],[Дата платежа из графика]]=1),MIN(LOOKUP(,-1/($Z$12:Z337=1),$C$12:C337)+LOOKUP(,-1/($Z$12:Z337=1),$H$12:H337)-IF(Z336=1,0,SUM(INDIRECT("T"&amp;(MAX((1=Z$12:Z336)*ROW(Z$12:Z336)+1,ROW($T$12))&amp;":T"&amp;(ROW()-1))))),Первоначальный[[#This Row],[Полученный платеж]]+Y336),
AND(Z336&gt;0,Первоначальный[[#This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платеж]]+Y336),
AND(S336&gt;0,MAX((0&lt;&gt;S$12:S336)*ROW(S$12:S336),ROW($S$12))&gt;=MAX((1=Z$12:Z336)*ROW(Z$12:Z336),ROW($T$12)),TYPE(VLOOKUP("Да",(INDIRECT("AA"&amp;(MAX((1=Z$12:Z336)*ROW(Z$12:Z336),ROW($T$12))&amp;":AA"&amp;(ROW()-1)))),1,0))=16),MIN(LOOKUP(,-1/($Z$12:Z337=1),$C$12:C337)+LOOKUP(,-1/($Z$12:Z337=1),$H$12:H337)-SUM(INDIRECT("T"&amp;(MAX((1=Z$12:Z336)*ROW(Z$12:Z336),ROW($T$12))&amp;":T"&amp;(ROW()-1)))),Первоначальный[[#This Row],[Полученный платеж]]+Y336),
S336&gt;0,MIN(LOOKUP(,-1/($Z$12:Z337=1),$C$12:C337)+LOOKUP(,-1/($Z$12:Z337=1),$H$12:H337)-IF(Z336=1,0,SUM(INDIRECT("T"&amp;(MAX((1=Z$12:Z336)*ROW(Z$12:Z336)+1,ROW($T$12))&amp;":T"&amp;(ROW()-1))))),Первоначальный[[#This Row],[Полученный платеж]]+Y336)
)
)
)</f>
        <v>0</v>
      </c>
      <c r="U33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платеж]]+Y336-Первоначальный[[#This Row],[Полученный платёж по процентам]])</f>
        <v>0</v>
      </c>
      <c r="V337" s="55">
        <f t="shared" ca="1" si="61"/>
        <v>0</v>
      </c>
      <c r="W337" s="55" cm="1">
        <f t="array" aca="1" ref="W337" ca="1">IF(Первоначальный[[#This Row],[Итого остаток на начало периода]]&lt;1,0,
_xlfn.IFS(
AND(TYPE(VLOOKUP(1,$Z$12:Z337,1,0))=16,Первоначальный[[#This Row],[Досрочное погашение (да/"")]]=""),0,
AND(S336=0,Первоначальный[[#This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платеж]]+Y336-SUM(Первоначальный[[#This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комиссиям]]),VLOOKUP(LOOKUP(,-1/($Z$12:Z337=1),$A$12:A337),График[[Срок конец]:[Возврат основной суммы долга]],3,0)),
AND(S336=0,Первоначальный[[#This Row],[Дата платежа из графика]]="",Первоначальный[[#This Row],[Досрочное погашение (да/"")]]&lt;&gt;"Да"),0,
AND(S336=0,Первоначальный[[#This Row],[Досрочное погашение (да/"")]]=""),MIN(Первоначальный[[#This Row],[Полученный платеж]]+Y336-SUM(Первоначальный[[#This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комиссиям]]),VLOOKUP(LOOKUP(,-1/($Z$12:Z337=1),$A$12:A337),График[[Срок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платеж]]+Y336-SUM(Первоначальный[[#This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S336&gt;0,MIN(Первоначальный[[#This Row],[Полученный платеж]]+Y336-SUM(Первоначальный[[#This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комиссиям]]),SUM(INDIRECT("M"&amp;(MAX((1=S$12:S336)*ROW(S$12:S336),ROW($W$12))&amp;":M"&amp;(ROW()))))-SUM(INDIRECT("W"&amp;(MAX((1=S$12:S336)*ROW(S$12:S336),ROW($W$12))&amp;":W"&amp;(ROW()-1)))))
)
)</f>
        <v>0</v>
      </c>
      <c r="X337" s="55">
        <f t="shared" ca="1" si="62"/>
        <v>0</v>
      </c>
      <c r="Y337" s="101">
        <f t="shared" ca="1" si="69"/>
        <v>0</v>
      </c>
      <c r="Z337" s="133" t="str">
        <f>IF(TYPE((VLOOKUP(Первоначальный[[#This Row],[Дата платежа]],График[Срок конец],1,0)))=16,"",1)</f>
        <v/>
      </c>
      <c r="AA337" s="57"/>
      <c r="AB337" s="134"/>
      <c r="AC33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3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21192.529999999973</v>
      </c>
      <c r="AE33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250.19000000000028</v>
      </c>
      <c r="AF33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3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14817.146263934419</v>
      </c>
      <c r="AH337" s="55"/>
      <c r="AI337" s="55"/>
      <c r="AJ337" s="55"/>
      <c r="AK337" s="101">
        <f t="shared" ca="1" si="70"/>
        <v>185893.20626393438</v>
      </c>
      <c r="AL337" s="129">
        <f t="array" ref="AL337">MAX((УслРестрактов[Характеристика]="Дата реструктуризации")*(УслРестрактов[Значение]=Первоначальный!$A337),0)</f>
        <v>0</v>
      </c>
    </row>
    <row r="338" spans="1:38" x14ac:dyDescent="0.25">
      <c r="A338" s="97">
        <f t="shared" si="63"/>
        <v>44469</v>
      </c>
      <c r="B338" s="100">
        <f t="shared" ca="1" si="64"/>
        <v>149633.34</v>
      </c>
      <c r="C338" s="55">
        <f t="shared" ca="1" si="60"/>
        <v>21192.529999999973</v>
      </c>
      <c r="D338" s="55">
        <f t="shared" ca="1" si="60"/>
        <v>250.19000000000028</v>
      </c>
      <c r="E338" s="55">
        <f t="shared" ca="1" si="65"/>
        <v>0</v>
      </c>
      <c r="F338" s="55">
        <f t="shared" ca="1" si="66"/>
        <v>14817.146263934419</v>
      </c>
      <c r="G338" s="101">
        <f t="shared" ca="1" si="67"/>
        <v>185893.20626393438</v>
      </c>
      <c r="H338" s="100">
        <f ca="1">ROUND($B338*VLOOKUP($A338,$A$1:$B$10,2,1)/(365+IF(MOD(YEAR($A338),4),0,1)*($A338-$A337)),2)-Первоначальный[[#This Row],[Проценты на просроченный платеж по ОД за период]]</f>
        <v>79.64</v>
      </c>
      <c r="I338" s="55">
        <f t="shared" ca="1" si="68"/>
        <v>1.94</v>
      </c>
      <c r="J338" s="55">
        <v>0</v>
      </c>
      <c r="K338" s="55">
        <f t="shared" ca="1" si="71"/>
        <v>115.81350327868853</v>
      </c>
      <c r="L338" s="55">
        <v>0</v>
      </c>
      <c r="M338" s="113">
        <f>SUMIFS(График[Возврат основной суммы долга],График[Дата с учетом нерабочих дней],$A338)</f>
        <v>0</v>
      </c>
      <c r="N338" s="56">
        <f>SUMIFS(График[Возврат начисленных %],График[Дата с учетом нерабочих дней],$A338)</f>
        <v>0</v>
      </c>
      <c r="O338" s="101">
        <v>0</v>
      </c>
      <c r="P338" s="100" cm="1">
        <f t="array" aca="1" ref="P338" ca="1">MAX(IF(AA337="Да",0,SUM(INDIRECT("M"&amp;(MAX(("Да"=AA$12:AA337)*ROW(AA$12:AA337)+1,ROW($P$12))&amp;":M"&amp;(ROW()))))-SUM(INDIRECT("W"&amp;(MAX(("Да"=AA$12:AA337)*ROW(AA$12:AA337)+1,ROW($P$12))&amp;":W"&amp;(ROW()))))),0)</f>
        <v>3563.6499999999992</v>
      </c>
      <c r="Q338" s="99">
        <f ca="1">MAX(SUM($N$13:N338)-SUM($T$13:T338),0)</f>
        <v>19599.050655737708</v>
      </c>
      <c r="R338" s="99">
        <f ca="1">Первоначальный[[#This Row],[Просроченный платеж по ОД]]+Первоначальный[[#This Row],[Просроченный платеж по процентам]]</f>
        <v>23162.700655737706</v>
      </c>
      <c r="S338" s="120">
        <f ca="1">IF(Первоначальный[[#This Row],[Просроченный платеж]]&lt;1,0,S337+1)</f>
        <v>234</v>
      </c>
      <c r="T338" s="100" cm="1">
        <f t="array" aca="1" ref="T338" ca="1">IF(Первоначальный[[#This Row],[Итого остаток на начало периода]]&lt;1,0,
IF(
AND(TYPE(VLOOKUP(1,$Z$12:Z338,1,0))=16,Первоначальный[[#This Row],[Досрочное погашение (да/"")]]=""),0,
_xlfn.IFS(AND(S337=0,Первоначальный[[#This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платеж]]&lt;&gt;0),MIN(LOOKUP(,-1/($Z$12:Z338=1),$C$12:C338)+LOOKUP(,-1/($Z$12:Z338=1),$H$12:H338),Первоначальный[[#This Row],[Полученный платеж]]+Y337),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платеж]]+Y337,SUM(Первоначальный[[#This Row],[Остаток процентов на начало периода]],Первоначальный[[#This Row],[Проценты за период]])),
AND(S337=0,Первоначальный[[#This Row],[Дата платежа из графика]]=""),0,
AND(S337=0,Первоначальный[[#This Row],[Дата платежа из графика]]=1,MAX((0&lt;&gt;S$12:S337)*ROW(S$12:S337),ROW($S$12))&gt;=MAX((1=Z$12:Z337)*ROW(Z$12:Z337),ROW($T$12)),TYPE(VLOOKUP("Да",(INDIRECT("AA"&amp;(MAX((1=Z$12:Z337)*ROW(Z$12:Z337),ROW($T$12))&amp;":AA"&amp;(ROW()-1)))),1,0))=16),MIN(LOOKUP(,-1/($Z$12:Z338=1),$C$12:C338)+LOOKUP(,-1/($Z$12:Z338=1),$H$12:H338),Первоначальный[[#This Row],[Полученный платеж]]+Y337),
AND(S337=0,TYPE(VLOOKUP("Да",(INDIRECT("AA"&amp;(MAX((1=Z$12:Z337)*ROW(Z$12:Z337),ROW($T$12))&amp;":AA"&amp;(ROW()-1)))),1,0))&lt;&gt;16),MIN(LOOKUP(,-1/($Z$12:Z338=1),$C$12:C338)+LOOKUP(,-1/($Z$12:Z338=1),$H$12:H338)-IF(AA337="Да",0,SUM(INDIRECT("T"&amp;(MAX(("Да"=AA$12:AA337)*ROW(AA$12:AA337)+1,ROW($T$12))&amp;":T"&amp;(ROW()-1))))),Первоначальный[[#This Row],[Полученный платеж]]+Y337),
AND(S337=0,MAX((0&lt;&gt;N$12:N337)*ROW(N$12:N337),ROW($S$12))&gt;=MAX((1=Z$12:Z337)*ROW(Z$12:Z337),ROW($T$12))),MIN(LOOKUP(,-1/($Z$12:Z338=1),$C$12:C338)+LOOKUP(,-1/($Z$12:Z338=1),$H$12:H338)-IF(N337&lt;&gt;0,0,SUM(INDIRECT("T"&amp;(MAX((0&lt;&gt;N$12:N337)*ROW(N$12:N337)+1,ROW($T$12))&amp;":T"&amp;(ROW()-1))))),Первоначальный[[#This Row],[Полученный платеж]]+Y337),
AND(S337=0,Первоначальный[[#This Row],[Дата платежа из графика]]=1),MIN(LOOKUP(,-1/($Z$12:Z338=1),$C$12:C338)+LOOKUP(,-1/($Z$12:Z338=1),$H$12:H338)-IF(Z337=1,0,SUM(INDIRECT("T"&amp;(MAX((1=Z$12:Z337)*ROW(Z$12:Z337)+1,ROW($T$12))&amp;":T"&amp;(ROW()-1))))),Первоначальный[[#This Row],[Полученный платеж]]+Y337),
AND(Z337&gt;0,Первоначальный[[#This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платеж]]+Y337),
AND(S337&gt;0,MAX((0&lt;&gt;S$12:S337)*ROW(S$12:S337),ROW($S$12))&gt;=MAX((1=Z$12:Z337)*ROW(Z$12:Z337),ROW($T$12)),TYPE(VLOOKUP("Да",(INDIRECT("AA"&amp;(MAX((1=Z$12:Z337)*ROW(Z$12:Z337),ROW($T$12))&amp;":AA"&amp;(ROW()-1)))),1,0))=16),MIN(LOOKUP(,-1/($Z$12:Z338=1),$C$12:C338)+LOOKUP(,-1/($Z$12:Z338=1),$H$12:H338)-SUM(INDIRECT("T"&amp;(MAX((1=Z$12:Z337)*ROW(Z$12:Z337),ROW($T$12))&amp;":T"&amp;(ROW()-1)))),Первоначальный[[#This Row],[Полученный платеж]]+Y337),
S337&gt;0,MIN(LOOKUP(,-1/($Z$12:Z338=1),$C$12:C338)+LOOKUP(,-1/($Z$12:Z338=1),$H$12:H338)-IF(Z337=1,0,SUM(INDIRECT("T"&amp;(MAX((1=Z$12:Z337)*ROW(Z$12:Z337)+1,ROW($T$12))&amp;":T"&amp;(ROW()-1))))),Первоначальный[[#This Row],[Полученный платеж]]+Y337)
)
)
)</f>
        <v>0</v>
      </c>
      <c r="U33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платеж]]+Y337-Первоначальный[[#This Row],[Полученный платёж по процентам]])</f>
        <v>0</v>
      </c>
      <c r="V338" s="55">
        <f t="shared" ca="1" si="61"/>
        <v>0</v>
      </c>
      <c r="W338" s="55" cm="1">
        <f t="array" aca="1" ref="W338" ca="1">IF(Первоначальный[[#This Row],[Итого остаток на начало периода]]&lt;1,0,
_xlfn.IFS(
AND(TYPE(VLOOKUP(1,$Z$12:Z338,1,0))=16,Первоначальный[[#This Row],[Досрочное погашение (да/"")]]=""),0,
AND(S337=0,Первоначальный[[#This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платеж]]+Y337-SUM(Первоначальный[[#This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комиссиям]]),VLOOKUP(LOOKUP(,-1/($Z$12:Z338=1),$A$12:A338),График[[Срок конец]:[Возврат основной суммы долга]],3,0)),
AND(S337=0,Первоначальный[[#This Row],[Дата платежа из графика]]="",Первоначальный[[#This Row],[Досрочное погашение (да/"")]]&lt;&gt;"Да"),0,
AND(S337=0,Первоначальный[[#This Row],[Досрочное погашение (да/"")]]=""),MIN(Первоначальный[[#This Row],[Полученный платеж]]+Y337-SUM(Первоначальный[[#This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комиссиям]]),VLOOKUP(LOOKUP(,-1/($Z$12:Z338=1),$A$12:A338),График[[Срок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платеж]]+Y337-SUM(Первоначальный[[#This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S337&gt;0,MIN(Первоначальный[[#This Row],[Полученный платеж]]+Y337-SUM(Первоначальный[[#This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комиссиям]]),SUM(INDIRECT("M"&amp;(MAX((1=S$12:S337)*ROW(S$12:S337),ROW($W$12))&amp;":M"&amp;(ROW()))))-SUM(INDIRECT("W"&amp;(MAX((1=S$12:S337)*ROW(S$12:S337),ROW($W$12))&amp;":W"&amp;(ROW()-1)))))
)
)</f>
        <v>0</v>
      </c>
      <c r="X338" s="55">
        <f t="shared" ca="1" si="62"/>
        <v>0</v>
      </c>
      <c r="Y338" s="101">
        <f t="shared" ca="1" si="69"/>
        <v>0</v>
      </c>
      <c r="Z338" s="133" t="str">
        <f>IF(TYPE((VLOOKUP(Первоначальный[[#This Row],[Дата платежа]],График[Срок конец],1,0)))=16,"",1)</f>
        <v/>
      </c>
      <c r="AA338" s="57"/>
      <c r="AB338" s="134"/>
      <c r="AC33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3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21272.169999999973</v>
      </c>
      <c r="AE33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252.13000000000028</v>
      </c>
      <c r="AF33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3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14932.959767213108</v>
      </c>
      <c r="AH338" s="55"/>
      <c r="AI338" s="55"/>
      <c r="AJ338" s="55"/>
      <c r="AK338" s="101">
        <f t="shared" ca="1" si="70"/>
        <v>186090.59976721311</v>
      </c>
      <c r="AL338" s="129">
        <f t="array" ref="AL338">MAX((УслРестрактов[Характеристика]="Дата реструктуризации")*(УслРестрактов[Значение]=Первоначальный!$A338),0)</f>
        <v>0</v>
      </c>
    </row>
    <row r="339" spans="1:38" x14ac:dyDescent="0.25">
      <c r="A339" s="97">
        <f t="shared" si="63"/>
        <v>44470</v>
      </c>
      <c r="B339" s="100">
        <f t="shared" ca="1" si="64"/>
        <v>149633.34</v>
      </c>
      <c r="C339" s="55">
        <f t="shared" ca="1" si="60"/>
        <v>21272.169999999973</v>
      </c>
      <c r="D339" s="55">
        <f t="shared" ca="1" si="60"/>
        <v>252.13000000000028</v>
      </c>
      <c r="E339" s="55">
        <f t="shared" ca="1" si="65"/>
        <v>0</v>
      </c>
      <c r="F339" s="55">
        <f t="shared" ca="1" si="66"/>
        <v>14932.959767213108</v>
      </c>
      <c r="G339" s="101">
        <f t="shared" ca="1" si="67"/>
        <v>186090.59976721311</v>
      </c>
      <c r="H339" s="100">
        <f ca="1">ROUND($B339*VLOOKUP($A339,$A$1:$B$10,2,1)/(365+IF(MOD(YEAR($A339),4),0,1)*($A339-$A338)),2)-Первоначальный[[#This Row],[Проценты на просроченный платеж по ОД за период]]</f>
        <v>79.64</v>
      </c>
      <c r="I339" s="55">
        <f t="shared" ca="1" si="68"/>
        <v>1.94</v>
      </c>
      <c r="J339" s="55">
        <v>0</v>
      </c>
      <c r="K339" s="55">
        <f t="shared" ca="1" si="71"/>
        <v>115.81350327868853</v>
      </c>
      <c r="L339" s="55">
        <v>0</v>
      </c>
      <c r="M339" s="113">
        <f>SUMIFS(График[Возврат основной суммы долга],График[Дата с учетом нерабочих дней],$A339)</f>
        <v>0</v>
      </c>
      <c r="N339" s="56">
        <f>SUMIFS(График[Возврат начисленных %],График[Дата с учетом нерабочих дней],$A339)</f>
        <v>0</v>
      </c>
      <c r="O339" s="101">
        <v>0</v>
      </c>
      <c r="P339" s="100" cm="1">
        <f t="array" aca="1" ref="P339" ca="1">MAX(IF(AA338="Да",0,SUM(INDIRECT("M"&amp;(MAX(("Да"=AA$12:AA338)*ROW(AA$12:AA338)+1,ROW($P$12))&amp;":M"&amp;(ROW()))))-SUM(INDIRECT("W"&amp;(MAX(("Да"=AA$12:AA338)*ROW(AA$12:AA338)+1,ROW($P$12))&amp;":W"&amp;(ROW()))))),0)</f>
        <v>3563.6499999999992</v>
      </c>
      <c r="Q339" s="99">
        <f ca="1">MAX(SUM($N$13:N339)-SUM($T$13:T339),0)</f>
        <v>19599.050655737708</v>
      </c>
      <c r="R339" s="99">
        <f ca="1">Первоначальный[[#This Row],[Просроченный платеж по ОД]]+Первоначальный[[#This Row],[Просроченный платеж по процентам]]</f>
        <v>23162.700655737706</v>
      </c>
      <c r="S339" s="120">
        <f ca="1">IF(Первоначальный[[#This Row],[Просроченный платеж]]&lt;1,0,S338+1)</f>
        <v>235</v>
      </c>
      <c r="T339" s="100" cm="1">
        <f t="array" aca="1" ref="T339" ca="1">IF(Первоначальный[[#This Row],[Итого остаток на начало периода]]&lt;1,0,
IF(
AND(TYPE(VLOOKUP(1,$Z$12:Z339,1,0))=16,Первоначальный[[#This Row],[Досрочное погашение (да/"")]]=""),0,
_xlfn.IFS(AND(S338=0,Первоначальный[[#This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платеж]]&lt;&gt;0),MIN(LOOKUP(,-1/($Z$12:Z339=1),$C$12:C339)+LOOKUP(,-1/($Z$12:Z339=1),$H$12:H339),Первоначальный[[#This Row],[Полученный платеж]]+Y338),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платеж]]+Y338,SUM(Первоначальный[[#This Row],[Остаток процентов на начало периода]],Первоначальный[[#This Row],[Проценты за период]])),
AND(S338=0,Первоначальный[[#This Row],[Дата платежа из графика]]=""),0,
AND(S338=0,Первоначальный[[#This Row],[Дата платежа из графика]]=1,MAX((0&lt;&gt;S$12:S338)*ROW(S$12:S338),ROW($S$12))&gt;=MAX((1=Z$12:Z338)*ROW(Z$12:Z338),ROW($T$12)),TYPE(VLOOKUP("Да",(INDIRECT("AA"&amp;(MAX((1=Z$12:Z338)*ROW(Z$12:Z338),ROW($T$12))&amp;":AA"&amp;(ROW()-1)))),1,0))=16),MIN(LOOKUP(,-1/($Z$12:Z339=1),$C$12:C339)+LOOKUP(,-1/($Z$12:Z339=1),$H$12:H339),Первоначальный[[#This Row],[Полученный платеж]]+Y338),
AND(S338=0,TYPE(VLOOKUP("Да",(INDIRECT("AA"&amp;(MAX((1=Z$12:Z338)*ROW(Z$12:Z338),ROW($T$12))&amp;":AA"&amp;(ROW()-1)))),1,0))&lt;&gt;16),MIN(LOOKUP(,-1/($Z$12:Z339=1),$C$12:C339)+LOOKUP(,-1/($Z$12:Z339=1),$H$12:H339)-IF(AA338="Да",0,SUM(INDIRECT("T"&amp;(MAX(("Да"=AA$12:AA338)*ROW(AA$12:AA338)+1,ROW($T$12))&amp;":T"&amp;(ROW()-1))))),Первоначальный[[#This Row],[Полученный платеж]]+Y338),
AND(S338=0,MAX((0&lt;&gt;N$12:N338)*ROW(N$12:N338),ROW($S$12))&gt;=MAX((1=Z$12:Z338)*ROW(Z$12:Z338),ROW($T$12))),MIN(LOOKUP(,-1/($Z$12:Z339=1),$C$12:C339)+LOOKUP(,-1/($Z$12:Z339=1),$H$12:H339)-IF(N338&lt;&gt;0,0,SUM(INDIRECT("T"&amp;(MAX((0&lt;&gt;N$12:N338)*ROW(N$12:N338)+1,ROW($T$12))&amp;":T"&amp;(ROW()-1))))),Первоначальный[[#This Row],[Полученный платеж]]+Y338),
AND(S338=0,Первоначальный[[#This Row],[Дата платежа из графика]]=1),MIN(LOOKUP(,-1/($Z$12:Z339=1),$C$12:C339)+LOOKUP(,-1/($Z$12:Z339=1),$H$12:H339)-IF(Z338=1,0,SUM(INDIRECT("T"&amp;(MAX((1=Z$12:Z338)*ROW(Z$12:Z338)+1,ROW($T$12))&amp;":T"&amp;(ROW()-1))))),Первоначальный[[#This Row],[Полученный платеж]]+Y338),
AND(Z338&gt;0,Первоначальный[[#This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платеж]]+Y338),
AND(S338&gt;0,MAX((0&lt;&gt;S$12:S338)*ROW(S$12:S338),ROW($S$12))&gt;=MAX((1=Z$12:Z338)*ROW(Z$12:Z338),ROW($T$12)),TYPE(VLOOKUP("Да",(INDIRECT("AA"&amp;(MAX((1=Z$12:Z338)*ROW(Z$12:Z338),ROW($T$12))&amp;":AA"&amp;(ROW()-1)))),1,0))=16),MIN(LOOKUP(,-1/($Z$12:Z339=1),$C$12:C339)+LOOKUP(,-1/($Z$12:Z339=1),$H$12:H339)-SUM(INDIRECT("T"&amp;(MAX((1=Z$12:Z338)*ROW(Z$12:Z338),ROW($T$12))&amp;":T"&amp;(ROW()-1)))),Первоначальный[[#This Row],[Полученный платеж]]+Y338),
S338&gt;0,MIN(LOOKUP(,-1/($Z$12:Z339=1),$C$12:C339)+LOOKUP(,-1/($Z$12:Z339=1),$H$12:H339)-IF(Z338=1,0,SUM(INDIRECT("T"&amp;(MAX((1=Z$12:Z338)*ROW(Z$12:Z338)+1,ROW($T$12))&amp;":T"&amp;(ROW()-1))))),Первоначальный[[#This Row],[Полученный платеж]]+Y338)
)
)
)</f>
        <v>0</v>
      </c>
      <c r="U33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платеж]]+Y338-Первоначальный[[#This Row],[Полученный платёж по процентам]])</f>
        <v>0</v>
      </c>
      <c r="V339" s="55">
        <f t="shared" ca="1" si="61"/>
        <v>0</v>
      </c>
      <c r="W339" s="55" cm="1">
        <f t="array" aca="1" ref="W339" ca="1">IF(Первоначальный[[#This Row],[Итого остаток на начало периода]]&lt;1,0,
_xlfn.IFS(
AND(TYPE(VLOOKUP(1,$Z$12:Z339,1,0))=16,Первоначальный[[#This Row],[Досрочное погашение (да/"")]]=""),0,
AND(S338=0,Первоначальный[[#This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платеж]]+Y338-SUM(Первоначальный[[#This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комиссиям]]),VLOOKUP(LOOKUP(,-1/($Z$12:Z339=1),$A$12:A339),График[[Срок конец]:[Возврат основной суммы долга]],3,0)),
AND(S338=0,Первоначальный[[#This Row],[Дата платежа из графика]]="",Первоначальный[[#This Row],[Досрочное погашение (да/"")]]&lt;&gt;"Да"),0,
AND(S338=0,Первоначальный[[#This Row],[Досрочное погашение (да/"")]]=""),MIN(Первоначальный[[#This Row],[Полученный платеж]]+Y338-SUM(Первоначальный[[#This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комиссиям]]),VLOOKUP(LOOKUP(,-1/($Z$12:Z339=1),$A$12:A339),График[[Срок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платеж]]+Y338-SUM(Первоначальный[[#This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S338&gt;0,MIN(Первоначальный[[#This Row],[Полученный платеж]]+Y338-SUM(Первоначальный[[#This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комиссиям]]),SUM(INDIRECT("M"&amp;(MAX((1=S$12:S338)*ROW(S$12:S338),ROW($W$12))&amp;":M"&amp;(ROW()))))-SUM(INDIRECT("W"&amp;(MAX((1=S$12:S338)*ROW(S$12:S338),ROW($W$12))&amp;":W"&amp;(ROW()-1)))))
)
)</f>
        <v>0</v>
      </c>
      <c r="X339" s="55">
        <f t="shared" ca="1" si="62"/>
        <v>0</v>
      </c>
      <c r="Y339" s="101">
        <f t="shared" ca="1" si="69"/>
        <v>0</v>
      </c>
      <c r="Z339" s="133" t="str">
        <f>IF(TYPE((VLOOKUP(Первоначальный[[#This Row],[Дата платежа]],График[Срок конец],1,0)))=16,"",1)</f>
        <v/>
      </c>
      <c r="AA339" s="57"/>
      <c r="AB339" s="134"/>
      <c r="AC33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3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21351.809999999972</v>
      </c>
      <c r="AE33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254.07000000000028</v>
      </c>
      <c r="AF33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3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15048.773270491796</v>
      </c>
      <c r="AH339" s="55"/>
      <c r="AI339" s="55"/>
      <c r="AJ339" s="55"/>
      <c r="AK339" s="101">
        <f t="shared" ca="1" si="70"/>
        <v>186287.99327049177</v>
      </c>
      <c r="AL339" s="129">
        <f t="array" ref="AL339">MAX((УслРестрактов[Характеристика]="Дата реструктуризации")*(УслРестрактов[Значение]=Первоначальный!$A339),0)</f>
        <v>0</v>
      </c>
    </row>
    <row r="340" spans="1:38" x14ac:dyDescent="0.25">
      <c r="A340" s="97">
        <f t="shared" si="63"/>
        <v>44471</v>
      </c>
      <c r="B340" s="100">
        <f t="shared" ca="1" si="64"/>
        <v>149633.34</v>
      </c>
      <c r="C340" s="55">
        <f t="shared" ca="1" si="60"/>
        <v>21351.809999999972</v>
      </c>
      <c r="D340" s="55">
        <f t="shared" ca="1" si="60"/>
        <v>254.07000000000028</v>
      </c>
      <c r="E340" s="55">
        <f t="shared" ca="1" si="65"/>
        <v>0</v>
      </c>
      <c r="F340" s="55">
        <f t="shared" ca="1" si="66"/>
        <v>15048.773270491796</v>
      </c>
      <c r="G340" s="101">
        <f t="shared" ca="1" si="67"/>
        <v>186287.99327049177</v>
      </c>
      <c r="H340" s="100">
        <f ca="1">ROUND($B340*VLOOKUP($A340,$A$1:$B$10,2,1)/(365+IF(MOD(YEAR($A340),4),0,1)*($A340-$A339)),2)-Первоначальный[[#This Row],[Проценты на просроченный платеж по ОД за период]]</f>
        <v>79.64</v>
      </c>
      <c r="I340" s="55">
        <f t="shared" ca="1" si="68"/>
        <v>1.94</v>
      </c>
      <c r="J340" s="55">
        <v>0</v>
      </c>
      <c r="K340" s="55">
        <f t="shared" ca="1" si="71"/>
        <v>115.81350327868853</v>
      </c>
      <c r="L340" s="55">
        <v>0</v>
      </c>
      <c r="M340" s="113">
        <f>SUMIFS(График[Возврат основной суммы долга],График[Дата с учетом нерабочих дней],$A340)</f>
        <v>0</v>
      </c>
      <c r="N340" s="56">
        <f>SUMIFS(График[Возврат начисленных %],График[Дата с учетом нерабочих дней],$A340)</f>
        <v>0</v>
      </c>
      <c r="O340" s="101">
        <v>0</v>
      </c>
      <c r="P340" s="100" cm="1">
        <f t="array" aca="1" ref="P340" ca="1">MAX(IF(AA339="Да",0,SUM(INDIRECT("M"&amp;(MAX(("Да"=AA$12:AA339)*ROW(AA$12:AA339)+1,ROW($P$12))&amp;":M"&amp;(ROW()))))-SUM(INDIRECT("W"&amp;(MAX(("Да"=AA$12:AA339)*ROW(AA$12:AA339)+1,ROW($P$12))&amp;":W"&amp;(ROW()))))),0)</f>
        <v>3563.6499999999992</v>
      </c>
      <c r="Q340" s="99">
        <f ca="1">MAX(SUM($N$13:N340)-SUM($T$13:T340),0)</f>
        <v>19599.050655737708</v>
      </c>
      <c r="R340" s="99">
        <f ca="1">Первоначальный[[#This Row],[Просроченный платеж по ОД]]+Первоначальный[[#This Row],[Просроченный платеж по процентам]]</f>
        <v>23162.700655737706</v>
      </c>
      <c r="S340" s="120">
        <f ca="1">IF(Первоначальный[[#This Row],[Просроченный платеж]]&lt;1,0,S339+1)</f>
        <v>236</v>
      </c>
      <c r="T340" s="100" cm="1">
        <f t="array" aca="1" ref="T340" ca="1">IF(Первоначальный[[#This Row],[Итого остаток на начало периода]]&lt;1,0,
IF(
AND(TYPE(VLOOKUP(1,$Z$12:Z340,1,0))=16,Первоначальный[[#This Row],[Досрочное погашение (да/"")]]=""),0,
_xlfn.IFS(AND(S339=0,Первоначальный[[#This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платеж]]&lt;&gt;0),MIN(LOOKUP(,-1/($Z$12:Z340=1),$C$12:C340)+LOOKUP(,-1/($Z$12:Z340=1),$H$12:H340),Первоначальный[[#This Row],[Полученный платеж]]+Y339),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платеж]]+Y339,SUM(Первоначальный[[#This Row],[Остаток процентов на начало периода]],Первоначальный[[#This Row],[Проценты за период]])),
AND(S339=0,Первоначальный[[#This Row],[Дата платежа из графика]]=""),0,
AND(S339=0,Первоначальный[[#This Row],[Дата платежа из графика]]=1,MAX((0&lt;&gt;S$12:S339)*ROW(S$12:S339),ROW($S$12))&gt;=MAX((1=Z$12:Z339)*ROW(Z$12:Z339),ROW($T$12)),TYPE(VLOOKUP("Да",(INDIRECT("AA"&amp;(MAX((1=Z$12:Z339)*ROW(Z$12:Z339),ROW($T$12))&amp;":AA"&amp;(ROW()-1)))),1,0))=16),MIN(LOOKUP(,-1/($Z$12:Z340=1),$C$12:C340)+LOOKUP(,-1/($Z$12:Z340=1),$H$12:H340),Первоначальный[[#This Row],[Полученный платеж]]+Y339),
AND(S339=0,TYPE(VLOOKUP("Да",(INDIRECT("AA"&amp;(MAX((1=Z$12:Z339)*ROW(Z$12:Z339),ROW($T$12))&amp;":AA"&amp;(ROW()-1)))),1,0))&lt;&gt;16),MIN(LOOKUP(,-1/($Z$12:Z340=1),$C$12:C340)+LOOKUP(,-1/($Z$12:Z340=1),$H$12:H340)-IF(AA339="Да",0,SUM(INDIRECT("T"&amp;(MAX(("Да"=AA$12:AA339)*ROW(AA$12:AA339)+1,ROW($T$12))&amp;":T"&amp;(ROW()-1))))),Первоначальный[[#This Row],[Полученный платеж]]+Y339),
AND(S339=0,MAX((0&lt;&gt;N$12:N339)*ROW(N$12:N339),ROW($S$12))&gt;=MAX((1=Z$12:Z339)*ROW(Z$12:Z339),ROW($T$12))),MIN(LOOKUP(,-1/($Z$12:Z340=1),$C$12:C340)+LOOKUP(,-1/($Z$12:Z340=1),$H$12:H340)-IF(N339&lt;&gt;0,0,SUM(INDIRECT("T"&amp;(MAX((0&lt;&gt;N$12:N339)*ROW(N$12:N339)+1,ROW($T$12))&amp;":T"&amp;(ROW()-1))))),Первоначальный[[#This Row],[Полученный платеж]]+Y339),
AND(S339=0,Первоначальный[[#This Row],[Дата платежа из графика]]=1),MIN(LOOKUP(,-1/($Z$12:Z340=1),$C$12:C340)+LOOKUP(,-1/($Z$12:Z340=1),$H$12:H340)-IF(Z339=1,0,SUM(INDIRECT("T"&amp;(MAX((1=Z$12:Z339)*ROW(Z$12:Z339)+1,ROW($T$12))&amp;":T"&amp;(ROW()-1))))),Первоначальный[[#This Row],[Полученный платеж]]+Y339),
AND(Z339&gt;0,Первоначальный[[#This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платеж]]+Y339),
AND(S339&gt;0,MAX((0&lt;&gt;S$12:S339)*ROW(S$12:S339),ROW($S$12))&gt;=MAX((1=Z$12:Z339)*ROW(Z$12:Z339),ROW($T$12)),TYPE(VLOOKUP("Да",(INDIRECT("AA"&amp;(MAX((1=Z$12:Z339)*ROW(Z$12:Z339),ROW($T$12))&amp;":AA"&amp;(ROW()-1)))),1,0))=16),MIN(LOOKUP(,-1/($Z$12:Z340=1),$C$12:C340)+LOOKUP(,-1/($Z$12:Z340=1),$H$12:H340)-SUM(INDIRECT("T"&amp;(MAX((1=Z$12:Z339)*ROW(Z$12:Z339),ROW($T$12))&amp;":T"&amp;(ROW()-1)))),Первоначальный[[#This Row],[Полученный платеж]]+Y339),
S339&gt;0,MIN(LOOKUP(,-1/($Z$12:Z340=1),$C$12:C340)+LOOKUP(,-1/($Z$12:Z340=1),$H$12:H340)-IF(Z339=1,0,SUM(INDIRECT("T"&amp;(MAX((1=Z$12:Z339)*ROW(Z$12:Z339)+1,ROW($T$12))&amp;":T"&amp;(ROW()-1))))),Первоначальный[[#This Row],[Полученный платеж]]+Y339)
)
)
)</f>
        <v>0</v>
      </c>
      <c r="U34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платеж]]+Y339-Первоначальный[[#This Row],[Полученный платёж по процентам]])</f>
        <v>0</v>
      </c>
      <c r="V340" s="55">
        <f t="shared" ca="1" si="61"/>
        <v>0</v>
      </c>
      <c r="W340" s="55" cm="1">
        <f t="array" aca="1" ref="W340" ca="1">IF(Первоначальный[[#This Row],[Итого остаток на начало периода]]&lt;1,0,
_xlfn.IFS(
AND(TYPE(VLOOKUP(1,$Z$12:Z340,1,0))=16,Первоначальный[[#This Row],[Досрочное погашение (да/"")]]=""),0,
AND(S339=0,Первоначальный[[#This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платеж]]+Y339-SUM(Первоначальный[[#This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комиссиям]]),VLOOKUP(LOOKUP(,-1/($Z$12:Z340=1),$A$12:A340),График[[Срок конец]:[Возврат основной суммы долга]],3,0)),
AND(S339=0,Первоначальный[[#This Row],[Дата платежа из графика]]="",Первоначальный[[#This Row],[Досрочное погашение (да/"")]]&lt;&gt;"Да"),0,
AND(S339=0,Первоначальный[[#This Row],[Досрочное погашение (да/"")]]=""),MIN(Первоначальный[[#This Row],[Полученный платеж]]+Y339-SUM(Первоначальный[[#This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комиссиям]]),VLOOKUP(LOOKUP(,-1/($Z$12:Z340=1),$A$12:A340),График[[Срок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платеж]]+Y339-SUM(Первоначальный[[#This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S339&gt;0,MIN(Первоначальный[[#This Row],[Полученный платеж]]+Y339-SUM(Первоначальный[[#This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комиссиям]]),SUM(INDIRECT("M"&amp;(MAX((1=S$12:S339)*ROW(S$12:S339),ROW($W$12))&amp;":M"&amp;(ROW()))))-SUM(INDIRECT("W"&amp;(MAX((1=S$12:S339)*ROW(S$12:S339),ROW($W$12))&amp;":W"&amp;(ROW()-1)))))
)
)</f>
        <v>0</v>
      </c>
      <c r="X340" s="55">
        <f t="shared" ca="1" si="62"/>
        <v>0</v>
      </c>
      <c r="Y340" s="101">
        <f t="shared" ca="1" si="69"/>
        <v>0</v>
      </c>
      <c r="Z340" s="133" t="str">
        <f>IF(TYPE((VLOOKUP(Первоначальный[[#This Row],[Дата платежа]],График[Срок конец],1,0)))=16,"",1)</f>
        <v/>
      </c>
      <c r="AA340" s="57"/>
      <c r="AB340" s="134"/>
      <c r="AC34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4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21431.449999999972</v>
      </c>
      <c r="AE34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256.01000000000028</v>
      </c>
      <c r="AF34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4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15164.586773770485</v>
      </c>
      <c r="AH340" s="55"/>
      <c r="AI340" s="55"/>
      <c r="AJ340" s="55"/>
      <c r="AK340" s="101">
        <f t="shared" ca="1" si="70"/>
        <v>186485.38677377047</v>
      </c>
      <c r="AL340" s="129">
        <f t="array" ref="AL340">MAX((УслРестрактов[Характеристика]="Дата реструктуризации")*(УслРестрактов[Значение]=Первоначальный!$A340),0)</f>
        <v>0</v>
      </c>
    </row>
    <row r="341" spans="1:38" x14ac:dyDescent="0.25">
      <c r="A341" s="97">
        <f t="shared" si="63"/>
        <v>44472</v>
      </c>
      <c r="B341" s="100">
        <f t="shared" ca="1" si="64"/>
        <v>149633.34</v>
      </c>
      <c r="C341" s="55">
        <f t="shared" ca="1" si="60"/>
        <v>21431.449999999972</v>
      </c>
      <c r="D341" s="55">
        <f t="shared" ca="1" si="60"/>
        <v>256.01000000000028</v>
      </c>
      <c r="E341" s="55">
        <f t="shared" ca="1" si="65"/>
        <v>0</v>
      </c>
      <c r="F341" s="55">
        <f t="shared" ca="1" si="66"/>
        <v>15164.586773770485</v>
      </c>
      <c r="G341" s="101">
        <f t="shared" ca="1" si="67"/>
        <v>186485.38677377047</v>
      </c>
      <c r="H341" s="100">
        <f ca="1">ROUND($B341*VLOOKUP($A341,$A$1:$B$10,2,1)/(365+IF(MOD(YEAR($A341),4),0,1)*($A341-$A340)),2)-Первоначальный[[#This Row],[Проценты на просроченный платеж по ОД за период]]</f>
        <v>79.64</v>
      </c>
      <c r="I341" s="55">
        <f t="shared" ca="1" si="68"/>
        <v>1.94</v>
      </c>
      <c r="J341" s="55">
        <v>0</v>
      </c>
      <c r="K341" s="55">
        <f t="shared" ca="1" si="71"/>
        <v>115.81350327868853</v>
      </c>
      <c r="L341" s="55">
        <v>0</v>
      </c>
      <c r="M341" s="113">
        <f>SUMIFS(График[Возврат основной суммы долга],График[Дата с учетом нерабочих дней],$A341)</f>
        <v>0</v>
      </c>
      <c r="N341" s="56">
        <f>SUMIFS(График[Возврат начисленных %],График[Дата с учетом нерабочих дней],$A341)</f>
        <v>0</v>
      </c>
      <c r="O341" s="101">
        <v>0</v>
      </c>
      <c r="P341" s="100" cm="1">
        <f t="array" aca="1" ref="P341" ca="1">MAX(IF(AA340="Да",0,SUM(INDIRECT("M"&amp;(MAX(("Да"=AA$12:AA340)*ROW(AA$12:AA340)+1,ROW($P$12))&amp;":M"&amp;(ROW()))))-SUM(INDIRECT("W"&amp;(MAX(("Да"=AA$12:AA340)*ROW(AA$12:AA340)+1,ROW($P$12))&amp;":W"&amp;(ROW()))))),0)</f>
        <v>3563.6499999999992</v>
      </c>
      <c r="Q341" s="99">
        <f ca="1">MAX(SUM($N$13:N341)-SUM($T$13:T341),0)</f>
        <v>19599.050655737708</v>
      </c>
      <c r="R341" s="99">
        <f ca="1">Первоначальный[[#This Row],[Просроченный платеж по ОД]]+Первоначальный[[#This Row],[Просроченный платеж по процентам]]</f>
        <v>23162.700655737706</v>
      </c>
      <c r="S341" s="120">
        <f ca="1">IF(Первоначальный[[#This Row],[Просроченный платеж]]&lt;1,0,S340+1)</f>
        <v>237</v>
      </c>
      <c r="T341" s="100" cm="1">
        <f t="array" aca="1" ref="T341" ca="1">IF(Первоначальный[[#This Row],[Итого остаток на начало периода]]&lt;1,0,
IF(
AND(TYPE(VLOOKUP(1,$Z$12:Z341,1,0))=16,Первоначальный[[#This Row],[Досрочное погашение (да/"")]]=""),0,
_xlfn.IFS(AND(S340=0,Первоначальный[[#This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платеж]]&lt;&gt;0),MIN(LOOKUP(,-1/($Z$12:Z341=1),$C$12:C341)+LOOKUP(,-1/($Z$12:Z341=1),$H$12:H341),Первоначальный[[#This Row],[Полученный платеж]]+Y340),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платеж]]+Y340,SUM(Первоначальный[[#This Row],[Остаток процентов на начало периода]],Первоначальный[[#This Row],[Проценты за период]])),
AND(S340=0,Первоначальный[[#This Row],[Дата платежа из графика]]=""),0,
AND(S340=0,Первоначальный[[#This Row],[Дата платежа из графика]]=1,MAX((0&lt;&gt;S$12:S340)*ROW(S$12:S340),ROW($S$12))&gt;=MAX((1=Z$12:Z340)*ROW(Z$12:Z340),ROW($T$12)),TYPE(VLOOKUP("Да",(INDIRECT("AA"&amp;(MAX((1=Z$12:Z340)*ROW(Z$12:Z340),ROW($T$12))&amp;":AA"&amp;(ROW()-1)))),1,0))=16),MIN(LOOKUP(,-1/($Z$12:Z341=1),$C$12:C341)+LOOKUP(,-1/($Z$12:Z341=1),$H$12:H341),Первоначальный[[#This Row],[Полученный платеж]]+Y340),
AND(S340=0,TYPE(VLOOKUP("Да",(INDIRECT("AA"&amp;(MAX((1=Z$12:Z340)*ROW(Z$12:Z340),ROW($T$12))&amp;":AA"&amp;(ROW()-1)))),1,0))&lt;&gt;16),MIN(LOOKUP(,-1/($Z$12:Z341=1),$C$12:C341)+LOOKUP(,-1/($Z$12:Z341=1),$H$12:H341)-IF(AA340="Да",0,SUM(INDIRECT("T"&amp;(MAX(("Да"=AA$12:AA340)*ROW(AA$12:AA340)+1,ROW($T$12))&amp;":T"&amp;(ROW()-1))))),Первоначальный[[#This Row],[Полученный платеж]]+Y340),
AND(S340=0,MAX((0&lt;&gt;N$12:N340)*ROW(N$12:N340),ROW($S$12))&gt;=MAX((1=Z$12:Z340)*ROW(Z$12:Z340),ROW($T$12))),MIN(LOOKUP(,-1/($Z$12:Z341=1),$C$12:C341)+LOOKUP(,-1/($Z$12:Z341=1),$H$12:H341)-IF(N340&lt;&gt;0,0,SUM(INDIRECT("T"&amp;(MAX((0&lt;&gt;N$12:N340)*ROW(N$12:N340)+1,ROW($T$12))&amp;":T"&amp;(ROW()-1))))),Первоначальный[[#This Row],[Полученный платеж]]+Y340),
AND(S340=0,Первоначальный[[#This Row],[Дата платежа из графика]]=1),MIN(LOOKUP(,-1/($Z$12:Z341=1),$C$12:C341)+LOOKUP(,-1/($Z$12:Z341=1),$H$12:H341)-IF(Z340=1,0,SUM(INDIRECT("T"&amp;(MAX((1=Z$12:Z340)*ROW(Z$12:Z340)+1,ROW($T$12))&amp;":T"&amp;(ROW()-1))))),Первоначальный[[#This Row],[Полученный платеж]]+Y340),
AND(Z340&gt;0,Первоначальный[[#This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платеж]]+Y340),
AND(S340&gt;0,MAX((0&lt;&gt;S$12:S340)*ROW(S$12:S340),ROW($S$12))&gt;=MAX((1=Z$12:Z340)*ROW(Z$12:Z340),ROW($T$12)),TYPE(VLOOKUP("Да",(INDIRECT("AA"&amp;(MAX((1=Z$12:Z340)*ROW(Z$12:Z340),ROW($T$12))&amp;":AA"&amp;(ROW()-1)))),1,0))=16),MIN(LOOKUP(,-1/($Z$12:Z341=1),$C$12:C341)+LOOKUP(,-1/($Z$12:Z341=1),$H$12:H341)-SUM(INDIRECT("T"&amp;(MAX((1=Z$12:Z340)*ROW(Z$12:Z340),ROW($T$12))&amp;":T"&amp;(ROW()-1)))),Первоначальный[[#This Row],[Полученный платеж]]+Y340),
S340&gt;0,MIN(LOOKUP(,-1/($Z$12:Z341=1),$C$12:C341)+LOOKUP(,-1/($Z$12:Z341=1),$H$12:H341)-IF(Z340=1,0,SUM(INDIRECT("T"&amp;(MAX((1=Z$12:Z340)*ROW(Z$12:Z340)+1,ROW($T$12))&amp;":T"&amp;(ROW()-1))))),Первоначальный[[#This Row],[Полученный платеж]]+Y340)
)
)
)</f>
        <v>0</v>
      </c>
      <c r="U34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платеж]]+Y340-Первоначальный[[#This Row],[Полученный платёж по процентам]])</f>
        <v>0</v>
      </c>
      <c r="V341" s="55">
        <f t="shared" ca="1" si="61"/>
        <v>0</v>
      </c>
      <c r="W341" s="55" cm="1">
        <f t="array" aca="1" ref="W341" ca="1">IF(Первоначальный[[#This Row],[Итого остаток на начало периода]]&lt;1,0,
_xlfn.IFS(
AND(TYPE(VLOOKUP(1,$Z$12:Z341,1,0))=16,Первоначальный[[#This Row],[Досрочное погашение (да/"")]]=""),0,
AND(S340=0,Первоначальный[[#This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платеж]]+Y340-SUM(Первоначальный[[#This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комиссиям]]),VLOOKUP(LOOKUP(,-1/($Z$12:Z341=1),$A$12:A341),График[[Срок конец]:[Возврат основной суммы долга]],3,0)),
AND(S340=0,Первоначальный[[#This Row],[Дата платежа из графика]]="",Первоначальный[[#This Row],[Досрочное погашение (да/"")]]&lt;&gt;"Да"),0,
AND(S340=0,Первоначальный[[#This Row],[Досрочное погашение (да/"")]]=""),MIN(Первоначальный[[#This Row],[Полученный платеж]]+Y340-SUM(Первоначальный[[#This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комиссиям]]),VLOOKUP(LOOKUP(,-1/($Z$12:Z341=1),$A$12:A341),График[[Срок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платеж]]+Y340-SUM(Первоначальный[[#This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S340&gt;0,MIN(Первоначальный[[#This Row],[Полученный платеж]]+Y340-SUM(Первоначальный[[#This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комиссиям]]),SUM(INDIRECT("M"&amp;(MAX((1=S$12:S340)*ROW(S$12:S340),ROW($W$12))&amp;":M"&amp;(ROW()))))-SUM(INDIRECT("W"&amp;(MAX((1=S$12:S340)*ROW(S$12:S340),ROW($W$12))&amp;":W"&amp;(ROW()-1)))))
)
)</f>
        <v>0</v>
      </c>
      <c r="X341" s="55">
        <f t="shared" ca="1" si="62"/>
        <v>0</v>
      </c>
      <c r="Y341" s="101">
        <f t="shared" ca="1" si="69"/>
        <v>0</v>
      </c>
      <c r="Z341" s="133" t="str">
        <f>IF(TYPE((VLOOKUP(Первоначальный[[#This Row],[Дата платежа]],График[Срок конец],1,0)))=16,"",1)</f>
        <v/>
      </c>
      <c r="AA341" s="57"/>
      <c r="AB341" s="134"/>
      <c r="AC34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4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21511.089999999971</v>
      </c>
      <c r="AE34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257.95000000000027</v>
      </c>
      <c r="AF34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4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15280.400277049173</v>
      </c>
      <c r="AH341" s="55"/>
      <c r="AI341" s="55"/>
      <c r="AJ341" s="55"/>
      <c r="AK341" s="101">
        <f t="shared" ca="1" si="70"/>
        <v>186682.78027704914</v>
      </c>
      <c r="AL341" s="129">
        <f t="array" ref="AL341">MAX((УслРестрактов[Характеристика]="Дата реструктуризации")*(УслРестрактов[Значение]=Первоначальный!$A341),0)</f>
        <v>0</v>
      </c>
    </row>
    <row r="342" spans="1:38" x14ac:dyDescent="0.25">
      <c r="A342" s="97">
        <f t="shared" si="63"/>
        <v>44473</v>
      </c>
      <c r="B342" s="100">
        <f t="shared" ca="1" si="64"/>
        <v>149633.34</v>
      </c>
      <c r="C342" s="55">
        <f t="shared" ca="1" si="60"/>
        <v>21511.089999999971</v>
      </c>
      <c r="D342" s="55">
        <f t="shared" ca="1" si="60"/>
        <v>257.95000000000027</v>
      </c>
      <c r="E342" s="55">
        <f t="shared" ca="1" si="65"/>
        <v>0</v>
      </c>
      <c r="F342" s="55">
        <f t="shared" ca="1" si="66"/>
        <v>15280.400277049173</v>
      </c>
      <c r="G342" s="101">
        <f t="shared" ca="1" si="67"/>
        <v>186682.78027704914</v>
      </c>
      <c r="H342" s="100">
        <f ca="1">ROUND($B342*VLOOKUP($A342,$A$1:$B$10,2,1)/(365+IF(MOD(YEAR($A342),4),0,1)*($A342-$A341)),2)-Первоначальный[[#This Row],[Проценты на просроченный платеж по ОД за период]]</f>
        <v>79.64</v>
      </c>
      <c r="I342" s="55">
        <f t="shared" ca="1" si="68"/>
        <v>1.94</v>
      </c>
      <c r="J342" s="55">
        <v>0</v>
      </c>
      <c r="K342" s="55">
        <f t="shared" ca="1" si="71"/>
        <v>115.81350327868853</v>
      </c>
      <c r="L342" s="55">
        <v>0</v>
      </c>
      <c r="M342" s="113">
        <f>SUMIFS(График[Возврат основной суммы долга],График[Дата с учетом нерабочих дней],$A342)</f>
        <v>0</v>
      </c>
      <c r="N342" s="56">
        <f>SUMIFS(График[Возврат начисленных %],График[Дата с учетом нерабочих дней],$A342)</f>
        <v>0</v>
      </c>
      <c r="O342" s="101">
        <v>0</v>
      </c>
      <c r="P342" s="100" cm="1">
        <f t="array" aca="1" ref="P342" ca="1">MAX(IF(AA341="Да",0,SUM(INDIRECT("M"&amp;(MAX(("Да"=AA$12:AA341)*ROW(AA$12:AA341)+1,ROW($P$12))&amp;":M"&amp;(ROW()))))-SUM(INDIRECT("W"&amp;(MAX(("Да"=AA$12:AA341)*ROW(AA$12:AA341)+1,ROW($P$12))&amp;":W"&amp;(ROW()))))),0)</f>
        <v>3563.6499999999992</v>
      </c>
      <c r="Q342" s="99">
        <f ca="1">MAX(SUM($N$13:N342)-SUM($T$13:T342),0)</f>
        <v>19599.050655737708</v>
      </c>
      <c r="R342" s="99">
        <f ca="1">Первоначальный[[#This Row],[Просроченный платеж по ОД]]+Первоначальный[[#This Row],[Просроченный платеж по процентам]]</f>
        <v>23162.700655737706</v>
      </c>
      <c r="S342" s="120">
        <f ca="1">IF(Первоначальный[[#This Row],[Просроченный платеж]]&lt;1,0,S341+1)</f>
        <v>238</v>
      </c>
      <c r="T342" s="100" cm="1">
        <f t="array" aca="1" ref="T342" ca="1">IF(Первоначальный[[#This Row],[Итого остаток на начало периода]]&lt;1,0,
IF(
AND(TYPE(VLOOKUP(1,$Z$12:Z342,1,0))=16,Первоначальный[[#This Row],[Досрочное погашение (да/"")]]=""),0,
_xlfn.IFS(AND(S341=0,Первоначальный[[#This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платеж]]&lt;&gt;0),MIN(LOOKUP(,-1/($Z$12:Z342=1),$C$12:C342)+LOOKUP(,-1/($Z$12:Z342=1),$H$12:H342),Первоначальный[[#This Row],[Полученный платеж]]+Y341),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платеж]]+Y341,SUM(Первоначальный[[#This Row],[Остаток процентов на начало периода]],Первоначальный[[#This Row],[Проценты за период]])),
AND(S341=0,Первоначальный[[#This Row],[Дата платежа из графика]]=""),0,
AND(S341=0,Первоначальный[[#This Row],[Дата платежа из графика]]=1,MAX((0&lt;&gt;S$12:S341)*ROW(S$12:S341),ROW($S$12))&gt;=MAX((1=Z$12:Z341)*ROW(Z$12:Z341),ROW($T$12)),TYPE(VLOOKUP("Да",(INDIRECT("AA"&amp;(MAX((1=Z$12:Z341)*ROW(Z$12:Z341),ROW($T$12))&amp;":AA"&amp;(ROW()-1)))),1,0))=16),MIN(LOOKUP(,-1/($Z$12:Z342=1),$C$12:C342)+LOOKUP(,-1/($Z$12:Z342=1),$H$12:H342),Первоначальный[[#This Row],[Полученный платеж]]+Y341),
AND(S341=0,TYPE(VLOOKUP("Да",(INDIRECT("AA"&amp;(MAX((1=Z$12:Z341)*ROW(Z$12:Z341),ROW($T$12))&amp;":AA"&amp;(ROW()-1)))),1,0))&lt;&gt;16),MIN(LOOKUP(,-1/($Z$12:Z342=1),$C$12:C342)+LOOKUP(,-1/($Z$12:Z342=1),$H$12:H342)-IF(AA341="Да",0,SUM(INDIRECT("T"&amp;(MAX(("Да"=AA$12:AA341)*ROW(AA$12:AA341)+1,ROW($T$12))&amp;":T"&amp;(ROW()-1))))),Первоначальный[[#This Row],[Полученный платеж]]+Y341),
AND(S341=0,MAX((0&lt;&gt;N$12:N341)*ROW(N$12:N341),ROW($S$12))&gt;=MAX((1=Z$12:Z341)*ROW(Z$12:Z341),ROW($T$12))),MIN(LOOKUP(,-1/($Z$12:Z342=1),$C$12:C342)+LOOKUP(,-1/($Z$12:Z342=1),$H$12:H342)-IF(N341&lt;&gt;0,0,SUM(INDIRECT("T"&amp;(MAX((0&lt;&gt;N$12:N341)*ROW(N$12:N341)+1,ROW($T$12))&amp;":T"&amp;(ROW()-1))))),Первоначальный[[#This Row],[Полученный платеж]]+Y341),
AND(S341=0,Первоначальный[[#This Row],[Дата платежа из графика]]=1),MIN(LOOKUP(,-1/($Z$12:Z342=1),$C$12:C342)+LOOKUP(,-1/($Z$12:Z342=1),$H$12:H342)-IF(Z341=1,0,SUM(INDIRECT("T"&amp;(MAX((1=Z$12:Z341)*ROW(Z$12:Z341)+1,ROW($T$12))&amp;":T"&amp;(ROW()-1))))),Первоначальный[[#This Row],[Полученный платеж]]+Y341),
AND(Z341&gt;0,Первоначальный[[#This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платеж]]+Y341),
AND(S341&gt;0,MAX((0&lt;&gt;S$12:S341)*ROW(S$12:S341),ROW($S$12))&gt;=MAX((1=Z$12:Z341)*ROW(Z$12:Z341),ROW($T$12)),TYPE(VLOOKUP("Да",(INDIRECT("AA"&amp;(MAX((1=Z$12:Z341)*ROW(Z$12:Z341),ROW($T$12))&amp;":AA"&amp;(ROW()-1)))),1,0))=16),MIN(LOOKUP(,-1/($Z$12:Z342=1),$C$12:C342)+LOOKUP(,-1/($Z$12:Z342=1),$H$12:H342)-SUM(INDIRECT("T"&amp;(MAX((1=Z$12:Z341)*ROW(Z$12:Z341),ROW($T$12))&amp;":T"&amp;(ROW()-1)))),Первоначальный[[#This Row],[Полученный платеж]]+Y341),
S341&gt;0,MIN(LOOKUP(,-1/($Z$12:Z342=1),$C$12:C342)+LOOKUP(,-1/($Z$12:Z342=1),$H$12:H342)-IF(Z341=1,0,SUM(INDIRECT("T"&amp;(MAX((1=Z$12:Z341)*ROW(Z$12:Z341)+1,ROW($T$12))&amp;":T"&amp;(ROW()-1))))),Первоначальный[[#This Row],[Полученный платеж]]+Y341)
)
)
)</f>
        <v>0</v>
      </c>
      <c r="U34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платеж]]+Y341-Первоначальный[[#This Row],[Полученный платёж по процентам]])</f>
        <v>0</v>
      </c>
      <c r="V342" s="55">
        <f t="shared" ca="1" si="61"/>
        <v>0</v>
      </c>
      <c r="W342" s="55" cm="1">
        <f t="array" aca="1" ref="W342" ca="1">IF(Первоначальный[[#This Row],[Итого остаток на начало периода]]&lt;1,0,
_xlfn.IFS(
AND(TYPE(VLOOKUP(1,$Z$12:Z342,1,0))=16,Первоначальный[[#This Row],[Досрочное погашение (да/"")]]=""),0,
AND(S341=0,Первоначальный[[#This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платеж]]+Y341-SUM(Первоначальный[[#This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комиссиям]]),VLOOKUP(LOOKUP(,-1/($Z$12:Z342=1),$A$12:A342),График[[Срок конец]:[Возврат основной суммы долга]],3,0)),
AND(S341=0,Первоначальный[[#This Row],[Дата платежа из графика]]="",Первоначальный[[#This Row],[Досрочное погашение (да/"")]]&lt;&gt;"Да"),0,
AND(S341=0,Первоначальный[[#This Row],[Досрочное погашение (да/"")]]=""),MIN(Первоначальный[[#This Row],[Полученный платеж]]+Y341-SUM(Первоначальный[[#This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комиссиям]]),VLOOKUP(LOOKUP(,-1/($Z$12:Z342=1),$A$12:A342),График[[Срок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платеж]]+Y341-SUM(Первоначальный[[#This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S341&gt;0,MIN(Первоначальный[[#This Row],[Полученный платеж]]+Y341-SUM(Первоначальный[[#This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комиссиям]]),SUM(INDIRECT("M"&amp;(MAX((1=S$12:S341)*ROW(S$12:S341),ROW($W$12))&amp;":M"&amp;(ROW()))))-SUM(INDIRECT("W"&amp;(MAX((1=S$12:S341)*ROW(S$12:S341),ROW($W$12))&amp;":W"&amp;(ROW()-1)))))
)
)</f>
        <v>0</v>
      </c>
      <c r="X342" s="55">
        <f t="shared" ca="1" si="62"/>
        <v>0</v>
      </c>
      <c r="Y342" s="101">
        <f t="shared" ca="1" si="69"/>
        <v>0</v>
      </c>
      <c r="Z342" s="133" t="str">
        <f>IF(TYPE((VLOOKUP(Первоначальный[[#This Row],[Дата платежа]],График[Срок конец],1,0)))=16,"",1)</f>
        <v/>
      </c>
      <c r="AA342" s="57"/>
      <c r="AB342" s="134"/>
      <c r="AC34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4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21590.72999999997</v>
      </c>
      <c r="AE34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259.89000000000027</v>
      </c>
      <c r="AF34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4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15396.213780327862</v>
      </c>
      <c r="AH342" s="55"/>
      <c r="AI342" s="55"/>
      <c r="AJ342" s="55"/>
      <c r="AK342" s="101">
        <f t="shared" ca="1" si="70"/>
        <v>186880.17378032787</v>
      </c>
      <c r="AL342" s="129">
        <f t="array" ref="AL342">MAX((УслРестрактов[Характеристика]="Дата реструктуризации")*(УслРестрактов[Значение]=Первоначальный!$A342),0)</f>
        <v>0</v>
      </c>
    </row>
    <row r="343" spans="1:38" x14ac:dyDescent="0.25">
      <c r="A343" s="97">
        <f t="shared" si="63"/>
        <v>44474</v>
      </c>
      <c r="B343" s="100">
        <f t="shared" ca="1" si="64"/>
        <v>149633.34</v>
      </c>
      <c r="C343" s="55">
        <f t="shared" ca="1" si="60"/>
        <v>21590.72999999997</v>
      </c>
      <c r="D343" s="55">
        <f t="shared" ca="1" si="60"/>
        <v>259.89000000000027</v>
      </c>
      <c r="E343" s="55">
        <f t="shared" ca="1" si="65"/>
        <v>0</v>
      </c>
      <c r="F343" s="55">
        <f t="shared" ca="1" si="66"/>
        <v>15396.213780327862</v>
      </c>
      <c r="G343" s="101">
        <f t="shared" ca="1" si="67"/>
        <v>186880.17378032787</v>
      </c>
      <c r="H343" s="100">
        <f ca="1">ROUND($B343*VLOOKUP($A343,$A$1:$B$10,2,1)/(365+IF(MOD(YEAR($A343),4),0,1)*($A343-$A342)),2)-Первоначальный[[#This Row],[Проценты на просроченный платеж по ОД за период]]</f>
        <v>79.64</v>
      </c>
      <c r="I343" s="55">
        <f t="shared" ca="1" si="68"/>
        <v>1.94</v>
      </c>
      <c r="J343" s="55">
        <v>0</v>
      </c>
      <c r="K343" s="55">
        <f t="shared" ca="1" si="71"/>
        <v>115.81350327868853</v>
      </c>
      <c r="L343" s="55">
        <v>0</v>
      </c>
      <c r="M343" s="113">
        <f>SUMIFS(График[Возврат основной суммы долга],График[Дата с учетом нерабочих дней],$A343)</f>
        <v>0</v>
      </c>
      <c r="N343" s="56">
        <f>SUMIFS(График[Возврат начисленных %],График[Дата с учетом нерабочих дней],$A343)</f>
        <v>0</v>
      </c>
      <c r="O343" s="101">
        <v>0</v>
      </c>
      <c r="P343" s="100" cm="1">
        <f t="array" aca="1" ref="P343" ca="1">MAX(IF(AA342="Да",0,SUM(INDIRECT("M"&amp;(MAX(("Да"=AA$12:AA342)*ROW(AA$12:AA342)+1,ROW($P$12))&amp;":M"&amp;(ROW()))))-SUM(INDIRECT("W"&amp;(MAX(("Да"=AA$12:AA342)*ROW(AA$12:AA342)+1,ROW($P$12))&amp;":W"&amp;(ROW()))))),0)</f>
        <v>3563.6499999999992</v>
      </c>
      <c r="Q343" s="99">
        <f ca="1">MAX(SUM($N$13:N343)-SUM($T$13:T343),0)</f>
        <v>19599.050655737708</v>
      </c>
      <c r="R343" s="99">
        <f ca="1">Первоначальный[[#This Row],[Просроченный платеж по ОД]]+Первоначальный[[#This Row],[Просроченный платеж по процентам]]</f>
        <v>23162.700655737706</v>
      </c>
      <c r="S343" s="120">
        <f ca="1">IF(Первоначальный[[#This Row],[Просроченный платеж]]&lt;1,0,S342+1)</f>
        <v>239</v>
      </c>
      <c r="T343" s="100" cm="1">
        <f t="array" aca="1" ref="T343" ca="1">IF(Первоначальный[[#This Row],[Итого остаток на начало периода]]&lt;1,0,
IF(
AND(TYPE(VLOOKUP(1,$Z$12:Z343,1,0))=16,Первоначальный[[#This Row],[Досрочное погашение (да/"")]]=""),0,
_xlfn.IFS(AND(S342=0,Первоначальный[[#This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платеж]]&lt;&gt;0),MIN(LOOKUP(,-1/($Z$12:Z343=1),$C$12:C343)+LOOKUP(,-1/($Z$12:Z343=1),$H$12:H343),Первоначальный[[#This Row],[Полученный платеж]]+Y342),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платеж]]+Y342,SUM(Первоначальный[[#This Row],[Остаток процентов на начало периода]],Первоначальный[[#This Row],[Проценты за период]])),
AND(S342=0,Первоначальный[[#This Row],[Дата платежа из графика]]=""),0,
AND(S342=0,Первоначальный[[#This Row],[Дата платежа из графика]]=1,MAX((0&lt;&gt;S$12:S342)*ROW(S$12:S342),ROW($S$12))&gt;=MAX((1=Z$12:Z342)*ROW(Z$12:Z342),ROW($T$12)),TYPE(VLOOKUP("Да",(INDIRECT("AA"&amp;(MAX((1=Z$12:Z342)*ROW(Z$12:Z342),ROW($T$12))&amp;":AA"&amp;(ROW()-1)))),1,0))=16),MIN(LOOKUP(,-1/($Z$12:Z343=1),$C$12:C343)+LOOKUP(,-1/($Z$12:Z343=1),$H$12:H343),Первоначальный[[#This Row],[Полученный платеж]]+Y342),
AND(S342=0,TYPE(VLOOKUP("Да",(INDIRECT("AA"&amp;(MAX((1=Z$12:Z342)*ROW(Z$12:Z342),ROW($T$12))&amp;":AA"&amp;(ROW()-1)))),1,0))&lt;&gt;16),MIN(LOOKUP(,-1/($Z$12:Z343=1),$C$12:C343)+LOOKUP(,-1/($Z$12:Z343=1),$H$12:H343)-IF(AA342="Да",0,SUM(INDIRECT("T"&amp;(MAX(("Да"=AA$12:AA342)*ROW(AA$12:AA342)+1,ROW($T$12))&amp;":T"&amp;(ROW()-1))))),Первоначальный[[#This Row],[Полученный платеж]]+Y342),
AND(S342=0,MAX((0&lt;&gt;N$12:N342)*ROW(N$12:N342),ROW($S$12))&gt;=MAX((1=Z$12:Z342)*ROW(Z$12:Z342),ROW($T$12))),MIN(LOOKUP(,-1/($Z$12:Z343=1),$C$12:C343)+LOOKUP(,-1/($Z$12:Z343=1),$H$12:H343)-IF(N342&lt;&gt;0,0,SUM(INDIRECT("T"&amp;(MAX((0&lt;&gt;N$12:N342)*ROW(N$12:N342)+1,ROW($T$12))&amp;":T"&amp;(ROW()-1))))),Первоначальный[[#This Row],[Полученный платеж]]+Y342),
AND(S342=0,Первоначальный[[#This Row],[Дата платежа из графика]]=1),MIN(LOOKUP(,-1/($Z$12:Z343=1),$C$12:C343)+LOOKUP(,-1/($Z$12:Z343=1),$H$12:H343)-IF(Z342=1,0,SUM(INDIRECT("T"&amp;(MAX((1=Z$12:Z342)*ROW(Z$12:Z342)+1,ROW($T$12))&amp;":T"&amp;(ROW()-1))))),Первоначальный[[#This Row],[Полученный платеж]]+Y342),
AND(Z342&gt;0,Первоначальный[[#This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платеж]]+Y342),
AND(S342&gt;0,MAX((0&lt;&gt;S$12:S342)*ROW(S$12:S342),ROW($S$12))&gt;=MAX((1=Z$12:Z342)*ROW(Z$12:Z342),ROW($T$12)),TYPE(VLOOKUP("Да",(INDIRECT("AA"&amp;(MAX((1=Z$12:Z342)*ROW(Z$12:Z342),ROW($T$12))&amp;":AA"&amp;(ROW()-1)))),1,0))=16),MIN(LOOKUP(,-1/($Z$12:Z343=1),$C$12:C343)+LOOKUP(,-1/($Z$12:Z343=1),$H$12:H343)-SUM(INDIRECT("T"&amp;(MAX((1=Z$12:Z342)*ROW(Z$12:Z342),ROW($T$12))&amp;":T"&amp;(ROW()-1)))),Первоначальный[[#This Row],[Полученный платеж]]+Y342),
S342&gt;0,MIN(LOOKUP(,-1/($Z$12:Z343=1),$C$12:C343)+LOOKUP(,-1/($Z$12:Z343=1),$H$12:H343)-IF(Z342=1,0,SUM(INDIRECT("T"&amp;(MAX((1=Z$12:Z342)*ROW(Z$12:Z342)+1,ROW($T$12))&amp;":T"&amp;(ROW()-1))))),Первоначальный[[#This Row],[Полученный платеж]]+Y342)
)
)
)</f>
        <v>0</v>
      </c>
      <c r="U34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платеж]]+Y342-Первоначальный[[#This Row],[Полученный платёж по процентам]])</f>
        <v>0</v>
      </c>
      <c r="V343" s="55">
        <f t="shared" ca="1" si="61"/>
        <v>0</v>
      </c>
      <c r="W343" s="55" cm="1">
        <f t="array" aca="1" ref="W343" ca="1">IF(Первоначальный[[#This Row],[Итого остаток на начало периода]]&lt;1,0,
_xlfn.IFS(
AND(TYPE(VLOOKUP(1,$Z$12:Z343,1,0))=16,Первоначальный[[#This Row],[Досрочное погашение (да/"")]]=""),0,
AND(S342=0,Первоначальный[[#This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платеж]]+Y342-SUM(Первоначальный[[#This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комиссиям]]),VLOOKUP(LOOKUP(,-1/($Z$12:Z343=1),$A$12:A343),График[[Срок конец]:[Возврат основной суммы долга]],3,0)),
AND(S342=0,Первоначальный[[#This Row],[Дата платежа из графика]]="",Первоначальный[[#This Row],[Досрочное погашение (да/"")]]&lt;&gt;"Да"),0,
AND(S342=0,Первоначальный[[#This Row],[Досрочное погашение (да/"")]]=""),MIN(Первоначальный[[#This Row],[Полученный платеж]]+Y342-SUM(Первоначальный[[#This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комиссиям]]),VLOOKUP(LOOKUP(,-1/($Z$12:Z343=1),$A$12:A343),График[[Срок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платеж]]+Y342-SUM(Первоначальный[[#This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S342&gt;0,MIN(Первоначальный[[#This Row],[Полученный платеж]]+Y342-SUM(Первоначальный[[#This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комиссиям]]),SUM(INDIRECT("M"&amp;(MAX((1=S$12:S342)*ROW(S$12:S342),ROW($W$12))&amp;":M"&amp;(ROW()))))-SUM(INDIRECT("W"&amp;(MAX((1=S$12:S342)*ROW(S$12:S342),ROW($W$12))&amp;":W"&amp;(ROW()-1)))))
)
)</f>
        <v>0</v>
      </c>
      <c r="X343" s="55">
        <f t="shared" ca="1" si="62"/>
        <v>0</v>
      </c>
      <c r="Y343" s="101">
        <f t="shared" ca="1" si="69"/>
        <v>0</v>
      </c>
      <c r="Z343" s="133" t="str">
        <f>IF(TYPE((VLOOKUP(Первоначальный[[#This Row],[Дата платежа]],График[Срок конец],1,0)))=16,"",1)</f>
        <v/>
      </c>
      <c r="AA343" s="57"/>
      <c r="AB343" s="134"/>
      <c r="AC34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4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21670.36999999997</v>
      </c>
      <c r="AE34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261.83000000000027</v>
      </c>
      <c r="AF34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4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15512.027283606551</v>
      </c>
      <c r="AH343" s="55"/>
      <c r="AI343" s="55"/>
      <c r="AJ343" s="55"/>
      <c r="AK343" s="101">
        <f t="shared" ca="1" si="70"/>
        <v>187077.56728360651</v>
      </c>
      <c r="AL343" s="129">
        <f t="array" ref="AL343">MAX((УслРестрактов[Характеристика]="Дата реструктуризации")*(УслРестрактов[Значение]=Первоначальный!$A343),0)</f>
        <v>0</v>
      </c>
    </row>
    <row r="344" spans="1:38" x14ac:dyDescent="0.25">
      <c r="A344" s="97">
        <f t="shared" si="63"/>
        <v>44475</v>
      </c>
      <c r="B344" s="100">
        <f t="shared" ca="1" si="64"/>
        <v>149633.34</v>
      </c>
      <c r="C344" s="55">
        <f t="shared" ca="1" si="60"/>
        <v>21670.36999999997</v>
      </c>
      <c r="D344" s="55">
        <f t="shared" ca="1" si="60"/>
        <v>261.83000000000027</v>
      </c>
      <c r="E344" s="55">
        <f t="shared" ca="1" si="65"/>
        <v>0</v>
      </c>
      <c r="F344" s="55">
        <f t="shared" ca="1" si="66"/>
        <v>15512.027283606551</v>
      </c>
      <c r="G344" s="101">
        <f t="shared" ca="1" si="67"/>
        <v>187077.56728360651</v>
      </c>
      <c r="H344" s="100">
        <f ca="1">ROUND($B344*VLOOKUP($A344,$A$1:$B$10,2,1)/(365+IF(MOD(YEAR($A344),4),0,1)*($A344-$A343)),2)-Первоначальный[[#This Row],[Проценты на просроченный платеж по ОД за период]]</f>
        <v>79.64</v>
      </c>
      <c r="I344" s="55">
        <f t="shared" ca="1" si="68"/>
        <v>1.94</v>
      </c>
      <c r="J344" s="55">
        <v>0</v>
      </c>
      <c r="K344" s="55">
        <f t="shared" ca="1" si="71"/>
        <v>115.81350327868853</v>
      </c>
      <c r="L344" s="55">
        <v>0</v>
      </c>
      <c r="M344" s="113">
        <f>SUMIFS(График[Возврат основной суммы долга],График[Дата с учетом нерабочих дней],$A344)</f>
        <v>0</v>
      </c>
      <c r="N344" s="56">
        <f>SUMIFS(График[Возврат начисленных %],График[Дата с учетом нерабочих дней],$A344)</f>
        <v>0</v>
      </c>
      <c r="O344" s="101">
        <v>0</v>
      </c>
      <c r="P344" s="100" cm="1">
        <f t="array" aca="1" ref="P344" ca="1">MAX(IF(AA343="Да",0,SUM(INDIRECT("M"&amp;(MAX(("Да"=AA$12:AA343)*ROW(AA$12:AA343)+1,ROW($P$12))&amp;":M"&amp;(ROW()))))-SUM(INDIRECT("W"&amp;(MAX(("Да"=AA$12:AA343)*ROW(AA$12:AA343)+1,ROW($P$12))&amp;":W"&amp;(ROW()))))),0)</f>
        <v>3563.6499999999992</v>
      </c>
      <c r="Q344" s="99">
        <f ca="1">MAX(SUM($N$13:N344)-SUM($T$13:T344),0)</f>
        <v>19599.050655737708</v>
      </c>
      <c r="R344" s="99">
        <f ca="1">Первоначальный[[#This Row],[Просроченный платеж по ОД]]+Первоначальный[[#This Row],[Просроченный платеж по процентам]]</f>
        <v>23162.700655737706</v>
      </c>
      <c r="S344" s="120">
        <f ca="1">IF(Первоначальный[[#This Row],[Просроченный платеж]]&lt;1,0,S343+1)</f>
        <v>240</v>
      </c>
      <c r="T344" s="100" cm="1">
        <f t="array" aca="1" ref="T344" ca="1">IF(Первоначальный[[#This Row],[Итого остаток на начало периода]]&lt;1,0,
IF(
AND(TYPE(VLOOKUP(1,$Z$12:Z344,1,0))=16,Первоначальный[[#This Row],[Досрочное погашение (да/"")]]=""),0,
_xlfn.IFS(AND(S343=0,Первоначальный[[#This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платеж]]&lt;&gt;0),MIN(LOOKUP(,-1/($Z$12:Z344=1),$C$12:C344)+LOOKUP(,-1/($Z$12:Z344=1),$H$12:H344),Первоначальный[[#This Row],[Полученный платеж]]+Y343),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платеж]]+Y343,SUM(Первоначальный[[#This Row],[Остаток процентов на начало периода]],Первоначальный[[#This Row],[Проценты за период]])),
AND(S343=0,Первоначальный[[#This Row],[Дата платежа из графика]]=""),0,
AND(S343=0,Первоначальный[[#This Row],[Дата платежа из графика]]=1,MAX((0&lt;&gt;S$12:S343)*ROW(S$12:S343),ROW($S$12))&gt;=MAX((1=Z$12:Z343)*ROW(Z$12:Z343),ROW($T$12)),TYPE(VLOOKUP("Да",(INDIRECT("AA"&amp;(MAX((1=Z$12:Z343)*ROW(Z$12:Z343),ROW($T$12))&amp;":AA"&amp;(ROW()-1)))),1,0))=16),MIN(LOOKUP(,-1/($Z$12:Z344=1),$C$12:C344)+LOOKUP(,-1/($Z$12:Z344=1),$H$12:H344),Первоначальный[[#This Row],[Полученный платеж]]+Y343),
AND(S343=0,TYPE(VLOOKUP("Да",(INDIRECT("AA"&amp;(MAX((1=Z$12:Z343)*ROW(Z$12:Z343),ROW($T$12))&amp;":AA"&amp;(ROW()-1)))),1,0))&lt;&gt;16),MIN(LOOKUP(,-1/($Z$12:Z344=1),$C$12:C344)+LOOKUP(,-1/($Z$12:Z344=1),$H$12:H344)-IF(AA343="Да",0,SUM(INDIRECT("T"&amp;(MAX(("Да"=AA$12:AA343)*ROW(AA$12:AA343)+1,ROW($T$12))&amp;":T"&amp;(ROW()-1))))),Первоначальный[[#This Row],[Полученный платеж]]+Y343),
AND(S343=0,MAX((0&lt;&gt;N$12:N343)*ROW(N$12:N343),ROW($S$12))&gt;=MAX((1=Z$12:Z343)*ROW(Z$12:Z343),ROW($T$12))),MIN(LOOKUP(,-1/($Z$12:Z344=1),$C$12:C344)+LOOKUP(,-1/($Z$12:Z344=1),$H$12:H344)-IF(N343&lt;&gt;0,0,SUM(INDIRECT("T"&amp;(MAX((0&lt;&gt;N$12:N343)*ROW(N$12:N343)+1,ROW($T$12))&amp;":T"&amp;(ROW()-1))))),Первоначальный[[#This Row],[Полученный платеж]]+Y343),
AND(S343=0,Первоначальный[[#This Row],[Дата платежа из графика]]=1),MIN(LOOKUP(,-1/($Z$12:Z344=1),$C$12:C344)+LOOKUP(,-1/($Z$12:Z344=1),$H$12:H344)-IF(Z343=1,0,SUM(INDIRECT("T"&amp;(MAX((1=Z$12:Z343)*ROW(Z$12:Z343)+1,ROW($T$12))&amp;":T"&amp;(ROW()-1))))),Первоначальный[[#This Row],[Полученный платеж]]+Y343),
AND(Z343&gt;0,Первоначальный[[#This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платеж]]+Y343),
AND(S343&gt;0,MAX((0&lt;&gt;S$12:S343)*ROW(S$12:S343),ROW($S$12))&gt;=MAX((1=Z$12:Z343)*ROW(Z$12:Z343),ROW($T$12)),TYPE(VLOOKUP("Да",(INDIRECT("AA"&amp;(MAX((1=Z$12:Z343)*ROW(Z$12:Z343),ROW($T$12))&amp;":AA"&amp;(ROW()-1)))),1,0))=16),MIN(LOOKUP(,-1/($Z$12:Z344=1),$C$12:C344)+LOOKUP(,-1/($Z$12:Z344=1),$H$12:H344)-SUM(INDIRECT("T"&amp;(MAX((1=Z$12:Z343)*ROW(Z$12:Z343),ROW($T$12))&amp;":T"&amp;(ROW()-1)))),Первоначальный[[#This Row],[Полученный платеж]]+Y343),
S343&gt;0,MIN(LOOKUP(,-1/($Z$12:Z344=1),$C$12:C344)+LOOKUP(,-1/($Z$12:Z344=1),$H$12:H344)-IF(Z343=1,0,SUM(INDIRECT("T"&amp;(MAX((1=Z$12:Z343)*ROW(Z$12:Z343)+1,ROW($T$12))&amp;":T"&amp;(ROW()-1))))),Первоначальный[[#This Row],[Полученный платеж]]+Y343)
)
)
)</f>
        <v>0</v>
      </c>
      <c r="U34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платеж]]+Y343-Первоначальный[[#This Row],[Полученный платёж по процентам]])</f>
        <v>0</v>
      </c>
      <c r="V344" s="55">
        <f t="shared" ca="1" si="61"/>
        <v>0</v>
      </c>
      <c r="W344" s="55" cm="1">
        <f t="array" aca="1" ref="W344" ca="1">IF(Первоначальный[[#This Row],[Итого остаток на начало периода]]&lt;1,0,
_xlfn.IFS(
AND(TYPE(VLOOKUP(1,$Z$12:Z344,1,0))=16,Первоначальный[[#This Row],[Досрочное погашение (да/"")]]=""),0,
AND(S343=0,Первоначальный[[#This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платеж]]+Y343-SUM(Первоначальный[[#This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комиссиям]]),VLOOKUP(LOOKUP(,-1/($Z$12:Z344=1),$A$12:A344),График[[Срок конец]:[Возврат основной суммы долга]],3,0)),
AND(S343=0,Первоначальный[[#This Row],[Дата платежа из графика]]="",Первоначальный[[#This Row],[Досрочное погашение (да/"")]]&lt;&gt;"Да"),0,
AND(S343=0,Первоначальный[[#This Row],[Досрочное погашение (да/"")]]=""),MIN(Первоначальный[[#This Row],[Полученный платеж]]+Y343-SUM(Первоначальный[[#This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комиссиям]]),VLOOKUP(LOOKUP(,-1/($Z$12:Z344=1),$A$12:A344),График[[Срок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платеж]]+Y343-SUM(Первоначальный[[#This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S343&gt;0,MIN(Первоначальный[[#This Row],[Полученный платеж]]+Y343-SUM(Первоначальный[[#This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комиссиям]]),SUM(INDIRECT("M"&amp;(MAX((1=S$12:S343)*ROW(S$12:S343),ROW($W$12))&amp;":M"&amp;(ROW()))))-SUM(INDIRECT("W"&amp;(MAX((1=S$12:S343)*ROW(S$12:S343),ROW($W$12))&amp;":W"&amp;(ROW()-1)))))
)
)</f>
        <v>0</v>
      </c>
      <c r="X344" s="55">
        <f t="shared" ca="1" si="62"/>
        <v>0</v>
      </c>
      <c r="Y344" s="101">
        <f t="shared" ca="1" si="69"/>
        <v>0</v>
      </c>
      <c r="Z344" s="133" t="str">
        <f>IF(TYPE((VLOOKUP(Первоначальный[[#This Row],[Дата платежа]],График[Срок конец],1,0)))=16,"",1)</f>
        <v/>
      </c>
      <c r="AA344" s="57"/>
      <c r="AB344" s="134"/>
      <c r="AC34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4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21750.009999999969</v>
      </c>
      <c r="AE34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263.77000000000027</v>
      </c>
      <c r="AF34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4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15627.840786885239</v>
      </c>
      <c r="AH344" s="55"/>
      <c r="AI344" s="55"/>
      <c r="AJ344" s="55"/>
      <c r="AK344" s="101">
        <f t="shared" ca="1" si="70"/>
        <v>187274.9607868852</v>
      </c>
      <c r="AL344" s="129">
        <f t="array" ref="AL344">MAX((УслРестрактов[Характеристика]="Дата реструктуризации")*(УслРестрактов[Значение]=Первоначальный!$A344),0)</f>
        <v>0</v>
      </c>
    </row>
    <row r="345" spans="1:38" x14ac:dyDescent="0.25">
      <c r="A345" s="97">
        <f t="shared" si="63"/>
        <v>44476</v>
      </c>
      <c r="B345" s="100">
        <f t="shared" ca="1" si="64"/>
        <v>149633.34</v>
      </c>
      <c r="C345" s="55">
        <f t="shared" ca="1" si="60"/>
        <v>21750.009999999969</v>
      </c>
      <c r="D345" s="55">
        <f t="shared" ca="1" si="60"/>
        <v>263.77000000000027</v>
      </c>
      <c r="E345" s="55">
        <f t="shared" ca="1" si="65"/>
        <v>0</v>
      </c>
      <c r="F345" s="55">
        <f t="shared" ca="1" si="66"/>
        <v>15627.840786885239</v>
      </c>
      <c r="G345" s="101">
        <f t="shared" ca="1" si="67"/>
        <v>187274.9607868852</v>
      </c>
      <c r="H345" s="100">
        <f ca="1">ROUND($B345*VLOOKUP($A345,$A$1:$B$10,2,1)/(365+IF(MOD(YEAR($A345),4),0,1)*($A345-$A344)),2)-Первоначальный[[#This Row],[Проценты на просроченный платеж по ОД за период]]</f>
        <v>79.64</v>
      </c>
      <c r="I345" s="55">
        <f t="shared" ca="1" si="68"/>
        <v>1.94</v>
      </c>
      <c r="J345" s="55">
        <v>0</v>
      </c>
      <c r="K345" s="55">
        <f t="shared" ca="1" si="71"/>
        <v>115.81350327868853</v>
      </c>
      <c r="L345" s="55">
        <v>0</v>
      </c>
      <c r="M345" s="113">
        <f>SUMIFS(График[Возврат основной суммы долга],График[Дата с учетом нерабочих дней],$A345)</f>
        <v>0</v>
      </c>
      <c r="N345" s="56">
        <f>SUMIFS(График[Возврат начисленных %],График[Дата с учетом нерабочих дней],$A345)</f>
        <v>0</v>
      </c>
      <c r="O345" s="101">
        <v>0</v>
      </c>
      <c r="P345" s="100" cm="1">
        <f t="array" aca="1" ref="P345" ca="1">MAX(IF(AA344="Да",0,SUM(INDIRECT("M"&amp;(MAX(("Да"=AA$12:AA344)*ROW(AA$12:AA344)+1,ROW($P$12))&amp;":M"&amp;(ROW()))))-SUM(INDIRECT("W"&amp;(MAX(("Да"=AA$12:AA344)*ROW(AA$12:AA344)+1,ROW($P$12))&amp;":W"&amp;(ROW()))))),0)</f>
        <v>3563.6499999999992</v>
      </c>
      <c r="Q345" s="99">
        <f ca="1">MAX(SUM($N$13:N345)-SUM($T$13:T345),0)</f>
        <v>19599.050655737708</v>
      </c>
      <c r="R345" s="99">
        <f ca="1">Первоначальный[[#This Row],[Просроченный платеж по ОД]]+Первоначальный[[#This Row],[Просроченный платеж по процентам]]</f>
        <v>23162.700655737706</v>
      </c>
      <c r="S345" s="120">
        <f ca="1">IF(Первоначальный[[#This Row],[Просроченный платеж]]&lt;1,0,S344+1)</f>
        <v>241</v>
      </c>
      <c r="T345" s="100" cm="1">
        <f t="array" aca="1" ref="T345" ca="1">IF(Первоначальный[[#This Row],[Итого остаток на начало периода]]&lt;1,0,
IF(
AND(TYPE(VLOOKUP(1,$Z$12:Z345,1,0))=16,Первоначальный[[#This Row],[Досрочное погашение (да/"")]]=""),0,
_xlfn.IFS(AND(S344=0,Первоначальный[[#This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платеж]]&lt;&gt;0),MIN(LOOKUP(,-1/($Z$12:Z345=1),$C$12:C345)+LOOKUP(,-1/($Z$12:Z345=1),$H$12:H345),Первоначальный[[#This Row],[Полученный платеж]]+Y344),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платеж]]+Y344,SUM(Первоначальный[[#This Row],[Остаток процентов на начало периода]],Первоначальный[[#This Row],[Проценты за период]])),
AND(S344=0,Первоначальный[[#This Row],[Дата платежа из графика]]=""),0,
AND(S344=0,Первоначальный[[#This Row],[Дата платежа из графика]]=1,MAX((0&lt;&gt;S$12:S344)*ROW(S$12:S344),ROW($S$12))&gt;=MAX((1=Z$12:Z344)*ROW(Z$12:Z344),ROW($T$12)),TYPE(VLOOKUP("Да",(INDIRECT("AA"&amp;(MAX((1=Z$12:Z344)*ROW(Z$12:Z344),ROW($T$12))&amp;":AA"&amp;(ROW()-1)))),1,0))=16),MIN(LOOKUP(,-1/($Z$12:Z345=1),$C$12:C345)+LOOKUP(,-1/($Z$12:Z345=1),$H$12:H345),Первоначальный[[#This Row],[Полученный платеж]]+Y344),
AND(S344=0,TYPE(VLOOKUP("Да",(INDIRECT("AA"&amp;(MAX((1=Z$12:Z344)*ROW(Z$12:Z344),ROW($T$12))&amp;":AA"&amp;(ROW()-1)))),1,0))&lt;&gt;16),MIN(LOOKUP(,-1/($Z$12:Z345=1),$C$12:C345)+LOOKUP(,-1/($Z$12:Z345=1),$H$12:H345)-IF(AA344="Да",0,SUM(INDIRECT("T"&amp;(MAX(("Да"=AA$12:AA344)*ROW(AA$12:AA344)+1,ROW($T$12))&amp;":T"&amp;(ROW()-1))))),Первоначальный[[#This Row],[Полученный платеж]]+Y344),
AND(S344=0,MAX((0&lt;&gt;N$12:N344)*ROW(N$12:N344),ROW($S$12))&gt;=MAX((1=Z$12:Z344)*ROW(Z$12:Z344),ROW($T$12))),MIN(LOOKUP(,-1/($Z$12:Z345=1),$C$12:C345)+LOOKUP(,-1/($Z$12:Z345=1),$H$12:H345)-IF(N344&lt;&gt;0,0,SUM(INDIRECT("T"&amp;(MAX((0&lt;&gt;N$12:N344)*ROW(N$12:N344)+1,ROW($T$12))&amp;":T"&amp;(ROW()-1))))),Первоначальный[[#This Row],[Полученный платеж]]+Y344),
AND(S344=0,Первоначальный[[#This Row],[Дата платежа из графика]]=1),MIN(LOOKUP(,-1/($Z$12:Z345=1),$C$12:C345)+LOOKUP(,-1/($Z$12:Z345=1),$H$12:H345)-IF(Z344=1,0,SUM(INDIRECT("T"&amp;(MAX((1=Z$12:Z344)*ROW(Z$12:Z344)+1,ROW($T$12))&amp;":T"&amp;(ROW()-1))))),Первоначальный[[#This Row],[Полученный платеж]]+Y344),
AND(Z344&gt;0,Первоначальный[[#This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платеж]]+Y344),
AND(S344&gt;0,MAX((0&lt;&gt;S$12:S344)*ROW(S$12:S344),ROW($S$12))&gt;=MAX((1=Z$12:Z344)*ROW(Z$12:Z344),ROW($T$12)),TYPE(VLOOKUP("Да",(INDIRECT("AA"&amp;(MAX((1=Z$12:Z344)*ROW(Z$12:Z344),ROW($T$12))&amp;":AA"&amp;(ROW()-1)))),1,0))=16),MIN(LOOKUP(,-1/($Z$12:Z345=1),$C$12:C345)+LOOKUP(,-1/($Z$12:Z345=1),$H$12:H345)-SUM(INDIRECT("T"&amp;(MAX((1=Z$12:Z344)*ROW(Z$12:Z344),ROW($T$12))&amp;":T"&amp;(ROW()-1)))),Первоначальный[[#This Row],[Полученный платеж]]+Y344),
S344&gt;0,MIN(LOOKUP(,-1/($Z$12:Z345=1),$C$12:C345)+LOOKUP(,-1/($Z$12:Z345=1),$H$12:H345)-IF(Z344=1,0,SUM(INDIRECT("T"&amp;(MAX((1=Z$12:Z344)*ROW(Z$12:Z344)+1,ROW($T$12))&amp;":T"&amp;(ROW()-1))))),Первоначальный[[#This Row],[Полученный платеж]]+Y344)
)
)
)</f>
        <v>0</v>
      </c>
      <c r="U34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платеж]]+Y344-Первоначальный[[#This Row],[Полученный платёж по процентам]])</f>
        <v>0</v>
      </c>
      <c r="V345" s="55">
        <f t="shared" ca="1" si="61"/>
        <v>0</v>
      </c>
      <c r="W345" s="55" cm="1">
        <f t="array" aca="1" ref="W345" ca="1">IF(Первоначальный[[#This Row],[Итого остаток на начало периода]]&lt;1,0,
_xlfn.IFS(
AND(TYPE(VLOOKUP(1,$Z$12:Z345,1,0))=16,Первоначальный[[#This Row],[Досрочное погашение (да/"")]]=""),0,
AND(S344=0,Первоначальный[[#This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платеж]]+Y344-SUM(Первоначальный[[#This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комиссиям]]),VLOOKUP(LOOKUP(,-1/($Z$12:Z345=1),$A$12:A345),График[[Срок конец]:[Возврат основной суммы долга]],3,0)),
AND(S344=0,Первоначальный[[#This Row],[Дата платежа из графика]]="",Первоначальный[[#This Row],[Досрочное погашение (да/"")]]&lt;&gt;"Да"),0,
AND(S344=0,Первоначальный[[#This Row],[Досрочное погашение (да/"")]]=""),MIN(Первоначальный[[#This Row],[Полученный платеж]]+Y344-SUM(Первоначальный[[#This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комиссиям]]),VLOOKUP(LOOKUP(,-1/($Z$12:Z345=1),$A$12:A345),График[[Срок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платеж]]+Y344-SUM(Первоначальный[[#This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S344&gt;0,MIN(Первоначальный[[#This Row],[Полученный платеж]]+Y344-SUM(Первоначальный[[#This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комиссиям]]),SUM(INDIRECT("M"&amp;(MAX((1=S$12:S344)*ROW(S$12:S344),ROW($W$12))&amp;":M"&amp;(ROW()))))-SUM(INDIRECT("W"&amp;(MAX((1=S$12:S344)*ROW(S$12:S344),ROW($W$12))&amp;":W"&amp;(ROW()-1)))))
)
)</f>
        <v>0</v>
      </c>
      <c r="X345" s="55">
        <f t="shared" ca="1" si="62"/>
        <v>0</v>
      </c>
      <c r="Y345" s="101">
        <f t="shared" ca="1" si="69"/>
        <v>0</v>
      </c>
      <c r="Z345" s="133" t="str">
        <f>IF(TYPE((VLOOKUP(Первоначальный[[#This Row],[Дата платежа]],График[Срок конец],1,0)))=16,"",1)</f>
        <v/>
      </c>
      <c r="AA345" s="57"/>
      <c r="AB345" s="134"/>
      <c r="AC34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4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21829.649999999969</v>
      </c>
      <c r="AE34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265.71000000000026</v>
      </c>
      <c r="AF34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4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15743.654290163928</v>
      </c>
      <c r="AH345" s="55"/>
      <c r="AI345" s="55"/>
      <c r="AJ345" s="55"/>
      <c r="AK345" s="101">
        <f t="shared" ca="1" si="70"/>
        <v>187472.35429016387</v>
      </c>
      <c r="AL345" s="129">
        <f t="array" ref="AL345">MAX((УслРестрактов[Характеристика]="Дата реструктуризации")*(УслРестрактов[Значение]=Первоначальный!$A345),0)</f>
        <v>0</v>
      </c>
    </row>
    <row r="346" spans="1:38" x14ac:dyDescent="0.25">
      <c r="A346" s="97">
        <f t="shared" si="63"/>
        <v>44477</v>
      </c>
      <c r="B346" s="100">
        <f t="shared" ca="1" si="64"/>
        <v>149633.34</v>
      </c>
      <c r="C346" s="55">
        <f t="shared" ca="1" si="60"/>
        <v>21829.649999999969</v>
      </c>
      <c r="D346" s="55">
        <f t="shared" ca="1" si="60"/>
        <v>265.71000000000026</v>
      </c>
      <c r="E346" s="55">
        <f t="shared" ca="1" si="65"/>
        <v>0</v>
      </c>
      <c r="F346" s="55">
        <f t="shared" ca="1" si="66"/>
        <v>15743.654290163928</v>
      </c>
      <c r="G346" s="101">
        <f t="shared" ca="1" si="67"/>
        <v>187472.35429016387</v>
      </c>
      <c r="H346" s="100">
        <f ca="1">ROUND($B346*VLOOKUP($A346,$A$1:$B$10,2,1)/(365+IF(MOD(YEAR($A346),4),0,1)*($A346-$A345)),2)-Первоначальный[[#This Row],[Проценты на просроченный платеж по ОД за период]]</f>
        <v>79.64</v>
      </c>
      <c r="I346" s="55">
        <f t="shared" ca="1" si="68"/>
        <v>1.94</v>
      </c>
      <c r="J346" s="55">
        <v>0</v>
      </c>
      <c r="K346" s="55">
        <f t="shared" ca="1" si="71"/>
        <v>115.81350327868853</v>
      </c>
      <c r="L346" s="55">
        <v>0</v>
      </c>
      <c r="M346" s="113">
        <f>SUMIFS(График[Возврат основной суммы долга],График[Дата с учетом нерабочих дней],$A346)</f>
        <v>0</v>
      </c>
      <c r="N346" s="56">
        <f>SUMIFS(График[Возврат начисленных %],График[Дата с учетом нерабочих дней],$A346)</f>
        <v>0</v>
      </c>
      <c r="O346" s="101">
        <v>0</v>
      </c>
      <c r="P346" s="100" cm="1">
        <f t="array" aca="1" ref="P346" ca="1">MAX(IF(AA345="Да",0,SUM(INDIRECT("M"&amp;(MAX(("Да"=AA$12:AA345)*ROW(AA$12:AA345)+1,ROW($P$12))&amp;":M"&amp;(ROW()))))-SUM(INDIRECT("W"&amp;(MAX(("Да"=AA$12:AA345)*ROW(AA$12:AA345)+1,ROW($P$12))&amp;":W"&amp;(ROW()))))),0)</f>
        <v>3563.6499999999992</v>
      </c>
      <c r="Q346" s="99">
        <f ca="1">MAX(SUM($N$13:N346)-SUM($T$13:T346),0)</f>
        <v>19599.050655737708</v>
      </c>
      <c r="R346" s="99">
        <f ca="1">Первоначальный[[#This Row],[Просроченный платеж по ОД]]+Первоначальный[[#This Row],[Просроченный платеж по процентам]]</f>
        <v>23162.700655737706</v>
      </c>
      <c r="S346" s="120">
        <f ca="1">IF(Первоначальный[[#This Row],[Просроченный платеж]]&lt;1,0,S345+1)</f>
        <v>242</v>
      </c>
      <c r="T346" s="100" cm="1">
        <f t="array" aca="1" ref="T346" ca="1">IF(Первоначальный[[#This Row],[Итого остаток на начало периода]]&lt;1,0,
IF(
AND(TYPE(VLOOKUP(1,$Z$12:Z346,1,0))=16,Первоначальный[[#This Row],[Досрочное погашение (да/"")]]=""),0,
_xlfn.IFS(AND(S345=0,Первоначальный[[#This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платеж]]&lt;&gt;0),MIN(LOOKUP(,-1/($Z$12:Z346=1),$C$12:C346)+LOOKUP(,-1/($Z$12:Z346=1),$H$12:H346),Первоначальный[[#This Row],[Полученный платеж]]+Y345),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платеж]]+Y345,SUM(Первоначальный[[#This Row],[Остаток процентов на начало периода]],Первоначальный[[#This Row],[Проценты за период]])),
AND(S345=0,Первоначальный[[#This Row],[Дата платежа из графика]]=""),0,
AND(S345=0,Первоначальный[[#This Row],[Дата платежа из графика]]=1,MAX((0&lt;&gt;S$12:S345)*ROW(S$12:S345),ROW($S$12))&gt;=MAX((1=Z$12:Z345)*ROW(Z$12:Z345),ROW($T$12)),TYPE(VLOOKUP("Да",(INDIRECT("AA"&amp;(MAX((1=Z$12:Z345)*ROW(Z$12:Z345),ROW($T$12))&amp;":AA"&amp;(ROW()-1)))),1,0))=16),MIN(LOOKUP(,-1/($Z$12:Z346=1),$C$12:C346)+LOOKUP(,-1/($Z$12:Z346=1),$H$12:H346),Первоначальный[[#This Row],[Полученный платеж]]+Y345),
AND(S345=0,TYPE(VLOOKUP("Да",(INDIRECT("AA"&amp;(MAX((1=Z$12:Z345)*ROW(Z$12:Z345),ROW($T$12))&amp;":AA"&amp;(ROW()-1)))),1,0))&lt;&gt;16),MIN(LOOKUP(,-1/($Z$12:Z346=1),$C$12:C346)+LOOKUP(,-1/($Z$12:Z346=1),$H$12:H346)-IF(AA345="Да",0,SUM(INDIRECT("T"&amp;(MAX(("Да"=AA$12:AA345)*ROW(AA$12:AA345)+1,ROW($T$12))&amp;":T"&amp;(ROW()-1))))),Первоначальный[[#This Row],[Полученный платеж]]+Y345),
AND(S345=0,MAX((0&lt;&gt;N$12:N345)*ROW(N$12:N345),ROW($S$12))&gt;=MAX((1=Z$12:Z345)*ROW(Z$12:Z345),ROW($T$12))),MIN(LOOKUP(,-1/($Z$12:Z346=1),$C$12:C346)+LOOKUP(,-1/($Z$12:Z346=1),$H$12:H346)-IF(N345&lt;&gt;0,0,SUM(INDIRECT("T"&amp;(MAX((0&lt;&gt;N$12:N345)*ROW(N$12:N345)+1,ROW($T$12))&amp;":T"&amp;(ROW()-1))))),Первоначальный[[#This Row],[Полученный платеж]]+Y345),
AND(S345=0,Первоначальный[[#This Row],[Дата платежа из графика]]=1),MIN(LOOKUP(,-1/($Z$12:Z346=1),$C$12:C346)+LOOKUP(,-1/($Z$12:Z346=1),$H$12:H346)-IF(Z345=1,0,SUM(INDIRECT("T"&amp;(MAX((1=Z$12:Z345)*ROW(Z$12:Z345)+1,ROW($T$12))&amp;":T"&amp;(ROW()-1))))),Первоначальный[[#This Row],[Полученный платеж]]+Y345),
AND(Z345&gt;0,Первоначальный[[#This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платеж]]+Y345),
AND(S345&gt;0,MAX((0&lt;&gt;S$12:S345)*ROW(S$12:S345),ROW($S$12))&gt;=MAX((1=Z$12:Z345)*ROW(Z$12:Z345),ROW($T$12)),TYPE(VLOOKUP("Да",(INDIRECT("AA"&amp;(MAX((1=Z$12:Z345)*ROW(Z$12:Z345),ROW($T$12))&amp;":AA"&amp;(ROW()-1)))),1,0))=16),MIN(LOOKUP(,-1/($Z$12:Z346=1),$C$12:C346)+LOOKUP(,-1/($Z$12:Z346=1),$H$12:H346)-SUM(INDIRECT("T"&amp;(MAX((1=Z$12:Z345)*ROW(Z$12:Z345),ROW($T$12))&amp;":T"&amp;(ROW()-1)))),Первоначальный[[#This Row],[Полученный платеж]]+Y345),
S345&gt;0,MIN(LOOKUP(,-1/($Z$12:Z346=1),$C$12:C346)+LOOKUP(,-1/($Z$12:Z346=1),$H$12:H346)-IF(Z345=1,0,SUM(INDIRECT("T"&amp;(MAX((1=Z$12:Z345)*ROW(Z$12:Z345)+1,ROW($T$12))&amp;":T"&amp;(ROW()-1))))),Первоначальный[[#This Row],[Полученный платеж]]+Y345)
)
)
)</f>
        <v>0</v>
      </c>
      <c r="U34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платеж]]+Y345-Первоначальный[[#This Row],[Полученный платёж по процентам]])</f>
        <v>0</v>
      </c>
      <c r="V346" s="55">
        <f t="shared" ca="1" si="61"/>
        <v>0</v>
      </c>
      <c r="W346" s="55" cm="1">
        <f t="array" aca="1" ref="W346" ca="1">IF(Первоначальный[[#This Row],[Итого остаток на начало периода]]&lt;1,0,
_xlfn.IFS(
AND(TYPE(VLOOKUP(1,$Z$12:Z346,1,0))=16,Первоначальный[[#This Row],[Досрочное погашение (да/"")]]=""),0,
AND(S345=0,Первоначальный[[#This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платеж]]+Y345-SUM(Первоначальный[[#This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комиссиям]]),VLOOKUP(LOOKUP(,-1/($Z$12:Z346=1),$A$12:A346),График[[Срок конец]:[Возврат основной суммы долга]],3,0)),
AND(S345=0,Первоначальный[[#This Row],[Дата платежа из графика]]="",Первоначальный[[#This Row],[Досрочное погашение (да/"")]]&lt;&gt;"Да"),0,
AND(S345=0,Первоначальный[[#This Row],[Досрочное погашение (да/"")]]=""),MIN(Первоначальный[[#This Row],[Полученный платеж]]+Y345-SUM(Первоначальный[[#This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комиссиям]]),VLOOKUP(LOOKUP(,-1/($Z$12:Z346=1),$A$12:A346),График[[Срок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платеж]]+Y345-SUM(Первоначальный[[#This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S345&gt;0,MIN(Первоначальный[[#This Row],[Полученный платеж]]+Y345-SUM(Первоначальный[[#This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комиссиям]]),SUM(INDIRECT("M"&amp;(MAX((1=S$12:S345)*ROW(S$12:S345),ROW($W$12))&amp;":M"&amp;(ROW()))))-SUM(INDIRECT("W"&amp;(MAX((1=S$12:S345)*ROW(S$12:S345),ROW($W$12))&amp;":W"&amp;(ROW()-1)))))
)
)</f>
        <v>0</v>
      </c>
      <c r="X346" s="55">
        <f t="shared" ca="1" si="62"/>
        <v>0</v>
      </c>
      <c r="Y346" s="101">
        <f t="shared" ca="1" si="69"/>
        <v>0</v>
      </c>
      <c r="Z346" s="133" t="str">
        <f>IF(TYPE((VLOOKUP(Первоначальный[[#This Row],[Дата платежа]],График[Срок конец],1,0)))=16,"",1)</f>
        <v/>
      </c>
      <c r="AA346" s="57"/>
      <c r="AB346" s="134"/>
      <c r="AC34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4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21909.289999999968</v>
      </c>
      <c r="AE34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267.65000000000026</v>
      </c>
      <c r="AF34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4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15859.467793442616</v>
      </c>
      <c r="AH346" s="55"/>
      <c r="AI346" s="55"/>
      <c r="AJ346" s="55"/>
      <c r="AK346" s="101">
        <f t="shared" ca="1" si="70"/>
        <v>187669.7477934426</v>
      </c>
      <c r="AL346" s="129">
        <f t="array" ref="AL346">MAX((УслРестрактов[Характеристика]="Дата реструктуризации")*(УслРестрактов[Значение]=Первоначальный!$A346),0)</f>
        <v>0</v>
      </c>
    </row>
    <row r="347" spans="1:38" x14ac:dyDescent="0.25">
      <c r="A347" s="97">
        <f t="shared" si="63"/>
        <v>44478</v>
      </c>
      <c r="B347" s="100">
        <f t="shared" ca="1" si="64"/>
        <v>149633.34</v>
      </c>
      <c r="C347" s="55">
        <f t="shared" ca="1" si="60"/>
        <v>21909.289999999968</v>
      </c>
      <c r="D347" s="55">
        <f t="shared" ca="1" si="60"/>
        <v>267.65000000000026</v>
      </c>
      <c r="E347" s="55">
        <f t="shared" ca="1" si="65"/>
        <v>0</v>
      </c>
      <c r="F347" s="55">
        <f t="shared" ca="1" si="66"/>
        <v>15859.467793442616</v>
      </c>
      <c r="G347" s="101">
        <f t="shared" ca="1" si="67"/>
        <v>187669.7477934426</v>
      </c>
      <c r="H347" s="100">
        <f ca="1">ROUND($B347*VLOOKUP($A347,$A$1:$B$10,2,1)/(365+IF(MOD(YEAR($A347),4),0,1)*($A347-$A346)),2)-Первоначальный[[#This Row],[Проценты на просроченный платеж по ОД за период]]</f>
        <v>79.64</v>
      </c>
      <c r="I347" s="55">
        <f t="shared" ca="1" si="68"/>
        <v>1.94</v>
      </c>
      <c r="J347" s="55">
        <v>0</v>
      </c>
      <c r="K347" s="55">
        <f t="shared" ca="1" si="71"/>
        <v>115.81350327868853</v>
      </c>
      <c r="L347" s="55">
        <v>0</v>
      </c>
      <c r="M347" s="113">
        <f>SUMIFS(График[Возврат основной суммы долга],График[Дата с учетом нерабочих дней],$A347)</f>
        <v>0</v>
      </c>
      <c r="N347" s="56">
        <f>SUMIFS(График[Возврат начисленных %],График[Дата с учетом нерабочих дней],$A347)</f>
        <v>0</v>
      </c>
      <c r="O347" s="101">
        <v>0</v>
      </c>
      <c r="P347" s="100" cm="1">
        <f t="array" aca="1" ref="P347" ca="1">MAX(IF(AA346="Да",0,SUM(INDIRECT("M"&amp;(MAX(("Да"=AA$12:AA346)*ROW(AA$12:AA346)+1,ROW($P$12))&amp;":M"&amp;(ROW()))))-SUM(INDIRECT("W"&amp;(MAX(("Да"=AA$12:AA346)*ROW(AA$12:AA346)+1,ROW($P$12))&amp;":W"&amp;(ROW()))))),0)</f>
        <v>3563.6499999999992</v>
      </c>
      <c r="Q347" s="99">
        <f ca="1">MAX(SUM($N$13:N347)-SUM($T$13:T347),0)</f>
        <v>19599.050655737708</v>
      </c>
      <c r="R347" s="99">
        <f ca="1">Первоначальный[[#This Row],[Просроченный платеж по ОД]]+Первоначальный[[#This Row],[Просроченный платеж по процентам]]</f>
        <v>23162.700655737706</v>
      </c>
      <c r="S347" s="120">
        <f ca="1">IF(Первоначальный[[#This Row],[Просроченный платеж]]&lt;1,0,S346+1)</f>
        <v>243</v>
      </c>
      <c r="T347" s="100" cm="1">
        <f t="array" aca="1" ref="T347" ca="1">IF(Первоначальный[[#This Row],[Итого остаток на начало периода]]&lt;1,0,
IF(
AND(TYPE(VLOOKUP(1,$Z$12:Z347,1,0))=16,Первоначальный[[#This Row],[Досрочное погашение (да/"")]]=""),0,
_xlfn.IFS(AND(S346=0,Первоначальный[[#This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платеж]]&lt;&gt;0),MIN(LOOKUP(,-1/($Z$12:Z347=1),$C$12:C347)+LOOKUP(,-1/($Z$12:Z347=1),$H$12:H347),Первоначальный[[#This Row],[Полученный платеж]]+Y346),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платеж]]+Y346,SUM(Первоначальный[[#This Row],[Остаток процентов на начало периода]],Первоначальный[[#This Row],[Проценты за период]])),
AND(S346=0,Первоначальный[[#This Row],[Дата платежа из графика]]=""),0,
AND(S346=0,Первоначальный[[#This Row],[Дата платежа из графика]]=1,MAX((0&lt;&gt;S$12:S346)*ROW(S$12:S346),ROW($S$12))&gt;=MAX((1=Z$12:Z346)*ROW(Z$12:Z346),ROW($T$12)),TYPE(VLOOKUP("Да",(INDIRECT("AA"&amp;(MAX((1=Z$12:Z346)*ROW(Z$12:Z346),ROW($T$12))&amp;":AA"&amp;(ROW()-1)))),1,0))=16),MIN(LOOKUP(,-1/($Z$12:Z347=1),$C$12:C347)+LOOKUP(,-1/($Z$12:Z347=1),$H$12:H347),Первоначальный[[#This Row],[Полученный платеж]]+Y346),
AND(S346=0,TYPE(VLOOKUP("Да",(INDIRECT("AA"&amp;(MAX((1=Z$12:Z346)*ROW(Z$12:Z346),ROW($T$12))&amp;":AA"&amp;(ROW()-1)))),1,0))&lt;&gt;16),MIN(LOOKUP(,-1/($Z$12:Z347=1),$C$12:C347)+LOOKUP(,-1/($Z$12:Z347=1),$H$12:H347)-IF(AA346="Да",0,SUM(INDIRECT("T"&amp;(MAX(("Да"=AA$12:AA346)*ROW(AA$12:AA346)+1,ROW($T$12))&amp;":T"&amp;(ROW()-1))))),Первоначальный[[#This Row],[Полученный платеж]]+Y346),
AND(S346=0,MAX((0&lt;&gt;N$12:N346)*ROW(N$12:N346),ROW($S$12))&gt;=MAX((1=Z$12:Z346)*ROW(Z$12:Z346),ROW($T$12))),MIN(LOOKUP(,-1/($Z$12:Z347=1),$C$12:C347)+LOOKUP(,-1/($Z$12:Z347=1),$H$12:H347)-IF(N346&lt;&gt;0,0,SUM(INDIRECT("T"&amp;(MAX((0&lt;&gt;N$12:N346)*ROW(N$12:N346)+1,ROW($T$12))&amp;":T"&amp;(ROW()-1))))),Первоначальный[[#This Row],[Полученный платеж]]+Y346),
AND(S346=0,Первоначальный[[#This Row],[Дата платежа из графика]]=1),MIN(LOOKUP(,-1/($Z$12:Z347=1),$C$12:C347)+LOOKUP(,-1/($Z$12:Z347=1),$H$12:H347)-IF(Z346=1,0,SUM(INDIRECT("T"&amp;(MAX((1=Z$12:Z346)*ROW(Z$12:Z346)+1,ROW($T$12))&amp;":T"&amp;(ROW()-1))))),Первоначальный[[#This Row],[Полученный платеж]]+Y346),
AND(Z346&gt;0,Первоначальный[[#This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платеж]]+Y346),
AND(S346&gt;0,MAX((0&lt;&gt;S$12:S346)*ROW(S$12:S346),ROW($S$12))&gt;=MAX((1=Z$12:Z346)*ROW(Z$12:Z346),ROW($T$12)),TYPE(VLOOKUP("Да",(INDIRECT("AA"&amp;(MAX((1=Z$12:Z346)*ROW(Z$12:Z346),ROW($T$12))&amp;":AA"&amp;(ROW()-1)))),1,0))=16),MIN(LOOKUP(,-1/($Z$12:Z347=1),$C$12:C347)+LOOKUP(,-1/($Z$12:Z347=1),$H$12:H347)-SUM(INDIRECT("T"&amp;(MAX((1=Z$12:Z346)*ROW(Z$12:Z346),ROW($T$12))&amp;":T"&amp;(ROW()-1)))),Первоначальный[[#This Row],[Полученный платеж]]+Y346),
S346&gt;0,MIN(LOOKUP(,-1/($Z$12:Z347=1),$C$12:C347)+LOOKUP(,-1/($Z$12:Z347=1),$H$12:H347)-IF(Z346=1,0,SUM(INDIRECT("T"&amp;(MAX((1=Z$12:Z346)*ROW(Z$12:Z346)+1,ROW($T$12))&amp;":T"&amp;(ROW()-1))))),Первоначальный[[#This Row],[Полученный платеж]]+Y346)
)
)
)</f>
        <v>0</v>
      </c>
      <c r="U34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платеж]]+Y346-Первоначальный[[#This Row],[Полученный платёж по процентам]])</f>
        <v>0</v>
      </c>
      <c r="V347" s="55">
        <f t="shared" ca="1" si="61"/>
        <v>0</v>
      </c>
      <c r="W347" s="55" cm="1">
        <f t="array" aca="1" ref="W347" ca="1">IF(Первоначальный[[#This Row],[Итого остаток на начало периода]]&lt;1,0,
_xlfn.IFS(
AND(TYPE(VLOOKUP(1,$Z$12:Z347,1,0))=16,Первоначальный[[#This Row],[Досрочное погашение (да/"")]]=""),0,
AND(S346=0,Первоначальный[[#This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платеж]]+Y346-SUM(Первоначальный[[#This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комиссиям]]),VLOOKUP(LOOKUP(,-1/($Z$12:Z347=1),$A$12:A347),График[[Срок конец]:[Возврат основной суммы долга]],3,0)),
AND(S346=0,Первоначальный[[#This Row],[Дата платежа из графика]]="",Первоначальный[[#This Row],[Досрочное погашение (да/"")]]&lt;&gt;"Да"),0,
AND(S346=0,Первоначальный[[#This Row],[Досрочное погашение (да/"")]]=""),MIN(Первоначальный[[#This Row],[Полученный платеж]]+Y346-SUM(Первоначальный[[#This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комиссиям]]),VLOOKUP(LOOKUP(,-1/($Z$12:Z347=1),$A$12:A347),График[[Срок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платеж]]+Y346-SUM(Первоначальный[[#This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S346&gt;0,MIN(Первоначальный[[#This Row],[Полученный платеж]]+Y346-SUM(Первоначальный[[#This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комиссиям]]),SUM(INDIRECT("M"&amp;(MAX((1=S$12:S346)*ROW(S$12:S346),ROW($W$12))&amp;":M"&amp;(ROW()))))-SUM(INDIRECT("W"&amp;(MAX((1=S$12:S346)*ROW(S$12:S346),ROW($W$12))&amp;":W"&amp;(ROW()-1)))))
)
)</f>
        <v>0</v>
      </c>
      <c r="X347" s="55">
        <f t="shared" ca="1" si="62"/>
        <v>0</v>
      </c>
      <c r="Y347" s="101">
        <f t="shared" ca="1" si="69"/>
        <v>0</v>
      </c>
      <c r="Z347" s="133">
        <f>IF(TYPE((VLOOKUP(Первоначальный[[#This Row],[Дата платежа]],График[Срок конец],1,0)))=16,"",1)</f>
        <v>1</v>
      </c>
      <c r="AA347" s="57"/>
      <c r="AB347" s="134"/>
      <c r="AC34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4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21988.929999999968</v>
      </c>
      <c r="AE34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269.59000000000026</v>
      </c>
      <c r="AF34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4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15975.281296721305</v>
      </c>
      <c r="AH347" s="55"/>
      <c r="AI347" s="55"/>
      <c r="AJ347" s="55"/>
      <c r="AK347" s="101">
        <f t="shared" ca="1" si="70"/>
        <v>187867.14129672127</v>
      </c>
      <c r="AL347" s="129">
        <f t="array" ref="AL347">MAX((УслРестрактов[Характеристика]="Дата реструктуризации")*(УслРестрактов[Значение]=Первоначальный!$A347),0)</f>
        <v>0</v>
      </c>
    </row>
    <row r="348" spans="1:38" x14ac:dyDescent="0.25">
      <c r="A348" s="97">
        <f t="shared" si="63"/>
        <v>44479</v>
      </c>
      <c r="B348" s="100">
        <f t="shared" ca="1" si="64"/>
        <v>149633.34</v>
      </c>
      <c r="C348" s="55">
        <f t="shared" ca="1" si="60"/>
        <v>21988.929999999968</v>
      </c>
      <c r="D348" s="55">
        <f t="shared" ca="1" si="60"/>
        <v>269.59000000000026</v>
      </c>
      <c r="E348" s="55">
        <f t="shared" ca="1" si="65"/>
        <v>0</v>
      </c>
      <c r="F348" s="55">
        <f t="shared" ca="1" si="66"/>
        <v>15975.281296721305</v>
      </c>
      <c r="G348" s="101">
        <f t="shared" ca="1" si="67"/>
        <v>187867.14129672127</v>
      </c>
      <c r="H348" s="100">
        <f ca="1">ROUND($B348*VLOOKUP($A348,$A$1:$B$10,2,1)/(365+IF(MOD(YEAR($A348),4),0,1)*($A348-$A347)),2)-Первоначальный[[#This Row],[Проценты на просроченный платеж по ОД за период]]</f>
        <v>79.64</v>
      </c>
      <c r="I348" s="55">
        <f t="shared" ca="1" si="68"/>
        <v>1.94</v>
      </c>
      <c r="J348" s="55">
        <v>0</v>
      </c>
      <c r="K348" s="55">
        <f t="shared" ca="1" si="71"/>
        <v>115.81350327868853</v>
      </c>
      <c r="L348" s="55">
        <v>0</v>
      </c>
      <c r="M348" s="113">
        <f>SUMIFS(График[Возврат основной суммы долга],График[Дата с учетом нерабочих дней],$A348)</f>
        <v>0</v>
      </c>
      <c r="N348" s="56">
        <f>SUMIFS(График[Возврат начисленных %],График[Дата с учетом нерабочих дней],$A348)</f>
        <v>0</v>
      </c>
      <c r="O348" s="101">
        <v>0</v>
      </c>
      <c r="P348" s="100" cm="1">
        <f t="array" aca="1" ref="P348" ca="1">MAX(IF(AA347="Да",0,SUM(INDIRECT("M"&amp;(MAX(("Да"=AA$12:AA347)*ROW(AA$12:AA347)+1,ROW($P$12))&amp;":M"&amp;(ROW()))))-SUM(INDIRECT("W"&amp;(MAX(("Да"=AA$12:AA347)*ROW(AA$12:AA347)+1,ROW($P$12))&amp;":W"&amp;(ROW()))))),0)</f>
        <v>3563.6499999999992</v>
      </c>
      <c r="Q348" s="99">
        <f ca="1">MAX(SUM($N$13:N348)-SUM($T$13:T348),0)</f>
        <v>19599.050655737708</v>
      </c>
      <c r="R348" s="99">
        <f ca="1">Первоначальный[[#This Row],[Просроченный платеж по ОД]]+Первоначальный[[#This Row],[Просроченный платеж по процентам]]</f>
        <v>23162.700655737706</v>
      </c>
      <c r="S348" s="120">
        <f ca="1">IF(Первоначальный[[#This Row],[Просроченный платеж]]&lt;1,0,S347+1)</f>
        <v>244</v>
      </c>
      <c r="T348" s="100" cm="1">
        <f t="array" aca="1" ref="T348" ca="1">IF(Первоначальный[[#This Row],[Итого остаток на начало периода]]&lt;1,0,
IF(
AND(TYPE(VLOOKUP(1,$Z$12:Z348,1,0))=16,Первоначальный[[#This Row],[Досрочное погашение (да/"")]]=""),0,
_xlfn.IFS(AND(S347=0,Первоначальный[[#This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платеж]]&lt;&gt;0),MIN(LOOKUP(,-1/($Z$12:Z348=1),$C$12:C348)+LOOKUP(,-1/($Z$12:Z348=1),$H$12:H348),Первоначальный[[#This Row],[Полученный платеж]]+Y347),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платеж]]+Y347,SUM(Первоначальный[[#This Row],[Остаток процентов на начало периода]],Первоначальный[[#This Row],[Проценты за период]])),
AND(S347=0,Первоначальный[[#This Row],[Дата платежа из графика]]=""),0,
AND(S347=0,Первоначальный[[#This Row],[Дата платежа из графика]]=1,MAX((0&lt;&gt;S$12:S347)*ROW(S$12:S347),ROW($S$12))&gt;=MAX((1=Z$12:Z347)*ROW(Z$12:Z347),ROW($T$12)),TYPE(VLOOKUP("Да",(INDIRECT("AA"&amp;(MAX((1=Z$12:Z347)*ROW(Z$12:Z347),ROW($T$12))&amp;":AA"&amp;(ROW()-1)))),1,0))=16),MIN(LOOKUP(,-1/($Z$12:Z348=1),$C$12:C348)+LOOKUP(,-1/($Z$12:Z348=1),$H$12:H348),Первоначальный[[#This Row],[Полученный платеж]]+Y347),
AND(S347=0,TYPE(VLOOKUP("Да",(INDIRECT("AA"&amp;(MAX((1=Z$12:Z347)*ROW(Z$12:Z347),ROW($T$12))&amp;":AA"&amp;(ROW()-1)))),1,0))&lt;&gt;16),MIN(LOOKUP(,-1/($Z$12:Z348=1),$C$12:C348)+LOOKUP(,-1/($Z$12:Z348=1),$H$12:H348)-IF(AA347="Да",0,SUM(INDIRECT("T"&amp;(MAX(("Да"=AA$12:AA347)*ROW(AA$12:AA347)+1,ROW($T$12))&amp;":T"&amp;(ROW()-1))))),Первоначальный[[#This Row],[Полученный платеж]]+Y347),
AND(S347=0,MAX((0&lt;&gt;N$12:N347)*ROW(N$12:N347),ROW($S$12))&gt;=MAX((1=Z$12:Z347)*ROW(Z$12:Z347),ROW($T$12))),MIN(LOOKUP(,-1/($Z$12:Z348=1),$C$12:C348)+LOOKUP(,-1/($Z$12:Z348=1),$H$12:H348)-IF(N347&lt;&gt;0,0,SUM(INDIRECT("T"&amp;(MAX((0&lt;&gt;N$12:N347)*ROW(N$12:N347)+1,ROW($T$12))&amp;":T"&amp;(ROW()-1))))),Первоначальный[[#This Row],[Полученный платеж]]+Y347),
AND(S347=0,Первоначальный[[#This Row],[Дата платежа из графика]]=1),MIN(LOOKUP(,-1/($Z$12:Z348=1),$C$12:C348)+LOOKUP(,-1/($Z$12:Z348=1),$H$12:H348)-IF(Z347=1,0,SUM(INDIRECT("T"&amp;(MAX((1=Z$12:Z347)*ROW(Z$12:Z347)+1,ROW($T$12))&amp;":T"&amp;(ROW()-1))))),Первоначальный[[#This Row],[Полученный платеж]]+Y347),
AND(Z347&gt;0,Первоначальный[[#This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платеж]]+Y347),
AND(S347&gt;0,MAX((0&lt;&gt;S$12:S347)*ROW(S$12:S347),ROW($S$12))&gt;=MAX((1=Z$12:Z347)*ROW(Z$12:Z347),ROW($T$12)),TYPE(VLOOKUP("Да",(INDIRECT("AA"&amp;(MAX((1=Z$12:Z347)*ROW(Z$12:Z347),ROW($T$12))&amp;":AA"&amp;(ROW()-1)))),1,0))=16),MIN(LOOKUP(,-1/($Z$12:Z348=1),$C$12:C348)+LOOKUP(,-1/($Z$12:Z348=1),$H$12:H348)-SUM(INDIRECT("T"&amp;(MAX((1=Z$12:Z347)*ROW(Z$12:Z347),ROW($T$12))&amp;":T"&amp;(ROW()-1)))),Первоначальный[[#This Row],[Полученный платеж]]+Y347),
S347&gt;0,MIN(LOOKUP(,-1/($Z$12:Z348=1),$C$12:C348)+LOOKUP(,-1/($Z$12:Z348=1),$H$12:H348)-IF(Z347=1,0,SUM(INDIRECT("T"&amp;(MAX((1=Z$12:Z347)*ROW(Z$12:Z347)+1,ROW($T$12))&amp;":T"&amp;(ROW()-1))))),Первоначальный[[#This Row],[Полученный платеж]]+Y347)
)
)
)</f>
        <v>0</v>
      </c>
      <c r="U34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платеж]]+Y347-Первоначальный[[#This Row],[Полученный платёж по процентам]])</f>
        <v>0</v>
      </c>
      <c r="V348" s="55">
        <f t="shared" ca="1" si="61"/>
        <v>0</v>
      </c>
      <c r="W348" s="55" cm="1">
        <f t="array" aca="1" ref="W348" ca="1">IF(Первоначальный[[#This Row],[Итого остаток на начало периода]]&lt;1,0,
_xlfn.IFS(
AND(TYPE(VLOOKUP(1,$Z$12:Z348,1,0))=16,Первоначальный[[#This Row],[Досрочное погашение (да/"")]]=""),0,
AND(S347=0,Первоначальный[[#This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платеж]]+Y347-SUM(Первоначальный[[#This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комиссиям]]),VLOOKUP(LOOKUP(,-1/($Z$12:Z348=1),$A$12:A348),График[[Срок конец]:[Возврат основной суммы долга]],3,0)),
AND(S347=0,Первоначальный[[#This Row],[Дата платежа из графика]]="",Первоначальный[[#This Row],[Досрочное погашение (да/"")]]&lt;&gt;"Да"),0,
AND(S347=0,Первоначальный[[#This Row],[Досрочное погашение (да/"")]]=""),MIN(Первоначальный[[#This Row],[Полученный платеж]]+Y347-SUM(Первоначальный[[#This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комиссиям]]),VLOOKUP(LOOKUP(,-1/($Z$12:Z348=1),$A$12:A348),График[[Срок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платеж]]+Y347-SUM(Первоначальный[[#This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S347&gt;0,MIN(Первоначальный[[#This Row],[Полученный платеж]]+Y347-SUM(Первоначальный[[#This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комиссиям]]),SUM(INDIRECT("M"&amp;(MAX((1=S$12:S347)*ROW(S$12:S347),ROW($W$12))&amp;":M"&amp;(ROW()))))-SUM(INDIRECT("W"&amp;(MAX((1=S$12:S347)*ROW(S$12:S347),ROW($W$12))&amp;":W"&amp;(ROW()-1)))))
)
)</f>
        <v>0</v>
      </c>
      <c r="X348" s="55">
        <f t="shared" ca="1" si="62"/>
        <v>0</v>
      </c>
      <c r="Y348" s="101">
        <f t="shared" ca="1" si="69"/>
        <v>0</v>
      </c>
      <c r="Z348" s="133" t="str">
        <f>IF(TYPE((VLOOKUP(Первоначальный[[#This Row],[Дата платежа]],График[Срок конец],1,0)))=16,"",1)</f>
        <v/>
      </c>
      <c r="AA348" s="57"/>
      <c r="AB348" s="134"/>
      <c r="AC34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4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22068.569999999967</v>
      </c>
      <c r="AE34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271.53000000000026</v>
      </c>
      <c r="AF34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4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16091.094799999993</v>
      </c>
      <c r="AH348" s="55"/>
      <c r="AI348" s="55"/>
      <c r="AJ348" s="55"/>
      <c r="AK348" s="101">
        <f t="shared" ca="1" si="70"/>
        <v>188064.53479999996</v>
      </c>
      <c r="AL348" s="129">
        <f t="array" ref="AL348">MAX((УслРестрактов[Характеристика]="Дата реструктуризации")*(УслРестрактов[Значение]=Первоначальный!$A348),0)</f>
        <v>0</v>
      </c>
    </row>
    <row r="349" spans="1:38" x14ac:dyDescent="0.25">
      <c r="A349" s="97">
        <f t="shared" si="63"/>
        <v>44480</v>
      </c>
      <c r="B349" s="100">
        <f t="shared" ca="1" si="64"/>
        <v>149633.34</v>
      </c>
      <c r="C349" s="55">
        <f t="shared" ref="C349:D412" ca="1" si="72">AD348+AI348</f>
        <v>22068.569999999967</v>
      </c>
      <c r="D349" s="55">
        <f t="shared" ca="1" si="72"/>
        <v>271.53000000000026</v>
      </c>
      <c r="E349" s="55">
        <f t="shared" ca="1" si="65"/>
        <v>0</v>
      </c>
      <c r="F349" s="55">
        <f t="shared" ca="1" si="66"/>
        <v>16091.094799999993</v>
      </c>
      <c r="G349" s="101">
        <f t="shared" ca="1" si="67"/>
        <v>188064.53479999996</v>
      </c>
      <c r="H349" s="100">
        <f ca="1">ROUND($B349*VLOOKUP($A349,$A$1:$B$10,2,1)/(365+IF(MOD(YEAR($A349),4),0,1)*($A349-$A348)),2)-Первоначальный[[#This Row],[Проценты на просроченный платеж по ОД за период]]</f>
        <v>79.64</v>
      </c>
      <c r="I349" s="55">
        <f t="shared" ca="1" si="68"/>
        <v>1.94</v>
      </c>
      <c r="J349" s="55">
        <v>0</v>
      </c>
      <c r="K349" s="55">
        <f t="shared" ca="1" si="71"/>
        <v>130.29850327868854</v>
      </c>
      <c r="L349" s="55">
        <v>0</v>
      </c>
      <c r="M349" s="113">
        <f>SUMIFS(График[Возврат основной суммы долга],График[Дата с учетом нерабочих дней],$A349)</f>
        <v>507.86000000000013</v>
      </c>
      <c r="N349" s="56">
        <f>SUMIFS(График[Возврат начисленных %],График[Дата с учетом нерабочих дней],$A349)</f>
        <v>2389.14</v>
      </c>
      <c r="O349" s="101">
        <v>0</v>
      </c>
      <c r="P349" s="100" cm="1">
        <f t="array" aca="1" ref="P349" ca="1">MAX(IF(AA348="Да",0,SUM(INDIRECT("M"&amp;(MAX(("Да"=AA$12:AA348)*ROW(AA$12:AA348)+1,ROW($P$12))&amp;":M"&amp;(ROW()))))-SUM(INDIRECT("W"&amp;(MAX(("Да"=AA$12:AA348)*ROW(AA$12:AA348)+1,ROW($P$12))&amp;":W"&amp;(ROW()))))),0)</f>
        <v>4071.5099999999998</v>
      </c>
      <c r="Q349" s="99">
        <f ca="1">MAX(SUM($N$13:N349)-SUM($T$13:T349),0)</f>
        <v>21988.190655737708</v>
      </c>
      <c r="R349" s="99">
        <f ca="1">Первоначальный[[#This Row],[Просроченный платеж по ОД]]+Первоначальный[[#This Row],[Просроченный платеж по процентам]]</f>
        <v>26059.700655737706</v>
      </c>
      <c r="S349" s="120">
        <f ca="1">IF(Первоначальный[[#This Row],[Просроченный платеж]]&lt;1,0,S348+1)</f>
        <v>245</v>
      </c>
      <c r="T349" s="100" cm="1">
        <f t="array" aca="1" ref="T349" ca="1">IF(Первоначальный[[#This Row],[Итого остаток на начало периода]]&lt;1,0,
IF(
AND(TYPE(VLOOKUP(1,$Z$12:Z349,1,0))=16,Первоначальный[[#This Row],[Досрочное погашение (да/"")]]=""),0,
_xlfn.IFS(AND(S348=0,Первоначальный[[#This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платеж]]&lt;&gt;0),MIN(LOOKUP(,-1/($Z$12:Z349=1),$C$12:C349)+LOOKUP(,-1/($Z$12:Z349=1),$H$12:H349),Первоначальный[[#This Row],[Полученный платеж]]+Y348),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платеж]]+Y348,SUM(Первоначальный[[#This Row],[Остаток процентов на начало периода]],Первоначальный[[#This Row],[Проценты за период]])),
AND(S348=0,Первоначальный[[#This Row],[Дата платежа из графика]]=""),0,
AND(S348=0,Первоначальный[[#This Row],[Дата платежа из графика]]=1,MAX((0&lt;&gt;S$12:S348)*ROW(S$12:S348),ROW($S$12))&gt;=MAX((1=Z$12:Z348)*ROW(Z$12:Z348),ROW($T$12)),TYPE(VLOOKUP("Да",(INDIRECT("AA"&amp;(MAX((1=Z$12:Z348)*ROW(Z$12:Z348),ROW($T$12))&amp;":AA"&amp;(ROW()-1)))),1,0))=16),MIN(LOOKUP(,-1/($Z$12:Z349=1),$C$12:C349)+LOOKUP(,-1/($Z$12:Z349=1),$H$12:H349),Первоначальный[[#This Row],[Полученный платеж]]+Y348),
AND(S348=0,TYPE(VLOOKUP("Да",(INDIRECT("AA"&amp;(MAX((1=Z$12:Z348)*ROW(Z$12:Z348),ROW($T$12))&amp;":AA"&amp;(ROW()-1)))),1,0))&lt;&gt;16),MIN(LOOKUP(,-1/($Z$12:Z349=1),$C$12:C349)+LOOKUP(,-1/($Z$12:Z349=1),$H$12:H349)-IF(AA348="Да",0,SUM(INDIRECT("T"&amp;(MAX(("Да"=AA$12:AA348)*ROW(AA$12:AA348)+1,ROW($T$12))&amp;":T"&amp;(ROW()-1))))),Первоначальный[[#This Row],[Полученный платеж]]+Y348),
AND(S348=0,MAX((0&lt;&gt;N$12:N348)*ROW(N$12:N348),ROW($S$12))&gt;=MAX((1=Z$12:Z348)*ROW(Z$12:Z348),ROW($T$12))),MIN(LOOKUP(,-1/($Z$12:Z349=1),$C$12:C349)+LOOKUP(,-1/($Z$12:Z349=1),$H$12:H349)-IF(N348&lt;&gt;0,0,SUM(INDIRECT("T"&amp;(MAX((0&lt;&gt;N$12:N348)*ROW(N$12:N348)+1,ROW($T$12))&amp;":T"&amp;(ROW()-1))))),Первоначальный[[#This Row],[Полученный платеж]]+Y348),
AND(S348=0,Первоначальный[[#This Row],[Дата платежа из графика]]=1),MIN(LOOKUP(,-1/($Z$12:Z349=1),$C$12:C349)+LOOKUP(,-1/($Z$12:Z349=1),$H$12:H349)-IF(Z348=1,0,SUM(INDIRECT("T"&amp;(MAX((1=Z$12:Z348)*ROW(Z$12:Z348)+1,ROW($T$12))&amp;":T"&amp;(ROW()-1))))),Первоначальный[[#This Row],[Полученный платеж]]+Y348),
AND(Z348&gt;0,Первоначальный[[#This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платеж]]+Y348),
AND(S348&gt;0,MAX((0&lt;&gt;S$12:S348)*ROW(S$12:S348),ROW($S$12))&gt;=MAX((1=Z$12:Z348)*ROW(Z$12:Z348),ROW($T$12)),TYPE(VLOOKUP("Да",(INDIRECT("AA"&amp;(MAX((1=Z$12:Z348)*ROW(Z$12:Z348),ROW($T$12))&amp;":AA"&amp;(ROW()-1)))),1,0))=16),MIN(LOOKUP(,-1/($Z$12:Z349=1),$C$12:C349)+LOOKUP(,-1/($Z$12:Z349=1),$H$12:H349)-SUM(INDIRECT("T"&amp;(MAX((1=Z$12:Z348)*ROW(Z$12:Z348),ROW($T$12))&amp;":T"&amp;(ROW()-1)))),Первоначальный[[#This Row],[Полученный платеж]]+Y348),
S348&gt;0,MIN(LOOKUP(,-1/($Z$12:Z349=1),$C$12:C349)+LOOKUP(,-1/($Z$12:Z349=1),$H$12:H349)-IF(Z348=1,0,SUM(INDIRECT("T"&amp;(MAX((1=Z$12:Z348)*ROW(Z$12:Z348)+1,ROW($T$12))&amp;":T"&amp;(ROW()-1))))),Первоначальный[[#This Row],[Полученный платеж]]+Y348)
)
)
)</f>
        <v>0</v>
      </c>
      <c r="U34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платеж]]+Y348-Первоначальный[[#This Row],[Полученный платёж по процентам]])</f>
        <v>0</v>
      </c>
      <c r="V349" s="55">
        <f t="shared" ca="1" si="61"/>
        <v>0</v>
      </c>
      <c r="W349" s="55" cm="1">
        <f t="array" aca="1" ref="W349" ca="1">IF(Первоначальный[[#This Row],[Итого остаток на начало периода]]&lt;1,0,
_xlfn.IFS(
AND(TYPE(VLOOKUP(1,$Z$12:Z349,1,0))=16,Первоначальный[[#This Row],[Досрочное погашение (да/"")]]=""),0,
AND(S348=0,Первоначальный[[#This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платеж]]+Y348-SUM(Первоначальный[[#This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комиссиям]]),VLOOKUP(LOOKUP(,-1/($Z$12:Z349=1),$A$12:A349),График[[Срок конец]:[Возврат основной суммы долга]],3,0)),
AND(S348=0,Первоначальный[[#This Row],[Дата платежа из графика]]="",Первоначальный[[#This Row],[Досрочное погашение (да/"")]]&lt;&gt;"Да"),0,
AND(S348=0,Первоначальный[[#This Row],[Досрочное погашение (да/"")]]=""),MIN(Первоначальный[[#This Row],[Полученный платеж]]+Y348-SUM(Первоначальный[[#This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комиссиям]]),VLOOKUP(LOOKUP(,-1/($Z$12:Z349=1),$A$12:A349),График[[Срок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платеж]]+Y348-SUM(Первоначальный[[#This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S348&gt;0,MIN(Первоначальный[[#This Row],[Полученный платеж]]+Y348-SUM(Первоначальный[[#This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комиссиям]]),SUM(INDIRECT("M"&amp;(MAX((1=S$12:S348)*ROW(S$12:S348),ROW($W$12))&amp;":M"&amp;(ROW()))))-SUM(INDIRECT("W"&amp;(MAX((1=S$12:S348)*ROW(S$12:S348),ROW($W$12))&amp;":W"&amp;(ROW()-1)))))
)
)</f>
        <v>0</v>
      </c>
      <c r="X349" s="55">
        <f t="shared" ca="1" si="62"/>
        <v>0</v>
      </c>
      <c r="Y349" s="101">
        <f t="shared" ca="1" si="69"/>
        <v>0</v>
      </c>
      <c r="Z349" s="133" t="str">
        <f>IF(TYPE((VLOOKUP(Первоначальный[[#This Row],[Дата платежа]],График[Срок конец],1,0)))=16,"",1)</f>
        <v/>
      </c>
      <c r="AA349" s="57"/>
      <c r="AB349" s="134"/>
      <c r="AC34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4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22148.209999999966</v>
      </c>
      <c r="AE34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273.47000000000025</v>
      </c>
      <c r="AF34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4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16221.393303278683</v>
      </c>
      <c r="AH349" s="55"/>
      <c r="AI349" s="55"/>
      <c r="AJ349" s="55"/>
      <c r="AK349" s="101">
        <f t="shared" ca="1" si="70"/>
        <v>188276.41330327865</v>
      </c>
      <c r="AL349" s="129">
        <f t="array" ref="AL349">MAX((УслРестрактов[Характеристика]="Дата реструктуризации")*(УслРестрактов[Значение]=Первоначальный!$A349),0)</f>
        <v>0</v>
      </c>
    </row>
    <row r="350" spans="1:38" x14ac:dyDescent="0.25">
      <c r="A350" s="97">
        <f t="shared" si="63"/>
        <v>44481</v>
      </c>
      <c r="B350" s="100">
        <f t="shared" ca="1" si="64"/>
        <v>149633.34</v>
      </c>
      <c r="C350" s="55">
        <f t="shared" ca="1" si="72"/>
        <v>22148.209999999966</v>
      </c>
      <c r="D350" s="55">
        <f t="shared" ca="1" si="72"/>
        <v>273.47000000000025</v>
      </c>
      <c r="E350" s="55">
        <f t="shared" ca="1" si="65"/>
        <v>0</v>
      </c>
      <c r="F350" s="55">
        <f t="shared" ca="1" si="66"/>
        <v>16221.393303278683</v>
      </c>
      <c r="G350" s="101">
        <f t="shared" ca="1" si="67"/>
        <v>188276.41330327865</v>
      </c>
      <c r="H350" s="100">
        <f ca="1">ROUND($B350*VLOOKUP($A350,$A$1:$B$10,2,1)/(365+IF(MOD(YEAR($A350),4),0,1)*($A350-$A349)),2)-Первоначальный[[#This Row],[Проценты на просроченный платеж по ОД за период]]</f>
        <v>79.36</v>
      </c>
      <c r="I350" s="55">
        <f t="shared" ca="1" si="68"/>
        <v>2.2200000000000002</v>
      </c>
      <c r="J350" s="55">
        <v>0</v>
      </c>
      <c r="K350" s="55">
        <f t="shared" ca="1" si="71"/>
        <v>130.29850327868854</v>
      </c>
      <c r="L350" s="55">
        <v>0</v>
      </c>
      <c r="M350" s="113">
        <f>SUMIFS(График[Возврат основной суммы долга],График[Дата с учетом нерабочих дней],$A350)</f>
        <v>0</v>
      </c>
      <c r="N350" s="56">
        <f>SUMIFS(График[Возврат начисленных %],График[Дата с учетом нерабочих дней],$A350)</f>
        <v>0</v>
      </c>
      <c r="O350" s="101">
        <v>0</v>
      </c>
      <c r="P350" s="100" cm="1">
        <f t="array" aca="1" ref="P350" ca="1">MAX(IF(AA349="Да",0,SUM(INDIRECT("M"&amp;(MAX(("Да"=AA$12:AA349)*ROW(AA$12:AA349)+1,ROW($P$12))&amp;":M"&amp;(ROW()))))-SUM(INDIRECT("W"&amp;(MAX(("Да"=AA$12:AA349)*ROW(AA$12:AA349)+1,ROW($P$12))&amp;":W"&amp;(ROW()))))),0)</f>
        <v>4071.5099999999998</v>
      </c>
      <c r="Q350" s="99">
        <f ca="1">MAX(SUM($N$13:N350)-SUM($T$13:T350),0)</f>
        <v>21988.190655737708</v>
      </c>
      <c r="R350" s="99">
        <f ca="1">Первоначальный[[#This Row],[Просроченный платеж по ОД]]+Первоначальный[[#This Row],[Просроченный платеж по процентам]]</f>
        <v>26059.700655737706</v>
      </c>
      <c r="S350" s="120">
        <f ca="1">IF(Первоначальный[[#This Row],[Просроченный платеж]]&lt;1,0,S349+1)</f>
        <v>246</v>
      </c>
      <c r="T350" s="100" cm="1">
        <f t="array" aca="1" ref="T350" ca="1">IF(Первоначальный[[#This Row],[Итого остаток на начало периода]]&lt;1,0,
IF(
AND(TYPE(VLOOKUP(1,$Z$12:Z350,1,0))=16,Первоначальный[[#This Row],[Досрочное погашение (да/"")]]=""),0,
_xlfn.IFS(AND(S349=0,Первоначальный[[#This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платеж]]&lt;&gt;0),MIN(LOOKUP(,-1/($Z$12:Z350=1),$C$12:C350)+LOOKUP(,-1/($Z$12:Z350=1),$H$12:H350),Первоначальный[[#This Row],[Полученный платеж]]+Y349),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платеж]]+Y349,SUM(Первоначальный[[#This Row],[Остаток процентов на начало периода]],Первоначальный[[#This Row],[Проценты за период]])),
AND(S349=0,Первоначальный[[#This Row],[Дата платежа из графика]]=""),0,
AND(S349=0,Первоначальный[[#This Row],[Дата платежа из графика]]=1,MAX((0&lt;&gt;S$12:S349)*ROW(S$12:S349),ROW($S$12))&gt;=MAX((1=Z$12:Z349)*ROW(Z$12:Z349),ROW($T$12)),TYPE(VLOOKUP("Да",(INDIRECT("AA"&amp;(MAX((1=Z$12:Z349)*ROW(Z$12:Z349),ROW($T$12))&amp;":AA"&amp;(ROW()-1)))),1,0))=16),MIN(LOOKUP(,-1/($Z$12:Z350=1),$C$12:C350)+LOOKUP(,-1/($Z$12:Z350=1),$H$12:H350),Первоначальный[[#This Row],[Полученный платеж]]+Y349),
AND(S349=0,TYPE(VLOOKUP("Да",(INDIRECT("AA"&amp;(MAX((1=Z$12:Z349)*ROW(Z$12:Z349),ROW($T$12))&amp;":AA"&amp;(ROW()-1)))),1,0))&lt;&gt;16),MIN(LOOKUP(,-1/($Z$12:Z350=1),$C$12:C350)+LOOKUP(,-1/($Z$12:Z350=1),$H$12:H350)-IF(AA349="Да",0,SUM(INDIRECT("T"&amp;(MAX(("Да"=AA$12:AA349)*ROW(AA$12:AA349)+1,ROW($T$12))&amp;":T"&amp;(ROW()-1))))),Первоначальный[[#This Row],[Полученный платеж]]+Y349),
AND(S349=0,MAX((0&lt;&gt;N$12:N349)*ROW(N$12:N349),ROW($S$12))&gt;=MAX((1=Z$12:Z349)*ROW(Z$12:Z349),ROW($T$12))),MIN(LOOKUP(,-1/($Z$12:Z350=1),$C$12:C350)+LOOKUP(,-1/($Z$12:Z350=1),$H$12:H350)-IF(N349&lt;&gt;0,0,SUM(INDIRECT("T"&amp;(MAX((0&lt;&gt;N$12:N349)*ROW(N$12:N349)+1,ROW($T$12))&amp;":T"&amp;(ROW()-1))))),Первоначальный[[#This Row],[Полученный платеж]]+Y349),
AND(S349=0,Первоначальный[[#This Row],[Дата платежа из графика]]=1),MIN(LOOKUP(,-1/($Z$12:Z350=1),$C$12:C350)+LOOKUP(,-1/($Z$12:Z350=1),$H$12:H350)-IF(Z349=1,0,SUM(INDIRECT("T"&amp;(MAX((1=Z$12:Z349)*ROW(Z$12:Z349)+1,ROW($T$12))&amp;":T"&amp;(ROW()-1))))),Первоначальный[[#This Row],[Полученный платеж]]+Y349),
AND(Z349&gt;0,Первоначальный[[#This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платеж]]+Y349),
AND(S349&gt;0,MAX((0&lt;&gt;S$12:S349)*ROW(S$12:S349),ROW($S$12))&gt;=MAX((1=Z$12:Z349)*ROW(Z$12:Z349),ROW($T$12)),TYPE(VLOOKUP("Да",(INDIRECT("AA"&amp;(MAX((1=Z$12:Z349)*ROW(Z$12:Z349),ROW($T$12))&amp;":AA"&amp;(ROW()-1)))),1,0))=16),MIN(LOOKUP(,-1/($Z$12:Z350=1),$C$12:C350)+LOOKUP(,-1/($Z$12:Z350=1),$H$12:H350)-SUM(INDIRECT("T"&amp;(MAX((1=Z$12:Z349)*ROW(Z$12:Z349),ROW($T$12))&amp;":T"&amp;(ROW()-1)))),Первоначальный[[#This Row],[Полученный платеж]]+Y349),
S349&gt;0,MIN(LOOKUP(,-1/($Z$12:Z350=1),$C$12:C350)+LOOKUP(,-1/($Z$12:Z350=1),$H$12:H350)-IF(Z349=1,0,SUM(INDIRECT("T"&amp;(MAX((1=Z$12:Z349)*ROW(Z$12:Z349)+1,ROW($T$12))&amp;":T"&amp;(ROW()-1))))),Первоначальный[[#This Row],[Полученный платеж]]+Y349)
)
)
)</f>
        <v>0</v>
      </c>
      <c r="U35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платеж]]+Y349-Первоначальный[[#This Row],[Полученный платёж по процентам]])</f>
        <v>0</v>
      </c>
      <c r="V350" s="55">
        <f t="shared" ca="1" si="61"/>
        <v>0</v>
      </c>
      <c r="W350" s="55" cm="1">
        <f t="array" aca="1" ref="W350" ca="1">IF(Первоначальный[[#This Row],[Итого остаток на начало периода]]&lt;1,0,
_xlfn.IFS(
AND(TYPE(VLOOKUP(1,$Z$12:Z350,1,0))=16,Первоначальный[[#This Row],[Досрочное погашение (да/"")]]=""),0,
AND(S349=0,Первоначальный[[#This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платеж]]+Y349-SUM(Первоначальный[[#This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комиссиям]]),VLOOKUP(LOOKUP(,-1/($Z$12:Z350=1),$A$12:A350),График[[Срок конец]:[Возврат основной суммы долга]],3,0)),
AND(S349=0,Первоначальный[[#This Row],[Дата платежа из графика]]="",Первоначальный[[#This Row],[Досрочное погашение (да/"")]]&lt;&gt;"Да"),0,
AND(S349=0,Первоначальный[[#This Row],[Досрочное погашение (да/"")]]=""),MIN(Первоначальный[[#This Row],[Полученный платеж]]+Y349-SUM(Первоначальный[[#This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комиссиям]]),VLOOKUP(LOOKUP(,-1/($Z$12:Z350=1),$A$12:A350),График[[Срок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платеж]]+Y349-SUM(Первоначальный[[#This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S349&gt;0,MIN(Первоначальный[[#This Row],[Полученный платеж]]+Y349-SUM(Первоначальный[[#This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комиссиям]]),SUM(INDIRECT("M"&amp;(MAX((1=S$12:S349)*ROW(S$12:S349),ROW($W$12))&amp;":M"&amp;(ROW()))))-SUM(INDIRECT("W"&amp;(MAX((1=S$12:S349)*ROW(S$12:S349),ROW($W$12))&amp;":W"&amp;(ROW()-1)))))
)
)</f>
        <v>0</v>
      </c>
      <c r="X350" s="55">
        <f t="shared" ca="1" si="62"/>
        <v>0</v>
      </c>
      <c r="Y350" s="101">
        <f t="shared" ca="1" si="69"/>
        <v>0</v>
      </c>
      <c r="Z350" s="133" t="str">
        <f>IF(TYPE((VLOOKUP(Первоначальный[[#This Row],[Дата платежа]],График[Срок конец],1,0)))=16,"",1)</f>
        <v/>
      </c>
      <c r="AA350" s="57"/>
      <c r="AB350" s="134"/>
      <c r="AC35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5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22227.569999999967</v>
      </c>
      <c r="AE35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275.69000000000028</v>
      </c>
      <c r="AF35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5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16351.691806557372</v>
      </c>
      <c r="AH350" s="55"/>
      <c r="AI350" s="55"/>
      <c r="AJ350" s="55"/>
      <c r="AK350" s="101">
        <f t="shared" ca="1" si="70"/>
        <v>188488.29180655736</v>
      </c>
      <c r="AL350" s="129">
        <f t="array" ref="AL350">MAX((УслРестрактов[Характеристика]="Дата реструктуризации")*(УслРестрактов[Значение]=Первоначальный!$A350),0)</f>
        <v>0</v>
      </c>
    </row>
    <row r="351" spans="1:38" x14ac:dyDescent="0.25">
      <c r="A351" s="97">
        <f t="shared" si="63"/>
        <v>44482</v>
      </c>
      <c r="B351" s="100">
        <f t="shared" ca="1" si="64"/>
        <v>149633.34</v>
      </c>
      <c r="C351" s="55">
        <f t="shared" ca="1" si="72"/>
        <v>22227.569999999967</v>
      </c>
      <c r="D351" s="55">
        <f t="shared" ca="1" si="72"/>
        <v>275.69000000000028</v>
      </c>
      <c r="E351" s="55">
        <f t="shared" ca="1" si="65"/>
        <v>0</v>
      </c>
      <c r="F351" s="55">
        <f t="shared" ca="1" si="66"/>
        <v>16351.691806557372</v>
      </c>
      <c r="G351" s="101">
        <f t="shared" ca="1" si="67"/>
        <v>188488.29180655736</v>
      </c>
      <c r="H351" s="100">
        <f ca="1">ROUND($B351*VLOOKUP($A351,$A$1:$B$10,2,1)/(365+IF(MOD(YEAR($A351),4),0,1)*($A351-$A350)),2)-Первоначальный[[#This Row],[Проценты на просроченный платеж по ОД за период]]</f>
        <v>79.36</v>
      </c>
      <c r="I351" s="55">
        <f t="shared" ca="1" si="68"/>
        <v>2.2200000000000002</v>
      </c>
      <c r="J351" s="55">
        <v>0</v>
      </c>
      <c r="K351" s="55">
        <f t="shared" ca="1" si="71"/>
        <v>130.29850327868854</v>
      </c>
      <c r="L351" s="55">
        <v>0</v>
      </c>
      <c r="M351" s="113">
        <f>SUMIFS(График[Возврат основной суммы долга],График[Дата с учетом нерабочих дней],$A351)</f>
        <v>0</v>
      </c>
      <c r="N351" s="56">
        <f>SUMIFS(График[Возврат начисленных %],График[Дата с учетом нерабочих дней],$A351)</f>
        <v>0</v>
      </c>
      <c r="O351" s="101">
        <v>0</v>
      </c>
      <c r="P351" s="100" cm="1">
        <f t="array" aca="1" ref="P351" ca="1">MAX(IF(AA350="Да",0,SUM(INDIRECT("M"&amp;(MAX(("Да"=AA$12:AA350)*ROW(AA$12:AA350)+1,ROW($P$12))&amp;":M"&amp;(ROW()))))-SUM(INDIRECT("W"&amp;(MAX(("Да"=AA$12:AA350)*ROW(AA$12:AA350)+1,ROW($P$12))&amp;":W"&amp;(ROW()))))),0)</f>
        <v>4071.5099999999998</v>
      </c>
      <c r="Q351" s="99">
        <f ca="1">MAX(SUM($N$13:N351)-SUM($T$13:T351),0)</f>
        <v>21988.190655737708</v>
      </c>
      <c r="R351" s="99">
        <f ca="1">Первоначальный[[#This Row],[Просроченный платеж по ОД]]+Первоначальный[[#This Row],[Просроченный платеж по процентам]]</f>
        <v>26059.700655737706</v>
      </c>
      <c r="S351" s="120">
        <f ca="1">IF(Первоначальный[[#This Row],[Просроченный платеж]]&lt;1,0,S350+1)</f>
        <v>247</v>
      </c>
      <c r="T351" s="100" cm="1">
        <f t="array" aca="1" ref="T351" ca="1">IF(Первоначальный[[#This Row],[Итого остаток на начало периода]]&lt;1,0,
IF(
AND(TYPE(VLOOKUP(1,$Z$12:Z351,1,0))=16,Первоначальный[[#This Row],[Досрочное погашение (да/"")]]=""),0,
_xlfn.IFS(AND(S350=0,Первоначальный[[#This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платеж]]&lt;&gt;0),MIN(LOOKUP(,-1/($Z$12:Z351=1),$C$12:C351)+LOOKUP(,-1/($Z$12:Z351=1),$H$12:H351),Первоначальный[[#This Row],[Полученный платеж]]+Y350),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платеж]]+Y350,SUM(Первоначальный[[#This Row],[Остаток процентов на начало периода]],Первоначальный[[#This Row],[Проценты за период]])),
AND(S350=0,Первоначальный[[#This Row],[Дата платежа из графика]]=""),0,
AND(S350=0,Первоначальный[[#This Row],[Дата платежа из графика]]=1,MAX((0&lt;&gt;S$12:S350)*ROW(S$12:S350),ROW($S$12))&gt;=MAX((1=Z$12:Z350)*ROW(Z$12:Z350),ROW($T$12)),TYPE(VLOOKUP("Да",(INDIRECT("AA"&amp;(MAX((1=Z$12:Z350)*ROW(Z$12:Z350),ROW($T$12))&amp;":AA"&amp;(ROW()-1)))),1,0))=16),MIN(LOOKUP(,-1/($Z$12:Z351=1),$C$12:C351)+LOOKUP(,-1/($Z$12:Z351=1),$H$12:H351),Первоначальный[[#This Row],[Полученный платеж]]+Y350),
AND(S350=0,TYPE(VLOOKUP("Да",(INDIRECT("AA"&amp;(MAX((1=Z$12:Z350)*ROW(Z$12:Z350),ROW($T$12))&amp;":AA"&amp;(ROW()-1)))),1,0))&lt;&gt;16),MIN(LOOKUP(,-1/($Z$12:Z351=1),$C$12:C351)+LOOKUP(,-1/($Z$12:Z351=1),$H$12:H351)-IF(AA350="Да",0,SUM(INDIRECT("T"&amp;(MAX(("Да"=AA$12:AA350)*ROW(AA$12:AA350)+1,ROW($T$12))&amp;":T"&amp;(ROW()-1))))),Первоначальный[[#This Row],[Полученный платеж]]+Y350),
AND(S350=0,MAX((0&lt;&gt;N$12:N350)*ROW(N$12:N350),ROW($S$12))&gt;=MAX((1=Z$12:Z350)*ROW(Z$12:Z350),ROW($T$12))),MIN(LOOKUP(,-1/($Z$12:Z351=1),$C$12:C351)+LOOKUP(,-1/($Z$12:Z351=1),$H$12:H351)-IF(N350&lt;&gt;0,0,SUM(INDIRECT("T"&amp;(MAX((0&lt;&gt;N$12:N350)*ROW(N$12:N350)+1,ROW($T$12))&amp;":T"&amp;(ROW()-1))))),Первоначальный[[#This Row],[Полученный платеж]]+Y350),
AND(S350=0,Первоначальный[[#This Row],[Дата платежа из графика]]=1),MIN(LOOKUP(,-1/($Z$12:Z351=1),$C$12:C351)+LOOKUP(,-1/($Z$12:Z351=1),$H$12:H351)-IF(Z350=1,0,SUM(INDIRECT("T"&amp;(MAX((1=Z$12:Z350)*ROW(Z$12:Z350)+1,ROW($T$12))&amp;":T"&amp;(ROW()-1))))),Первоначальный[[#This Row],[Полученный платеж]]+Y350),
AND(Z350&gt;0,Первоначальный[[#This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платеж]]+Y350),
AND(S350&gt;0,MAX((0&lt;&gt;S$12:S350)*ROW(S$12:S350),ROW($S$12))&gt;=MAX((1=Z$12:Z350)*ROW(Z$12:Z350),ROW($T$12)),TYPE(VLOOKUP("Да",(INDIRECT("AA"&amp;(MAX((1=Z$12:Z350)*ROW(Z$12:Z350),ROW($T$12))&amp;":AA"&amp;(ROW()-1)))),1,0))=16),MIN(LOOKUP(,-1/($Z$12:Z351=1),$C$12:C351)+LOOKUP(,-1/($Z$12:Z351=1),$H$12:H351)-SUM(INDIRECT("T"&amp;(MAX((1=Z$12:Z350)*ROW(Z$12:Z350),ROW($T$12))&amp;":T"&amp;(ROW()-1)))),Первоначальный[[#This Row],[Полученный платеж]]+Y350),
S350&gt;0,MIN(LOOKUP(,-1/($Z$12:Z351=1),$C$12:C351)+LOOKUP(,-1/($Z$12:Z351=1),$H$12:H351)-IF(Z350=1,0,SUM(INDIRECT("T"&amp;(MAX((1=Z$12:Z350)*ROW(Z$12:Z350)+1,ROW($T$12))&amp;":T"&amp;(ROW()-1))))),Первоначальный[[#This Row],[Полученный платеж]]+Y350)
)
)
)</f>
        <v>0</v>
      </c>
      <c r="U35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платеж]]+Y350-Первоначальный[[#This Row],[Полученный платёж по процентам]])</f>
        <v>0</v>
      </c>
      <c r="V351" s="55">
        <f t="shared" ca="1" si="61"/>
        <v>0</v>
      </c>
      <c r="W351" s="55" cm="1">
        <f t="array" aca="1" ref="W351" ca="1">IF(Первоначальный[[#This Row],[Итого остаток на начало периода]]&lt;1,0,
_xlfn.IFS(
AND(TYPE(VLOOKUP(1,$Z$12:Z351,1,0))=16,Первоначальный[[#This Row],[Досрочное погашение (да/"")]]=""),0,
AND(S350=0,Первоначальный[[#This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платеж]]+Y350-SUM(Первоначальный[[#This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комиссиям]]),VLOOKUP(LOOKUP(,-1/($Z$12:Z351=1),$A$12:A351),График[[Срок конец]:[Возврат основной суммы долга]],3,0)),
AND(S350=0,Первоначальный[[#This Row],[Дата платежа из графика]]="",Первоначальный[[#This Row],[Досрочное погашение (да/"")]]&lt;&gt;"Да"),0,
AND(S350=0,Первоначальный[[#This Row],[Досрочное погашение (да/"")]]=""),MIN(Первоначальный[[#This Row],[Полученный платеж]]+Y350-SUM(Первоначальный[[#This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комиссиям]]),VLOOKUP(LOOKUP(,-1/($Z$12:Z351=1),$A$12:A351),График[[Срок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платеж]]+Y350-SUM(Первоначальный[[#This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S350&gt;0,MIN(Первоначальный[[#This Row],[Полученный платеж]]+Y350-SUM(Первоначальный[[#This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комиссиям]]),SUM(INDIRECT("M"&amp;(MAX((1=S$12:S350)*ROW(S$12:S350),ROW($W$12))&amp;":M"&amp;(ROW()))))-SUM(INDIRECT("W"&amp;(MAX((1=S$12:S350)*ROW(S$12:S350),ROW($W$12))&amp;":W"&amp;(ROW()-1)))))
)
)</f>
        <v>0</v>
      </c>
      <c r="X351" s="55">
        <f t="shared" ca="1" si="62"/>
        <v>0</v>
      </c>
      <c r="Y351" s="101">
        <f t="shared" ca="1" si="69"/>
        <v>0</v>
      </c>
      <c r="Z351" s="133" t="str">
        <f>IF(TYPE((VLOOKUP(Первоначальный[[#This Row],[Дата платежа]],График[Срок конец],1,0)))=16,"",1)</f>
        <v/>
      </c>
      <c r="AA351" s="57"/>
      <c r="AB351" s="134"/>
      <c r="AC35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5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22306.929999999968</v>
      </c>
      <c r="AE35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277.91000000000031</v>
      </c>
      <c r="AF35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5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16481.990309836059</v>
      </c>
      <c r="AH351" s="55"/>
      <c r="AI351" s="55"/>
      <c r="AJ351" s="55"/>
      <c r="AK351" s="101">
        <f t="shared" ca="1" si="70"/>
        <v>188700.17030983602</v>
      </c>
      <c r="AL351" s="129">
        <f t="array" ref="AL351">MAX((УслРестрактов[Характеристика]="Дата реструктуризации")*(УслРестрактов[Значение]=Первоначальный!$A351),0)</f>
        <v>0</v>
      </c>
    </row>
    <row r="352" spans="1:38" x14ac:dyDescent="0.25">
      <c r="A352" s="97">
        <f t="shared" si="63"/>
        <v>44483</v>
      </c>
      <c r="B352" s="100">
        <f t="shared" ca="1" si="64"/>
        <v>149633.34</v>
      </c>
      <c r="C352" s="55">
        <f t="shared" ca="1" si="72"/>
        <v>22306.929999999968</v>
      </c>
      <c r="D352" s="55">
        <f t="shared" ca="1" si="72"/>
        <v>277.91000000000031</v>
      </c>
      <c r="E352" s="55">
        <f t="shared" ca="1" si="65"/>
        <v>0</v>
      </c>
      <c r="F352" s="55">
        <f t="shared" ca="1" si="66"/>
        <v>16481.990309836059</v>
      </c>
      <c r="G352" s="101">
        <f t="shared" ca="1" si="67"/>
        <v>188700.17030983602</v>
      </c>
      <c r="H352" s="100">
        <f ca="1">ROUND($B352*VLOOKUP($A352,$A$1:$B$10,2,1)/(365+IF(MOD(YEAR($A352),4),0,1)*($A352-$A351)),2)-Первоначальный[[#This Row],[Проценты на просроченный платеж по ОД за период]]</f>
        <v>79.36</v>
      </c>
      <c r="I352" s="55">
        <f t="shared" ca="1" si="68"/>
        <v>2.2200000000000002</v>
      </c>
      <c r="J352" s="55">
        <v>0</v>
      </c>
      <c r="K352" s="55">
        <f t="shared" ca="1" si="71"/>
        <v>130.29850327868854</v>
      </c>
      <c r="L352" s="55">
        <v>0</v>
      </c>
      <c r="M352" s="113">
        <f>SUMIFS(График[Возврат основной суммы долга],График[Дата с учетом нерабочих дней],$A352)</f>
        <v>0</v>
      </c>
      <c r="N352" s="56">
        <f>SUMIFS(График[Возврат начисленных %],График[Дата с учетом нерабочих дней],$A352)</f>
        <v>0</v>
      </c>
      <c r="O352" s="101">
        <v>0</v>
      </c>
      <c r="P352" s="100" cm="1">
        <f t="array" aca="1" ref="P352" ca="1">MAX(IF(AA351="Да",0,SUM(INDIRECT("M"&amp;(MAX(("Да"=AA$12:AA351)*ROW(AA$12:AA351)+1,ROW($P$12))&amp;":M"&amp;(ROW()))))-SUM(INDIRECT("W"&amp;(MAX(("Да"=AA$12:AA351)*ROW(AA$12:AA351)+1,ROW($P$12))&amp;":W"&amp;(ROW()))))),0)</f>
        <v>4071.5099999999998</v>
      </c>
      <c r="Q352" s="99">
        <f ca="1">MAX(SUM($N$13:N352)-SUM($T$13:T352),0)</f>
        <v>21988.190655737708</v>
      </c>
      <c r="R352" s="99">
        <f ca="1">Первоначальный[[#This Row],[Просроченный платеж по ОД]]+Первоначальный[[#This Row],[Просроченный платеж по процентам]]</f>
        <v>26059.700655737706</v>
      </c>
      <c r="S352" s="120">
        <f ca="1">IF(Первоначальный[[#This Row],[Просроченный платеж]]&lt;1,0,S351+1)</f>
        <v>248</v>
      </c>
      <c r="T352" s="100" cm="1">
        <f t="array" aca="1" ref="T352" ca="1">IF(Первоначальный[[#This Row],[Итого остаток на начало периода]]&lt;1,0,
IF(
AND(TYPE(VLOOKUP(1,$Z$12:Z352,1,0))=16,Первоначальный[[#This Row],[Досрочное погашение (да/"")]]=""),0,
_xlfn.IFS(AND(S351=0,Первоначальный[[#This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платеж]]&lt;&gt;0),MIN(LOOKUP(,-1/($Z$12:Z352=1),$C$12:C352)+LOOKUP(,-1/($Z$12:Z352=1),$H$12:H352),Первоначальный[[#This Row],[Полученный платеж]]+Y351),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платеж]]+Y351,SUM(Первоначальный[[#This Row],[Остаток процентов на начало периода]],Первоначальный[[#This Row],[Проценты за период]])),
AND(S351=0,Первоначальный[[#This Row],[Дата платежа из графика]]=""),0,
AND(S351=0,Первоначальный[[#This Row],[Дата платежа из графика]]=1,MAX((0&lt;&gt;S$12:S351)*ROW(S$12:S351),ROW($S$12))&gt;=MAX((1=Z$12:Z351)*ROW(Z$12:Z351),ROW($T$12)),TYPE(VLOOKUP("Да",(INDIRECT("AA"&amp;(MAX((1=Z$12:Z351)*ROW(Z$12:Z351),ROW($T$12))&amp;":AA"&amp;(ROW()-1)))),1,0))=16),MIN(LOOKUP(,-1/($Z$12:Z352=1),$C$12:C352)+LOOKUP(,-1/($Z$12:Z352=1),$H$12:H352),Первоначальный[[#This Row],[Полученный платеж]]+Y351),
AND(S351=0,TYPE(VLOOKUP("Да",(INDIRECT("AA"&amp;(MAX((1=Z$12:Z351)*ROW(Z$12:Z351),ROW($T$12))&amp;":AA"&amp;(ROW()-1)))),1,0))&lt;&gt;16),MIN(LOOKUP(,-1/($Z$12:Z352=1),$C$12:C352)+LOOKUP(,-1/($Z$12:Z352=1),$H$12:H352)-IF(AA351="Да",0,SUM(INDIRECT("T"&amp;(MAX(("Да"=AA$12:AA351)*ROW(AA$12:AA351)+1,ROW($T$12))&amp;":T"&amp;(ROW()-1))))),Первоначальный[[#This Row],[Полученный платеж]]+Y351),
AND(S351=0,MAX((0&lt;&gt;N$12:N351)*ROW(N$12:N351),ROW($S$12))&gt;=MAX((1=Z$12:Z351)*ROW(Z$12:Z351),ROW($T$12))),MIN(LOOKUP(,-1/($Z$12:Z352=1),$C$12:C352)+LOOKUP(,-1/($Z$12:Z352=1),$H$12:H352)-IF(N351&lt;&gt;0,0,SUM(INDIRECT("T"&amp;(MAX((0&lt;&gt;N$12:N351)*ROW(N$12:N351)+1,ROW($T$12))&amp;":T"&amp;(ROW()-1))))),Первоначальный[[#This Row],[Полученный платеж]]+Y351),
AND(S351=0,Первоначальный[[#This Row],[Дата платежа из графика]]=1),MIN(LOOKUP(,-1/($Z$12:Z352=1),$C$12:C352)+LOOKUP(,-1/($Z$12:Z352=1),$H$12:H352)-IF(Z351=1,0,SUM(INDIRECT("T"&amp;(MAX((1=Z$12:Z351)*ROW(Z$12:Z351)+1,ROW($T$12))&amp;":T"&amp;(ROW()-1))))),Первоначальный[[#This Row],[Полученный платеж]]+Y351),
AND(Z351&gt;0,Первоначальный[[#This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платеж]]+Y351),
AND(S351&gt;0,MAX((0&lt;&gt;S$12:S351)*ROW(S$12:S351),ROW($S$12))&gt;=MAX((1=Z$12:Z351)*ROW(Z$12:Z351),ROW($T$12)),TYPE(VLOOKUP("Да",(INDIRECT("AA"&amp;(MAX((1=Z$12:Z351)*ROW(Z$12:Z351),ROW($T$12))&amp;":AA"&amp;(ROW()-1)))),1,0))=16),MIN(LOOKUP(,-1/($Z$12:Z352=1),$C$12:C352)+LOOKUP(,-1/($Z$12:Z352=1),$H$12:H352)-SUM(INDIRECT("T"&amp;(MAX((1=Z$12:Z351)*ROW(Z$12:Z351),ROW($T$12))&amp;":T"&amp;(ROW()-1)))),Первоначальный[[#This Row],[Полученный платеж]]+Y351),
S351&gt;0,MIN(LOOKUP(,-1/($Z$12:Z352=1),$C$12:C352)+LOOKUP(,-1/($Z$12:Z352=1),$H$12:H352)-IF(Z351=1,0,SUM(INDIRECT("T"&amp;(MAX((1=Z$12:Z351)*ROW(Z$12:Z351)+1,ROW($T$12))&amp;":T"&amp;(ROW()-1))))),Первоначальный[[#This Row],[Полученный платеж]]+Y351)
)
)
)</f>
        <v>0</v>
      </c>
      <c r="U35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платеж]]+Y351-Первоначальный[[#This Row],[Полученный платёж по процентам]])</f>
        <v>0</v>
      </c>
      <c r="V352" s="55">
        <f t="shared" ca="1" si="61"/>
        <v>0</v>
      </c>
      <c r="W352" s="55" cm="1">
        <f t="array" aca="1" ref="W352" ca="1">IF(Первоначальный[[#This Row],[Итого остаток на начало периода]]&lt;1,0,
_xlfn.IFS(
AND(TYPE(VLOOKUP(1,$Z$12:Z352,1,0))=16,Первоначальный[[#This Row],[Досрочное погашение (да/"")]]=""),0,
AND(S351=0,Первоначальный[[#This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платеж]]+Y351-SUM(Первоначальный[[#This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комиссиям]]),VLOOKUP(LOOKUP(,-1/($Z$12:Z352=1),$A$12:A352),График[[Срок конец]:[Возврат основной суммы долга]],3,0)),
AND(S351=0,Первоначальный[[#This Row],[Дата платежа из графика]]="",Первоначальный[[#This Row],[Досрочное погашение (да/"")]]&lt;&gt;"Да"),0,
AND(S351=0,Первоначальный[[#This Row],[Досрочное погашение (да/"")]]=""),MIN(Первоначальный[[#This Row],[Полученный платеж]]+Y351-SUM(Первоначальный[[#This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комиссиям]]),VLOOKUP(LOOKUP(,-1/($Z$12:Z352=1),$A$12:A352),График[[Срок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платеж]]+Y351-SUM(Первоначальный[[#This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S351&gt;0,MIN(Первоначальный[[#This Row],[Полученный платеж]]+Y351-SUM(Первоначальный[[#This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комиссиям]]),SUM(INDIRECT("M"&amp;(MAX((1=S$12:S351)*ROW(S$12:S351),ROW($W$12))&amp;":M"&amp;(ROW()))))-SUM(INDIRECT("W"&amp;(MAX((1=S$12:S351)*ROW(S$12:S351),ROW($W$12))&amp;":W"&amp;(ROW()-1)))))
)
)</f>
        <v>0</v>
      </c>
      <c r="X352" s="55">
        <f t="shared" ca="1" si="62"/>
        <v>0</v>
      </c>
      <c r="Y352" s="101">
        <f t="shared" ca="1" si="69"/>
        <v>0</v>
      </c>
      <c r="Z352" s="133" t="str">
        <f>IF(TYPE((VLOOKUP(Первоначальный[[#This Row],[Дата платежа]],График[Срок конец],1,0)))=16,"",1)</f>
        <v/>
      </c>
      <c r="AA352" s="57"/>
      <c r="AB352" s="134"/>
      <c r="AC35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5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22386.289999999968</v>
      </c>
      <c r="AE35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280.13000000000034</v>
      </c>
      <c r="AF35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5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16612.288813114748</v>
      </c>
      <c r="AH352" s="55"/>
      <c r="AI352" s="55"/>
      <c r="AJ352" s="55"/>
      <c r="AK352" s="101">
        <f t="shared" ca="1" si="70"/>
        <v>188912.04881311473</v>
      </c>
      <c r="AL352" s="129">
        <f t="array" ref="AL352">MAX((УслРестрактов[Характеристика]="Дата реструктуризации")*(УслРестрактов[Значение]=Первоначальный!$A352),0)</f>
        <v>0</v>
      </c>
    </row>
    <row r="353" spans="1:38" x14ac:dyDescent="0.25">
      <c r="A353" s="97">
        <f t="shared" si="63"/>
        <v>44484</v>
      </c>
      <c r="B353" s="100">
        <f t="shared" ca="1" si="64"/>
        <v>149633.34</v>
      </c>
      <c r="C353" s="55">
        <f t="shared" ca="1" si="72"/>
        <v>22386.289999999968</v>
      </c>
      <c r="D353" s="55">
        <f t="shared" ca="1" si="72"/>
        <v>280.13000000000034</v>
      </c>
      <c r="E353" s="55">
        <f t="shared" ca="1" si="65"/>
        <v>0</v>
      </c>
      <c r="F353" s="55">
        <f t="shared" ca="1" si="66"/>
        <v>16612.288813114748</v>
      </c>
      <c r="G353" s="101">
        <f t="shared" ca="1" si="67"/>
        <v>188912.04881311473</v>
      </c>
      <c r="H353" s="100">
        <f ca="1">ROUND($B353*VLOOKUP($A353,$A$1:$B$10,2,1)/(365+IF(MOD(YEAR($A353),4),0,1)*($A353-$A352)),2)-Первоначальный[[#This Row],[Проценты на просроченный платеж по ОД за период]]</f>
        <v>79.36</v>
      </c>
      <c r="I353" s="55">
        <f t="shared" ca="1" si="68"/>
        <v>2.2200000000000002</v>
      </c>
      <c r="J353" s="55">
        <v>0</v>
      </c>
      <c r="K353" s="55">
        <f t="shared" ca="1" si="71"/>
        <v>130.29850327868854</v>
      </c>
      <c r="L353" s="55">
        <v>0</v>
      </c>
      <c r="M353" s="113">
        <f>SUMIFS(График[Возврат основной суммы долга],График[Дата с учетом нерабочих дней],$A353)</f>
        <v>0</v>
      </c>
      <c r="N353" s="56">
        <f>SUMIFS(График[Возврат начисленных %],График[Дата с учетом нерабочих дней],$A353)</f>
        <v>0</v>
      </c>
      <c r="O353" s="101">
        <v>0</v>
      </c>
      <c r="P353" s="100" cm="1">
        <f t="array" aca="1" ref="P353" ca="1">MAX(IF(AA352="Да",0,SUM(INDIRECT("M"&amp;(MAX(("Да"=AA$12:AA352)*ROW(AA$12:AA352)+1,ROW($P$12))&amp;":M"&amp;(ROW()))))-SUM(INDIRECT("W"&amp;(MAX(("Да"=AA$12:AA352)*ROW(AA$12:AA352)+1,ROW($P$12))&amp;":W"&amp;(ROW()))))),0)</f>
        <v>4071.5099999999998</v>
      </c>
      <c r="Q353" s="99">
        <f ca="1">MAX(SUM($N$13:N353)-SUM($T$13:T353),0)</f>
        <v>21988.190655737708</v>
      </c>
      <c r="R353" s="99">
        <f ca="1">Первоначальный[[#This Row],[Просроченный платеж по ОД]]+Первоначальный[[#This Row],[Просроченный платеж по процентам]]</f>
        <v>26059.700655737706</v>
      </c>
      <c r="S353" s="120">
        <f ca="1">IF(Первоначальный[[#This Row],[Просроченный платеж]]&lt;1,0,S352+1)</f>
        <v>249</v>
      </c>
      <c r="T353" s="100" cm="1">
        <f t="array" aca="1" ref="T353" ca="1">IF(Первоначальный[[#This Row],[Итого остаток на начало периода]]&lt;1,0,
IF(
AND(TYPE(VLOOKUP(1,$Z$12:Z353,1,0))=16,Первоначальный[[#This Row],[Досрочное погашение (да/"")]]=""),0,
_xlfn.IFS(AND(S352=0,Первоначальный[[#This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платеж]]&lt;&gt;0),MIN(LOOKUP(,-1/($Z$12:Z353=1),$C$12:C353)+LOOKUP(,-1/($Z$12:Z353=1),$H$12:H353),Первоначальный[[#This Row],[Полученный платеж]]+Y352),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платеж]]+Y352,SUM(Первоначальный[[#This Row],[Остаток процентов на начало периода]],Первоначальный[[#This Row],[Проценты за период]])),
AND(S352=0,Первоначальный[[#This Row],[Дата платежа из графика]]=""),0,
AND(S352=0,Первоначальный[[#This Row],[Дата платежа из графика]]=1,MAX((0&lt;&gt;S$12:S352)*ROW(S$12:S352),ROW($S$12))&gt;=MAX((1=Z$12:Z352)*ROW(Z$12:Z352),ROW($T$12)),TYPE(VLOOKUP("Да",(INDIRECT("AA"&amp;(MAX((1=Z$12:Z352)*ROW(Z$12:Z352),ROW($T$12))&amp;":AA"&amp;(ROW()-1)))),1,0))=16),MIN(LOOKUP(,-1/($Z$12:Z353=1),$C$12:C353)+LOOKUP(,-1/($Z$12:Z353=1),$H$12:H353),Первоначальный[[#This Row],[Полученный платеж]]+Y352),
AND(S352=0,TYPE(VLOOKUP("Да",(INDIRECT("AA"&amp;(MAX((1=Z$12:Z352)*ROW(Z$12:Z352),ROW($T$12))&amp;":AA"&amp;(ROW()-1)))),1,0))&lt;&gt;16),MIN(LOOKUP(,-1/($Z$12:Z353=1),$C$12:C353)+LOOKUP(,-1/($Z$12:Z353=1),$H$12:H353)-IF(AA352="Да",0,SUM(INDIRECT("T"&amp;(MAX(("Да"=AA$12:AA352)*ROW(AA$12:AA352)+1,ROW($T$12))&amp;":T"&amp;(ROW()-1))))),Первоначальный[[#This Row],[Полученный платеж]]+Y352),
AND(S352=0,MAX((0&lt;&gt;N$12:N352)*ROW(N$12:N352),ROW($S$12))&gt;=MAX((1=Z$12:Z352)*ROW(Z$12:Z352),ROW($T$12))),MIN(LOOKUP(,-1/($Z$12:Z353=1),$C$12:C353)+LOOKUP(,-1/($Z$12:Z353=1),$H$12:H353)-IF(N352&lt;&gt;0,0,SUM(INDIRECT("T"&amp;(MAX((0&lt;&gt;N$12:N352)*ROW(N$12:N352)+1,ROW($T$12))&amp;":T"&amp;(ROW()-1))))),Первоначальный[[#This Row],[Полученный платеж]]+Y352),
AND(S352=0,Первоначальный[[#This Row],[Дата платежа из графика]]=1),MIN(LOOKUP(,-1/($Z$12:Z353=1),$C$12:C353)+LOOKUP(,-1/($Z$12:Z353=1),$H$12:H353)-IF(Z352=1,0,SUM(INDIRECT("T"&amp;(MAX((1=Z$12:Z352)*ROW(Z$12:Z352)+1,ROW($T$12))&amp;":T"&amp;(ROW()-1))))),Первоначальный[[#This Row],[Полученный платеж]]+Y352),
AND(Z352&gt;0,Первоначальный[[#This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платеж]]+Y352),
AND(S352&gt;0,MAX((0&lt;&gt;S$12:S352)*ROW(S$12:S352),ROW($S$12))&gt;=MAX((1=Z$12:Z352)*ROW(Z$12:Z352),ROW($T$12)),TYPE(VLOOKUP("Да",(INDIRECT("AA"&amp;(MAX((1=Z$12:Z352)*ROW(Z$12:Z352),ROW($T$12))&amp;":AA"&amp;(ROW()-1)))),1,0))=16),MIN(LOOKUP(,-1/($Z$12:Z353=1),$C$12:C353)+LOOKUP(,-1/($Z$12:Z353=1),$H$12:H353)-SUM(INDIRECT("T"&amp;(MAX((1=Z$12:Z352)*ROW(Z$12:Z352),ROW($T$12))&amp;":T"&amp;(ROW()-1)))),Первоначальный[[#This Row],[Полученный платеж]]+Y352),
S352&gt;0,MIN(LOOKUP(,-1/($Z$12:Z353=1),$C$12:C353)+LOOKUP(,-1/($Z$12:Z353=1),$H$12:H353)-IF(Z352=1,0,SUM(INDIRECT("T"&amp;(MAX((1=Z$12:Z352)*ROW(Z$12:Z352)+1,ROW($T$12))&amp;":T"&amp;(ROW()-1))))),Первоначальный[[#This Row],[Полученный платеж]]+Y352)
)
)
)</f>
        <v>0</v>
      </c>
      <c r="U35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платеж]]+Y352-Первоначальный[[#This Row],[Полученный платёж по процентам]])</f>
        <v>0</v>
      </c>
      <c r="V353" s="55">
        <f t="shared" ca="1" si="61"/>
        <v>0</v>
      </c>
      <c r="W353" s="55" cm="1">
        <f t="array" aca="1" ref="W353" ca="1">IF(Первоначальный[[#This Row],[Итого остаток на начало периода]]&lt;1,0,
_xlfn.IFS(
AND(TYPE(VLOOKUP(1,$Z$12:Z353,1,0))=16,Первоначальный[[#This Row],[Досрочное погашение (да/"")]]=""),0,
AND(S352=0,Первоначальный[[#This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платеж]]+Y352-SUM(Первоначальный[[#This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комиссиям]]),VLOOKUP(LOOKUP(,-1/($Z$12:Z353=1),$A$12:A353),График[[Срок конец]:[Возврат основной суммы долга]],3,0)),
AND(S352=0,Первоначальный[[#This Row],[Дата платежа из графика]]="",Первоначальный[[#This Row],[Досрочное погашение (да/"")]]&lt;&gt;"Да"),0,
AND(S352=0,Первоначальный[[#This Row],[Досрочное погашение (да/"")]]=""),MIN(Первоначальный[[#This Row],[Полученный платеж]]+Y352-SUM(Первоначальный[[#This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комиссиям]]),VLOOKUP(LOOKUP(,-1/($Z$12:Z353=1),$A$12:A353),График[[Срок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платеж]]+Y352-SUM(Первоначальный[[#This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S352&gt;0,MIN(Первоначальный[[#This Row],[Полученный платеж]]+Y352-SUM(Первоначальный[[#This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комиссиям]]),SUM(INDIRECT("M"&amp;(MAX((1=S$12:S352)*ROW(S$12:S352),ROW($W$12))&amp;":M"&amp;(ROW()))))-SUM(INDIRECT("W"&amp;(MAX((1=S$12:S352)*ROW(S$12:S352),ROW($W$12))&amp;":W"&amp;(ROW()-1)))))
)
)</f>
        <v>0</v>
      </c>
      <c r="X353" s="55">
        <f t="shared" ca="1" si="62"/>
        <v>0</v>
      </c>
      <c r="Y353" s="101">
        <f t="shared" ca="1" si="69"/>
        <v>0</v>
      </c>
      <c r="Z353" s="133" t="str">
        <f>IF(TYPE((VLOOKUP(Первоначальный[[#This Row],[Дата платежа]],График[Срок конец],1,0)))=16,"",1)</f>
        <v/>
      </c>
      <c r="AA353" s="57"/>
      <c r="AB353" s="134"/>
      <c r="AC35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5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22465.649999999969</v>
      </c>
      <c r="AE35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282.35000000000036</v>
      </c>
      <c r="AF35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5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16742.587316393438</v>
      </c>
      <c r="AH353" s="55"/>
      <c r="AI353" s="55"/>
      <c r="AJ353" s="55"/>
      <c r="AK353" s="101">
        <f t="shared" ca="1" si="70"/>
        <v>189123.92731639341</v>
      </c>
      <c r="AL353" s="129">
        <f t="array" ref="AL353">MAX((УслРестрактов[Характеристика]="Дата реструктуризации")*(УслРестрактов[Значение]=Первоначальный!$A353),0)</f>
        <v>0</v>
      </c>
    </row>
    <row r="354" spans="1:38" x14ac:dyDescent="0.25">
      <c r="A354" s="97">
        <f t="shared" si="63"/>
        <v>44485</v>
      </c>
      <c r="B354" s="100">
        <f t="shared" ca="1" si="64"/>
        <v>149633.34</v>
      </c>
      <c r="C354" s="55">
        <f t="shared" ca="1" si="72"/>
        <v>22465.649999999969</v>
      </c>
      <c r="D354" s="55">
        <f t="shared" ca="1" si="72"/>
        <v>282.35000000000036</v>
      </c>
      <c r="E354" s="55">
        <f t="shared" ca="1" si="65"/>
        <v>0</v>
      </c>
      <c r="F354" s="55">
        <f t="shared" ca="1" si="66"/>
        <v>16742.587316393438</v>
      </c>
      <c r="G354" s="101">
        <f t="shared" ca="1" si="67"/>
        <v>189123.92731639341</v>
      </c>
      <c r="H354" s="100">
        <f ca="1">ROUND($B354*VLOOKUP($A354,$A$1:$B$10,2,1)/(365+IF(MOD(YEAR($A354),4),0,1)*($A354-$A353)),2)-Первоначальный[[#This Row],[Проценты на просроченный платеж по ОД за период]]</f>
        <v>79.36</v>
      </c>
      <c r="I354" s="55">
        <f t="shared" ca="1" si="68"/>
        <v>2.2200000000000002</v>
      </c>
      <c r="J354" s="55">
        <v>0</v>
      </c>
      <c r="K354" s="55">
        <f t="shared" ca="1" si="71"/>
        <v>130.29850327868854</v>
      </c>
      <c r="L354" s="55">
        <v>0</v>
      </c>
      <c r="M354" s="113">
        <f>SUMIFS(График[Возврат основной суммы долга],График[Дата с учетом нерабочих дней],$A354)</f>
        <v>0</v>
      </c>
      <c r="N354" s="56">
        <f>SUMIFS(График[Возврат начисленных %],График[Дата с учетом нерабочих дней],$A354)</f>
        <v>0</v>
      </c>
      <c r="O354" s="101">
        <v>0</v>
      </c>
      <c r="P354" s="100" cm="1">
        <f t="array" aca="1" ref="P354" ca="1">MAX(IF(AA353="Да",0,SUM(INDIRECT("M"&amp;(MAX(("Да"=AA$12:AA353)*ROW(AA$12:AA353)+1,ROW($P$12))&amp;":M"&amp;(ROW()))))-SUM(INDIRECT("W"&amp;(MAX(("Да"=AA$12:AA353)*ROW(AA$12:AA353)+1,ROW($P$12))&amp;":W"&amp;(ROW()))))),0)</f>
        <v>4071.5099999999998</v>
      </c>
      <c r="Q354" s="99">
        <f ca="1">MAX(SUM($N$13:N354)-SUM($T$13:T354),0)</f>
        <v>21988.190655737708</v>
      </c>
      <c r="R354" s="99">
        <f ca="1">Первоначальный[[#This Row],[Просроченный платеж по ОД]]+Первоначальный[[#This Row],[Просроченный платеж по процентам]]</f>
        <v>26059.700655737706</v>
      </c>
      <c r="S354" s="120">
        <f ca="1">IF(Первоначальный[[#This Row],[Просроченный платеж]]&lt;1,0,S353+1)</f>
        <v>250</v>
      </c>
      <c r="T354" s="100" cm="1">
        <f t="array" aca="1" ref="T354" ca="1">IF(Первоначальный[[#This Row],[Итого остаток на начало периода]]&lt;1,0,
IF(
AND(TYPE(VLOOKUP(1,$Z$12:Z354,1,0))=16,Первоначальный[[#This Row],[Досрочное погашение (да/"")]]=""),0,
_xlfn.IFS(AND(S353=0,Первоначальный[[#This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платеж]]&lt;&gt;0),MIN(LOOKUP(,-1/($Z$12:Z354=1),$C$12:C354)+LOOKUP(,-1/($Z$12:Z354=1),$H$12:H354),Первоначальный[[#This Row],[Полученный платеж]]+Y353),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платеж]]+Y353,SUM(Первоначальный[[#This Row],[Остаток процентов на начало периода]],Первоначальный[[#This Row],[Проценты за период]])),
AND(S353=0,Первоначальный[[#This Row],[Дата платежа из графика]]=""),0,
AND(S353=0,Первоначальный[[#This Row],[Дата платежа из графика]]=1,MAX((0&lt;&gt;S$12:S353)*ROW(S$12:S353),ROW($S$12))&gt;=MAX((1=Z$12:Z353)*ROW(Z$12:Z353),ROW($T$12)),TYPE(VLOOKUP("Да",(INDIRECT("AA"&amp;(MAX((1=Z$12:Z353)*ROW(Z$12:Z353),ROW($T$12))&amp;":AA"&amp;(ROW()-1)))),1,0))=16),MIN(LOOKUP(,-1/($Z$12:Z354=1),$C$12:C354)+LOOKUP(,-1/($Z$12:Z354=1),$H$12:H354),Первоначальный[[#This Row],[Полученный платеж]]+Y353),
AND(S353=0,TYPE(VLOOKUP("Да",(INDIRECT("AA"&amp;(MAX((1=Z$12:Z353)*ROW(Z$12:Z353),ROW($T$12))&amp;":AA"&amp;(ROW()-1)))),1,0))&lt;&gt;16),MIN(LOOKUP(,-1/($Z$12:Z354=1),$C$12:C354)+LOOKUP(,-1/($Z$12:Z354=1),$H$12:H354)-IF(AA353="Да",0,SUM(INDIRECT("T"&amp;(MAX(("Да"=AA$12:AA353)*ROW(AA$12:AA353)+1,ROW($T$12))&amp;":T"&amp;(ROW()-1))))),Первоначальный[[#This Row],[Полученный платеж]]+Y353),
AND(S353=0,MAX((0&lt;&gt;N$12:N353)*ROW(N$12:N353),ROW($S$12))&gt;=MAX((1=Z$12:Z353)*ROW(Z$12:Z353),ROW($T$12))),MIN(LOOKUP(,-1/($Z$12:Z354=1),$C$12:C354)+LOOKUP(,-1/($Z$12:Z354=1),$H$12:H354)-IF(N353&lt;&gt;0,0,SUM(INDIRECT("T"&amp;(MAX((0&lt;&gt;N$12:N353)*ROW(N$12:N353)+1,ROW($T$12))&amp;":T"&amp;(ROW()-1))))),Первоначальный[[#This Row],[Полученный платеж]]+Y353),
AND(S353=0,Первоначальный[[#This Row],[Дата платежа из графика]]=1),MIN(LOOKUP(,-1/($Z$12:Z354=1),$C$12:C354)+LOOKUP(,-1/($Z$12:Z354=1),$H$12:H354)-IF(Z353=1,0,SUM(INDIRECT("T"&amp;(MAX((1=Z$12:Z353)*ROW(Z$12:Z353)+1,ROW($T$12))&amp;":T"&amp;(ROW()-1))))),Первоначальный[[#This Row],[Полученный платеж]]+Y353),
AND(Z353&gt;0,Первоначальный[[#This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платеж]]+Y353),
AND(S353&gt;0,MAX((0&lt;&gt;S$12:S353)*ROW(S$12:S353),ROW($S$12))&gt;=MAX((1=Z$12:Z353)*ROW(Z$12:Z353),ROW($T$12)),TYPE(VLOOKUP("Да",(INDIRECT("AA"&amp;(MAX((1=Z$12:Z353)*ROW(Z$12:Z353),ROW($T$12))&amp;":AA"&amp;(ROW()-1)))),1,0))=16),MIN(LOOKUP(,-1/($Z$12:Z354=1),$C$12:C354)+LOOKUP(,-1/($Z$12:Z354=1),$H$12:H354)-SUM(INDIRECT("T"&amp;(MAX((1=Z$12:Z353)*ROW(Z$12:Z353),ROW($T$12))&amp;":T"&amp;(ROW()-1)))),Первоначальный[[#This Row],[Полученный платеж]]+Y353),
S353&gt;0,MIN(LOOKUP(,-1/($Z$12:Z354=1),$C$12:C354)+LOOKUP(,-1/($Z$12:Z354=1),$H$12:H354)-IF(Z353=1,0,SUM(INDIRECT("T"&amp;(MAX((1=Z$12:Z353)*ROW(Z$12:Z353)+1,ROW($T$12))&amp;":T"&amp;(ROW()-1))))),Первоначальный[[#This Row],[Полученный платеж]]+Y353)
)
)
)</f>
        <v>0</v>
      </c>
      <c r="U35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платеж]]+Y353-Первоначальный[[#This Row],[Полученный платёж по процентам]])</f>
        <v>0</v>
      </c>
      <c r="V354" s="55">
        <f t="shared" ca="1" si="61"/>
        <v>0</v>
      </c>
      <c r="W354" s="55" cm="1">
        <f t="array" aca="1" ref="W354" ca="1">IF(Первоначальный[[#This Row],[Итого остаток на начало периода]]&lt;1,0,
_xlfn.IFS(
AND(TYPE(VLOOKUP(1,$Z$12:Z354,1,0))=16,Первоначальный[[#This Row],[Досрочное погашение (да/"")]]=""),0,
AND(S353=0,Первоначальный[[#This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платеж]]+Y353-SUM(Первоначальный[[#This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комиссиям]]),VLOOKUP(LOOKUP(,-1/($Z$12:Z354=1),$A$12:A354),График[[Срок конец]:[Возврат основной суммы долга]],3,0)),
AND(S353=0,Первоначальный[[#This Row],[Дата платежа из графика]]="",Первоначальный[[#This Row],[Досрочное погашение (да/"")]]&lt;&gt;"Да"),0,
AND(S353=0,Первоначальный[[#This Row],[Досрочное погашение (да/"")]]=""),MIN(Первоначальный[[#This Row],[Полученный платеж]]+Y353-SUM(Первоначальный[[#This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комиссиям]]),VLOOKUP(LOOKUP(,-1/($Z$12:Z354=1),$A$12:A354),График[[Срок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платеж]]+Y353-SUM(Первоначальный[[#This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S353&gt;0,MIN(Первоначальный[[#This Row],[Полученный платеж]]+Y353-SUM(Первоначальный[[#This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комиссиям]]),SUM(INDIRECT("M"&amp;(MAX((1=S$12:S353)*ROW(S$12:S353),ROW($W$12))&amp;":M"&amp;(ROW()))))-SUM(INDIRECT("W"&amp;(MAX((1=S$12:S353)*ROW(S$12:S353),ROW($W$12))&amp;":W"&amp;(ROW()-1)))))
)
)</f>
        <v>0</v>
      </c>
      <c r="X354" s="55">
        <f t="shared" ca="1" si="62"/>
        <v>0</v>
      </c>
      <c r="Y354" s="101">
        <f t="shared" ca="1" si="69"/>
        <v>0</v>
      </c>
      <c r="Z354" s="133" t="str">
        <f>IF(TYPE((VLOOKUP(Первоначальный[[#This Row],[Дата платежа]],График[Срок конец],1,0)))=16,"",1)</f>
        <v/>
      </c>
      <c r="AA354" s="57"/>
      <c r="AB354" s="134"/>
      <c r="AC35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5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22545.009999999969</v>
      </c>
      <c r="AE35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284.57000000000039</v>
      </c>
      <c r="AF35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5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16872.885819672127</v>
      </c>
      <c r="AH354" s="55"/>
      <c r="AI354" s="55"/>
      <c r="AJ354" s="55"/>
      <c r="AK354" s="101">
        <f t="shared" ca="1" si="70"/>
        <v>189335.80581967212</v>
      </c>
      <c r="AL354" s="129">
        <f t="array" ref="AL354">MAX((УслРестрактов[Характеристика]="Дата реструктуризации")*(УслРестрактов[Значение]=Первоначальный!$A354),0)</f>
        <v>0</v>
      </c>
    </row>
    <row r="355" spans="1:38" x14ac:dyDescent="0.25">
      <c r="A355" s="97">
        <f t="shared" si="63"/>
        <v>44486</v>
      </c>
      <c r="B355" s="100">
        <f t="shared" ca="1" si="64"/>
        <v>149633.34</v>
      </c>
      <c r="C355" s="55">
        <f t="shared" ca="1" si="72"/>
        <v>22545.009999999969</v>
      </c>
      <c r="D355" s="55">
        <f t="shared" ca="1" si="72"/>
        <v>284.57000000000039</v>
      </c>
      <c r="E355" s="55">
        <f t="shared" ca="1" si="65"/>
        <v>0</v>
      </c>
      <c r="F355" s="55">
        <f t="shared" ca="1" si="66"/>
        <v>16872.885819672127</v>
      </c>
      <c r="G355" s="101">
        <f t="shared" ca="1" si="67"/>
        <v>189335.80581967212</v>
      </c>
      <c r="H355" s="100">
        <f ca="1">ROUND($B355*VLOOKUP($A355,$A$1:$B$10,2,1)/(365+IF(MOD(YEAR($A355),4),0,1)*($A355-$A354)),2)-Первоначальный[[#This Row],[Проценты на просроченный платеж по ОД за период]]</f>
        <v>79.36</v>
      </c>
      <c r="I355" s="55">
        <f t="shared" ca="1" si="68"/>
        <v>2.2200000000000002</v>
      </c>
      <c r="J355" s="55">
        <v>0</v>
      </c>
      <c r="K355" s="55">
        <f t="shared" ca="1" si="71"/>
        <v>130.29850327868854</v>
      </c>
      <c r="L355" s="55">
        <v>0</v>
      </c>
      <c r="M355" s="113">
        <f>SUMIFS(График[Возврат основной суммы долга],График[Дата с учетом нерабочих дней],$A355)</f>
        <v>0</v>
      </c>
      <c r="N355" s="56">
        <f>SUMIFS(График[Возврат начисленных %],График[Дата с учетом нерабочих дней],$A355)</f>
        <v>0</v>
      </c>
      <c r="O355" s="101">
        <v>0</v>
      </c>
      <c r="P355" s="100" cm="1">
        <f t="array" aca="1" ref="P355" ca="1">MAX(IF(AA354="Да",0,SUM(INDIRECT("M"&amp;(MAX(("Да"=AA$12:AA354)*ROW(AA$12:AA354)+1,ROW($P$12))&amp;":M"&amp;(ROW()))))-SUM(INDIRECT("W"&amp;(MAX(("Да"=AA$12:AA354)*ROW(AA$12:AA354)+1,ROW($P$12))&amp;":W"&amp;(ROW()))))),0)</f>
        <v>4071.5099999999998</v>
      </c>
      <c r="Q355" s="99">
        <f ca="1">MAX(SUM($N$13:N355)-SUM($T$13:T355),0)</f>
        <v>21988.190655737708</v>
      </c>
      <c r="R355" s="99">
        <f ca="1">Первоначальный[[#This Row],[Просроченный платеж по ОД]]+Первоначальный[[#This Row],[Просроченный платеж по процентам]]</f>
        <v>26059.700655737706</v>
      </c>
      <c r="S355" s="120">
        <f ca="1">IF(Первоначальный[[#This Row],[Просроченный платеж]]&lt;1,0,S354+1)</f>
        <v>251</v>
      </c>
      <c r="T355" s="100" cm="1">
        <f t="array" aca="1" ref="T355" ca="1">IF(Первоначальный[[#This Row],[Итого остаток на начало периода]]&lt;1,0,
IF(
AND(TYPE(VLOOKUP(1,$Z$12:Z355,1,0))=16,Первоначальный[[#This Row],[Досрочное погашение (да/"")]]=""),0,
_xlfn.IFS(AND(S354=0,Первоначальный[[#This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платеж]]&lt;&gt;0),MIN(LOOKUP(,-1/($Z$12:Z355=1),$C$12:C355)+LOOKUP(,-1/($Z$12:Z355=1),$H$12:H355),Первоначальный[[#This Row],[Полученный платеж]]+Y354),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платеж]]+Y354,SUM(Первоначальный[[#This Row],[Остаток процентов на начало периода]],Первоначальный[[#This Row],[Проценты за период]])),
AND(S354=0,Первоначальный[[#This Row],[Дата платежа из графика]]=""),0,
AND(S354=0,Первоначальный[[#This Row],[Дата платежа из графика]]=1,MAX((0&lt;&gt;S$12:S354)*ROW(S$12:S354),ROW($S$12))&gt;=MAX((1=Z$12:Z354)*ROW(Z$12:Z354),ROW($T$12)),TYPE(VLOOKUP("Да",(INDIRECT("AA"&amp;(MAX((1=Z$12:Z354)*ROW(Z$12:Z354),ROW($T$12))&amp;":AA"&amp;(ROW()-1)))),1,0))=16),MIN(LOOKUP(,-1/($Z$12:Z355=1),$C$12:C355)+LOOKUP(,-1/($Z$12:Z355=1),$H$12:H355),Первоначальный[[#This Row],[Полученный платеж]]+Y354),
AND(S354=0,TYPE(VLOOKUP("Да",(INDIRECT("AA"&amp;(MAX((1=Z$12:Z354)*ROW(Z$12:Z354),ROW($T$12))&amp;":AA"&amp;(ROW()-1)))),1,0))&lt;&gt;16),MIN(LOOKUP(,-1/($Z$12:Z355=1),$C$12:C355)+LOOKUP(,-1/($Z$12:Z355=1),$H$12:H355)-IF(AA354="Да",0,SUM(INDIRECT("T"&amp;(MAX(("Да"=AA$12:AA354)*ROW(AA$12:AA354)+1,ROW($T$12))&amp;":T"&amp;(ROW()-1))))),Первоначальный[[#This Row],[Полученный платеж]]+Y354),
AND(S354=0,MAX((0&lt;&gt;N$12:N354)*ROW(N$12:N354),ROW($S$12))&gt;=MAX((1=Z$12:Z354)*ROW(Z$12:Z354),ROW($T$12))),MIN(LOOKUP(,-1/($Z$12:Z355=1),$C$12:C355)+LOOKUP(,-1/($Z$12:Z355=1),$H$12:H355)-IF(N354&lt;&gt;0,0,SUM(INDIRECT("T"&amp;(MAX((0&lt;&gt;N$12:N354)*ROW(N$12:N354)+1,ROW($T$12))&amp;":T"&amp;(ROW()-1))))),Первоначальный[[#This Row],[Полученный платеж]]+Y354),
AND(S354=0,Первоначальный[[#This Row],[Дата платежа из графика]]=1),MIN(LOOKUP(,-1/($Z$12:Z355=1),$C$12:C355)+LOOKUP(,-1/($Z$12:Z355=1),$H$12:H355)-IF(Z354=1,0,SUM(INDIRECT("T"&amp;(MAX((1=Z$12:Z354)*ROW(Z$12:Z354)+1,ROW($T$12))&amp;":T"&amp;(ROW()-1))))),Первоначальный[[#This Row],[Полученный платеж]]+Y354),
AND(Z354&gt;0,Первоначальный[[#This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платеж]]+Y354),
AND(S354&gt;0,MAX((0&lt;&gt;S$12:S354)*ROW(S$12:S354),ROW($S$12))&gt;=MAX((1=Z$12:Z354)*ROW(Z$12:Z354),ROW($T$12)),TYPE(VLOOKUP("Да",(INDIRECT("AA"&amp;(MAX((1=Z$12:Z354)*ROW(Z$12:Z354),ROW($T$12))&amp;":AA"&amp;(ROW()-1)))),1,0))=16),MIN(LOOKUP(,-1/($Z$12:Z355=1),$C$12:C355)+LOOKUP(,-1/($Z$12:Z355=1),$H$12:H355)-SUM(INDIRECT("T"&amp;(MAX((1=Z$12:Z354)*ROW(Z$12:Z354),ROW($T$12))&amp;":T"&amp;(ROW()-1)))),Первоначальный[[#This Row],[Полученный платеж]]+Y354),
S354&gt;0,MIN(LOOKUP(,-1/($Z$12:Z355=1),$C$12:C355)+LOOKUP(,-1/($Z$12:Z355=1),$H$12:H355)-IF(Z354=1,0,SUM(INDIRECT("T"&amp;(MAX((1=Z$12:Z354)*ROW(Z$12:Z354)+1,ROW($T$12))&amp;":T"&amp;(ROW()-1))))),Первоначальный[[#This Row],[Полученный платеж]]+Y354)
)
)
)</f>
        <v>0</v>
      </c>
      <c r="U35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платеж]]+Y354-Первоначальный[[#This Row],[Полученный платёж по процентам]])</f>
        <v>0</v>
      </c>
      <c r="V355" s="55">
        <f t="shared" ca="1" si="61"/>
        <v>0</v>
      </c>
      <c r="W355" s="55" cm="1">
        <f t="array" aca="1" ref="W355" ca="1">IF(Первоначальный[[#This Row],[Итого остаток на начало периода]]&lt;1,0,
_xlfn.IFS(
AND(TYPE(VLOOKUP(1,$Z$12:Z355,1,0))=16,Первоначальный[[#This Row],[Досрочное погашение (да/"")]]=""),0,
AND(S354=0,Первоначальный[[#This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платеж]]+Y354-SUM(Первоначальный[[#This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комиссиям]]),VLOOKUP(LOOKUP(,-1/($Z$12:Z355=1),$A$12:A355),График[[Срок конец]:[Возврат основной суммы долга]],3,0)),
AND(S354=0,Первоначальный[[#This Row],[Дата платежа из графика]]="",Первоначальный[[#This Row],[Досрочное погашение (да/"")]]&lt;&gt;"Да"),0,
AND(S354=0,Первоначальный[[#This Row],[Досрочное погашение (да/"")]]=""),MIN(Первоначальный[[#This Row],[Полученный платеж]]+Y354-SUM(Первоначальный[[#This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комиссиям]]),VLOOKUP(LOOKUP(,-1/($Z$12:Z355=1),$A$12:A355),График[[Срок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платеж]]+Y354-SUM(Первоначальный[[#This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S354&gt;0,MIN(Первоначальный[[#This Row],[Полученный платеж]]+Y354-SUM(Первоначальный[[#This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комиссиям]]),SUM(INDIRECT("M"&amp;(MAX((1=S$12:S354)*ROW(S$12:S354),ROW($W$12))&amp;":M"&amp;(ROW()))))-SUM(INDIRECT("W"&amp;(MAX((1=S$12:S354)*ROW(S$12:S354),ROW($W$12))&amp;":W"&amp;(ROW()-1)))))
)
)</f>
        <v>0</v>
      </c>
      <c r="X355" s="55">
        <f t="shared" ca="1" si="62"/>
        <v>0</v>
      </c>
      <c r="Y355" s="101">
        <f t="shared" ca="1" si="69"/>
        <v>0</v>
      </c>
      <c r="Z355" s="133" t="str">
        <f>IF(TYPE((VLOOKUP(Первоначальный[[#This Row],[Дата платежа]],График[Срок конец],1,0)))=16,"",1)</f>
        <v/>
      </c>
      <c r="AA355" s="57"/>
      <c r="AB355" s="134"/>
      <c r="AC35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5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22624.36999999997</v>
      </c>
      <c r="AE35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286.79000000000042</v>
      </c>
      <c r="AF35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5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17003.184322950816</v>
      </c>
      <c r="AH355" s="55"/>
      <c r="AI355" s="55"/>
      <c r="AJ355" s="55"/>
      <c r="AK355" s="101">
        <f t="shared" ca="1" si="70"/>
        <v>189547.68432295078</v>
      </c>
      <c r="AL355" s="129">
        <f t="array" ref="AL355">MAX((УслРестрактов[Характеристика]="Дата реструктуризации")*(УслРестрактов[Значение]=Первоначальный!$A355),0)</f>
        <v>0</v>
      </c>
    </row>
    <row r="356" spans="1:38" x14ac:dyDescent="0.25">
      <c r="A356" s="97">
        <f t="shared" si="63"/>
        <v>44487</v>
      </c>
      <c r="B356" s="100">
        <f t="shared" ca="1" si="64"/>
        <v>149633.34</v>
      </c>
      <c r="C356" s="55">
        <f t="shared" ca="1" si="72"/>
        <v>22624.36999999997</v>
      </c>
      <c r="D356" s="55">
        <f t="shared" ca="1" si="72"/>
        <v>286.79000000000042</v>
      </c>
      <c r="E356" s="55">
        <f t="shared" ca="1" si="65"/>
        <v>0</v>
      </c>
      <c r="F356" s="55">
        <f t="shared" ca="1" si="66"/>
        <v>17003.184322950816</v>
      </c>
      <c r="G356" s="101">
        <f t="shared" ca="1" si="67"/>
        <v>189547.68432295078</v>
      </c>
      <c r="H356" s="100">
        <f ca="1">ROUND($B356*VLOOKUP($A356,$A$1:$B$10,2,1)/(365+IF(MOD(YEAR($A356),4),0,1)*($A356-$A355)),2)-Первоначальный[[#This Row],[Проценты на просроченный платеж по ОД за период]]</f>
        <v>79.36</v>
      </c>
      <c r="I356" s="55">
        <f t="shared" ca="1" si="68"/>
        <v>2.2200000000000002</v>
      </c>
      <c r="J356" s="55">
        <v>0</v>
      </c>
      <c r="K356" s="55">
        <f t="shared" ca="1" si="71"/>
        <v>130.29850327868854</v>
      </c>
      <c r="L356" s="55">
        <v>0</v>
      </c>
      <c r="M356" s="113">
        <f>SUMIFS(График[Возврат основной суммы долга],График[Дата с учетом нерабочих дней],$A356)</f>
        <v>0</v>
      </c>
      <c r="N356" s="56">
        <f>SUMIFS(График[Возврат начисленных %],График[Дата с учетом нерабочих дней],$A356)</f>
        <v>0</v>
      </c>
      <c r="O356" s="101">
        <v>0</v>
      </c>
      <c r="P356" s="100" cm="1">
        <f t="array" aca="1" ref="P356" ca="1">MAX(IF(AA355="Да",0,SUM(INDIRECT("M"&amp;(MAX(("Да"=AA$12:AA355)*ROW(AA$12:AA355)+1,ROW($P$12))&amp;":M"&amp;(ROW()))))-SUM(INDIRECT("W"&amp;(MAX(("Да"=AA$12:AA355)*ROW(AA$12:AA355)+1,ROW($P$12))&amp;":W"&amp;(ROW()))))),0)</f>
        <v>4071.5099999999998</v>
      </c>
      <c r="Q356" s="99">
        <f ca="1">MAX(SUM($N$13:N356)-SUM($T$13:T356),0)</f>
        <v>21988.190655737708</v>
      </c>
      <c r="R356" s="99">
        <f ca="1">Первоначальный[[#This Row],[Просроченный платеж по ОД]]+Первоначальный[[#This Row],[Просроченный платеж по процентам]]</f>
        <v>26059.700655737706</v>
      </c>
      <c r="S356" s="120">
        <f ca="1">IF(Первоначальный[[#This Row],[Просроченный платеж]]&lt;1,0,S355+1)</f>
        <v>252</v>
      </c>
      <c r="T356" s="100" cm="1">
        <f t="array" aca="1" ref="T356" ca="1">IF(Первоначальный[[#This Row],[Итого остаток на начало периода]]&lt;1,0,
IF(
AND(TYPE(VLOOKUP(1,$Z$12:Z356,1,0))=16,Первоначальный[[#This Row],[Досрочное погашение (да/"")]]=""),0,
_xlfn.IFS(AND(S355=0,Первоначальный[[#This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платеж]]&lt;&gt;0),MIN(LOOKUP(,-1/($Z$12:Z356=1),$C$12:C356)+LOOKUP(,-1/($Z$12:Z356=1),$H$12:H356),Первоначальный[[#This Row],[Полученный платеж]]+Y355),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платеж]]+Y355,SUM(Первоначальный[[#This Row],[Остаток процентов на начало периода]],Первоначальный[[#This Row],[Проценты за период]])),
AND(S355=0,Первоначальный[[#This Row],[Дата платежа из графика]]=""),0,
AND(S355=0,Первоначальный[[#This Row],[Дата платежа из графика]]=1,MAX((0&lt;&gt;S$12:S355)*ROW(S$12:S355),ROW($S$12))&gt;=MAX((1=Z$12:Z355)*ROW(Z$12:Z355),ROW($T$12)),TYPE(VLOOKUP("Да",(INDIRECT("AA"&amp;(MAX((1=Z$12:Z355)*ROW(Z$12:Z355),ROW($T$12))&amp;":AA"&amp;(ROW()-1)))),1,0))=16),MIN(LOOKUP(,-1/($Z$12:Z356=1),$C$12:C356)+LOOKUP(,-1/($Z$12:Z356=1),$H$12:H356),Первоначальный[[#This Row],[Полученный платеж]]+Y355),
AND(S355=0,TYPE(VLOOKUP("Да",(INDIRECT("AA"&amp;(MAX((1=Z$12:Z355)*ROW(Z$12:Z355),ROW($T$12))&amp;":AA"&amp;(ROW()-1)))),1,0))&lt;&gt;16),MIN(LOOKUP(,-1/($Z$12:Z356=1),$C$12:C356)+LOOKUP(,-1/($Z$12:Z356=1),$H$12:H356)-IF(AA355="Да",0,SUM(INDIRECT("T"&amp;(MAX(("Да"=AA$12:AA355)*ROW(AA$12:AA355)+1,ROW($T$12))&amp;":T"&amp;(ROW()-1))))),Первоначальный[[#This Row],[Полученный платеж]]+Y355),
AND(S355=0,MAX((0&lt;&gt;N$12:N355)*ROW(N$12:N355),ROW($S$12))&gt;=MAX((1=Z$12:Z355)*ROW(Z$12:Z355),ROW($T$12))),MIN(LOOKUP(,-1/($Z$12:Z356=1),$C$12:C356)+LOOKUP(,-1/($Z$12:Z356=1),$H$12:H356)-IF(N355&lt;&gt;0,0,SUM(INDIRECT("T"&amp;(MAX((0&lt;&gt;N$12:N355)*ROW(N$12:N355)+1,ROW($T$12))&amp;":T"&amp;(ROW()-1))))),Первоначальный[[#This Row],[Полученный платеж]]+Y355),
AND(S355=0,Первоначальный[[#This Row],[Дата платежа из графика]]=1),MIN(LOOKUP(,-1/($Z$12:Z356=1),$C$12:C356)+LOOKUP(,-1/($Z$12:Z356=1),$H$12:H356)-IF(Z355=1,0,SUM(INDIRECT("T"&amp;(MAX((1=Z$12:Z355)*ROW(Z$12:Z355)+1,ROW($T$12))&amp;":T"&amp;(ROW()-1))))),Первоначальный[[#This Row],[Полученный платеж]]+Y355),
AND(Z355&gt;0,Первоначальный[[#This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платеж]]+Y355),
AND(S355&gt;0,MAX((0&lt;&gt;S$12:S355)*ROW(S$12:S355),ROW($S$12))&gt;=MAX((1=Z$12:Z355)*ROW(Z$12:Z355),ROW($T$12)),TYPE(VLOOKUP("Да",(INDIRECT("AA"&amp;(MAX((1=Z$12:Z355)*ROW(Z$12:Z355),ROW($T$12))&amp;":AA"&amp;(ROW()-1)))),1,0))=16),MIN(LOOKUP(,-1/($Z$12:Z356=1),$C$12:C356)+LOOKUP(,-1/($Z$12:Z356=1),$H$12:H356)-SUM(INDIRECT("T"&amp;(MAX((1=Z$12:Z355)*ROW(Z$12:Z355),ROW($T$12))&amp;":T"&amp;(ROW()-1)))),Первоначальный[[#This Row],[Полученный платеж]]+Y355),
S355&gt;0,MIN(LOOKUP(,-1/($Z$12:Z356=1),$C$12:C356)+LOOKUP(,-1/($Z$12:Z356=1),$H$12:H356)-IF(Z355=1,0,SUM(INDIRECT("T"&amp;(MAX((1=Z$12:Z355)*ROW(Z$12:Z355)+1,ROW($T$12))&amp;":T"&amp;(ROW()-1))))),Первоначальный[[#This Row],[Полученный платеж]]+Y355)
)
)
)</f>
        <v>0</v>
      </c>
      <c r="U35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платеж]]+Y355-Первоначальный[[#This Row],[Полученный платёж по процентам]])</f>
        <v>0</v>
      </c>
      <c r="V356" s="55">
        <f t="shared" ca="1" si="61"/>
        <v>0</v>
      </c>
      <c r="W356" s="55" cm="1">
        <f t="array" aca="1" ref="W356" ca="1">IF(Первоначальный[[#This Row],[Итого остаток на начало периода]]&lt;1,0,
_xlfn.IFS(
AND(TYPE(VLOOKUP(1,$Z$12:Z356,1,0))=16,Первоначальный[[#This Row],[Досрочное погашение (да/"")]]=""),0,
AND(S355=0,Первоначальный[[#This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платеж]]+Y355-SUM(Первоначальный[[#This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комиссиям]]),VLOOKUP(LOOKUP(,-1/($Z$12:Z356=1),$A$12:A356),График[[Срок конец]:[Возврат основной суммы долга]],3,0)),
AND(S355=0,Первоначальный[[#This Row],[Дата платежа из графика]]="",Первоначальный[[#This Row],[Досрочное погашение (да/"")]]&lt;&gt;"Да"),0,
AND(S355=0,Первоначальный[[#This Row],[Досрочное погашение (да/"")]]=""),MIN(Первоначальный[[#This Row],[Полученный платеж]]+Y355-SUM(Первоначальный[[#This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комиссиям]]),VLOOKUP(LOOKUP(,-1/($Z$12:Z356=1),$A$12:A356),График[[Срок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платеж]]+Y355-SUM(Первоначальный[[#This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S355&gt;0,MIN(Первоначальный[[#This Row],[Полученный платеж]]+Y355-SUM(Первоначальный[[#This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комиссиям]]),SUM(INDIRECT("M"&amp;(MAX((1=S$12:S355)*ROW(S$12:S355),ROW($W$12))&amp;":M"&amp;(ROW()))))-SUM(INDIRECT("W"&amp;(MAX((1=S$12:S355)*ROW(S$12:S355),ROW($W$12))&amp;":W"&amp;(ROW()-1)))))
)
)</f>
        <v>0</v>
      </c>
      <c r="X356" s="55">
        <f t="shared" ca="1" si="62"/>
        <v>0</v>
      </c>
      <c r="Y356" s="101">
        <f t="shared" ca="1" si="69"/>
        <v>0</v>
      </c>
      <c r="Z356" s="133" t="str">
        <f>IF(TYPE((VLOOKUP(Первоначальный[[#This Row],[Дата платежа]],График[Срок конец],1,0)))=16,"",1)</f>
        <v/>
      </c>
      <c r="AA356" s="57"/>
      <c r="AB356" s="134"/>
      <c r="AC35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5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22703.72999999997</v>
      </c>
      <c r="AE35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289.01000000000045</v>
      </c>
      <c r="AF35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5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17133.482826229505</v>
      </c>
      <c r="AH356" s="55"/>
      <c r="AI356" s="55"/>
      <c r="AJ356" s="55"/>
      <c r="AK356" s="101">
        <f t="shared" ca="1" si="70"/>
        <v>189759.56282622949</v>
      </c>
      <c r="AL356" s="129">
        <f t="array" ref="AL356">MAX((УслРестрактов[Характеристика]="Дата реструктуризации")*(УслРестрактов[Значение]=Первоначальный!$A356),0)</f>
        <v>0</v>
      </c>
    </row>
    <row r="357" spans="1:38" x14ac:dyDescent="0.25">
      <c r="A357" s="97">
        <f t="shared" si="63"/>
        <v>44488</v>
      </c>
      <c r="B357" s="100">
        <f t="shared" ca="1" si="64"/>
        <v>149633.34</v>
      </c>
      <c r="C357" s="55">
        <f t="shared" ca="1" si="72"/>
        <v>22703.72999999997</v>
      </c>
      <c r="D357" s="55">
        <f t="shared" ca="1" si="72"/>
        <v>289.01000000000045</v>
      </c>
      <c r="E357" s="55">
        <f t="shared" ca="1" si="65"/>
        <v>0</v>
      </c>
      <c r="F357" s="55">
        <f t="shared" ca="1" si="66"/>
        <v>17133.482826229505</v>
      </c>
      <c r="G357" s="101">
        <f t="shared" ca="1" si="67"/>
        <v>189759.56282622949</v>
      </c>
      <c r="H357" s="100">
        <f ca="1">ROUND($B357*VLOOKUP($A357,$A$1:$B$10,2,1)/(365+IF(MOD(YEAR($A357),4),0,1)*($A357-$A356)),2)-Первоначальный[[#This Row],[Проценты на просроченный платеж по ОД за период]]</f>
        <v>79.36</v>
      </c>
      <c r="I357" s="55">
        <f t="shared" ca="1" si="68"/>
        <v>2.2200000000000002</v>
      </c>
      <c r="J357" s="55">
        <v>0</v>
      </c>
      <c r="K357" s="55">
        <f t="shared" ca="1" si="71"/>
        <v>130.29850327868854</v>
      </c>
      <c r="L357" s="55">
        <v>0</v>
      </c>
      <c r="M357" s="113">
        <f>SUMIFS(График[Возврат основной суммы долга],График[Дата с учетом нерабочих дней],$A357)</f>
        <v>0</v>
      </c>
      <c r="N357" s="56">
        <f>SUMIFS(График[Возврат начисленных %],График[Дата с учетом нерабочих дней],$A357)</f>
        <v>0</v>
      </c>
      <c r="O357" s="101">
        <v>0</v>
      </c>
      <c r="P357" s="100" cm="1">
        <f t="array" aca="1" ref="P357" ca="1">MAX(IF(AA356="Да",0,SUM(INDIRECT("M"&amp;(MAX(("Да"=AA$12:AA356)*ROW(AA$12:AA356)+1,ROW($P$12))&amp;":M"&amp;(ROW()))))-SUM(INDIRECT("W"&amp;(MAX(("Да"=AA$12:AA356)*ROW(AA$12:AA356)+1,ROW($P$12))&amp;":W"&amp;(ROW()))))),0)</f>
        <v>4071.5099999999998</v>
      </c>
      <c r="Q357" s="99">
        <f ca="1">MAX(SUM($N$13:N357)-SUM($T$13:T357),0)</f>
        <v>21988.190655737708</v>
      </c>
      <c r="R357" s="99">
        <f ca="1">Первоначальный[[#This Row],[Просроченный платеж по ОД]]+Первоначальный[[#This Row],[Просроченный платеж по процентам]]</f>
        <v>26059.700655737706</v>
      </c>
      <c r="S357" s="120">
        <f ca="1">IF(Первоначальный[[#This Row],[Просроченный платеж]]&lt;1,0,S356+1)</f>
        <v>253</v>
      </c>
      <c r="T357" s="100" cm="1">
        <f t="array" aca="1" ref="T357" ca="1">IF(Первоначальный[[#This Row],[Итого остаток на начало периода]]&lt;1,0,
IF(
AND(TYPE(VLOOKUP(1,$Z$12:Z357,1,0))=16,Первоначальный[[#This Row],[Досрочное погашение (да/"")]]=""),0,
_xlfn.IFS(AND(S356=0,Первоначальный[[#This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платеж]]&lt;&gt;0),MIN(LOOKUP(,-1/($Z$12:Z357=1),$C$12:C357)+LOOKUP(,-1/($Z$12:Z357=1),$H$12:H357),Первоначальный[[#This Row],[Полученный платеж]]+Y356),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платеж]]+Y356,SUM(Первоначальный[[#This Row],[Остаток процентов на начало периода]],Первоначальный[[#This Row],[Проценты за период]])),
AND(S356=0,Первоначальный[[#This Row],[Дата платежа из графика]]=""),0,
AND(S356=0,Первоначальный[[#This Row],[Дата платежа из графика]]=1,MAX((0&lt;&gt;S$12:S356)*ROW(S$12:S356),ROW($S$12))&gt;=MAX((1=Z$12:Z356)*ROW(Z$12:Z356),ROW($T$12)),TYPE(VLOOKUP("Да",(INDIRECT("AA"&amp;(MAX((1=Z$12:Z356)*ROW(Z$12:Z356),ROW($T$12))&amp;":AA"&amp;(ROW()-1)))),1,0))=16),MIN(LOOKUP(,-1/($Z$12:Z357=1),$C$12:C357)+LOOKUP(,-1/($Z$12:Z357=1),$H$12:H357),Первоначальный[[#This Row],[Полученный платеж]]+Y356),
AND(S356=0,TYPE(VLOOKUP("Да",(INDIRECT("AA"&amp;(MAX((1=Z$12:Z356)*ROW(Z$12:Z356),ROW($T$12))&amp;":AA"&amp;(ROW()-1)))),1,0))&lt;&gt;16),MIN(LOOKUP(,-1/($Z$12:Z357=1),$C$12:C357)+LOOKUP(,-1/($Z$12:Z357=1),$H$12:H357)-IF(AA356="Да",0,SUM(INDIRECT("T"&amp;(MAX(("Да"=AA$12:AA356)*ROW(AA$12:AA356)+1,ROW($T$12))&amp;":T"&amp;(ROW()-1))))),Первоначальный[[#This Row],[Полученный платеж]]+Y356),
AND(S356=0,MAX((0&lt;&gt;N$12:N356)*ROW(N$12:N356),ROW($S$12))&gt;=MAX((1=Z$12:Z356)*ROW(Z$12:Z356),ROW($T$12))),MIN(LOOKUP(,-1/($Z$12:Z357=1),$C$12:C357)+LOOKUP(,-1/($Z$12:Z357=1),$H$12:H357)-IF(N356&lt;&gt;0,0,SUM(INDIRECT("T"&amp;(MAX((0&lt;&gt;N$12:N356)*ROW(N$12:N356)+1,ROW($T$12))&amp;":T"&amp;(ROW()-1))))),Первоначальный[[#This Row],[Полученный платеж]]+Y356),
AND(S356=0,Первоначальный[[#This Row],[Дата платежа из графика]]=1),MIN(LOOKUP(,-1/($Z$12:Z357=1),$C$12:C357)+LOOKUP(,-1/($Z$12:Z357=1),$H$12:H357)-IF(Z356=1,0,SUM(INDIRECT("T"&amp;(MAX((1=Z$12:Z356)*ROW(Z$12:Z356)+1,ROW($T$12))&amp;":T"&amp;(ROW()-1))))),Первоначальный[[#This Row],[Полученный платеж]]+Y356),
AND(Z356&gt;0,Первоначальный[[#This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платеж]]+Y356),
AND(S356&gt;0,MAX((0&lt;&gt;S$12:S356)*ROW(S$12:S356),ROW($S$12))&gt;=MAX((1=Z$12:Z356)*ROW(Z$12:Z356),ROW($T$12)),TYPE(VLOOKUP("Да",(INDIRECT("AA"&amp;(MAX((1=Z$12:Z356)*ROW(Z$12:Z356),ROW($T$12))&amp;":AA"&amp;(ROW()-1)))),1,0))=16),MIN(LOOKUP(,-1/($Z$12:Z357=1),$C$12:C357)+LOOKUP(,-1/($Z$12:Z357=1),$H$12:H357)-SUM(INDIRECT("T"&amp;(MAX((1=Z$12:Z356)*ROW(Z$12:Z356),ROW($T$12))&amp;":T"&amp;(ROW()-1)))),Первоначальный[[#This Row],[Полученный платеж]]+Y356),
S356&gt;0,MIN(LOOKUP(,-1/($Z$12:Z357=1),$C$12:C357)+LOOKUP(,-1/($Z$12:Z357=1),$H$12:H357)-IF(Z356=1,0,SUM(INDIRECT("T"&amp;(MAX((1=Z$12:Z356)*ROW(Z$12:Z356)+1,ROW($T$12))&amp;":T"&amp;(ROW()-1))))),Первоначальный[[#This Row],[Полученный платеж]]+Y356)
)
)
)</f>
        <v>0</v>
      </c>
      <c r="U35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платеж]]+Y356-Первоначальный[[#This Row],[Полученный платёж по процентам]])</f>
        <v>0</v>
      </c>
      <c r="V357" s="55">
        <f t="shared" ca="1" si="61"/>
        <v>0</v>
      </c>
      <c r="W357" s="55" cm="1">
        <f t="array" aca="1" ref="W357" ca="1">IF(Первоначальный[[#This Row],[Итого остаток на начало периода]]&lt;1,0,
_xlfn.IFS(
AND(TYPE(VLOOKUP(1,$Z$12:Z357,1,0))=16,Первоначальный[[#This Row],[Досрочное погашение (да/"")]]=""),0,
AND(S356=0,Первоначальный[[#This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платеж]]+Y356-SUM(Первоначальный[[#This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комиссиям]]),VLOOKUP(LOOKUP(,-1/($Z$12:Z357=1),$A$12:A357),График[[Срок конец]:[Возврат основной суммы долга]],3,0)),
AND(S356=0,Первоначальный[[#This Row],[Дата платежа из графика]]="",Первоначальный[[#This Row],[Досрочное погашение (да/"")]]&lt;&gt;"Да"),0,
AND(S356=0,Первоначальный[[#This Row],[Досрочное погашение (да/"")]]=""),MIN(Первоначальный[[#This Row],[Полученный платеж]]+Y356-SUM(Первоначальный[[#This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комиссиям]]),VLOOKUP(LOOKUP(,-1/($Z$12:Z357=1),$A$12:A357),График[[Срок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платеж]]+Y356-SUM(Первоначальный[[#This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S356&gt;0,MIN(Первоначальный[[#This Row],[Полученный платеж]]+Y356-SUM(Первоначальный[[#This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комиссиям]]),SUM(INDIRECT("M"&amp;(MAX((1=S$12:S356)*ROW(S$12:S356),ROW($W$12))&amp;":M"&amp;(ROW()))))-SUM(INDIRECT("W"&amp;(MAX((1=S$12:S356)*ROW(S$12:S356),ROW($W$12))&amp;":W"&amp;(ROW()-1)))))
)
)</f>
        <v>0</v>
      </c>
      <c r="X357" s="55">
        <f t="shared" ca="1" si="62"/>
        <v>0</v>
      </c>
      <c r="Y357" s="101">
        <f t="shared" ca="1" si="69"/>
        <v>0</v>
      </c>
      <c r="Z357" s="133" t="str">
        <f>IF(TYPE((VLOOKUP(Первоначальный[[#This Row],[Дата платежа]],График[Срок конец],1,0)))=16,"",1)</f>
        <v/>
      </c>
      <c r="AA357" s="57"/>
      <c r="AB357" s="134"/>
      <c r="AC35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5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22783.089999999971</v>
      </c>
      <c r="AE35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291.23000000000047</v>
      </c>
      <c r="AF35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5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17263.781329508194</v>
      </c>
      <c r="AH357" s="55"/>
      <c r="AI357" s="55"/>
      <c r="AJ357" s="55"/>
      <c r="AK357" s="101">
        <f t="shared" ca="1" si="70"/>
        <v>189971.44132950818</v>
      </c>
      <c r="AL357" s="129">
        <f t="array" ref="AL357">MAX((УслРестрактов[Характеристика]="Дата реструктуризации")*(УслРестрактов[Значение]=Первоначальный!$A357),0)</f>
        <v>0</v>
      </c>
    </row>
    <row r="358" spans="1:38" x14ac:dyDescent="0.25">
      <c r="A358" s="97">
        <f t="shared" si="63"/>
        <v>44489</v>
      </c>
      <c r="B358" s="100">
        <f t="shared" ca="1" si="64"/>
        <v>149633.34</v>
      </c>
      <c r="C358" s="55">
        <f t="shared" ca="1" si="72"/>
        <v>22783.089999999971</v>
      </c>
      <c r="D358" s="55">
        <f t="shared" ca="1" si="72"/>
        <v>291.23000000000047</v>
      </c>
      <c r="E358" s="55">
        <f t="shared" ca="1" si="65"/>
        <v>0</v>
      </c>
      <c r="F358" s="55">
        <f t="shared" ca="1" si="66"/>
        <v>17263.781329508194</v>
      </c>
      <c r="G358" s="101">
        <f t="shared" ca="1" si="67"/>
        <v>189971.44132950818</v>
      </c>
      <c r="H358" s="100">
        <f ca="1">ROUND($B358*VLOOKUP($A358,$A$1:$B$10,2,1)/(365+IF(MOD(YEAR($A358),4),0,1)*($A358-$A357)),2)-Первоначальный[[#This Row],[Проценты на просроченный платеж по ОД за период]]</f>
        <v>79.36</v>
      </c>
      <c r="I358" s="55">
        <f t="shared" ca="1" si="68"/>
        <v>2.2200000000000002</v>
      </c>
      <c r="J358" s="55">
        <v>0</v>
      </c>
      <c r="K358" s="55">
        <f t="shared" ca="1" si="71"/>
        <v>130.29850327868854</v>
      </c>
      <c r="L358" s="55">
        <v>0</v>
      </c>
      <c r="M358" s="113">
        <f>SUMIFS(График[Возврат основной суммы долга],График[Дата с учетом нерабочих дней],$A358)</f>
        <v>0</v>
      </c>
      <c r="N358" s="56">
        <f>SUMIFS(График[Возврат начисленных %],График[Дата с учетом нерабочих дней],$A358)</f>
        <v>0</v>
      </c>
      <c r="O358" s="101">
        <v>0</v>
      </c>
      <c r="P358" s="100" cm="1">
        <f t="array" aca="1" ref="P358" ca="1">MAX(IF(AA357="Да",0,SUM(INDIRECT("M"&amp;(MAX(("Да"=AA$12:AA357)*ROW(AA$12:AA357)+1,ROW($P$12))&amp;":M"&amp;(ROW()))))-SUM(INDIRECT("W"&amp;(MAX(("Да"=AA$12:AA357)*ROW(AA$12:AA357)+1,ROW($P$12))&amp;":W"&amp;(ROW()))))),0)</f>
        <v>4071.5099999999998</v>
      </c>
      <c r="Q358" s="99">
        <f ca="1">MAX(SUM($N$13:N358)-SUM($T$13:T358),0)</f>
        <v>21988.190655737708</v>
      </c>
      <c r="R358" s="99">
        <f ca="1">Первоначальный[[#This Row],[Просроченный платеж по ОД]]+Первоначальный[[#This Row],[Просроченный платеж по процентам]]</f>
        <v>26059.700655737706</v>
      </c>
      <c r="S358" s="120">
        <f ca="1">IF(Первоначальный[[#This Row],[Просроченный платеж]]&lt;1,0,S357+1)</f>
        <v>254</v>
      </c>
      <c r="T358" s="100" cm="1">
        <f t="array" aca="1" ref="T358" ca="1">IF(Первоначальный[[#This Row],[Итого остаток на начало периода]]&lt;1,0,
IF(
AND(TYPE(VLOOKUP(1,$Z$12:Z358,1,0))=16,Первоначальный[[#This Row],[Досрочное погашение (да/"")]]=""),0,
_xlfn.IFS(AND(S357=0,Первоначальный[[#This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платеж]]&lt;&gt;0),MIN(LOOKUP(,-1/($Z$12:Z358=1),$C$12:C358)+LOOKUP(,-1/($Z$12:Z358=1),$H$12:H358),Первоначальный[[#This Row],[Полученный платеж]]+Y357),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платеж]]+Y357,SUM(Первоначальный[[#This Row],[Остаток процентов на начало периода]],Первоначальный[[#This Row],[Проценты за период]])),
AND(S357=0,Первоначальный[[#This Row],[Дата платежа из графика]]=""),0,
AND(S357=0,Первоначальный[[#This Row],[Дата платежа из графика]]=1,MAX((0&lt;&gt;S$12:S357)*ROW(S$12:S357),ROW($S$12))&gt;=MAX((1=Z$12:Z357)*ROW(Z$12:Z357),ROW($T$12)),TYPE(VLOOKUP("Да",(INDIRECT("AA"&amp;(MAX((1=Z$12:Z357)*ROW(Z$12:Z357),ROW($T$12))&amp;":AA"&amp;(ROW()-1)))),1,0))=16),MIN(LOOKUP(,-1/($Z$12:Z358=1),$C$12:C358)+LOOKUP(,-1/($Z$12:Z358=1),$H$12:H358),Первоначальный[[#This Row],[Полученный платеж]]+Y357),
AND(S357=0,TYPE(VLOOKUP("Да",(INDIRECT("AA"&amp;(MAX((1=Z$12:Z357)*ROW(Z$12:Z357),ROW($T$12))&amp;":AA"&amp;(ROW()-1)))),1,0))&lt;&gt;16),MIN(LOOKUP(,-1/($Z$12:Z358=1),$C$12:C358)+LOOKUP(,-1/($Z$12:Z358=1),$H$12:H358)-IF(AA357="Да",0,SUM(INDIRECT("T"&amp;(MAX(("Да"=AA$12:AA357)*ROW(AA$12:AA357)+1,ROW($T$12))&amp;":T"&amp;(ROW()-1))))),Первоначальный[[#This Row],[Полученный платеж]]+Y357),
AND(S357=0,MAX((0&lt;&gt;N$12:N357)*ROW(N$12:N357),ROW($S$12))&gt;=MAX((1=Z$12:Z357)*ROW(Z$12:Z357),ROW($T$12))),MIN(LOOKUP(,-1/($Z$12:Z358=1),$C$12:C358)+LOOKUP(,-1/($Z$12:Z358=1),$H$12:H358)-IF(N357&lt;&gt;0,0,SUM(INDIRECT("T"&amp;(MAX((0&lt;&gt;N$12:N357)*ROW(N$12:N357)+1,ROW($T$12))&amp;":T"&amp;(ROW()-1))))),Первоначальный[[#This Row],[Полученный платеж]]+Y357),
AND(S357=0,Первоначальный[[#This Row],[Дата платежа из графика]]=1),MIN(LOOKUP(,-1/($Z$12:Z358=1),$C$12:C358)+LOOKUP(,-1/($Z$12:Z358=1),$H$12:H358)-IF(Z357=1,0,SUM(INDIRECT("T"&amp;(MAX((1=Z$12:Z357)*ROW(Z$12:Z357)+1,ROW($T$12))&amp;":T"&amp;(ROW()-1))))),Первоначальный[[#This Row],[Полученный платеж]]+Y357),
AND(Z357&gt;0,Первоначальный[[#This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платеж]]+Y357),
AND(S357&gt;0,MAX((0&lt;&gt;S$12:S357)*ROW(S$12:S357),ROW($S$12))&gt;=MAX((1=Z$12:Z357)*ROW(Z$12:Z357),ROW($T$12)),TYPE(VLOOKUP("Да",(INDIRECT("AA"&amp;(MAX((1=Z$12:Z357)*ROW(Z$12:Z357),ROW($T$12))&amp;":AA"&amp;(ROW()-1)))),1,0))=16),MIN(LOOKUP(,-1/($Z$12:Z358=1),$C$12:C358)+LOOKUP(,-1/($Z$12:Z358=1),$H$12:H358)-SUM(INDIRECT("T"&amp;(MAX((1=Z$12:Z357)*ROW(Z$12:Z357),ROW($T$12))&amp;":T"&amp;(ROW()-1)))),Первоначальный[[#This Row],[Полученный платеж]]+Y357),
S357&gt;0,MIN(LOOKUP(,-1/($Z$12:Z358=1),$C$12:C358)+LOOKUP(,-1/($Z$12:Z358=1),$H$12:H358)-IF(Z357=1,0,SUM(INDIRECT("T"&amp;(MAX((1=Z$12:Z357)*ROW(Z$12:Z357)+1,ROW($T$12))&amp;":T"&amp;(ROW()-1))))),Первоначальный[[#This Row],[Полученный платеж]]+Y357)
)
)
)</f>
        <v>0</v>
      </c>
      <c r="U35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платеж]]+Y357-Первоначальный[[#This Row],[Полученный платёж по процентам]])</f>
        <v>0</v>
      </c>
      <c r="V358" s="55">
        <f t="shared" ca="1" si="61"/>
        <v>0</v>
      </c>
      <c r="W358" s="55" cm="1">
        <f t="array" aca="1" ref="W358" ca="1">IF(Первоначальный[[#This Row],[Итого остаток на начало периода]]&lt;1,0,
_xlfn.IFS(
AND(TYPE(VLOOKUP(1,$Z$12:Z358,1,0))=16,Первоначальный[[#This Row],[Досрочное погашение (да/"")]]=""),0,
AND(S357=0,Первоначальный[[#This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платеж]]+Y357-SUM(Первоначальный[[#This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комиссиям]]),VLOOKUP(LOOKUP(,-1/($Z$12:Z358=1),$A$12:A358),График[[Срок конец]:[Возврат основной суммы долга]],3,0)),
AND(S357=0,Первоначальный[[#This Row],[Дата платежа из графика]]="",Первоначальный[[#This Row],[Досрочное погашение (да/"")]]&lt;&gt;"Да"),0,
AND(S357=0,Первоначальный[[#This Row],[Досрочное погашение (да/"")]]=""),MIN(Первоначальный[[#This Row],[Полученный платеж]]+Y357-SUM(Первоначальный[[#This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комиссиям]]),VLOOKUP(LOOKUP(,-1/($Z$12:Z358=1),$A$12:A358),График[[Срок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платеж]]+Y357-SUM(Первоначальный[[#This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S357&gt;0,MIN(Первоначальный[[#This Row],[Полученный платеж]]+Y357-SUM(Первоначальный[[#This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комиссиям]]),SUM(INDIRECT("M"&amp;(MAX((1=S$12:S357)*ROW(S$12:S357),ROW($W$12))&amp;":M"&amp;(ROW()))))-SUM(INDIRECT("W"&amp;(MAX((1=S$12:S357)*ROW(S$12:S357),ROW($W$12))&amp;":W"&amp;(ROW()-1)))))
)
)</f>
        <v>0</v>
      </c>
      <c r="X358" s="55">
        <f t="shared" ca="1" si="62"/>
        <v>0</v>
      </c>
      <c r="Y358" s="101">
        <f t="shared" ca="1" si="69"/>
        <v>0</v>
      </c>
      <c r="Z358" s="133" t="str">
        <f>IF(TYPE((VLOOKUP(Первоначальный[[#This Row],[Дата платежа]],График[Срок конец],1,0)))=16,"",1)</f>
        <v/>
      </c>
      <c r="AA358" s="57"/>
      <c r="AB358" s="134"/>
      <c r="AC35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5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22862.449999999972</v>
      </c>
      <c r="AE35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293.4500000000005</v>
      </c>
      <c r="AF35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5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17394.079832786883</v>
      </c>
      <c r="AH358" s="55"/>
      <c r="AI358" s="55"/>
      <c r="AJ358" s="55"/>
      <c r="AK358" s="101">
        <f t="shared" ca="1" si="70"/>
        <v>190183.31983278686</v>
      </c>
      <c r="AL358" s="129">
        <f t="array" ref="AL358">MAX((УслРестрактов[Характеристика]="Дата реструктуризации")*(УслРестрактов[Значение]=Первоначальный!$A358),0)</f>
        <v>0</v>
      </c>
    </row>
    <row r="359" spans="1:38" x14ac:dyDescent="0.25">
      <c r="A359" s="97">
        <f t="shared" si="63"/>
        <v>44490</v>
      </c>
      <c r="B359" s="100">
        <f t="shared" ca="1" si="64"/>
        <v>149633.34</v>
      </c>
      <c r="C359" s="55">
        <f t="shared" ca="1" si="72"/>
        <v>22862.449999999972</v>
      </c>
      <c r="D359" s="55">
        <f t="shared" ca="1" si="72"/>
        <v>293.4500000000005</v>
      </c>
      <c r="E359" s="55">
        <f t="shared" ca="1" si="65"/>
        <v>0</v>
      </c>
      <c r="F359" s="55">
        <f t="shared" ca="1" si="66"/>
        <v>17394.079832786883</v>
      </c>
      <c r="G359" s="101">
        <f t="shared" ca="1" si="67"/>
        <v>190183.31983278686</v>
      </c>
      <c r="H359" s="100">
        <f ca="1">ROUND($B359*VLOOKUP($A359,$A$1:$B$10,2,1)/(365+IF(MOD(YEAR($A359),4),0,1)*($A359-$A358)),2)-Первоначальный[[#This Row],[Проценты на просроченный платеж по ОД за период]]</f>
        <v>79.36</v>
      </c>
      <c r="I359" s="55">
        <f t="shared" ca="1" si="68"/>
        <v>2.2200000000000002</v>
      </c>
      <c r="J359" s="55">
        <v>0</v>
      </c>
      <c r="K359" s="55">
        <f t="shared" ca="1" si="71"/>
        <v>130.29850327868854</v>
      </c>
      <c r="L359" s="55">
        <v>0</v>
      </c>
      <c r="M359" s="113">
        <f>SUMIFS(График[Возврат основной суммы долга],График[Дата с учетом нерабочих дней],$A359)</f>
        <v>0</v>
      </c>
      <c r="N359" s="56">
        <f>SUMIFS(График[Возврат начисленных %],График[Дата с учетом нерабочих дней],$A359)</f>
        <v>0</v>
      </c>
      <c r="O359" s="101">
        <v>0</v>
      </c>
      <c r="P359" s="100" cm="1">
        <f t="array" aca="1" ref="P359" ca="1">MAX(IF(AA358="Да",0,SUM(INDIRECT("M"&amp;(MAX(("Да"=AA$12:AA358)*ROW(AA$12:AA358)+1,ROW($P$12))&amp;":M"&amp;(ROW()))))-SUM(INDIRECT("W"&amp;(MAX(("Да"=AA$12:AA358)*ROW(AA$12:AA358)+1,ROW($P$12))&amp;":W"&amp;(ROW()))))),0)</f>
        <v>4071.5099999999998</v>
      </c>
      <c r="Q359" s="99">
        <f ca="1">MAX(SUM($N$13:N359)-SUM($T$13:T359),0)</f>
        <v>21988.190655737708</v>
      </c>
      <c r="R359" s="99">
        <f ca="1">Первоначальный[[#This Row],[Просроченный платеж по ОД]]+Первоначальный[[#This Row],[Просроченный платеж по процентам]]</f>
        <v>26059.700655737706</v>
      </c>
      <c r="S359" s="120">
        <f ca="1">IF(Первоначальный[[#This Row],[Просроченный платеж]]&lt;1,0,S358+1)</f>
        <v>255</v>
      </c>
      <c r="T359" s="100" cm="1">
        <f t="array" aca="1" ref="T359" ca="1">IF(Первоначальный[[#This Row],[Итого остаток на начало периода]]&lt;1,0,
IF(
AND(TYPE(VLOOKUP(1,$Z$12:Z359,1,0))=16,Первоначальный[[#This Row],[Досрочное погашение (да/"")]]=""),0,
_xlfn.IFS(AND(S358=0,Первоначальный[[#This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платеж]]&lt;&gt;0),MIN(LOOKUP(,-1/($Z$12:Z359=1),$C$12:C359)+LOOKUP(,-1/($Z$12:Z359=1),$H$12:H359),Первоначальный[[#This Row],[Полученный платеж]]+Y358),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платеж]]+Y358,SUM(Первоначальный[[#This Row],[Остаток процентов на начало периода]],Первоначальный[[#This Row],[Проценты за период]])),
AND(S358=0,Первоначальный[[#This Row],[Дата платежа из графика]]=""),0,
AND(S358=0,Первоначальный[[#This Row],[Дата платежа из графика]]=1,MAX((0&lt;&gt;S$12:S358)*ROW(S$12:S358),ROW($S$12))&gt;=MAX((1=Z$12:Z358)*ROW(Z$12:Z358),ROW($T$12)),TYPE(VLOOKUP("Да",(INDIRECT("AA"&amp;(MAX((1=Z$12:Z358)*ROW(Z$12:Z358),ROW($T$12))&amp;":AA"&amp;(ROW()-1)))),1,0))=16),MIN(LOOKUP(,-1/($Z$12:Z359=1),$C$12:C359)+LOOKUP(,-1/($Z$12:Z359=1),$H$12:H359),Первоначальный[[#This Row],[Полученный платеж]]+Y358),
AND(S358=0,TYPE(VLOOKUP("Да",(INDIRECT("AA"&amp;(MAX((1=Z$12:Z358)*ROW(Z$12:Z358),ROW($T$12))&amp;":AA"&amp;(ROW()-1)))),1,0))&lt;&gt;16),MIN(LOOKUP(,-1/($Z$12:Z359=1),$C$12:C359)+LOOKUP(,-1/($Z$12:Z359=1),$H$12:H359)-IF(AA358="Да",0,SUM(INDIRECT("T"&amp;(MAX(("Да"=AA$12:AA358)*ROW(AA$12:AA358)+1,ROW($T$12))&amp;":T"&amp;(ROW()-1))))),Первоначальный[[#This Row],[Полученный платеж]]+Y358),
AND(S358=0,MAX((0&lt;&gt;N$12:N358)*ROW(N$12:N358),ROW($S$12))&gt;=MAX((1=Z$12:Z358)*ROW(Z$12:Z358),ROW($T$12))),MIN(LOOKUP(,-1/($Z$12:Z359=1),$C$12:C359)+LOOKUP(,-1/($Z$12:Z359=1),$H$12:H359)-IF(N358&lt;&gt;0,0,SUM(INDIRECT("T"&amp;(MAX((0&lt;&gt;N$12:N358)*ROW(N$12:N358)+1,ROW($T$12))&amp;":T"&amp;(ROW()-1))))),Первоначальный[[#This Row],[Полученный платеж]]+Y358),
AND(S358=0,Первоначальный[[#This Row],[Дата платежа из графика]]=1),MIN(LOOKUP(,-1/($Z$12:Z359=1),$C$12:C359)+LOOKUP(,-1/($Z$12:Z359=1),$H$12:H359)-IF(Z358=1,0,SUM(INDIRECT("T"&amp;(MAX((1=Z$12:Z358)*ROW(Z$12:Z358)+1,ROW($T$12))&amp;":T"&amp;(ROW()-1))))),Первоначальный[[#This Row],[Полученный платеж]]+Y358),
AND(Z358&gt;0,Первоначальный[[#This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платеж]]+Y358),
AND(S358&gt;0,MAX((0&lt;&gt;S$12:S358)*ROW(S$12:S358),ROW($S$12))&gt;=MAX((1=Z$12:Z358)*ROW(Z$12:Z358),ROW($T$12)),TYPE(VLOOKUP("Да",(INDIRECT("AA"&amp;(MAX((1=Z$12:Z358)*ROW(Z$12:Z358),ROW($T$12))&amp;":AA"&amp;(ROW()-1)))),1,0))=16),MIN(LOOKUP(,-1/($Z$12:Z359=1),$C$12:C359)+LOOKUP(,-1/($Z$12:Z359=1),$H$12:H359)-SUM(INDIRECT("T"&amp;(MAX((1=Z$12:Z358)*ROW(Z$12:Z358),ROW($T$12))&amp;":T"&amp;(ROW()-1)))),Первоначальный[[#This Row],[Полученный платеж]]+Y358),
S358&gt;0,MIN(LOOKUP(,-1/($Z$12:Z359=1),$C$12:C359)+LOOKUP(,-1/($Z$12:Z359=1),$H$12:H359)-IF(Z358=1,0,SUM(INDIRECT("T"&amp;(MAX((1=Z$12:Z358)*ROW(Z$12:Z358)+1,ROW($T$12))&amp;":T"&amp;(ROW()-1))))),Первоначальный[[#This Row],[Полученный платеж]]+Y358)
)
)
)</f>
        <v>0</v>
      </c>
      <c r="U35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платеж]]+Y358-Первоначальный[[#This Row],[Полученный платёж по процентам]])</f>
        <v>0</v>
      </c>
      <c r="V359" s="55">
        <f t="shared" ca="1" si="61"/>
        <v>0</v>
      </c>
      <c r="W359" s="55" cm="1">
        <f t="array" aca="1" ref="W359" ca="1">IF(Первоначальный[[#This Row],[Итого остаток на начало периода]]&lt;1,0,
_xlfn.IFS(
AND(TYPE(VLOOKUP(1,$Z$12:Z359,1,0))=16,Первоначальный[[#This Row],[Досрочное погашение (да/"")]]=""),0,
AND(S358=0,Первоначальный[[#This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платеж]]+Y358-SUM(Первоначальный[[#This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комиссиям]]),VLOOKUP(LOOKUP(,-1/($Z$12:Z359=1),$A$12:A359),График[[Срок конец]:[Возврат основной суммы долга]],3,0)),
AND(S358=0,Первоначальный[[#This Row],[Дата платежа из графика]]="",Первоначальный[[#This Row],[Досрочное погашение (да/"")]]&lt;&gt;"Да"),0,
AND(S358=0,Первоначальный[[#This Row],[Досрочное погашение (да/"")]]=""),MIN(Первоначальный[[#This Row],[Полученный платеж]]+Y358-SUM(Первоначальный[[#This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комиссиям]]),VLOOKUP(LOOKUP(,-1/($Z$12:Z359=1),$A$12:A359),График[[Срок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платеж]]+Y358-SUM(Первоначальный[[#This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S358&gt;0,MIN(Первоначальный[[#This Row],[Полученный платеж]]+Y358-SUM(Первоначальный[[#This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комиссиям]]),SUM(INDIRECT("M"&amp;(MAX((1=S$12:S358)*ROW(S$12:S358),ROW($W$12))&amp;":M"&amp;(ROW()))))-SUM(INDIRECT("W"&amp;(MAX((1=S$12:S358)*ROW(S$12:S358),ROW($W$12))&amp;":W"&amp;(ROW()-1)))))
)
)</f>
        <v>0</v>
      </c>
      <c r="X359" s="55">
        <f t="shared" ca="1" si="62"/>
        <v>0</v>
      </c>
      <c r="Y359" s="101">
        <f t="shared" ca="1" si="69"/>
        <v>0</v>
      </c>
      <c r="Z359" s="133" t="str">
        <f>IF(TYPE((VLOOKUP(Первоначальный[[#This Row],[Дата платежа]],График[Срок конец],1,0)))=16,"",1)</f>
        <v/>
      </c>
      <c r="AA359" s="57"/>
      <c r="AB359" s="134"/>
      <c r="AC35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5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22941.809999999972</v>
      </c>
      <c r="AE35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295.67000000000053</v>
      </c>
      <c r="AF35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5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17524.378336065573</v>
      </c>
      <c r="AH359" s="55"/>
      <c r="AI359" s="55"/>
      <c r="AJ359" s="55"/>
      <c r="AK359" s="101">
        <f t="shared" ca="1" si="70"/>
        <v>190395.19833606554</v>
      </c>
      <c r="AL359" s="129">
        <f t="array" ref="AL359">MAX((УслРестрактов[Характеристика]="Дата реструктуризации")*(УслРестрактов[Значение]=Первоначальный!$A359),0)</f>
        <v>0</v>
      </c>
    </row>
    <row r="360" spans="1:38" x14ac:dyDescent="0.25">
      <c r="A360" s="97">
        <f t="shared" si="63"/>
        <v>44491</v>
      </c>
      <c r="B360" s="100">
        <f t="shared" ca="1" si="64"/>
        <v>149633.34</v>
      </c>
      <c r="C360" s="55">
        <f t="shared" ca="1" si="72"/>
        <v>22941.809999999972</v>
      </c>
      <c r="D360" s="55">
        <f t="shared" ca="1" si="72"/>
        <v>295.67000000000053</v>
      </c>
      <c r="E360" s="55">
        <f t="shared" ca="1" si="65"/>
        <v>0</v>
      </c>
      <c r="F360" s="55">
        <f t="shared" ca="1" si="66"/>
        <v>17524.378336065573</v>
      </c>
      <c r="G360" s="101">
        <f t="shared" ca="1" si="67"/>
        <v>190395.19833606554</v>
      </c>
      <c r="H360" s="100">
        <f ca="1">ROUND($B360*VLOOKUP($A360,$A$1:$B$10,2,1)/(365+IF(MOD(YEAR($A360),4),0,1)*($A360-$A359)),2)-Первоначальный[[#This Row],[Проценты на просроченный платеж по ОД за период]]</f>
        <v>79.36</v>
      </c>
      <c r="I360" s="55">
        <f t="shared" ca="1" si="68"/>
        <v>2.2200000000000002</v>
      </c>
      <c r="J360" s="55">
        <v>0</v>
      </c>
      <c r="K360" s="55">
        <f t="shared" ca="1" si="71"/>
        <v>130.29850327868854</v>
      </c>
      <c r="L360" s="55">
        <v>0</v>
      </c>
      <c r="M360" s="113">
        <f>SUMIFS(График[Возврат основной суммы долга],График[Дата с учетом нерабочих дней],$A360)</f>
        <v>0</v>
      </c>
      <c r="N360" s="56">
        <f>SUMIFS(График[Возврат начисленных %],График[Дата с учетом нерабочих дней],$A360)</f>
        <v>0</v>
      </c>
      <c r="O360" s="101">
        <v>0</v>
      </c>
      <c r="P360" s="100" cm="1">
        <f t="array" aca="1" ref="P360" ca="1">MAX(IF(AA359="Да",0,SUM(INDIRECT("M"&amp;(MAX(("Да"=AA$12:AA359)*ROW(AA$12:AA359)+1,ROW($P$12))&amp;":M"&amp;(ROW()))))-SUM(INDIRECT("W"&amp;(MAX(("Да"=AA$12:AA359)*ROW(AA$12:AA359)+1,ROW($P$12))&amp;":W"&amp;(ROW()))))),0)</f>
        <v>4071.5099999999998</v>
      </c>
      <c r="Q360" s="99">
        <f ca="1">MAX(SUM($N$13:N360)-SUM($T$13:T360),0)</f>
        <v>21988.190655737708</v>
      </c>
      <c r="R360" s="99">
        <f ca="1">Первоначальный[[#This Row],[Просроченный платеж по ОД]]+Первоначальный[[#This Row],[Просроченный платеж по процентам]]</f>
        <v>26059.700655737706</v>
      </c>
      <c r="S360" s="120">
        <f ca="1">IF(Первоначальный[[#This Row],[Просроченный платеж]]&lt;1,0,S359+1)</f>
        <v>256</v>
      </c>
      <c r="T360" s="100" cm="1">
        <f t="array" aca="1" ref="T360" ca="1">IF(Первоначальный[[#This Row],[Итого остаток на начало периода]]&lt;1,0,
IF(
AND(TYPE(VLOOKUP(1,$Z$12:Z360,1,0))=16,Первоначальный[[#This Row],[Досрочное погашение (да/"")]]=""),0,
_xlfn.IFS(AND(S359=0,Первоначальный[[#This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платеж]]&lt;&gt;0),MIN(LOOKUP(,-1/($Z$12:Z360=1),$C$12:C360)+LOOKUP(,-1/($Z$12:Z360=1),$H$12:H360),Первоначальный[[#This Row],[Полученный платеж]]+Y359),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платеж]]+Y359,SUM(Первоначальный[[#This Row],[Остаток процентов на начало периода]],Первоначальный[[#This Row],[Проценты за период]])),
AND(S359=0,Первоначальный[[#This Row],[Дата платежа из графика]]=""),0,
AND(S359=0,Первоначальный[[#This Row],[Дата платежа из графика]]=1,MAX((0&lt;&gt;S$12:S359)*ROW(S$12:S359),ROW($S$12))&gt;=MAX((1=Z$12:Z359)*ROW(Z$12:Z359),ROW($T$12)),TYPE(VLOOKUP("Да",(INDIRECT("AA"&amp;(MAX((1=Z$12:Z359)*ROW(Z$12:Z359),ROW($T$12))&amp;":AA"&amp;(ROW()-1)))),1,0))=16),MIN(LOOKUP(,-1/($Z$12:Z360=1),$C$12:C360)+LOOKUP(,-1/($Z$12:Z360=1),$H$12:H360),Первоначальный[[#This Row],[Полученный платеж]]+Y359),
AND(S359=0,TYPE(VLOOKUP("Да",(INDIRECT("AA"&amp;(MAX((1=Z$12:Z359)*ROW(Z$12:Z359),ROW($T$12))&amp;":AA"&amp;(ROW()-1)))),1,0))&lt;&gt;16),MIN(LOOKUP(,-1/($Z$12:Z360=1),$C$12:C360)+LOOKUP(,-1/($Z$12:Z360=1),$H$12:H360)-IF(AA359="Да",0,SUM(INDIRECT("T"&amp;(MAX(("Да"=AA$12:AA359)*ROW(AA$12:AA359)+1,ROW($T$12))&amp;":T"&amp;(ROW()-1))))),Первоначальный[[#This Row],[Полученный платеж]]+Y359),
AND(S359=0,MAX((0&lt;&gt;N$12:N359)*ROW(N$12:N359),ROW($S$12))&gt;=MAX((1=Z$12:Z359)*ROW(Z$12:Z359),ROW($T$12))),MIN(LOOKUP(,-1/($Z$12:Z360=1),$C$12:C360)+LOOKUP(,-1/($Z$12:Z360=1),$H$12:H360)-IF(N359&lt;&gt;0,0,SUM(INDIRECT("T"&amp;(MAX((0&lt;&gt;N$12:N359)*ROW(N$12:N359)+1,ROW($T$12))&amp;":T"&amp;(ROW()-1))))),Первоначальный[[#This Row],[Полученный платеж]]+Y359),
AND(S359=0,Первоначальный[[#This Row],[Дата платежа из графика]]=1),MIN(LOOKUP(,-1/($Z$12:Z360=1),$C$12:C360)+LOOKUP(,-1/($Z$12:Z360=1),$H$12:H360)-IF(Z359=1,0,SUM(INDIRECT("T"&amp;(MAX((1=Z$12:Z359)*ROW(Z$12:Z359)+1,ROW($T$12))&amp;":T"&amp;(ROW()-1))))),Первоначальный[[#This Row],[Полученный платеж]]+Y359),
AND(Z359&gt;0,Первоначальный[[#This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платеж]]+Y359),
AND(S359&gt;0,MAX((0&lt;&gt;S$12:S359)*ROW(S$12:S359),ROW($S$12))&gt;=MAX((1=Z$12:Z359)*ROW(Z$12:Z359),ROW($T$12)),TYPE(VLOOKUP("Да",(INDIRECT("AA"&amp;(MAX((1=Z$12:Z359)*ROW(Z$12:Z359),ROW($T$12))&amp;":AA"&amp;(ROW()-1)))),1,0))=16),MIN(LOOKUP(,-1/($Z$12:Z360=1),$C$12:C360)+LOOKUP(,-1/($Z$12:Z360=1),$H$12:H360)-SUM(INDIRECT("T"&amp;(MAX((1=Z$12:Z359)*ROW(Z$12:Z359),ROW($T$12))&amp;":T"&amp;(ROW()-1)))),Первоначальный[[#This Row],[Полученный платеж]]+Y359),
S359&gt;0,MIN(LOOKUP(,-1/($Z$12:Z360=1),$C$12:C360)+LOOKUP(,-1/($Z$12:Z360=1),$H$12:H360)-IF(Z359=1,0,SUM(INDIRECT("T"&amp;(MAX((1=Z$12:Z359)*ROW(Z$12:Z359)+1,ROW($T$12))&amp;":T"&amp;(ROW()-1))))),Первоначальный[[#This Row],[Полученный платеж]]+Y359)
)
)
)</f>
        <v>0</v>
      </c>
      <c r="U36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платеж]]+Y359-Первоначальный[[#This Row],[Полученный платёж по процентам]])</f>
        <v>0</v>
      </c>
      <c r="V360" s="55">
        <f t="shared" ca="1" si="61"/>
        <v>0</v>
      </c>
      <c r="W360" s="55" cm="1">
        <f t="array" aca="1" ref="W360" ca="1">IF(Первоначальный[[#This Row],[Итого остаток на начало периода]]&lt;1,0,
_xlfn.IFS(
AND(TYPE(VLOOKUP(1,$Z$12:Z360,1,0))=16,Первоначальный[[#This Row],[Досрочное погашение (да/"")]]=""),0,
AND(S359=0,Первоначальный[[#This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платеж]]+Y359-SUM(Первоначальный[[#This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комиссиям]]),VLOOKUP(LOOKUP(,-1/($Z$12:Z360=1),$A$12:A360),График[[Срок конец]:[Возврат основной суммы долга]],3,0)),
AND(S359=0,Первоначальный[[#This Row],[Дата платежа из графика]]="",Первоначальный[[#This Row],[Досрочное погашение (да/"")]]&lt;&gt;"Да"),0,
AND(S359=0,Первоначальный[[#This Row],[Досрочное погашение (да/"")]]=""),MIN(Первоначальный[[#This Row],[Полученный платеж]]+Y359-SUM(Первоначальный[[#This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комиссиям]]),VLOOKUP(LOOKUP(,-1/($Z$12:Z360=1),$A$12:A360),График[[Срок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платеж]]+Y359-SUM(Первоначальный[[#This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S359&gt;0,MIN(Первоначальный[[#This Row],[Полученный платеж]]+Y359-SUM(Первоначальный[[#This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комиссиям]]),SUM(INDIRECT("M"&amp;(MAX((1=S$12:S359)*ROW(S$12:S359),ROW($W$12))&amp;":M"&amp;(ROW()))))-SUM(INDIRECT("W"&amp;(MAX((1=S$12:S359)*ROW(S$12:S359),ROW($W$12))&amp;":W"&amp;(ROW()-1)))))
)
)</f>
        <v>0</v>
      </c>
      <c r="X360" s="55">
        <f t="shared" ca="1" si="62"/>
        <v>0</v>
      </c>
      <c r="Y360" s="101">
        <f t="shared" ca="1" si="69"/>
        <v>0</v>
      </c>
      <c r="Z360" s="133" t="str">
        <f>IF(TYPE((VLOOKUP(Первоначальный[[#This Row],[Дата платежа]],График[Срок конец],1,0)))=16,"",1)</f>
        <v/>
      </c>
      <c r="AA360" s="57"/>
      <c r="AB360" s="134"/>
      <c r="AC36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6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23021.169999999973</v>
      </c>
      <c r="AE36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297.89000000000055</v>
      </c>
      <c r="AF36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6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17654.676839344262</v>
      </c>
      <c r="AH360" s="55"/>
      <c r="AI360" s="55"/>
      <c r="AJ360" s="55"/>
      <c r="AK360" s="101">
        <f t="shared" ca="1" si="70"/>
        <v>190607.07683934426</v>
      </c>
      <c r="AL360" s="129">
        <f t="array" ref="AL360">MAX((УслРестрактов[Характеристика]="Дата реструктуризации")*(УслРестрактов[Значение]=Первоначальный!$A360),0)</f>
        <v>0</v>
      </c>
    </row>
    <row r="361" spans="1:38" x14ac:dyDescent="0.25">
      <c r="A361" s="97">
        <f t="shared" si="63"/>
        <v>44492</v>
      </c>
      <c r="B361" s="100">
        <f t="shared" ca="1" si="64"/>
        <v>149633.34</v>
      </c>
      <c r="C361" s="55">
        <f t="shared" ca="1" si="72"/>
        <v>23021.169999999973</v>
      </c>
      <c r="D361" s="55">
        <f t="shared" ca="1" si="72"/>
        <v>297.89000000000055</v>
      </c>
      <c r="E361" s="55">
        <f t="shared" ca="1" si="65"/>
        <v>0</v>
      </c>
      <c r="F361" s="55">
        <f t="shared" ca="1" si="66"/>
        <v>17654.676839344262</v>
      </c>
      <c r="G361" s="101">
        <f t="shared" ca="1" si="67"/>
        <v>190607.07683934426</v>
      </c>
      <c r="H361" s="100">
        <f ca="1">ROUND($B361*VLOOKUP($A361,$A$1:$B$10,2,1)/(365+IF(MOD(YEAR($A361),4),0,1)*($A361-$A360)),2)-Первоначальный[[#This Row],[Проценты на просроченный платеж по ОД за период]]</f>
        <v>79.36</v>
      </c>
      <c r="I361" s="55">
        <f t="shared" ca="1" si="68"/>
        <v>2.2200000000000002</v>
      </c>
      <c r="J361" s="55">
        <v>0</v>
      </c>
      <c r="K361" s="55">
        <f t="shared" ca="1" si="71"/>
        <v>130.29850327868854</v>
      </c>
      <c r="L361" s="55">
        <v>0</v>
      </c>
      <c r="M361" s="113">
        <f>SUMIFS(График[Возврат основной суммы долга],График[Дата с учетом нерабочих дней],$A361)</f>
        <v>0</v>
      </c>
      <c r="N361" s="56">
        <f>SUMIFS(График[Возврат начисленных %],График[Дата с учетом нерабочих дней],$A361)</f>
        <v>0</v>
      </c>
      <c r="O361" s="101">
        <v>0</v>
      </c>
      <c r="P361" s="100" cm="1">
        <f t="array" aca="1" ref="P361" ca="1">MAX(IF(AA360="Да",0,SUM(INDIRECT("M"&amp;(MAX(("Да"=AA$12:AA360)*ROW(AA$12:AA360)+1,ROW($P$12))&amp;":M"&amp;(ROW()))))-SUM(INDIRECT("W"&amp;(MAX(("Да"=AA$12:AA360)*ROW(AA$12:AA360)+1,ROW($P$12))&amp;":W"&amp;(ROW()))))),0)</f>
        <v>4071.5099999999998</v>
      </c>
      <c r="Q361" s="99">
        <f ca="1">MAX(SUM($N$13:N361)-SUM($T$13:T361),0)</f>
        <v>21988.190655737708</v>
      </c>
      <c r="R361" s="99">
        <f ca="1">Первоначальный[[#This Row],[Просроченный платеж по ОД]]+Первоначальный[[#This Row],[Просроченный платеж по процентам]]</f>
        <v>26059.700655737706</v>
      </c>
      <c r="S361" s="120">
        <f ca="1">IF(Первоначальный[[#This Row],[Просроченный платеж]]&lt;1,0,S360+1)</f>
        <v>257</v>
      </c>
      <c r="T361" s="100" cm="1">
        <f t="array" aca="1" ref="T361" ca="1">IF(Первоначальный[[#This Row],[Итого остаток на начало периода]]&lt;1,0,
IF(
AND(TYPE(VLOOKUP(1,$Z$12:Z361,1,0))=16,Первоначальный[[#This Row],[Досрочное погашение (да/"")]]=""),0,
_xlfn.IFS(AND(S360=0,Первоначальный[[#This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платеж]]&lt;&gt;0),MIN(LOOKUP(,-1/($Z$12:Z361=1),$C$12:C361)+LOOKUP(,-1/($Z$12:Z361=1),$H$12:H361),Первоначальный[[#This Row],[Полученный платеж]]+Y360),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платеж]]+Y360,SUM(Первоначальный[[#This Row],[Остаток процентов на начало периода]],Первоначальный[[#This Row],[Проценты за период]])),
AND(S360=0,Первоначальный[[#This Row],[Дата платежа из графика]]=""),0,
AND(S360=0,Первоначальный[[#This Row],[Дата платежа из графика]]=1,MAX((0&lt;&gt;S$12:S360)*ROW(S$12:S360),ROW($S$12))&gt;=MAX((1=Z$12:Z360)*ROW(Z$12:Z360),ROW($T$12)),TYPE(VLOOKUP("Да",(INDIRECT("AA"&amp;(MAX((1=Z$12:Z360)*ROW(Z$12:Z360),ROW($T$12))&amp;":AA"&amp;(ROW()-1)))),1,0))=16),MIN(LOOKUP(,-1/($Z$12:Z361=1),$C$12:C361)+LOOKUP(,-1/($Z$12:Z361=1),$H$12:H361),Первоначальный[[#This Row],[Полученный платеж]]+Y360),
AND(S360=0,TYPE(VLOOKUP("Да",(INDIRECT("AA"&amp;(MAX((1=Z$12:Z360)*ROW(Z$12:Z360),ROW($T$12))&amp;":AA"&amp;(ROW()-1)))),1,0))&lt;&gt;16),MIN(LOOKUP(,-1/($Z$12:Z361=1),$C$12:C361)+LOOKUP(,-1/($Z$12:Z361=1),$H$12:H361)-IF(AA360="Да",0,SUM(INDIRECT("T"&amp;(MAX(("Да"=AA$12:AA360)*ROW(AA$12:AA360)+1,ROW($T$12))&amp;":T"&amp;(ROW()-1))))),Первоначальный[[#This Row],[Полученный платеж]]+Y360),
AND(S360=0,MAX((0&lt;&gt;N$12:N360)*ROW(N$12:N360),ROW($S$12))&gt;=MAX((1=Z$12:Z360)*ROW(Z$12:Z360),ROW($T$12))),MIN(LOOKUP(,-1/($Z$12:Z361=1),$C$12:C361)+LOOKUP(,-1/($Z$12:Z361=1),$H$12:H361)-IF(N360&lt;&gt;0,0,SUM(INDIRECT("T"&amp;(MAX((0&lt;&gt;N$12:N360)*ROW(N$12:N360)+1,ROW($T$12))&amp;":T"&amp;(ROW()-1))))),Первоначальный[[#This Row],[Полученный платеж]]+Y360),
AND(S360=0,Первоначальный[[#This Row],[Дата платежа из графика]]=1),MIN(LOOKUP(,-1/($Z$12:Z361=1),$C$12:C361)+LOOKUP(,-1/($Z$12:Z361=1),$H$12:H361)-IF(Z360=1,0,SUM(INDIRECT("T"&amp;(MAX((1=Z$12:Z360)*ROW(Z$12:Z360)+1,ROW($T$12))&amp;":T"&amp;(ROW()-1))))),Первоначальный[[#This Row],[Полученный платеж]]+Y360),
AND(Z360&gt;0,Первоначальный[[#This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платеж]]+Y360),
AND(S360&gt;0,MAX((0&lt;&gt;S$12:S360)*ROW(S$12:S360),ROW($S$12))&gt;=MAX((1=Z$12:Z360)*ROW(Z$12:Z360),ROW($T$12)),TYPE(VLOOKUP("Да",(INDIRECT("AA"&amp;(MAX((1=Z$12:Z360)*ROW(Z$12:Z360),ROW($T$12))&amp;":AA"&amp;(ROW()-1)))),1,0))=16),MIN(LOOKUP(,-1/($Z$12:Z361=1),$C$12:C361)+LOOKUP(,-1/($Z$12:Z361=1),$H$12:H361)-SUM(INDIRECT("T"&amp;(MAX((1=Z$12:Z360)*ROW(Z$12:Z360),ROW($T$12))&amp;":T"&amp;(ROW()-1)))),Первоначальный[[#This Row],[Полученный платеж]]+Y360),
S360&gt;0,MIN(LOOKUP(,-1/($Z$12:Z361=1),$C$12:C361)+LOOKUP(,-1/($Z$12:Z361=1),$H$12:H361)-IF(Z360=1,0,SUM(INDIRECT("T"&amp;(MAX((1=Z$12:Z360)*ROW(Z$12:Z360)+1,ROW($T$12))&amp;":T"&amp;(ROW()-1))))),Первоначальный[[#This Row],[Полученный платеж]]+Y360)
)
)
)</f>
        <v>0</v>
      </c>
      <c r="U36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платеж]]+Y360-Первоначальный[[#This Row],[Полученный платёж по процентам]])</f>
        <v>0</v>
      </c>
      <c r="V361" s="55">
        <f t="shared" ca="1" si="61"/>
        <v>0</v>
      </c>
      <c r="W361" s="55" cm="1">
        <f t="array" aca="1" ref="W361" ca="1">IF(Первоначальный[[#This Row],[Итого остаток на начало периода]]&lt;1,0,
_xlfn.IFS(
AND(TYPE(VLOOKUP(1,$Z$12:Z361,1,0))=16,Первоначальный[[#This Row],[Досрочное погашение (да/"")]]=""),0,
AND(S360=0,Первоначальный[[#This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платеж]]+Y360-SUM(Первоначальный[[#This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комиссиям]]),VLOOKUP(LOOKUP(,-1/($Z$12:Z361=1),$A$12:A361),График[[Срок конец]:[Возврат основной суммы долга]],3,0)),
AND(S360=0,Первоначальный[[#This Row],[Дата платежа из графика]]="",Первоначальный[[#This Row],[Досрочное погашение (да/"")]]&lt;&gt;"Да"),0,
AND(S360=0,Первоначальный[[#This Row],[Досрочное погашение (да/"")]]=""),MIN(Первоначальный[[#This Row],[Полученный платеж]]+Y360-SUM(Первоначальный[[#This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комиссиям]]),VLOOKUP(LOOKUP(,-1/($Z$12:Z361=1),$A$12:A361),График[[Срок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платеж]]+Y360-SUM(Первоначальный[[#This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S360&gt;0,MIN(Первоначальный[[#This Row],[Полученный платеж]]+Y360-SUM(Первоначальный[[#This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комиссиям]]),SUM(INDIRECT("M"&amp;(MAX((1=S$12:S360)*ROW(S$12:S360),ROW($W$12))&amp;":M"&amp;(ROW()))))-SUM(INDIRECT("W"&amp;(MAX((1=S$12:S360)*ROW(S$12:S360),ROW($W$12))&amp;":W"&amp;(ROW()-1)))))
)
)</f>
        <v>0</v>
      </c>
      <c r="X361" s="55">
        <f t="shared" ca="1" si="62"/>
        <v>0</v>
      </c>
      <c r="Y361" s="101">
        <f t="shared" ca="1" si="69"/>
        <v>0</v>
      </c>
      <c r="Z361" s="133" t="str">
        <f>IF(TYPE((VLOOKUP(Первоначальный[[#This Row],[Дата платежа]],График[Срок конец],1,0)))=16,"",1)</f>
        <v/>
      </c>
      <c r="AA361" s="57"/>
      <c r="AB361" s="134"/>
      <c r="AC36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6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23100.529999999973</v>
      </c>
      <c r="AE36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300.11000000000058</v>
      </c>
      <c r="AF36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6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17784.975342622951</v>
      </c>
      <c r="AH361" s="55"/>
      <c r="AI361" s="55"/>
      <c r="AJ361" s="55"/>
      <c r="AK361" s="101">
        <f t="shared" ca="1" si="70"/>
        <v>190818.95534262294</v>
      </c>
      <c r="AL361" s="129">
        <f t="array" ref="AL361">MAX((УслРестрактов[Характеристика]="Дата реструктуризации")*(УслРестрактов[Значение]=Первоначальный!$A361),0)</f>
        <v>0</v>
      </c>
    </row>
    <row r="362" spans="1:38" x14ac:dyDescent="0.25">
      <c r="A362" s="97">
        <f t="shared" si="63"/>
        <v>44493</v>
      </c>
      <c r="B362" s="100">
        <f t="shared" ca="1" si="64"/>
        <v>149633.34</v>
      </c>
      <c r="C362" s="55">
        <f t="shared" ca="1" si="72"/>
        <v>23100.529999999973</v>
      </c>
      <c r="D362" s="55">
        <f t="shared" ca="1" si="72"/>
        <v>300.11000000000058</v>
      </c>
      <c r="E362" s="55">
        <f t="shared" ca="1" si="65"/>
        <v>0</v>
      </c>
      <c r="F362" s="55">
        <f t="shared" ca="1" si="66"/>
        <v>17784.975342622951</v>
      </c>
      <c r="G362" s="101">
        <f t="shared" ca="1" si="67"/>
        <v>190818.95534262294</v>
      </c>
      <c r="H362" s="100">
        <f ca="1">ROUND($B362*VLOOKUP($A362,$A$1:$B$10,2,1)/(365+IF(MOD(YEAR($A362),4),0,1)*($A362-$A361)),2)-Первоначальный[[#This Row],[Проценты на просроченный платеж по ОД за период]]</f>
        <v>79.36</v>
      </c>
      <c r="I362" s="55">
        <f t="shared" ca="1" si="68"/>
        <v>2.2200000000000002</v>
      </c>
      <c r="J362" s="55">
        <v>0</v>
      </c>
      <c r="K362" s="55">
        <f t="shared" ca="1" si="71"/>
        <v>130.29850327868854</v>
      </c>
      <c r="L362" s="55">
        <v>0</v>
      </c>
      <c r="M362" s="113">
        <f>SUMIFS(График[Возврат основной суммы долга],График[Дата с учетом нерабочих дней],$A362)</f>
        <v>0</v>
      </c>
      <c r="N362" s="56">
        <f>SUMIFS(График[Возврат начисленных %],График[Дата с учетом нерабочих дней],$A362)</f>
        <v>0</v>
      </c>
      <c r="O362" s="101">
        <v>0</v>
      </c>
      <c r="P362" s="100" cm="1">
        <f t="array" aca="1" ref="P362" ca="1">MAX(IF(AA361="Да",0,SUM(INDIRECT("M"&amp;(MAX(("Да"=AA$12:AA361)*ROW(AA$12:AA361)+1,ROW($P$12))&amp;":M"&amp;(ROW()))))-SUM(INDIRECT("W"&amp;(MAX(("Да"=AA$12:AA361)*ROW(AA$12:AA361)+1,ROW($P$12))&amp;":W"&amp;(ROW()))))),0)</f>
        <v>4071.5099999999998</v>
      </c>
      <c r="Q362" s="99">
        <f ca="1">MAX(SUM($N$13:N362)-SUM($T$13:T362),0)</f>
        <v>21988.190655737708</v>
      </c>
      <c r="R362" s="99">
        <f ca="1">Первоначальный[[#This Row],[Просроченный платеж по ОД]]+Первоначальный[[#This Row],[Просроченный платеж по процентам]]</f>
        <v>26059.700655737706</v>
      </c>
      <c r="S362" s="120">
        <f ca="1">IF(Первоначальный[[#This Row],[Просроченный платеж]]&lt;1,0,S361+1)</f>
        <v>258</v>
      </c>
      <c r="T362" s="100" cm="1">
        <f t="array" aca="1" ref="T362" ca="1">IF(Первоначальный[[#This Row],[Итого остаток на начало периода]]&lt;1,0,
IF(
AND(TYPE(VLOOKUP(1,$Z$12:Z362,1,0))=16,Первоначальный[[#This Row],[Досрочное погашение (да/"")]]=""),0,
_xlfn.IFS(AND(S361=0,Первоначальный[[#This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платеж]]&lt;&gt;0),MIN(LOOKUP(,-1/($Z$12:Z362=1),$C$12:C362)+LOOKUP(,-1/($Z$12:Z362=1),$H$12:H362),Первоначальный[[#This Row],[Полученный платеж]]+Y361),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платеж]]+Y361,SUM(Первоначальный[[#This Row],[Остаток процентов на начало периода]],Первоначальный[[#This Row],[Проценты за период]])),
AND(S361=0,Первоначальный[[#This Row],[Дата платежа из графика]]=""),0,
AND(S361=0,Первоначальный[[#This Row],[Дата платежа из графика]]=1,MAX((0&lt;&gt;S$12:S361)*ROW(S$12:S361),ROW($S$12))&gt;=MAX((1=Z$12:Z361)*ROW(Z$12:Z361),ROW($T$12)),TYPE(VLOOKUP("Да",(INDIRECT("AA"&amp;(MAX((1=Z$12:Z361)*ROW(Z$12:Z361),ROW($T$12))&amp;":AA"&amp;(ROW()-1)))),1,0))=16),MIN(LOOKUP(,-1/($Z$12:Z362=1),$C$12:C362)+LOOKUP(,-1/($Z$12:Z362=1),$H$12:H362),Первоначальный[[#This Row],[Полученный платеж]]+Y361),
AND(S361=0,TYPE(VLOOKUP("Да",(INDIRECT("AA"&amp;(MAX((1=Z$12:Z361)*ROW(Z$12:Z361),ROW($T$12))&amp;":AA"&amp;(ROW()-1)))),1,0))&lt;&gt;16),MIN(LOOKUP(,-1/($Z$12:Z362=1),$C$12:C362)+LOOKUP(,-1/($Z$12:Z362=1),$H$12:H362)-IF(AA361="Да",0,SUM(INDIRECT("T"&amp;(MAX(("Да"=AA$12:AA361)*ROW(AA$12:AA361)+1,ROW($T$12))&amp;":T"&amp;(ROW()-1))))),Первоначальный[[#This Row],[Полученный платеж]]+Y361),
AND(S361=0,MAX((0&lt;&gt;N$12:N361)*ROW(N$12:N361),ROW($S$12))&gt;=MAX((1=Z$12:Z361)*ROW(Z$12:Z361),ROW($T$12))),MIN(LOOKUP(,-1/($Z$12:Z362=1),$C$12:C362)+LOOKUP(,-1/($Z$12:Z362=1),$H$12:H362)-IF(N361&lt;&gt;0,0,SUM(INDIRECT("T"&amp;(MAX((0&lt;&gt;N$12:N361)*ROW(N$12:N361)+1,ROW($T$12))&amp;":T"&amp;(ROW()-1))))),Первоначальный[[#This Row],[Полученный платеж]]+Y361),
AND(S361=0,Первоначальный[[#This Row],[Дата платежа из графика]]=1),MIN(LOOKUP(,-1/($Z$12:Z362=1),$C$12:C362)+LOOKUP(,-1/($Z$12:Z362=1),$H$12:H362)-IF(Z361=1,0,SUM(INDIRECT("T"&amp;(MAX((1=Z$12:Z361)*ROW(Z$12:Z361)+1,ROW($T$12))&amp;":T"&amp;(ROW()-1))))),Первоначальный[[#This Row],[Полученный платеж]]+Y361),
AND(Z361&gt;0,Первоначальный[[#This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платеж]]+Y361),
AND(S361&gt;0,MAX((0&lt;&gt;S$12:S361)*ROW(S$12:S361),ROW($S$12))&gt;=MAX((1=Z$12:Z361)*ROW(Z$12:Z361),ROW($T$12)),TYPE(VLOOKUP("Да",(INDIRECT("AA"&amp;(MAX((1=Z$12:Z361)*ROW(Z$12:Z361),ROW($T$12))&amp;":AA"&amp;(ROW()-1)))),1,0))=16),MIN(LOOKUP(,-1/($Z$12:Z362=1),$C$12:C362)+LOOKUP(,-1/($Z$12:Z362=1),$H$12:H362)-SUM(INDIRECT("T"&amp;(MAX((1=Z$12:Z361)*ROW(Z$12:Z361),ROW($T$12))&amp;":T"&amp;(ROW()-1)))),Первоначальный[[#This Row],[Полученный платеж]]+Y361),
S361&gt;0,MIN(LOOKUP(,-1/($Z$12:Z362=1),$C$12:C362)+LOOKUP(,-1/($Z$12:Z362=1),$H$12:H362)-IF(Z361=1,0,SUM(INDIRECT("T"&amp;(MAX((1=Z$12:Z361)*ROW(Z$12:Z361)+1,ROW($T$12))&amp;":T"&amp;(ROW()-1))))),Первоначальный[[#This Row],[Полученный платеж]]+Y361)
)
)
)</f>
        <v>0</v>
      </c>
      <c r="U36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платеж]]+Y361-Первоначальный[[#This Row],[Полученный платёж по процентам]])</f>
        <v>0</v>
      </c>
      <c r="V362" s="55">
        <f t="shared" ca="1" si="61"/>
        <v>0</v>
      </c>
      <c r="W362" s="55" cm="1">
        <f t="array" aca="1" ref="W362" ca="1">IF(Первоначальный[[#This Row],[Итого остаток на начало периода]]&lt;1,0,
_xlfn.IFS(
AND(TYPE(VLOOKUP(1,$Z$12:Z362,1,0))=16,Первоначальный[[#This Row],[Досрочное погашение (да/"")]]=""),0,
AND(S361=0,Первоначальный[[#This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платеж]]+Y361-SUM(Первоначальный[[#This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комиссиям]]),VLOOKUP(LOOKUP(,-1/($Z$12:Z362=1),$A$12:A362),График[[Срок конец]:[Возврат основной суммы долга]],3,0)),
AND(S361=0,Первоначальный[[#This Row],[Дата платежа из графика]]="",Первоначальный[[#This Row],[Досрочное погашение (да/"")]]&lt;&gt;"Да"),0,
AND(S361=0,Первоначальный[[#This Row],[Досрочное погашение (да/"")]]=""),MIN(Первоначальный[[#This Row],[Полученный платеж]]+Y361-SUM(Первоначальный[[#This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комиссиям]]),VLOOKUP(LOOKUP(,-1/($Z$12:Z362=1),$A$12:A362),График[[Срок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платеж]]+Y361-SUM(Первоначальный[[#This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S361&gt;0,MIN(Первоначальный[[#This Row],[Полученный платеж]]+Y361-SUM(Первоначальный[[#This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комиссиям]]),SUM(INDIRECT("M"&amp;(MAX((1=S$12:S361)*ROW(S$12:S361),ROW($W$12))&amp;":M"&amp;(ROW()))))-SUM(INDIRECT("W"&amp;(MAX((1=S$12:S361)*ROW(S$12:S361),ROW($W$12))&amp;":W"&amp;(ROW()-1)))))
)
)</f>
        <v>0</v>
      </c>
      <c r="X362" s="55">
        <f t="shared" ca="1" si="62"/>
        <v>0</v>
      </c>
      <c r="Y362" s="101">
        <f t="shared" ca="1" si="69"/>
        <v>0</v>
      </c>
      <c r="Z362" s="133" t="str">
        <f>IF(TYPE((VLOOKUP(Первоначальный[[#This Row],[Дата платежа]],График[Срок конец],1,0)))=16,"",1)</f>
        <v/>
      </c>
      <c r="AA362" s="57"/>
      <c r="AB362" s="134"/>
      <c r="AC36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6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23179.889999999974</v>
      </c>
      <c r="AE36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302.33000000000061</v>
      </c>
      <c r="AF36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6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17915.27384590164</v>
      </c>
      <c r="AH362" s="55"/>
      <c r="AI362" s="55"/>
      <c r="AJ362" s="55"/>
      <c r="AK362" s="101">
        <f t="shared" ca="1" si="70"/>
        <v>191030.83384590159</v>
      </c>
      <c r="AL362" s="129">
        <f t="array" ref="AL362">MAX((УслРестрактов[Характеристика]="Дата реструктуризации")*(УслРестрактов[Значение]=Первоначальный!$A362),0)</f>
        <v>0</v>
      </c>
    </row>
    <row r="363" spans="1:38" x14ac:dyDescent="0.25">
      <c r="A363" s="97">
        <f t="shared" si="63"/>
        <v>44494</v>
      </c>
      <c r="B363" s="100">
        <f t="shared" ca="1" si="64"/>
        <v>149633.34</v>
      </c>
      <c r="C363" s="55">
        <f t="shared" ca="1" si="72"/>
        <v>23179.889999999974</v>
      </c>
      <c r="D363" s="55">
        <f t="shared" ca="1" si="72"/>
        <v>302.33000000000061</v>
      </c>
      <c r="E363" s="55">
        <f t="shared" ca="1" si="65"/>
        <v>0</v>
      </c>
      <c r="F363" s="55">
        <f t="shared" ca="1" si="66"/>
        <v>17915.27384590164</v>
      </c>
      <c r="G363" s="101">
        <f t="shared" ca="1" si="67"/>
        <v>191030.83384590159</v>
      </c>
      <c r="H363" s="100">
        <f ca="1">ROUND($B363*VLOOKUP($A363,$A$1:$B$10,2,1)/(365+IF(MOD(YEAR($A363),4),0,1)*($A363-$A362)),2)-Первоначальный[[#This Row],[Проценты на просроченный платеж по ОД за период]]</f>
        <v>79.36</v>
      </c>
      <c r="I363" s="55">
        <f t="shared" ca="1" si="68"/>
        <v>2.2200000000000002</v>
      </c>
      <c r="J363" s="55">
        <v>0</v>
      </c>
      <c r="K363" s="55">
        <f t="shared" ca="1" si="71"/>
        <v>130.29850327868854</v>
      </c>
      <c r="L363" s="55">
        <v>0</v>
      </c>
      <c r="M363" s="113">
        <f>SUMIFS(График[Возврат основной суммы долга],График[Дата с учетом нерабочих дней],$A363)</f>
        <v>0</v>
      </c>
      <c r="N363" s="56">
        <f>SUMIFS(График[Возврат начисленных %],График[Дата с учетом нерабочих дней],$A363)</f>
        <v>0</v>
      </c>
      <c r="O363" s="101">
        <v>0</v>
      </c>
      <c r="P363" s="100" cm="1">
        <f t="array" aca="1" ref="P363" ca="1">MAX(IF(AA362="Да",0,SUM(INDIRECT("M"&amp;(MAX(("Да"=AA$12:AA362)*ROW(AA$12:AA362)+1,ROW($P$12))&amp;":M"&amp;(ROW()))))-SUM(INDIRECT("W"&amp;(MAX(("Да"=AA$12:AA362)*ROW(AA$12:AA362)+1,ROW($P$12))&amp;":W"&amp;(ROW()))))),0)</f>
        <v>4071.5099999999998</v>
      </c>
      <c r="Q363" s="99">
        <f ca="1">MAX(SUM($N$13:N363)-SUM($T$13:T363),0)</f>
        <v>21988.190655737708</v>
      </c>
      <c r="R363" s="99">
        <f ca="1">Первоначальный[[#This Row],[Просроченный платеж по ОД]]+Первоначальный[[#This Row],[Просроченный платеж по процентам]]</f>
        <v>26059.700655737706</v>
      </c>
      <c r="S363" s="120">
        <f ca="1">IF(Первоначальный[[#This Row],[Просроченный платеж]]&lt;1,0,S362+1)</f>
        <v>259</v>
      </c>
      <c r="T363" s="100" cm="1">
        <f t="array" aca="1" ref="T363" ca="1">IF(Первоначальный[[#This Row],[Итого остаток на начало периода]]&lt;1,0,
IF(
AND(TYPE(VLOOKUP(1,$Z$12:Z363,1,0))=16,Первоначальный[[#This Row],[Досрочное погашение (да/"")]]=""),0,
_xlfn.IFS(AND(S362=0,Первоначальный[[#This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платеж]]&lt;&gt;0),MIN(LOOKUP(,-1/($Z$12:Z363=1),$C$12:C363)+LOOKUP(,-1/($Z$12:Z363=1),$H$12:H363),Первоначальный[[#This Row],[Полученный платеж]]+Y362),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платеж]]+Y362,SUM(Первоначальный[[#This Row],[Остаток процентов на начало периода]],Первоначальный[[#This Row],[Проценты за период]])),
AND(S362=0,Первоначальный[[#This Row],[Дата платежа из графика]]=""),0,
AND(S362=0,Первоначальный[[#This Row],[Дата платежа из графика]]=1,MAX((0&lt;&gt;S$12:S362)*ROW(S$12:S362),ROW($S$12))&gt;=MAX((1=Z$12:Z362)*ROW(Z$12:Z362),ROW($T$12)),TYPE(VLOOKUP("Да",(INDIRECT("AA"&amp;(MAX((1=Z$12:Z362)*ROW(Z$12:Z362),ROW($T$12))&amp;":AA"&amp;(ROW()-1)))),1,0))=16),MIN(LOOKUP(,-1/($Z$12:Z363=1),$C$12:C363)+LOOKUP(,-1/($Z$12:Z363=1),$H$12:H363),Первоначальный[[#This Row],[Полученный платеж]]+Y362),
AND(S362=0,TYPE(VLOOKUP("Да",(INDIRECT("AA"&amp;(MAX((1=Z$12:Z362)*ROW(Z$12:Z362),ROW($T$12))&amp;":AA"&amp;(ROW()-1)))),1,0))&lt;&gt;16),MIN(LOOKUP(,-1/($Z$12:Z363=1),$C$12:C363)+LOOKUP(,-1/($Z$12:Z363=1),$H$12:H363)-IF(AA362="Да",0,SUM(INDIRECT("T"&amp;(MAX(("Да"=AA$12:AA362)*ROW(AA$12:AA362)+1,ROW($T$12))&amp;":T"&amp;(ROW()-1))))),Первоначальный[[#This Row],[Полученный платеж]]+Y362),
AND(S362=0,MAX((0&lt;&gt;N$12:N362)*ROW(N$12:N362),ROW($S$12))&gt;=MAX((1=Z$12:Z362)*ROW(Z$12:Z362),ROW($T$12))),MIN(LOOKUP(,-1/($Z$12:Z363=1),$C$12:C363)+LOOKUP(,-1/($Z$12:Z363=1),$H$12:H363)-IF(N362&lt;&gt;0,0,SUM(INDIRECT("T"&amp;(MAX((0&lt;&gt;N$12:N362)*ROW(N$12:N362)+1,ROW($T$12))&amp;":T"&amp;(ROW()-1))))),Первоначальный[[#This Row],[Полученный платеж]]+Y362),
AND(S362=0,Первоначальный[[#This Row],[Дата платежа из графика]]=1),MIN(LOOKUP(,-1/($Z$12:Z363=1),$C$12:C363)+LOOKUP(,-1/($Z$12:Z363=1),$H$12:H363)-IF(Z362=1,0,SUM(INDIRECT("T"&amp;(MAX((1=Z$12:Z362)*ROW(Z$12:Z362)+1,ROW($T$12))&amp;":T"&amp;(ROW()-1))))),Первоначальный[[#This Row],[Полученный платеж]]+Y362),
AND(Z362&gt;0,Первоначальный[[#This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платеж]]+Y362),
AND(S362&gt;0,MAX((0&lt;&gt;S$12:S362)*ROW(S$12:S362),ROW($S$12))&gt;=MAX((1=Z$12:Z362)*ROW(Z$12:Z362),ROW($T$12)),TYPE(VLOOKUP("Да",(INDIRECT("AA"&amp;(MAX((1=Z$12:Z362)*ROW(Z$12:Z362),ROW($T$12))&amp;":AA"&amp;(ROW()-1)))),1,0))=16),MIN(LOOKUP(,-1/($Z$12:Z363=1),$C$12:C363)+LOOKUP(,-1/($Z$12:Z363=1),$H$12:H363)-SUM(INDIRECT("T"&amp;(MAX((1=Z$12:Z362)*ROW(Z$12:Z362),ROW($T$12))&amp;":T"&amp;(ROW()-1)))),Первоначальный[[#This Row],[Полученный платеж]]+Y362),
S362&gt;0,MIN(LOOKUP(,-1/($Z$12:Z363=1),$C$12:C363)+LOOKUP(,-1/($Z$12:Z363=1),$H$12:H363)-IF(Z362=1,0,SUM(INDIRECT("T"&amp;(MAX((1=Z$12:Z362)*ROW(Z$12:Z362)+1,ROW($T$12))&amp;":T"&amp;(ROW()-1))))),Первоначальный[[#This Row],[Полученный платеж]]+Y362)
)
)
)</f>
        <v>0</v>
      </c>
      <c r="U36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платеж]]+Y362-Первоначальный[[#This Row],[Полученный платёж по процентам]])</f>
        <v>0</v>
      </c>
      <c r="V363" s="55">
        <f t="shared" ca="1" si="61"/>
        <v>0</v>
      </c>
      <c r="W363" s="55" cm="1">
        <f t="array" aca="1" ref="W363" ca="1">IF(Первоначальный[[#This Row],[Итого остаток на начало периода]]&lt;1,0,
_xlfn.IFS(
AND(TYPE(VLOOKUP(1,$Z$12:Z363,1,0))=16,Первоначальный[[#This Row],[Досрочное погашение (да/"")]]=""),0,
AND(S362=0,Первоначальный[[#This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платеж]]+Y362-SUM(Первоначальный[[#This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комиссиям]]),VLOOKUP(LOOKUP(,-1/($Z$12:Z363=1),$A$12:A363),График[[Срок конец]:[Возврат основной суммы долга]],3,0)),
AND(S362=0,Первоначальный[[#This Row],[Дата платежа из графика]]="",Первоначальный[[#This Row],[Досрочное погашение (да/"")]]&lt;&gt;"Да"),0,
AND(S362=0,Первоначальный[[#This Row],[Досрочное погашение (да/"")]]=""),MIN(Первоначальный[[#This Row],[Полученный платеж]]+Y362-SUM(Первоначальный[[#This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комиссиям]]),VLOOKUP(LOOKUP(,-1/($Z$12:Z363=1),$A$12:A363),График[[Срок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платеж]]+Y362-SUM(Первоначальный[[#This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S362&gt;0,MIN(Первоначальный[[#This Row],[Полученный платеж]]+Y362-SUM(Первоначальный[[#This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комиссиям]]),SUM(INDIRECT("M"&amp;(MAX((1=S$12:S362)*ROW(S$12:S362),ROW($W$12))&amp;":M"&amp;(ROW()))))-SUM(INDIRECT("W"&amp;(MAX((1=S$12:S362)*ROW(S$12:S362),ROW($W$12))&amp;":W"&amp;(ROW()-1)))))
)
)</f>
        <v>0</v>
      </c>
      <c r="X363" s="55">
        <f t="shared" ca="1" si="62"/>
        <v>0</v>
      </c>
      <c r="Y363" s="101">
        <f t="shared" ca="1" si="69"/>
        <v>0</v>
      </c>
      <c r="Z363" s="133" t="str">
        <f>IF(TYPE((VLOOKUP(Первоначальный[[#This Row],[Дата платежа]],График[Срок конец],1,0)))=16,"",1)</f>
        <v/>
      </c>
      <c r="AA363" s="57"/>
      <c r="AB363" s="134"/>
      <c r="AC36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6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23259.249999999975</v>
      </c>
      <c r="AE36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304.55000000000064</v>
      </c>
      <c r="AF36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6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18045.572349180329</v>
      </c>
      <c r="AH363" s="55"/>
      <c r="AI363" s="55"/>
      <c r="AJ363" s="55"/>
      <c r="AK363" s="101">
        <f t="shared" ca="1" si="70"/>
        <v>191242.71234918028</v>
      </c>
      <c r="AL363" s="129">
        <f t="array" ref="AL363">MAX((УслРестрактов[Характеристика]="Дата реструктуризации")*(УслРестрактов[Значение]=Первоначальный!$A363),0)</f>
        <v>0</v>
      </c>
    </row>
    <row r="364" spans="1:38" x14ac:dyDescent="0.25">
      <c r="A364" s="97">
        <f t="shared" si="63"/>
        <v>44495</v>
      </c>
      <c r="B364" s="100">
        <f t="shared" ca="1" si="64"/>
        <v>149633.34</v>
      </c>
      <c r="C364" s="55">
        <f t="shared" ca="1" si="72"/>
        <v>23259.249999999975</v>
      </c>
      <c r="D364" s="55">
        <f t="shared" ca="1" si="72"/>
        <v>304.55000000000064</v>
      </c>
      <c r="E364" s="55">
        <f t="shared" ca="1" si="65"/>
        <v>0</v>
      </c>
      <c r="F364" s="55">
        <f t="shared" ca="1" si="66"/>
        <v>18045.572349180329</v>
      </c>
      <c r="G364" s="101">
        <f t="shared" ca="1" si="67"/>
        <v>191242.71234918028</v>
      </c>
      <c r="H364" s="100">
        <f ca="1">ROUND($B364*VLOOKUP($A364,$A$1:$B$10,2,1)/(365+IF(MOD(YEAR($A364),4),0,1)*($A364-$A363)),2)-Первоначальный[[#This Row],[Проценты на просроченный платеж по ОД за период]]</f>
        <v>79.36</v>
      </c>
      <c r="I364" s="55">
        <f t="shared" ca="1" si="68"/>
        <v>2.2200000000000002</v>
      </c>
      <c r="J364" s="55">
        <v>0</v>
      </c>
      <c r="K364" s="55">
        <f t="shared" ca="1" si="71"/>
        <v>130.29850327868854</v>
      </c>
      <c r="L364" s="55">
        <v>0</v>
      </c>
      <c r="M364" s="113">
        <f>SUMIFS(График[Возврат основной суммы долга],График[Дата с учетом нерабочих дней],$A364)</f>
        <v>0</v>
      </c>
      <c r="N364" s="56">
        <f>SUMIFS(График[Возврат начисленных %],График[Дата с учетом нерабочих дней],$A364)</f>
        <v>0</v>
      </c>
      <c r="O364" s="101">
        <v>0</v>
      </c>
      <c r="P364" s="100" cm="1">
        <f t="array" aca="1" ref="P364" ca="1">MAX(IF(AA363="Да",0,SUM(INDIRECT("M"&amp;(MAX(("Да"=AA$12:AA363)*ROW(AA$12:AA363)+1,ROW($P$12))&amp;":M"&amp;(ROW()))))-SUM(INDIRECT("W"&amp;(MAX(("Да"=AA$12:AA363)*ROW(AA$12:AA363)+1,ROW($P$12))&amp;":W"&amp;(ROW()))))),0)</f>
        <v>4071.5099999999998</v>
      </c>
      <c r="Q364" s="99">
        <f ca="1">MAX(SUM($N$13:N364)-SUM($T$13:T364),0)</f>
        <v>21988.190655737708</v>
      </c>
      <c r="R364" s="99">
        <f ca="1">Первоначальный[[#This Row],[Просроченный платеж по ОД]]+Первоначальный[[#This Row],[Просроченный платеж по процентам]]</f>
        <v>26059.700655737706</v>
      </c>
      <c r="S364" s="120">
        <f ca="1">IF(Первоначальный[[#This Row],[Просроченный платеж]]&lt;1,0,S363+1)</f>
        <v>260</v>
      </c>
      <c r="T364" s="100" cm="1">
        <f t="array" aca="1" ref="T364" ca="1">IF(Первоначальный[[#This Row],[Итого остаток на начало периода]]&lt;1,0,
IF(
AND(TYPE(VLOOKUP(1,$Z$12:Z364,1,0))=16,Первоначальный[[#This Row],[Досрочное погашение (да/"")]]=""),0,
_xlfn.IFS(AND(S363=0,Первоначальный[[#This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платеж]]&lt;&gt;0),MIN(LOOKUP(,-1/($Z$12:Z364=1),$C$12:C364)+LOOKUP(,-1/($Z$12:Z364=1),$H$12:H364),Первоначальный[[#This Row],[Полученный платеж]]+Y363),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платеж]]+Y363,SUM(Первоначальный[[#This Row],[Остаток процентов на начало периода]],Первоначальный[[#This Row],[Проценты за период]])),
AND(S363=0,Первоначальный[[#This Row],[Дата платежа из графика]]=""),0,
AND(S363=0,Первоначальный[[#This Row],[Дата платежа из графика]]=1,MAX((0&lt;&gt;S$12:S363)*ROW(S$12:S363),ROW($S$12))&gt;=MAX((1=Z$12:Z363)*ROW(Z$12:Z363),ROW($T$12)),TYPE(VLOOKUP("Да",(INDIRECT("AA"&amp;(MAX((1=Z$12:Z363)*ROW(Z$12:Z363),ROW($T$12))&amp;":AA"&amp;(ROW()-1)))),1,0))=16),MIN(LOOKUP(,-1/($Z$12:Z364=1),$C$12:C364)+LOOKUP(,-1/($Z$12:Z364=1),$H$12:H364),Первоначальный[[#This Row],[Полученный платеж]]+Y363),
AND(S363=0,TYPE(VLOOKUP("Да",(INDIRECT("AA"&amp;(MAX((1=Z$12:Z363)*ROW(Z$12:Z363),ROW($T$12))&amp;":AA"&amp;(ROW()-1)))),1,0))&lt;&gt;16),MIN(LOOKUP(,-1/($Z$12:Z364=1),$C$12:C364)+LOOKUP(,-1/($Z$12:Z364=1),$H$12:H364)-IF(AA363="Да",0,SUM(INDIRECT("T"&amp;(MAX(("Да"=AA$12:AA363)*ROW(AA$12:AA363)+1,ROW($T$12))&amp;":T"&amp;(ROW()-1))))),Первоначальный[[#This Row],[Полученный платеж]]+Y363),
AND(S363=0,MAX((0&lt;&gt;N$12:N363)*ROW(N$12:N363),ROW($S$12))&gt;=MAX((1=Z$12:Z363)*ROW(Z$12:Z363),ROW($T$12))),MIN(LOOKUP(,-1/($Z$12:Z364=1),$C$12:C364)+LOOKUP(,-1/($Z$12:Z364=1),$H$12:H364)-IF(N363&lt;&gt;0,0,SUM(INDIRECT("T"&amp;(MAX((0&lt;&gt;N$12:N363)*ROW(N$12:N363)+1,ROW($T$12))&amp;":T"&amp;(ROW()-1))))),Первоначальный[[#This Row],[Полученный платеж]]+Y363),
AND(S363=0,Первоначальный[[#This Row],[Дата платежа из графика]]=1),MIN(LOOKUP(,-1/($Z$12:Z364=1),$C$12:C364)+LOOKUP(,-1/($Z$12:Z364=1),$H$12:H364)-IF(Z363=1,0,SUM(INDIRECT("T"&amp;(MAX((1=Z$12:Z363)*ROW(Z$12:Z363)+1,ROW($T$12))&amp;":T"&amp;(ROW()-1))))),Первоначальный[[#This Row],[Полученный платеж]]+Y363),
AND(Z363&gt;0,Первоначальный[[#This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платеж]]+Y363),
AND(S363&gt;0,MAX((0&lt;&gt;S$12:S363)*ROW(S$12:S363),ROW($S$12))&gt;=MAX((1=Z$12:Z363)*ROW(Z$12:Z363),ROW($T$12)),TYPE(VLOOKUP("Да",(INDIRECT("AA"&amp;(MAX((1=Z$12:Z363)*ROW(Z$12:Z363),ROW($T$12))&amp;":AA"&amp;(ROW()-1)))),1,0))=16),MIN(LOOKUP(,-1/($Z$12:Z364=1),$C$12:C364)+LOOKUP(,-1/($Z$12:Z364=1),$H$12:H364)-SUM(INDIRECT("T"&amp;(MAX((1=Z$12:Z363)*ROW(Z$12:Z363),ROW($T$12))&amp;":T"&amp;(ROW()-1)))),Первоначальный[[#This Row],[Полученный платеж]]+Y363),
S363&gt;0,MIN(LOOKUP(,-1/($Z$12:Z364=1),$C$12:C364)+LOOKUP(,-1/($Z$12:Z364=1),$H$12:H364)-IF(Z363=1,0,SUM(INDIRECT("T"&amp;(MAX((1=Z$12:Z363)*ROW(Z$12:Z363)+1,ROW($T$12))&amp;":T"&amp;(ROW()-1))))),Первоначальный[[#This Row],[Полученный платеж]]+Y363)
)
)
)</f>
        <v>0</v>
      </c>
      <c r="U36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платеж]]+Y363-Первоначальный[[#This Row],[Полученный платёж по процентам]])</f>
        <v>0</v>
      </c>
      <c r="V364" s="55">
        <f t="shared" ca="1" si="61"/>
        <v>0</v>
      </c>
      <c r="W364" s="55" cm="1">
        <f t="array" aca="1" ref="W364" ca="1">IF(Первоначальный[[#This Row],[Итого остаток на начало периода]]&lt;1,0,
_xlfn.IFS(
AND(TYPE(VLOOKUP(1,$Z$12:Z364,1,0))=16,Первоначальный[[#This Row],[Досрочное погашение (да/"")]]=""),0,
AND(S363=0,Первоначальный[[#This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платеж]]+Y363-SUM(Первоначальный[[#This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комиссиям]]),VLOOKUP(LOOKUP(,-1/($Z$12:Z364=1),$A$12:A364),График[[Срок конец]:[Возврат основной суммы долга]],3,0)),
AND(S363=0,Первоначальный[[#This Row],[Дата платежа из графика]]="",Первоначальный[[#This Row],[Досрочное погашение (да/"")]]&lt;&gt;"Да"),0,
AND(S363=0,Первоначальный[[#This Row],[Досрочное погашение (да/"")]]=""),MIN(Первоначальный[[#This Row],[Полученный платеж]]+Y363-SUM(Первоначальный[[#This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комиссиям]]),VLOOKUP(LOOKUP(,-1/($Z$12:Z364=1),$A$12:A364),График[[Срок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платеж]]+Y363-SUM(Первоначальный[[#This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S363&gt;0,MIN(Первоначальный[[#This Row],[Полученный платеж]]+Y363-SUM(Первоначальный[[#This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комиссиям]]),SUM(INDIRECT("M"&amp;(MAX((1=S$12:S363)*ROW(S$12:S363),ROW($W$12))&amp;":M"&amp;(ROW()))))-SUM(INDIRECT("W"&amp;(MAX((1=S$12:S363)*ROW(S$12:S363),ROW($W$12))&amp;":W"&amp;(ROW()-1)))))
)
)</f>
        <v>0</v>
      </c>
      <c r="X364" s="55">
        <f t="shared" ca="1" si="62"/>
        <v>0</v>
      </c>
      <c r="Y364" s="101">
        <f t="shared" ca="1" si="69"/>
        <v>0</v>
      </c>
      <c r="Z364" s="133" t="str">
        <f>IF(TYPE((VLOOKUP(Первоначальный[[#This Row],[Дата платежа]],График[Срок конец],1,0)))=16,"",1)</f>
        <v/>
      </c>
      <c r="AA364" s="57"/>
      <c r="AB364" s="134"/>
      <c r="AC36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6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23338.609999999975</v>
      </c>
      <c r="AE36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306.77000000000066</v>
      </c>
      <c r="AF36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6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18175.870852459018</v>
      </c>
      <c r="AH364" s="55"/>
      <c r="AI364" s="55"/>
      <c r="AJ364" s="55"/>
      <c r="AK364" s="101">
        <f t="shared" ca="1" si="70"/>
        <v>191454.59085245899</v>
      </c>
      <c r="AL364" s="129">
        <f t="array" ref="AL364">MAX((УслРестрактов[Характеристика]="Дата реструктуризации")*(УслРестрактов[Значение]=Первоначальный!$A364),0)</f>
        <v>0</v>
      </c>
    </row>
    <row r="365" spans="1:38" x14ac:dyDescent="0.25">
      <c r="A365" s="97">
        <f t="shared" si="63"/>
        <v>44496</v>
      </c>
      <c r="B365" s="100">
        <f t="shared" ca="1" si="64"/>
        <v>149633.34</v>
      </c>
      <c r="C365" s="55">
        <f t="shared" ca="1" si="72"/>
        <v>23338.609999999975</v>
      </c>
      <c r="D365" s="55">
        <f t="shared" ca="1" si="72"/>
        <v>306.77000000000066</v>
      </c>
      <c r="E365" s="55">
        <f t="shared" ca="1" si="65"/>
        <v>0</v>
      </c>
      <c r="F365" s="55">
        <f t="shared" ca="1" si="66"/>
        <v>18175.870852459018</v>
      </c>
      <c r="G365" s="101">
        <f t="shared" ca="1" si="67"/>
        <v>191454.59085245899</v>
      </c>
      <c r="H365" s="100">
        <f ca="1">ROUND($B365*VLOOKUP($A365,$A$1:$B$10,2,1)/(365+IF(MOD(YEAR($A365),4),0,1)*($A365-$A364)),2)-Первоначальный[[#This Row],[Проценты на просроченный платеж по ОД за период]]</f>
        <v>79.36</v>
      </c>
      <c r="I365" s="55">
        <f t="shared" ca="1" si="68"/>
        <v>2.2200000000000002</v>
      </c>
      <c r="J365" s="55">
        <v>0</v>
      </c>
      <c r="K365" s="55">
        <f t="shared" ca="1" si="71"/>
        <v>130.29850327868854</v>
      </c>
      <c r="L365" s="55">
        <v>0</v>
      </c>
      <c r="M365" s="113">
        <f>SUMIFS(График[Возврат основной суммы долга],График[Дата с учетом нерабочих дней],$A365)</f>
        <v>0</v>
      </c>
      <c r="N365" s="56">
        <f>SUMIFS(График[Возврат начисленных %],График[Дата с учетом нерабочих дней],$A365)</f>
        <v>0</v>
      </c>
      <c r="O365" s="101">
        <v>0</v>
      </c>
      <c r="P365" s="100" cm="1">
        <f t="array" aca="1" ref="P365" ca="1">MAX(IF(AA364="Да",0,SUM(INDIRECT("M"&amp;(MAX(("Да"=AA$12:AA364)*ROW(AA$12:AA364)+1,ROW($P$12))&amp;":M"&amp;(ROW()))))-SUM(INDIRECT("W"&amp;(MAX(("Да"=AA$12:AA364)*ROW(AA$12:AA364)+1,ROW($P$12))&amp;":W"&amp;(ROW()))))),0)</f>
        <v>4071.5099999999998</v>
      </c>
      <c r="Q365" s="99">
        <f ca="1">MAX(SUM($N$13:N365)-SUM($T$13:T365),0)</f>
        <v>21988.190655737708</v>
      </c>
      <c r="R365" s="99">
        <f ca="1">Первоначальный[[#This Row],[Просроченный платеж по ОД]]+Первоначальный[[#This Row],[Просроченный платеж по процентам]]</f>
        <v>26059.700655737706</v>
      </c>
      <c r="S365" s="120">
        <f ca="1">IF(Первоначальный[[#This Row],[Просроченный платеж]]&lt;1,0,S364+1)</f>
        <v>261</v>
      </c>
      <c r="T365" s="100" cm="1">
        <f t="array" aca="1" ref="T365" ca="1">IF(Первоначальный[[#This Row],[Итого остаток на начало периода]]&lt;1,0,
IF(
AND(TYPE(VLOOKUP(1,$Z$12:Z365,1,0))=16,Первоначальный[[#This Row],[Досрочное погашение (да/"")]]=""),0,
_xlfn.IFS(AND(S364=0,Первоначальный[[#This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платеж]]&lt;&gt;0),MIN(LOOKUP(,-1/($Z$12:Z365=1),$C$12:C365)+LOOKUP(,-1/($Z$12:Z365=1),$H$12:H365),Первоначальный[[#This Row],[Полученный платеж]]+Y364),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платеж]]+Y364,SUM(Первоначальный[[#This Row],[Остаток процентов на начало периода]],Первоначальный[[#This Row],[Проценты за период]])),
AND(S364=0,Первоначальный[[#This Row],[Дата платежа из графика]]=""),0,
AND(S364=0,Первоначальный[[#This Row],[Дата платежа из графика]]=1,MAX((0&lt;&gt;S$12:S364)*ROW(S$12:S364),ROW($S$12))&gt;=MAX((1=Z$12:Z364)*ROW(Z$12:Z364),ROW($T$12)),TYPE(VLOOKUP("Да",(INDIRECT("AA"&amp;(MAX((1=Z$12:Z364)*ROW(Z$12:Z364),ROW($T$12))&amp;":AA"&amp;(ROW()-1)))),1,0))=16),MIN(LOOKUP(,-1/($Z$12:Z365=1),$C$12:C365)+LOOKUP(,-1/($Z$12:Z365=1),$H$12:H365),Первоначальный[[#This Row],[Полученный платеж]]+Y364),
AND(S364=0,TYPE(VLOOKUP("Да",(INDIRECT("AA"&amp;(MAX((1=Z$12:Z364)*ROW(Z$12:Z364),ROW($T$12))&amp;":AA"&amp;(ROW()-1)))),1,0))&lt;&gt;16),MIN(LOOKUP(,-1/($Z$12:Z365=1),$C$12:C365)+LOOKUP(,-1/($Z$12:Z365=1),$H$12:H365)-IF(AA364="Да",0,SUM(INDIRECT("T"&amp;(MAX(("Да"=AA$12:AA364)*ROW(AA$12:AA364)+1,ROW($T$12))&amp;":T"&amp;(ROW()-1))))),Первоначальный[[#This Row],[Полученный платеж]]+Y364),
AND(S364=0,MAX((0&lt;&gt;N$12:N364)*ROW(N$12:N364),ROW($S$12))&gt;=MAX((1=Z$12:Z364)*ROW(Z$12:Z364),ROW($T$12))),MIN(LOOKUP(,-1/($Z$12:Z365=1),$C$12:C365)+LOOKUP(,-1/($Z$12:Z365=1),$H$12:H365)-IF(N364&lt;&gt;0,0,SUM(INDIRECT("T"&amp;(MAX((0&lt;&gt;N$12:N364)*ROW(N$12:N364)+1,ROW($T$12))&amp;":T"&amp;(ROW()-1))))),Первоначальный[[#This Row],[Полученный платеж]]+Y364),
AND(S364=0,Первоначальный[[#This Row],[Дата платежа из графика]]=1),MIN(LOOKUP(,-1/($Z$12:Z365=1),$C$12:C365)+LOOKUP(,-1/($Z$12:Z365=1),$H$12:H365)-IF(Z364=1,0,SUM(INDIRECT("T"&amp;(MAX((1=Z$12:Z364)*ROW(Z$12:Z364)+1,ROW($T$12))&amp;":T"&amp;(ROW()-1))))),Первоначальный[[#This Row],[Полученный платеж]]+Y364),
AND(Z364&gt;0,Первоначальный[[#This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платеж]]+Y364),
AND(S364&gt;0,MAX((0&lt;&gt;S$12:S364)*ROW(S$12:S364),ROW($S$12))&gt;=MAX((1=Z$12:Z364)*ROW(Z$12:Z364),ROW($T$12)),TYPE(VLOOKUP("Да",(INDIRECT("AA"&amp;(MAX((1=Z$12:Z364)*ROW(Z$12:Z364),ROW($T$12))&amp;":AA"&amp;(ROW()-1)))),1,0))=16),MIN(LOOKUP(,-1/($Z$12:Z365=1),$C$12:C365)+LOOKUP(,-1/($Z$12:Z365=1),$H$12:H365)-SUM(INDIRECT("T"&amp;(MAX((1=Z$12:Z364)*ROW(Z$12:Z364),ROW($T$12))&amp;":T"&amp;(ROW()-1)))),Первоначальный[[#This Row],[Полученный платеж]]+Y364),
S364&gt;0,MIN(LOOKUP(,-1/($Z$12:Z365=1),$C$12:C365)+LOOKUP(,-1/($Z$12:Z365=1),$H$12:H365)-IF(Z364=1,0,SUM(INDIRECT("T"&amp;(MAX((1=Z$12:Z364)*ROW(Z$12:Z364)+1,ROW($T$12))&amp;":T"&amp;(ROW()-1))))),Первоначальный[[#This Row],[Полученный платеж]]+Y364)
)
)
)</f>
        <v>0</v>
      </c>
      <c r="U36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платеж]]+Y364-Первоначальный[[#This Row],[Полученный платёж по процентам]])</f>
        <v>0</v>
      </c>
      <c r="V365" s="55">
        <f t="shared" ca="1" si="61"/>
        <v>0</v>
      </c>
      <c r="W365" s="55" cm="1">
        <f t="array" aca="1" ref="W365" ca="1">IF(Первоначальный[[#This Row],[Итого остаток на начало периода]]&lt;1,0,
_xlfn.IFS(
AND(TYPE(VLOOKUP(1,$Z$12:Z365,1,0))=16,Первоначальный[[#This Row],[Досрочное погашение (да/"")]]=""),0,
AND(S364=0,Первоначальный[[#This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платеж]]+Y364-SUM(Первоначальный[[#This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комиссиям]]),VLOOKUP(LOOKUP(,-1/($Z$12:Z365=1),$A$12:A365),График[[Срок конец]:[Возврат основной суммы долга]],3,0)),
AND(S364=0,Первоначальный[[#This Row],[Дата платежа из графика]]="",Первоначальный[[#This Row],[Досрочное погашение (да/"")]]&lt;&gt;"Да"),0,
AND(S364=0,Первоначальный[[#This Row],[Досрочное погашение (да/"")]]=""),MIN(Первоначальный[[#This Row],[Полученный платеж]]+Y364-SUM(Первоначальный[[#This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комиссиям]]),VLOOKUP(LOOKUP(,-1/($Z$12:Z365=1),$A$12:A365),График[[Срок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платеж]]+Y364-SUM(Первоначальный[[#This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S364&gt;0,MIN(Первоначальный[[#This Row],[Полученный платеж]]+Y364-SUM(Первоначальный[[#This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комиссиям]]),SUM(INDIRECT("M"&amp;(MAX((1=S$12:S364)*ROW(S$12:S364),ROW($W$12))&amp;":M"&amp;(ROW()))))-SUM(INDIRECT("W"&amp;(MAX((1=S$12:S364)*ROW(S$12:S364),ROW($W$12))&amp;":W"&amp;(ROW()-1)))))
)
)</f>
        <v>0</v>
      </c>
      <c r="X365" s="55">
        <f t="shared" ca="1" si="62"/>
        <v>0</v>
      </c>
      <c r="Y365" s="101">
        <f t="shared" ca="1" si="69"/>
        <v>0</v>
      </c>
      <c r="Z365" s="133" t="str">
        <f>IF(TYPE((VLOOKUP(Первоначальный[[#This Row],[Дата платежа]],График[Срок конец],1,0)))=16,"",1)</f>
        <v/>
      </c>
      <c r="AA365" s="57"/>
      <c r="AB365" s="134"/>
      <c r="AC36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6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23417.969999999976</v>
      </c>
      <c r="AE36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308.99000000000069</v>
      </c>
      <c r="AF36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6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18306.169355737708</v>
      </c>
      <c r="AH365" s="55"/>
      <c r="AI365" s="55"/>
      <c r="AJ365" s="55"/>
      <c r="AK365" s="101">
        <f t="shared" ca="1" si="70"/>
        <v>191666.46935573767</v>
      </c>
      <c r="AL365" s="129">
        <f t="array" ref="AL365">MAX((УслРестрактов[Характеристика]="Дата реструктуризации")*(УслРестрактов[Значение]=Первоначальный!$A365),0)</f>
        <v>0</v>
      </c>
    </row>
    <row r="366" spans="1:38" x14ac:dyDescent="0.25">
      <c r="A366" s="97">
        <f t="shared" si="63"/>
        <v>44497</v>
      </c>
      <c r="B366" s="100">
        <f t="shared" ca="1" si="64"/>
        <v>149633.34</v>
      </c>
      <c r="C366" s="55">
        <f t="shared" ca="1" si="72"/>
        <v>23417.969999999976</v>
      </c>
      <c r="D366" s="55">
        <f t="shared" ca="1" si="72"/>
        <v>308.99000000000069</v>
      </c>
      <c r="E366" s="55">
        <f t="shared" ca="1" si="65"/>
        <v>0</v>
      </c>
      <c r="F366" s="55">
        <f t="shared" ca="1" si="66"/>
        <v>18306.169355737708</v>
      </c>
      <c r="G366" s="101">
        <f t="shared" ca="1" si="67"/>
        <v>191666.46935573767</v>
      </c>
      <c r="H366" s="100">
        <f ca="1">ROUND($B366*VLOOKUP($A366,$A$1:$B$10,2,1)/(365+IF(MOD(YEAR($A366),4),0,1)*($A366-$A365)),2)-Первоначальный[[#This Row],[Проценты на просроченный платеж по ОД за период]]</f>
        <v>79.36</v>
      </c>
      <c r="I366" s="55">
        <f t="shared" ca="1" si="68"/>
        <v>2.2200000000000002</v>
      </c>
      <c r="J366" s="55">
        <v>0</v>
      </c>
      <c r="K366" s="55">
        <f t="shared" ca="1" si="71"/>
        <v>130.29850327868854</v>
      </c>
      <c r="L366" s="55">
        <v>0</v>
      </c>
      <c r="M366" s="113">
        <f>SUMIFS(График[Возврат основной суммы долга],График[Дата с учетом нерабочих дней],$A366)</f>
        <v>0</v>
      </c>
      <c r="N366" s="56">
        <f>SUMIFS(График[Возврат начисленных %],График[Дата с учетом нерабочих дней],$A366)</f>
        <v>0</v>
      </c>
      <c r="O366" s="101">
        <v>0</v>
      </c>
      <c r="P366" s="100" cm="1">
        <f t="array" aca="1" ref="P366" ca="1">MAX(IF(AA365="Да",0,SUM(INDIRECT("M"&amp;(MAX(("Да"=AA$12:AA365)*ROW(AA$12:AA365)+1,ROW($P$12))&amp;":M"&amp;(ROW()))))-SUM(INDIRECT("W"&amp;(MAX(("Да"=AA$12:AA365)*ROW(AA$12:AA365)+1,ROW($P$12))&amp;":W"&amp;(ROW()))))),0)</f>
        <v>4071.5099999999998</v>
      </c>
      <c r="Q366" s="99">
        <f ca="1">MAX(SUM($N$13:N366)-SUM($T$13:T366),0)</f>
        <v>21988.190655737708</v>
      </c>
      <c r="R366" s="99">
        <f ca="1">Первоначальный[[#This Row],[Просроченный платеж по ОД]]+Первоначальный[[#This Row],[Просроченный платеж по процентам]]</f>
        <v>26059.700655737706</v>
      </c>
      <c r="S366" s="120">
        <f ca="1">IF(Первоначальный[[#This Row],[Просроченный платеж]]&lt;1,0,S365+1)</f>
        <v>262</v>
      </c>
      <c r="T366" s="100" cm="1">
        <f t="array" aca="1" ref="T366" ca="1">IF(Первоначальный[[#This Row],[Итого остаток на начало периода]]&lt;1,0,
IF(
AND(TYPE(VLOOKUP(1,$Z$12:Z366,1,0))=16,Первоначальный[[#This Row],[Досрочное погашение (да/"")]]=""),0,
_xlfn.IFS(AND(S365=0,Первоначальный[[#This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платеж]]&lt;&gt;0),MIN(LOOKUP(,-1/($Z$12:Z366=1),$C$12:C366)+LOOKUP(,-1/($Z$12:Z366=1),$H$12:H366),Первоначальный[[#This Row],[Полученный платеж]]+Y365),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платеж]]+Y365,SUM(Первоначальный[[#This Row],[Остаток процентов на начало периода]],Первоначальный[[#This Row],[Проценты за период]])),
AND(S365=0,Первоначальный[[#This Row],[Дата платежа из графика]]=""),0,
AND(S365=0,Первоначальный[[#This Row],[Дата платежа из графика]]=1,MAX((0&lt;&gt;S$12:S365)*ROW(S$12:S365),ROW($S$12))&gt;=MAX((1=Z$12:Z365)*ROW(Z$12:Z365),ROW($T$12)),TYPE(VLOOKUP("Да",(INDIRECT("AA"&amp;(MAX((1=Z$12:Z365)*ROW(Z$12:Z365),ROW($T$12))&amp;":AA"&amp;(ROW()-1)))),1,0))=16),MIN(LOOKUP(,-1/($Z$12:Z366=1),$C$12:C366)+LOOKUP(,-1/($Z$12:Z366=1),$H$12:H366),Первоначальный[[#This Row],[Полученный платеж]]+Y365),
AND(S365=0,TYPE(VLOOKUP("Да",(INDIRECT("AA"&amp;(MAX((1=Z$12:Z365)*ROW(Z$12:Z365),ROW($T$12))&amp;":AA"&amp;(ROW()-1)))),1,0))&lt;&gt;16),MIN(LOOKUP(,-1/($Z$12:Z366=1),$C$12:C366)+LOOKUP(,-1/($Z$12:Z366=1),$H$12:H366)-IF(AA365="Да",0,SUM(INDIRECT("T"&amp;(MAX(("Да"=AA$12:AA365)*ROW(AA$12:AA365)+1,ROW($T$12))&amp;":T"&amp;(ROW()-1))))),Первоначальный[[#This Row],[Полученный платеж]]+Y365),
AND(S365=0,MAX((0&lt;&gt;N$12:N365)*ROW(N$12:N365),ROW($S$12))&gt;=MAX((1=Z$12:Z365)*ROW(Z$12:Z365),ROW($T$12))),MIN(LOOKUP(,-1/($Z$12:Z366=1),$C$12:C366)+LOOKUP(,-1/($Z$12:Z366=1),$H$12:H366)-IF(N365&lt;&gt;0,0,SUM(INDIRECT("T"&amp;(MAX((0&lt;&gt;N$12:N365)*ROW(N$12:N365)+1,ROW($T$12))&amp;":T"&amp;(ROW()-1))))),Первоначальный[[#This Row],[Полученный платеж]]+Y365),
AND(S365=0,Первоначальный[[#This Row],[Дата платежа из графика]]=1),MIN(LOOKUP(,-1/($Z$12:Z366=1),$C$12:C366)+LOOKUP(,-1/($Z$12:Z366=1),$H$12:H366)-IF(Z365=1,0,SUM(INDIRECT("T"&amp;(MAX((1=Z$12:Z365)*ROW(Z$12:Z365)+1,ROW($T$12))&amp;":T"&amp;(ROW()-1))))),Первоначальный[[#This Row],[Полученный платеж]]+Y365),
AND(Z365&gt;0,Первоначальный[[#This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платеж]]+Y365),
AND(S365&gt;0,MAX((0&lt;&gt;S$12:S365)*ROW(S$12:S365),ROW($S$12))&gt;=MAX((1=Z$12:Z365)*ROW(Z$12:Z365),ROW($T$12)),TYPE(VLOOKUP("Да",(INDIRECT("AA"&amp;(MAX((1=Z$12:Z365)*ROW(Z$12:Z365),ROW($T$12))&amp;":AA"&amp;(ROW()-1)))),1,0))=16),MIN(LOOKUP(,-1/($Z$12:Z366=1),$C$12:C366)+LOOKUP(,-1/($Z$12:Z366=1),$H$12:H366)-SUM(INDIRECT("T"&amp;(MAX((1=Z$12:Z365)*ROW(Z$12:Z365),ROW($T$12))&amp;":T"&amp;(ROW()-1)))),Первоначальный[[#This Row],[Полученный платеж]]+Y365),
S365&gt;0,MIN(LOOKUP(,-1/($Z$12:Z366=1),$C$12:C366)+LOOKUP(,-1/($Z$12:Z366=1),$H$12:H366)-IF(Z365=1,0,SUM(INDIRECT("T"&amp;(MAX((1=Z$12:Z365)*ROW(Z$12:Z365)+1,ROW($T$12))&amp;":T"&amp;(ROW()-1))))),Первоначальный[[#This Row],[Полученный платеж]]+Y365)
)
)
)</f>
        <v>0</v>
      </c>
      <c r="U36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платеж]]+Y365-Первоначальный[[#This Row],[Полученный платёж по процентам]])</f>
        <v>0</v>
      </c>
      <c r="V366" s="55">
        <f t="shared" ca="1" si="61"/>
        <v>0</v>
      </c>
      <c r="W366" s="55" cm="1">
        <f t="array" aca="1" ref="W366" ca="1">IF(Первоначальный[[#This Row],[Итого остаток на начало периода]]&lt;1,0,
_xlfn.IFS(
AND(TYPE(VLOOKUP(1,$Z$12:Z366,1,0))=16,Первоначальный[[#This Row],[Досрочное погашение (да/"")]]=""),0,
AND(S365=0,Первоначальный[[#This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платеж]]+Y365-SUM(Первоначальный[[#This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комиссиям]]),VLOOKUP(LOOKUP(,-1/($Z$12:Z366=1),$A$12:A366),График[[Срок конец]:[Возврат основной суммы долга]],3,0)),
AND(S365=0,Первоначальный[[#This Row],[Дата платежа из графика]]="",Первоначальный[[#This Row],[Досрочное погашение (да/"")]]&lt;&gt;"Да"),0,
AND(S365=0,Первоначальный[[#This Row],[Досрочное погашение (да/"")]]=""),MIN(Первоначальный[[#This Row],[Полученный платеж]]+Y365-SUM(Первоначальный[[#This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комиссиям]]),VLOOKUP(LOOKUP(,-1/($Z$12:Z366=1),$A$12:A366),График[[Срок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платеж]]+Y365-SUM(Первоначальный[[#This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S365&gt;0,MIN(Первоначальный[[#This Row],[Полученный платеж]]+Y365-SUM(Первоначальный[[#This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комиссиям]]),SUM(INDIRECT("M"&amp;(MAX((1=S$12:S365)*ROW(S$12:S365),ROW($W$12))&amp;":M"&amp;(ROW()))))-SUM(INDIRECT("W"&amp;(MAX((1=S$12:S365)*ROW(S$12:S365),ROW($W$12))&amp;":W"&amp;(ROW()-1)))))
)
)</f>
        <v>0</v>
      </c>
      <c r="X366" s="55">
        <f t="shared" ca="1" si="62"/>
        <v>0</v>
      </c>
      <c r="Y366" s="101">
        <f t="shared" ca="1" si="69"/>
        <v>0</v>
      </c>
      <c r="Z366" s="133" t="str">
        <f>IF(TYPE((VLOOKUP(Первоначальный[[#This Row],[Дата платежа]],График[Срок конец],1,0)))=16,"",1)</f>
        <v/>
      </c>
      <c r="AA366" s="57"/>
      <c r="AB366" s="134"/>
      <c r="AC36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6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23497.329999999976</v>
      </c>
      <c r="AE36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311.21000000000072</v>
      </c>
      <c r="AF36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6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18436.467859016397</v>
      </c>
      <c r="AH366" s="55"/>
      <c r="AI366" s="55"/>
      <c r="AJ366" s="55"/>
      <c r="AK366" s="101">
        <f t="shared" ca="1" si="70"/>
        <v>191878.34785901639</v>
      </c>
      <c r="AL366" s="129">
        <f t="array" ref="AL366">MAX((УслРестрактов[Характеристика]="Дата реструктуризации")*(УслРестрактов[Значение]=Первоначальный!$A366),0)</f>
        <v>0</v>
      </c>
    </row>
    <row r="367" spans="1:38" x14ac:dyDescent="0.25">
      <c r="A367" s="97">
        <f t="shared" si="63"/>
        <v>44498</v>
      </c>
      <c r="B367" s="100">
        <f t="shared" ca="1" si="64"/>
        <v>149633.34</v>
      </c>
      <c r="C367" s="55">
        <f t="shared" ca="1" si="72"/>
        <v>23497.329999999976</v>
      </c>
      <c r="D367" s="55">
        <f t="shared" ca="1" si="72"/>
        <v>311.21000000000072</v>
      </c>
      <c r="E367" s="55">
        <f t="shared" ca="1" si="65"/>
        <v>0</v>
      </c>
      <c r="F367" s="55">
        <f t="shared" ca="1" si="66"/>
        <v>18436.467859016397</v>
      </c>
      <c r="G367" s="101">
        <f t="shared" ca="1" si="67"/>
        <v>191878.34785901639</v>
      </c>
      <c r="H367" s="100">
        <f ca="1">ROUND($B367*VLOOKUP($A367,$A$1:$B$10,2,1)/(365+IF(MOD(YEAR($A367),4),0,1)*($A367-$A366)),2)-Первоначальный[[#This Row],[Проценты на просроченный платеж по ОД за период]]</f>
        <v>79.36</v>
      </c>
      <c r="I367" s="55">
        <f t="shared" ca="1" si="68"/>
        <v>2.2200000000000002</v>
      </c>
      <c r="J367" s="55">
        <v>0</v>
      </c>
      <c r="K367" s="55">
        <f t="shared" ca="1" si="71"/>
        <v>130.29850327868854</v>
      </c>
      <c r="L367" s="55">
        <v>0</v>
      </c>
      <c r="M367" s="113">
        <f>SUMIFS(График[Возврат основной суммы долга],График[Дата с учетом нерабочих дней],$A367)</f>
        <v>0</v>
      </c>
      <c r="N367" s="56">
        <f>SUMIFS(График[Возврат начисленных %],График[Дата с учетом нерабочих дней],$A367)</f>
        <v>0</v>
      </c>
      <c r="O367" s="101">
        <v>0</v>
      </c>
      <c r="P367" s="100" cm="1">
        <f t="array" aca="1" ref="P367" ca="1">MAX(IF(AA366="Да",0,SUM(INDIRECT("M"&amp;(MAX(("Да"=AA$12:AA366)*ROW(AA$12:AA366)+1,ROW($P$12))&amp;":M"&amp;(ROW()))))-SUM(INDIRECT("W"&amp;(MAX(("Да"=AA$12:AA366)*ROW(AA$12:AA366)+1,ROW($P$12))&amp;":W"&amp;(ROW()))))),0)</f>
        <v>4071.5099999999998</v>
      </c>
      <c r="Q367" s="99">
        <f ca="1">MAX(SUM($N$13:N367)-SUM($T$13:T367),0)</f>
        <v>21988.190655737708</v>
      </c>
      <c r="R367" s="99">
        <f ca="1">Первоначальный[[#This Row],[Просроченный платеж по ОД]]+Первоначальный[[#This Row],[Просроченный платеж по процентам]]</f>
        <v>26059.700655737706</v>
      </c>
      <c r="S367" s="120">
        <f ca="1">IF(Первоначальный[[#This Row],[Просроченный платеж]]&lt;1,0,S366+1)</f>
        <v>263</v>
      </c>
      <c r="T367" s="100" cm="1">
        <f t="array" aca="1" ref="T367" ca="1">IF(Первоначальный[[#This Row],[Итого остаток на начало периода]]&lt;1,0,
IF(
AND(TYPE(VLOOKUP(1,$Z$12:Z367,1,0))=16,Первоначальный[[#This Row],[Досрочное погашение (да/"")]]=""),0,
_xlfn.IFS(AND(S366=0,Первоначальный[[#This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платеж]]&lt;&gt;0),MIN(LOOKUP(,-1/($Z$12:Z367=1),$C$12:C367)+LOOKUP(,-1/($Z$12:Z367=1),$H$12:H367),Первоначальный[[#This Row],[Полученный платеж]]+Y366),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платеж]]+Y366,SUM(Первоначальный[[#This Row],[Остаток процентов на начало периода]],Первоначальный[[#This Row],[Проценты за период]])),
AND(S366=0,Первоначальный[[#This Row],[Дата платежа из графика]]=""),0,
AND(S366=0,Первоначальный[[#This Row],[Дата платежа из графика]]=1,MAX((0&lt;&gt;S$12:S366)*ROW(S$12:S366),ROW($S$12))&gt;=MAX((1=Z$12:Z366)*ROW(Z$12:Z366),ROW($T$12)),TYPE(VLOOKUP("Да",(INDIRECT("AA"&amp;(MAX((1=Z$12:Z366)*ROW(Z$12:Z366),ROW($T$12))&amp;":AA"&amp;(ROW()-1)))),1,0))=16),MIN(LOOKUP(,-1/($Z$12:Z367=1),$C$12:C367)+LOOKUP(,-1/($Z$12:Z367=1),$H$12:H367),Первоначальный[[#This Row],[Полученный платеж]]+Y366),
AND(S366=0,TYPE(VLOOKUP("Да",(INDIRECT("AA"&amp;(MAX((1=Z$12:Z366)*ROW(Z$12:Z366),ROW($T$12))&amp;":AA"&amp;(ROW()-1)))),1,0))&lt;&gt;16),MIN(LOOKUP(,-1/($Z$12:Z367=1),$C$12:C367)+LOOKUP(,-1/($Z$12:Z367=1),$H$12:H367)-IF(AA366="Да",0,SUM(INDIRECT("T"&amp;(MAX(("Да"=AA$12:AA366)*ROW(AA$12:AA366)+1,ROW($T$12))&amp;":T"&amp;(ROW()-1))))),Первоначальный[[#This Row],[Полученный платеж]]+Y366),
AND(S366=0,MAX((0&lt;&gt;N$12:N366)*ROW(N$12:N366),ROW($S$12))&gt;=MAX((1=Z$12:Z366)*ROW(Z$12:Z366),ROW($T$12))),MIN(LOOKUP(,-1/($Z$12:Z367=1),$C$12:C367)+LOOKUP(,-1/($Z$12:Z367=1),$H$12:H367)-IF(N366&lt;&gt;0,0,SUM(INDIRECT("T"&amp;(MAX((0&lt;&gt;N$12:N366)*ROW(N$12:N366)+1,ROW($T$12))&amp;":T"&amp;(ROW()-1))))),Первоначальный[[#This Row],[Полученный платеж]]+Y366),
AND(S366=0,Первоначальный[[#This Row],[Дата платежа из графика]]=1),MIN(LOOKUP(,-1/($Z$12:Z367=1),$C$12:C367)+LOOKUP(,-1/($Z$12:Z367=1),$H$12:H367)-IF(Z366=1,0,SUM(INDIRECT("T"&amp;(MAX((1=Z$12:Z366)*ROW(Z$12:Z366)+1,ROW($T$12))&amp;":T"&amp;(ROW()-1))))),Первоначальный[[#This Row],[Полученный платеж]]+Y366),
AND(Z366&gt;0,Первоначальный[[#This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платеж]]+Y366),
AND(S366&gt;0,MAX((0&lt;&gt;S$12:S366)*ROW(S$12:S366),ROW($S$12))&gt;=MAX((1=Z$12:Z366)*ROW(Z$12:Z366),ROW($T$12)),TYPE(VLOOKUP("Да",(INDIRECT("AA"&amp;(MAX((1=Z$12:Z366)*ROW(Z$12:Z366),ROW($T$12))&amp;":AA"&amp;(ROW()-1)))),1,0))=16),MIN(LOOKUP(,-1/($Z$12:Z367=1),$C$12:C367)+LOOKUP(,-1/($Z$12:Z367=1),$H$12:H367)-SUM(INDIRECT("T"&amp;(MAX((1=Z$12:Z366)*ROW(Z$12:Z366),ROW($T$12))&amp;":T"&amp;(ROW()-1)))),Первоначальный[[#This Row],[Полученный платеж]]+Y366),
S366&gt;0,MIN(LOOKUP(,-1/($Z$12:Z367=1),$C$12:C367)+LOOKUP(,-1/($Z$12:Z367=1),$H$12:H367)-IF(Z366=1,0,SUM(INDIRECT("T"&amp;(MAX((1=Z$12:Z366)*ROW(Z$12:Z366)+1,ROW($T$12))&amp;":T"&amp;(ROW()-1))))),Первоначальный[[#This Row],[Полученный платеж]]+Y366)
)
)
)</f>
        <v>0</v>
      </c>
      <c r="U36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платеж]]+Y366-Первоначальный[[#This Row],[Полученный платёж по процентам]])</f>
        <v>0</v>
      </c>
      <c r="V367" s="55">
        <f t="shared" ca="1" si="61"/>
        <v>0</v>
      </c>
      <c r="W367" s="55" cm="1">
        <f t="array" aca="1" ref="W367" ca="1">IF(Первоначальный[[#This Row],[Итого остаток на начало периода]]&lt;1,0,
_xlfn.IFS(
AND(TYPE(VLOOKUP(1,$Z$12:Z367,1,0))=16,Первоначальный[[#This Row],[Досрочное погашение (да/"")]]=""),0,
AND(S366=0,Первоначальный[[#This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платеж]]+Y366-SUM(Первоначальный[[#This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комиссиям]]),VLOOKUP(LOOKUP(,-1/($Z$12:Z367=1),$A$12:A367),График[[Срок конец]:[Возврат основной суммы долга]],3,0)),
AND(S366=0,Первоначальный[[#This Row],[Дата платежа из графика]]="",Первоначальный[[#This Row],[Досрочное погашение (да/"")]]&lt;&gt;"Да"),0,
AND(S366=0,Первоначальный[[#This Row],[Досрочное погашение (да/"")]]=""),MIN(Первоначальный[[#This Row],[Полученный платеж]]+Y366-SUM(Первоначальный[[#This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комиссиям]]),VLOOKUP(LOOKUP(,-1/($Z$12:Z367=1),$A$12:A367),График[[Срок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платеж]]+Y366-SUM(Первоначальный[[#This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S366&gt;0,MIN(Первоначальный[[#This Row],[Полученный платеж]]+Y366-SUM(Первоначальный[[#This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комиссиям]]),SUM(INDIRECT("M"&amp;(MAX((1=S$12:S366)*ROW(S$12:S366),ROW($W$12))&amp;":M"&amp;(ROW()))))-SUM(INDIRECT("W"&amp;(MAX((1=S$12:S366)*ROW(S$12:S366),ROW($W$12))&amp;":W"&amp;(ROW()-1)))))
)
)</f>
        <v>0</v>
      </c>
      <c r="X367" s="55">
        <f t="shared" ca="1" si="62"/>
        <v>0</v>
      </c>
      <c r="Y367" s="101">
        <f t="shared" ca="1" si="69"/>
        <v>0</v>
      </c>
      <c r="Z367" s="133" t="str">
        <f>IF(TYPE((VLOOKUP(Первоначальный[[#This Row],[Дата платежа]],График[Срок конец],1,0)))=16,"",1)</f>
        <v/>
      </c>
      <c r="AA367" s="57"/>
      <c r="AB367" s="134"/>
      <c r="AC36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6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23576.689999999977</v>
      </c>
      <c r="AE36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313.43000000000075</v>
      </c>
      <c r="AF36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6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18566.766362295086</v>
      </c>
      <c r="AH367" s="55"/>
      <c r="AI367" s="55"/>
      <c r="AJ367" s="55"/>
      <c r="AK367" s="101">
        <f t="shared" ca="1" si="70"/>
        <v>192090.22636229504</v>
      </c>
      <c r="AL367" s="129">
        <f t="array" ref="AL367">MAX((УслРестрактов[Характеристика]="Дата реструктуризации")*(УслРестрактов[Значение]=Первоначальный!$A367),0)</f>
        <v>0</v>
      </c>
    </row>
    <row r="368" spans="1:38" x14ac:dyDescent="0.25">
      <c r="A368" s="97">
        <f t="shared" si="63"/>
        <v>44499</v>
      </c>
      <c r="B368" s="100">
        <f t="shared" ca="1" si="64"/>
        <v>149633.34</v>
      </c>
      <c r="C368" s="55">
        <f t="shared" ca="1" si="72"/>
        <v>23576.689999999977</v>
      </c>
      <c r="D368" s="55">
        <f t="shared" ca="1" si="72"/>
        <v>313.43000000000075</v>
      </c>
      <c r="E368" s="55">
        <f t="shared" ca="1" si="65"/>
        <v>0</v>
      </c>
      <c r="F368" s="55">
        <f t="shared" ca="1" si="66"/>
        <v>18566.766362295086</v>
      </c>
      <c r="G368" s="101">
        <f t="shared" ca="1" si="67"/>
        <v>192090.22636229504</v>
      </c>
      <c r="H368" s="100">
        <f ca="1">ROUND($B368*VLOOKUP($A368,$A$1:$B$10,2,1)/(365+IF(MOD(YEAR($A368),4),0,1)*($A368-$A367)),2)-Первоначальный[[#This Row],[Проценты на просроченный платеж по ОД за период]]</f>
        <v>79.36</v>
      </c>
      <c r="I368" s="55">
        <f t="shared" ca="1" si="68"/>
        <v>2.2200000000000002</v>
      </c>
      <c r="J368" s="55">
        <v>0</v>
      </c>
      <c r="K368" s="55">
        <f t="shared" ca="1" si="71"/>
        <v>130.29850327868854</v>
      </c>
      <c r="L368" s="55">
        <v>0</v>
      </c>
      <c r="M368" s="113">
        <f>SUMIFS(График[Возврат основной суммы долга],График[Дата с учетом нерабочих дней],$A368)</f>
        <v>0</v>
      </c>
      <c r="N368" s="56">
        <f>SUMIFS(График[Возврат начисленных %],График[Дата с учетом нерабочих дней],$A368)</f>
        <v>0</v>
      </c>
      <c r="O368" s="101">
        <v>0</v>
      </c>
      <c r="P368" s="100" cm="1">
        <f t="array" aca="1" ref="P368" ca="1">MAX(IF(AA367="Да",0,SUM(INDIRECT("M"&amp;(MAX(("Да"=AA$12:AA367)*ROW(AA$12:AA367)+1,ROW($P$12))&amp;":M"&amp;(ROW()))))-SUM(INDIRECT("W"&amp;(MAX(("Да"=AA$12:AA367)*ROW(AA$12:AA367)+1,ROW($P$12))&amp;":W"&amp;(ROW()))))),0)</f>
        <v>4071.5099999999998</v>
      </c>
      <c r="Q368" s="99">
        <f ca="1">MAX(SUM($N$13:N368)-SUM($T$13:T368),0)</f>
        <v>21988.190655737708</v>
      </c>
      <c r="R368" s="99">
        <f ca="1">Первоначальный[[#This Row],[Просроченный платеж по ОД]]+Первоначальный[[#This Row],[Просроченный платеж по процентам]]</f>
        <v>26059.700655737706</v>
      </c>
      <c r="S368" s="120">
        <f ca="1">IF(Первоначальный[[#This Row],[Просроченный платеж]]&lt;1,0,S367+1)</f>
        <v>264</v>
      </c>
      <c r="T368" s="100" cm="1">
        <f t="array" aca="1" ref="T368" ca="1">IF(Первоначальный[[#This Row],[Итого остаток на начало периода]]&lt;1,0,
IF(
AND(TYPE(VLOOKUP(1,$Z$12:Z368,1,0))=16,Первоначальный[[#This Row],[Досрочное погашение (да/"")]]=""),0,
_xlfn.IFS(AND(S367=0,Первоначальный[[#This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платеж]]&lt;&gt;0),MIN(LOOKUP(,-1/($Z$12:Z368=1),$C$12:C368)+LOOKUP(,-1/($Z$12:Z368=1),$H$12:H368),Первоначальный[[#This Row],[Полученный платеж]]+Y367),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платеж]]+Y367,SUM(Первоначальный[[#This Row],[Остаток процентов на начало периода]],Первоначальный[[#This Row],[Проценты за период]])),
AND(S367=0,Первоначальный[[#This Row],[Дата платежа из графика]]=""),0,
AND(S367=0,Первоначальный[[#This Row],[Дата платежа из графика]]=1,MAX((0&lt;&gt;S$12:S367)*ROW(S$12:S367),ROW($S$12))&gt;=MAX((1=Z$12:Z367)*ROW(Z$12:Z367),ROW($T$12)),TYPE(VLOOKUP("Да",(INDIRECT("AA"&amp;(MAX((1=Z$12:Z367)*ROW(Z$12:Z367),ROW($T$12))&amp;":AA"&amp;(ROW()-1)))),1,0))=16),MIN(LOOKUP(,-1/($Z$12:Z368=1),$C$12:C368)+LOOKUP(,-1/($Z$12:Z368=1),$H$12:H368),Первоначальный[[#This Row],[Полученный платеж]]+Y367),
AND(S367=0,TYPE(VLOOKUP("Да",(INDIRECT("AA"&amp;(MAX((1=Z$12:Z367)*ROW(Z$12:Z367),ROW($T$12))&amp;":AA"&amp;(ROW()-1)))),1,0))&lt;&gt;16),MIN(LOOKUP(,-1/($Z$12:Z368=1),$C$12:C368)+LOOKUP(,-1/($Z$12:Z368=1),$H$12:H368)-IF(AA367="Да",0,SUM(INDIRECT("T"&amp;(MAX(("Да"=AA$12:AA367)*ROW(AA$12:AA367)+1,ROW($T$12))&amp;":T"&amp;(ROW()-1))))),Первоначальный[[#This Row],[Полученный платеж]]+Y367),
AND(S367=0,MAX((0&lt;&gt;N$12:N367)*ROW(N$12:N367),ROW($S$12))&gt;=MAX((1=Z$12:Z367)*ROW(Z$12:Z367),ROW($T$12))),MIN(LOOKUP(,-1/($Z$12:Z368=1),$C$12:C368)+LOOKUP(,-1/($Z$12:Z368=1),$H$12:H368)-IF(N367&lt;&gt;0,0,SUM(INDIRECT("T"&amp;(MAX((0&lt;&gt;N$12:N367)*ROW(N$12:N367)+1,ROW($T$12))&amp;":T"&amp;(ROW()-1))))),Первоначальный[[#This Row],[Полученный платеж]]+Y367),
AND(S367=0,Первоначальный[[#This Row],[Дата платежа из графика]]=1),MIN(LOOKUP(,-1/($Z$12:Z368=1),$C$12:C368)+LOOKUP(,-1/($Z$12:Z368=1),$H$12:H368)-IF(Z367=1,0,SUM(INDIRECT("T"&amp;(MAX((1=Z$12:Z367)*ROW(Z$12:Z367)+1,ROW($T$12))&amp;":T"&amp;(ROW()-1))))),Первоначальный[[#This Row],[Полученный платеж]]+Y367),
AND(Z367&gt;0,Первоначальный[[#This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платеж]]+Y367),
AND(S367&gt;0,MAX((0&lt;&gt;S$12:S367)*ROW(S$12:S367),ROW($S$12))&gt;=MAX((1=Z$12:Z367)*ROW(Z$12:Z367),ROW($T$12)),TYPE(VLOOKUP("Да",(INDIRECT("AA"&amp;(MAX((1=Z$12:Z367)*ROW(Z$12:Z367),ROW($T$12))&amp;":AA"&amp;(ROW()-1)))),1,0))=16),MIN(LOOKUP(,-1/($Z$12:Z368=1),$C$12:C368)+LOOKUP(,-1/($Z$12:Z368=1),$H$12:H368)-SUM(INDIRECT("T"&amp;(MAX((1=Z$12:Z367)*ROW(Z$12:Z367),ROW($T$12))&amp;":T"&amp;(ROW()-1)))),Первоначальный[[#This Row],[Полученный платеж]]+Y367),
S367&gt;0,MIN(LOOKUP(,-1/($Z$12:Z368=1),$C$12:C368)+LOOKUP(,-1/($Z$12:Z368=1),$H$12:H368)-IF(Z367=1,0,SUM(INDIRECT("T"&amp;(MAX((1=Z$12:Z367)*ROW(Z$12:Z367)+1,ROW($T$12))&amp;":T"&amp;(ROW()-1))))),Первоначальный[[#This Row],[Полученный платеж]]+Y367)
)
)
)</f>
        <v>0</v>
      </c>
      <c r="U36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платеж]]+Y367-Первоначальный[[#This Row],[Полученный платёж по процентам]])</f>
        <v>0</v>
      </c>
      <c r="V368" s="55">
        <f t="shared" ca="1" si="61"/>
        <v>0</v>
      </c>
      <c r="W368" s="55" cm="1">
        <f t="array" aca="1" ref="W368" ca="1">IF(Первоначальный[[#This Row],[Итого остаток на начало периода]]&lt;1,0,
_xlfn.IFS(
AND(TYPE(VLOOKUP(1,$Z$12:Z368,1,0))=16,Первоначальный[[#This Row],[Досрочное погашение (да/"")]]=""),0,
AND(S367=0,Первоначальный[[#This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платеж]]+Y367-SUM(Первоначальный[[#This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комиссиям]]),VLOOKUP(LOOKUP(,-1/($Z$12:Z368=1),$A$12:A368),График[[Срок конец]:[Возврат основной суммы долга]],3,0)),
AND(S367=0,Первоначальный[[#This Row],[Дата платежа из графика]]="",Первоначальный[[#This Row],[Досрочное погашение (да/"")]]&lt;&gt;"Да"),0,
AND(S367=0,Первоначальный[[#This Row],[Досрочное погашение (да/"")]]=""),MIN(Первоначальный[[#This Row],[Полученный платеж]]+Y367-SUM(Первоначальный[[#This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комиссиям]]),VLOOKUP(LOOKUP(,-1/($Z$12:Z368=1),$A$12:A368),График[[Срок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платеж]]+Y367-SUM(Первоначальный[[#This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S367&gt;0,MIN(Первоначальный[[#This Row],[Полученный платеж]]+Y367-SUM(Первоначальный[[#This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комиссиям]]),SUM(INDIRECT("M"&amp;(MAX((1=S$12:S367)*ROW(S$12:S367),ROW($W$12))&amp;":M"&amp;(ROW()))))-SUM(INDIRECT("W"&amp;(MAX((1=S$12:S367)*ROW(S$12:S367),ROW($W$12))&amp;":W"&amp;(ROW()-1)))))
)
)</f>
        <v>0</v>
      </c>
      <c r="X368" s="55">
        <f t="shared" ca="1" si="62"/>
        <v>0</v>
      </c>
      <c r="Y368" s="101">
        <f t="shared" ca="1" si="69"/>
        <v>0</v>
      </c>
      <c r="Z368" s="133" t="str">
        <f>IF(TYPE((VLOOKUP(Первоначальный[[#This Row],[Дата платежа]],График[Срок конец],1,0)))=16,"",1)</f>
        <v/>
      </c>
      <c r="AA368" s="57"/>
      <c r="AB368" s="134"/>
      <c r="AC36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6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23656.049999999977</v>
      </c>
      <c r="AE36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315.65000000000077</v>
      </c>
      <c r="AF36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6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18697.064865573775</v>
      </c>
      <c r="AH368" s="55"/>
      <c r="AI368" s="55"/>
      <c r="AJ368" s="55"/>
      <c r="AK368" s="101">
        <f t="shared" ca="1" si="70"/>
        <v>192302.10486557375</v>
      </c>
      <c r="AL368" s="129">
        <f t="array" ref="AL368">MAX((УслРестрактов[Характеристика]="Дата реструктуризации")*(УслРестрактов[Значение]=Первоначальный!$A368),0)</f>
        <v>0</v>
      </c>
    </row>
    <row r="369" spans="1:38" x14ac:dyDescent="0.25">
      <c r="A369" s="97">
        <f t="shared" si="63"/>
        <v>44500</v>
      </c>
      <c r="B369" s="100">
        <f t="shared" ca="1" si="64"/>
        <v>149633.34</v>
      </c>
      <c r="C369" s="55">
        <f t="shared" ca="1" si="72"/>
        <v>23656.049999999977</v>
      </c>
      <c r="D369" s="55">
        <f t="shared" ca="1" si="72"/>
        <v>315.65000000000077</v>
      </c>
      <c r="E369" s="55">
        <f t="shared" ca="1" si="65"/>
        <v>0</v>
      </c>
      <c r="F369" s="55">
        <f t="shared" ca="1" si="66"/>
        <v>18697.064865573775</v>
      </c>
      <c r="G369" s="101">
        <f t="shared" ca="1" si="67"/>
        <v>192302.10486557375</v>
      </c>
      <c r="H369" s="100">
        <f ca="1">ROUND($B369*VLOOKUP($A369,$A$1:$B$10,2,1)/(365+IF(MOD(YEAR($A369),4),0,1)*($A369-$A368)),2)-Первоначальный[[#This Row],[Проценты на просроченный платеж по ОД за период]]</f>
        <v>79.36</v>
      </c>
      <c r="I369" s="55">
        <f t="shared" ca="1" si="68"/>
        <v>2.2200000000000002</v>
      </c>
      <c r="J369" s="55">
        <v>0</v>
      </c>
      <c r="K369" s="55">
        <f t="shared" ca="1" si="71"/>
        <v>130.29850327868854</v>
      </c>
      <c r="L369" s="55">
        <v>0</v>
      </c>
      <c r="M369" s="113">
        <f>SUMIFS(График[Возврат основной суммы долга],График[Дата с учетом нерабочих дней],$A369)</f>
        <v>0</v>
      </c>
      <c r="N369" s="56">
        <f>SUMIFS(График[Возврат начисленных %],График[Дата с учетом нерабочих дней],$A369)</f>
        <v>0</v>
      </c>
      <c r="O369" s="101">
        <v>0</v>
      </c>
      <c r="P369" s="100" cm="1">
        <f t="array" aca="1" ref="P369" ca="1">MAX(IF(AA368="Да",0,SUM(INDIRECT("M"&amp;(MAX(("Да"=AA$12:AA368)*ROW(AA$12:AA368)+1,ROW($P$12))&amp;":M"&amp;(ROW()))))-SUM(INDIRECT("W"&amp;(MAX(("Да"=AA$12:AA368)*ROW(AA$12:AA368)+1,ROW($P$12))&amp;":W"&amp;(ROW()))))),0)</f>
        <v>4071.5099999999998</v>
      </c>
      <c r="Q369" s="99">
        <f ca="1">MAX(SUM($N$13:N369)-SUM($T$13:T369),0)</f>
        <v>21988.190655737708</v>
      </c>
      <c r="R369" s="99">
        <f ca="1">Первоначальный[[#This Row],[Просроченный платеж по ОД]]+Первоначальный[[#This Row],[Просроченный платеж по процентам]]</f>
        <v>26059.700655737706</v>
      </c>
      <c r="S369" s="120">
        <f ca="1">IF(Первоначальный[[#This Row],[Просроченный платеж]]&lt;1,0,S368+1)</f>
        <v>265</v>
      </c>
      <c r="T369" s="100" cm="1">
        <f t="array" aca="1" ref="T369" ca="1">IF(Первоначальный[[#This Row],[Итого остаток на начало периода]]&lt;1,0,
IF(
AND(TYPE(VLOOKUP(1,$Z$12:Z369,1,0))=16,Первоначальный[[#This Row],[Досрочное погашение (да/"")]]=""),0,
_xlfn.IFS(AND(S368=0,Первоначальный[[#This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платеж]]&lt;&gt;0),MIN(LOOKUP(,-1/($Z$12:Z369=1),$C$12:C369)+LOOKUP(,-1/($Z$12:Z369=1),$H$12:H369),Первоначальный[[#This Row],[Полученный платеж]]+Y368),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платеж]]+Y368,SUM(Первоначальный[[#This Row],[Остаток процентов на начало периода]],Первоначальный[[#This Row],[Проценты за период]])),
AND(S368=0,Первоначальный[[#This Row],[Дата платежа из графика]]=""),0,
AND(S368=0,Первоначальный[[#This Row],[Дата платежа из графика]]=1,MAX((0&lt;&gt;S$12:S368)*ROW(S$12:S368),ROW($S$12))&gt;=MAX((1=Z$12:Z368)*ROW(Z$12:Z368),ROW($T$12)),TYPE(VLOOKUP("Да",(INDIRECT("AA"&amp;(MAX((1=Z$12:Z368)*ROW(Z$12:Z368),ROW($T$12))&amp;":AA"&amp;(ROW()-1)))),1,0))=16),MIN(LOOKUP(,-1/($Z$12:Z369=1),$C$12:C369)+LOOKUP(,-1/($Z$12:Z369=1),$H$12:H369),Первоначальный[[#This Row],[Полученный платеж]]+Y368),
AND(S368=0,TYPE(VLOOKUP("Да",(INDIRECT("AA"&amp;(MAX((1=Z$12:Z368)*ROW(Z$12:Z368),ROW($T$12))&amp;":AA"&amp;(ROW()-1)))),1,0))&lt;&gt;16),MIN(LOOKUP(,-1/($Z$12:Z369=1),$C$12:C369)+LOOKUP(,-1/($Z$12:Z369=1),$H$12:H369)-IF(AA368="Да",0,SUM(INDIRECT("T"&amp;(MAX(("Да"=AA$12:AA368)*ROW(AA$12:AA368)+1,ROW($T$12))&amp;":T"&amp;(ROW()-1))))),Первоначальный[[#This Row],[Полученный платеж]]+Y368),
AND(S368=0,MAX((0&lt;&gt;N$12:N368)*ROW(N$12:N368),ROW($S$12))&gt;=MAX((1=Z$12:Z368)*ROW(Z$12:Z368),ROW($T$12))),MIN(LOOKUP(,-1/($Z$12:Z369=1),$C$12:C369)+LOOKUP(,-1/($Z$12:Z369=1),$H$12:H369)-IF(N368&lt;&gt;0,0,SUM(INDIRECT("T"&amp;(MAX((0&lt;&gt;N$12:N368)*ROW(N$12:N368)+1,ROW($T$12))&amp;":T"&amp;(ROW()-1))))),Первоначальный[[#This Row],[Полученный платеж]]+Y368),
AND(S368=0,Первоначальный[[#This Row],[Дата платежа из графика]]=1),MIN(LOOKUP(,-1/($Z$12:Z369=1),$C$12:C369)+LOOKUP(,-1/($Z$12:Z369=1),$H$12:H369)-IF(Z368=1,0,SUM(INDIRECT("T"&amp;(MAX((1=Z$12:Z368)*ROW(Z$12:Z368)+1,ROW($T$12))&amp;":T"&amp;(ROW()-1))))),Первоначальный[[#This Row],[Полученный платеж]]+Y368),
AND(Z368&gt;0,Первоначальный[[#This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платеж]]+Y368),
AND(S368&gt;0,MAX((0&lt;&gt;S$12:S368)*ROW(S$12:S368),ROW($S$12))&gt;=MAX((1=Z$12:Z368)*ROW(Z$12:Z368),ROW($T$12)),TYPE(VLOOKUP("Да",(INDIRECT("AA"&amp;(MAX((1=Z$12:Z368)*ROW(Z$12:Z368),ROW($T$12))&amp;":AA"&amp;(ROW()-1)))),1,0))=16),MIN(LOOKUP(,-1/($Z$12:Z369=1),$C$12:C369)+LOOKUP(,-1/($Z$12:Z369=1),$H$12:H369)-SUM(INDIRECT("T"&amp;(MAX((1=Z$12:Z368)*ROW(Z$12:Z368),ROW($T$12))&amp;":T"&amp;(ROW()-1)))),Первоначальный[[#This Row],[Полученный платеж]]+Y368),
S368&gt;0,MIN(LOOKUP(,-1/($Z$12:Z369=1),$C$12:C369)+LOOKUP(,-1/($Z$12:Z369=1),$H$12:H369)-IF(Z368=1,0,SUM(INDIRECT("T"&amp;(MAX((1=Z$12:Z368)*ROW(Z$12:Z368)+1,ROW($T$12))&amp;":T"&amp;(ROW()-1))))),Первоначальный[[#This Row],[Полученный платеж]]+Y368)
)
)
)</f>
        <v>0</v>
      </c>
      <c r="U36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платеж]]+Y368-Первоначальный[[#This Row],[Полученный платёж по процентам]])</f>
        <v>0</v>
      </c>
      <c r="V369" s="55">
        <f t="shared" ca="1" si="61"/>
        <v>0</v>
      </c>
      <c r="W369" s="55" cm="1">
        <f t="array" aca="1" ref="W369" ca="1">IF(Первоначальный[[#This Row],[Итого остаток на начало периода]]&lt;1,0,
_xlfn.IFS(
AND(TYPE(VLOOKUP(1,$Z$12:Z369,1,0))=16,Первоначальный[[#This Row],[Досрочное погашение (да/"")]]=""),0,
AND(S368=0,Первоначальный[[#This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платеж]]+Y368-SUM(Первоначальный[[#This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комиссиям]]),VLOOKUP(LOOKUP(,-1/($Z$12:Z369=1),$A$12:A369),График[[Срок конец]:[Возврат основной суммы долга]],3,0)),
AND(S368=0,Первоначальный[[#This Row],[Дата платежа из графика]]="",Первоначальный[[#This Row],[Досрочное погашение (да/"")]]&lt;&gt;"Да"),0,
AND(S368=0,Первоначальный[[#This Row],[Досрочное погашение (да/"")]]=""),MIN(Первоначальный[[#This Row],[Полученный платеж]]+Y368-SUM(Первоначальный[[#This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комиссиям]]),VLOOKUP(LOOKUP(,-1/($Z$12:Z369=1),$A$12:A369),График[[Срок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платеж]]+Y368-SUM(Первоначальный[[#This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S368&gt;0,MIN(Первоначальный[[#This Row],[Полученный платеж]]+Y368-SUM(Первоначальный[[#This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комиссиям]]),SUM(INDIRECT("M"&amp;(MAX((1=S$12:S368)*ROW(S$12:S368),ROW($W$12))&amp;":M"&amp;(ROW()))))-SUM(INDIRECT("W"&amp;(MAX((1=S$12:S368)*ROW(S$12:S368),ROW($W$12))&amp;":W"&amp;(ROW()-1)))))
)
)</f>
        <v>0</v>
      </c>
      <c r="X369" s="55">
        <f t="shared" ca="1" si="62"/>
        <v>0</v>
      </c>
      <c r="Y369" s="101">
        <f t="shared" ca="1" si="69"/>
        <v>0</v>
      </c>
      <c r="Z369" s="133" t="str">
        <f>IF(TYPE((VLOOKUP(Первоначальный[[#This Row],[Дата платежа]],График[Срок конец],1,0)))=16,"",1)</f>
        <v/>
      </c>
      <c r="AA369" s="57"/>
      <c r="AB369" s="134"/>
      <c r="AC36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6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23735.409999999978</v>
      </c>
      <c r="AE36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317.8700000000008</v>
      </c>
      <c r="AF36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6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18827.363368852464</v>
      </c>
      <c r="AH369" s="55"/>
      <c r="AI369" s="55"/>
      <c r="AJ369" s="55"/>
      <c r="AK369" s="101">
        <f t="shared" ca="1" si="70"/>
        <v>192513.98336885244</v>
      </c>
      <c r="AL369" s="129">
        <f t="array" ref="AL369">MAX((УслРестрактов[Характеристика]="Дата реструктуризации")*(УслРестрактов[Значение]=Первоначальный!$A369),0)</f>
        <v>0</v>
      </c>
    </row>
    <row r="370" spans="1:38" x14ac:dyDescent="0.25">
      <c r="A370" s="97">
        <f t="shared" si="63"/>
        <v>44501</v>
      </c>
      <c r="B370" s="100">
        <f t="shared" ca="1" si="64"/>
        <v>149633.34</v>
      </c>
      <c r="C370" s="55">
        <f t="shared" ca="1" si="72"/>
        <v>23735.409999999978</v>
      </c>
      <c r="D370" s="55">
        <f t="shared" ca="1" si="72"/>
        <v>317.8700000000008</v>
      </c>
      <c r="E370" s="55">
        <f t="shared" ca="1" si="65"/>
        <v>0</v>
      </c>
      <c r="F370" s="55">
        <f t="shared" ca="1" si="66"/>
        <v>18827.363368852464</v>
      </c>
      <c r="G370" s="101">
        <f t="shared" ca="1" si="67"/>
        <v>192513.98336885244</v>
      </c>
      <c r="H370" s="100">
        <f ca="1">ROUND($B370*VLOOKUP($A370,$A$1:$B$10,2,1)/(365+IF(MOD(YEAR($A370),4),0,1)*($A370-$A369)),2)-Первоначальный[[#This Row],[Проценты на просроченный платеж по ОД за период]]</f>
        <v>79.36</v>
      </c>
      <c r="I370" s="55">
        <f t="shared" ca="1" si="68"/>
        <v>2.2200000000000002</v>
      </c>
      <c r="J370" s="55">
        <v>0</v>
      </c>
      <c r="K370" s="55">
        <f t="shared" ca="1" si="71"/>
        <v>130.29850327868854</v>
      </c>
      <c r="L370" s="55">
        <v>0</v>
      </c>
      <c r="M370" s="113">
        <f>SUMIFS(График[Возврат основной суммы долга],График[Дата с учетом нерабочих дней],$A370)</f>
        <v>0</v>
      </c>
      <c r="N370" s="56">
        <f>SUMIFS(График[Возврат начисленных %],График[Дата с учетом нерабочих дней],$A370)</f>
        <v>0</v>
      </c>
      <c r="O370" s="101">
        <v>0</v>
      </c>
      <c r="P370" s="100" cm="1">
        <f t="array" aca="1" ref="P370" ca="1">MAX(IF(AA369="Да",0,SUM(INDIRECT("M"&amp;(MAX(("Да"=AA$12:AA369)*ROW(AA$12:AA369)+1,ROW($P$12))&amp;":M"&amp;(ROW()))))-SUM(INDIRECT("W"&amp;(MAX(("Да"=AA$12:AA369)*ROW(AA$12:AA369)+1,ROW($P$12))&amp;":W"&amp;(ROW()))))),0)</f>
        <v>4071.5099999999998</v>
      </c>
      <c r="Q370" s="99">
        <f ca="1">MAX(SUM($N$13:N370)-SUM($T$13:T370),0)</f>
        <v>21988.190655737708</v>
      </c>
      <c r="R370" s="99">
        <f ca="1">Первоначальный[[#This Row],[Просроченный платеж по ОД]]+Первоначальный[[#This Row],[Просроченный платеж по процентам]]</f>
        <v>26059.700655737706</v>
      </c>
      <c r="S370" s="120">
        <f ca="1">IF(Первоначальный[[#This Row],[Просроченный платеж]]&lt;1,0,S369+1)</f>
        <v>266</v>
      </c>
      <c r="T370" s="100" cm="1">
        <f t="array" aca="1" ref="T370" ca="1">IF(Первоначальный[[#This Row],[Итого остаток на начало периода]]&lt;1,0,
IF(
AND(TYPE(VLOOKUP(1,$Z$12:Z370,1,0))=16,Первоначальный[[#This Row],[Досрочное погашение (да/"")]]=""),0,
_xlfn.IFS(AND(S369=0,Первоначальный[[#This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платеж]]&lt;&gt;0),MIN(LOOKUP(,-1/($Z$12:Z370=1),$C$12:C370)+LOOKUP(,-1/($Z$12:Z370=1),$H$12:H370),Первоначальный[[#This Row],[Полученный платеж]]+Y369),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платеж]]+Y369,SUM(Первоначальный[[#This Row],[Остаток процентов на начало периода]],Первоначальный[[#This Row],[Проценты за период]])),
AND(S369=0,Первоначальный[[#This Row],[Дата платежа из графика]]=""),0,
AND(S369=0,Первоначальный[[#This Row],[Дата платежа из графика]]=1,MAX((0&lt;&gt;S$12:S369)*ROW(S$12:S369),ROW($S$12))&gt;=MAX((1=Z$12:Z369)*ROW(Z$12:Z369),ROW($T$12)),TYPE(VLOOKUP("Да",(INDIRECT("AA"&amp;(MAX((1=Z$12:Z369)*ROW(Z$12:Z369),ROW($T$12))&amp;":AA"&amp;(ROW()-1)))),1,0))=16),MIN(LOOKUP(,-1/($Z$12:Z370=1),$C$12:C370)+LOOKUP(,-1/($Z$12:Z370=1),$H$12:H370),Первоначальный[[#This Row],[Полученный платеж]]+Y369),
AND(S369=0,TYPE(VLOOKUP("Да",(INDIRECT("AA"&amp;(MAX((1=Z$12:Z369)*ROW(Z$12:Z369),ROW($T$12))&amp;":AA"&amp;(ROW()-1)))),1,0))&lt;&gt;16),MIN(LOOKUP(,-1/($Z$12:Z370=1),$C$12:C370)+LOOKUP(,-1/($Z$12:Z370=1),$H$12:H370)-IF(AA369="Да",0,SUM(INDIRECT("T"&amp;(MAX(("Да"=AA$12:AA369)*ROW(AA$12:AA369)+1,ROW($T$12))&amp;":T"&amp;(ROW()-1))))),Первоначальный[[#This Row],[Полученный платеж]]+Y369),
AND(S369=0,MAX((0&lt;&gt;N$12:N369)*ROW(N$12:N369),ROW($S$12))&gt;=MAX((1=Z$12:Z369)*ROW(Z$12:Z369),ROW($T$12))),MIN(LOOKUP(,-1/($Z$12:Z370=1),$C$12:C370)+LOOKUP(,-1/($Z$12:Z370=1),$H$12:H370)-IF(N369&lt;&gt;0,0,SUM(INDIRECT("T"&amp;(MAX((0&lt;&gt;N$12:N369)*ROW(N$12:N369)+1,ROW($T$12))&amp;":T"&amp;(ROW()-1))))),Первоначальный[[#This Row],[Полученный платеж]]+Y369),
AND(S369=0,Первоначальный[[#This Row],[Дата платежа из графика]]=1),MIN(LOOKUP(,-1/($Z$12:Z370=1),$C$12:C370)+LOOKUP(,-1/($Z$12:Z370=1),$H$12:H370)-IF(Z369=1,0,SUM(INDIRECT("T"&amp;(MAX((1=Z$12:Z369)*ROW(Z$12:Z369)+1,ROW($T$12))&amp;":T"&amp;(ROW()-1))))),Первоначальный[[#This Row],[Полученный платеж]]+Y369),
AND(Z369&gt;0,Первоначальный[[#This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платеж]]+Y369),
AND(S369&gt;0,MAX((0&lt;&gt;S$12:S369)*ROW(S$12:S369),ROW($S$12))&gt;=MAX((1=Z$12:Z369)*ROW(Z$12:Z369),ROW($T$12)),TYPE(VLOOKUP("Да",(INDIRECT("AA"&amp;(MAX((1=Z$12:Z369)*ROW(Z$12:Z369),ROW($T$12))&amp;":AA"&amp;(ROW()-1)))),1,0))=16),MIN(LOOKUP(,-1/($Z$12:Z370=1),$C$12:C370)+LOOKUP(,-1/($Z$12:Z370=1),$H$12:H370)-SUM(INDIRECT("T"&amp;(MAX((1=Z$12:Z369)*ROW(Z$12:Z369),ROW($T$12))&amp;":T"&amp;(ROW()-1)))),Первоначальный[[#This Row],[Полученный платеж]]+Y369),
S369&gt;0,MIN(LOOKUP(,-1/($Z$12:Z370=1),$C$12:C370)+LOOKUP(,-1/($Z$12:Z370=1),$H$12:H370)-IF(Z369=1,0,SUM(INDIRECT("T"&amp;(MAX((1=Z$12:Z369)*ROW(Z$12:Z369)+1,ROW($T$12))&amp;":T"&amp;(ROW()-1))))),Первоначальный[[#This Row],[Полученный платеж]]+Y369)
)
)
)</f>
        <v>0</v>
      </c>
      <c r="U37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платеж]]+Y369-Первоначальный[[#This Row],[Полученный платёж по процентам]])</f>
        <v>0</v>
      </c>
      <c r="V370" s="55">
        <f t="shared" ca="1" si="61"/>
        <v>0</v>
      </c>
      <c r="W370" s="55" cm="1">
        <f t="array" aca="1" ref="W370" ca="1">IF(Первоначальный[[#This Row],[Итого остаток на начало периода]]&lt;1,0,
_xlfn.IFS(
AND(TYPE(VLOOKUP(1,$Z$12:Z370,1,0))=16,Первоначальный[[#This Row],[Досрочное погашение (да/"")]]=""),0,
AND(S369=0,Первоначальный[[#This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платеж]]+Y369-SUM(Первоначальный[[#This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комиссиям]]),VLOOKUP(LOOKUP(,-1/($Z$12:Z370=1),$A$12:A370),График[[Срок конец]:[Возврат основной суммы долга]],3,0)),
AND(S369=0,Первоначальный[[#This Row],[Дата платежа из графика]]="",Первоначальный[[#This Row],[Досрочное погашение (да/"")]]&lt;&gt;"Да"),0,
AND(S369=0,Первоначальный[[#This Row],[Досрочное погашение (да/"")]]=""),MIN(Первоначальный[[#This Row],[Полученный платеж]]+Y369-SUM(Первоначальный[[#This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комиссиям]]),VLOOKUP(LOOKUP(,-1/($Z$12:Z370=1),$A$12:A370),График[[Срок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платеж]]+Y369-SUM(Первоначальный[[#This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S369&gt;0,MIN(Первоначальный[[#This Row],[Полученный платеж]]+Y369-SUM(Первоначальный[[#This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комиссиям]]),SUM(INDIRECT("M"&amp;(MAX((1=S$12:S369)*ROW(S$12:S369),ROW($W$12))&amp;":M"&amp;(ROW()))))-SUM(INDIRECT("W"&amp;(MAX((1=S$12:S369)*ROW(S$12:S369),ROW($W$12))&amp;":W"&amp;(ROW()-1)))))
)
)</f>
        <v>0</v>
      </c>
      <c r="X370" s="55">
        <f t="shared" ca="1" si="62"/>
        <v>0</v>
      </c>
      <c r="Y370" s="101">
        <f t="shared" ca="1" si="69"/>
        <v>0</v>
      </c>
      <c r="Z370" s="133" t="str">
        <f>IF(TYPE((VLOOKUP(Первоначальный[[#This Row],[Дата платежа]],График[Срок конец],1,0)))=16,"",1)</f>
        <v/>
      </c>
      <c r="AA370" s="57"/>
      <c r="AB370" s="134"/>
      <c r="AC37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7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23814.769999999979</v>
      </c>
      <c r="AE37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320.09000000000083</v>
      </c>
      <c r="AF37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7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18957.661872131153</v>
      </c>
      <c r="AH370" s="55"/>
      <c r="AI370" s="55"/>
      <c r="AJ370" s="55"/>
      <c r="AK370" s="101">
        <f t="shared" ca="1" si="70"/>
        <v>192725.86187213112</v>
      </c>
      <c r="AL370" s="129">
        <f t="array" ref="AL370">MAX((УслРестрактов[Характеристика]="Дата реструктуризации")*(УслРестрактов[Значение]=Первоначальный!$A370),0)</f>
        <v>0</v>
      </c>
    </row>
    <row r="371" spans="1:38" x14ac:dyDescent="0.25">
      <c r="A371" s="97">
        <f t="shared" si="63"/>
        <v>44502</v>
      </c>
      <c r="B371" s="100">
        <f t="shared" ca="1" si="64"/>
        <v>149633.34</v>
      </c>
      <c r="C371" s="55">
        <f t="shared" ca="1" si="72"/>
        <v>23814.769999999979</v>
      </c>
      <c r="D371" s="55">
        <f t="shared" ca="1" si="72"/>
        <v>320.09000000000083</v>
      </c>
      <c r="E371" s="55">
        <f t="shared" ca="1" si="65"/>
        <v>0</v>
      </c>
      <c r="F371" s="55">
        <f t="shared" ca="1" si="66"/>
        <v>18957.661872131153</v>
      </c>
      <c r="G371" s="101">
        <f t="shared" ca="1" si="67"/>
        <v>192725.86187213112</v>
      </c>
      <c r="H371" s="100">
        <f ca="1">ROUND($B371*VLOOKUP($A371,$A$1:$B$10,2,1)/(365+IF(MOD(YEAR($A371),4),0,1)*($A371-$A370)),2)-Первоначальный[[#This Row],[Проценты на просроченный платеж по ОД за период]]</f>
        <v>79.36</v>
      </c>
      <c r="I371" s="55">
        <f t="shared" ca="1" si="68"/>
        <v>2.2200000000000002</v>
      </c>
      <c r="J371" s="55">
        <v>0</v>
      </c>
      <c r="K371" s="55">
        <f t="shared" ca="1" si="71"/>
        <v>130.29850327868854</v>
      </c>
      <c r="L371" s="55">
        <v>0</v>
      </c>
      <c r="M371" s="113">
        <f>SUMIFS(График[Возврат основной суммы долга],График[Дата с учетом нерабочих дней],$A371)</f>
        <v>0</v>
      </c>
      <c r="N371" s="56">
        <f>SUMIFS(График[Возврат начисленных %],График[Дата с учетом нерабочих дней],$A371)</f>
        <v>0</v>
      </c>
      <c r="O371" s="101">
        <v>0</v>
      </c>
      <c r="P371" s="100" cm="1">
        <f t="array" aca="1" ref="P371" ca="1">MAX(IF(AA370="Да",0,SUM(INDIRECT("M"&amp;(MAX(("Да"=AA$12:AA370)*ROW(AA$12:AA370)+1,ROW($P$12))&amp;":M"&amp;(ROW()))))-SUM(INDIRECT("W"&amp;(MAX(("Да"=AA$12:AA370)*ROW(AA$12:AA370)+1,ROW($P$12))&amp;":W"&amp;(ROW()))))),0)</f>
        <v>4071.5099999999998</v>
      </c>
      <c r="Q371" s="99">
        <f ca="1">MAX(SUM($N$13:N371)-SUM($T$13:T371),0)</f>
        <v>21988.190655737708</v>
      </c>
      <c r="R371" s="99">
        <f ca="1">Первоначальный[[#This Row],[Просроченный платеж по ОД]]+Первоначальный[[#This Row],[Просроченный платеж по процентам]]</f>
        <v>26059.700655737706</v>
      </c>
      <c r="S371" s="120">
        <f ca="1">IF(Первоначальный[[#This Row],[Просроченный платеж]]&lt;1,0,S370+1)</f>
        <v>267</v>
      </c>
      <c r="T371" s="100" cm="1">
        <f t="array" aca="1" ref="T371" ca="1">IF(Первоначальный[[#This Row],[Итого остаток на начало периода]]&lt;1,0,
IF(
AND(TYPE(VLOOKUP(1,$Z$12:Z371,1,0))=16,Первоначальный[[#This Row],[Досрочное погашение (да/"")]]=""),0,
_xlfn.IFS(AND(S370=0,Первоначальный[[#This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платеж]]&lt;&gt;0),MIN(LOOKUP(,-1/($Z$12:Z371=1),$C$12:C371)+LOOKUP(,-1/($Z$12:Z371=1),$H$12:H371),Первоначальный[[#This Row],[Полученный платеж]]+Y370),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платеж]]+Y370,SUM(Первоначальный[[#This Row],[Остаток процентов на начало периода]],Первоначальный[[#This Row],[Проценты за период]])),
AND(S370=0,Первоначальный[[#This Row],[Дата платежа из графика]]=""),0,
AND(S370=0,Первоначальный[[#This Row],[Дата платежа из графика]]=1,MAX((0&lt;&gt;S$12:S370)*ROW(S$12:S370),ROW($S$12))&gt;=MAX((1=Z$12:Z370)*ROW(Z$12:Z370),ROW($T$12)),TYPE(VLOOKUP("Да",(INDIRECT("AA"&amp;(MAX((1=Z$12:Z370)*ROW(Z$12:Z370),ROW($T$12))&amp;":AA"&amp;(ROW()-1)))),1,0))=16),MIN(LOOKUP(,-1/($Z$12:Z371=1),$C$12:C371)+LOOKUP(,-1/($Z$12:Z371=1),$H$12:H371),Первоначальный[[#This Row],[Полученный платеж]]+Y370),
AND(S370=0,TYPE(VLOOKUP("Да",(INDIRECT("AA"&amp;(MAX((1=Z$12:Z370)*ROW(Z$12:Z370),ROW($T$12))&amp;":AA"&amp;(ROW()-1)))),1,0))&lt;&gt;16),MIN(LOOKUP(,-1/($Z$12:Z371=1),$C$12:C371)+LOOKUP(,-1/($Z$12:Z371=1),$H$12:H371)-IF(AA370="Да",0,SUM(INDIRECT("T"&amp;(MAX(("Да"=AA$12:AA370)*ROW(AA$12:AA370)+1,ROW($T$12))&amp;":T"&amp;(ROW()-1))))),Первоначальный[[#This Row],[Полученный платеж]]+Y370),
AND(S370=0,MAX((0&lt;&gt;N$12:N370)*ROW(N$12:N370),ROW($S$12))&gt;=MAX((1=Z$12:Z370)*ROW(Z$12:Z370),ROW($T$12))),MIN(LOOKUP(,-1/($Z$12:Z371=1),$C$12:C371)+LOOKUP(,-1/($Z$12:Z371=1),$H$12:H371)-IF(N370&lt;&gt;0,0,SUM(INDIRECT("T"&amp;(MAX((0&lt;&gt;N$12:N370)*ROW(N$12:N370)+1,ROW($T$12))&amp;":T"&amp;(ROW()-1))))),Первоначальный[[#This Row],[Полученный платеж]]+Y370),
AND(S370=0,Первоначальный[[#This Row],[Дата платежа из графика]]=1),MIN(LOOKUP(,-1/($Z$12:Z371=1),$C$12:C371)+LOOKUP(,-1/($Z$12:Z371=1),$H$12:H371)-IF(Z370=1,0,SUM(INDIRECT("T"&amp;(MAX((1=Z$12:Z370)*ROW(Z$12:Z370)+1,ROW($T$12))&amp;":T"&amp;(ROW()-1))))),Первоначальный[[#This Row],[Полученный платеж]]+Y370),
AND(Z370&gt;0,Первоначальный[[#This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платеж]]+Y370),
AND(S370&gt;0,MAX((0&lt;&gt;S$12:S370)*ROW(S$12:S370),ROW($S$12))&gt;=MAX((1=Z$12:Z370)*ROW(Z$12:Z370),ROW($T$12)),TYPE(VLOOKUP("Да",(INDIRECT("AA"&amp;(MAX((1=Z$12:Z370)*ROW(Z$12:Z370),ROW($T$12))&amp;":AA"&amp;(ROW()-1)))),1,0))=16),MIN(LOOKUP(,-1/($Z$12:Z371=1),$C$12:C371)+LOOKUP(,-1/($Z$12:Z371=1),$H$12:H371)-SUM(INDIRECT("T"&amp;(MAX((1=Z$12:Z370)*ROW(Z$12:Z370),ROW($T$12))&amp;":T"&amp;(ROW()-1)))),Первоначальный[[#This Row],[Полученный платеж]]+Y370),
S370&gt;0,MIN(LOOKUP(,-1/($Z$12:Z371=1),$C$12:C371)+LOOKUP(,-1/($Z$12:Z371=1),$H$12:H371)-IF(Z370=1,0,SUM(INDIRECT("T"&amp;(MAX((1=Z$12:Z370)*ROW(Z$12:Z370)+1,ROW($T$12))&amp;":T"&amp;(ROW()-1))))),Первоначальный[[#This Row],[Полученный платеж]]+Y370)
)
)
)</f>
        <v>0</v>
      </c>
      <c r="U37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платеж]]+Y370-Первоначальный[[#This Row],[Полученный платёж по процентам]])</f>
        <v>0</v>
      </c>
      <c r="V371" s="55">
        <f t="shared" ca="1" si="61"/>
        <v>0</v>
      </c>
      <c r="W371" s="55" cm="1">
        <f t="array" aca="1" ref="W371" ca="1">IF(Первоначальный[[#This Row],[Итого остаток на начало периода]]&lt;1,0,
_xlfn.IFS(
AND(TYPE(VLOOKUP(1,$Z$12:Z371,1,0))=16,Первоначальный[[#This Row],[Досрочное погашение (да/"")]]=""),0,
AND(S370=0,Первоначальный[[#This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платеж]]+Y370-SUM(Первоначальный[[#This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комиссиям]]),VLOOKUP(LOOKUP(,-1/($Z$12:Z371=1),$A$12:A371),График[[Срок конец]:[Возврат основной суммы долга]],3,0)),
AND(S370=0,Первоначальный[[#This Row],[Дата платежа из графика]]="",Первоначальный[[#This Row],[Досрочное погашение (да/"")]]&lt;&gt;"Да"),0,
AND(S370=0,Первоначальный[[#This Row],[Досрочное погашение (да/"")]]=""),MIN(Первоначальный[[#This Row],[Полученный платеж]]+Y370-SUM(Первоначальный[[#This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комиссиям]]),VLOOKUP(LOOKUP(,-1/($Z$12:Z371=1),$A$12:A371),График[[Срок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платеж]]+Y370-SUM(Первоначальный[[#This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S370&gt;0,MIN(Первоначальный[[#This Row],[Полученный платеж]]+Y370-SUM(Первоначальный[[#This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комиссиям]]),SUM(INDIRECT("M"&amp;(MAX((1=S$12:S370)*ROW(S$12:S370),ROW($W$12))&amp;":M"&amp;(ROW()))))-SUM(INDIRECT("W"&amp;(MAX((1=S$12:S370)*ROW(S$12:S370),ROW($W$12))&amp;":W"&amp;(ROW()-1)))))
)
)</f>
        <v>0</v>
      </c>
      <c r="X371" s="55">
        <f t="shared" ca="1" si="62"/>
        <v>0</v>
      </c>
      <c r="Y371" s="101">
        <f t="shared" ca="1" si="69"/>
        <v>0</v>
      </c>
      <c r="Z371" s="133" t="str">
        <f>IF(TYPE((VLOOKUP(Первоначальный[[#This Row],[Дата платежа]],График[Срок конец],1,0)))=16,"",1)</f>
        <v/>
      </c>
      <c r="AA371" s="57"/>
      <c r="AB371" s="134"/>
      <c r="AC37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7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23894.129999999979</v>
      </c>
      <c r="AE37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322.31000000000085</v>
      </c>
      <c r="AF37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7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19087.960375409843</v>
      </c>
      <c r="AH371" s="55"/>
      <c r="AI371" s="55"/>
      <c r="AJ371" s="55"/>
      <c r="AK371" s="101">
        <f t="shared" ca="1" si="70"/>
        <v>192937.7403754098</v>
      </c>
      <c r="AL371" s="129">
        <f t="array" ref="AL371">MAX((УслРестрактов[Характеристика]="Дата реструктуризации")*(УслРестрактов[Значение]=Первоначальный!$A371),0)</f>
        <v>0</v>
      </c>
    </row>
    <row r="372" spans="1:38" x14ac:dyDescent="0.25">
      <c r="A372" s="97">
        <f t="shared" si="63"/>
        <v>44503</v>
      </c>
      <c r="B372" s="100">
        <f t="shared" ca="1" si="64"/>
        <v>149633.34</v>
      </c>
      <c r="C372" s="55">
        <f t="shared" ca="1" si="72"/>
        <v>23894.129999999979</v>
      </c>
      <c r="D372" s="55">
        <f t="shared" ca="1" si="72"/>
        <v>322.31000000000085</v>
      </c>
      <c r="E372" s="55">
        <f t="shared" ca="1" si="65"/>
        <v>0</v>
      </c>
      <c r="F372" s="55">
        <f t="shared" ca="1" si="66"/>
        <v>19087.960375409843</v>
      </c>
      <c r="G372" s="101">
        <f t="shared" ca="1" si="67"/>
        <v>192937.7403754098</v>
      </c>
      <c r="H372" s="100">
        <f ca="1">ROUND($B372*VLOOKUP($A372,$A$1:$B$10,2,1)/(365+IF(MOD(YEAR($A372),4),0,1)*($A372-$A371)),2)-Первоначальный[[#This Row],[Проценты на просроченный платеж по ОД за период]]</f>
        <v>79.36</v>
      </c>
      <c r="I372" s="55">
        <f t="shared" ca="1" si="68"/>
        <v>2.2200000000000002</v>
      </c>
      <c r="J372" s="55">
        <v>0</v>
      </c>
      <c r="K372" s="55">
        <f t="shared" ca="1" si="71"/>
        <v>130.29850327868854</v>
      </c>
      <c r="L372" s="55">
        <v>0</v>
      </c>
      <c r="M372" s="113">
        <f>SUMIFS(График[Возврат основной суммы долга],График[Дата с учетом нерабочих дней],$A372)</f>
        <v>0</v>
      </c>
      <c r="N372" s="56">
        <f>SUMIFS(График[Возврат начисленных %],График[Дата с учетом нерабочих дней],$A372)</f>
        <v>0</v>
      </c>
      <c r="O372" s="101">
        <v>0</v>
      </c>
      <c r="P372" s="100" cm="1">
        <f t="array" aca="1" ref="P372" ca="1">MAX(IF(AA371="Да",0,SUM(INDIRECT("M"&amp;(MAX(("Да"=AA$12:AA371)*ROW(AA$12:AA371)+1,ROW($P$12))&amp;":M"&amp;(ROW()))))-SUM(INDIRECT("W"&amp;(MAX(("Да"=AA$12:AA371)*ROW(AA$12:AA371)+1,ROW($P$12))&amp;":W"&amp;(ROW()))))),0)</f>
        <v>4071.5099999999998</v>
      </c>
      <c r="Q372" s="99">
        <f ca="1">MAX(SUM($N$13:N372)-SUM($T$13:T372),0)</f>
        <v>21988.190655737708</v>
      </c>
      <c r="R372" s="99">
        <f ca="1">Первоначальный[[#This Row],[Просроченный платеж по ОД]]+Первоначальный[[#This Row],[Просроченный платеж по процентам]]</f>
        <v>26059.700655737706</v>
      </c>
      <c r="S372" s="120">
        <f ca="1">IF(Первоначальный[[#This Row],[Просроченный платеж]]&lt;1,0,S371+1)</f>
        <v>268</v>
      </c>
      <c r="T372" s="100" cm="1">
        <f t="array" aca="1" ref="T372" ca="1">IF(Первоначальный[[#This Row],[Итого остаток на начало периода]]&lt;1,0,
IF(
AND(TYPE(VLOOKUP(1,$Z$12:Z372,1,0))=16,Первоначальный[[#This Row],[Досрочное погашение (да/"")]]=""),0,
_xlfn.IFS(AND(S371=0,Первоначальный[[#This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платеж]]&lt;&gt;0),MIN(LOOKUP(,-1/($Z$12:Z372=1),$C$12:C372)+LOOKUP(,-1/($Z$12:Z372=1),$H$12:H372),Первоначальный[[#This Row],[Полученный платеж]]+Y371),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платеж]]+Y371,SUM(Первоначальный[[#This Row],[Остаток процентов на начало периода]],Первоначальный[[#This Row],[Проценты за период]])),
AND(S371=0,Первоначальный[[#This Row],[Дата платежа из графика]]=""),0,
AND(S371=0,Первоначальный[[#This Row],[Дата платежа из графика]]=1,MAX((0&lt;&gt;S$12:S371)*ROW(S$12:S371),ROW($S$12))&gt;=MAX((1=Z$12:Z371)*ROW(Z$12:Z371),ROW($T$12)),TYPE(VLOOKUP("Да",(INDIRECT("AA"&amp;(MAX((1=Z$12:Z371)*ROW(Z$12:Z371),ROW($T$12))&amp;":AA"&amp;(ROW()-1)))),1,0))=16),MIN(LOOKUP(,-1/($Z$12:Z372=1),$C$12:C372)+LOOKUP(,-1/($Z$12:Z372=1),$H$12:H372),Первоначальный[[#This Row],[Полученный платеж]]+Y371),
AND(S371=0,TYPE(VLOOKUP("Да",(INDIRECT("AA"&amp;(MAX((1=Z$12:Z371)*ROW(Z$12:Z371),ROW($T$12))&amp;":AA"&amp;(ROW()-1)))),1,0))&lt;&gt;16),MIN(LOOKUP(,-1/($Z$12:Z372=1),$C$12:C372)+LOOKUP(,-1/($Z$12:Z372=1),$H$12:H372)-IF(AA371="Да",0,SUM(INDIRECT("T"&amp;(MAX(("Да"=AA$12:AA371)*ROW(AA$12:AA371)+1,ROW($T$12))&amp;":T"&amp;(ROW()-1))))),Первоначальный[[#This Row],[Полученный платеж]]+Y371),
AND(S371=0,MAX((0&lt;&gt;N$12:N371)*ROW(N$12:N371),ROW($S$12))&gt;=MAX((1=Z$12:Z371)*ROW(Z$12:Z371),ROW($T$12))),MIN(LOOKUP(,-1/($Z$12:Z372=1),$C$12:C372)+LOOKUP(,-1/($Z$12:Z372=1),$H$12:H372)-IF(N371&lt;&gt;0,0,SUM(INDIRECT("T"&amp;(MAX((0&lt;&gt;N$12:N371)*ROW(N$12:N371)+1,ROW($T$12))&amp;":T"&amp;(ROW()-1))))),Первоначальный[[#This Row],[Полученный платеж]]+Y371),
AND(S371=0,Первоначальный[[#This Row],[Дата платежа из графика]]=1),MIN(LOOKUP(,-1/($Z$12:Z372=1),$C$12:C372)+LOOKUP(,-1/($Z$12:Z372=1),$H$12:H372)-IF(Z371=1,0,SUM(INDIRECT("T"&amp;(MAX((1=Z$12:Z371)*ROW(Z$12:Z371)+1,ROW($T$12))&amp;":T"&amp;(ROW()-1))))),Первоначальный[[#This Row],[Полученный платеж]]+Y371),
AND(Z371&gt;0,Первоначальный[[#This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платеж]]+Y371),
AND(S371&gt;0,MAX((0&lt;&gt;S$12:S371)*ROW(S$12:S371),ROW($S$12))&gt;=MAX((1=Z$12:Z371)*ROW(Z$12:Z371),ROW($T$12)),TYPE(VLOOKUP("Да",(INDIRECT("AA"&amp;(MAX((1=Z$12:Z371)*ROW(Z$12:Z371),ROW($T$12))&amp;":AA"&amp;(ROW()-1)))),1,0))=16),MIN(LOOKUP(,-1/($Z$12:Z372=1),$C$12:C372)+LOOKUP(,-1/($Z$12:Z372=1),$H$12:H372)-SUM(INDIRECT("T"&amp;(MAX((1=Z$12:Z371)*ROW(Z$12:Z371),ROW($T$12))&amp;":T"&amp;(ROW()-1)))),Первоначальный[[#This Row],[Полученный платеж]]+Y371),
S371&gt;0,MIN(LOOKUP(,-1/($Z$12:Z372=1),$C$12:C372)+LOOKUP(,-1/($Z$12:Z372=1),$H$12:H372)-IF(Z371=1,0,SUM(INDIRECT("T"&amp;(MAX((1=Z$12:Z371)*ROW(Z$12:Z371)+1,ROW($T$12))&amp;":T"&amp;(ROW()-1))))),Первоначальный[[#This Row],[Полученный платеж]]+Y371)
)
)
)</f>
        <v>0</v>
      </c>
      <c r="U37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платеж]]+Y371-Первоначальный[[#This Row],[Полученный платёж по процентам]])</f>
        <v>0</v>
      </c>
      <c r="V372" s="55">
        <f t="shared" ca="1" si="61"/>
        <v>0</v>
      </c>
      <c r="W372" s="55" cm="1">
        <f t="array" aca="1" ref="W372" ca="1">IF(Первоначальный[[#This Row],[Итого остаток на начало периода]]&lt;1,0,
_xlfn.IFS(
AND(TYPE(VLOOKUP(1,$Z$12:Z372,1,0))=16,Первоначальный[[#This Row],[Досрочное погашение (да/"")]]=""),0,
AND(S371=0,Первоначальный[[#This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платеж]]+Y371-SUM(Первоначальный[[#This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комиссиям]]),VLOOKUP(LOOKUP(,-1/($Z$12:Z372=1),$A$12:A372),График[[Срок конец]:[Возврат основной суммы долга]],3,0)),
AND(S371=0,Первоначальный[[#This Row],[Дата платежа из графика]]="",Первоначальный[[#This Row],[Досрочное погашение (да/"")]]&lt;&gt;"Да"),0,
AND(S371=0,Первоначальный[[#This Row],[Досрочное погашение (да/"")]]=""),MIN(Первоначальный[[#This Row],[Полученный платеж]]+Y371-SUM(Первоначальный[[#This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комиссиям]]),VLOOKUP(LOOKUP(,-1/($Z$12:Z372=1),$A$12:A372),График[[Срок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платеж]]+Y371-SUM(Первоначальный[[#This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S371&gt;0,MIN(Первоначальный[[#This Row],[Полученный платеж]]+Y371-SUM(Первоначальный[[#This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комиссиям]]),SUM(INDIRECT("M"&amp;(MAX((1=S$12:S371)*ROW(S$12:S371),ROW($W$12))&amp;":M"&amp;(ROW()))))-SUM(INDIRECT("W"&amp;(MAX((1=S$12:S371)*ROW(S$12:S371),ROW($W$12))&amp;":W"&amp;(ROW()-1)))))
)
)</f>
        <v>0</v>
      </c>
      <c r="X372" s="55">
        <f t="shared" ca="1" si="62"/>
        <v>0</v>
      </c>
      <c r="Y372" s="101">
        <f t="shared" ca="1" si="69"/>
        <v>0</v>
      </c>
      <c r="Z372" s="133" t="str">
        <f>IF(TYPE((VLOOKUP(Первоначальный[[#This Row],[Дата платежа]],График[Срок конец],1,0)))=16,"",1)</f>
        <v/>
      </c>
      <c r="AA372" s="57"/>
      <c r="AB372" s="134"/>
      <c r="AC37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7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23973.48999999998</v>
      </c>
      <c r="AE37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324.53000000000088</v>
      </c>
      <c r="AF37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7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19218.258878688532</v>
      </c>
      <c r="AH372" s="55"/>
      <c r="AI372" s="55"/>
      <c r="AJ372" s="55"/>
      <c r="AK372" s="101">
        <f t="shared" ca="1" si="70"/>
        <v>193149.61887868852</v>
      </c>
      <c r="AL372" s="129">
        <f t="array" ref="AL372">MAX((УслРестрактов[Характеристика]="Дата реструктуризации")*(УслРестрактов[Значение]=Первоначальный!$A372),0)</f>
        <v>0</v>
      </c>
    </row>
    <row r="373" spans="1:38" x14ac:dyDescent="0.25">
      <c r="A373" s="97">
        <f t="shared" si="63"/>
        <v>44504</v>
      </c>
      <c r="B373" s="100">
        <f t="shared" ca="1" si="64"/>
        <v>149633.34</v>
      </c>
      <c r="C373" s="55">
        <f t="shared" ca="1" si="72"/>
        <v>23973.48999999998</v>
      </c>
      <c r="D373" s="55">
        <f t="shared" ca="1" si="72"/>
        <v>324.53000000000088</v>
      </c>
      <c r="E373" s="55">
        <f t="shared" ca="1" si="65"/>
        <v>0</v>
      </c>
      <c r="F373" s="55">
        <f t="shared" ca="1" si="66"/>
        <v>19218.258878688532</v>
      </c>
      <c r="G373" s="101">
        <f t="shared" ca="1" si="67"/>
        <v>193149.61887868852</v>
      </c>
      <c r="H373" s="100">
        <f ca="1">ROUND($B373*VLOOKUP($A373,$A$1:$B$10,2,1)/(365+IF(MOD(YEAR($A373),4),0,1)*($A373-$A372)),2)-Первоначальный[[#This Row],[Проценты на просроченный платеж по ОД за период]]</f>
        <v>79.36</v>
      </c>
      <c r="I373" s="55">
        <f t="shared" ca="1" si="68"/>
        <v>2.2200000000000002</v>
      </c>
      <c r="J373" s="55">
        <v>0</v>
      </c>
      <c r="K373" s="55">
        <f t="shared" ca="1" si="71"/>
        <v>130.29850327868854</v>
      </c>
      <c r="L373" s="55">
        <v>0</v>
      </c>
      <c r="M373" s="113">
        <f>SUMIFS(График[Возврат основной суммы долга],График[Дата с учетом нерабочих дней],$A373)</f>
        <v>0</v>
      </c>
      <c r="N373" s="56">
        <f>SUMIFS(График[Возврат начисленных %],График[Дата с учетом нерабочих дней],$A373)</f>
        <v>0</v>
      </c>
      <c r="O373" s="101">
        <v>0</v>
      </c>
      <c r="P373" s="100" cm="1">
        <f t="array" aca="1" ref="P373" ca="1">MAX(IF(AA372="Да",0,SUM(INDIRECT("M"&amp;(MAX(("Да"=AA$12:AA372)*ROW(AA$12:AA372)+1,ROW($P$12))&amp;":M"&amp;(ROW()))))-SUM(INDIRECT("W"&amp;(MAX(("Да"=AA$12:AA372)*ROW(AA$12:AA372)+1,ROW($P$12))&amp;":W"&amp;(ROW()))))),0)</f>
        <v>4071.5099999999998</v>
      </c>
      <c r="Q373" s="99">
        <f ca="1">MAX(SUM($N$13:N373)-SUM($T$13:T373),0)</f>
        <v>21988.190655737708</v>
      </c>
      <c r="R373" s="99">
        <f ca="1">Первоначальный[[#This Row],[Просроченный платеж по ОД]]+Первоначальный[[#This Row],[Просроченный платеж по процентам]]</f>
        <v>26059.700655737706</v>
      </c>
      <c r="S373" s="120">
        <f ca="1">IF(Первоначальный[[#This Row],[Просроченный платеж]]&lt;1,0,S372+1)</f>
        <v>269</v>
      </c>
      <c r="T373" s="100" cm="1">
        <f t="array" aca="1" ref="T373" ca="1">IF(Первоначальный[[#This Row],[Итого остаток на начало периода]]&lt;1,0,
IF(
AND(TYPE(VLOOKUP(1,$Z$12:Z373,1,0))=16,Первоначальный[[#This Row],[Досрочное погашение (да/"")]]=""),0,
_xlfn.IFS(AND(S372=0,Первоначальный[[#This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платеж]]&lt;&gt;0),MIN(LOOKUP(,-1/($Z$12:Z373=1),$C$12:C373)+LOOKUP(,-1/($Z$12:Z373=1),$H$12:H373),Первоначальный[[#This Row],[Полученный платеж]]+Y372),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платеж]]+Y372,SUM(Первоначальный[[#This Row],[Остаток процентов на начало периода]],Первоначальный[[#This Row],[Проценты за период]])),
AND(S372=0,Первоначальный[[#This Row],[Дата платежа из графика]]=""),0,
AND(S372=0,Первоначальный[[#This Row],[Дата платежа из графика]]=1,MAX((0&lt;&gt;S$12:S372)*ROW(S$12:S372),ROW($S$12))&gt;=MAX((1=Z$12:Z372)*ROW(Z$12:Z372),ROW($T$12)),TYPE(VLOOKUP("Да",(INDIRECT("AA"&amp;(MAX((1=Z$12:Z372)*ROW(Z$12:Z372),ROW($T$12))&amp;":AA"&amp;(ROW()-1)))),1,0))=16),MIN(LOOKUP(,-1/($Z$12:Z373=1),$C$12:C373)+LOOKUP(,-1/($Z$12:Z373=1),$H$12:H373),Первоначальный[[#This Row],[Полученный платеж]]+Y372),
AND(S372=0,TYPE(VLOOKUP("Да",(INDIRECT("AA"&amp;(MAX((1=Z$12:Z372)*ROW(Z$12:Z372),ROW($T$12))&amp;":AA"&amp;(ROW()-1)))),1,0))&lt;&gt;16),MIN(LOOKUP(,-1/($Z$12:Z373=1),$C$12:C373)+LOOKUP(,-1/($Z$12:Z373=1),$H$12:H373)-IF(AA372="Да",0,SUM(INDIRECT("T"&amp;(MAX(("Да"=AA$12:AA372)*ROW(AA$12:AA372)+1,ROW($T$12))&amp;":T"&amp;(ROW()-1))))),Первоначальный[[#This Row],[Полученный платеж]]+Y372),
AND(S372=0,MAX((0&lt;&gt;N$12:N372)*ROW(N$12:N372),ROW($S$12))&gt;=MAX((1=Z$12:Z372)*ROW(Z$12:Z372),ROW($T$12))),MIN(LOOKUP(,-1/($Z$12:Z373=1),$C$12:C373)+LOOKUP(,-1/($Z$12:Z373=1),$H$12:H373)-IF(N372&lt;&gt;0,0,SUM(INDIRECT("T"&amp;(MAX((0&lt;&gt;N$12:N372)*ROW(N$12:N372)+1,ROW($T$12))&amp;":T"&amp;(ROW()-1))))),Первоначальный[[#This Row],[Полученный платеж]]+Y372),
AND(S372=0,Первоначальный[[#This Row],[Дата платежа из графика]]=1),MIN(LOOKUP(,-1/($Z$12:Z373=1),$C$12:C373)+LOOKUP(,-1/($Z$12:Z373=1),$H$12:H373)-IF(Z372=1,0,SUM(INDIRECT("T"&amp;(MAX((1=Z$12:Z372)*ROW(Z$12:Z372)+1,ROW($T$12))&amp;":T"&amp;(ROW()-1))))),Первоначальный[[#This Row],[Полученный платеж]]+Y372),
AND(Z372&gt;0,Первоначальный[[#This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платеж]]+Y372),
AND(S372&gt;0,MAX((0&lt;&gt;S$12:S372)*ROW(S$12:S372),ROW($S$12))&gt;=MAX((1=Z$12:Z372)*ROW(Z$12:Z372),ROW($T$12)),TYPE(VLOOKUP("Да",(INDIRECT("AA"&amp;(MAX((1=Z$12:Z372)*ROW(Z$12:Z372),ROW($T$12))&amp;":AA"&amp;(ROW()-1)))),1,0))=16),MIN(LOOKUP(,-1/($Z$12:Z373=1),$C$12:C373)+LOOKUP(,-1/($Z$12:Z373=1),$H$12:H373)-SUM(INDIRECT("T"&amp;(MAX((1=Z$12:Z372)*ROW(Z$12:Z372),ROW($T$12))&amp;":T"&amp;(ROW()-1)))),Первоначальный[[#This Row],[Полученный платеж]]+Y372),
S372&gt;0,MIN(LOOKUP(,-1/($Z$12:Z373=1),$C$12:C373)+LOOKUP(,-1/($Z$12:Z373=1),$H$12:H373)-IF(Z372=1,0,SUM(INDIRECT("T"&amp;(MAX((1=Z$12:Z372)*ROW(Z$12:Z372)+1,ROW($T$12))&amp;":T"&amp;(ROW()-1))))),Первоначальный[[#This Row],[Полученный платеж]]+Y372)
)
)
)</f>
        <v>0</v>
      </c>
      <c r="U37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платеж]]+Y372-Первоначальный[[#This Row],[Полученный платёж по процентам]])</f>
        <v>0</v>
      </c>
      <c r="V373" s="55">
        <f t="shared" ca="1" si="61"/>
        <v>0</v>
      </c>
      <c r="W373" s="55" cm="1">
        <f t="array" aca="1" ref="W373" ca="1">IF(Первоначальный[[#This Row],[Итого остаток на начало периода]]&lt;1,0,
_xlfn.IFS(
AND(TYPE(VLOOKUP(1,$Z$12:Z373,1,0))=16,Первоначальный[[#This Row],[Досрочное погашение (да/"")]]=""),0,
AND(S372=0,Первоначальный[[#This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платеж]]+Y372-SUM(Первоначальный[[#This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комиссиям]]),VLOOKUP(LOOKUP(,-1/($Z$12:Z373=1),$A$12:A373),График[[Срок конец]:[Возврат основной суммы долга]],3,0)),
AND(S372=0,Первоначальный[[#This Row],[Дата платежа из графика]]="",Первоначальный[[#This Row],[Досрочное погашение (да/"")]]&lt;&gt;"Да"),0,
AND(S372=0,Первоначальный[[#This Row],[Досрочное погашение (да/"")]]=""),MIN(Первоначальный[[#This Row],[Полученный платеж]]+Y372-SUM(Первоначальный[[#This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комиссиям]]),VLOOKUP(LOOKUP(,-1/($Z$12:Z373=1),$A$12:A373),График[[Срок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платеж]]+Y372-SUM(Первоначальный[[#This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S372&gt;0,MIN(Первоначальный[[#This Row],[Полученный платеж]]+Y372-SUM(Первоначальный[[#This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комиссиям]]),SUM(INDIRECT("M"&amp;(MAX((1=S$12:S372)*ROW(S$12:S372),ROW($W$12))&amp;":M"&amp;(ROW()))))-SUM(INDIRECT("W"&amp;(MAX((1=S$12:S372)*ROW(S$12:S372),ROW($W$12))&amp;":W"&amp;(ROW()-1)))))
)
)</f>
        <v>0</v>
      </c>
      <c r="X373" s="55">
        <f t="shared" ca="1" si="62"/>
        <v>0</v>
      </c>
      <c r="Y373" s="101">
        <f t="shared" ca="1" si="69"/>
        <v>0</v>
      </c>
      <c r="Z373" s="133" t="str">
        <f>IF(TYPE((VLOOKUP(Первоначальный[[#This Row],[Дата платежа]],График[Срок конец],1,0)))=16,"",1)</f>
        <v/>
      </c>
      <c r="AA373" s="57"/>
      <c r="AB373" s="134"/>
      <c r="AC37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7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24052.84999999998</v>
      </c>
      <c r="AE37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326.75000000000091</v>
      </c>
      <c r="AF37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7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19348.557381967221</v>
      </c>
      <c r="AH373" s="55"/>
      <c r="AI373" s="55"/>
      <c r="AJ373" s="55"/>
      <c r="AK373" s="101">
        <f t="shared" ca="1" si="70"/>
        <v>193361.4973819672</v>
      </c>
      <c r="AL373" s="129">
        <f t="array" ref="AL373">MAX((УслРестрактов[Характеристика]="Дата реструктуризации")*(УслРестрактов[Значение]=Первоначальный!$A373),0)</f>
        <v>0</v>
      </c>
    </row>
    <row r="374" spans="1:38" x14ac:dyDescent="0.25">
      <c r="A374" s="97">
        <f t="shared" si="63"/>
        <v>44505</v>
      </c>
      <c r="B374" s="100">
        <f t="shared" ca="1" si="64"/>
        <v>149633.34</v>
      </c>
      <c r="C374" s="55">
        <f t="shared" ca="1" si="72"/>
        <v>24052.84999999998</v>
      </c>
      <c r="D374" s="55">
        <f t="shared" ca="1" si="72"/>
        <v>326.75000000000091</v>
      </c>
      <c r="E374" s="55">
        <f t="shared" ca="1" si="65"/>
        <v>0</v>
      </c>
      <c r="F374" s="55">
        <f t="shared" ca="1" si="66"/>
        <v>19348.557381967221</v>
      </c>
      <c r="G374" s="101">
        <f t="shared" ca="1" si="67"/>
        <v>193361.4973819672</v>
      </c>
      <c r="H374" s="100">
        <f ca="1">ROUND($B374*VLOOKUP($A374,$A$1:$B$10,2,1)/(365+IF(MOD(YEAR($A374),4),0,1)*($A374-$A373)),2)-Первоначальный[[#This Row],[Проценты на просроченный платеж по ОД за период]]</f>
        <v>79.36</v>
      </c>
      <c r="I374" s="55">
        <f t="shared" ca="1" si="68"/>
        <v>2.2200000000000002</v>
      </c>
      <c r="J374" s="55">
        <v>0</v>
      </c>
      <c r="K374" s="55">
        <f t="shared" ca="1" si="71"/>
        <v>130.29850327868854</v>
      </c>
      <c r="L374" s="55">
        <v>0</v>
      </c>
      <c r="M374" s="113">
        <f>SUMIFS(График[Возврат основной суммы долга],График[Дата с учетом нерабочих дней],$A374)</f>
        <v>0</v>
      </c>
      <c r="N374" s="56">
        <f>SUMIFS(График[Возврат начисленных %],График[Дата с учетом нерабочих дней],$A374)</f>
        <v>0</v>
      </c>
      <c r="O374" s="101">
        <v>0</v>
      </c>
      <c r="P374" s="100" cm="1">
        <f t="array" aca="1" ref="P374" ca="1">MAX(IF(AA373="Да",0,SUM(INDIRECT("M"&amp;(MAX(("Да"=AA$12:AA373)*ROW(AA$12:AA373)+1,ROW($P$12))&amp;":M"&amp;(ROW()))))-SUM(INDIRECT("W"&amp;(MAX(("Да"=AA$12:AA373)*ROW(AA$12:AA373)+1,ROW($P$12))&amp;":W"&amp;(ROW()))))),0)</f>
        <v>4071.5099999999998</v>
      </c>
      <c r="Q374" s="99">
        <f ca="1">MAX(SUM($N$13:N374)-SUM($T$13:T374),0)</f>
        <v>21988.190655737708</v>
      </c>
      <c r="R374" s="99">
        <f ca="1">Первоначальный[[#This Row],[Просроченный платеж по ОД]]+Первоначальный[[#This Row],[Просроченный платеж по процентам]]</f>
        <v>26059.700655737706</v>
      </c>
      <c r="S374" s="120">
        <f ca="1">IF(Первоначальный[[#This Row],[Просроченный платеж]]&lt;1,0,S373+1)</f>
        <v>270</v>
      </c>
      <c r="T374" s="100" cm="1">
        <f t="array" aca="1" ref="T374" ca="1">IF(Первоначальный[[#This Row],[Итого остаток на начало периода]]&lt;1,0,
IF(
AND(TYPE(VLOOKUP(1,$Z$12:Z374,1,0))=16,Первоначальный[[#This Row],[Досрочное погашение (да/"")]]=""),0,
_xlfn.IFS(AND(S373=0,Первоначальный[[#This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платеж]]&lt;&gt;0),MIN(LOOKUP(,-1/($Z$12:Z374=1),$C$12:C374)+LOOKUP(,-1/($Z$12:Z374=1),$H$12:H374),Первоначальный[[#This Row],[Полученный платеж]]+Y373),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платеж]]+Y373,SUM(Первоначальный[[#This Row],[Остаток процентов на начало периода]],Первоначальный[[#This Row],[Проценты за период]])),
AND(S373=0,Первоначальный[[#This Row],[Дата платежа из графика]]=""),0,
AND(S373=0,Первоначальный[[#This Row],[Дата платежа из графика]]=1,MAX((0&lt;&gt;S$12:S373)*ROW(S$12:S373),ROW($S$12))&gt;=MAX((1=Z$12:Z373)*ROW(Z$12:Z373),ROW($T$12)),TYPE(VLOOKUP("Да",(INDIRECT("AA"&amp;(MAX((1=Z$12:Z373)*ROW(Z$12:Z373),ROW($T$12))&amp;":AA"&amp;(ROW()-1)))),1,0))=16),MIN(LOOKUP(,-1/($Z$12:Z374=1),$C$12:C374)+LOOKUP(,-1/($Z$12:Z374=1),$H$12:H374),Первоначальный[[#This Row],[Полученный платеж]]+Y373),
AND(S373=0,TYPE(VLOOKUP("Да",(INDIRECT("AA"&amp;(MAX((1=Z$12:Z373)*ROW(Z$12:Z373),ROW($T$12))&amp;":AA"&amp;(ROW()-1)))),1,0))&lt;&gt;16),MIN(LOOKUP(,-1/($Z$12:Z374=1),$C$12:C374)+LOOKUP(,-1/($Z$12:Z374=1),$H$12:H374)-IF(AA373="Да",0,SUM(INDIRECT("T"&amp;(MAX(("Да"=AA$12:AA373)*ROW(AA$12:AA373)+1,ROW($T$12))&amp;":T"&amp;(ROW()-1))))),Первоначальный[[#This Row],[Полученный платеж]]+Y373),
AND(S373=0,MAX((0&lt;&gt;N$12:N373)*ROW(N$12:N373),ROW($S$12))&gt;=MAX((1=Z$12:Z373)*ROW(Z$12:Z373),ROW($T$12))),MIN(LOOKUP(,-1/($Z$12:Z374=1),$C$12:C374)+LOOKUP(,-1/($Z$12:Z374=1),$H$12:H374)-IF(N373&lt;&gt;0,0,SUM(INDIRECT("T"&amp;(MAX((0&lt;&gt;N$12:N373)*ROW(N$12:N373)+1,ROW($T$12))&amp;":T"&amp;(ROW()-1))))),Первоначальный[[#This Row],[Полученный платеж]]+Y373),
AND(S373=0,Первоначальный[[#This Row],[Дата платежа из графика]]=1),MIN(LOOKUP(,-1/($Z$12:Z374=1),$C$12:C374)+LOOKUP(,-1/($Z$12:Z374=1),$H$12:H374)-IF(Z373=1,0,SUM(INDIRECT("T"&amp;(MAX((1=Z$12:Z373)*ROW(Z$12:Z373)+1,ROW($T$12))&amp;":T"&amp;(ROW()-1))))),Первоначальный[[#This Row],[Полученный платеж]]+Y373),
AND(Z373&gt;0,Первоначальный[[#This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платеж]]+Y373),
AND(S373&gt;0,MAX((0&lt;&gt;S$12:S373)*ROW(S$12:S373),ROW($S$12))&gt;=MAX((1=Z$12:Z373)*ROW(Z$12:Z373),ROW($T$12)),TYPE(VLOOKUP("Да",(INDIRECT("AA"&amp;(MAX((1=Z$12:Z373)*ROW(Z$12:Z373),ROW($T$12))&amp;":AA"&amp;(ROW()-1)))),1,0))=16),MIN(LOOKUP(,-1/($Z$12:Z374=1),$C$12:C374)+LOOKUP(,-1/($Z$12:Z374=1),$H$12:H374)-SUM(INDIRECT("T"&amp;(MAX((1=Z$12:Z373)*ROW(Z$12:Z373),ROW($T$12))&amp;":T"&amp;(ROW()-1)))),Первоначальный[[#This Row],[Полученный платеж]]+Y373),
S373&gt;0,MIN(LOOKUP(,-1/($Z$12:Z374=1),$C$12:C374)+LOOKUP(,-1/($Z$12:Z374=1),$H$12:H374)-IF(Z373=1,0,SUM(INDIRECT("T"&amp;(MAX((1=Z$12:Z373)*ROW(Z$12:Z373)+1,ROW($T$12))&amp;":T"&amp;(ROW()-1))))),Первоначальный[[#This Row],[Полученный платеж]]+Y373)
)
)
)</f>
        <v>0</v>
      </c>
      <c r="U37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платеж]]+Y373-Первоначальный[[#This Row],[Полученный платёж по процентам]])</f>
        <v>0</v>
      </c>
      <c r="V374" s="55">
        <f t="shared" ca="1" si="61"/>
        <v>0</v>
      </c>
      <c r="W374" s="55" cm="1">
        <f t="array" aca="1" ref="W374" ca="1">IF(Первоначальный[[#This Row],[Итого остаток на начало периода]]&lt;1,0,
_xlfn.IFS(
AND(TYPE(VLOOKUP(1,$Z$12:Z374,1,0))=16,Первоначальный[[#This Row],[Досрочное погашение (да/"")]]=""),0,
AND(S373=0,Первоначальный[[#This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платеж]]+Y373-SUM(Первоначальный[[#This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комиссиям]]),VLOOKUP(LOOKUP(,-1/($Z$12:Z374=1),$A$12:A374),График[[Срок конец]:[Возврат основной суммы долга]],3,0)),
AND(S373=0,Первоначальный[[#This Row],[Дата платежа из графика]]="",Первоначальный[[#This Row],[Досрочное погашение (да/"")]]&lt;&gt;"Да"),0,
AND(S373=0,Первоначальный[[#This Row],[Досрочное погашение (да/"")]]=""),MIN(Первоначальный[[#This Row],[Полученный платеж]]+Y373-SUM(Первоначальный[[#This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комиссиям]]),VLOOKUP(LOOKUP(,-1/($Z$12:Z374=1),$A$12:A374),График[[Срок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платеж]]+Y373-SUM(Первоначальный[[#This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S373&gt;0,MIN(Первоначальный[[#This Row],[Полученный платеж]]+Y373-SUM(Первоначальный[[#This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комиссиям]]),SUM(INDIRECT("M"&amp;(MAX((1=S$12:S373)*ROW(S$12:S373),ROW($W$12))&amp;":M"&amp;(ROW()))))-SUM(INDIRECT("W"&amp;(MAX((1=S$12:S373)*ROW(S$12:S373),ROW($W$12))&amp;":W"&amp;(ROW()-1)))))
)
)</f>
        <v>0</v>
      </c>
      <c r="X374" s="55">
        <f t="shared" ca="1" si="62"/>
        <v>0</v>
      </c>
      <c r="Y374" s="101">
        <f t="shared" ca="1" si="69"/>
        <v>0</v>
      </c>
      <c r="Z374" s="133" t="str">
        <f>IF(TYPE((VLOOKUP(Первоначальный[[#This Row],[Дата платежа]],График[Срок конец],1,0)))=16,"",1)</f>
        <v/>
      </c>
      <c r="AA374" s="57"/>
      <c r="AB374" s="134"/>
      <c r="AC37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7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24132.209999999981</v>
      </c>
      <c r="AE37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328.97000000000094</v>
      </c>
      <c r="AF37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7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19478.85588524591</v>
      </c>
      <c r="AH374" s="55"/>
      <c r="AI374" s="55"/>
      <c r="AJ374" s="55"/>
      <c r="AK374" s="101">
        <f t="shared" ca="1" si="70"/>
        <v>193573.37588524591</v>
      </c>
      <c r="AL374" s="129">
        <f t="array" ref="AL374">MAX((УслРестрактов[Характеристика]="Дата реструктуризации")*(УслРестрактов[Значение]=Первоначальный!$A374),0)</f>
        <v>0</v>
      </c>
    </row>
    <row r="375" spans="1:38" x14ac:dyDescent="0.25">
      <c r="A375" s="97">
        <f t="shared" si="63"/>
        <v>44506</v>
      </c>
      <c r="B375" s="100">
        <f t="shared" ca="1" si="64"/>
        <v>149633.34</v>
      </c>
      <c r="C375" s="55">
        <f t="shared" ca="1" si="72"/>
        <v>24132.209999999981</v>
      </c>
      <c r="D375" s="55">
        <f t="shared" ca="1" si="72"/>
        <v>328.97000000000094</v>
      </c>
      <c r="E375" s="55">
        <f t="shared" ca="1" si="65"/>
        <v>0</v>
      </c>
      <c r="F375" s="55">
        <f t="shared" ca="1" si="66"/>
        <v>19478.85588524591</v>
      </c>
      <c r="G375" s="101">
        <f t="shared" ca="1" si="67"/>
        <v>193573.37588524591</v>
      </c>
      <c r="H375" s="100">
        <f ca="1">ROUND($B375*VLOOKUP($A375,$A$1:$B$10,2,1)/(365+IF(MOD(YEAR($A375),4),0,1)*($A375-$A374)),2)-Первоначальный[[#This Row],[Проценты на просроченный платеж по ОД за период]]</f>
        <v>79.36</v>
      </c>
      <c r="I375" s="55">
        <f t="shared" ca="1" si="68"/>
        <v>2.2200000000000002</v>
      </c>
      <c r="J375" s="55">
        <v>0</v>
      </c>
      <c r="K375" s="55">
        <f t="shared" ca="1" si="71"/>
        <v>130.29850327868854</v>
      </c>
      <c r="L375" s="55">
        <v>0</v>
      </c>
      <c r="M375" s="113">
        <f>SUMIFS(График[Возврат основной суммы долга],График[Дата с учетом нерабочих дней],$A375)</f>
        <v>0</v>
      </c>
      <c r="N375" s="56">
        <f>SUMIFS(График[Возврат начисленных %],График[Дата с учетом нерабочих дней],$A375)</f>
        <v>0</v>
      </c>
      <c r="O375" s="101">
        <v>0</v>
      </c>
      <c r="P375" s="100" cm="1">
        <f t="array" aca="1" ref="P375" ca="1">MAX(IF(AA374="Да",0,SUM(INDIRECT("M"&amp;(MAX(("Да"=AA$12:AA374)*ROW(AA$12:AA374)+1,ROW($P$12))&amp;":M"&amp;(ROW()))))-SUM(INDIRECT("W"&amp;(MAX(("Да"=AA$12:AA374)*ROW(AA$12:AA374)+1,ROW($P$12))&amp;":W"&amp;(ROW()))))),0)</f>
        <v>4071.5099999999998</v>
      </c>
      <c r="Q375" s="99">
        <f ca="1">MAX(SUM($N$13:N375)-SUM($T$13:T375),0)</f>
        <v>21988.190655737708</v>
      </c>
      <c r="R375" s="99">
        <f ca="1">Первоначальный[[#This Row],[Просроченный платеж по ОД]]+Первоначальный[[#This Row],[Просроченный платеж по процентам]]</f>
        <v>26059.700655737706</v>
      </c>
      <c r="S375" s="120">
        <f ca="1">IF(Первоначальный[[#This Row],[Просроченный платеж]]&lt;1,0,S374+1)</f>
        <v>271</v>
      </c>
      <c r="T375" s="100" cm="1">
        <f t="array" aca="1" ref="T375" ca="1">IF(Первоначальный[[#This Row],[Итого остаток на начало периода]]&lt;1,0,
IF(
AND(TYPE(VLOOKUP(1,$Z$12:Z375,1,0))=16,Первоначальный[[#This Row],[Досрочное погашение (да/"")]]=""),0,
_xlfn.IFS(AND(S374=0,Первоначальный[[#This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платеж]]&lt;&gt;0),MIN(LOOKUP(,-1/($Z$12:Z375=1),$C$12:C375)+LOOKUP(,-1/($Z$12:Z375=1),$H$12:H375),Первоначальный[[#This Row],[Полученный платеж]]+Y374),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платеж]]+Y374,SUM(Первоначальный[[#This Row],[Остаток процентов на начало периода]],Первоначальный[[#This Row],[Проценты за период]])),
AND(S374=0,Первоначальный[[#This Row],[Дата платежа из графика]]=""),0,
AND(S374=0,Первоначальный[[#This Row],[Дата платежа из графика]]=1,MAX((0&lt;&gt;S$12:S374)*ROW(S$12:S374),ROW($S$12))&gt;=MAX((1=Z$12:Z374)*ROW(Z$12:Z374),ROW($T$12)),TYPE(VLOOKUP("Да",(INDIRECT("AA"&amp;(MAX((1=Z$12:Z374)*ROW(Z$12:Z374),ROW($T$12))&amp;":AA"&amp;(ROW()-1)))),1,0))=16),MIN(LOOKUP(,-1/($Z$12:Z375=1),$C$12:C375)+LOOKUP(,-1/($Z$12:Z375=1),$H$12:H375),Первоначальный[[#This Row],[Полученный платеж]]+Y374),
AND(S374=0,TYPE(VLOOKUP("Да",(INDIRECT("AA"&amp;(MAX((1=Z$12:Z374)*ROW(Z$12:Z374),ROW($T$12))&amp;":AA"&amp;(ROW()-1)))),1,0))&lt;&gt;16),MIN(LOOKUP(,-1/($Z$12:Z375=1),$C$12:C375)+LOOKUP(,-1/($Z$12:Z375=1),$H$12:H375)-IF(AA374="Да",0,SUM(INDIRECT("T"&amp;(MAX(("Да"=AA$12:AA374)*ROW(AA$12:AA374)+1,ROW($T$12))&amp;":T"&amp;(ROW()-1))))),Первоначальный[[#This Row],[Полученный платеж]]+Y374),
AND(S374=0,MAX((0&lt;&gt;N$12:N374)*ROW(N$12:N374),ROW($S$12))&gt;=MAX((1=Z$12:Z374)*ROW(Z$12:Z374),ROW($T$12))),MIN(LOOKUP(,-1/($Z$12:Z375=1),$C$12:C375)+LOOKUP(,-1/($Z$12:Z375=1),$H$12:H375)-IF(N374&lt;&gt;0,0,SUM(INDIRECT("T"&amp;(MAX((0&lt;&gt;N$12:N374)*ROW(N$12:N374)+1,ROW($T$12))&amp;":T"&amp;(ROW()-1))))),Первоначальный[[#This Row],[Полученный платеж]]+Y374),
AND(S374=0,Первоначальный[[#This Row],[Дата платежа из графика]]=1),MIN(LOOKUP(,-1/($Z$12:Z375=1),$C$12:C375)+LOOKUP(,-1/($Z$12:Z375=1),$H$12:H375)-IF(Z374=1,0,SUM(INDIRECT("T"&amp;(MAX((1=Z$12:Z374)*ROW(Z$12:Z374)+1,ROW($T$12))&amp;":T"&amp;(ROW()-1))))),Первоначальный[[#This Row],[Полученный платеж]]+Y374),
AND(Z374&gt;0,Первоначальный[[#This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платеж]]+Y374),
AND(S374&gt;0,MAX((0&lt;&gt;S$12:S374)*ROW(S$12:S374),ROW($S$12))&gt;=MAX((1=Z$12:Z374)*ROW(Z$12:Z374),ROW($T$12)),TYPE(VLOOKUP("Да",(INDIRECT("AA"&amp;(MAX((1=Z$12:Z374)*ROW(Z$12:Z374),ROW($T$12))&amp;":AA"&amp;(ROW()-1)))),1,0))=16),MIN(LOOKUP(,-1/($Z$12:Z375=1),$C$12:C375)+LOOKUP(,-1/($Z$12:Z375=1),$H$12:H375)-SUM(INDIRECT("T"&amp;(MAX((1=Z$12:Z374)*ROW(Z$12:Z374),ROW($T$12))&amp;":T"&amp;(ROW()-1)))),Первоначальный[[#This Row],[Полученный платеж]]+Y374),
S374&gt;0,MIN(LOOKUP(,-1/($Z$12:Z375=1),$C$12:C375)+LOOKUP(,-1/($Z$12:Z375=1),$H$12:H375)-IF(Z374=1,0,SUM(INDIRECT("T"&amp;(MAX((1=Z$12:Z374)*ROW(Z$12:Z374)+1,ROW($T$12))&amp;":T"&amp;(ROW()-1))))),Первоначальный[[#This Row],[Полученный платеж]]+Y374)
)
)
)</f>
        <v>0</v>
      </c>
      <c r="U37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платеж]]+Y374-Первоначальный[[#This Row],[Полученный платёж по процентам]])</f>
        <v>0</v>
      </c>
      <c r="V375" s="55">
        <f t="shared" ca="1" si="61"/>
        <v>0</v>
      </c>
      <c r="W375" s="55" cm="1">
        <f t="array" aca="1" ref="W375" ca="1">IF(Первоначальный[[#This Row],[Итого остаток на начало периода]]&lt;1,0,
_xlfn.IFS(
AND(TYPE(VLOOKUP(1,$Z$12:Z375,1,0))=16,Первоначальный[[#This Row],[Досрочное погашение (да/"")]]=""),0,
AND(S374=0,Первоначальный[[#This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платеж]]+Y374-SUM(Первоначальный[[#This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комиссиям]]),VLOOKUP(LOOKUP(,-1/($Z$12:Z375=1),$A$12:A375),График[[Срок конец]:[Возврат основной суммы долга]],3,0)),
AND(S374=0,Первоначальный[[#This Row],[Дата платежа из графика]]="",Первоначальный[[#This Row],[Досрочное погашение (да/"")]]&lt;&gt;"Да"),0,
AND(S374=0,Первоначальный[[#This Row],[Досрочное погашение (да/"")]]=""),MIN(Первоначальный[[#This Row],[Полученный платеж]]+Y374-SUM(Первоначальный[[#This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комиссиям]]),VLOOKUP(LOOKUP(,-1/($Z$12:Z375=1),$A$12:A375),График[[Срок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платеж]]+Y374-SUM(Первоначальный[[#This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S374&gt;0,MIN(Первоначальный[[#This Row],[Полученный платеж]]+Y374-SUM(Первоначальный[[#This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комиссиям]]),SUM(INDIRECT("M"&amp;(MAX((1=S$12:S374)*ROW(S$12:S374),ROW($W$12))&amp;":M"&amp;(ROW()))))-SUM(INDIRECT("W"&amp;(MAX((1=S$12:S374)*ROW(S$12:S374),ROW($W$12))&amp;":W"&amp;(ROW()-1)))))
)
)</f>
        <v>0</v>
      </c>
      <c r="X375" s="55">
        <f t="shared" ca="1" si="62"/>
        <v>0</v>
      </c>
      <c r="Y375" s="101">
        <f t="shared" ca="1" si="69"/>
        <v>0</v>
      </c>
      <c r="Z375" s="133" t="str">
        <f>IF(TYPE((VLOOKUP(Первоначальный[[#This Row],[Дата платежа]],График[Срок конец],1,0)))=16,"",1)</f>
        <v/>
      </c>
      <c r="AA375" s="57"/>
      <c r="AB375" s="134"/>
      <c r="AC37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7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24211.569999999982</v>
      </c>
      <c r="AE37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331.19000000000096</v>
      </c>
      <c r="AF37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7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19609.154388524599</v>
      </c>
      <c r="AH375" s="55"/>
      <c r="AI375" s="55"/>
      <c r="AJ375" s="55"/>
      <c r="AK375" s="101">
        <f t="shared" ca="1" si="70"/>
        <v>193785.25438852457</v>
      </c>
      <c r="AL375" s="129">
        <f t="array" ref="AL375">MAX((УслРестрактов[Характеристика]="Дата реструктуризации")*(УслРестрактов[Значение]=Первоначальный!$A375),0)</f>
        <v>0</v>
      </c>
    </row>
    <row r="376" spans="1:38" x14ac:dyDescent="0.25">
      <c r="A376" s="97">
        <f t="shared" si="63"/>
        <v>44507</v>
      </c>
      <c r="B376" s="100">
        <f t="shared" ca="1" si="64"/>
        <v>149633.34</v>
      </c>
      <c r="C376" s="55">
        <f t="shared" ca="1" si="72"/>
        <v>24211.569999999982</v>
      </c>
      <c r="D376" s="55">
        <f t="shared" ca="1" si="72"/>
        <v>331.19000000000096</v>
      </c>
      <c r="E376" s="55">
        <f t="shared" ca="1" si="65"/>
        <v>0</v>
      </c>
      <c r="F376" s="55">
        <f t="shared" ca="1" si="66"/>
        <v>19609.154388524599</v>
      </c>
      <c r="G376" s="101">
        <f t="shared" ca="1" si="67"/>
        <v>193785.25438852457</v>
      </c>
      <c r="H376" s="100">
        <f ca="1">ROUND($B376*VLOOKUP($A376,$A$1:$B$10,2,1)/(365+IF(MOD(YEAR($A376),4),0,1)*($A376-$A375)),2)-Первоначальный[[#This Row],[Проценты на просроченный платеж по ОД за период]]</f>
        <v>79.36</v>
      </c>
      <c r="I376" s="55">
        <f t="shared" ca="1" si="68"/>
        <v>2.2200000000000002</v>
      </c>
      <c r="J376" s="55">
        <v>0</v>
      </c>
      <c r="K376" s="55">
        <f t="shared" ca="1" si="71"/>
        <v>130.29850327868854</v>
      </c>
      <c r="L376" s="55">
        <v>0</v>
      </c>
      <c r="M376" s="113">
        <f>SUMIFS(График[Возврат основной суммы долга],График[Дата с учетом нерабочих дней],$A376)</f>
        <v>0</v>
      </c>
      <c r="N376" s="56">
        <f>SUMIFS(График[Возврат начисленных %],График[Дата с учетом нерабочих дней],$A376)</f>
        <v>0</v>
      </c>
      <c r="O376" s="101">
        <v>0</v>
      </c>
      <c r="P376" s="100" cm="1">
        <f t="array" aca="1" ref="P376" ca="1">MAX(IF(AA375="Да",0,SUM(INDIRECT("M"&amp;(MAX(("Да"=AA$12:AA375)*ROW(AA$12:AA375)+1,ROW($P$12))&amp;":M"&amp;(ROW()))))-SUM(INDIRECT("W"&amp;(MAX(("Да"=AA$12:AA375)*ROW(AA$12:AA375)+1,ROW($P$12))&amp;":W"&amp;(ROW()))))),0)</f>
        <v>4071.5099999999998</v>
      </c>
      <c r="Q376" s="99">
        <f ca="1">MAX(SUM($N$13:N376)-SUM($T$13:T376),0)</f>
        <v>21988.190655737708</v>
      </c>
      <c r="R376" s="99">
        <f ca="1">Первоначальный[[#This Row],[Просроченный платеж по ОД]]+Первоначальный[[#This Row],[Просроченный платеж по процентам]]</f>
        <v>26059.700655737706</v>
      </c>
      <c r="S376" s="120">
        <f ca="1">IF(Первоначальный[[#This Row],[Просроченный платеж]]&lt;1,0,S375+1)</f>
        <v>272</v>
      </c>
      <c r="T376" s="100" cm="1">
        <f t="array" aca="1" ref="T376" ca="1">IF(Первоначальный[[#This Row],[Итого остаток на начало периода]]&lt;1,0,
IF(
AND(TYPE(VLOOKUP(1,$Z$12:Z376,1,0))=16,Первоначальный[[#This Row],[Досрочное погашение (да/"")]]=""),0,
_xlfn.IFS(AND(S375=0,Первоначальный[[#This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платеж]]&lt;&gt;0),MIN(LOOKUP(,-1/($Z$12:Z376=1),$C$12:C376)+LOOKUP(,-1/($Z$12:Z376=1),$H$12:H376),Первоначальный[[#This Row],[Полученный платеж]]+Y375),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платеж]]+Y375,SUM(Первоначальный[[#This Row],[Остаток процентов на начало периода]],Первоначальный[[#This Row],[Проценты за период]])),
AND(S375=0,Первоначальный[[#This Row],[Дата платежа из графика]]=""),0,
AND(S375=0,Первоначальный[[#This Row],[Дата платежа из графика]]=1,MAX((0&lt;&gt;S$12:S375)*ROW(S$12:S375),ROW($S$12))&gt;=MAX((1=Z$12:Z375)*ROW(Z$12:Z375),ROW($T$12)),TYPE(VLOOKUP("Да",(INDIRECT("AA"&amp;(MAX((1=Z$12:Z375)*ROW(Z$12:Z375),ROW($T$12))&amp;":AA"&amp;(ROW()-1)))),1,0))=16),MIN(LOOKUP(,-1/($Z$12:Z376=1),$C$12:C376)+LOOKUP(,-1/($Z$12:Z376=1),$H$12:H376),Первоначальный[[#This Row],[Полученный платеж]]+Y375),
AND(S375=0,TYPE(VLOOKUP("Да",(INDIRECT("AA"&amp;(MAX((1=Z$12:Z375)*ROW(Z$12:Z375),ROW($T$12))&amp;":AA"&amp;(ROW()-1)))),1,0))&lt;&gt;16),MIN(LOOKUP(,-1/($Z$12:Z376=1),$C$12:C376)+LOOKUP(,-1/($Z$12:Z376=1),$H$12:H376)-IF(AA375="Да",0,SUM(INDIRECT("T"&amp;(MAX(("Да"=AA$12:AA375)*ROW(AA$12:AA375)+1,ROW($T$12))&amp;":T"&amp;(ROW()-1))))),Первоначальный[[#This Row],[Полученный платеж]]+Y375),
AND(S375=0,MAX((0&lt;&gt;N$12:N375)*ROW(N$12:N375),ROW($S$12))&gt;=MAX((1=Z$12:Z375)*ROW(Z$12:Z375),ROW($T$12))),MIN(LOOKUP(,-1/($Z$12:Z376=1),$C$12:C376)+LOOKUP(,-1/($Z$12:Z376=1),$H$12:H376)-IF(N375&lt;&gt;0,0,SUM(INDIRECT("T"&amp;(MAX((0&lt;&gt;N$12:N375)*ROW(N$12:N375)+1,ROW($T$12))&amp;":T"&amp;(ROW()-1))))),Первоначальный[[#This Row],[Полученный платеж]]+Y375),
AND(S375=0,Первоначальный[[#This Row],[Дата платежа из графика]]=1),MIN(LOOKUP(,-1/($Z$12:Z376=1),$C$12:C376)+LOOKUP(,-1/($Z$12:Z376=1),$H$12:H376)-IF(Z375=1,0,SUM(INDIRECT("T"&amp;(MAX((1=Z$12:Z375)*ROW(Z$12:Z375)+1,ROW($T$12))&amp;":T"&amp;(ROW()-1))))),Первоначальный[[#This Row],[Полученный платеж]]+Y375),
AND(Z375&gt;0,Первоначальный[[#This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платеж]]+Y375),
AND(S375&gt;0,MAX((0&lt;&gt;S$12:S375)*ROW(S$12:S375),ROW($S$12))&gt;=MAX((1=Z$12:Z375)*ROW(Z$12:Z375),ROW($T$12)),TYPE(VLOOKUP("Да",(INDIRECT("AA"&amp;(MAX((1=Z$12:Z375)*ROW(Z$12:Z375),ROW($T$12))&amp;":AA"&amp;(ROW()-1)))),1,0))=16),MIN(LOOKUP(,-1/($Z$12:Z376=1),$C$12:C376)+LOOKUP(,-1/($Z$12:Z376=1),$H$12:H376)-SUM(INDIRECT("T"&amp;(MAX((1=Z$12:Z375)*ROW(Z$12:Z375),ROW($T$12))&amp;":T"&amp;(ROW()-1)))),Первоначальный[[#This Row],[Полученный платеж]]+Y375),
S375&gt;0,MIN(LOOKUP(,-1/($Z$12:Z376=1),$C$12:C376)+LOOKUP(,-1/($Z$12:Z376=1),$H$12:H376)-IF(Z375=1,0,SUM(INDIRECT("T"&amp;(MAX((1=Z$12:Z375)*ROW(Z$12:Z375)+1,ROW($T$12))&amp;":T"&amp;(ROW()-1))))),Первоначальный[[#This Row],[Полученный платеж]]+Y375)
)
)
)</f>
        <v>0</v>
      </c>
      <c r="U37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платеж]]+Y375-Первоначальный[[#This Row],[Полученный платёж по процентам]])</f>
        <v>0</v>
      </c>
      <c r="V376" s="55">
        <f t="shared" ca="1" si="61"/>
        <v>0</v>
      </c>
      <c r="W376" s="55" cm="1">
        <f t="array" aca="1" ref="W376" ca="1">IF(Первоначальный[[#This Row],[Итого остаток на начало периода]]&lt;1,0,
_xlfn.IFS(
AND(TYPE(VLOOKUP(1,$Z$12:Z376,1,0))=16,Первоначальный[[#This Row],[Досрочное погашение (да/"")]]=""),0,
AND(S375=0,Первоначальный[[#This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платеж]]+Y375-SUM(Первоначальный[[#This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комиссиям]]),VLOOKUP(LOOKUP(,-1/($Z$12:Z376=1),$A$12:A376),График[[Срок конец]:[Возврат основной суммы долга]],3,0)),
AND(S375=0,Первоначальный[[#This Row],[Дата платежа из графика]]="",Первоначальный[[#This Row],[Досрочное погашение (да/"")]]&lt;&gt;"Да"),0,
AND(S375=0,Первоначальный[[#This Row],[Досрочное погашение (да/"")]]=""),MIN(Первоначальный[[#This Row],[Полученный платеж]]+Y375-SUM(Первоначальный[[#This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комиссиям]]),VLOOKUP(LOOKUP(,-1/($Z$12:Z376=1),$A$12:A376),График[[Срок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платеж]]+Y375-SUM(Первоначальный[[#This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S375&gt;0,MIN(Первоначальный[[#This Row],[Полученный платеж]]+Y375-SUM(Первоначальный[[#This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комиссиям]]),SUM(INDIRECT("M"&amp;(MAX((1=S$12:S375)*ROW(S$12:S375),ROW($W$12))&amp;":M"&amp;(ROW()))))-SUM(INDIRECT("W"&amp;(MAX((1=S$12:S375)*ROW(S$12:S375),ROW($W$12))&amp;":W"&amp;(ROW()-1)))))
)
)</f>
        <v>0</v>
      </c>
      <c r="X376" s="55">
        <f t="shared" ca="1" si="62"/>
        <v>0</v>
      </c>
      <c r="Y376" s="101">
        <f t="shared" ca="1" si="69"/>
        <v>0</v>
      </c>
      <c r="Z376" s="133" t="str">
        <f>IF(TYPE((VLOOKUP(Первоначальный[[#This Row],[Дата платежа]],График[Срок конец],1,0)))=16,"",1)</f>
        <v/>
      </c>
      <c r="AA376" s="57"/>
      <c r="AB376" s="134"/>
      <c r="AC37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7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24290.929999999982</v>
      </c>
      <c r="AE37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333.41000000000099</v>
      </c>
      <c r="AF37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7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19739.452891803288</v>
      </c>
      <c r="AH376" s="55"/>
      <c r="AI376" s="55"/>
      <c r="AJ376" s="55"/>
      <c r="AK376" s="101">
        <f t="shared" ca="1" si="70"/>
        <v>193997.13289180328</v>
      </c>
      <c r="AL376" s="129">
        <f t="array" ref="AL376">MAX((УслРестрактов[Характеристика]="Дата реструктуризации")*(УслРестрактов[Значение]=Первоначальный!$A376),0)</f>
        <v>0</v>
      </c>
    </row>
    <row r="377" spans="1:38" x14ac:dyDescent="0.25">
      <c r="A377" s="97">
        <f t="shared" si="63"/>
        <v>44508</v>
      </c>
      <c r="B377" s="100">
        <f t="shared" ca="1" si="64"/>
        <v>149633.34</v>
      </c>
      <c r="C377" s="55">
        <f t="shared" ca="1" si="72"/>
        <v>24290.929999999982</v>
      </c>
      <c r="D377" s="55">
        <f t="shared" ca="1" si="72"/>
        <v>333.41000000000099</v>
      </c>
      <c r="E377" s="55">
        <f t="shared" ca="1" si="65"/>
        <v>0</v>
      </c>
      <c r="F377" s="55">
        <f t="shared" ca="1" si="66"/>
        <v>19739.452891803288</v>
      </c>
      <c r="G377" s="101">
        <f t="shared" ca="1" si="67"/>
        <v>193997.13289180328</v>
      </c>
      <c r="H377" s="100">
        <f ca="1">ROUND($B377*VLOOKUP($A377,$A$1:$B$10,2,1)/(365+IF(MOD(YEAR($A377),4),0,1)*($A377-$A376)),2)-Первоначальный[[#This Row],[Проценты на просроченный платеж по ОД за период]]</f>
        <v>79.36</v>
      </c>
      <c r="I377" s="55">
        <f t="shared" ca="1" si="68"/>
        <v>2.2200000000000002</v>
      </c>
      <c r="J377" s="55">
        <v>0</v>
      </c>
      <c r="K377" s="55">
        <f t="shared" ca="1" si="71"/>
        <v>130.29850327868854</v>
      </c>
      <c r="L377" s="55">
        <v>0</v>
      </c>
      <c r="M377" s="113">
        <f>SUMIFS(График[Возврат основной суммы долга],График[Дата с учетом нерабочих дней],$A377)</f>
        <v>0</v>
      </c>
      <c r="N377" s="56">
        <f>SUMIFS(График[Возврат начисленных %],График[Дата с учетом нерабочих дней],$A377)</f>
        <v>0</v>
      </c>
      <c r="O377" s="101">
        <v>0</v>
      </c>
      <c r="P377" s="100" cm="1">
        <f t="array" aca="1" ref="P377" ca="1">MAX(IF(AA376="Да",0,SUM(INDIRECT("M"&amp;(MAX(("Да"=AA$12:AA376)*ROW(AA$12:AA376)+1,ROW($P$12))&amp;":M"&amp;(ROW()))))-SUM(INDIRECT("W"&amp;(MAX(("Да"=AA$12:AA376)*ROW(AA$12:AA376)+1,ROW($P$12))&amp;":W"&amp;(ROW()))))),0)</f>
        <v>4071.5099999999998</v>
      </c>
      <c r="Q377" s="99">
        <f ca="1">MAX(SUM($N$13:N377)-SUM($T$13:T377),0)</f>
        <v>21988.190655737708</v>
      </c>
      <c r="R377" s="99">
        <f ca="1">Первоначальный[[#This Row],[Просроченный платеж по ОД]]+Первоначальный[[#This Row],[Просроченный платеж по процентам]]</f>
        <v>26059.700655737706</v>
      </c>
      <c r="S377" s="120">
        <f ca="1">IF(Первоначальный[[#This Row],[Просроченный платеж]]&lt;1,0,S376+1)</f>
        <v>273</v>
      </c>
      <c r="T377" s="100" cm="1">
        <f t="array" aca="1" ref="T377" ca="1">IF(Первоначальный[[#This Row],[Итого остаток на начало периода]]&lt;1,0,
IF(
AND(TYPE(VLOOKUP(1,$Z$12:Z377,1,0))=16,Первоначальный[[#This Row],[Досрочное погашение (да/"")]]=""),0,
_xlfn.IFS(AND(S376=0,Первоначальный[[#This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платеж]]&lt;&gt;0),MIN(LOOKUP(,-1/($Z$12:Z377=1),$C$12:C377)+LOOKUP(,-1/($Z$12:Z377=1),$H$12:H377),Первоначальный[[#This Row],[Полученный платеж]]+Y376),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платеж]]+Y376,SUM(Первоначальный[[#This Row],[Остаток процентов на начало периода]],Первоначальный[[#This Row],[Проценты за период]])),
AND(S376=0,Первоначальный[[#This Row],[Дата платежа из графика]]=""),0,
AND(S376=0,Первоначальный[[#This Row],[Дата платежа из графика]]=1,MAX((0&lt;&gt;S$12:S376)*ROW(S$12:S376),ROW($S$12))&gt;=MAX((1=Z$12:Z376)*ROW(Z$12:Z376),ROW($T$12)),TYPE(VLOOKUP("Да",(INDIRECT("AA"&amp;(MAX((1=Z$12:Z376)*ROW(Z$12:Z376),ROW($T$12))&amp;":AA"&amp;(ROW()-1)))),1,0))=16),MIN(LOOKUP(,-1/($Z$12:Z377=1),$C$12:C377)+LOOKUP(,-1/($Z$12:Z377=1),$H$12:H377),Первоначальный[[#This Row],[Полученный платеж]]+Y376),
AND(S376=0,TYPE(VLOOKUP("Да",(INDIRECT("AA"&amp;(MAX((1=Z$12:Z376)*ROW(Z$12:Z376),ROW($T$12))&amp;":AA"&amp;(ROW()-1)))),1,0))&lt;&gt;16),MIN(LOOKUP(,-1/($Z$12:Z377=1),$C$12:C377)+LOOKUP(,-1/($Z$12:Z377=1),$H$12:H377)-IF(AA376="Да",0,SUM(INDIRECT("T"&amp;(MAX(("Да"=AA$12:AA376)*ROW(AA$12:AA376)+1,ROW($T$12))&amp;":T"&amp;(ROW()-1))))),Первоначальный[[#This Row],[Полученный платеж]]+Y376),
AND(S376=0,MAX((0&lt;&gt;N$12:N376)*ROW(N$12:N376),ROW($S$12))&gt;=MAX((1=Z$12:Z376)*ROW(Z$12:Z376),ROW($T$12))),MIN(LOOKUP(,-1/($Z$12:Z377=1),$C$12:C377)+LOOKUP(,-1/($Z$12:Z377=1),$H$12:H377)-IF(N376&lt;&gt;0,0,SUM(INDIRECT("T"&amp;(MAX((0&lt;&gt;N$12:N376)*ROW(N$12:N376)+1,ROW($T$12))&amp;":T"&amp;(ROW()-1))))),Первоначальный[[#This Row],[Полученный платеж]]+Y376),
AND(S376=0,Первоначальный[[#This Row],[Дата платежа из графика]]=1),MIN(LOOKUP(,-1/($Z$12:Z377=1),$C$12:C377)+LOOKUP(,-1/($Z$12:Z377=1),$H$12:H377)-IF(Z376=1,0,SUM(INDIRECT("T"&amp;(MAX((1=Z$12:Z376)*ROW(Z$12:Z376)+1,ROW($T$12))&amp;":T"&amp;(ROW()-1))))),Первоначальный[[#This Row],[Полученный платеж]]+Y376),
AND(Z376&gt;0,Первоначальный[[#This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платеж]]+Y376),
AND(S376&gt;0,MAX((0&lt;&gt;S$12:S376)*ROW(S$12:S376),ROW($S$12))&gt;=MAX((1=Z$12:Z376)*ROW(Z$12:Z376),ROW($T$12)),TYPE(VLOOKUP("Да",(INDIRECT("AA"&amp;(MAX((1=Z$12:Z376)*ROW(Z$12:Z376),ROW($T$12))&amp;":AA"&amp;(ROW()-1)))),1,0))=16),MIN(LOOKUP(,-1/($Z$12:Z377=1),$C$12:C377)+LOOKUP(,-1/($Z$12:Z377=1),$H$12:H377)-SUM(INDIRECT("T"&amp;(MAX((1=Z$12:Z376)*ROW(Z$12:Z376),ROW($T$12))&amp;":T"&amp;(ROW()-1)))),Первоначальный[[#This Row],[Полученный платеж]]+Y376),
S376&gt;0,MIN(LOOKUP(,-1/($Z$12:Z377=1),$C$12:C377)+LOOKUP(,-1/($Z$12:Z377=1),$H$12:H377)-IF(Z376=1,0,SUM(INDIRECT("T"&amp;(MAX((1=Z$12:Z376)*ROW(Z$12:Z376)+1,ROW($T$12))&amp;":T"&amp;(ROW()-1))))),Первоначальный[[#This Row],[Полученный платеж]]+Y376)
)
)
)</f>
        <v>0</v>
      </c>
      <c r="U37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платеж]]+Y376-Первоначальный[[#This Row],[Полученный платёж по процентам]])</f>
        <v>0</v>
      </c>
      <c r="V377" s="55">
        <f t="shared" ca="1" si="61"/>
        <v>0</v>
      </c>
      <c r="W377" s="55" cm="1">
        <f t="array" aca="1" ref="W377" ca="1">IF(Первоначальный[[#This Row],[Итого остаток на начало периода]]&lt;1,0,
_xlfn.IFS(
AND(TYPE(VLOOKUP(1,$Z$12:Z377,1,0))=16,Первоначальный[[#This Row],[Досрочное погашение (да/"")]]=""),0,
AND(S376=0,Первоначальный[[#This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платеж]]+Y376-SUM(Первоначальный[[#This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комиссиям]]),VLOOKUP(LOOKUP(,-1/($Z$12:Z377=1),$A$12:A377),График[[Срок конец]:[Возврат основной суммы долга]],3,0)),
AND(S376=0,Первоначальный[[#This Row],[Дата платежа из графика]]="",Первоначальный[[#This Row],[Досрочное погашение (да/"")]]&lt;&gt;"Да"),0,
AND(S376=0,Первоначальный[[#This Row],[Досрочное погашение (да/"")]]=""),MIN(Первоначальный[[#This Row],[Полученный платеж]]+Y376-SUM(Первоначальный[[#This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комиссиям]]),VLOOKUP(LOOKUP(,-1/($Z$12:Z377=1),$A$12:A377),График[[Срок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платеж]]+Y376-SUM(Первоначальный[[#This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S376&gt;0,MIN(Первоначальный[[#This Row],[Полученный платеж]]+Y376-SUM(Первоначальный[[#This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комиссиям]]),SUM(INDIRECT("M"&amp;(MAX((1=S$12:S376)*ROW(S$12:S376),ROW($W$12))&amp;":M"&amp;(ROW()))))-SUM(INDIRECT("W"&amp;(MAX((1=S$12:S376)*ROW(S$12:S376),ROW($W$12))&amp;":W"&amp;(ROW()-1)))))
)
)</f>
        <v>0</v>
      </c>
      <c r="X377" s="55">
        <f t="shared" ca="1" si="62"/>
        <v>0</v>
      </c>
      <c r="Y377" s="101">
        <f t="shared" ca="1" si="69"/>
        <v>0</v>
      </c>
      <c r="Z377" s="133" t="str">
        <f>IF(TYPE((VLOOKUP(Первоначальный[[#This Row],[Дата платежа]],График[Срок конец],1,0)))=16,"",1)</f>
        <v/>
      </c>
      <c r="AA377" s="57"/>
      <c r="AB377" s="134"/>
      <c r="AC37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7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24370.289999999983</v>
      </c>
      <c r="AE37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335.63000000000102</v>
      </c>
      <c r="AF37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7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19869.751395081978</v>
      </c>
      <c r="AH377" s="55"/>
      <c r="AI377" s="55"/>
      <c r="AJ377" s="55"/>
      <c r="AK377" s="101">
        <f t="shared" ca="1" si="70"/>
        <v>194209.01139508197</v>
      </c>
      <c r="AL377" s="129">
        <f t="array" ref="AL377">MAX((УслРестрактов[Характеристика]="Дата реструктуризации")*(УслРестрактов[Значение]=Первоначальный!$A377),0)</f>
        <v>0</v>
      </c>
    </row>
    <row r="378" spans="1:38" x14ac:dyDescent="0.25">
      <c r="A378" s="97">
        <f t="shared" si="63"/>
        <v>44509</v>
      </c>
      <c r="B378" s="100">
        <f t="shared" ca="1" si="64"/>
        <v>149633.34</v>
      </c>
      <c r="C378" s="55">
        <f t="shared" ca="1" si="72"/>
        <v>24370.289999999983</v>
      </c>
      <c r="D378" s="55">
        <f t="shared" ca="1" si="72"/>
        <v>335.63000000000102</v>
      </c>
      <c r="E378" s="55">
        <f t="shared" ca="1" si="65"/>
        <v>0</v>
      </c>
      <c r="F378" s="55">
        <f t="shared" ca="1" si="66"/>
        <v>19869.751395081978</v>
      </c>
      <c r="G378" s="101">
        <f t="shared" ca="1" si="67"/>
        <v>194209.01139508197</v>
      </c>
      <c r="H378" s="100">
        <f ca="1">ROUND($B378*VLOOKUP($A378,$A$1:$B$10,2,1)/(365+IF(MOD(YEAR($A378),4),0,1)*($A378-$A377)),2)-Первоначальный[[#This Row],[Проценты на просроченный платеж по ОД за период]]</f>
        <v>79.36</v>
      </c>
      <c r="I378" s="55">
        <f t="shared" ca="1" si="68"/>
        <v>2.2200000000000002</v>
      </c>
      <c r="J378" s="55">
        <v>0</v>
      </c>
      <c r="K378" s="55">
        <f t="shared" ca="1" si="71"/>
        <v>144.78350327868853</v>
      </c>
      <c r="L378" s="55">
        <v>0</v>
      </c>
      <c r="M378" s="113">
        <f>SUMIFS(График[Возврат основной суммы долга],График[Дата с учетом нерабочих дней],$A378)</f>
        <v>436.80999999999995</v>
      </c>
      <c r="N378" s="56">
        <f>SUMIFS(График[Возврат начисленных %],График[Дата с учетом нерабочих дней],$A378)</f>
        <v>2460.19</v>
      </c>
      <c r="O378" s="101">
        <v>0</v>
      </c>
      <c r="P378" s="100" cm="1">
        <f t="array" aca="1" ref="P378" ca="1">MAX(IF(AA377="Да",0,SUM(INDIRECT("M"&amp;(MAX(("Да"=AA$12:AA377)*ROW(AA$12:AA377)+1,ROW($P$12))&amp;":M"&amp;(ROW()))))-SUM(INDIRECT("W"&amp;(MAX(("Да"=AA$12:AA377)*ROW(AA$12:AA377)+1,ROW($P$12))&amp;":W"&amp;(ROW()))))),0)</f>
        <v>4508.32</v>
      </c>
      <c r="Q378" s="99">
        <f ca="1">MAX(SUM($N$13:N378)-SUM($T$13:T378),0)</f>
        <v>24448.380655737703</v>
      </c>
      <c r="R378" s="99">
        <f ca="1">Первоначальный[[#This Row],[Просроченный платеж по ОД]]+Первоначальный[[#This Row],[Просроченный платеж по процентам]]</f>
        <v>28956.700655737703</v>
      </c>
      <c r="S378" s="120">
        <f ca="1">IF(Первоначальный[[#This Row],[Просроченный платеж]]&lt;1,0,S377+1)</f>
        <v>274</v>
      </c>
      <c r="T378" s="100" cm="1">
        <f t="array" aca="1" ref="T378" ca="1">IF(Первоначальный[[#This Row],[Итого остаток на начало периода]]&lt;1,0,
IF(
AND(TYPE(VLOOKUP(1,$Z$12:Z378,1,0))=16,Первоначальный[[#This Row],[Досрочное погашение (да/"")]]=""),0,
_xlfn.IFS(AND(S377=0,Первоначальный[[#This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платеж]]&lt;&gt;0),MIN(LOOKUP(,-1/($Z$12:Z378=1),$C$12:C378)+LOOKUP(,-1/($Z$12:Z378=1),$H$12:H378),Первоначальный[[#This Row],[Полученный платеж]]+Y377),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платеж]]+Y377,SUM(Первоначальный[[#This Row],[Остаток процентов на начало периода]],Первоначальный[[#This Row],[Проценты за период]])),
AND(S377=0,Первоначальный[[#This Row],[Дата платежа из графика]]=""),0,
AND(S377=0,Первоначальный[[#This Row],[Дата платежа из графика]]=1,MAX((0&lt;&gt;S$12:S377)*ROW(S$12:S377),ROW($S$12))&gt;=MAX((1=Z$12:Z377)*ROW(Z$12:Z377),ROW($T$12)),TYPE(VLOOKUP("Да",(INDIRECT("AA"&amp;(MAX((1=Z$12:Z377)*ROW(Z$12:Z377),ROW($T$12))&amp;":AA"&amp;(ROW()-1)))),1,0))=16),MIN(LOOKUP(,-1/($Z$12:Z378=1),$C$12:C378)+LOOKUP(,-1/($Z$12:Z378=1),$H$12:H378),Первоначальный[[#This Row],[Полученный платеж]]+Y377),
AND(S377=0,TYPE(VLOOKUP("Да",(INDIRECT("AA"&amp;(MAX((1=Z$12:Z377)*ROW(Z$12:Z377),ROW($T$12))&amp;":AA"&amp;(ROW()-1)))),1,0))&lt;&gt;16),MIN(LOOKUP(,-1/($Z$12:Z378=1),$C$12:C378)+LOOKUP(,-1/($Z$12:Z378=1),$H$12:H378)-IF(AA377="Да",0,SUM(INDIRECT("T"&amp;(MAX(("Да"=AA$12:AA377)*ROW(AA$12:AA377)+1,ROW($T$12))&amp;":T"&amp;(ROW()-1))))),Первоначальный[[#This Row],[Полученный платеж]]+Y377),
AND(S377=0,MAX((0&lt;&gt;N$12:N377)*ROW(N$12:N377),ROW($S$12))&gt;=MAX((1=Z$12:Z377)*ROW(Z$12:Z377),ROW($T$12))),MIN(LOOKUP(,-1/($Z$12:Z378=1),$C$12:C378)+LOOKUP(,-1/($Z$12:Z378=1),$H$12:H378)-IF(N377&lt;&gt;0,0,SUM(INDIRECT("T"&amp;(MAX((0&lt;&gt;N$12:N377)*ROW(N$12:N377)+1,ROW($T$12))&amp;":T"&amp;(ROW()-1))))),Первоначальный[[#This Row],[Полученный платеж]]+Y377),
AND(S377=0,Первоначальный[[#This Row],[Дата платежа из графика]]=1),MIN(LOOKUP(,-1/($Z$12:Z378=1),$C$12:C378)+LOOKUP(,-1/($Z$12:Z378=1),$H$12:H378)-IF(Z377=1,0,SUM(INDIRECT("T"&amp;(MAX((1=Z$12:Z377)*ROW(Z$12:Z377)+1,ROW($T$12))&amp;":T"&amp;(ROW()-1))))),Первоначальный[[#This Row],[Полученный платеж]]+Y377),
AND(Z377&gt;0,Первоначальный[[#This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платеж]]+Y377),
AND(S377&gt;0,MAX((0&lt;&gt;S$12:S377)*ROW(S$12:S377),ROW($S$12))&gt;=MAX((1=Z$12:Z377)*ROW(Z$12:Z377),ROW($T$12)),TYPE(VLOOKUP("Да",(INDIRECT("AA"&amp;(MAX((1=Z$12:Z377)*ROW(Z$12:Z377),ROW($T$12))&amp;":AA"&amp;(ROW()-1)))),1,0))=16),MIN(LOOKUP(,-1/($Z$12:Z378=1),$C$12:C378)+LOOKUP(,-1/($Z$12:Z378=1),$H$12:H378)-SUM(INDIRECT("T"&amp;(MAX((1=Z$12:Z377)*ROW(Z$12:Z377),ROW($T$12))&amp;":T"&amp;(ROW()-1)))),Первоначальный[[#This Row],[Полученный платеж]]+Y377),
S377&gt;0,MIN(LOOKUP(,-1/($Z$12:Z378=1),$C$12:C378)+LOOKUP(,-1/($Z$12:Z378=1),$H$12:H378)-IF(Z377=1,0,SUM(INDIRECT("T"&amp;(MAX((1=Z$12:Z377)*ROW(Z$12:Z377)+1,ROW($T$12))&amp;":T"&amp;(ROW()-1))))),Первоначальный[[#This Row],[Полученный платеж]]+Y377)
)
)
)</f>
        <v>0</v>
      </c>
      <c r="U37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платеж]]+Y377-Первоначальный[[#This Row],[Полученный платёж по процентам]])</f>
        <v>0</v>
      </c>
      <c r="V378" s="55">
        <f t="shared" ca="1" si="61"/>
        <v>0</v>
      </c>
      <c r="W378" s="55" cm="1">
        <f t="array" aca="1" ref="W378" ca="1">IF(Первоначальный[[#This Row],[Итого остаток на начало периода]]&lt;1,0,
_xlfn.IFS(
AND(TYPE(VLOOKUP(1,$Z$12:Z378,1,0))=16,Первоначальный[[#This Row],[Досрочное погашение (да/"")]]=""),0,
AND(S377=0,Первоначальный[[#This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платеж]]+Y377-SUM(Первоначальный[[#This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комиссиям]]),VLOOKUP(LOOKUP(,-1/($Z$12:Z378=1),$A$12:A378),График[[Срок конец]:[Возврат основной суммы долга]],3,0)),
AND(S377=0,Первоначальный[[#This Row],[Дата платежа из графика]]="",Первоначальный[[#This Row],[Досрочное погашение (да/"")]]&lt;&gt;"Да"),0,
AND(S377=0,Первоначальный[[#This Row],[Досрочное погашение (да/"")]]=""),MIN(Первоначальный[[#This Row],[Полученный платеж]]+Y377-SUM(Первоначальный[[#This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комиссиям]]),VLOOKUP(LOOKUP(,-1/($Z$12:Z378=1),$A$12:A378),График[[Срок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платеж]]+Y377-SUM(Первоначальный[[#This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S377&gt;0,MIN(Первоначальный[[#This Row],[Полученный платеж]]+Y377-SUM(Первоначальный[[#This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комиссиям]]),SUM(INDIRECT("M"&amp;(MAX((1=S$12:S377)*ROW(S$12:S377),ROW($W$12))&amp;":M"&amp;(ROW()))))-SUM(INDIRECT("W"&amp;(MAX((1=S$12:S377)*ROW(S$12:S377),ROW($W$12))&amp;":W"&amp;(ROW()-1)))))
)
)</f>
        <v>0</v>
      </c>
      <c r="X378" s="55">
        <f t="shared" ca="1" si="62"/>
        <v>0</v>
      </c>
      <c r="Y378" s="101">
        <f t="shared" ca="1" si="69"/>
        <v>0</v>
      </c>
      <c r="Z378" s="133">
        <f>IF(TYPE((VLOOKUP(Первоначальный[[#This Row],[Дата платежа]],График[Срок конец],1,0)))=16,"",1)</f>
        <v>1</v>
      </c>
      <c r="AA378" s="57"/>
      <c r="AB378" s="134"/>
      <c r="AC37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7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24449.649999999983</v>
      </c>
      <c r="AE37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337.85000000000105</v>
      </c>
      <c r="AF37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7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20014.534898360667</v>
      </c>
      <c r="AH378" s="55"/>
      <c r="AI378" s="55"/>
      <c r="AJ378" s="55"/>
      <c r="AK378" s="101">
        <f t="shared" ca="1" si="70"/>
        <v>194435.37489836066</v>
      </c>
      <c r="AL378" s="129">
        <f t="array" ref="AL378">MAX((УслРестрактов[Характеристика]="Дата реструктуризации")*(УслРестрактов[Значение]=Первоначальный!$A378),0)</f>
        <v>0</v>
      </c>
    </row>
    <row r="379" spans="1:38" x14ac:dyDescent="0.25">
      <c r="A379" s="97">
        <f t="shared" si="63"/>
        <v>44510</v>
      </c>
      <c r="B379" s="100">
        <f t="shared" ca="1" si="64"/>
        <v>149633.34</v>
      </c>
      <c r="C379" s="55">
        <f t="shared" ca="1" si="72"/>
        <v>24449.649999999983</v>
      </c>
      <c r="D379" s="55">
        <f t="shared" ca="1" si="72"/>
        <v>337.85000000000105</v>
      </c>
      <c r="E379" s="55">
        <f t="shared" ca="1" si="65"/>
        <v>0</v>
      </c>
      <c r="F379" s="55">
        <f t="shared" ca="1" si="66"/>
        <v>20014.534898360667</v>
      </c>
      <c r="G379" s="101">
        <f t="shared" ca="1" si="67"/>
        <v>194435.37489836066</v>
      </c>
      <c r="H379" s="100">
        <f ca="1">ROUND($B379*VLOOKUP($A379,$A$1:$B$10,2,1)/(365+IF(MOD(YEAR($A379),4),0,1)*($A379-$A378)),2)-Первоначальный[[#This Row],[Проценты на просроченный платеж по ОД за период]]</f>
        <v>79.12</v>
      </c>
      <c r="I379" s="55">
        <f t="shared" ca="1" si="68"/>
        <v>2.46</v>
      </c>
      <c r="J379" s="55">
        <v>0</v>
      </c>
      <c r="K379" s="55">
        <f t="shared" ca="1" si="71"/>
        <v>144.78350327868853</v>
      </c>
      <c r="L379" s="55">
        <v>0</v>
      </c>
      <c r="M379" s="113">
        <f>SUMIFS(График[Возврат основной суммы долга],График[Дата с учетом нерабочих дней],$A379)</f>
        <v>0</v>
      </c>
      <c r="N379" s="56">
        <f>SUMIFS(График[Возврат начисленных %],График[Дата с учетом нерабочих дней],$A379)</f>
        <v>0</v>
      </c>
      <c r="O379" s="101">
        <v>0</v>
      </c>
      <c r="P379" s="100" cm="1">
        <f t="array" aca="1" ref="P379" ca="1">MAX(IF(AA378="Да",0,SUM(INDIRECT("M"&amp;(MAX(("Да"=AA$12:AA378)*ROW(AA$12:AA378)+1,ROW($P$12))&amp;":M"&amp;(ROW()))))-SUM(INDIRECT("W"&amp;(MAX(("Да"=AA$12:AA378)*ROW(AA$12:AA378)+1,ROW($P$12))&amp;":W"&amp;(ROW()))))),0)</f>
        <v>4508.32</v>
      </c>
      <c r="Q379" s="99">
        <f ca="1">MAX(SUM($N$13:N379)-SUM($T$13:T379),0)</f>
        <v>24448.380655737703</v>
      </c>
      <c r="R379" s="99">
        <f ca="1">Первоначальный[[#This Row],[Просроченный платеж по ОД]]+Первоначальный[[#This Row],[Просроченный платеж по процентам]]</f>
        <v>28956.700655737703</v>
      </c>
      <c r="S379" s="120">
        <f ca="1">IF(Первоначальный[[#This Row],[Просроченный платеж]]&lt;1,0,S378+1)</f>
        <v>275</v>
      </c>
      <c r="T379" s="100" cm="1">
        <f t="array" aca="1" ref="T379" ca="1">IF(Первоначальный[[#This Row],[Итого остаток на начало периода]]&lt;1,0,
IF(
AND(TYPE(VLOOKUP(1,$Z$12:Z379,1,0))=16,Первоначальный[[#This Row],[Досрочное погашение (да/"")]]=""),0,
_xlfn.IFS(AND(S378=0,Первоначальный[[#This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платеж]]&lt;&gt;0),MIN(LOOKUP(,-1/($Z$12:Z379=1),$C$12:C379)+LOOKUP(,-1/($Z$12:Z379=1),$H$12:H379),Первоначальный[[#This Row],[Полученный платеж]]+Y378),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платеж]]+Y378,SUM(Первоначальный[[#This Row],[Остаток процентов на начало периода]],Первоначальный[[#This Row],[Проценты за период]])),
AND(S378=0,Первоначальный[[#This Row],[Дата платежа из графика]]=""),0,
AND(S378=0,Первоначальный[[#This Row],[Дата платежа из графика]]=1,MAX((0&lt;&gt;S$12:S378)*ROW(S$12:S378),ROW($S$12))&gt;=MAX((1=Z$12:Z378)*ROW(Z$12:Z378),ROW($T$12)),TYPE(VLOOKUP("Да",(INDIRECT("AA"&amp;(MAX((1=Z$12:Z378)*ROW(Z$12:Z378),ROW($T$12))&amp;":AA"&amp;(ROW()-1)))),1,0))=16),MIN(LOOKUP(,-1/($Z$12:Z379=1),$C$12:C379)+LOOKUP(,-1/($Z$12:Z379=1),$H$12:H379),Первоначальный[[#This Row],[Полученный платеж]]+Y378),
AND(S378=0,TYPE(VLOOKUP("Да",(INDIRECT("AA"&amp;(MAX((1=Z$12:Z378)*ROW(Z$12:Z378),ROW($T$12))&amp;":AA"&amp;(ROW()-1)))),1,0))&lt;&gt;16),MIN(LOOKUP(,-1/($Z$12:Z379=1),$C$12:C379)+LOOKUP(,-1/($Z$12:Z379=1),$H$12:H379)-IF(AA378="Да",0,SUM(INDIRECT("T"&amp;(MAX(("Да"=AA$12:AA378)*ROW(AA$12:AA378)+1,ROW($T$12))&amp;":T"&amp;(ROW()-1))))),Первоначальный[[#This Row],[Полученный платеж]]+Y378),
AND(S378=0,MAX((0&lt;&gt;N$12:N378)*ROW(N$12:N378),ROW($S$12))&gt;=MAX((1=Z$12:Z378)*ROW(Z$12:Z378),ROW($T$12))),MIN(LOOKUP(,-1/($Z$12:Z379=1),$C$12:C379)+LOOKUP(,-1/($Z$12:Z379=1),$H$12:H379)-IF(N378&lt;&gt;0,0,SUM(INDIRECT("T"&amp;(MAX((0&lt;&gt;N$12:N378)*ROW(N$12:N378)+1,ROW($T$12))&amp;":T"&amp;(ROW()-1))))),Первоначальный[[#This Row],[Полученный платеж]]+Y378),
AND(S378=0,Первоначальный[[#This Row],[Дата платежа из графика]]=1),MIN(LOOKUP(,-1/($Z$12:Z379=1),$C$12:C379)+LOOKUP(,-1/($Z$12:Z379=1),$H$12:H379)-IF(Z378=1,0,SUM(INDIRECT("T"&amp;(MAX((1=Z$12:Z378)*ROW(Z$12:Z378)+1,ROW($T$12))&amp;":T"&amp;(ROW()-1))))),Первоначальный[[#This Row],[Полученный платеж]]+Y378),
AND(Z378&gt;0,Первоначальный[[#This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платеж]]+Y378),
AND(S378&gt;0,MAX((0&lt;&gt;S$12:S378)*ROW(S$12:S378),ROW($S$12))&gt;=MAX((1=Z$12:Z378)*ROW(Z$12:Z378),ROW($T$12)),TYPE(VLOOKUP("Да",(INDIRECT("AA"&amp;(MAX((1=Z$12:Z378)*ROW(Z$12:Z378),ROW($T$12))&amp;":AA"&amp;(ROW()-1)))),1,0))=16),MIN(LOOKUP(,-1/($Z$12:Z379=1),$C$12:C379)+LOOKUP(,-1/($Z$12:Z379=1),$H$12:H379)-SUM(INDIRECT("T"&amp;(MAX((1=Z$12:Z378)*ROW(Z$12:Z378),ROW($T$12))&amp;":T"&amp;(ROW()-1)))),Первоначальный[[#This Row],[Полученный платеж]]+Y378),
S378&gt;0,MIN(LOOKUP(,-1/($Z$12:Z379=1),$C$12:C379)+LOOKUP(,-1/($Z$12:Z379=1),$H$12:H379)-IF(Z378=1,0,SUM(INDIRECT("T"&amp;(MAX((1=Z$12:Z378)*ROW(Z$12:Z378)+1,ROW($T$12))&amp;":T"&amp;(ROW()-1))))),Первоначальный[[#This Row],[Полученный платеж]]+Y378)
)
)
)</f>
        <v>0</v>
      </c>
      <c r="U37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платеж]]+Y378-Первоначальный[[#This Row],[Полученный платёж по процентам]])</f>
        <v>0</v>
      </c>
      <c r="V379" s="55">
        <f t="shared" ca="1" si="61"/>
        <v>0</v>
      </c>
      <c r="W379" s="55" cm="1">
        <f t="array" aca="1" ref="W379" ca="1">IF(Первоначальный[[#This Row],[Итого остаток на начало периода]]&lt;1,0,
_xlfn.IFS(
AND(TYPE(VLOOKUP(1,$Z$12:Z379,1,0))=16,Первоначальный[[#This Row],[Досрочное погашение (да/"")]]=""),0,
AND(S378=0,Первоначальный[[#This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платеж]]+Y378-SUM(Первоначальный[[#This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комиссиям]]),VLOOKUP(LOOKUP(,-1/($Z$12:Z379=1),$A$12:A379),График[[Срок конец]:[Возврат основной суммы долга]],3,0)),
AND(S378=0,Первоначальный[[#This Row],[Дата платежа из графика]]="",Первоначальный[[#This Row],[Досрочное погашение (да/"")]]&lt;&gt;"Да"),0,
AND(S378=0,Первоначальный[[#This Row],[Досрочное погашение (да/"")]]=""),MIN(Первоначальный[[#This Row],[Полученный платеж]]+Y378-SUM(Первоначальный[[#This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комиссиям]]),VLOOKUP(LOOKUP(,-1/($Z$12:Z379=1),$A$12:A379),График[[Срок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платеж]]+Y378-SUM(Первоначальный[[#This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S378&gt;0,MIN(Первоначальный[[#This Row],[Полученный платеж]]+Y378-SUM(Первоначальный[[#This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комиссиям]]),SUM(INDIRECT("M"&amp;(MAX((1=S$12:S378)*ROW(S$12:S378),ROW($W$12))&amp;":M"&amp;(ROW()))))-SUM(INDIRECT("W"&amp;(MAX((1=S$12:S378)*ROW(S$12:S378),ROW($W$12))&amp;":W"&amp;(ROW()-1)))))
)
)</f>
        <v>0</v>
      </c>
      <c r="X379" s="55">
        <f t="shared" ca="1" si="62"/>
        <v>0</v>
      </c>
      <c r="Y379" s="101">
        <f t="shared" ca="1" si="69"/>
        <v>0</v>
      </c>
      <c r="Z379" s="133" t="str">
        <f>IF(TYPE((VLOOKUP(Первоначальный[[#This Row],[Дата платежа]],График[Срок конец],1,0)))=16,"",1)</f>
        <v/>
      </c>
      <c r="AA379" s="57"/>
      <c r="AB379" s="134"/>
      <c r="AC37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7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24528.769999999982</v>
      </c>
      <c r="AE37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340.31000000000103</v>
      </c>
      <c r="AF37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7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20159.318401639357</v>
      </c>
      <c r="AH379" s="55"/>
      <c r="AI379" s="55"/>
      <c r="AJ379" s="55"/>
      <c r="AK379" s="101">
        <f t="shared" ca="1" si="70"/>
        <v>194661.73840163933</v>
      </c>
      <c r="AL379" s="129">
        <f t="array" ref="AL379">MAX((УслРестрактов[Характеристика]="Дата реструктуризации")*(УслРестрактов[Значение]=Первоначальный!$A379),0)</f>
        <v>0</v>
      </c>
    </row>
    <row r="380" spans="1:38" x14ac:dyDescent="0.25">
      <c r="A380" s="97">
        <f t="shared" si="63"/>
        <v>44511</v>
      </c>
      <c r="B380" s="100">
        <f t="shared" ca="1" si="64"/>
        <v>149633.34</v>
      </c>
      <c r="C380" s="55">
        <f t="shared" ca="1" si="72"/>
        <v>24528.769999999982</v>
      </c>
      <c r="D380" s="55">
        <f t="shared" ca="1" si="72"/>
        <v>340.31000000000103</v>
      </c>
      <c r="E380" s="55">
        <f t="shared" ca="1" si="65"/>
        <v>0</v>
      </c>
      <c r="F380" s="55">
        <f t="shared" ca="1" si="66"/>
        <v>20159.318401639357</v>
      </c>
      <c r="G380" s="101">
        <f t="shared" ca="1" si="67"/>
        <v>194661.73840163933</v>
      </c>
      <c r="H380" s="100">
        <f ca="1">ROUND($B380*VLOOKUP($A380,$A$1:$B$10,2,1)/(365+IF(MOD(YEAR($A380),4),0,1)*($A380-$A379)),2)-Первоначальный[[#This Row],[Проценты на просроченный платеж по ОД за период]]</f>
        <v>79.12</v>
      </c>
      <c r="I380" s="55">
        <f t="shared" ca="1" si="68"/>
        <v>2.46</v>
      </c>
      <c r="J380" s="55">
        <v>0</v>
      </c>
      <c r="K380" s="55">
        <f t="shared" ca="1" si="71"/>
        <v>144.78350327868853</v>
      </c>
      <c r="L380" s="55">
        <v>0</v>
      </c>
      <c r="M380" s="113">
        <f>SUMIFS(График[Возврат основной суммы долга],График[Дата с учетом нерабочих дней],$A380)</f>
        <v>0</v>
      </c>
      <c r="N380" s="56">
        <f>SUMIFS(График[Возврат начисленных %],График[Дата с учетом нерабочих дней],$A380)</f>
        <v>0</v>
      </c>
      <c r="O380" s="101">
        <v>0</v>
      </c>
      <c r="P380" s="100" cm="1">
        <f t="array" aca="1" ref="P380" ca="1">MAX(IF(AA379="Да",0,SUM(INDIRECT("M"&amp;(MAX(("Да"=AA$12:AA379)*ROW(AA$12:AA379)+1,ROW($P$12))&amp;":M"&amp;(ROW()))))-SUM(INDIRECT("W"&amp;(MAX(("Да"=AA$12:AA379)*ROW(AA$12:AA379)+1,ROW($P$12))&amp;":W"&amp;(ROW()))))),0)</f>
        <v>4508.32</v>
      </c>
      <c r="Q380" s="99">
        <f ca="1">MAX(SUM($N$13:N380)-SUM($T$13:T380),0)</f>
        <v>24448.380655737703</v>
      </c>
      <c r="R380" s="99">
        <f ca="1">Первоначальный[[#This Row],[Просроченный платеж по ОД]]+Первоначальный[[#This Row],[Просроченный платеж по процентам]]</f>
        <v>28956.700655737703</v>
      </c>
      <c r="S380" s="120">
        <f ca="1">IF(Первоначальный[[#This Row],[Просроченный платеж]]&lt;1,0,S379+1)</f>
        <v>276</v>
      </c>
      <c r="T380" s="100" cm="1">
        <f t="array" aca="1" ref="T380" ca="1">IF(Первоначальный[[#This Row],[Итого остаток на начало периода]]&lt;1,0,
IF(
AND(TYPE(VLOOKUP(1,$Z$12:Z380,1,0))=16,Первоначальный[[#This Row],[Досрочное погашение (да/"")]]=""),0,
_xlfn.IFS(AND(S379=0,Первоначальный[[#This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платеж]]&lt;&gt;0),MIN(LOOKUP(,-1/($Z$12:Z380=1),$C$12:C380)+LOOKUP(,-1/($Z$12:Z380=1),$H$12:H380),Первоначальный[[#This Row],[Полученный платеж]]+Y379),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платеж]]+Y379,SUM(Первоначальный[[#This Row],[Остаток процентов на начало периода]],Первоначальный[[#This Row],[Проценты за период]])),
AND(S379=0,Первоначальный[[#This Row],[Дата платежа из графика]]=""),0,
AND(S379=0,Первоначальный[[#This Row],[Дата платежа из графика]]=1,MAX((0&lt;&gt;S$12:S379)*ROW(S$12:S379),ROW($S$12))&gt;=MAX((1=Z$12:Z379)*ROW(Z$12:Z379),ROW($T$12)),TYPE(VLOOKUP("Да",(INDIRECT("AA"&amp;(MAX((1=Z$12:Z379)*ROW(Z$12:Z379),ROW($T$12))&amp;":AA"&amp;(ROW()-1)))),1,0))=16),MIN(LOOKUP(,-1/($Z$12:Z380=1),$C$12:C380)+LOOKUP(,-1/($Z$12:Z380=1),$H$12:H380),Первоначальный[[#This Row],[Полученный платеж]]+Y379),
AND(S379=0,TYPE(VLOOKUP("Да",(INDIRECT("AA"&amp;(MAX((1=Z$12:Z379)*ROW(Z$12:Z379),ROW($T$12))&amp;":AA"&amp;(ROW()-1)))),1,0))&lt;&gt;16),MIN(LOOKUP(,-1/($Z$12:Z380=1),$C$12:C380)+LOOKUP(,-1/($Z$12:Z380=1),$H$12:H380)-IF(AA379="Да",0,SUM(INDIRECT("T"&amp;(MAX(("Да"=AA$12:AA379)*ROW(AA$12:AA379)+1,ROW($T$12))&amp;":T"&amp;(ROW()-1))))),Первоначальный[[#This Row],[Полученный платеж]]+Y379),
AND(S379=0,MAX((0&lt;&gt;N$12:N379)*ROW(N$12:N379),ROW($S$12))&gt;=MAX((1=Z$12:Z379)*ROW(Z$12:Z379),ROW($T$12))),MIN(LOOKUP(,-1/($Z$12:Z380=1),$C$12:C380)+LOOKUP(,-1/($Z$12:Z380=1),$H$12:H380)-IF(N379&lt;&gt;0,0,SUM(INDIRECT("T"&amp;(MAX((0&lt;&gt;N$12:N379)*ROW(N$12:N379)+1,ROW($T$12))&amp;":T"&amp;(ROW()-1))))),Первоначальный[[#This Row],[Полученный платеж]]+Y379),
AND(S379=0,Первоначальный[[#This Row],[Дата платежа из графика]]=1),MIN(LOOKUP(,-1/($Z$12:Z380=1),$C$12:C380)+LOOKUP(,-1/($Z$12:Z380=1),$H$12:H380)-IF(Z379=1,0,SUM(INDIRECT("T"&amp;(MAX((1=Z$12:Z379)*ROW(Z$12:Z379)+1,ROW($T$12))&amp;":T"&amp;(ROW()-1))))),Первоначальный[[#This Row],[Полученный платеж]]+Y379),
AND(Z379&gt;0,Первоначальный[[#This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платеж]]+Y379),
AND(S379&gt;0,MAX((0&lt;&gt;S$12:S379)*ROW(S$12:S379),ROW($S$12))&gt;=MAX((1=Z$12:Z379)*ROW(Z$12:Z379),ROW($T$12)),TYPE(VLOOKUP("Да",(INDIRECT("AA"&amp;(MAX((1=Z$12:Z379)*ROW(Z$12:Z379),ROW($T$12))&amp;":AA"&amp;(ROW()-1)))),1,0))=16),MIN(LOOKUP(,-1/($Z$12:Z380=1),$C$12:C380)+LOOKUP(,-1/($Z$12:Z380=1),$H$12:H380)-SUM(INDIRECT("T"&amp;(MAX((1=Z$12:Z379)*ROW(Z$12:Z379),ROW($T$12))&amp;":T"&amp;(ROW()-1)))),Первоначальный[[#This Row],[Полученный платеж]]+Y379),
S379&gt;0,MIN(LOOKUP(,-1/($Z$12:Z380=1),$C$12:C380)+LOOKUP(,-1/($Z$12:Z380=1),$H$12:H380)-IF(Z379=1,0,SUM(INDIRECT("T"&amp;(MAX((1=Z$12:Z379)*ROW(Z$12:Z379)+1,ROW($T$12))&amp;":T"&amp;(ROW()-1))))),Первоначальный[[#This Row],[Полученный платеж]]+Y379)
)
)
)</f>
        <v>0</v>
      </c>
      <c r="U38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платеж]]+Y379-Первоначальный[[#This Row],[Полученный платёж по процентам]])</f>
        <v>0</v>
      </c>
      <c r="V380" s="55">
        <f t="shared" ca="1" si="61"/>
        <v>0</v>
      </c>
      <c r="W380" s="55" cm="1">
        <f t="array" aca="1" ref="W380" ca="1">IF(Первоначальный[[#This Row],[Итого остаток на начало периода]]&lt;1,0,
_xlfn.IFS(
AND(TYPE(VLOOKUP(1,$Z$12:Z380,1,0))=16,Первоначальный[[#This Row],[Досрочное погашение (да/"")]]=""),0,
AND(S379=0,Первоначальный[[#This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платеж]]+Y379-SUM(Первоначальный[[#This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комиссиям]]),VLOOKUP(LOOKUP(,-1/($Z$12:Z380=1),$A$12:A380),График[[Срок конец]:[Возврат основной суммы долга]],3,0)),
AND(S379=0,Первоначальный[[#This Row],[Дата платежа из графика]]="",Первоначальный[[#This Row],[Досрочное погашение (да/"")]]&lt;&gt;"Да"),0,
AND(S379=0,Первоначальный[[#This Row],[Досрочное погашение (да/"")]]=""),MIN(Первоначальный[[#This Row],[Полученный платеж]]+Y379-SUM(Первоначальный[[#This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комиссиям]]),VLOOKUP(LOOKUP(,-1/($Z$12:Z380=1),$A$12:A380),График[[Срок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платеж]]+Y379-SUM(Первоначальный[[#This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S379&gt;0,MIN(Первоначальный[[#This Row],[Полученный платеж]]+Y379-SUM(Первоначальный[[#This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комиссиям]]),SUM(INDIRECT("M"&amp;(MAX((1=S$12:S379)*ROW(S$12:S379),ROW($W$12))&amp;":M"&amp;(ROW()))))-SUM(INDIRECT("W"&amp;(MAX((1=S$12:S379)*ROW(S$12:S379),ROW($W$12))&amp;":W"&amp;(ROW()-1)))))
)
)</f>
        <v>0</v>
      </c>
      <c r="X380" s="55">
        <f t="shared" ca="1" si="62"/>
        <v>0</v>
      </c>
      <c r="Y380" s="101">
        <f t="shared" ca="1" si="69"/>
        <v>0</v>
      </c>
      <c r="Z380" s="133" t="str">
        <f>IF(TYPE((VLOOKUP(Первоначальный[[#This Row],[Дата платежа]],График[Срок конец],1,0)))=16,"",1)</f>
        <v/>
      </c>
      <c r="AA380" s="57"/>
      <c r="AB380" s="134"/>
      <c r="AC38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8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24607.889999999981</v>
      </c>
      <c r="AE38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342.770000000001</v>
      </c>
      <c r="AF38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8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20304.101904918047</v>
      </c>
      <c r="AH380" s="55"/>
      <c r="AI380" s="55"/>
      <c r="AJ380" s="55"/>
      <c r="AK380" s="101">
        <f t="shared" ca="1" si="70"/>
        <v>194888.10190491803</v>
      </c>
      <c r="AL380" s="129">
        <f t="array" ref="AL380">MAX((УслРестрактов[Характеристика]="Дата реструктуризации")*(УслРестрактов[Значение]=Первоначальный!$A380),0)</f>
        <v>0</v>
      </c>
    </row>
    <row r="381" spans="1:38" x14ac:dyDescent="0.25">
      <c r="A381" s="97">
        <f t="shared" si="63"/>
        <v>44512</v>
      </c>
      <c r="B381" s="100">
        <f t="shared" ca="1" si="64"/>
        <v>149633.34</v>
      </c>
      <c r="C381" s="55">
        <f t="shared" ca="1" si="72"/>
        <v>24607.889999999981</v>
      </c>
      <c r="D381" s="55">
        <f t="shared" ca="1" si="72"/>
        <v>342.770000000001</v>
      </c>
      <c r="E381" s="55">
        <f t="shared" ca="1" si="65"/>
        <v>0</v>
      </c>
      <c r="F381" s="55">
        <f t="shared" ca="1" si="66"/>
        <v>20304.101904918047</v>
      </c>
      <c r="G381" s="101">
        <f t="shared" ca="1" si="67"/>
        <v>194888.10190491803</v>
      </c>
      <c r="H381" s="100">
        <f ca="1">ROUND($B381*VLOOKUP($A381,$A$1:$B$10,2,1)/(365+IF(MOD(YEAR($A381),4),0,1)*($A381-$A380)),2)-Первоначальный[[#This Row],[Проценты на просроченный платеж по ОД за период]]</f>
        <v>79.12</v>
      </c>
      <c r="I381" s="55">
        <f t="shared" ca="1" si="68"/>
        <v>2.46</v>
      </c>
      <c r="J381" s="55">
        <v>0</v>
      </c>
      <c r="K381" s="55">
        <f t="shared" ca="1" si="71"/>
        <v>144.78350327868853</v>
      </c>
      <c r="L381" s="55">
        <v>0</v>
      </c>
      <c r="M381" s="113">
        <f>SUMIFS(График[Возврат основной суммы долга],График[Дата с учетом нерабочих дней],$A381)</f>
        <v>0</v>
      </c>
      <c r="N381" s="56">
        <f>SUMIFS(График[Возврат начисленных %],График[Дата с учетом нерабочих дней],$A381)</f>
        <v>0</v>
      </c>
      <c r="O381" s="101">
        <v>0</v>
      </c>
      <c r="P381" s="100" cm="1">
        <f t="array" aca="1" ref="P381" ca="1">MAX(IF(AA380="Да",0,SUM(INDIRECT("M"&amp;(MAX(("Да"=AA$12:AA380)*ROW(AA$12:AA380)+1,ROW($P$12))&amp;":M"&amp;(ROW()))))-SUM(INDIRECT("W"&amp;(MAX(("Да"=AA$12:AA380)*ROW(AA$12:AA380)+1,ROW($P$12))&amp;":W"&amp;(ROW()))))),0)</f>
        <v>4508.32</v>
      </c>
      <c r="Q381" s="99">
        <f ca="1">MAX(SUM($N$13:N381)-SUM($T$13:T381),0)</f>
        <v>24448.380655737703</v>
      </c>
      <c r="R381" s="99">
        <f ca="1">Первоначальный[[#This Row],[Просроченный платеж по ОД]]+Первоначальный[[#This Row],[Просроченный платеж по процентам]]</f>
        <v>28956.700655737703</v>
      </c>
      <c r="S381" s="120">
        <f ca="1">IF(Первоначальный[[#This Row],[Просроченный платеж]]&lt;1,0,S380+1)</f>
        <v>277</v>
      </c>
      <c r="T381" s="100" cm="1">
        <f t="array" aca="1" ref="T381" ca="1">IF(Первоначальный[[#This Row],[Итого остаток на начало периода]]&lt;1,0,
IF(
AND(TYPE(VLOOKUP(1,$Z$12:Z381,1,0))=16,Первоначальный[[#This Row],[Досрочное погашение (да/"")]]=""),0,
_xlfn.IFS(AND(S380=0,Первоначальный[[#This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платеж]]&lt;&gt;0),MIN(LOOKUP(,-1/($Z$12:Z381=1),$C$12:C381)+LOOKUP(,-1/($Z$12:Z381=1),$H$12:H381),Первоначальный[[#This Row],[Полученный платеж]]+Y380),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платеж]]+Y380,SUM(Первоначальный[[#This Row],[Остаток процентов на начало периода]],Первоначальный[[#This Row],[Проценты за период]])),
AND(S380=0,Первоначальный[[#This Row],[Дата платежа из графика]]=""),0,
AND(S380=0,Первоначальный[[#This Row],[Дата платежа из графика]]=1,MAX((0&lt;&gt;S$12:S380)*ROW(S$12:S380),ROW($S$12))&gt;=MAX((1=Z$12:Z380)*ROW(Z$12:Z380),ROW($T$12)),TYPE(VLOOKUP("Да",(INDIRECT("AA"&amp;(MAX((1=Z$12:Z380)*ROW(Z$12:Z380),ROW($T$12))&amp;":AA"&amp;(ROW()-1)))),1,0))=16),MIN(LOOKUP(,-1/($Z$12:Z381=1),$C$12:C381)+LOOKUP(,-1/($Z$12:Z381=1),$H$12:H381),Первоначальный[[#This Row],[Полученный платеж]]+Y380),
AND(S380=0,TYPE(VLOOKUP("Да",(INDIRECT("AA"&amp;(MAX((1=Z$12:Z380)*ROW(Z$12:Z380),ROW($T$12))&amp;":AA"&amp;(ROW()-1)))),1,0))&lt;&gt;16),MIN(LOOKUP(,-1/($Z$12:Z381=1),$C$12:C381)+LOOKUP(,-1/($Z$12:Z381=1),$H$12:H381)-IF(AA380="Да",0,SUM(INDIRECT("T"&amp;(MAX(("Да"=AA$12:AA380)*ROW(AA$12:AA380)+1,ROW($T$12))&amp;":T"&amp;(ROW()-1))))),Первоначальный[[#This Row],[Полученный платеж]]+Y380),
AND(S380=0,MAX((0&lt;&gt;N$12:N380)*ROW(N$12:N380),ROW($S$12))&gt;=MAX((1=Z$12:Z380)*ROW(Z$12:Z380),ROW($T$12))),MIN(LOOKUP(,-1/($Z$12:Z381=1),$C$12:C381)+LOOKUP(,-1/($Z$12:Z381=1),$H$12:H381)-IF(N380&lt;&gt;0,0,SUM(INDIRECT("T"&amp;(MAX((0&lt;&gt;N$12:N380)*ROW(N$12:N380)+1,ROW($T$12))&amp;":T"&amp;(ROW()-1))))),Первоначальный[[#This Row],[Полученный платеж]]+Y380),
AND(S380=0,Первоначальный[[#This Row],[Дата платежа из графика]]=1),MIN(LOOKUP(,-1/($Z$12:Z381=1),$C$12:C381)+LOOKUP(,-1/($Z$12:Z381=1),$H$12:H381)-IF(Z380=1,0,SUM(INDIRECT("T"&amp;(MAX((1=Z$12:Z380)*ROW(Z$12:Z380)+1,ROW($T$12))&amp;":T"&amp;(ROW()-1))))),Первоначальный[[#This Row],[Полученный платеж]]+Y380),
AND(Z380&gt;0,Первоначальный[[#This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платеж]]+Y380),
AND(S380&gt;0,MAX((0&lt;&gt;S$12:S380)*ROW(S$12:S380),ROW($S$12))&gt;=MAX((1=Z$12:Z380)*ROW(Z$12:Z380),ROW($T$12)),TYPE(VLOOKUP("Да",(INDIRECT("AA"&amp;(MAX((1=Z$12:Z380)*ROW(Z$12:Z380),ROW($T$12))&amp;":AA"&amp;(ROW()-1)))),1,0))=16),MIN(LOOKUP(,-1/($Z$12:Z381=1),$C$12:C381)+LOOKUP(,-1/($Z$12:Z381=1),$H$12:H381)-SUM(INDIRECT("T"&amp;(MAX((1=Z$12:Z380)*ROW(Z$12:Z380),ROW($T$12))&amp;":T"&amp;(ROW()-1)))),Первоначальный[[#This Row],[Полученный платеж]]+Y380),
S380&gt;0,MIN(LOOKUP(,-1/($Z$12:Z381=1),$C$12:C381)+LOOKUP(,-1/($Z$12:Z381=1),$H$12:H381)-IF(Z380=1,0,SUM(INDIRECT("T"&amp;(MAX((1=Z$12:Z380)*ROW(Z$12:Z380)+1,ROW($T$12))&amp;":T"&amp;(ROW()-1))))),Первоначальный[[#This Row],[Полученный платеж]]+Y380)
)
)
)</f>
        <v>0</v>
      </c>
      <c r="U38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платеж]]+Y380-Первоначальный[[#This Row],[Полученный платёж по процентам]])</f>
        <v>0</v>
      </c>
      <c r="V381" s="55">
        <f t="shared" ca="1" si="61"/>
        <v>0</v>
      </c>
      <c r="W381" s="55" cm="1">
        <f t="array" aca="1" ref="W381" ca="1">IF(Первоначальный[[#This Row],[Итого остаток на начало периода]]&lt;1,0,
_xlfn.IFS(
AND(TYPE(VLOOKUP(1,$Z$12:Z381,1,0))=16,Первоначальный[[#This Row],[Досрочное погашение (да/"")]]=""),0,
AND(S380=0,Первоначальный[[#This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платеж]]+Y380-SUM(Первоначальный[[#This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комиссиям]]),VLOOKUP(LOOKUP(,-1/($Z$12:Z381=1),$A$12:A381),График[[Срок конец]:[Возврат основной суммы долга]],3,0)),
AND(S380=0,Первоначальный[[#This Row],[Дата платежа из графика]]="",Первоначальный[[#This Row],[Досрочное погашение (да/"")]]&lt;&gt;"Да"),0,
AND(S380=0,Первоначальный[[#This Row],[Досрочное погашение (да/"")]]=""),MIN(Первоначальный[[#This Row],[Полученный платеж]]+Y380-SUM(Первоначальный[[#This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комиссиям]]),VLOOKUP(LOOKUP(,-1/($Z$12:Z381=1),$A$12:A381),График[[Срок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платеж]]+Y380-SUM(Первоначальный[[#This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S380&gt;0,MIN(Первоначальный[[#This Row],[Полученный платеж]]+Y380-SUM(Первоначальный[[#This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комиссиям]]),SUM(INDIRECT("M"&amp;(MAX((1=S$12:S380)*ROW(S$12:S380),ROW($W$12))&amp;":M"&amp;(ROW()))))-SUM(INDIRECT("W"&amp;(MAX((1=S$12:S380)*ROW(S$12:S380),ROW($W$12))&amp;":W"&amp;(ROW()-1)))))
)
)</f>
        <v>0</v>
      </c>
      <c r="X381" s="55">
        <f t="shared" ca="1" si="62"/>
        <v>0</v>
      </c>
      <c r="Y381" s="101">
        <f t="shared" ca="1" si="69"/>
        <v>0</v>
      </c>
      <c r="Z381" s="133" t="str">
        <f>IF(TYPE((VLOOKUP(Первоначальный[[#This Row],[Дата платежа]],График[Срок конец],1,0)))=16,"",1)</f>
        <v/>
      </c>
      <c r="AA381" s="57"/>
      <c r="AB381" s="134"/>
      <c r="AC38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8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24687.00999999998</v>
      </c>
      <c r="AE38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345.23000000000098</v>
      </c>
      <c r="AF38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8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20448.885408196737</v>
      </c>
      <c r="AH381" s="55"/>
      <c r="AI381" s="55"/>
      <c r="AJ381" s="55"/>
      <c r="AK381" s="101">
        <f t="shared" ca="1" si="70"/>
        <v>195114.46540819673</v>
      </c>
      <c r="AL381" s="129">
        <f t="array" ref="AL381">MAX((УслРестрактов[Характеристика]="Дата реструктуризации")*(УслРестрактов[Значение]=Первоначальный!$A381),0)</f>
        <v>0</v>
      </c>
    </row>
    <row r="382" spans="1:38" x14ac:dyDescent="0.25">
      <c r="A382" s="97">
        <f t="shared" si="63"/>
        <v>44513</v>
      </c>
      <c r="B382" s="100">
        <f t="shared" ca="1" si="64"/>
        <v>149633.34</v>
      </c>
      <c r="C382" s="55">
        <f t="shared" ca="1" si="72"/>
        <v>24687.00999999998</v>
      </c>
      <c r="D382" s="55">
        <f t="shared" ca="1" si="72"/>
        <v>345.23000000000098</v>
      </c>
      <c r="E382" s="55">
        <f t="shared" ca="1" si="65"/>
        <v>0</v>
      </c>
      <c r="F382" s="55">
        <f t="shared" ca="1" si="66"/>
        <v>20448.885408196737</v>
      </c>
      <c r="G382" s="101">
        <f t="shared" ca="1" si="67"/>
        <v>195114.46540819673</v>
      </c>
      <c r="H382" s="100">
        <f ca="1">ROUND($B382*VLOOKUP($A382,$A$1:$B$10,2,1)/(365+IF(MOD(YEAR($A382),4),0,1)*($A382-$A381)),2)-Первоначальный[[#This Row],[Проценты на просроченный платеж по ОД за период]]</f>
        <v>79.12</v>
      </c>
      <c r="I382" s="55">
        <f t="shared" ca="1" si="68"/>
        <v>2.46</v>
      </c>
      <c r="J382" s="55">
        <v>0</v>
      </c>
      <c r="K382" s="55">
        <f t="shared" ca="1" si="71"/>
        <v>144.78350327868853</v>
      </c>
      <c r="L382" s="55">
        <v>0</v>
      </c>
      <c r="M382" s="113">
        <f>SUMIFS(График[Возврат основной суммы долга],График[Дата с учетом нерабочих дней],$A382)</f>
        <v>0</v>
      </c>
      <c r="N382" s="56">
        <f>SUMIFS(График[Возврат начисленных %],График[Дата с учетом нерабочих дней],$A382)</f>
        <v>0</v>
      </c>
      <c r="O382" s="101">
        <v>0</v>
      </c>
      <c r="P382" s="100" cm="1">
        <f t="array" aca="1" ref="P382" ca="1">MAX(IF(AA381="Да",0,SUM(INDIRECT("M"&amp;(MAX(("Да"=AA$12:AA381)*ROW(AA$12:AA381)+1,ROW($P$12))&amp;":M"&amp;(ROW()))))-SUM(INDIRECT("W"&amp;(MAX(("Да"=AA$12:AA381)*ROW(AA$12:AA381)+1,ROW($P$12))&amp;":W"&amp;(ROW()))))),0)</f>
        <v>4508.32</v>
      </c>
      <c r="Q382" s="99">
        <f ca="1">MAX(SUM($N$13:N382)-SUM($T$13:T382),0)</f>
        <v>24448.380655737703</v>
      </c>
      <c r="R382" s="99">
        <f ca="1">Первоначальный[[#This Row],[Просроченный платеж по ОД]]+Первоначальный[[#This Row],[Просроченный платеж по процентам]]</f>
        <v>28956.700655737703</v>
      </c>
      <c r="S382" s="120">
        <f ca="1">IF(Первоначальный[[#This Row],[Просроченный платеж]]&lt;1,0,S381+1)</f>
        <v>278</v>
      </c>
      <c r="T382" s="100" cm="1">
        <f t="array" aca="1" ref="T382" ca="1">IF(Первоначальный[[#This Row],[Итого остаток на начало периода]]&lt;1,0,
IF(
AND(TYPE(VLOOKUP(1,$Z$12:Z382,1,0))=16,Первоначальный[[#This Row],[Досрочное погашение (да/"")]]=""),0,
_xlfn.IFS(AND(S381=0,Первоначальный[[#This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платеж]]&lt;&gt;0),MIN(LOOKUP(,-1/($Z$12:Z382=1),$C$12:C382)+LOOKUP(,-1/($Z$12:Z382=1),$H$12:H382),Первоначальный[[#This Row],[Полученный платеж]]+Y381),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платеж]]+Y381,SUM(Первоначальный[[#This Row],[Остаток процентов на начало периода]],Первоначальный[[#This Row],[Проценты за период]])),
AND(S381=0,Первоначальный[[#This Row],[Дата платежа из графика]]=""),0,
AND(S381=0,Первоначальный[[#This Row],[Дата платежа из графика]]=1,MAX((0&lt;&gt;S$12:S381)*ROW(S$12:S381),ROW($S$12))&gt;=MAX((1=Z$12:Z381)*ROW(Z$12:Z381),ROW($T$12)),TYPE(VLOOKUP("Да",(INDIRECT("AA"&amp;(MAX((1=Z$12:Z381)*ROW(Z$12:Z381),ROW($T$12))&amp;":AA"&amp;(ROW()-1)))),1,0))=16),MIN(LOOKUP(,-1/($Z$12:Z382=1),$C$12:C382)+LOOKUP(,-1/($Z$12:Z382=1),$H$12:H382),Первоначальный[[#This Row],[Полученный платеж]]+Y381),
AND(S381=0,TYPE(VLOOKUP("Да",(INDIRECT("AA"&amp;(MAX((1=Z$12:Z381)*ROW(Z$12:Z381),ROW($T$12))&amp;":AA"&amp;(ROW()-1)))),1,0))&lt;&gt;16),MIN(LOOKUP(,-1/($Z$12:Z382=1),$C$12:C382)+LOOKUP(,-1/($Z$12:Z382=1),$H$12:H382)-IF(AA381="Да",0,SUM(INDIRECT("T"&amp;(MAX(("Да"=AA$12:AA381)*ROW(AA$12:AA381)+1,ROW($T$12))&amp;":T"&amp;(ROW()-1))))),Первоначальный[[#This Row],[Полученный платеж]]+Y381),
AND(S381=0,MAX((0&lt;&gt;N$12:N381)*ROW(N$12:N381),ROW($S$12))&gt;=MAX((1=Z$12:Z381)*ROW(Z$12:Z381),ROW($T$12))),MIN(LOOKUP(,-1/($Z$12:Z382=1),$C$12:C382)+LOOKUP(,-1/($Z$12:Z382=1),$H$12:H382)-IF(N381&lt;&gt;0,0,SUM(INDIRECT("T"&amp;(MAX((0&lt;&gt;N$12:N381)*ROW(N$12:N381)+1,ROW($T$12))&amp;":T"&amp;(ROW()-1))))),Первоначальный[[#This Row],[Полученный платеж]]+Y381),
AND(S381=0,Первоначальный[[#This Row],[Дата платежа из графика]]=1),MIN(LOOKUP(,-1/($Z$12:Z382=1),$C$12:C382)+LOOKUP(,-1/($Z$12:Z382=1),$H$12:H382)-IF(Z381=1,0,SUM(INDIRECT("T"&amp;(MAX((1=Z$12:Z381)*ROW(Z$12:Z381)+1,ROW($T$12))&amp;":T"&amp;(ROW()-1))))),Первоначальный[[#This Row],[Полученный платеж]]+Y381),
AND(Z381&gt;0,Первоначальный[[#This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платеж]]+Y381),
AND(S381&gt;0,MAX((0&lt;&gt;S$12:S381)*ROW(S$12:S381),ROW($S$12))&gt;=MAX((1=Z$12:Z381)*ROW(Z$12:Z381),ROW($T$12)),TYPE(VLOOKUP("Да",(INDIRECT("AA"&amp;(MAX((1=Z$12:Z381)*ROW(Z$12:Z381),ROW($T$12))&amp;":AA"&amp;(ROW()-1)))),1,0))=16),MIN(LOOKUP(,-1/($Z$12:Z382=1),$C$12:C382)+LOOKUP(,-1/($Z$12:Z382=1),$H$12:H382)-SUM(INDIRECT("T"&amp;(MAX((1=Z$12:Z381)*ROW(Z$12:Z381),ROW($T$12))&amp;":T"&amp;(ROW()-1)))),Первоначальный[[#This Row],[Полученный платеж]]+Y381),
S381&gt;0,MIN(LOOKUP(,-1/($Z$12:Z382=1),$C$12:C382)+LOOKUP(,-1/($Z$12:Z382=1),$H$12:H382)-IF(Z381=1,0,SUM(INDIRECT("T"&amp;(MAX((1=Z$12:Z381)*ROW(Z$12:Z381)+1,ROW($T$12))&amp;":T"&amp;(ROW()-1))))),Первоначальный[[#This Row],[Полученный платеж]]+Y381)
)
)
)</f>
        <v>0</v>
      </c>
      <c r="U38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платеж]]+Y381-Первоначальный[[#This Row],[Полученный платёж по процентам]])</f>
        <v>0</v>
      </c>
      <c r="V382" s="55">
        <f t="shared" ca="1" si="61"/>
        <v>0</v>
      </c>
      <c r="W382" s="55" cm="1">
        <f t="array" aca="1" ref="W382" ca="1">IF(Первоначальный[[#This Row],[Итого остаток на начало периода]]&lt;1,0,
_xlfn.IFS(
AND(TYPE(VLOOKUP(1,$Z$12:Z382,1,0))=16,Первоначальный[[#This Row],[Досрочное погашение (да/"")]]=""),0,
AND(S381=0,Первоначальный[[#This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платеж]]+Y381-SUM(Первоначальный[[#This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комиссиям]]),VLOOKUP(LOOKUP(,-1/($Z$12:Z382=1),$A$12:A382),График[[Срок конец]:[Возврат основной суммы долга]],3,0)),
AND(S381=0,Первоначальный[[#This Row],[Дата платежа из графика]]="",Первоначальный[[#This Row],[Досрочное погашение (да/"")]]&lt;&gt;"Да"),0,
AND(S381=0,Первоначальный[[#This Row],[Досрочное погашение (да/"")]]=""),MIN(Первоначальный[[#This Row],[Полученный платеж]]+Y381-SUM(Первоначальный[[#This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комиссиям]]),VLOOKUP(LOOKUP(,-1/($Z$12:Z382=1),$A$12:A382),График[[Срок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платеж]]+Y381-SUM(Первоначальный[[#This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S381&gt;0,MIN(Первоначальный[[#This Row],[Полученный платеж]]+Y381-SUM(Первоначальный[[#This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комиссиям]]),SUM(INDIRECT("M"&amp;(MAX((1=S$12:S381)*ROW(S$12:S381),ROW($W$12))&amp;":M"&amp;(ROW()))))-SUM(INDIRECT("W"&amp;(MAX((1=S$12:S381)*ROW(S$12:S381),ROW($W$12))&amp;":W"&amp;(ROW()-1)))))
)
)</f>
        <v>0</v>
      </c>
      <c r="X382" s="55">
        <f t="shared" ca="1" si="62"/>
        <v>0</v>
      </c>
      <c r="Y382" s="101">
        <f t="shared" ca="1" si="69"/>
        <v>0</v>
      </c>
      <c r="Z382" s="133" t="str">
        <f>IF(TYPE((VLOOKUP(Первоначальный[[#This Row],[Дата платежа]],График[Срок конец],1,0)))=16,"",1)</f>
        <v/>
      </c>
      <c r="AA382" s="57"/>
      <c r="AB382" s="134"/>
      <c r="AC38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8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24766.129999999979</v>
      </c>
      <c r="AE38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347.69000000000096</v>
      </c>
      <c r="AF38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8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20593.668911475426</v>
      </c>
      <c r="AH382" s="55"/>
      <c r="AI382" s="55"/>
      <c r="AJ382" s="55"/>
      <c r="AK382" s="101">
        <f t="shared" ca="1" si="70"/>
        <v>195340.8289114754</v>
      </c>
      <c r="AL382" s="129">
        <f t="array" ref="AL382">MAX((УслРестрактов[Характеристика]="Дата реструктуризации")*(УслРестрактов[Значение]=Первоначальный!$A382),0)</f>
        <v>0</v>
      </c>
    </row>
    <row r="383" spans="1:38" x14ac:dyDescent="0.25">
      <c r="A383" s="97">
        <f t="shared" si="63"/>
        <v>44514</v>
      </c>
      <c r="B383" s="100">
        <f t="shared" ca="1" si="64"/>
        <v>149633.34</v>
      </c>
      <c r="C383" s="55">
        <f t="shared" ca="1" si="72"/>
        <v>24766.129999999979</v>
      </c>
      <c r="D383" s="55">
        <f t="shared" ca="1" si="72"/>
        <v>347.69000000000096</v>
      </c>
      <c r="E383" s="55">
        <f t="shared" ca="1" si="65"/>
        <v>0</v>
      </c>
      <c r="F383" s="55">
        <f t="shared" ca="1" si="66"/>
        <v>20593.668911475426</v>
      </c>
      <c r="G383" s="101">
        <f t="shared" ca="1" si="67"/>
        <v>195340.8289114754</v>
      </c>
      <c r="H383" s="100">
        <f ca="1">ROUND($B383*VLOOKUP($A383,$A$1:$B$10,2,1)/(365+IF(MOD(YEAR($A383),4),0,1)*($A383-$A382)),2)-Первоначальный[[#This Row],[Проценты на просроченный платеж по ОД за период]]</f>
        <v>79.12</v>
      </c>
      <c r="I383" s="55">
        <f t="shared" ca="1" si="68"/>
        <v>2.46</v>
      </c>
      <c r="J383" s="55">
        <v>0</v>
      </c>
      <c r="K383" s="55">
        <f t="shared" ca="1" si="71"/>
        <v>144.78350327868853</v>
      </c>
      <c r="L383" s="55">
        <v>0</v>
      </c>
      <c r="M383" s="113">
        <f>SUMIFS(График[Возврат основной суммы долга],График[Дата с учетом нерабочих дней],$A383)</f>
        <v>0</v>
      </c>
      <c r="N383" s="56">
        <f>SUMIFS(График[Возврат начисленных %],График[Дата с учетом нерабочих дней],$A383)</f>
        <v>0</v>
      </c>
      <c r="O383" s="101">
        <v>0</v>
      </c>
      <c r="P383" s="100" cm="1">
        <f t="array" aca="1" ref="P383" ca="1">MAX(IF(AA382="Да",0,SUM(INDIRECT("M"&amp;(MAX(("Да"=AA$12:AA382)*ROW(AA$12:AA382)+1,ROW($P$12))&amp;":M"&amp;(ROW()))))-SUM(INDIRECT("W"&amp;(MAX(("Да"=AA$12:AA382)*ROW(AA$12:AA382)+1,ROW($P$12))&amp;":W"&amp;(ROW()))))),0)</f>
        <v>4508.32</v>
      </c>
      <c r="Q383" s="99">
        <f ca="1">MAX(SUM($N$13:N383)-SUM($T$13:T383),0)</f>
        <v>24448.380655737703</v>
      </c>
      <c r="R383" s="99">
        <f ca="1">Первоначальный[[#This Row],[Просроченный платеж по ОД]]+Первоначальный[[#This Row],[Просроченный платеж по процентам]]</f>
        <v>28956.700655737703</v>
      </c>
      <c r="S383" s="120">
        <f ca="1">IF(Первоначальный[[#This Row],[Просроченный платеж]]&lt;1,0,S382+1)</f>
        <v>279</v>
      </c>
      <c r="T383" s="100" cm="1">
        <f t="array" aca="1" ref="T383" ca="1">IF(Первоначальный[[#This Row],[Итого остаток на начало периода]]&lt;1,0,
IF(
AND(TYPE(VLOOKUP(1,$Z$12:Z383,1,0))=16,Первоначальный[[#This Row],[Досрочное погашение (да/"")]]=""),0,
_xlfn.IFS(AND(S382=0,Первоначальный[[#This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платеж]]&lt;&gt;0),MIN(LOOKUP(,-1/($Z$12:Z383=1),$C$12:C383)+LOOKUP(,-1/($Z$12:Z383=1),$H$12:H383),Первоначальный[[#This Row],[Полученный платеж]]+Y382),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платеж]]+Y382,SUM(Первоначальный[[#This Row],[Остаток процентов на начало периода]],Первоначальный[[#This Row],[Проценты за период]])),
AND(S382=0,Первоначальный[[#This Row],[Дата платежа из графика]]=""),0,
AND(S382=0,Первоначальный[[#This Row],[Дата платежа из графика]]=1,MAX((0&lt;&gt;S$12:S382)*ROW(S$12:S382),ROW($S$12))&gt;=MAX((1=Z$12:Z382)*ROW(Z$12:Z382),ROW($T$12)),TYPE(VLOOKUP("Да",(INDIRECT("AA"&amp;(MAX((1=Z$12:Z382)*ROW(Z$12:Z382),ROW($T$12))&amp;":AA"&amp;(ROW()-1)))),1,0))=16),MIN(LOOKUP(,-1/($Z$12:Z383=1),$C$12:C383)+LOOKUP(,-1/($Z$12:Z383=1),$H$12:H383),Первоначальный[[#This Row],[Полученный платеж]]+Y382),
AND(S382=0,TYPE(VLOOKUP("Да",(INDIRECT("AA"&amp;(MAX((1=Z$12:Z382)*ROW(Z$12:Z382),ROW($T$12))&amp;":AA"&amp;(ROW()-1)))),1,0))&lt;&gt;16),MIN(LOOKUP(,-1/($Z$12:Z383=1),$C$12:C383)+LOOKUP(,-1/($Z$12:Z383=1),$H$12:H383)-IF(AA382="Да",0,SUM(INDIRECT("T"&amp;(MAX(("Да"=AA$12:AA382)*ROW(AA$12:AA382)+1,ROW($T$12))&amp;":T"&amp;(ROW()-1))))),Первоначальный[[#This Row],[Полученный платеж]]+Y382),
AND(S382=0,MAX((0&lt;&gt;N$12:N382)*ROW(N$12:N382),ROW($S$12))&gt;=MAX((1=Z$12:Z382)*ROW(Z$12:Z382),ROW($T$12))),MIN(LOOKUP(,-1/($Z$12:Z383=1),$C$12:C383)+LOOKUP(,-1/($Z$12:Z383=1),$H$12:H383)-IF(N382&lt;&gt;0,0,SUM(INDIRECT("T"&amp;(MAX((0&lt;&gt;N$12:N382)*ROW(N$12:N382)+1,ROW($T$12))&amp;":T"&amp;(ROW()-1))))),Первоначальный[[#This Row],[Полученный платеж]]+Y382),
AND(S382=0,Первоначальный[[#This Row],[Дата платежа из графика]]=1),MIN(LOOKUP(,-1/($Z$12:Z383=1),$C$12:C383)+LOOKUP(,-1/($Z$12:Z383=1),$H$12:H383)-IF(Z382=1,0,SUM(INDIRECT("T"&amp;(MAX((1=Z$12:Z382)*ROW(Z$12:Z382)+1,ROW($T$12))&amp;":T"&amp;(ROW()-1))))),Первоначальный[[#This Row],[Полученный платеж]]+Y382),
AND(Z382&gt;0,Первоначальный[[#This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платеж]]+Y382),
AND(S382&gt;0,MAX((0&lt;&gt;S$12:S382)*ROW(S$12:S382),ROW($S$12))&gt;=MAX((1=Z$12:Z382)*ROW(Z$12:Z382),ROW($T$12)),TYPE(VLOOKUP("Да",(INDIRECT("AA"&amp;(MAX((1=Z$12:Z382)*ROW(Z$12:Z382),ROW($T$12))&amp;":AA"&amp;(ROW()-1)))),1,0))=16),MIN(LOOKUP(,-1/($Z$12:Z383=1),$C$12:C383)+LOOKUP(,-1/($Z$12:Z383=1),$H$12:H383)-SUM(INDIRECT("T"&amp;(MAX((1=Z$12:Z382)*ROW(Z$12:Z382),ROW($T$12))&amp;":T"&amp;(ROW()-1)))),Первоначальный[[#This Row],[Полученный платеж]]+Y382),
S382&gt;0,MIN(LOOKUP(,-1/($Z$12:Z383=1),$C$12:C383)+LOOKUP(,-1/($Z$12:Z383=1),$H$12:H383)-IF(Z382=1,0,SUM(INDIRECT("T"&amp;(MAX((1=Z$12:Z382)*ROW(Z$12:Z382)+1,ROW($T$12))&amp;":T"&amp;(ROW()-1))))),Первоначальный[[#This Row],[Полученный платеж]]+Y382)
)
)
)</f>
        <v>0</v>
      </c>
      <c r="U38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платеж]]+Y382-Первоначальный[[#This Row],[Полученный платёж по процентам]])</f>
        <v>0</v>
      </c>
      <c r="V383" s="55">
        <f t="shared" ca="1" si="61"/>
        <v>0</v>
      </c>
      <c r="W383" s="55" cm="1">
        <f t="array" aca="1" ref="W383" ca="1">IF(Первоначальный[[#This Row],[Итого остаток на начало периода]]&lt;1,0,
_xlfn.IFS(
AND(TYPE(VLOOKUP(1,$Z$12:Z383,1,0))=16,Первоначальный[[#This Row],[Досрочное погашение (да/"")]]=""),0,
AND(S382=0,Первоначальный[[#This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платеж]]+Y382-SUM(Первоначальный[[#This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комиссиям]]),VLOOKUP(LOOKUP(,-1/($Z$12:Z383=1),$A$12:A383),График[[Срок конец]:[Возврат основной суммы долга]],3,0)),
AND(S382=0,Первоначальный[[#This Row],[Дата платежа из графика]]="",Первоначальный[[#This Row],[Досрочное погашение (да/"")]]&lt;&gt;"Да"),0,
AND(S382=0,Первоначальный[[#This Row],[Досрочное погашение (да/"")]]=""),MIN(Первоначальный[[#This Row],[Полученный платеж]]+Y382-SUM(Первоначальный[[#This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комиссиям]]),VLOOKUP(LOOKUP(,-1/($Z$12:Z383=1),$A$12:A383),График[[Срок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платеж]]+Y382-SUM(Первоначальный[[#This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S382&gt;0,MIN(Первоначальный[[#This Row],[Полученный платеж]]+Y382-SUM(Первоначальный[[#This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комиссиям]]),SUM(INDIRECT("M"&amp;(MAX((1=S$12:S382)*ROW(S$12:S382),ROW($W$12))&amp;":M"&amp;(ROW()))))-SUM(INDIRECT("W"&amp;(MAX((1=S$12:S382)*ROW(S$12:S382),ROW($W$12))&amp;":W"&amp;(ROW()-1)))))
)
)</f>
        <v>0</v>
      </c>
      <c r="X383" s="55">
        <f t="shared" ca="1" si="62"/>
        <v>0</v>
      </c>
      <c r="Y383" s="101">
        <f t="shared" ca="1" si="69"/>
        <v>0</v>
      </c>
      <c r="Z383" s="133" t="str">
        <f>IF(TYPE((VLOOKUP(Первоначальный[[#This Row],[Дата платежа]],График[Срок конец],1,0)))=16,"",1)</f>
        <v/>
      </c>
      <c r="AA383" s="57"/>
      <c r="AB383" s="134"/>
      <c r="AC38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8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24845.249999999978</v>
      </c>
      <c r="AE38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350.15000000000094</v>
      </c>
      <c r="AF38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8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20738.452414754116</v>
      </c>
      <c r="AH383" s="55"/>
      <c r="AI383" s="55"/>
      <c r="AJ383" s="55"/>
      <c r="AK383" s="101">
        <f t="shared" ca="1" si="70"/>
        <v>195567.19241475407</v>
      </c>
      <c r="AL383" s="129">
        <f t="array" ref="AL383">MAX((УслРестрактов[Характеристика]="Дата реструктуризации")*(УслРестрактов[Значение]=Первоначальный!$A383),0)</f>
        <v>0</v>
      </c>
    </row>
    <row r="384" spans="1:38" x14ac:dyDescent="0.25">
      <c r="A384" s="97">
        <f t="shared" si="63"/>
        <v>44515</v>
      </c>
      <c r="B384" s="100">
        <f t="shared" ca="1" si="64"/>
        <v>149633.34</v>
      </c>
      <c r="C384" s="55">
        <f t="shared" ca="1" si="72"/>
        <v>24845.249999999978</v>
      </c>
      <c r="D384" s="55">
        <f t="shared" ca="1" si="72"/>
        <v>350.15000000000094</v>
      </c>
      <c r="E384" s="55">
        <f t="shared" ca="1" si="65"/>
        <v>0</v>
      </c>
      <c r="F384" s="55">
        <f t="shared" ca="1" si="66"/>
        <v>20738.452414754116</v>
      </c>
      <c r="G384" s="101">
        <f t="shared" ca="1" si="67"/>
        <v>195567.19241475407</v>
      </c>
      <c r="H384" s="100">
        <f ca="1">ROUND($B384*VLOOKUP($A384,$A$1:$B$10,2,1)/(365+IF(MOD(YEAR($A384),4),0,1)*($A384-$A383)),2)-Первоначальный[[#This Row],[Проценты на просроченный платеж по ОД за период]]</f>
        <v>79.12</v>
      </c>
      <c r="I384" s="55">
        <f t="shared" ca="1" si="68"/>
        <v>2.46</v>
      </c>
      <c r="J384" s="55">
        <v>0</v>
      </c>
      <c r="K384" s="55">
        <f t="shared" ca="1" si="71"/>
        <v>144.78350327868853</v>
      </c>
      <c r="L384" s="55">
        <v>0</v>
      </c>
      <c r="M384" s="113">
        <f>SUMIFS(График[Возврат основной суммы долга],График[Дата с учетом нерабочих дней],$A384)</f>
        <v>0</v>
      </c>
      <c r="N384" s="56">
        <f>SUMIFS(График[Возврат начисленных %],График[Дата с учетом нерабочих дней],$A384)</f>
        <v>0</v>
      </c>
      <c r="O384" s="101">
        <v>0</v>
      </c>
      <c r="P384" s="100" cm="1">
        <f t="array" aca="1" ref="P384" ca="1">MAX(IF(AA383="Да",0,SUM(INDIRECT("M"&amp;(MAX(("Да"=AA$12:AA383)*ROW(AA$12:AA383)+1,ROW($P$12))&amp;":M"&amp;(ROW()))))-SUM(INDIRECT("W"&amp;(MAX(("Да"=AA$12:AA383)*ROW(AA$12:AA383)+1,ROW($P$12))&amp;":W"&amp;(ROW()))))),0)</f>
        <v>4508.32</v>
      </c>
      <c r="Q384" s="99">
        <f ca="1">MAX(SUM($N$13:N384)-SUM($T$13:T384),0)</f>
        <v>24448.380655737703</v>
      </c>
      <c r="R384" s="99">
        <f ca="1">Первоначальный[[#This Row],[Просроченный платеж по ОД]]+Первоначальный[[#This Row],[Просроченный платеж по процентам]]</f>
        <v>28956.700655737703</v>
      </c>
      <c r="S384" s="120">
        <f ca="1">IF(Первоначальный[[#This Row],[Просроченный платеж]]&lt;1,0,S383+1)</f>
        <v>280</v>
      </c>
      <c r="T384" s="100" cm="1">
        <f t="array" aca="1" ref="T384" ca="1">IF(Первоначальный[[#This Row],[Итого остаток на начало периода]]&lt;1,0,
IF(
AND(TYPE(VLOOKUP(1,$Z$12:Z384,1,0))=16,Первоначальный[[#This Row],[Досрочное погашение (да/"")]]=""),0,
_xlfn.IFS(AND(S383=0,Первоначальный[[#This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платеж]]&lt;&gt;0),MIN(LOOKUP(,-1/($Z$12:Z384=1),$C$12:C384)+LOOKUP(,-1/($Z$12:Z384=1),$H$12:H384),Первоначальный[[#This Row],[Полученный платеж]]+Y383),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платеж]]+Y383,SUM(Первоначальный[[#This Row],[Остаток процентов на начало периода]],Первоначальный[[#This Row],[Проценты за период]])),
AND(S383=0,Первоначальный[[#This Row],[Дата платежа из графика]]=""),0,
AND(S383=0,Первоначальный[[#This Row],[Дата платежа из графика]]=1,MAX((0&lt;&gt;S$12:S383)*ROW(S$12:S383),ROW($S$12))&gt;=MAX((1=Z$12:Z383)*ROW(Z$12:Z383),ROW($T$12)),TYPE(VLOOKUP("Да",(INDIRECT("AA"&amp;(MAX((1=Z$12:Z383)*ROW(Z$12:Z383),ROW($T$12))&amp;":AA"&amp;(ROW()-1)))),1,0))=16),MIN(LOOKUP(,-1/($Z$12:Z384=1),$C$12:C384)+LOOKUP(,-1/($Z$12:Z384=1),$H$12:H384),Первоначальный[[#This Row],[Полученный платеж]]+Y383),
AND(S383=0,TYPE(VLOOKUP("Да",(INDIRECT("AA"&amp;(MAX((1=Z$12:Z383)*ROW(Z$12:Z383),ROW($T$12))&amp;":AA"&amp;(ROW()-1)))),1,0))&lt;&gt;16),MIN(LOOKUP(,-1/($Z$12:Z384=1),$C$12:C384)+LOOKUP(,-1/($Z$12:Z384=1),$H$12:H384)-IF(AA383="Да",0,SUM(INDIRECT("T"&amp;(MAX(("Да"=AA$12:AA383)*ROW(AA$12:AA383)+1,ROW($T$12))&amp;":T"&amp;(ROW()-1))))),Первоначальный[[#This Row],[Полученный платеж]]+Y383),
AND(S383=0,MAX((0&lt;&gt;N$12:N383)*ROW(N$12:N383),ROW($S$12))&gt;=MAX((1=Z$12:Z383)*ROW(Z$12:Z383),ROW($T$12))),MIN(LOOKUP(,-1/($Z$12:Z384=1),$C$12:C384)+LOOKUP(,-1/($Z$12:Z384=1),$H$12:H384)-IF(N383&lt;&gt;0,0,SUM(INDIRECT("T"&amp;(MAX((0&lt;&gt;N$12:N383)*ROW(N$12:N383)+1,ROW($T$12))&amp;":T"&amp;(ROW()-1))))),Первоначальный[[#This Row],[Полученный платеж]]+Y383),
AND(S383=0,Первоначальный[[#This Row],[Дата платежа из графика]]=1),MIN(LOOKUP(,-1/($Z$12:Z384=1),$C$12:C384)+LOOKUP(,-1/($Z$12:Z384=1),$H$12:H384)-IF(Z383=1,0,SUM(INDIRECT("T"&amp;(MAX((1=Z$12:Z383)*ROW(Z$12:Z383)+1,ROW($T$12))&amp;":T"&amp;(ROW()-1))))),Первоначальный[[#This Row],[Полученный платеж]]+Y383),
AND(Z383&gt;0,Первоначальный[[#This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платеж]]+Y383),
AND(S383&gt;0,MAX((0&lt;&gt;S$12:S383)*ROW(S$12:S383),ROW($S$12))&gt;=MAX((1=Z$12:Z383)*ROW(Z$12:Z383),ROW($T$12)),TYPE(VLOOKUP("Да",(INDIRECT("AA"&amp;(MAX((1=Z$12:Z383)*ROW(Z$12:Z383),ROW($T$12))&amp;":AA"&amp;(ROW()-1)))),1,0))=16),MIN(LOOKUP(,-1/($Z$12:Z384=1),$C$12:C384)+LOOKUP(,-1/($Z$12:Z384=1),$H$12:H384)-SUM(INDIRECT("T"&amp;(MAX((1=Z$12:Z383)*ROW(Z$12:Z383),ROW($T$12))&amp;":T"&amp;(ROW()-1)))),Первоначальный[[#This Row],[Полученный платеж]]+Y383),
S383&gt;0,MIN(LOOKUP(,-1/($Z$12:Z384=1),$C$12:C384)+LOOKUP(,-1/($Z$12:Z384=1),$H$12:H384)-IF(Z383=1,0,SUM(INDIRECT("T"&amp;(MAX((1=Z$12:Z383)*ROW(Z$12:Z383)+1,ROW($T$12))&amp;":T"&amp;(ROW()-1))))),Первоначальный[[#This Row],[Полученный платеж]]+Y383)
)
)
)</f>
        <v>0</v>
      </c>
      <c r="U38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платеж]]+Y383-Первоначальный[[#This Row],[Полученный платёж по процентам]])</f>
        <v>0</v>
      </c>
      <c r="V384" s="55">
        <f t="shared" ca="1" si="61"/>
        <v>0</v>
      </c>
      <c r="W384" s="55" cm="1">
        <f t="array" aca="1" ref="W384" ca="1">IF(Первоначальный[[#This Row],[Итого остаток на начало периода]]&lt;1,0,
_xlfn.IFS(
AND(TYPE(VLOOKUP(1,$Z$12:Z384,1,0))=16,Первоначальный[[#This Row],[Досрочное погашение (да/"")]]=""),0,
AND(S383=0,Первоначальный[[#This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платеж]]+Y383-SUM(Первоначальный[[#This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комиссиям]]),VLOOKUP(LOOKUP(,-1/($Z$12:Z384=1),$A$12:A384),График[[Срок конец]:[Возврат основной суммы долга]],3,0)),
AND(S383=0,Первоначальный[[#This Row],[Дата платежа из графика]]="",Первоначальный[[#This Row],[Досрочное погашение (да/"")]]&lt;&gt;"Да"),0,
AND(S383=0,Первоначальный[[#This Row],[Досрочное погашение (да/"")]]=""),MIN(Первоначальный[[#This Row],[Полученный платеж]]+Y383-SUM(Первоначальный[[#This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комиссиям]]),VLOOKUP(LOOKUP(,-1/($Z$12:Z384=1),$A$12:A384),График[[Срок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платеж]]+Y383-SUM(Первоначальный[[#This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S383&gt;0,MIN(Первоначальный[[#This Row],[Полученный платеж]]+Y383-SUM(Первоначальный[[#This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комиссиям]]),SUM(INDIRECT("M"&amp;(MAX((1=S$12:S383)*ROW(S$12:S383),ROW($W$12))&amp;":M"&amp;(ROW()))))-SUM(INDIRECT("W"&amp;(MAX((1=S$12:S383)*ROW(S$12:S383),ROW($W$12))&amp;":W"&amp;(ROW()-1)))))
)
)</f>
        <v>0</v>
      </c>
      <c r="X384" s="55">
        <f t="shared" ca="1" si="62"/>
        <v>0</v>
      </c>
      <c r="Y384" s="101">
        <f t="shared" ca="1" si="69"/>
        <v>0</v>
      </c>
      <c r="Z384" s="133" t="str">
        <f>IF(TYPE((VLOOKUP(Первоначальный[[#This Row],[Дата платежа]],График[Срок конец],1,0)))=16,"",1)</f>
        <v/>
      </c>
      <c r="AA384" s="57"/>
      <c r="AB384" s="134"/>
      <c r="AC38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8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24924.369999999977</v>
      </c>
      <c r="AE38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352.61000000000092</v>
      </c>
      <c r="AF38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8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20883.235918032806</v>
      </c>
      <c r="AH384" s="55"/>
      <c r="AI384" s="55"/>
      <c r="AJ384" s="55"/>
      <c r="AK384" s="101">
        <f t="shared" ca="1" si="70"/>
        <v>195793.55591803277</v>
      </c>
      <c r="AL384" s="129">
        <f t="array" ref="AL384">MAX((УслРестрактов[Характеристика]="Дата реструктуризации")*(УслРестрактов[Значение]=Первоначальный!$A384),0)</f>
        <v>0</v>
      </c>
    </row>
    <row r="385" spans="1:38" x14ac:dyDescent="0.25">
      <c r="A385" s="97">
        <f t="shared" si="63"/>
        <v>44516</v>
      </c>
      <c r="B385" s="100">
        <f t="shared" ca="1" si="64"/>
        <v>149633.34</v>
      </c>
      <c r="C385" s="55">
        <f t="shared" ca="1" si="72"/>
        <v>24924.369999999977</v>
      </c>
      <c r="D385" s="55">
        <f t="shared" ca="1" si="72"/>
        <v>352.61000000000092</v>
      </c>
      <c r="E385" s="55">
        <f t="shared" ca="1" si="65"/>
        <v>0</v>
      </c>
      <c r="F385" s="55">
        <f t="shared" ca="1" si="66"/>
        <v>20883.235918032806</v>
      </c>
      <c r="G385" s="101">
        <f t="shared" ca="1" si="67"/>
        <v>195793.55591803277</v>
      </c>
      <c r="H385" s="100">
        <f ca="1">ROUND($B385*VLOOKUP($A385,$A$1:$B$10,2,1)/(365+IF(MOD(YEAR($A385),4),0,1)*($A385-$A384)),2)-Первоначальный[[#This Row],[Проценты на просроченный платеж по ОД за период]]</f>
        <v>79.12</v>
      </c>
      <c r="I385" s="55">
        <f t="shared" ca="1" si="68"/>
        <v>2.46</v>
      </c>
      <c r="J385" s="55">
        <v>0</v>
      </c>
      <c r="K385" s="55">
        <f t="shared" ca="1" si="71"/>
        <v>144.78350327868853</v>
      </c>
      <c r="L385" s="55">
        <v>0</v>
      </c>
      <c r="M385" s="113">
        <f>SUMIFS(График[Возврат основной суммы долга],График[Дата с учетом нерабочих дней],$A385)</f>
        <v>0</v>
      </c>
      <c r="N385" s="56">
        <f>SUMIFS(График[Возврат начисленных %],График[Дата с учетом нерабочих дней],$A385)</f>
        <v>0</v>
      </c>
      <c r="O385" s="101">
        <v>0</v>
      </c>
      <c r="P385" s="100" cm="1">
        <f t="array" aca="1" ref="P385" ca="1">MAX(IF(AA384="Да",0,SUM(INDIRECT("M"&amp;(MAX(("Да"=AA$12:AA384)*ROW(AA$12:AA384)+1,ROW($P$12))&amp;":M"&amp;(ROW()))))-SUM(INDIRECT("W"&amp;(MAX(("Да"=AA$12:AA384)*ROW(AA$12:AA384)+1,ROW($P$12))&amp;":W"&amp;(ROW()))))),0)</f>
        <v>4508.32</v>
      </c>
      <c r="Q385" s="99">
        <f ca="1">MAX(SUM($N$13:N385)-SUM($T$13:T385),0)</f>
        <v>24448.380655737703</v>
      </c>
      <c r="R385" s="99">
        <f ca="1">Первоначальный[[#This Row],[Просроченный платеж по ОД]]+Первоначальный[[#This Row],[Просроченный платеж по процентам]]</f>
        <v>28956.700655737703</v>
      </c>
      <c r="S385" s="120">
        <f ca="1">IF(Первоначальный[[#This Row],[Просроченный платеж]]&lt;1,0,S384+1)</f>
        <v>281</v>
      </c>
      <c r="T385" s="100" cm="1">
        <f t="array" aca="1" ref="T385" ca="1">IF(Первоначальный[[#This Row],[Итого остаток на начало периода]]&lt;1,0,
IF(
AND(TYPE(VLOOKUP(1,$Z$12:Z385,1,0))=16,Первоначальный[[#This Row],[Досрочное погашение (да/"")]]=""),0,
_xlfn.IFS(AND(S384=0,Первоначальный[[#This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платеж]]&lt;&gt;0),MIN(LOOKUP(,-1/($Z$12:Z385=1),$C$12:C385)+LOOKUP(,-1/($Z$12:Z385=1),$H$12:H385),Первоначальный[[#This Row],[Полученный платеж]]+Y384),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платеж]]+Y384,SUM(Первоначальный[[#This Row],[Остаток процентов на начало периода]],Первоначальный[[#This Row],[Проценты за период]])),
AND(S384=0,Первоначальный[[#This Row],[Дата платежа из графика]]=""),0,
AND(S384=0,Первоначальный[[#This Row],[Дата платежа из графика]]=1,MAX((0&lt;&gt;S$12:S384)*ROW(S$12:S384),ROW($S$12))&gt;=MAX((1=Z$12:Z384)*ROW(Z$12:Z384),ROW($T$12)),TYPE(VLOOKUP("Да",(INDIRECT("AA"&amp;(MAX((1=Z$12:Z384)*ROW(Z$12:Z384),ROW($T$12))&amp;":AA"&amp;(ROW()-1)))),1,0))=16),MIN(LOOKUP(,-1/($Z$12:Z385=1),$C$12:C385)+LOOKUP(,-1/($Z$12:Z385=1),$H$12:H385),Первоначальный[[#This Row],[Полученный платеж]]+Y384),
AND(S384=0,TYPE(VLOOKUP("Да",(INDIRECT("AA"&amp;(MAX((1=Z$12:Z384)*ROW(Z$12:Z384),ROW($T$12))&amp;":AA"&amp;(ROW()-1)))),1,0))&lt;&gt;16),MIN(LOOKUP(,-1/($Z$12:Z385=1),$C$12:C385)+LOOKUP(,-1/($Z$12:Z385=1),$H$12:H385)-IF(AA384="Да",0,SUM(INDIRECT("T"&amp;(MAX(("Да"=AA$12:AA384)*ROW(AA$12:AA384)+1,ROW($T$12))&amp;":T"&amp;(ROW()-1))))),Первоначальный[[#This Row],[Полученный платеж]]+Y384),
AND(S384=0,MAX((0&lt;&gt;N$12:N384)*ROW(N$12:N384),ROW($S$12))&gt;=MAX((1=Z$12:Z384)*ROW(Z$12:Z384),ROW($T$12))),MIN(LOOKUP(,-1/($Z$12:Z385=1),$C$12:C385)+LOOKUP(,-1/($Z$12:Z385=1),$H$12:H385)-IF(N384&lt;&gt;0,0,SUM(INDIRECT("T"&amp;(MAX((0&lt;&gt;N$12:N384)*ROW(N$12:N384)+1,ROW($T$12))&amp;":T"&amp;(ROW()-1))))),Первоначальный[[#This Row],[Полученный платеж]]+Y384),
AND(S384=0,Первоначальный[[#This Row],[Дата платежа из графика]]=1),MIN(LOOKUP(,-1/($Z$12:Z385=1),$C$12:C385)+LOOKUP(,-1/($Z$12:Z385=1),$H$12:H385)-IF(Z384=1,0,SUM(INDIRECT("T"&amp;(MAX((1=Z$12:Z384)*ROW(Z$12:Z384)+1,ROW($T$12))&amp;":T"&amp;(ROW()-1))))),Первоначальный[[#This Row],[Полученный платеж]]+Y384),
AND(Z384&gt;0,Первоначальный[[#This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платеж]]+Y384),
AND(S384&gt;0,MAX((0&lt;&gt;S$12:S384)*ROW(S$12:S384),ROW($S$12))&gt;=MAX((1=Z$12:Z384)*ROW(Z$12:Z384),ROW($T$12)),TYPE(VLOOKUP("Да",(INDIRECT("AA"&amp;(MAX((1=Z$12:Z384)*ROW(Z$12:Z384),ROW($T$12))&amp;":AA"&amp;(ROW()-1)))),1,0))=16),MIN(LOOKUP(,-1/($Z$12:Z385=1),$C$12:C385)+LOOKUP(,-1/($Z$12:Z385=1),$H$12:H385)-SUM(INDIRECT("T"&amp;(MAX((1=Z$12:Z384)*ROW(Z$12:Z384),ROW($T$12))&amp;":T"&amp;(ROW()-1)))),Первоначальный[[#This Row],[Полученный платеж]]+Y384),
S384&gt;0,MIN(LOOKUP(,-1/($Z$12:Z385=1),$C$12:C385)+LOOKUP(,-1/($Z$12:Z385=1),$H$12:H385)-IF(Z384=1,0,SUM(INDIRECT("T"&amp;(MAX((1=Z$12:Z384)*ROW(Z$12:Z384)+1,ROW($T$12))&amp;":T"&amp;(ROW()-1))))),Первоначальный[[#This Row],[Полученный платеж]]+Y384)
)
)
)</f>
        <v>0</v>
      </c>
      <c r="U38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платеж]]+Y384-Первоначальный[[#This Row],[Полученный платёж по процентам]])</f>
        <v>0</v>
      </c>
      <c r="V385" s="55">
        <f t="shared" ca="1" si="61"/>
        <v>0</v>
      </c>
      <c r="W385" s="55" cm="1">
        <f t="array" aca="1" ref="W385" ca="1">IF(Первоначальный[[#This Row],[Итого остаток на начало периода]]&lt;1,0,
_xlfn.IFS(
AND(TYPE(VLOOKUP(1,$Z$12:Z385,1,0))=16,Первоначальный[[#This Row],[Досрочное погашение (да/"")]]=""),0,
AND(S384=0,Первоначальный[[#This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платеж]]+Y384-SUM(Первоначальный[[#This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комиссиям]]),VLOOKUP(LOOKUP(,-1/($Z$12:Z385=1),$A$12:A385),График[[Срок конец]:[Возврат основной суммы долга]],3,0)),
AND(S384=0,Первоначальный[[#This Row],[Дата платежа из графика]]="",Первоначальный[[#This Row],[Досрочное погашение (да/"")]]&lt;&gt;"Да"),0,
AND(S384=0,Первоначальный[[#This Row],[Досрочное погашение (да/"")]]=""),MIN(Первоначальный[[#This Row],[Полученный платеж]]+Y384-SUM(Первоначальный[[#This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комиссиям]]),VLOOKUP(LOOKUP(,-1/($Z$12:Z385=1),$A$12:A385),График[[Срок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платеж]]+Y384-SUM(Первоначальный[[#This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S384&gt;0,MIN(Первоначальный[[#This Row],[Полученный платеж]]+Y384-SUM(Первоначальный[[#This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комиссиям]]),SUM(INDIRECT("M"&amp;(MAX((1=S$12:S384)*ROW(S$12:S384),ROW($W$12))&amp;":M"&amp;(ROW()))))-SUM(INDIRECT("W"&amp;(MAX((1=S$12:S384)*ROW(S$12:S384),ROW($W$12))&amp;":W"&amp;(ROW()-1)))))
)
)</f>
        <v>0</v>
      </c>
      <c r="X385" s="55">
        <f t="shared" ca="1" si="62"/>
        <v>0</v>
      </c>
      <c r="Y385" s="101">
        <f t="shared" ca="1" si="69"/>
        <v>0</v>
      </c>
      <c r="Z385" s="133" t="str">
        <f>IF(TYPE((VLOOKUP(Первоначальный[[#This Row],[Дата платежа]],График[Срок конец],1,0)))=16,"",1)</f>
        <v/>
      </c>
      <c r="AA385" s="57"/>
      <c r="AB385" s="134"/>
      <c r="AC38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8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25003.489999999976</v>
      </c>
      <c r="AE38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355.0700000000009</v>
      </c>
      <c r="AF38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8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21028.019421311496</v>
      </c>
      <c r="AH385" s="55"/>
      <c r="AI385" s="55"/>
      <c r="AJ385" s="55"/>
      <c r="AK385" s="101">
        <f t="shared" ca="1" si="70"/>
        <v>196019.91942131147</v>
      </c>
      <c r="AL385" s="129">
        <f t="array" ref="AL385">MAX((УслРестрактов[Характеристика]="Дата реструктуризации")*(УслРестрактов[Значение]=Первоначальный!$A385),0)</f>
        <v>0</v>
      </c>
    </row>
    <row r="386" spans="1:38" x14ac:dyDescent="0.25">
      <c r="A386" s="97">
        <f t="shared" si="63"/>
        <v>44517</v>
      </c>
      <c r="B386" s="100">
        <f t="shared" ca="1" si="64"/>
        <v>149633.34</v>
      </c>
      <c r="C386" s="55">
        <f t="shared" ca="1" si="72"/>
        <v>25003.489999999976</v>
      </c>
      <c r="D386" s="55">
        <f t="shared" ca="1" si="72"/>
        <v>355.0700000000009</v>
      </c>
      <c r="E386" s="55">
        <f t="shared" ca="1" si="65"/>
        <v>0</v>
      </c>
      <c r="F386" s="55">
        <f t="shared" ca="1" si="66"/>
        <v>21028.019421311496</v>
      </c>
      <c r="G386" s="101">
        <f t="shared" ca="1" si="67"/>
        <v>196019.91942131147</v>
      </c>
      <c r="H386" s="100">
        <f ca="1">ROUND($B386*VLOOKUP($A386,$A$1:$B$10,2,1)/(365+IF(MOD(YEAR($A386),4),0,1)*($A386-$A385)),2)-Первоначальный[[#This Row],[Проценты на просроченный платеж по ОД за период]]</f>
        <v>79.12</v>
      </c>
      <c r="I386" s="55">
        <f t="shared" ca="1" si="68"/>
        <v>2.46</v>
      </c>
      <c r="J386" s="55">
        <v>0</v>
      </c>
      <c r="K386" s="55">
        <f t="shared" ca="1" si="71"/>
        <v>144.78350327868853</v>
      </c>
      <c r="L386" s="55">
        <v>0</v>
      </c>
      <c r="M386" s="113">
        <f>SUMIFS(График[Возврат основной суммы долга],График[Дата с учетом нерабочих дней],$A386)</f>
        <v>0</v>
      </c>
      <c r="N386" s="56">
        <f>SUMIFS(График[Возврат начисленных %],График[Дата с учетом нерабочих дней],$A386)</f>
        <v>0</v>
      </c>
      <c r="O386" s="101">
        <v>0</v>
      </c>
      <c r="P386" s="100" cm="1">
        <f t="array" aca="1" ref="P386" ca="1">MAX(IF(AA385="Да",0,SUM(INDIRECT("M"&amp;(MAX(("Да"=AA$12:AA385)*ROW(AA$12:AA385)+1,ROW($P$12))&amp;":M"&amp;(ROW()))))-SUM(INDIRECT("W"&amp;(MAX(("Да"=AA$12:AA385)*ROW(AA$12:AA385)+1,ROW($P$12))&amp;":W"&amp;(ROW()))))),0)</f>
        <v>4508.32</v>
      </c>
      <c r="Q386" s="99">
        <f ca="1">MAX(SUM($N$13:N386)-SUM($T$13:T386),0)</f>
        <v>24448.380655737703</v>
      </c>
      <c r="R386" s="99">
        <f ca="1">Первоначальный[[#This Row],[Просроченный платеж по ОД]]+Первоначальный[[#This Row],[Просроченный платеж по процентам]]</f>
        <v>28956.700655737703</v>
      </c>
      <c r="S386" s="120">
        <f ca="1">IF(Первоначальный[[#This Row],[Просроченный платеж]]&lt;1,0,S385+1)</f>
        <v>282</v>
      </c>
      <c r="T386" s="100" cm="1">
        <f t="array" aca="1" ref="T386" ca="1">IF(Первоначальный[[#This Row],[Итого остаток на начало периода]]&lt;1,0,
IF(
AND(TYPE(VLOOKUP(1,$Z$12:Z386,1,0))=16,Первоначальный[[#This Row],[Досрочное погашение (да/"")]]=""),0,
_xlfn.IFS(AND(S385=0,Первоначальный[[#This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платеж]]&lt;&gt;0),MIN(LOOKUP(,-1/($Z$12:Z386=1),$C$12:C386)+LOOKUP(,-1/($Z$12:Z386=1),$H$12:H386),Первоначальный[[#This Row],[Полученный платеж]]+Y385),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платеж]]+Y385,SUM(Первоначальный[[#This Row],[Остаток процентов на начало периода]],Первоначальный[[#This Row],[Проценты за период]])),
AND(S385=0,Первоначальный[[#This Row],[Дата платежа из графика]]=""),0,
AND(S385=0,Первоначальный[[#This Row],[Дата платежа из графика]]=1,MAX((0&lt;&gt;S$12:S385)*ROW(S$12:S385),ROW($S$12))&gt;=MAX((1=Z$12:Z385)*ROW(Z$12:Z385),ROW($T$12)),TYPE(VLOOKUP("Да",(INDIRECT("AA"&amp;(MAX((1=Z$12:Z385)*ROW(Z$12:Z385),ROW($T$12))&amp;":AA"&amp;(ROW()-1)))),1,0))=16),MIN(LOOKUP(,-1/($Z$12:Z386=1),$C$12:C386)+LOOKUP(,-1/($Z$12:Z386=1),$H$12:H386),Первоначальный[[#This Row],[Полученный платеж]]+Y385),
AND(S385=0,TYPE(VLOOKUP("Да",(INDIRECT("AA"&amp;(MAX((1=Z$12:Z385)*ROW(Z$12:Z385),ROW($T$12))&amp;":AA"&amp;(ROW()-1)))),1,0))&lt;&gt;16),MIN(LOOKUP(,-1/($Z$12:Z386=1),$C$12:C386)+LOOKUP(,-1/($Z$12:Z386=1),$H$12:H386)-IF(AA385="Да",0,SUM(INDIRECT("T"&amp;(MAX(("Да"=AA$12:AA385)*ROW(AA$12:AA385)+1,ROW($T$12))&amp;":T"&amp;(ROW()-1))))),Первоначальный[[#This Row],[Полученный платеж]]+Y385),
AND(S385=0,MAX((0&lt;&gt;N$12:N385)*ROW(N$12:N385),ROW($S$12))&gt;=MAX((1=Z$12:Z385)*ROW(Z$12:Z385),ROW($T$12))),MIN(LOOKUP(,-1/($Z$12:Z386=1),$C$12:C386)+LOOKUP(,-1/($Z$12:Z386=1),$H$12:H386)-IF(N385&lt;&gt;0,0,SUM(INDIRECT("T"&amp;(MAX((0&lt;&gt;N$12:N385)*ROW(N$12:N385)+1,ROW($T$12))&amp;":T"&amp;(ROW()-1))))),Первоначальный[[#This Row],[Полученный платеж]]+Y385),
AND(S385=0,Первоначальный[[#This Row],[Дата платежа из графика]]=1),MIN(LOOKUP(,-1/($Z$12:Z386=1),$C$12:C386)+LOOKUP(,-1/($Z$12:Z386=1),$H$12:H386)-IF(Z385=1,0,SUM(INDIRECT("T"&amp;(MAX((1=Z$12:Z385)*ROW(Z$12:Z385)+1,ROW($T$12))&amp;":T"&amp;(ROW()-1))))),Первоначальный[[#This Row],[Полученный платеж]]+Y385),
AND(Z385&gt;0,Первоначальный[[#This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платеж]]+Y385),
AND(S385&gt;0,MAX((0&lt;&gt;S$12:S385)*ROW(S$12:S385),ROW($S$12))&gt;=MAX((1=Z$12:Z385)*ROW(Z$12:Z385),ROW($T$12)),TYPE(VLOOKUP("Да",(INDIRECT("AA"&amp;(MAX((1=Z$12:Z385)*ROW(Z$12:Z385),ROW($T$12))&amp;":AA"&amp;(ROW()-1)))),1,0))=16),MIN(LOOKUP(,-1/($Z$12:Z386=1),$C$12:C386)+LOOKUP(,-1/($Z$12:Z386=1),$H$12:H386)-SUM(INDIRECT("T"&amp;(MAX((1=Z$12:Z385)*ROW(Z$12:Z385),ROW($T$12))&amp;":T"&amp;(ROW()-1)))),Первоначальный[[#This Row],[Полученный платеж]]+Y385),
S385&gt;0,MIN(LOOKUP(,-1/($Z$12:Z386=1),$C$12:C386)+LOOKUP(,-1/($Z$12:Z386=1),$H$12:H386)-IF(Z385=1,0,SUM(INDIRECT("T"&amp;(MAX((1=Z$12:Z385)*ROW(Z$12:Z385)+1,ROW($T$12))&amp;":T"&amp;(ROW()-1))))),Первоначальный[[#This Row],[Полученный платеж]]+Y385)
)
)
)</f>
        <v>0</v>
      </c>
      <c r="U38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платеж]]+Y385-Первоначальный[[#This Row],[Полученный платёж по процентам]])</f>
        <v>0</v>
      </c>
      <c r="V386" s="55">
        <f t="shared" ca="1" si="61"/>
        <v>0</v>
      </c>
      <c r="W386" s="55" cm="1">
        <f t="array" aca="1" ref="W386" ca="1">IF(Первоначальный[[#This Row],[Итого остаток на начало периода]]&lt;1,0,
_xlfn.IFS(
AND(TYPE(VLOOKUP(1,$Z$12:Z386,1,0))=16,Первоначальный[[#This Row],[Досрочное погашение (да/"")]]=""),0,
AND(S385=0,Первоначальный[[#This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платеж]]+Y385-SUM(Первоначальный[[#This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комиссиям]]),VLOOKUP(LOOKUP(,-1/($Z$12:Z386=1),$A$12:A386),График[[Срок конец]:[Возврат основной суммы долга]],3,0)),
AND(S385=0,Первоначальный[[#This Row],[Дата платежа из графика]]="",Первоначальный[[#This Row],[Досрочное погашение (да/"")]]&lt;&gt;"Да"),0,
AND(S385=0,Первоначальный[[#This Row],[Досрочное погашение (да/"")]]=""),MIN(Первоначальный[[#This Row],[Полученный платеж]]+Y385-SUM(Первоначальный[[#This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комиссиям]]),VLOOKUP(LOOKUP(,-1/($Z$12:Z386=1),$A$12:A386),График[[Срок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платеж]]+Y385-SUM(Первоначальный[[#This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S385&gt;0,MIN(Первоначальный[[#This Row],[Полученный платеж]]+Y385-SUM(Первоначальный[[#This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комиссиям]]),SUM(INDIRECT("M"&amp;(MAX((1=S$12:S385)*ROW(S$12:S385),ROW($W$12))&amp;":M"&amp;(ROW()))))-SUM(INDIRECT("W"&amp;(MAX((1=S$12:S385)*ROW(S$12:S385),ROW($W$12))&amp;":W"&amp;(ROW()-1)))))
)
)</f>
        <v>0</v>
      </c>
      <c r="X386" s="55">
        <f t="shared" ca="1" si="62"/>
        <v>0</v>
      </c>
      <c r="Y386" s="101">
        <f t="shared" ca="1" si="69"/>
        <v>0</v>
      </c>
      <c r="Z386" s="133" t="str">
        <f>IF(TYPE((VLOOKUP(Первоначальный[[#This Row],[Дата платежа]],График[Срок конец],1,0)))=16,"",1)</f>
        <v/>
      </c>
      <c r="AA386" s="57"/>
      <c r="AB386" s="134"/>
      <c r="AC38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8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25082.609999999975</v>
      </c>
      <c r="AE38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357.53000000000088</v>
      </c>
      <c r="AF38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8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21172.802924590185</v>
      </c>
      <c r="AH386" s="55"/>
      <c r="AI386" s="55"/>
      <c r="AJ386" s="55"/>
      <c r="AK386" s="101">
        <f t="shared" ca="1" si="70"/>
        <v>196246.28292459017</v>
      </c>
      <c r="AL386" s="129">
        <f t="array" ref="AL386">MAX((УслРестрактов[Характеристика]="Дата реструктуризации")*(УслРестрактов[Значение]=Первоначальный!$A386),0)</f>
        <v>0</v>
      </c>
    </row>
    <row r="387" spans="1:38" x14ac:dyDescent="0.25">
      <c r="A387" s="97">
        <f t="shared" si="63"/>
        <v>44518</v>
      </c>
      <c r="B387" s="100">
        <f t="shared" ca="1" si="64"/>
        <v>149633.34</v>
      </c>
      <c r="C387" s="55">
        <f t="shared" ca="1" si="72"/>
        <v>25082.609999999975</v>
      </c>
      <c r="D387" s="55">
        <f t="shared" ca="1" si="72"/>
        <v>357.53000000000088</v>
      </c>
      <c r="E387" s="55">
        <f t="shared" ca="1" si="65"/>
        <v>0</v>
      </c>
      <c r="F387" s="55">
        <f t="shared" ca="1" si="66"/>
        <v>21172.802924590185</v>
      </c>
      <c r="G387" s="101">
        <f t="shared" ca="1" si="67"/>
        <v>196246.28292459017</v>
      </c>
      <c r="H387" s="100">
        <f ca="1">ROUND($B387*VLOOKUP($A387,$A$1:$B$10,2,1)/(365+IF(MOD(YEAR($A387),4),0,1)*($A387-$A386)),2)-Первоначальный[[#This Row],[Проценты на просроченный платеж по ОД за период]]</f>
        <v>79.12</v>
      </c>
      <c r="I387" s="55">
        <f t="shared" ca="1" si="68"/>
        <v>2.46</v>
      </c>
      <c r="J387" s="55">
        <v>0</v>
      </c>
      <c r="K387" s="55">
        <f t="shared" ca="1" si="71"/>
        <v>144.78350327868853</v>
      </c>
      <c r="L387" s="55">
        <v>0</v>
      </c>
      <c r="M387" s="113">
        <f>SUMIFS(График[Возврат основной суммы долга],График[Дата с учетом нерабочих дней],$A387)</f>
        <v>0</v>
      </c>
      <c r="N387" s="56">
        <f>SUMIFS(График[Возврат начисленных %],График[Дата с учетом нерабочих дней],$A387)</f>
        <v>0</v>
      </c>
      <c r="O387" s="101">
        <v>0</v>
      </c>
      <c r="P387" s="100" cm="1">
        <f t="array" aca="1" ref="P387" ca="1">MAX(IF(AA386="Да",0,SUM(INDIRECT("M"&amp;(MAX(("Да"=AA$12:AA386)*ROW(AA$12:AA386)+1,ROW($P$12))&amp;":M"&amp;(ROW()))))-SUM(INDIRECT("W"&amp;(MAX(("Да"=AA$12:AA386)*ROW(AA$12:AA386)+1,ROW($P$12))&amp;":W"&amp;(ROW()))))),0)</f>
        <v>4508.32</v>
      </c>
      <c r="Q387" s="99">
        <f ca="1">MAX(SUM($N$13:N387)-SUM($T$13:T387),0)</f>
        <v>24448.380655737703</v>
      </c>
      <c r="R387" s="99">
        <f ca="1">Первоначальный[[#This Row],[Просроченный платеж по ОД]]+Первоначальный[[#This Row],[Просроченный платеж по процентам]]</f>
        <v>28956.700655737703</v>
      </c>
      <c r="S387" s="120">
        <f ca="1">IF(Первоначальный[[#This Row],[Просроченный платеж]]&lt;1,0,S386+1)</f>
        <v>283</v>
      </c>
      <c r="T387" s="100" cm="1">
        <f t="array" aca="1" ref="T387" ca="1">IF(Первоначальный[[#This Row],[Итого остаток на начало периода]]&lt;1,0,
IF(
AND(TYPE(VLOOKUP(1,$Z$12:Z387,1,0))=16,Первоначальный[[#This Row],[Досрочное погашение (да/"")]]=""),0,
_xlfn.IFS(AND(S386=0,Первоначальный[[#This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платеж]]&lt;&gt;0),MIN(LOOKUP(,-1/($Z$12:Z387=1),$C$12:C387)+LOOKUP(,-1/($Z$12:Z387=1),$H$12:H387),Первоначальный[[#This Row],[Полученный платеж]]+Y386),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платеж]]+Y386,SUM(Первоначальный[[#This Row],[Остаток процентов на начало периода]],Первоначальный[[#This Row],[Проценты за период]])),
AND(S386=0,Первоначальный[[#This Row],[Дата платежа из графика]]=""),0,
AND(S386=0,Первоначальный[[#This Row],[Дата платежа из графика]]=1,MAX((0&lt;&gt;S$12:S386)*ROW(S$12:S386),ROW($S$12))&gt;=MAX((1=Z$12:Z386)*ROW(Z$12:Z386),ROW($T$12)),TYPE(VLOOKUP("Да",(INDIRECT("AA"&amp;(MAX((1=Z$12:Z386)*ROW(Z$12:Z386),ROW($T$12))&amp;":AA"&amp;(ROW()-1)))),1,0))=16),MIN(LOOKUP(,-1/($Z$12:Z387=1),$C$12:C387)+LOOKUP(,-1/($Z$12:Z387=1),$H$12:H387),Первоначальный[[#This Row],[Полученный платеж]]+Y386),
AND(S386=0,TYPE(VLOOKUP("Да",(INDIRECT("AA"&amp;(MAX((1=Z$12:Z386)*ROW(Z$12:Z386),ROW($T$12))&amp;":AA"&amp;(ROW()-1)))),1,0))&lt;&gt;16),MIN(LOOKUP(,-1/($Z$12:Z387=1),$C$12:C387)+LOOKUP(,-1/($Z$12:Z387=1),$H$12:H387)-IF(AA386="Да",0,SUM(INDIRECT("T"&amp;(MAX(("Да"=AA$12:AA386)*ROW(AA$12:AA386)+1,ROW($T$12))&amp;":T"&amp;(ROW()-1))))),Первоначальный[[#This Row],[Полученный платеж]]+Y386),
AND(S386=0,MAX((0&lt;&gt;N$12:N386)*ROW(N$12:N386),ROW($S$12))&gt;=MAX((1=Z$12:Z386)*ROW(Z$12:Z386),ROW($T$12))),MIN(LOOKUP(,-1/($Z$12:Z387=1),$C$12:C387)+LOOKUP(,-1/($Z$12:Z387=1),$H$12:H387)-IF(N386&lt;&gt;0,0,SUM(INDIRECT("T"&amp;(MAX((0&lt;&gt;N$12:N386)*ROW(N$12:N386)+1,ROW($T$12))&amp;":T"&amp;(ROW()-1))))),Первоначальный[[#This Row],[Полученный платеж]]+Y386),
AND(S386=0,Первоначальный[[#This Row],[Дата платежа из графика]]=1),MIN(LOOKUP(,-1/($Z$12:Z387=1),$C$12:C387)+LOOKUP(,-1/($Z$12:Z387=1),$H$12:H387)-IF(Z386=1,0,SUM(INDIRECT("T"&amp;(MAX((1=Z$12:Z386)*ROW(Z$12:Z386)+1,ROW($T$12))&amp;":T"&amp;(ROW()-1))))),Первоначальный[[#This Row],[Полученный платеж]]+Y386),
AND(Z386&gt;0,Первоначальный[[#This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платеж]]+Y386),
AND(S386&gt;0,MAX((0&lt;&gt;S$12:S386)*ROW(S$12:S386),ROW($S$12))&gt;=MAX((1=Z$12:Z386)*ROW(Z$12:Z386),ROW($T$12)),TYPE(VLOOKUP("Да",(INDIRECT("AA"&amp;(MAX((1=Z$12:Z386)*ROW(Z$12:Z386),ROW($T$12))&amp;":AA"&amp;(ROW()-1)))),1,0))=16),MIN(LOOKUP(,-1/($Z$12:Z387=1),$C$12:C387)+LOOKUP(,-1/($Z$12:Z387=1),$H$12:H387)-SUM(INDIRECT("T"&amp;(MAX((1=Z$12:Z386)*ROW(Z$12:Z386),ROW($T$12))&amp;":T"&amp;(ROW()-1)))),Первоначальный[[#This Row],[Полученный платеж]]+Y386),
S386&gt;0,MIN(LOOKUP(,-1/($Z$12:Z387=1),$C$12:C387)+LOOKUP(,-1/($Z$12:Z387=1),$H$12:H387)-IF(Z386=1,0,SUM(INDIRECT("T"&amp;(MAX((1=Z$12:Z386)*ROW(Z$12:Z386)+1,ROW($T$12))&amp;":T"&amp;(ROW()-1))))),Первоначальный[[#This Row],[Полученный платеж]]+Y386)
)
)
)</f>
        <v>0</v>
      </c>
      <c r="U38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платеж]]+Y386-Первоначальный[[#This Row],[Полученный платёж по процентам]])</f>
        <v>0</v>
      </c>
      <c r="V387" s="55">
        <f t="shared" ca="1" si="61"/>
        <v>0</v>
      </c>
      <c r="W387" s="55" cm="1">
        <f t="array" aca="1" ref="W387" ca="1">IF(Первоначальный[[#This Row],[Итого остаток на начало периода]]&lt;1,0,
_xlfn.IFS(
AND(TYPE(VLOOKUP(1,$Z$12:Z387,1,0))=16,Первоначальный[[#This Row],[Досрочное погашение (да/"")]]=""),0,
AND(S386=0,Первоначальный[[#This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платеж]]+Y386-SUM(Первоначальный[[#This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комиссиям]]),VLOOKUP(LOOKUP(,-1/($Z$12:Z387=1),$A$12:A387),График[[Срок конец]:[Возврат основной суммы долга]],3,0)),
AND(S386=0,Первоначальный[[#This Row],[Дата платежа из графика]]="",Первоначальный[[#This Row],[Досрочное погашение (да/"")]]&lt;&gt;"Да"),0,
AND(S386=0,Первоначальный[[#This Row],[Досрочное погашение (да/"")]]=""),MIN(Первоначальный[[#This Row],[Полученный платеж]]+Y386-SUM(Первоначальный[[#This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комиссиям]]),VLOOKUP(LOOKUP(,-1/($Z$12:Z387=1),$A$12:A387),График[[Срок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платеж]]+Y386-SUM(Первоначальный[[#This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S386&gt;0,MIN(Первоначальный[[#This Row],[Полученный платеж]]+Y386-SUM(Первоначальный[[#This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комиссиям]]),SUM(INDIRECT("M"&amp;(MAX((1=S$12:S386)*ROW(S$12:S386),ROW($W$12))&amp;":M"&amp;(ROW()))))-SUM(INDIRECT("W"&amp;(MAX((1=S$12:S386)*ROW(S$12:S386),ROW($W$12))&amp;":W"&amp;(ROW()-1)))))
)
)</f>
        <v>0</v>
      </c>
      <c r="X387" s="55">
        <f t="shared" ca="1" si="62"/>
        <v>0</v>
      </c>
      <c r="Y387" s="101">
        <f t="shared" ca="1" si="69"/>
        <v>0</v>
      </c>
      <c r="Z387" s="133" t="str">
        <f>IF(TYPE((VLOOKUP(Первоначальный[[#This Row],[Дата платежа]],График[Срок конец],1,0)))=16,"",1)</f>
        <v/>
      </c>
      <c r="AA387" s="57"/>
      <c r="AB387" s="134"/>
      <c r="AC38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8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25161.729999999974</v>
      </c>
      <c r="AE38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359.99000000000086</v>
      </c>
      <c r="AF38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8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21317.586427868875</v>
      </c>
      <c r="AH387" s="55"/>
      <c r="AI387" s="55"/>
      <c r="AJ387" s="55"/>
      <c r="AK387" s="101">
        <f t="shared" ca="1" si="70"/>
        <v>196472.64642786884</v>
      </c>
      <c r="AL387" s="129">
        <f t="array" ref="AL387">MAX((УслРестрактов[Характеристика]="Дата реструктуризации")*(УслРестрактов[Значение]=Первоначальный!$A387),0)</f>
        <v>0</v>
      </c>
    </row>
    <row r="388" spans="1:38" x14ac:dyDescent="0.25">
      <c r="A388" s="97">
        <f t="shared" si="63"/>
        <v>44519</v>
      </c>
      <c r="B388" s="100">
        <f t="shared" ca="1" si="64"/>
        <v>149633.34</v>
      </c>
      <c r="C388" s="55">
        <f t="shared" ca="1" si="72"/>
        <v>25161.729999999974</v>
      </c>
      <c r="D388" s="55">
        <f t="shared" ca="1" si="72"/>
        <v>359.99000000000086</v>
      </c>
      <c r="E388" s="55">
        <f t="shared" ca="1" si="65"/>
        <v>0</v>
      </c>
      <c r="F388" s="55">
        <f t="shared" ca="1" si="66"/>
        <v>21317.586427868875</v>
      </c>
      <c r="G388" s="101">
        <f t="shared" ca="1" si="67"/>
        <v>196472.64642786884</v>
      </c>
      <c r="H388" s="100">
        <f ca="1">ROUND($B388*VLOOKUP($A388,$A$1:$B$10,2,1)/(365+IF(MOD(YEAR($A388),4),0,1)*($A388-$A387)),2)-Первоначальный[[#This Row],[Проценты на просроченный платеж по ОД за период]]</f>
        <v>79.12</v>
      </c>
      <c r="I388" s="55">
        <f t="shared" ca="1" si="68"/>
        <v>2.46</v>
      </c>
      <c r="J388" s="55">
        <v>0</v>
      </c>
      <c r="K388" s="55">
        <f t="shared" ca="1" si="71"/>
        <v>144.78350327868853</v>
      </c>
      <c r="L388" s="55">
        <v>0</v>
      </c>
      <c r="M388" s="113">
        <f>SUMIFS(График[Возврат основной суммы долга],График[Дата с учетом нерабочих дней],$A388)</f>
        <v>0</v>
      </c>
      <c r="N388" s="56">
        <f>SUMIFS(График[Возврат начисленных %],График[Дата с учетом нерабочих дней],$A388)</f>
        <v>0</v>
      </c>
      <c r="O388" s="101">
        <v>0</v>
      </c>
      <c r="P388" s="100" cm="1">
        <f t="array" aca="1" ref="P388" ca="1">MAX(IF(AA387="Да",0,SUM(INDIRECT("M"&amp;(MAX(("Да"=AA$12:AA387)*ROW(AA$12:AA387)+1,ROW($P$12))&amp;":M"&amp;(ROW()))))-SUM(INDIRECT("W"&amp;(MAX(("Да"=AA$12:AA387)*ROW(AA$12:AA387)+1,ROW($P$12))&amp;":W"&amp;(ROW()))))),0)</f>
        <v>4508.32</v>
      </c>
      <c r="Q388" s="99">
        <f ca="1">MAX(SUM($N$13:N388)-SUM($T$13:T388),0)</f>
        <v>24448.380655737703</v>
      </c>
      <c r="R388" s="99">
        <f ca="1">Первоначальный[[#This Row],[Просроченный платеж по ОД]]+Первоначальный[[#This Row],[Просроченный платеж по процентам]]</f>
        <v>28956.700655737703</v>
      </c>
      <c r="S388" s="120">
        <f ca="1">IF(Первоначальный[[#This Row],[Просроченный платеж]]&lt;1,0,S387+1)</f>
        <v>284</v>
      </c>
      <c r="T388" s="100" cm="1">
        <f t="array" aca="1" ref="T388" ca="1">IF(Первоначальный[[#This Row],[Итого остаток на начало периода]]&lt;1,0,
IF(
AND(TYPE(VLOOKUP(1,$Z$12:Z388,1,0))=16,Первоначальный[[#This Row],[Досрочное погашение (да/"")]]=""),0,
_xlfn.IFS(AND(S387=0,Первоначальный[[#This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платеж]]&lt;&gt;0),MIN(LOOKUP(,-1/($Z$12:Z388=1),$C$12:C388)+LOOKUP(,-1/($Z$12:Z388=1),$H$12:H388),Первоначальный[[#This Row],[Полученный платеж]]+Y387),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платеж]]+Y387,SUM(Первоначальный[[#This Row],[Остаток процентов на начало периода]],Первоначальный[[#This Row],[Проценты за период]])),
AND(S387=0,Первоначальный[[#This Row],[Дата платежа из графика]]=""),0,
AND(S387=0,Первоначальный[[#This Row],[Дата платежа из графика]]=1,MAX((0&lt;&gt;S$12:S387)*ROW(S$12:S387),ROW($S$12))&gt;=MAX((1=Z$12:Z387)*ROW(Z$12:Z387),ROW($T$12)),TYPE(VLOOKUP("Да",(INDIRECT("AA"&amp;(MAX((1=Z$12:Z387)*ROW(Z$12:Z387),ROW($T$12))&amp;":AA"&amp;(ROW()-1)))),1,0))=16),MIN(LOOKUP(,-1/($Z$12:Z388=1),$C$12:C388)+LOOKUP(,-1/($Z$12:Z388=1),$H$12:H388),Первоначальный[[#This Row],[Полученный платеж]]+Y387),
AND(S387=0,TYPE(VLOOKUP("Да",(INDIRECT("AA"&amp;(MAX((1=Z$12:Z387)*ROW(Z$12:Z387),ROW($T$12))&amp;":AA"&amp;(ROW()-1)))),1,0))&lt;&gt;16),MIN(LOOKUP(,-1/($Z$12:Z388=1),$C$12:C388)+LOOKUP(,-1/($Z$12:Z388=1),$H$12:H388)-IF(AA387="Да",0,SUM(INDIRECT("T"&amp;(MAX(("Да"=AA$12:AA387)*ROW(AA$12:AA387)+1,ROW($T$12))&amp;":T"&amp;(ROW()-1))))),Первоначальный[[#This Row],[Полученный платеж]]+Y387),
AND(S387=0,MAX((0&lt;&gt;N$12:N387)*ROW(N$12:N387),ROW($S$12))&gt;=MAX((1=Z$12:Z387)*ROW(Z$12:Z387),ROW($T$12))),MIN(LOOKUP(,-1/($Z$12:Z388=1),$C$12:C388)+LOOKUP(,-1/($Z$12:Z388=1),$H$12:H388)-IF(N387&lt;&gt;0,0,SUM(INDIRECT("T"&amp;(MAX((0&lt;&gt;N$12:N387)*ROW(N$12:N387)+1,ROW($T$12))&amp;":T"&amp;(ROW()-1))))),Первоначальный[[#This Row],[Полученный платеж]]+Y387),
AND(S387=0,Первоначальный[[#This Row],[Дата платежа из графика]]=1),MIN(LOOKUP(,-1/($Z$12:Z388=1),$C$12:C388)+LOOKUP(,-1/($Z$12:Z388=1),$H$12:H388)-IF(Z387=1,0,SUM(INDIRECT("T"&amp;(MAX((1=Z$12:Z387)*ROW(Z$12:Z387)+1,ROW($T$12))&amp;":T"&amp;(ROW()-1))))),Первоначальный[[#This Row],[Полученный платеж]]+Y387),
AND(Z387&gt;0,Первоначальный[[#This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платеж]]+Y387),
AND(S387&gt;0,MAX((0&lt;&gt;S$12:S387)*ROW(S$12:S387),ROW($S$12))&gt;=MAX((1=Z$12:Z387)*ROW(Z$12:Z387),ROW($T$12)),TYPE(VLOOKUP("Да",(INDIRECT("AA"&amp;(MAX((1=Z$12:Z387)*ROW(Z$12:Z387),ROW($T$12))&amp;":AA"&amp;(ROW()-1)))),1,0))=16),MIN(LOOKUP(,-1/($Z$12:Z388=1),$C$12:C388)+LOOKUP(,-1/($Z$12:Z388=1),$H$12:H388)-SUM(INDIRECT("T"&amp;(MAX((1=Z$12:Z387)*ROW(Z$12:Z387),ROW($T$12))&amp;":T"&amp;(ROW()-1)))),Первоначальный[[#This Row],[Полученный платеж]]+Y387),
S387&gt;0,MIN(LOOKUP(,-1/($Z$12:Z388=1),$C$12:C388)+LOOKUP(,-1/($Z$12:Z388=1),$H$12:H388)-IF(Z387=1,0,SUM(INDIRECT("T"&amp;(MAX((1=Z$12:Z387)*ROW(Z$12:Z387)+1,ROW($T$12))&amp;":T"&amp;(ROW()-1))))),Первоначальный[[#This Row],[Полученный платеж]]+Y387)
)
)
)</f>
        <v>0</v>
      </c>
      <c r="U38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платеж]]+Y387-Первоначальный[[#This Row],[Полученный платёж по процентам]])</f>
        <v>0</v>
      </c>
      <c r="V388" s="55">
        <f t="shared" ca="1" si="61"/>
        <v>0</v>
      </c>
      <c r="W388" s="55" cm="1">
        <f t="array" aca="1" ref="W388" ca="1">IF(Первоначальный[[#This Row],[Итого остаток на начало периода]]&lt;1,0,
_xlfn.IFS(
AND(TYPE(VLOOKUP(1,$Z$12:Z388,1,0))=16,Первоначальный[[#This Row],[Досрочное погашение (да/"")]]=""),0,
AND(S387=0,Первоначальный[[#This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платеж]]+Y387-SUM(Первоначальный[[#This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комиссиям]]),VLOOKUP(LOOKUP(,-1/($Z$12:Z388=1),$A$12:A388),График[[Срок конец]:[Возврат основной суммы долга]],3,0)),
AND(S387=0,Первоначальный[[#This Row],[Дата платежа из графика]]="",Первоначальный[[#This Row],[Досрочное погашение (да/"")]]&lt;&gt;"Да"),0,
AND(S387=0,Первоначальный[[#This Row],[Досрочное погашение (да/"")]]=""),MIN(Первоначальный[[#This Row],[Полученный платеж]]+Y387-SUM(Первоначальный[[#This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комиссиям]]),VLOOKUP(LOOKUP(,-1/($Z$12:Z388=1),$A$12:A388),График[[Срок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платеж]]+Y387-SUM(Первоначальный[[#This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S387&gt;0,MIN(Первоначальный[[#This Row],[Полученный платеж]]+Y387-SUM(Первоначальный[[#This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комиссиям]]),SUM(INDIRECT("M"&amp;(MAX((1=S$12:S387)*ROW(S$12:S387),ROW($W$12))&amp;":M"&amp;(ROW()))))-SUM(INDIRECT("W"&amp;(MAX((1=S$12:S387)*ROW(S$12:S387),ROW($W$12))&amp;":W"&amp;(ROW()-1)))))
)
)</f>
        <v>0</v>
      </c>
      <c r="X388" s="55">
        <f t="shared" ca="1" si="62"/>
        <v>0</v>
      </c>
      <c r="Y388" s="101">
        <f t="shared" ca="1" si="69"/>
        <v>0</v>
      </c>
      <c r="Z388" s="133" t="str">
        <f>IF(TYPE((VLOOKUP(Первоначальный[[#This Row],[Дата платежа]],График[Срок конец],1,0)))=16,"",1)</f>
        <v/>
      </c>
      <c r="AA388" s="57"/>
      <c r="AB388" s="134"/>
      <c r="AC38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8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25240.849999999973</v>
      </c>
      <c r="AE38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362.45000000000084</v>
      </c>
      <c r="AF38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8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21462.369931147565</v>
      </c>
      <c r="AH388" s="55"/>
      <c r="AI388" s="55"/>
      <c r="AJ388" s="55"/>
      <c r="AK388" s="101">
        <f t="shared" ca="1" si="70"/>
        <v>196699.00993114756</v>
      </c>
      <c r="AL388" s="129">
        <f t="array" ref="AL388">MAX((УслРестрактов[Характеристика]="Дата реструктуризации")*(УслРестрактов[Значение]=Первоначальный!$A388),0)</f>
        <v>0</v>
      </c>
    </row>
    <row r="389" spans="1:38" x14ac:dyDescent="0.25">
      <c r="A389" s="97">
        <f t="shared" si="63"/>
        <v>44520</v>
      </c>
      <c r="B389" s="100">
        <f t="shared" ca="1" si="64"/>
        <v>149633.34</v>
      </c>
      <c r="C389" s="55">
        <f t="shared" ca="1" si="72"/>
        <v>25240.849999999973</v>
      </c>
      <c r="D389" s="55">
        <f t="shared" ca="1" si="72"/>
        <v>362.45000000000084</v>
      </c>
      <c r="E389" s="55">
        <f t="shared" ca="1" si="65"/>
        <v>0</v>
      </c>
      <c r="F389" s="55">
        <f t="shared" ca="1" si="66"/>
        <v>21462.369931147565</v>
      </c>
      <c r="G389" s="101">
        <f t="shared" ca="1" si="67"/>
        <v>196699.00993114756</v>
      </c>
      <c r="H389" s="100">
        <f ca="1">ROUND($B389*VLOOKUP($A389,$A$1:$B$10,2,1)/(365+IF(MOD(YEAR($A389),4),0,1)*($A389-$A388)),2)-Первоначальный[[#This Row],[Проценты на просроченный платеж по ОД за период]]</f>
        <v>79.12</v>
      </c>
      <c r="I389" s="55">
        <f t="shared" ca="1" si="68"/>
        <v>2.46</v>
      </c>
      <c r="J389" s="55">
        <v>0</v>
      </c>
      <c r="K389" s="55">
        <f t="shared" ca="1" si="71"/>
        <v>144.78350327868853</v>
      </c>
      <c r="L389" s="55">
        <v>0</v>
      </c>
      <c r="M389" s="113">
        <f>SUMIFS(График[Возврат основной суммы долга],График[Дата с учетом нерабочих дней],$A389)</f>
        <v>0</v>
      </c>
      <c r="N389" s="56">
        <f>SUMIFS(График[Возврат начисленных %],График[Дата с учетом нерабочих дней],$A389)</f>
        <v>0</v>
      </c>
      <c r="O389" s="101">
        <v>0</v>
      </c>
      <c r="P389" s="100" cm="1">
        <f t="array" aca="1" ref="P389" ca="1">MAX(IF(AA388="Да",0,SUM(INDIRECT("M"&amp;(MAX(("Да"=AA$12:AA388)*ROW(AA$12:AA388)+1,ROW($P$12))&amp;":M"&amp;(ROW()))))-SUM(INDIRECT("W"&amp;(MAX(("Да"=AA$12:AA388)*ROW(AA$12:AA388)+1,ROW($P$12))&amp;":W"&amp;(ROW()))))),0)</f>
        <v>4508.32</v>
      </c>
      <c r="Q389" s="99">
        <f ca="1">MAX(SUM($N$13:N389)-SUM($T$13:T389),0)</f>
        <v>24448.380655737703</v>
      </c>
      <c r="R389" s="99">
        <f ca="1">Первоначальный[[#This Row],[Просроченный платеж по ОД]]+Первоначальный[[#This Row],[Просроченный платеж по процентам]]</f>
        <v>28956.700655737703</v>
      </c>
      <c r="S389" s="120">
        <f ca="1">IF(Первоначальный[[#This Row],[Просроченный платеж]]&lt;1,0,S388+1)</f>
        <v>285</v>
      </c>
      <c r="T389" s="100" cm="1">
        <f t="array" aca="1" ref="T389" ca="1">IF(Первоначальный[[#This Row],[Итого остаток на начало периода]]&lt;1,0,
IF(
AND(TYPE(VLOOKUP(1,$Z$12:Z389,1,0))=16,Первоначальный[[#This Row],[Досрочное погашение (да/"")]]=""),0,
_xlfn.IFS(AND(S388=0,Первоначальный[[#This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платеж]]&lt;&gt;0),MIN(LOOKUP(,-1/($Z$12:Z389=1),$C$12:C389)+LOOKUP(,-1/($Z$12:Z389=1),$H$12:H389),Первоначальный[[#This Row],[Полученный платеж]]+Y388),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платеж]]+Y388,SUM(Первоначальный[[#This Row],[Остаток процентов на начало периода]],Первоначальный[[#This Row],[Проценты за период]])),
AND(S388=0,Первоначальный[[#This Row],[Дата платежа из графика]]=""),0,
AND(S388=0,Первоначальный[[#This Row],[Дата платежа из графика]]=1,MAX((0&lt;&gt;S$12:S388)*ROW(S$12:S388),ROW($S$12))&gt;=MAX((1=Z$12:Z388)*ROW(Z$12:Z388),ROW($T$12)),TYPE(VLOOKUP("Да",(INDIRECT("AA"&amp;(MAX((1=Z$12:Z388)*ROW(Z$12:Z388),ROW($T$12))&amp;":AA"&amp;(ROW()-1)))),1,0))=16),MIN(LOOKUP(,-1/($Z$12:Z389=1),$C$12:C389)+LOOKUP(,-1/($Z$12:Z389=1),$H$12:H389),Первоначальный[[#This Row],[Полученный платеж]]+Y388),
AND(S388=0,TYPE(VLOOKUP("Да",(INDIRECT("AA"&amp;(MAX((1=Z$12:Z388)*ROW(Z$12:Z388),ROW($T$12))&amp;":AA"&amp;(ROW()-1)))),1,0))&lt;&gt;16),MIN(LOOKUP(,-1/($Z$12:Z389=1),$C$12:C389)+LOOKUP(,-1/($Z$12:Z389=1),$H$12:H389)-IF(AA388="Да",0,SUM(INDIRECT("T"&amp;(MAX(("Да"=AA$12:AA388)*ROW(AA$12:AA388)+1,ROW($T$12))&amp;":T"&amp;(ROW()-1))))),Первоначальный[[#This Row],[Полученный платеж]]+Y388),
AND(S388=0,MAX((0&lt;&gt;N$12:N388)*ROW(N$12:N388),ROW($S$12))&gt;=MAX((1=Z$12:Z388)*ROW(Z$12:Z388),ROW($T$12))),MIN(LOOKUP(,-1/($Z$12:Z389=1),$C$12:C389)+LOOKUP(,-1/($Z$12:Z389=1),$H$12:H389)-IF(N388&lt;&gt;0,0,SUM(INDIRECT("T"&amp;(MAX((0&lt;&gt;N$12:N388)*ROW(N$12:N388)+1,ROW($T$12))&amp;":T"&amp;(ROW()-1))))),Первоначальный[[#This Row],[Полученный платеж]]+Y388),
AND(S388=0,Первоначальный[[#This Row],[Дата платежа из графика]]=1),MIN(LOOKUP(,-1/($Z$12:Z389=1),$C$12:C389)+LOOKUP(,-1/($Z$12:Z389=1),$H$12:H389)-IF(Z388=1,0,SUM(INDIRECT("T"&amp;(MAX((1=Z$12:Z388)*ROW(Z$12:Z388)+1,ROW($T$12))&amp;":T"&amp;(ROW()-1))))),Первоначальный[[#This Row],[Полученный платеж]]+Y388),
AND(Z388&gt;0,Первоначальный[[#This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платеж]]+Y388),
AND(S388&gt;0,MAX((0&lt;&gt;S$12:S388)*ROW(S$12:S388),ROW($S$12))&gt;=MAX((1=Z$12:Z388)*ROW(Z$12:Z388),ROW($T$12)),TYPE(VLOOKUP("Да",(INDIRECT("AA"&amp;(MAX((1=Z$12:Z388)*ROW(Z$12:Z388),ROW($T$12))&amp;":AA"&amp;(ROW()-1)))),1,0))=16),MIN(LOOKUP(,-1/($Z$12:Z389=1),$C$12:C389)+LOOKUP(,-1/($Z$12:Z389=1),$H$12:H389)-SUM(INDIRECT("T"&amp;(MAX((1=Z$12:Z388)*ROW(Z$12:Z388),ROW($T$12))&amp;":T"&amp;(ROW()-1)))),Первоначальный[[#This Row],[Полученный платеж]]+Y388),
S388&gt;0,MIN(LOOKUP(,-1/($Z$12:Z389=1),$C$12:C389)+LOOKUP(,-1/($Z$12:Z389=1),$H$12:H389)-IF(Z388=1,0,SUM(INDIRECT("T"&amp;(MAX((1=Z$12:Z388)*ROW(Z$12:Z388)+1,ROW($T$12))&amp;":T"&amp;(ROW()-1))))),Первоначальный[[#This Row],[Полученный платеж]]+Y388)
)
)
)</f>
        <v>0</v>
      </c>
      <c r="U38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платеж]]+Y388-Первоначальный[[#This Row],[Полученный платёж по процентам]])</f>
        <v>0</v>
      </c>
      <c r="V389" s="55">
        <f t="shared" ca="1" si="61"/>
        <v>0</v>
      </c>
      <c r="W389" s="55" cm="1">
        <f t="array" aca="1" ref="W389" ca="1">IF(Первоначальный[[#This Row],[Итого остаток на начало периода]]&lt;1,0,
_xlfn.IFS(
AND(TYPE(VLOOKUP(1,$Z$12:Z389,1,0))=16,Первоначальный[[#This Row],[Досрочное погашение (да/"")]]=""),0,
AND(S388=0,Первоначальный[[#This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платеж]]+Y388-SUM(Первоначальный[[#This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комиссиям]]),VLOOKUP(LOOKUP(,-1/($Z$12:Z389=1),$A$12:A389),График[[Срок конец]:[Возврат основной суммы долга]],3,0)),
AND(S388=0,Первоначальный[[#This Row],[Дата платежа из графика]]="",Первоначальный[[#This Row],[Досрочное погашение (да/"")]]&lt;&gt;"Да"),0,
AND(S388=0,Первоначальный[[#This Row],[Досрочное погашение (да/"")]]=""),MIN(Первоначальный[[#This Row],[Полученный платеж]]+Y388-SUM(Первоначальный[[#This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комиссиям]]),VLOOKUP(LOOKUP(,-1/($Z$12:Z389=1),$A$12:A389),График[[Срок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платеж]]+Y388-SUM(Первоначальный[[#This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S388&gt;0,MIN(Первоначальный[[#This Row],[Полученный платеж]]+Y388-SUM(Первоначальный[[#This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комиссиям]]),SUM(INDIRECT("M"&amp;(MAX((1=S$12:S388)*ROW(S$12:S388),ROW($W$12))&amp;":M"&amp;(ROW()))))-SUM(INDIRECT("W"&amp;(MAX((1=S$12:S388)*ROW(S$12:S388),ROW($W$12))&amp;":W"&amp;(ROW()-1)))))
)
)</f>
        <v>0</v>
      </c>
      <c r="X389" s="55">
        <f t="shared" ca="1" si="62"/>
        <v>0</v>
      </c>
      <c r="Y389" s="101">
        <f t="shared" ca="1" si="69"/>
        <v>0</v>
      </c>
      <c r="Z389" s="133" t="str">
        <f>IF(TYPE((VLOOKUP(Первоначальный[[#This Row],[Дата платежа]],График[Срок конец],1,0)))=16,"",1)</f>
        <v/>
      </c>
      <c r="AA389" s="57"/>
      <c r="AB389" s="134"/>
      <c r="AC38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8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25319.969999999972</v>
      </c>
      <c r="AE38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364.91000000000082</v>
      </c>
      <c r="AF38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8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21607.153434426255</v>
      </c>
      <c r="AH389" s="55"/>
      <c r="AI389" s="55"/>
      <c r="AJ389" s="55"/>
      <c r="AK389" s="101">
        <f t="shared" ca="1" si="70"/>
        <v>196925.37343442623</v>
      </c>
      <c r="AL389" s="129">
        <f t="array" ref="AL389">MAX((УслРестрактов[Характеристика]="Дата реструктуризации")*(УслРестрактов[Значение]=Первоначальный!$A389),0)</f>
        <v>0</v>
      </c>
    </row>
    <row r="390" spans="1:38" x14ac:dyDescent="0.25">
      <c r="A390" s="97">
        <f t="shared" si="63"/>
        <v>44521</v>
      </c>
      <c r="B390" s="100">
        <f t="shared" ca="1" si="64"/>
        <v>149633.34</v>
      </c>
      <c r="C390" s="55">
        <f t="shared" ca="1" si="72"/>
        <v>25319.969999999972</v>
      </c>
      <c r="D390" s="55">
        <f t="shared" ca="1" si="72"/>
        <v>364.91000000000082</v>
      </c>
      <c r="E390" s="55">
        <f t="shared" ca="1" si="65"/>
        <v>0</v>
      </c>
      <c r="F390" s="55">
        <f t="shared" ca="1" si="66"/>
        <v>21607.153434426255</v>
      </c>
      <c r="G390" s="101">
        <f t="shared" ca="1" si="67"/>
        <v>196925.37343442623</v>
      </c>
      <c r="H390" s="100">
        <f ca="1">ROUND($B390*VLOOKUP($A390,$A$1:$B$10,2,1)/(365+IF(MOD(YEAR($A390),4),0,1)*($A390-$A389)),2)-Первоначальный[[#This Row],[Проценты на просроченный платеж по ОД за период]]</f>
        <v>79.12</v>
      </c>
      <c r="I390" s="55">
        <f t="shared" ca="1" si="68"/>
        <v>2.46</v>
      </c>
      <c r="J390" s="55">
        <v>0</v>
      </c>
      <c r="K390" s="55">
        <f t="shared" ca="1" si="71"/>
        <v>144.78350327868853</v>
      </c>
      <c r="L390" s="55">
        <v>0</v>
      </c>
      <c r="M390" s="113">
        <f>SUMIFS(График[Возврат основной суммы долга],График[Дата с учетом нерабочих дней],$A390)</f>
        <v>0</v>
      </c>
      <c r="N390" s="56">
        <f>SUMIFS(График[Возврат начисленных %],График[Дата с учетом нерабочих дней],$A390)</f>
        <v>0</v>
      </c>
      <c r="O390" s="101">
        <v>0</v>
      </c>
      <c r="P390" s="100" cm="1">
        <f t="array" aca="1" ref="P390" ca="1">MAX(IF(AA389="Да",0,SUM(INDIRECT("M"&amp;(MAX(("Да"=AA$12:AA389)*ROW(AA$12:AA389)+1,ROW($P$12))&amp;":M"&amp;(ROW()))))-SUM(INDIRECT("W"&amp;(MAX(("Да"=AA$12:AA389)*ROW(AA$12:AA389)+1,ROW($P$12))&amp;":W"&amp;(ROW()))))),0)</f>
        <v>4508.32</v>
      </c>
      <c r="Q390" s="99">
        <f ca="1">MAX(SUM($N$13:N390)-SUM($T$13:T390),0)</f>
        <v>24448.380655737703</v>
      </c>
      <c r="R390" s="99">
        <f ca="1">Первоначальный[[#This Row],[Просроченный платеж по ОД]]+Первоначальный[[#This Row],[Просроченный платеж по процентам]]</f>
        <v>28956.700655737703</v>
      </c>
      <c r="S390" s="120">
        <f ca="1">IF(Первоначальный[[#This Row],[Просроченный платеж]]&lt;1,0,S389+1)</f>
        <v>286</v>
      </c>
      <c r="T390" s="100" cm="1">
        <f t="array" aca="1" ref="T390" ca="1">IF(Первоначальный[[#This Row],[Итого остаток на начало периода]]&lt;1,0,
IF(
AND(TYPE(VLOOKUP(1,$Z$12:Z390,1,0))=16,Первоначальный[[#This Row],[Досрочное погашение (да/"")]]=""),0,
_xlfn.IFS(AND(S389=0,Первоначальный[[#This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платеж]]&lt;&gt;0),MIN(LOOKUP(,-1/($Z$12:Z390=1),$C$12:C390)+LOOKUP(,-1/($Z$12:Z390=1),$H$12:H390),Первоначальный[[#This Row],[Полученный платеж]]+Y389),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платеж]]+Y389,SUM(Первоначальный[[#This Row],[Остаток процентов на начало периода]],Первоначальный[[#This Row],[Проценты за период]])),
AND(S389=0,Первоначальный[[#This Row],[Дата платежа из графика]]=""),0,
AND(S389=0,Первоначальный[[#This Row],[Дата платежа из графика]]=1,MAX((0&lt;&gt;S$12:S389)*ROW(S$12:S389),ROW($S$12))&gt;=MAX((1=Z$12:Z389)*ROW(Z$12:Z389),ROW($T$12)),TYPE(VLOOKUP("Да",(INDIRECT("AA"&amp;(MAX((1=Z$12:Z389)*ROW(Z$12:Z389),ROW($T$12))&amp;":AA"&amp;(ROW()-1)))),1,0))=16),MIN(LOOKUP(,-1/($Z$12:Z390=1),$C$12:C390)+LOOKUP(,-1/($Z$12:Z390=1),$H$12:H390),Первоначальный[[#This Row],[Полученный платеж]]+Y389),
AND(S389=0,TYPE(VLOOKUP("Да",(INDIRECT("AA"&amp;(MAX((1=Z$12:Z389)*ROW(Z$12:Z389),ROW($T$12))&amp;":AA"&amp;(ROW()-1)))),1,0))&lt;&gt;16),MIN(LOOKUP(,-1/($Z$12:Z390=1),$C$12:C390)+LOOKUP(,-1/($Z$12:Z390=1),$H$12:H390)-IF(AA389="Да",0,SUM(INDIRECT("T"&amp;(MAX(("Да"=AA$12:AA389)*ROW(AA$12:AA389)+1,ROW($T$12))&amp;":T"&amp;(ROW()-1))))),Первоначальный[[#This Row],[Полученный платеж]]+Y389),
AND(S389=0,MAX((0&lt;&gt;N$12:N389)*ROW(N$12:N389),ROW($S$12))&gt;=MAX((1=Z$12:Z389)*ROW(Z$12:Z389),ROW($T$12))),MIN(LOOKUP(,-1/($Z$12:Z390=1),$C$12:C390)+LOOKUP(,-1/($Z$12:Z390=1),$H$12:H390)-IF(N389&lt;&gt;0,0,SUM(INDIRECT("T"&amp;(MAX((0&lt;&gt;N$12:N389)*ROW(N$12:N389)+1,ROW($T$12))&amp;":T"&amp;(ROW()-1))))),Первоначальный[[#This Row],[Полученный платеж]]+Y389),
AND(S389=0,Первоначальный[[#This Row],[Дата платежа из графика]]=1),MIN(LOOKUP(,-1/($Z$12:Z390=1),$C$12:C390)+LOOKUP(,-1/($Z$12:Z390=1),$H$12:H390)-IF(Z389=1,0,SUM(INDIRECT("T"&amp;(MAX((1=Z$12:Z389)*ROW(Z$12:Z389)+1,ROW($T$12))&amp;":T"&amp;(ROW()-1))))),Первоначальный[[#This Row],[Полученный платеж]]+Y389),
AND(Z389&gt;0,Первоначальный[[#This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платеж]]+Y389),
AND(S389&gt;0,MAX((0&lt;&gt;S$12:S389)*ROW(S$12:S389),ROW($S$12))&gt;=MAX((1=Z$12:Z389)*ROW(Z$12:Z389),ROW($T$12)),TYPE(VLOOKUP("Да",(INDIRECT("AA"&amp;(MAX((1=Z$12:Z389)*ROW(Z$12:Z389),ROW($T$12))&amp;":AA"&amp;(ROW()-1)))),1,0))=16),MIN(LOOKUP(,-1/($Z$12:Z390=1),$C$12:C390)+LOOKUP(,-1/($Z$12:Z390=1),$H$12:H390)-SUM(INDIRECT("T"&amp;(MAX((1=Z$12:Z389)*ROW(Z$12:Z389),ROW($T$12))&amp;":T"&amp;(ROW()-1)))),Первоначальный[[#This Row],[Полученный платеж]]+Y389),
S389&gt;0,MIN(LOOKUP(,-1/($Z$12:Z390=1),$C$12:C390)+LOOKUP(,-1/($Z$12:Z390=1),$H$12:H390)-IF(Z389=1,0,SUM(INDIRECT("T"&amp;(MAX((1=Z$12:Z389)*ROW(Z$12:Z389)+1,ROW($T$12))&amp;":T"&amp;(ROW()-1))))),Первоначальный[[#This Row],[Полученный платеж]]+Y389)
)
)
)</f>
        <v>0</v>
      </c>
      <c r="U39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платеж]]+Y389-Первоначальный[[#This Row],[Полученный платёж по процентам]])</f>
        <v>0</v>
      </c>
      <c r="V390" s="55">
        <f t="shared" ca="1" si="61"/>
        <v>0</v>
      </c>
      <c r="W390" s="55" cm="1">
        <f t="array" aca="1" ref="W390" ca="1">IF(Первоначальный[[#This Row],[Итого остаток на начало периода]]&lt;1,0,
_xlfn.IFS(
AND(TYPE(VLOOKUP(1,$Z$12:Z390,1,0))=16,Первоначальный[[#This Row],[Досрочное погашение (да/"")]]=""),0,
AND(S389=0,Первоначальный[[#This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платеж]]+Y389-SUM(Первоначальный[[#This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комиссиям]]),VLOOKUP(LOOKUP(,-1/($Z$12:Z390=1),$A$12:A390),График[[Срок конец]:[Возврат основной суммы долга]],3,0)),
AND(S389=0,Первоначальный[[#This Row],[Дата платежа из графика]]="",Первоначальный[[#This Row],[Досрочное погашение (да/"")]]&lt;&gt;"Да"),0,
AND(S389=0,Первоначальный[[#This Row],[Досрочное погашение (да/"")]]=""),MIN(Первоначальный[[#This Row],[Полученный платеж]]+Y389-SUM(Первоначальный[[#This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комиссиям]]),VLOOKUP(LOOKUP(,-1/($Z$12:Z390=1),$A$12:A390),График[[Срок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платеж]]+Y389-SUM(Первоначальный[[#This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S389&gt;0,MIN(Первоначальный[[#This Row],[Полученный платеж]]+Y389-SUM(Первоначальный[[#This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комиссиям]]),SUM(INDIRECT("M"&amp;(MAX((1=S$12:S389)*ROW(S$12:S389),ROW($W$12))&amp;":M"&amp;(ROW()))))-SUM(INDIRECT("W"&amp;(MAX((1=S$12:S389)*ROW(S$12:S389),ROW($W$12))&amp;":W"&amp;(ROW()-1)))))
)
)</f>
        <v>0</v>
      </c>
      <c r="X390" s="55">
        <f t="shared" ca="1" si="62"/>
        <v>0</v>
      </c>
      <c r="Y390" s="101">
        <f t="shared" ca="1" si="69"/>
        <v>0</v>
      </c>
      <c r="Z390" s="133" t="str">
        <f>IF(TYPE((VLOOKUP(Первоначальный[[#This Row],[Дата платежа]],График[Срок конец],1,0)))=16,"",1)</f>
        <v/>
      </c>
      <c r="AA390" s="57"/>
      <c r="AB390" s="134"/>
      <c r="AC39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9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25399.089999999971</v>
      </c>
      <c r="AE39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367.3700000000008</v>
      </c>
      <c r="AF39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9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21751.936937704944</v>
      </c>
      <c r="AH390" s="55"/>
      <c r="AI390" s="55"/>
      <c r="AJ390" s="55"/>
      <c r="AK390" s="101">
        <f t="shared" ca="1" si="70"/>
        <v>197151.7369377049</v>
      </c>
      <c r="AL390" s="129">
        <f t="array" ref="AL390">MAX((УслРестрактов[Характеристика]="Дата реструктуризации")*(УслРестрактов[Значение]=Первоначальный!$A390),0)</f>
        <v>0</v>
      </c>
    </row>
    <row r="391" spans="1:38" x14ac:dyDescent="0.25">
      <c r="A391" s="97">
        <f t="shared" si="63"/>
        <v>44522</v>
      </c>
      <c r="B391" s="100">
        <f t="shared" ca="1" si="64"/>
        <v>149633.34</v>
      </c>
      <c r="C391" s="55">
        <f t="shared" ca="1" si="72"/>
        <v>25399.089999999971</v>
      </c>
      <c r="D391" s="55">
        <f t="shared" ca="1" si="72"/>
        <v>367.3700000000008</v>
      </c>
      <c r="E391" s="55">
        <f t="shared" ca="1" si="65"/>
        <v>0</v>
      </c>
      <c r="F391" s="55">
        <f t="shared" ca="1" si="66"/>
        <v>21751.936937704944</v>
      </c>
      <c r="G391" s="101">
        <f t="shared" ca="1" si="67"/>
        <v>197151.7369377049</v>
      </c>
      <c r="H391" s="100">
        <f ca="1">ROUND($B391*VLOOKUP($A391,$A$1:$B$10,2,1)/(365+IF(MOD(YEAR($A391),4),0,1)*($A391-$A390)),2)-Первоначальный[[#This Row],[Проценты на просроченный платеж по ОД за период]]</f>
        <v>79.12</v>
      </c>
      <c r="I391" s="55">
        <f t="shared" ca="1" si="68"/>
        <v>2.46</v>
      </c>
      <c r="J391" s="55">
        <v>0</v>
      </c>
      <c r="K391" s="55">
        <f t="shared" ca="1" si="71"/>
        <v>144.78350327868853</v>
      </c>
      <c r="L391" s="55">
        <v>0</v>
      </c>
      <c r="M391" s="113">
        <f>SUMIFS(График[Возврат основной суммы долга],График[Дата с учетом нерабочих дней],$A391)</f>
        <v>0</v>
      </c>
      <c r="N391" s="56">
        <f>SUMIFS(График[Возврат начисленных %],График[Дата с учетом нерабочих дней],$A391)</f>
        <v>0</v>
      </c>
      <c r="O391" s="101">
        <v>0</v>
      </c>
      <c r="P391" s="100" cm="1">
        <f t="array" aca="1" ref="P391" ca="1">MAX(IF(AA390="Да",0,SUM(INDIRECT("M"&amp;(MAX(("Да"=AA$12:AA390)*ROW(AA$12:AA390)+1,ROW($P$12))&amp;":M"&amp;(ROW()))))-SUM(INDIRECT("W"&amp;(MAX(("Да"=AA$12:AA390)*ROW(AA$12:AA390)+1,ROW($P$12))&amp;":W"&amp;(ROW()))))),0)</f>
        <v>4508.32</v>
      </c>
      <c r="Q391" s="99">
        <f ca="1">MAX(SUM($N$13:N391)-SUM($T$13:T391),0)</f>
        <v>24448.380655737703</v>
      </c>
      <c r="R391" s="99">
        <f ca="1">Первоначальный[[#This Row],[Просроченный платеж по ОД]]+Первоначальный[[#This Row],[Просроченный платеж по процентам]]</f>
        <v>28956.700655737703</v>
      </c>
      <c r="S391" s="120">
        <f ca="1">IF(Первоначальный[[#This Row],[Просроченный платеж]]&lt;1,0,S390+1)</f>
        <v>287</v>
      </c>
      <c r="T391" s="100" cm="1">
        <f t="array" aca="1" ref="T391" ca="1">IF(Первоначальный[[#This Row],[Итого остаток на начало периода]]&lt;1,0,
IF(
AND(TYPE(VLOOKUP(1,$Z$12:Z391,1,0))=16,Первоначальный[[#This Row],[Досрочное погашение (да/"")]]=""),0,
_xlfn.IFS(AND(S390=0,Первоначальный[[#This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платеж]]&lt;&gt;0),MIN(LOOKUP(,-1/($Z$12:Z391=1),$C$12:C391)+LOOKUP(,-1/($Z$12:Z391=1),$H$12:H391),Первоначальный[[#This Row],[Полученный платеж]]+Y390),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платеж]]+Y390,SUM(Первоначальный[[#This Row],[Остаток процентов на начало периода]],Первоначальный[[#This Row],[Проценты за период]])),
AND(S390=0,Первоначальный[[#This Row],[Дата платежа из графика]]=""),0,
AND(S390=0,Первоначальный[[#This Row],[Дата платежа из графика]]=1,MAX((0&lt;&gt;S$12:S390)*ROW(S$12:S390),ROW($S$12))&gt;=MAX((1=Z$12:Z390)*ROW(Z$12:Z390),ROW($T$12)),TYPE(VLOOKUP("Да",(INDIRECT("AA"&amp;(MAX((1=Z$12:Z390)*ROW(Z$12:Z390),ROW($T$12))&amp;":AA"&amp;(ROW()-1)))),1,0))=16),MIN(LOOKUP(,-1/($Z$12:Z391=1),$C$12:C391)+LOOKUP(,-1/($Z$12:Z391=1),$H$12:H391),Первоначальный[[#This Row],[Полученный платеж]]+Y390),
AND(S390=0,TYPE(VLOOKUP("Да",(INDIRECT("AA"&amp;(MAX((1=Z$12:Z390)*ROW(Z$12:Z390),ROW($T$12))&amp;":AA"&amp;(ROW()-1)))),1,0))&lt;&gt;16),MIN(LOOKUP(,-1/($Z$12:Z391=1),$C$12:C391)+LOOKUP(,-1/($Z$12:Z391=1),$H$12:H391)-IF(AA390="Да",0,SUM(INDIRECT("T"&amp;(MAX(("Да"=AA$12:AA390)*ROW(AA$12:AA390)+1,ROW($T$12))&amp;":T"&amp;(ROW()-1))))),Первоначальный[[#This Row],[Полученный платеж]]+Y390),
AND(S390=0,MAX((0&lt;&gt;N$12:N390)*ROW(N$12:N390),ROW($S$12))&gt;=MAX((1=Z$12:Z390)*ROW(Z$12:Z390),ROW($T$12))),MIN(LOOKUP(,-1/($Z$12:Z391=1),$C$12:C391)+LOOKUP(,-1/($Z$12:Z391=1),$H$12:H391)-IF(N390&lt;&gt;0,0,SUM(INDIRECT("T"&amp;(MAX((0&lt;&gt;N$12:N390)*ROW(N$12:N390)+1,ROW($T$12))&amp;":T"&amp;(ROW()-1))))),Первоначальный[[#This Row],[Полученный платеж]]+Y390),
AND(S390=0,Первоначальный[[#This Row],[Дата платежа из графика]]=1),MIN(LOOKUP(,-1/($Z$12:Z391=1),$C$12:C391)+LOOKUP(,-1/($Z$12:Z391=1),$H$12:H391)-IF(Z390=1,0,SUM(INDIRECT("T"&amp;(MAX((1=Z$12:Z390)*ROW(Z$12:Z390)+1,ROW($T$12))&amp;":T"&amp;(ROW()-1))))),Первоначальный[[#This Row],[Полученный платеж]]+Y390),
AND(Z390&gt;0,Первоначальный[[#This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платеж]]+Y390),
AND(S390&gt;0,MAX((0&lt;&gt;S$12:S390)*ROW(S$12:S390),ROW($S$12))&gt;=MAX((1=Z$12:Z390)*ROW(Z$12:Z390),ROW($T$12)),TYPE(VLOOKUP("Да",(INDIRECT("AA"&amp;(MAX((1=Z$12:Z390)*ROW(Z$12:Z390),ROW($T$12))&amp;":AA"&amp;(ROW()-1)))),1,0))=16),MIN(LOOKUP(,-1/($Z$12:Z391=1),$C$12:C391)+LOOKUP(,-1/($Z$12:Z391=1),$H$12:H391)-SUM(INDIRECT("T"&amp;(MAX((1=Z$12:Z390)*ROW(Z$12:Z390),ROW($T$12))&amp;":T"&amp;(ROW()-1)))),Первоначальный[[#This Row],[Полученный платеж]]+Y390),
S390&gt;0,MIN(LOOKUP(,-1/($Z$12:Z391=1),$C$12:C391)+LOOKUP(,-1/($Z$12:Z391=1),$H$12:H391)-IF(Z390=1,0,SUM(INDIRECT("T"&amp;(MAX((1=Z$12:Z390)*ROW(Z$12:Z390)+1,ROW($T$12))&amp;":T"&amp;(ROW()-1))))),Первоначальный[[#This Row],[Полученный платеж]]+Y390)
)
)
)</f>
        <v>0</v>
      </c>
      <c r="U39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платеж]]+Y390-Первоначальный[[#This Row],[Полученный платёж по процентам]])</f>
        <v>0</v>
      </c>
      <c r="V391" s="55">
        <f t="shared" ca="1" si="61"/>
        <v>0</v>
      </c>
      <c r="W391" s="55" cm="1">
        <f t="array" aca="1" ref="W391" ca="1">IF(Первоначальный[[#This Row],[Итого остаток на начало периода]]&lt;1,0,
_xlfn.IFS(
AND(TYPE(VLOOKUP(1,$Z$12:Z391,1,0))=16,Первоначальный[[#This Row],[Досрочное погашение (да/"")]]=""),0,
AND(S390=0,Первоначальный[[#This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платеж]]+Y390-SUM(Первоначальный[[#This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комиссиям]]),VLOOKUP(LOOKUP(,-1/($Z$12:Z391=1),$A$12:A391),График[[Срок конец]:[Возврат основной суммы долга]],3,0)),
AND(S390=0,Первоначальный[[#This Row],[Дата платежа из графика]]="",Первоначальный[[#This Row],[Досрочное погашение (да/"")]]&lt;&gt;"Да"),0,
AND(S390=0,Первоначальный[[#This Row],[Досрочное погашение (да/"")]]=""),MIN(Первоначальный[[#This Row],[Полученный платеж]]+Y390-SUM(Первоначальный[[#This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комиссиям]]),VLOOKUP(LOOKUP(,-1/($Z$12:Z391=1),$A$12:A391),График[[Срок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платеж]]+Y390-SUM(Первоначальный[[#This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S390&gt;0,MIN(Первоначальный[[#This Row],[Полученный платеж]]+Y390-SUM(Первоначальный[[#This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комиссиям]]),SUM(INDIRECT("M"&amp;(MAX((1=S$12:S390)*ROW(S$12:S390),ROW($W$12))&amp;":M"&amp;(ROW()))))-SUM(INDIRECT("W"&amp;(MAX((1=S$12:S390)*ROW(S$12:S390),ROW($W$12))&amp;":W"&amp;(ROW()-1)))))
)
)</f>
        <v>0</v>
      </c>
      <c r="X391" s="55">
        <f t="shared" ca="1" si="62"/>
        <v>0</v>
      </c>
      <c r="Y391" s="101">
        <f t="shared" ca="1" si="69"/>
        <v>0</v>
      </c>
      <c r="Z391" s="133" t="str">
        <f>IF(TYPE((VLOOKUP(Первоначальный[[#This Row],[Дата платежа]],График[Срок конец],1,0)))=16,"",1)</f>
        <v/>
      </c>
      <c r="AA391" s="57"/>
      <c r="AB391" s="134"/>
      <c r="AC39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9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25478.20999999997</v>
      </c>
      <c r="AE39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369.83000000000078</v>
      </c>
      <c r="AF39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9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21896.720440983634</v>
      </c>
      <c r="AH391" s="55"/>
      <c r="AI391" s="55"/>
      <c r="AJ391" s="55"/>
      <c r="AK391" s="101">
        <f t="shared" ca="1" si="70"/>
        <v>197378.10044098357</v>
      </c>
      <c r="AL391" s="129">
        <f t="array" ref="AL391">MAX((УслРестрактов[Характеристика]="Дата реструктуризации")*(УслРестрактов[Значение]=Первоначальный!$A391),0)</f>
        <v>0</v>
      </c>
    </row>
    <row r="392" spans="1:38" x14ac:dyDescent="0.25">
      <c r="A392" s="97">
        <f t="shared" si="63"/>
        <v>44523</v>
      </c>
      <c r="B392" s="100">
        <f t="shared" ca="1" si="64"/>
        <v>149633.34</v>
      </c>
      <c r="C392" s="55">
        <f t="shared" ca="1" si="72"/>
        <v>25478.20999999997</v>
      </c>
      <c r="D392" s="55">
        <f t="shared" ca="1" si="72"/>
        <v>369.83000000000078</v>
      </c>
      <c r="E392" s="55">
        <f t="shared" ca="1" si="65"/>
        <v>0</v>
      </c>
      <c r="F392" s="55">
        <f t="shared" ca="1" si="66"/>
        <v>21896.720440983634</v>
      </c>
      <c r="G392" s="101">
        <f t="shared" ca="1" si="67"/>
        <v>197378.10044098357</v>
      </c>
      <c r="H392" s="100">
        <f ca="1">ROUND($B392*VLOOKUP($A392,$A$1:$B$10,2,1)/(365+IF(MOD(YEAR($A392),4),0,1)*($A392-$A391)),2)-Первоначальный[[#This Row],[Проценты на просроченный платеж по ОД за период]]</f>
        <v>79.12</v>
      </c>
      <c r="I392" s="55">
        <f t="shared" ca="1" si="68"/>
        <v>2.46</v>
      </c>
      <c r="J392" s="55">
        <v>0</v>
      </c>
      <c r="K392" s="55">
        <f t="shared" ca="1" si="71"/>
        <v>144.78350327868853</v>
      </c>
      <c r="L392" s="55">
        <v>0</v>
      </c>
      <c r="M392" s="113">
        <f>SUMIFS(График[Возврат основной суммы долга],График[Дата с учетом нерабочих дней],$A392)</f>
        <v>0</v>
      </c>
      <c r="N392" s="56">
        <f>SUMIFS(График[Возврат начисленных %],График[Дата с учетом нерабочих дней],$A392)</f>
        <v>0</v>
      </c>
      <c r="O392" s="101">
        <v>0</v>
      </c>
      <c r="P392" s="100" cm="1">
        <f t="array" aca="1" ref="P392" ca="1">MAX(IF(AA391="Да",0,SUM(INDIRECT("M"&amp;(MAX(("Да"=AA$12:AA391)*ROW(AA$12:AA391)+1,ROW($P$12))&amp;":M"&amp;(ROW()))))-SUM(INDIRECT("W"&amp;(MAX(("Да"=AA$12:AA391)*ROW(AA$12:AA391)+1,ROW($P$12))&amp;":W"&amp;(ROW()))))),0)</f>
        <v>4508.32</v>
      </c>
      <c r="Q392" s="99">
        <f ca="1">MAX(SUM($N$13:N392)-SUM($T$13:T392),0)</f>
        <v>24448.380655737703</v>
      </c>
      <c r="R392" s="99">
        <f ca="1">Первоначальный[[#This Row],[Просроченный платеж по ОД]]+Первоначальный[[#This Row],[Просроченный платеж по процентам]]</f>
        <v>28956.700655737703</v>
      </c>
      <c r="S392" s="120">
        <f ca="1">IF(Первоначальный[[#This Row],[Просроченный платеж]]&lt;1,0,S391+1)</f>
        <v>288</v>
      </c>
      <c r="T392" s="100" cm="1">
        <f t="array" aca="1" ref="T392" ca="1">IF(Первоначальный[[#This Row],[Итого остаток на начало периода]]&lt;1,0,
IF(
AND(TYPE(VLOOKUP(1,$Z$12:Z392,1,0))=16,Первоначальный[[#This Row],[Досрочное погашение (да/"")]]=""),0,
_xlfn.IFS(AND(S391=0,Первоначальный[[#This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платеж]]&lt;&gt;0),MIN(LOOKUP(,-1/($Z$12:Z392=1),$C$12:C392)+LOOKUP(,-1/($Z$12:Z392=1),$H$12:H392),Первоначальный[[#This Row],[Полученный платеж]]+Y391),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платеж]]+Y391,SUM(Первоначальный[[#This Row],[Остаток процентов на начало периода]],Первоначальный[[#This Row],[Проценты за период]])),
AND(S391=0,Первоначальный[[#This Row],[Дата платежа из графика]]=""),0,
AND(S391=0,Первоначальный[[#This Row],[Дата платежа из графика]]=1,MAX((0&lt;&gt;S$12:S391)*ROW(S$12:S391),ROW($S$12))&gt;=MAX((1=Z$12:Z391)*ROW(Z$12:Z391),ROW($T$12)),TYPE(VLOOKUP("Да",(INDIRECT("AA"&amp;(MAX((1=Z$12:Z391)*ROW(Z$12:Z391),ROW($T$12))&amp;":AA"&amp;(ROW()-1)))),1,0))=16),MIN(LOOKUP(,-1/($Z$12:Z392=1),$C$12:C392)+LOOKUP(,-1/($Z$12:Z392=1),$H$12:H392),Первоначальный[[#This Row],[Полученный платеж]]+Y391),
AND(S391=0,TYPE(VLOOKUP("Да",(INDIRECT("AA"&amp;(MAX((1=Z$12:Z391)*ROW(Z$12:Z391),ROW($T$12))&amp;":AA"&amp;(ROW()-1)))),1,0))&lt;&gt;16),MIN(LOOKUP(,-1/($Z$12:Z392=1),$C$12:C392)+LOOKUP(,-1/($Z$12:Z392=1),$H$12:H392)-IF(AA391="Да",0,SUM(INDIRECT("T"&amp;(MAX(("Да"=AA$12:AA391)*ROW(AA$12:AA391)+1,ROW($T$12))&amp;":T"&amp;(ROW()-1))))),Первоначальный[[#This Row],[Полученный платеж]]+Y391),
AND(S391=0,MAX((0&lt;&gt;N$12:N391)*ROW(N$12:N391),ROW($S$12))&gt;=MAX((1=Z$12:Z391)*ROW(Z$12:Z391),ROW($T$12))),MIN(LOOKUP(,-1/($Z$12:Z392=1),$C$12:C392)+LOOKUP(,-1/($Z$12:Z392=1),$H$12:H392)-IF(N391&lt;&gt;0,0,SUM(INDIRECT("T"&amp;(MAX((0&lt;&gt;N$12:N391)*ROW(N$12:N391)+1,ROW($T$12))&amp;":T"&amp;(ROW()-1))))),Первоначальный[[#This Row],[Полученный платеж]]+Y391),
AND(S391=0,Первоначальный[[#This Row],[Дата платежа из графика]]=1),MIN(LOOKUP(,-1/($Z$12:Z392=1),$C$12:C392)+LOOKUP(,-1/($Z$12:Z392=1),$H$12:H392)-IF(Z391=1,0,SUM(INDIRECT("T"&amp;(MAX((1=Z$12:Z391)*ROW(Z$12:Z391)+1,ROW($T$12))&amp;":T"&amp;(ROW()-1))))),Первоначальный[[#This Row],[Полученный платеж]]+Y391),
AND(Z391&gt;0,Первоначальный[[#This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платеж]]+Y391),
AND(S391&gt;0,MAX((0&lt;&gt;S$12:S391)*ROW(S$12:S391),ROW($S$12))&gt;=MAX((1=Z$12:Z391)*ROW(Z$12:Z391),ROW($T$12)),TYPE(VLOOKUP("Да",(INDIRECT("AA"&amp;(MAX((1=Z$12:Z391)*ROW(Z$12:Z391),ROW($T$12))&amp;":AA"&amp;(ROW()-1)))),1,0))=16),MIN(LOOKUP(,-1/($Z$12:Z392=1),$C$12:C392)+LOOKUP(,-1/($Z$12:Z392=1),$H$12:H392)-SUM(INDIRECT("T"&amp;(MAX((1=Z$12:Z391)*ROW(Z$12:Z391),ROW($T$12))&amp;":T"&amp;(ROW()-1)))),Первоначальный[[#This Row],[Полученный платеж]]+Y391),
S391&gt;0,MIN(LOOKUP(,-1/($Z$12:Z392=1),$C$12:C392)+LOOKUP(,-1/($Z$12:Z392=1),$H$12:H392)-IF(Z391=1,0,SUM(INDIRECT("T"&amp;(MAX((1=Z$12:Z391)*ROW(Z$12:Z391)+1,ROW($T$12))&amp;":T"&amp;(ROW()-1))))),Первоначальный[[#This Row],[Полученный платеж]]+Y391)
)
)
)</f>
        <v>0</v>
      </c>
      <c r="U39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платеж]]+Y391-Первоначальный[[#This Row],[Полученный платёж по процентам]])</f>
        <v>0</v>
      </c>
      <c r="V392" s="55">
        <f t="shared" ca="1" si="61"/>
        <v>0</v>
      </c>
      <c r="W392" s="55" cm="1">
        <f t="array" aca="1" ref="W392" ca="1">IF(Первоначальный[[#This Row],[Итого остаток на начало периода]]&lt;1,0,
_xlfn.IFS(
AND(TYPE(VLOOKUP(1,$Z$12:Z392,1,0))=16,Первоначальный[[#This Row],[Досрочное погашение (да/"")]]=""),0,
AND(S391=0,Первоначальный[[#This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платеж]]+Y391-SUM(Первоначальный[[#This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комиссиям]]),VLOOKUP(LOOKUP(,-1/($Z$12:Z392=1),$A$12:A392),График[[Срок конец]:[Возврат основной суммы долга]],3,0)),
AND(S391=0,Первоначальный[[#This Row],[Дата платежа из графика]]="",Первоначальный[[#This Row],[Досрочное погашение (да/"")]]&lt;&gt;"Да"),0,
AND(S391=0,Первоначальный[[#This Row],[Досрочное погашение (да/"")]]=""),MIN(Первоначальный[[#This Row],[Полученный платеж]]+Y391-SUM(Первоначальный[[#This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комиссиям]]),VLOOKUP(LOOKUP(,-1/($Z$12:Z392=1),$A$12:A392),График[[Срок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платеж]]+Y391-SUM(Первоначальный[[#This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S391&gt;0,MIN(Первоначальный[[#This Row],[Полученный платеж]]+Y391-SUM(Первоначальный[[#This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комиссиям]]),SUM(INDIRECT("M"&amp;(MAX((1=S$12:S391)*ROW(S$12:S391),ROW($W$12))&amp;":M"&amp;(ROW()))))-SUM(INDIRECT("W"&amp;(MAX((1=S$12:S391)*ROW(S$12:S391),ROW($W$12))&amp;":W"&amp;(ROW()-1)))))
)
)</f>
        <v>0</v>
      </c>
      <c r="X392" s="55">
        <f t="shared" ca="1" si="62"/>
        <v>0</v>
      </c>
      <c r="Y392" s="101">
        <f t="shared" ca="1" si="69"/>
        <v>0</v>
      </c>
      <c r="Z392" s="133" t="str">
        <f>IF(TYPE((VLOOKUP(Первоначальный[[#This Row],[Дата платежа]],График[Срок конец],1,0)))=16,"",1)</f>
        <v/>
      </c>
      <c r="AA392" s="57"/>
      <c r="AB392" s="134"/>
      <c r="AC39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9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25557.329999999969</v>
      </c>
      <c r="AE39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372.29000000000076</v>
      </c>
      <c r="AF39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9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22041.503944262324</v>
      </c>
      <c r="AH392" s="55"/>
      <c r="AI392" s="55"/>
      <c r="AJ392" s="55"/>
      <c r="AK392" s="101">
        <f t="shared" ca="1" si="70"/>
        <v>197604.4639442623</v>
      </c>
      <c r="AL392" s="129">
        <f t="array" ref="AL392">MAX((УслРестрактов[Характеристика]="Дата реструктуризации")*(УслРестрактов[Значение]=Первоначальный!$A392),0)</f>
        <v>0</v>
      </c>
    </row>
    <row r="393" spans="1:38" x14ac:dyDescent="0.25">
      <c r="A393" s="97">
        <f t="shared" si="63"/>
        <v>44524</v>
      </c>
      <c r="B393" s="100">
        <f t="shared" ca="1" si="64"/>
        <v>149633.34</v>
      </c>
      <c r="C393" s="55">
        <f t="shared" ca="1" si="72"/>
        <v>25557.329999999969</v>
      </c>
      <c r="D393" s="55">
        <f t="shared" ca="1" si="72"/>
        <v>372.29000000000076</v>
      </c>
      <c r="E393" s="55">
        <f t="shared" ca="1" si="65"/>
        <v>0</v>
      </c>
      <c r="F393" s="55">
        <f t="shared" ca="1" si="66"/>
        <v>22041.503944262324</v>
      </c>
      <c r="G393" s="101">
        <f t="shared" ca="1" si="67"/>
        <v>197604.4639442623</v>
      </c>
      <c r="H393" s="100">
        <f ca="1">ROUND($B393*VLOOKUP($A393,$A$1:$B$10,2,1)/(365+IF(MOD(YEAR($A393),4),0,1)*($A393-$A392)),2)-Первоначальный[[#This Row],[Проценты на просроченный платеж по ОД за период]]</f>
        <v>79.12</v>
      </c>
      <c r="I393" s="55">
        <f t="shared" ca="1" si="68"/>
        <v>2.46</v>
      </c>
      <c r="J393" s="55">
        <v>0</v>
      </c>
      <c r="K393" s="55">
        <f t="shared" ca="1" si="71"/>
        <v>144.78350327868853</v>
      </c>
      <c r="L393" s="55">
        <v>0</v>
      </c>
      <c r="M393" s="113">
        <f>SUMIFS(График[Возврат основной суммы долга],График[Дата с учетом нерабочих дней],$A393)</f>
        <v>0</v>
      </c>
      <c r="N393" s="56">
        <f>SUMIFS(График[Возврат начисленных %],График[Дата с учетом нерабочих дней],$A393)</f>
        <v>0</v>
      </c>
      <c r="O393" s="101">
        <v>0</v>
      </c>
      <c r="P393" s="100" cm="1">
        <f t="array" aca="1" ref="P393" ca="1">MAX(IF(AA392="Да",0,SUM(INDIRECT("M"&amp;(MAX(("Да"=AA$12:AA392)*ROW(AA$12:AA392)+1,ROW($P$12))&amp;":M"&amp;(ROW()))))-SUM(INDIRECT("W"&amp;(MAX(("Да"=AA$12:AA392)*ROW(AA$12:AA392)+1,ROW($P$12))&amp;":W"&amp;(ROW()))))),0)</f>
        <v>4508.32</v>
      </c>
      <c r="Q393" s="99">
        <f ca="1">MAX(SUM($N$13:N393)-SUM($T$13:T393),0)</f>
        <v>24448.380655737703</v>
      </c>
      <c r="R393" s="99">
        <f ca="1">Первоначальный[[#This Row],[Просроченный платеж по ОД]]+Первоначальный[[#This Row],[Просроченный платеж по процентам]]</f>
        <v>28956.700655737703</v>
      </c>
      <c r="S393" s="120">
        <f ca="1">IF(Первоначальный[[#This Row],[Просроченный платеж]]&lt;1,0,S392+1)</f>
        <v>289</v>
      </c>
      <c r="T393" s="100" cm="1">
        <f t="array" aca="1" ref="T393" ca="1">IF(Первоначальный[[#This Row],[Итого остаток на начало периода]]&lt;1,0,
IF(
AND(TYPE(VLOOKUP(1,$Z$12:Z393,1,0))=16,Первоначальный[[#This Row],[Досрочное погашение (да/"")]]=""),0,
_xlfn.IFS(AND(S392=0,Первоначальный[[#This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платеж]]&lt;&gt;0),MIN(LOOKUP(,-1/($Z$12:Z393=1),$C$12:C393)+LOOKUP(,-1/($Z$12:Z393=1),$H$12:H393),Первоначальный[[#This Row],[Полученный платеж]]+Y392),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платеж]]+Y392,SUM(Первоначальный[[#This Row],[Остаток процентов на начало периода]],Первоначальный[[#This Row],[Проценты за период]])),
AND(S392=0,Первоначальный[[#This Row],[Дата платежа из графика]]=""),0,
AND(S392=0,Первоначальный[[#This Row],[Дата платежа из графика]]=1,MAX((0&lt;&gt;S$12:S392)*ROW(S$12:S392),ROW($S$12))&gt;=MAX((1=Z$12:Z392)*ROW(Z$12:Z392),ROW($T$12)),TYPE(VLOOKUP("Да",(INDIRECT("AA"&amp;(MAX((1=Z$12:Z392)*ROW(Z$12:Z392),ROW($T$12))&amp;":AA"&amp;(ROW()-1)))),1,0))=16),MIN(LOOKUP(,-1/($Z$12:Z393=1),$C$12:C393)+LOOKUP(,-1/($Z$12:Z393=1),$H$12:H393),Первоначальный[[#This Row],[Полученный платеж]]+Y392),
AND(S392=0,TYPE(VLOOKUP("Да",(INDIRECT("AA"&amp;(MAX((1=Z$12:Z392)*ROW(Z$12:Z392),ROW($T$12))&amp;":AA"&amp;(ROW()-1)))),1,0))&lt;&gt;16),MIN(LOOKUP(,-1/($Z$12:Z393=1),$C$12:C393)+LOOKUP(,-1/($Z$12:Z393=1),$H$12:H393)-IF(AA392="Да",0,SUM(INDIRECT("T"&amp;(MAX(("Да"=AA$12:AA392)*ROW(AA$12:AA392)+1,ROW($T$12))&amp;":T"&amp;(ROW()-1))))),Первоначальный[[#This Row],[Полученный платеж]]+Y392),
AND(S392=0,MAX((0&lt;&gt;N$12:N392)*ROW(N$12:N392),ROW($S$12))&gt;=MAX((1=Z$12:Z392)*ROW(Z$12:Z392),ROW($T$12))),MIN(LOOKUP(,-1/($Z$12:Z393=1),$C$12:C393)+LOOKUP(,-1/($Z$12:Z393=1),$H$12:H393)-IF(N392&lt;&gt;0,0,SUM(INDIRECT("T"&amp;(MAX((0&lt;&gt;N$12:N392)*ROW(N$12:N392)+1,ROW($T$12))&amp;":T"&amp;(ROW()-1))))),Первоначальный[[#This Row],[Полученный платеж]]+Y392),
AND(S392=0,Первоначальный[[#This Row],[Дата платежа из графика]]=1),MIN(LOOKUP(,-1/($Z$12:Z393=1),$C$12:C393)+LOOKUP(,-1/($Z$12:Z393=1),$H$12:H393)-IF(Z392=1,0,SUM(INDIRECT("T"&amp;(MAX((1=Z$12:Z392)*ROW(Z$12:Z392)+1,ROW($T$12))&amp;":T"&amp;(ROW()-1))))),Первоначальный[[#This Row],[Полученный платеж]]+Y392),
AND(Z392&gt;0,Первоначальный[[#This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платеж]]+Y392),
AND(S392&gt;0,MAX((0&lt;&gt;S$12:S392)*ROW(S$12:S392),ROW($S$12))&gt;=MAX((1=Z$12:Z392)*ROW(Z$12:Z392),ROW($T$12)),TYPE(VLOOKUP("Да",(INDIRECT("AA"&amp;(MAX((1=Z$12:Z392)*ROW(Z$12:Z392),ROW($T$12))&amp;":AA"&amp;(ROW()-1)))),1,0))=16),MIN(LOOKUP(,-1/($Z$12:Z393=1),$C$12:C393)+LOOKUP(,-1/($Z$12:Z393=1),$H$12:H393)-SUM(INDIRECT("T"&amp;(MAX((1=Z$12:Z392)*ROW(Z$12:Z392),ROW($T$12))&amp;":T"&amp;(ROW()-1)))),Первоначальный[[#This Row],[Полученный платеж]]+Y392),
S392&gt;0,MIN(LOOKUP(,-1/($Z$12:Z393=1),$C$12:C393)+LOOKUP(,-1/($Z$12:Z393=1),$H$12:H393)-IF(Z392=1,0,SUM(INDIRECT("T"&amp;(MAX((1=Z$12:Z392)*ROW(Z$12:Z392)+1,ROW($T$12))&amp;":T"&amp;(ROW()-1))))),Первоначальный[[#This Row],[Полученный платеж]]+Y392)
)
)
)</f>
        <v>0</v>
      </c>
      <c r="U39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платеж]]+Y392-Первоначальный[[#This Row],[Полученный платёж по процентам]])</f>
        <v>0</v>
      </c>
      <c r="V393" s="55">
        <f t="shared" ca="1" si="61"/>
        <v>0</v>
      </c>
      <c r="W393" s="55" cm="1">
        <f t="array" aca="1" ref="W393" ca="1">IF(Первоначальный[[#This Row],[Итого остаток на начало периода]]&lt;1,0,
_xlfn.IFS(
AND(TYPE(VLOOKUP(1,$Z$12:Z393,1,0))=16,Первоначальный[[#This Row],[Досрочное погашение (да/"")]]=""),0,
AND(S392=0,Первоначальный[[#This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платеж]]+Y392-SUM(Первоначальный[[#This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комиссиям]]),VLOOKUP(LOOKUP(,-1/($Z$12:Z393=1),$A$12:A393),График[[Срок конец]:[Возврат основной суммы долга]],3,0)),
AND(S392=0,Первоначальный[[#This Row],[Дата платежа из графика]]="",Первоначальный[[#This Row],[Досрочное погашение (да/"")]]&lt;&gt;"Да"),0,
AND(S392=0,Первоначальный[[#This Row],[Досрочное погашение (да/"")]]=""),MIN(Первоначальный[[#This Row],[Полученный платеж]]+Y392-SUM(Первоначальный[[#This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комиссиям]]),VLOOKUP(LOOKUP(,-1/($Z$12:Z393=1),$A$12:A393),График[[Срок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платеж]]+Y392-SUM(Первоначальный[[#This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S392&gt;0,MIN(Первоначальный[[#This Row],[Полученный платеж]]+Y392-SUM(Первоначальный[[#This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комиссиям]]),SUM(INDIRECT("M"&amp;(MAX((1=S$12:S392)*ROW(S$12:S392),ROW($W$12))&amp;":M"&amp;(ROW()))))-SUM(INDIRECT("W"&amp;(MAX((1=S$12:S392)*ROW(S$12:S392),ROW($W$12))&amp;":W"&amp;(ROW()-1)))))
)
)</f>
        <v>0</v>
      </c>
      <c r="X393" s="55">
        <f t="shared" ca="1" si="62"/>
        <v>0</v>
      </c>
      <c r="Y393" s="101">
        <f t="shared" ca="1" si="69"/>
        <v>0</v>
      </c>
      <c r="Z393" s="133" t="str">
        <f>IF(TYPE((VLOOKUP(Первоначальный[[#This Row],[Дата платежа]],График[Срок конец],1,0)))=16,"",1)</f>
        <v/>
      </c>
      <c r="AA393" s="57"/>
      <c r="AB393" s="134"/>
      <c r="AC39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9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25636.449999999968</v>
      </c>
      <c r="AE39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374.75000000000074</v>
      </c>
      <c r="AF39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9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22186.287447541014</v>
      </c>
      <c r="AH393" s="55"/>
      <c r="AI393" s="55"/>
      <c r="AJ393" s="55"/>
      <c r="AK393" s="101">
        <f t="shared" ca="1" si="70"/>
        <v>197830.827447541</v>
      </c>
      <c r="AL393" s="129">
        <f t="array" ref="AL393">MAX((УслРестрактов[Характеристика]="Дата реструктуризации")*(УслРестрактов[Значение]=Первоначальный!$A393),0)</f>
        <v>0</v>
      </c>
    </row>
    <row r="394" spans="1:38" x14ac:dyDescent="0.25">
      <c r="A394" s="97">
        <f t="shared" si="63"/>
        <v>44525</v>
      </c>
      <c r="B394" s="100">
        <f t="shared" ca="1" si="64"/>
        <v>149633.34</v>
      </c>
      <c r="C394" s="55">
        <f t="shared" ca="1" si="72"/>
        <v>25636.449999999968</v>
      </c>
      <c r="D394" s="55">
        <f t="shared" ca="1" si="72"/>
        <v>374.75000000000074</v>
      </c>
      <c r="E394" s="55">
        <f t="shared" ca="1" si="65"/>
        <v>0</v>
      </c>
      <c r="F394" s="55">
        <f t="shared" ca="1" si="66"/>
        <v>22186.287447541014</v>
      </c>
      <c r="G394" s="101">
        <f t="shared" ca="1" si="67"/>
        <v>197830.827447541</v>
      </c>
      <c r="H394" s="100">
        <f ca="1">ROUND($B394*VLOOKUP($A394,$A$1:$B$10,2,1)/(365+IF(MOD(YEAR($A394),4),0,1)*($A394-$A393)),2)-Первоначальный[[#This Row],[Проценты на просроченный платеж по ОД за период]]</f>
        <v>79.12</v>
      </c>
      <c r="I394" s="55">
        <f t="shared" ca="1" si="68"/>
        <v>2.46</v>
      </c>
      <c r="J394" s="55">
        <v>0</v>
      </c>
      <c r="K394" s="55">
        <f t="shared" ca="1" si="71"/>
        <v>144.78350327868853</v>
      </c>
      <c r="L394" s="55">
        <v>0</v>
      </c>
      <c r="M394" s="113">
        <f>SUMIFS(График[Возврат основной суммы долга],График[Дата с учетом нерабочих дней],$A394)</f>
        <v>0</v>
      </c>
      <c r="N394" s="56">
        <f>SUMIFS(График[Возврат начисленных %],График[Дата с учетом нерабочих дней],$A394)</f>
        <v>0</v>
      </c>
      <c r="O394" s="101">
        <v>0</v>
      </c>
      <c r="P394" s="100" cm="1">
        <f t="array" aca="1" ref="P394" ca="1">MAX(IF(AA393="Да",0,SUM(INDIRECT("M"&amp;(MAX(("Да"=AA$12:AA393)*ROW(AA$12:AA393)+1,ROW($P$12))&amp;":M"&amp;(ROW()))))-SUM(INDIRECT("W"&amp;(MAX(("Да"=AA$12:AA393)*ROW(AA$12:AA393)+1,ROW($P$12))&amp;":W"&amp;(ROW()))))),0)</f>
        <v>4508.32</v>
      </c>
      <c r="Q394" s="99">
        <f ca="1">MAX(SUM($N$13:N394)-SUM($T$13:T394),0)</f>
        <v>24448.380655737703</v>
      </c>
      <c r="R394" s="99">
        <f ca="1">Первоначальный[[#This Row],[Просроченный платеж по ОД]]+Первоначальный[[#This Row],[Просроченный платеж по процентам]]</f>
        <v>28956.700655737703</v>
      </c>
      <c r="S394" s="120">
        <f ca="1">IF(Первоначальный[[#This Row],[Просроченный платеж]]&lt;1,0,S393+1)</f>
        <v>290</v>
      </c>
      <c r="T394" s="100" cm="1">
        <f t="array" aca="1" ref="T394" ca="1">IF(Первоначальный[[#This Row],[Итого остаток на начало периода]]&lt;1,0,
IF(
AND(TYPE(VLOOKUP(1,$Z$12:Z394,1,0))=16,Первоначальный[[#This Row],[Досрочное погашение (да/"")]]=""),0,
_xlfn.IFS(AND(S393=0,Первоначальный[[#This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платеж]]&lt;&gt;0),MIN(LOOKUP(,-1/($Z$12:Z394=1),$C$12:C394)+LOOKUP(,-1/($Z$12:Z394=1),$H$12:H394),Первоначальный[[#This Row],[Полученный платеж]]+Y393),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платеж]]+Y393,SUM(Первоначальный[[#This Row],[Остаток процентов на начало периода]],Первоначальный[[#This Row],[Проценты за период]])),
AND(S393=0,Первоначальный[[#This Row],[Дата платежа из графика]]=""),0,
AND(S393=0,Первоначальный[[#This Row],[Дата платежа из графика]]=1,MAX((0&lt;&gt;S$12:S393)*ROW(S$12:S393),ROW($S$12))&gt;=MAX((1=Z$12:Z393)*ROW(Z$12:Z393),ROW($T$12)),TYPE(VLOOKUP("Да",(INDIRECT("AA"&amp;(MAX((1=Z$12:Z393)*ROW(Z$12:Z393),ROW($T$12))&amp;":AA"&amp;(ROW()-1)))),1,0))=16),MIN(LOOKUP(,-1/($Z$12:Z394=1),$C$12:C394)+LOOKUP(,-1/($Z$12:Z394=1),$H$12:H394),Первоначальный[[#This Row],[Полученный платеж]]+Y393),
AND(S393=0,TYPE(VLOOKUP("Да",(INDIRECT("AA"&amp;(MAX((1=Z$12:Z393)*ROW(Z$12:Z393),ROW($T$12))&amp;":AA"&amp;(ROW()-1)))),1,0))&lt;&gt;16),MIN(LOOKUP(,-1/($Z$12:Z394=1),$C$12:C394)+LOOKUP(,-1/($Z$12:Z394=1),$H$12:H394)-IF(AA393="Да",0,SUM(INDIRECT("T"&amp;(MAX(("Да"=AA$12:AA393)*ROW(AA$12:AA393)+1,ROW($T$12))&amp;":T"&amp;(ROW()-1))))),Первоначальный[[#This Row],[Полученный платеж]]+Y393),
AND(S393=0,MAX((0&lt;&gt;N$12:N393)*ROW(N$12:N393),ROW($S$12))&gt;=MAX((1=Z$12:Z393)*ROW(Z$12:Z393),ROW($T$12))),MIN(LOOKUP(,-1/($Z$12:Z394=1),$C$12:C394)+LOOKUP(,-1/($Z$12:Z394=1),$H$12:H394)-IF(N393&lt;&gt;0,0,SUM(INDIRECT("T"&amp;(MAX((0&lt;&gt;N$12:N393)*ROW(N$12:N393)+1,ROW($T$12))&amp;":T"&amp;(ROW()-1))))),Первоначальный[[#This Row],[Полученный платеж]]+Y393),
AND(S393=0,Первоначальный[[#This Row],[Дата платежа из графика]]=1),MIN(LOOKUP(,-1/($Z$12:Z394=1),$C$12:C394)+LOOKUP(,-1/($Z$12:Z394=1),$H$12:H394)-IF(Z393=1,0,SUM(INDIRECT("T"&amp;(MAX((1=Z$12:Z393)*ROW(Z$12:Z393)+1,ROW($T$12))&amp;":T"&amp;(ROW()-1))))),Первоначальный[[#This Row],[Полученный платеж]]+Y393),
AND(Z393&gt;0,Первоначальный[[#This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платеж]]+Y393),
AND(S393&gt;0,MAX((0&lt;&gt;S$12:S393)*ROW(S$12:S393),ROW($S$12))&gt;=MAX((1=Z$12:Z393)*ROW(Z$12:Z393),ROW($T$12)),TYPE(VLOOKUP("Да",(INDIRECT("AA"&amp;(MAX((1=Z$12:Z393)*ROW(Z$12:Z393),ROW($T$12))&amp;":AA"&amp;(ROW()-1)))),1,0))=16),MIN(LOOKUP(,-1/($Z$12:Z394=1),$C$12:C394)+LOOKUP(,-1/($Z$12:Z394=1),$H$12:H394)-SUM(INDIRECT("T"&amp;(MAX((1=Z$12:Z393)*ROW(Z$12:Z393),ROW($T$12))&amp;":T"&amp;(ROW()-1)))),Первоначальный[[#This Row],[Полученный платеж]]+Y393),
S393&gt;0,MIN(LOOKUP(,-1/($Z$12:Z394=1),$C$12:C394)+LOOKUP(,-1/($Z$12:Z394=1),$H$12:H394)-IF(Z393=1,0,SUM(INDIRECT("T"&amp;(MAX((1=Z$12:Z393)*ROW(Z$12:Z393)+1,ROW($T$12))&amp;":T"&amp;(ROW()-1))))),Первоначальный[[#This Row],[Полученный платеж]]+Y393)
)
)
)</f>
        <v>0</v>
      </c>
      <c r="U39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платеж]]+Y393-Первоначальный[[#This Row],[Полученный платёж по процентам]])</f>
        <v>0</v>
      </c>
      <c r="V394" s="55">
        <f t="shared" ca="1" si="61"/>
        <v>0</v>
      </c>
      <c r="W394" s="55" cm="1">
        <f t="array" aca="1" ref="W394" ca="1">IF(Первоначальный[[#This Row],[Итого остаток на начало периода]]&lt;1,0,
_xlfn.IFS(
AND(TYPE(VLOOKUP(1,$Z$12:Z394,1,0))=16,Первоначальный[[#This Row],[Досрочное погашение (да/"")]]=""),0,
AND(S393=0,Первоначальный[[#This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платеж]]+Y393-SUM(Первоначальный[[#This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комиссиям]]),VLOOKUP(LOOKUP(,-1/($Z$12:Z394=1),$A$12:A394),График[[Срок конец]:[Возврат основной суммы долга]],3,0)),
AND(S393=0,Первоначальный[[#This Row],[Дата платежа из графика]]="",Первоначальный[[#This Row],[Досрочное погашение (да/"")]]&lt;&gt;"Да"),0,
AND(S393=0,Первоначальный[[#This Row],[Досрочное погашение (да/"")]]=""),MIN(Первоначальный[[#This Row],[Полученный платеж]]+Y393-SUM(Первоначальный[[#This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комиссиям]]),VLOOKUP(LOOKUP(,-1/($Z$12:Z394=1),$A$12:A394),График[[Срок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платеж]]+Y393-SUM(Первоначальный[[#This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S393&gt;0,MIN(Первоначальный[[#This Row],[Полученный платеж]]+Y393-SUM(Первоначальный[[#This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комиссиям]]),SUM(INDIRECT("M"&amp;(MAX((1=S$12:S393)*ROW(S$12:S393),ROW($W$12))&amp;":M"&amp;(ROW()))))-SUM(INDIRECT("W"&amp;(MAX((1=S$12:S393)*ROW(S$12:S393),ROW($W$12))&amp;":W"&amp;(ROW()-1)))))
)
)</f>
        <v>0</v>
      </c>
      <c r="X394" s="55">
        <f t="shared" ca="1" si="62"/>
        <v>0</v>
      </c>
      <c r="Y394" s="101">
        <f t="shared" ca="1" si="69"/>
        <v>0</v>
      </c>
      <c r="Z394" s="133" t="str">
        <f>IF(TYPE((VLOOKUP(Первоначальный[[#This Row],[Дата платежа]],График[Срок конец],1,0)))=16,"",1)</f>
        <v/>
      </c>
      <c r="AA394" s="57"/>
      <c r="AB394" s="134"/>
      <c r="AC39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9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25715.569999999967</v>
      </c>
      <c r="AE39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377.21000000000072</v>
      </c>
      <c r="AF39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9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22331.070950819703</v>
      </c>
      <c r="AH394" s="55"/>
      <c r="AI394" s="55"/>
      <c r="AJ394" s="55"/>
      <c r="AK394" s="101">
        <f t="shared" ca="1" si="70"/>
        <v>198057.19095081967</v>
      </c>
      <c r="AL394" s="129">
        <f t="array" ref="AL394">MAX((УслРестрактов[Характеристика]="Дата реструктуризации")*(УслРестрактов[Значение]=Первоначальный!$A394),0)</f>
        <v>0</v>
      </c>
    </row>
    <row r="395" spans="1:38" x14ac:dyDescent="0.25">
      <c r="A395" s="97">
        <f t="shared" si="63"/>
        <v>44526</v>
      </c>
      <c r="B395" s="100">
        <f t="shared" ca="1" si="64"/>
        <v>149633.34</v>
      </c>
      <c r="C395" s="55">
        <f t="shared" ca="1" si="72"/>
        <v>25715.569999999967</v>
      </c>
      <c r="D395" s="55">
        <f t="shared" ca="1" si="72"/>
        <v>377.21000000000072</v>
      </c>
      <c r="E395" s="55">
        <f t="shared" ca="1" si="65"/>
        <v>0</v>
      </c>
      <c r="F395" s="55">
        <f t="shared" ca="1" si="66"/>
        <v>22331.070950819703</v>
      </c>
      <c r="G395" s="101">
        <f t="shared" ca="1" si="67"/>
        <v>198057.19095081967</v>
      </c>
      <c r="H395" s="100">
        <f ca="1">ROUND($B395*VLOOKUP($A395,$A$1:$B$10,2,1)/(365+IF(MOD(YEAR($A395),4),0,1)*($A395-$A394)),2)-Первоначальный[[#This Row],[Проценты на просроченный платеж по ОД за период]]</f>
        <v>79.12</v>
      </c>
      <c r="I395" s="55">
        <f t="shared" ca="1" si="68"/>
        <v>2.46</v>
      </c>
      <c r="J395" s="55">
        <v>0</v>
      </c>
      <c r="K395" s="55">
        <f t="shared" ca="1" si="71"/>
        <v>144.78350327868853</v>
      </c>
      <c r="L395" s="55">
        <v>0</v>
      </c>
      <c r="M395" s="113">
        <f>SUMIFS(График[Возврат основной суммы долга],График[Дата с учетом нерабочих дней],$A395)</f>
        <v>0</v>
      </c>
      <c r="N395" s="56">
        <f>SUMIFS(График[Возврат начисленных %],График[Дата с учетом нерабочих дней],$A395)</f>
        <v>0</v>
      </c>
      <c r="O395" s="101">
        <v>0</v>
      </c>
      <c r="P395" s="100" cm="1">
        <f t="array" aca="1" ref="P395" ca="1">MAX(IF(AA394="Да",0,SUM(INDIRECT("M"&amp;(MAX(("Да"=AA$12:AA394)*ROW(AA$12:AA394)+1,ROW($P$12))&amp;":M"&amp;(ROW()))))-SUM(INDIRECT("W"&amp;(MAX(("Да"=AA$12:AA394)*ROW(AA$12:AA394)+1,ROW($P$12))&amp;":W"&amp;(ROW()))))),0)</f>
        <v>4508.32</v>
      </c>
      <c r="Q395" s="99">
        <f ca="1">MAX(SUM($N$13:N395)-SUM($T$13:T395),0)</f>
        <v>24448.380655737703</v>
      </c>
      <c r="R395" s="99">
        <f ca="1">Первоначальный[[#This Row],[Просроченный платеж по ОД]]+Первоначальный[[#This Row],[Просроченный платеж по процентам]]</f>
        <v>28956.700655737703</v>
      </c>
      <c r="S395" s="120">
        <f ca="1">IF(Первоначальный[[#This Row],[Просроченный платеж]]&lt;1,0,S394+1)</f>
        <v>291</v>
      </c>
      <c r="T395" s="100" cm="1">
        <f t="array" aca="1" ref="T395" ca="1">IF(Первоначальный[[#This Row],[Итого остаток на начало периода]]&lt;1,0,
IF(
AND(TYPE(VLOOKUP(1,$Z$12:Z395,1,0))=16,Первоначальный[[#This Row],[Досрочное погашение (да/"")]]=""),0,
_xlfn.IFS(AND(S394=0,Первоначальный[[#This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платеж]]&lt;&gt;0),MIN(LOOKUP(,-1/($Z$12:Z395=1),$C$12:C395)+LOOKUP(,-1/($Z$12:Z395=1),$H$12:H395),Первоначальный[[#This Row],[Полученный платеж]]+Y394),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платеж]]+Y394,SUM(Первоначальный[[#This Row],[Остаток процентов на начало периода]],Первоначальный[[#This Row],[Проценты за период]])),
AND(S394=0,Первоначальный[[#This Row],[Дата платежа из графика]]=""),0,
AND(S394=0,Первоначальный[[#This Row],[Дата платежа из графика]]=1,MAX((0&lt;&gt;S$12:S394)*ROW(S$12:S394),ROW($S$12))&gt;=MAX((1=Z$12:Z394)*ROW(Z$12:Z394),ROW($T$12)),TYPE(VLOOKUP("Да",(INDIRECT("AA"&amp;(MAX((1=Z$12:Z394)*ROW(Z$12:Z394),ROW($T$12))&amp;":AA"&amp;(ROW()-1)))),1,0))=16),MIN(LOOKUP(,-1/($Z$12:Z395=1),$C$12:C395)+LOOKUP(,-1/($Z$12:Z395=1),$H$12:H395),Первоначальный[[#This Row],[Полученный платеж]]+Y394),
AND(S394=0,TYPE(VLOOKUP("Да",(INDIRECT("AA"&amp;(MAX((1=Z$12:Z394)*ROW(Z$12:Z394),ROW($T$12))&amp;":AA"&amp;(ROW()-1)))),1,0))&lt;&gt;16),MIN(LOOKUP(,-1/($Z$12:Z395=1),$C$12:C395)+LOOKUP(,-1/($Z$12:Z395=1),$H$12:H395)-IF(AA394="Да",0,SUM(INDIRECT("T"&amp;(MAX(("Да"=AA$12:AA394)*ROW(AA$12:AA394)+1,ROW($T$12))&amp;":T"&amp;(ROW()-1))))),Первоначальный[[#This Row],[Полученный платеж]]+Y394),
AND(S394=0,MAX((0&lt;&gt;N$12:N394)*ROW(N$12:N394),ROW($S$12))&gt;=MAX((1=Z$12:Z394)*ROW(Z$12:Z394),ROW($T$12))),MIN(LOOKUP(,-1/($Z$12:Z395=1),$C$12:C395)+LOOKUP(,-1/($Z$12:Z395=1),$H$12:H395)-IF(N394&lt;&gt;0,0,SUM(INDIRECT("T"&amp;(MAX((0&lt;&gt;N$12:N394)*ROW(N$12:N394)+1,ROW($T$12))&amp;":T"&amp;(ROW()-1))))),Первоначальный[[#This Row],[Полученный платеж]]+Y394),
AND(S394=0,Первоначальный[[#This Row],[Дата платежа из графика]]=1),MIN(LOOKUP(,-1/($Z$12:Z395=1),$C$12:C395)+LOOKUP(,-1/($Z$12:Z395=1),$H$12:H395)-IF(Z394=1,0,SUM(INDIRECT("T"&amp;(MAX((1=Z$12:Z394)*ROW(Z$12:Z394)+1,ROW($T$12))&amp;":T"&amp;(ROW()-1))))),Первоначальный[[#This Row],[Полученный платеж]]+Y394),
AND(Z394&gt;0,Первоначальный[[#This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платеж]]+Y394),
AND(S394&gt;0,MAX((0&lt;&gt;S$12:S394)*ROW(S$12:S394),ROW($S$12))&gt;=MAX((1=Z$12:Z394)*ROW(Z$12:Z394),ROW($T$12)),TYPE(VLOOKUP("Да",(INDIRECT("AA"&amp;(MAX((1=Z$12:Z394)*ROW(Z$12:Z394),ROW($T$12))&amp;":AA"&amp;(ROW()-1)))),1,0))=16),MIN(LOOKUP(,-1/($Z$12:Z395=1),$C$12:C395)+LOOKUP(,-1/($Z$12:Z395=1),$H$12:H395)-SUM(INDIRECT("T"&amp;(MAX((1=Z$12:Z394)*ROW(Z$12:Z394),ROW($T$12))&amp;":T"&amp;(ROW()-1)))),Первоначальный[[#This Row],[Полученный платеж]]+Y394),
S394&gt;0,MIN(LOOKUP(,-1/($Z$12:Z395=1),$C$12:C395)+LOOKUP(,-1/($Z$12:Z395=1),$H$12:H395)-IF(Z394=1,0,SUM(INDIRECT("T"&amp;(MAX((1=Z$12:Z394)*ROW(Z$12:Z394)+1,ROW($T$12))&amp;":T"&amp;(ROW()-1))))),Первоначальный[[#This Row],[Полученный платеж]]+Y394)
)
)
)</f>
        <v>0</v>
      </c>
      <c r="U39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платеж]]+Y394-Первоначальный[[#This Row],[Полученный платёж по процентам]])</f>
        <v>0</v>
      </c>
      <c r="V395" s="55">
        <f t="shared" ca="1" si="61"/>
        <v>0</v>
      </c>
      <c r="W395" s="55" cm="1">
        <f t="array" aca="1" ref="W395" ca="1">IF(Первоначальный[[#This Row],[Итого остаток на начало периода]]&lt;1,0,
_xlfn.IFS(
AND(TYPE(VLOOKUP(1,$Z$12:Z395,1,0))=16,Первоначальный[[#This Row],[Досрочное погашение (да/"")]]=""),0,
AND(S394=0,Первоначальный[[#This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платеж]]+Y394-SUM(Первоначальный[[#This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комиссиям]]),VLOOKUP(LOOKUP(,-1/($Z$12:Z395=1),$A$12:A395),График[[Срок конец]:[Возврат основной суммы долга]],3,0)),
AND(S394=0,Первоначальный[[#This Row],[Дата платежа из графика]]="",Первоначальный[[#This Row],[Досрочное погашение (да/"")]]&lt;&gt;"Да"),0,
AND(S394=0,Первоначальный[[#This Row],[Досрочное погашение (да/"")]]=""),MIN(Первоначальный[[#This Row],[Полученный платеж]]+Y394-SUM(Первоначальный[[#This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комиссиям]]),VLOOKUP(LOOKUP(,-1/($Z$12:Z395=1),$A$12:A395),График[[Срок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платеж]]+Y394-SUM(Первоначальный[[#This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S394&gt;0,MIN(Первоначальный[[#This Row],[Полученный платеж]]+Y394-SUM(Первоначальный[[#This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комиссиям]]),SUM(INDIRECT("M"&amp;(MAX((1=S$12:S394)*ROW(S$12:S394),ROW($W$12))&amp;":M"&amp;(ROW()))))-SUM(INDIRECT("W"&amp;(MAX((1=S$12:S394)*ROW(S$12:S394),ROW($W$12))&amp;":W"&amp;(ROW()-1)))))
)
)</f>
        <v>0</v>
      </c>
      <c r="X395" s="55">
        <f t="shared" ca="1" si="62"/>
        <v>0</v>
      </c>
      <c r="Y395" s="101">
        <f t="shared" ca="1" si="69"/>
        <v>0</v>
      </c>
      <c r="Z395" s="133" t="str">
        <f>IF(TYPE((VLOOKUP(Первоначальный[[#This Row],[Дата платежа]],График[Срок конец],1,0)))=16,"",1)</f>
        <v/>
      </c>
      <c r="AA395" s="57"/>
      <c r="AB395" s="134"/>
      <c r="AC39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9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25794.689999999966</v>
      </c>
      <c r="AE39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379.6700000000007</v>
      </c>
      <c r="AF39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9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22475.854454098393</v>
      </c>
      <c r="AH395" s="55"/>
      <c r="AI395" s="55"/>
      <c r="AJ395" s="55"/>
      <c r="AK395" s="101">
        <f t="shared" ca="1" si="70"/>
        <v>198283.55445409837</v>
      </c>
      <c r="AL395" s="129">
        <f t="array" ref="AL395">MAX((УслРестрактов[Характеристика]="Дата реструктуризации")*(УслРестрактов[Значение]=Первоначальный!$A395),0)</f>
        <v>0</v>
      </c>
    </row>
    <row r="396" spans="1:38" x14ac:dyDescent="0.25">
      <c r="A396" s="97">
        <f t="shared" si="63"/>
        <v>44527</v>
      </c>
      <c r="B396" s="100">
        <f t="shared" ca="1" si="64"/>
        <v>149633.34</v>
      </c>
      <c r="C396" s="55">
        <f t="shared" ca="1" si="72"/>
        <v>25794.689999999966</v>
      </c>
      <c r="D396" s="55">
        <f t="shared" ca="1" si="72"/>
        <v>379.6700000000007</v>
      </c>
      <c r="E396" s="55">
        <f t="shared" ca="1" si="65"/>
        <v>0</v>
      </c>
      <c r="F396" s="55">
        <f t="shared" ca="1" si="66"/>
        <v>22475.854454098393</v>
      </c>
      <c r="G396" s="101">
        <f t="shared" ca="1" si="67"/>
        <v>198283.55445409837</v>
      </c>
      <c r="H396" s="100">
        <f ca="1">ROUND($B396*VLOOKUP($A396,$A$1:$B$10,2,1)/(365+IF(MOD(YEAR($A396),4),0,1)*($A396-$A395)),2)-Первоначальный[[#This Row],[Проценты на просроченный платеж по ОД за период]]</f>
        <v>79.12</v>
      </c>
      <c r="I396" s="55">
        <f t="shared" ca="1" si="68"/>
        <v>2.46</v>
      </c>
      <c r="J396" s="55">
        <v>0</v>
      </c>
      <c r="K396" s="55">
        <f t="shared" ca="1" si="71"/>
        <v>144.78350327868853</v>
      </c>
      <c r="L396" s="55">
        <v>0</v>
      </c>
      <c r="M396" s="113">
        <f>SUMIFS(График[Возврат основной суммы долга],График[Дата с учетом нерабочих дней],$A396)</f>
        <v>0</v>
      </c>
      <c r="N396" s="56">
        <f>SUMIFS(График[Возврат начисленных %],График[Дата с учетом нерабочих дней],$A396)</f>
        <v>0</v>
      </c>
      <c r="O396" s="101">
        <v>0</v>
      </c>
      <c r="P396" s="100" cm="1">
        <f t="array" aca="1" ref="P396" ca="1">MAX(IF(AA395="Да",0,SUM(INDIRECT("M"&amp;(MAX(("Да"=AA$12:AA395)*ROW(AA$12:AA395)+1,ROW($P$12))&amp;":M"&amp;(ROW()))))-SUM(INDIRECT("W"&amp;(MAX(("Да"=AA$12:AA395)*ROW(AA$12:AA395)+1,ROW($P$12))&amp;":W"&amp;(ROW()))))),0)</f>
        <v>4508.32</v>
      </c>
      <c r="Q396" s="99">
        <f ca="1">MAX(SUM($N$13:N396)-SUM($T$13:T396),0)</f>
        <v>24448.380655737703</v>
      </c>
      <c r="R396" s="99">
        <f ca="1">Первоначальный[[#This Row],[Просроченный платеж по ОД]]+Первоначальный[[#This Row],[Просроченный платеж по процентам]]</f>
        <v>28956.700655737703</v>
      </c>
      <c r="S396" s="120">
        <f ca="1">IF(Первоначальный[[#This Row],[Просроченный платеж]]&lt;1,0,S395+1)</f>
        <v>292</v>
      </c>
      <c r="T396" s="100" cm="1">
        <f t="array" aca="1" ref="T396" ca="1">IF(Первоначальный[[#This Row],[Итого остаток на начало периода]]&lt;1,0,
IF(
AND(TYPE(VLOOKUP(1,$Z$12:Z396,1,0))=16,Первоначальный[[#This Row],[Досрочное погашение (да/"")]]=""),0,
_xlfn.IFS(AND(S395=0,Первоначальный[[#This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платеж]]&lt;&gt;0),MIN(LOOKUP(,-1/($Z$12:Z396=1),$C$12:C396)+LOOKUP(,-1/($Z$12:Z396=1),$H$12:H396),Первоначальный[[#This Row],[Полученный платеж]]+Y395),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платеж]]+Y395,SUM(Первоначальный[[#This Row],[Остаток процентов на начало периода]],Первоначальный[[#This Row],[Проценты за период]])),
AND(S395=0,Первоначальный[[#This Row],[Дата платежа из графика]]=""),0,
AND(S395=0,Первоначальный[[#This Row],[Дата платежа из графика]]=1,MAX((0&lt;&gt;S$12:S395)*ROW(S$12:S395),ROW($S$12))&gt;=MAX((1=Z$12:Z395)*ROW(Z$12:Z395),ROW($T$12)),TYPE(VLOOKUP("Да",(INDIRECT("AA"&amp;(MAX((1=Z$12:Z395)*ROW(Z$12:Z395),ROW($T$12))&amp;":AA"&amp;(ROW()-1)))),1,0))=16),MIN(LOOKUP(,-1/($Z$12:Z396=1),$C$12:C396)+LOOKUP(,-1/($Z$12:Z396=1),$H$12:H396),Первоначальный[[#This Row],[Полученный платеж]]+Y395),
AND(S395=0,TYPE(VLOOKUP("Да",(INDIRECT("AA"&amp;(MAX((1=Z$12:Z395)*ROW(Z$12:Z395),ROW($T$12))&amp;":AA"&amp;(ROW()-1)))),1,0))&lt;&gt;16),MIN(LOOKUP(,-1/($Z$12:Z396=1),$C$12:C396)+LOOKUP(,-1/($Z$12:Z396=1),$H$12:H396)-IF(AA395="Да",0,SUM(INDIRECT("T"&amp;(MAX(("Да"=AA$12:AA395)*ROW(AA$12:AA395)+1,ROW($T$12))&amp;":T"&amp;(ROW()-1))))),Первоначальный[[#This Row],[Полученный платеж]]+Y395),
AND(S395=0,MAX((0&lt;&gt;N$12:N395)*ROW(N$12:N395),ROW($S$12))&gt;=MAX((1=Z$12:Z395)*ROW(Z$12:Z395),ROW($T$12))),MIN(LOOKUP(,-1/($Z$12:Z396=1),$C$12:C396)+LOOKUP(,-1/($Z$12:Z396=1),$H$12:H396)-IF(N395&lt;&gt;0,0,SUM(INDIRECT("T"&amp;(MAX((0&lt;&gt;N$12:N395)*ROW(N$12:N395)+1,ROW($T$12))&amp;":T"&amp;(ROW()-1))))),Первоначальный[[#This Row],[Полученный платеж]]+Y395),
AND(S395=0,Первоначальный[[#This Row],[Дата платежа из графика]]=1),MIN(LOOKUP(,-1/($Z$12:Z396=1),$C$12:C396)+LOOKUP(,-1/($Z$12:Z396=1),$H$12:H396)-IF(Z395=1,0,SUM(INDIRECT("T"&amp;(MAX((1=Z$12:Z395)*ROW(Z$12:Z395)+1,ROW($T$12))&amp;":T"&amp;(ROW()-1))))),Первоначальный[[#This Row],[Полученный платеж]]+Y395),
AND(Z395&gt;0,Первоначальный[[#This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платеж]]+Y395),
AND(S395&gt;0,MAX((0&lt;&gt;S$12:S395)*ROW(S$12:S395),ROW($S$12))&gt;=MAX((1=Z$12:Z395)*ROW(Z$12:Z395),ROW($T$12)),TYPE(VLOOKUP("Да",(INDIRECT("AA"&amp;(MAX((1=Z$12:Z395)*ROW(Z$12:Z395),ROW($T$12))&amp;":AA"&amp;(ROW()-1)))),1,0))=16),MIN(LOOKUP(,-1/($Z$12:Z396=1),$C$12:C396)+LOOKUP(,-1/($Z$12:Z396=1),$H$12:H396)-SUM(INDIRECT("T"&amp;(MAX((1=Z$12:Z395)*ROW(Z$12:Z395),ROW($T$12))&amp;":T"&amp;(ROW()-1)))),Первоначальный[[#This Row],[Полученный платеж]]+Y395),
S395&gt;0,MIN(LOOKUP(,-1/($Z$12:Z396=1),$C$12:C396)+LOOKUP(,-1/($Z$12:Z396=1),$H$12:H396)-IF(Z395=1,0,SUM(INDIRECT("T"&amp;(MAX((1=Z$12:Z395)*ROW(Z$12:Z395)+1,ROW($T$12))&amp;":T"&amp;(ROW()-1))))),Первоначальный[[#This Row],[Полученный платеж]]+Y395)
)
)
)</f>
        <v>0</v>
      </c>
      <c r="U39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платеж]]+Y395-Первоначальный[[#This Row],[Полученный платёж по процентам]])</f>
        <v>0</v>
      </c>
      <c r="V396" s="55">
        <f t="shared" ca="1" si="61"/>
        <v>0</v>
      </c>
      <c r="W396" s="55" cm="1">
        <f t="array" aca="1" ref="W396" ca="1">IF(Первоначальный[[#This Row],[Итого остаток на начало периода]]&lt;1,0,
_xlfn.IFS(
AND(TYPE(VLOOKUP(1,$Z$12:Z396,1,0))=16,Первоначальный[[#This Row],[Досрочное погашение (да/"")]]=""),0,
AND(S395=0,Первоначальный[[#This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платеж]]+Y395-SUM(Первоначальный[[#This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комиссиям]]),VLOOKUP(LOOKUP(,-1/($Z$12:Z396=1),$A$12:A396),График[[Срок конец]:[Возврат основной суммы долга]],3,0)),
AND(S395=0,Первоначальный[[#This Row],[Дата платежа из графика]]="",Первоначальный[[#This Row],[Досрочное погашение (да/"")]]&lt;&gt;"Да"),0,
AND(S395=0,Первоначальный[[#This Row],[Досрочное погашение (да/"")]]=""),MIN(Первоначальный[[#This Row],[Полученный платеж]]+Y395-SUM(Первоначальный[[#This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комиссиям]]),VLOOKUP(LOOKUP(,-1/($Z$12:Z396=1),$A$12:A396),График[[Срок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платеж]]+Y395-SUM(Первоначальный[[#This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S395&gt;0,MIN(Первоначальный[[#This Row],[Полученный платеж]]+Y395-SUM(Первоначальный[[#This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комиссиям]]),SUM(INDIRECT("M"&amp;(MAX((1=S$12:S395)*ROW(S$12:S395),ROW($W$12))&amp;":M"&amp;(ROW()))))-SUM(INDIRECT("W"&amp;(MAX((1=S$12:S395)*ROW(S$12:S395),ROW($W$12))&amp;":W"&amp;(ROW()-1)))))
)
)</f>
        <v>0</v>
      </c>
      <c r="X396" s="55">
        <f t="shared" ca="1" si="62"/>
        <v>0</v>
      </c>
      <c r="Y396" s="101">
        <f t="shared" ca="1" si="69"/>
        <v>0</v>
      </c>
      <c r="Z396" s="133" t="str">
        <f>IF(TYPE((VLOOKUP(Первоначальный[[#This Row],[Дата платежа]],График[Срок конец],1,0)))=16,"",1)</f>
        <v/>
      </c>
      <c r="AA396" s="57"/>
      <c r="AB396" s="134"/>
      <c r="AC39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9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25873.809999999965</v>
      </c>
      <c r="AE39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382.13000000000068</v>
      </c>
      <c r="AF39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9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22620.637957377083</v>
      </c>
      <c r="AH396" s="55"/>
      <c r="AI396" s="55"/>
      <c r="AJ396" s="55"/>
      <c r="AK396" s="101">
        <f t="shared" ca="1" si="70"/>
        <v>198509.91795737704</v>
      </c>
      <c r="AL396" s="129">
        <f t="array" ref="AL396">MAX((УслРестрактов[Характеристика]="Дата реструктуризации")*(УслРестрактов[Значение]=Первоначальный!$A396),0)</f>
        <v>0</v>
      </c>
    </row>
    <row r="397" spans="1:38" x14ac:dyDescent="0.25">
      <c r="A397" s="97">
        <f t="shared" si="63"/>
        <v>44528</v>
      </c>
      <c r="B397" s="100">
        <f t="shared" ca="1" si="64"/>
        <v>149633.34</v>
      </c>
      <c r="C397" s="55">
        <f t="shared" ca="1" si="72"/>
        <v>25873.809999999965</v>
      </c>
      <c r="D397" s="55">
        <f t="shared" ca="1" si="72"/>
        <v>382.13000000000068</v>
      </c>
      <c r="E397" s="55">
        <f t="shared" ca="1" si="65"/>
        <v>0</v>
      </c>
      <c r="F397" s="55">
        <f t="shared" ca="1" si="66"/>
        <v>22620.637957377083</v>
      </c>
      <c r="G397" s="101">
        <f t="shared" ca="1" si="67"/>
        <v>198509.91795737704</v>
      </c>
      <c r="H397" s="100">
        <f ca="1">ROUND($B397*VLOOKUP($A397,$A$1:$B$10,2,1)/(365+IF(MOD(YEAR($A397),4),0,1)*($A397-$A396)),2)-Первоначальный[[#This Row],[Проценты на просроченный платеж по ОД за период]]</f>
        <v>79.12</v>
      </c>
      <c r="I397" s="55">
        <f t="shared" ca="1" si="68"/>
        <v>2.46</v>
      </c>
      <c r="J397" s="55">
        <v>0</v>
      </c>
      <c r="K397" s="55">
        <f t="shared" ca="1" si="71"/>
        <v>144.78350327868853</v>
      </c>
      <c r="L397" s="55">
        <v>0</v>
      </c>
      <c r="M397" s="113">
        <f>SUMIFS(График[Возврат основной суммы долга],График[Дата с учетом нерабочих дней],$A397)</f>
        <v>0</v>
      </c>
      <c r="N397" s="56">
        <f>SUMIFS(График[Возврат начисленных %],График[Дата с учетом нерабочих дней],$A397)</f>
        <v>0</v>
      </c>
      <c r="O397" s="101">
        <v>0</v>
      </c>
      <c r="P397" s="100" cm="1">
        <f t="array" aca="1" ref="P397" ca="1">MAX(IF(AA396="Да",0,SUM(INDIRECT("M"&amp;(MAX(("Да"=AA$12:AA396)*ROW(AA$12:AA396)+1,ROW($P$12))&amp;":M"&amp;(ROW()))))-SUM(INDIRECT("W"&amp;(MAX(("Да"=AA$12:AA396)*ROW(AA$12:AA396)+1,ROW($P$12))&amp;":W"&amp;(ROW()))))),0)</f>
        <v>4508.32</v>
      </c>
      <c r="Q397" s="99">
        <f ca="1">MAX(SUM($N$13:N397)-SUM($T$13:T397),0)</f>
        <v>24448.380655737703</v>
      </c>
      <c r="R397" s="99">
        <f ca="1">Первоначальный[[#This Row],[Просроченный платеж по ОД]]+Первоначальный[[#This Row],[Просроченный платеж по процентам]]</f>
        <v>28956.700655737703</v>
      </c>
      <c r="S397" s="120">
        <f ca="1">IF(Первоначальный[[#This Row],[Просроченный платеж]]&lt;1,0,S396+1)</f>
        <v>293</v>
      </c>
      <c r="T397" s="100" cm="1">
        <f t="array" aca="1" ref="T397" ca="1">IF(Первоначальный[[#This Row],[Итого остаток на начало периода]]&lt;1,0,
IF(
AND(TYPE(VLOOKUP(1,$Z$12:Z397,1,0))=16,Первоначальный[[#This Row],[Досрочное погашение (да/"")]]=""),0,
_xlfn.IFS(AND(S396=0,Первоначальный[[#This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платеж]]&lt;&gt;0),MIN(LOOKUP(,-1/($Z$12:Z397=1),$C$12:C397)+LOOKUP(,-1/($Z$12:Z397=1),$H$12:H397),Первоначальный[[#This Row],[Полученный платеж]]+Y396),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платеж]]+Y396,SUM(Первоначальный[[#This Row],[Остаток процентов на начало периода]],Первоначальный[[#This Row],[Проценты за период]])),
AND(S396=0,Первоначальный[[#This Row],[Дата платежа из графика]]=""),0,
AND(S396=0,Первоначальный[[#This Row],[Дата платежа из графика]]=1,MAX((0&lt;&gt;S$12:S396)*ROW(S$12:S396),ROW($S$12))&gt;=MAX((1=Z$12:Z396)*ROW(Z$12:Z396),ROW($T$12)),TYPE(VLOOKUP("Да",(INDIRECT("AA"&amp;(MAX((1=Z$12:Z396)*ROW(Z$12:Z396),ROW($T$12))&amp;":AA"&amp;(ROW()-1)))),1,0))=16),MIN(LOOKUP(,-1/($Z$12:Z397=1),$C$12:C397)+LOOKUP(,-1/($Z$12:Z397=1),$H$12:H397),Первоначальный[[#This Row],[Полученный платеж]]+Y396),
AND(S396=0,TYPE(VLOOKUP("Да",(INDIRECT("AA"&amp;(MAX((1=Z$12:Z396)*ROW(Z$12:Z396),ROW($T$12))&amp;":AA"&amp;(ROW()-1)))),1,0))&lt;&gt;16),MIN(LOOKUP(,-1/($Z$12:Z397=1),$C$12:C397)+LOOKUP(,-1/($Z$12:Z397=1),$H$12:H397)-IF(AA396="Да",0,SUM(INDIRECT("T"&amp;(MAX(("Да"=AA$12:AA396)*ROW(AA$12:AA396)+1,ROW($T$12))&amp;":T"&amp;(ROW()-1))))),Первоначальный[[#This Row],[Полученный платеж]]+Y396),
AND(S396=0,MAX((0&lt;&gt;N$12:N396)*ROW(N$12:N396),ROW($S$12))&gt;=MAX((1=Z$12:Z396)*ROW(Z$12:Z396),ROW($T$12))),MIN(LOOKUP(,-1/($Z$12:Z397=1),$C$12:C397)+LOOKUP(,-1/($Z$12:Z397=1),$H$12:H397)-IF(N396&lt;&gt;0,0,SUM(INDIRECT("T"&amp;(MAX((0&lt;&gt;N$12:N396)*ROW(N$12:N396)+1,ROW($T$12))&amp;":T"&amp;(ROW()-1))))),Первоначальный[[#This Row],[Полученный платеж]]+Y396),
AND(S396=0,Первоначальный[[#This Row],[Дата платежа из графика]]=1),MIN(LOOKUP(,-1/($Z$12:Z397=1),$C$12:C397)+LOOKUP(,-1/($Z$12:Z397=1),$H$12:H397)-IF(Z396=1,0,SUM(INDIRECT("T"&amp;(MAX((1=Z$12:Z396)*ROW(Z$12:Z396)+1,ROW($T$12))&amp;":T"&amp;(ROW()-1))))),Первоначальный[[#This Row],[Полученный платеж]]+Y396),
AND(Z396&gt;0,Первоначальный[[#This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платеж]]+Y396),
AND(S396&gt;0,MAX((0&lt;&gt;S$12:S396)*ROW(S$12:S396),ROW($S$12))&gt;=MAX((1=Z$12:Z396)*ROW(Z$12:Z396),ROW($T$12)),TYPE(VLOOKUP("Да",(INDIRECT("AA"&amp;(MAX((1=Z$12:Z396)*ROW(Z$12:Z396),ROW($T$12))&amp;":AA"&amp;(ROW()-1)))),1,0))=16),MIN(LOOKUP(,-1/($Z$12:Z397=1),$C$12:C397)+LOOKUP(,-1/($Z$12:Z397=1),$H$12:H397)-SUM(INDIRECT("T"&amp;(MAX((1=Z$12:Z396)*ROW(Z$12:Z396),ROW($T$12))&amp;":T"&amp;(ROW()-1)))),Первоначальный[[#This Row],[Полученный платеж]]+Y396),
S396&gt;0,MIN(LOOKUP(,-1/($Z$12:Z397=1),$C$12:C397)+LOOKUP(,-1/($Z$12:Z397=1),$H$12:H397)-IF(Z396=1,0,SUM(INDIRECT("T"&amp;(MAX((1=Z$12:Z396)*ROW(Z$12:Z396)+1,ROW($T$12))&amp;":T"&amp;(ROW()-1))))),Первоначальный[[#This Row],[Полученный платеж]]+Y396)
)
)
)</f>
        <v>0</v>
      </c>
      <c r="U39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платеж]]+Y396-Первоначальный[[#This Row],[Полученный платёж по процентам]])</f>
        <v>0</v>
      </c>
      <c r="V397" s="55">
        <f t="shared" ref="V397:V460" ca="1" si="73">MAX(MIN(SUM(O397,Y396)-SUM(T397:T397),SUM(E397,J397)),0)</f>
        <v>0</v>
      </c>
      <c r="W397" s="55" cm="1">
        <f t="array" aca="1" ref="W397" ca="1">IF(Первоначальный[[#This Row],[Итого остаток на начало периода]]&lt;1,0,
_xlfn.IFS(
AND(TYPE(VLOOKUP(1,$Z$12:Z397,1,0))=16,Первоначальный[[#This Row],[Досрочное погашение (да/"")]]=""),0,
AND(S396=0,Первоначальный[[#This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платеж]]+Y396-SUM(Первоначальный[[#This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комиссиям]]),VLOOKUP(LOOKUP(,-1/($Z$12:Z397=1),$A$12:A397),График[[Срок конец]:[Возврат основной суммы долга]],3,0)),
AND(S396=0,Первоначальный[[#This Row],[Дата платежа из графика]]="",Первоначальный[[#This Row],[Досрочное погашение (да/"")]]&lt;&gt;"Да"),0,
AND(S396=0,Первоначальный[[#This Row],[Досрочное погашение (да/"")]]=""),MIN(Первоначальный[[#This Row],[Полученный платеж]]+Y396-SUM(Первоначальный[[#This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комиссиям]]),VLOOKUP(LOOKUP(,-1/($Z$12:Z397=1),$A$12:A397),График[[Срок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платеж]]+Y396-SUM(Первоначальный[[#This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S396&gt;0,MIN(Первоначальный[[#This Row],[Полученный платеж]]+Y396-SUM(Первоначальный[[#This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комиссиям]]),SUM(INDIRECT("M"&amp;(MAX((1=S$12:S396)*ROW(S$12:S396),ROW($W$12))&amp;":M"&amp;(ROW()))))-SUM(INDIRECT("W"&amp;(MAX((1=S$12:S396)*ROW(S$12:S396),ROW($W$12))&amp;":W"&amp;(ROW()-1)))))
)
)</f>
        <v>0</v>
      </c>
      <c r="X397" s="55">
        <f t="shared" ref="X397:X460" ca="1" si="74">MAX(MIN(SUM(O397,Y396)-SUM(T397:W397),SUM(F397,K397)),0)</f>
        <v>0</v>
      </c>
      <c r="Y397" s="101">
        <f t="shared" ca="1" si="69"/>
        <v>0</v>
      </c>
      <c r="Z397" s="133" t="str">
        <f>IF(TYPE((VLOOKUP(Первоначальный[[#This Row],[Дата платежа]],График[Срок конец],1,0)))=16,"",1)</f>
        <v/>
      </c>
      <c r="AA397" s="57"/>
      <c r="AB397" s="134"/>
      <c r="AC39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9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25952.929999999964</v>
      </c>
      <c r="AE39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384.59000000000066</v>
      </c>
      <c r="AF39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9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22765.421460655773</v>
      </c>
      <c r="AH397" s="55"/>
      <c r="AI397" s="55"/>
      <c r="AJ397" s="55"/>
      <c r="AK397" s="101">
        <f t="shared" ca="1" si="70"/>
        <v>198736.28146065574</v>
      </c>
      <c r="AL397" s="129">
        <f t="array" ref="AL397">MAX((УслРестрактов[Характеристика]="Дата реструктуризации")*(УслРестрактов[Значение]=Первоначальный!$A397),0)</f>
        <v>0</v>
      </c>
    </row>
    <row r="398" spans="1:38" x14ac:dyDescent="0.25">
      <c r="A398" s="97">
        <f t="shared" ref="A398:A461" si="75">A397+1</f>
        <v>44529</v>
      </c>
      <c r="B398" s="100">
        <f t="shared" ref="B398:B461" ca="1" si="76">AC397</f>
        <v>149633.34</v>
      </c>
      <c r="C398" s="55">
        <f t="shared" ca="1" si="72"/>
        <v>25952.929999999964</v>
      </c>
      <c r="D398" s="55">
        <f t="shared" ca="1" si="72"/>
        <v>384.59000000000066</v>
      </c>
      <c r="E398" s="55">
        <f t="shared" ref="E398:E461" ca="1" si="77">AF397</f>
        <v>0</v>
      </c>
      <c r="F398" s="55">
        <f t="shared" ref="F398:F461" ca="1" si="78">AG397+AH397</f>
        <v>22765.421460655773</v>
      </c>
      <c r="G398" s="101">
        <f t="shared" ref="G398:G461" ca="1" si="79">AK397</f>
        <v>198736.28146065574</v>
      </c>
      <c r="H398" s="100">
        <f ca="1">ROUND($B398*VLOOKUP($A398,$A$1:$B$10,2,1)/(365+IF(MOD(YEAR($A398),4),0,1)*($A398-$A397)),2)-Первоначальный[[#This Row],[Проценты на просроченный платеж по ОД за период]]</f>
        <v>79.12</v>
      </c>
      <c r="I398" s="55">
        <f t="shared" ref="I398:I461" ca="1" si="80">ROUND(P397*VLOOKUP($A398,$A$1:$B$10,2,1)/(365+IF(MOD(YEAR($A398),4),0,1)*($A398-$A397)),2)</f>
        <v>2.46</v>
      </c>
      <c r="J398" s="55">
        <v>0</v>
      </c>
      <c r="K398" s="55">
        <f t="shared" ca="1" si="71"/>
        <v>144.78350327868853</v>
      </c>
      <c r="L398" s="55">
        <v>0</v>
      </c>
      <c r="M398" s="113">
        <f>SUMIFS(График[Возврат основной суммы долга],График[Дата с учетом нерабочих дней],$A398)</f>
        <v>0</v>
      </c>
      <c r="N398" s="56">
        <f>SUMIFS(График[Возврат начисленных %],График[Дата с учетом нерабочих дней],$A398)</f>
        <v>0</v>
      </c>
      <c r="O398" s="101">
        <v>0</v>
      </c>
      <c r="P398" s="100" cm="1">
        <f t="array" aca="1" ref="P398" ca="1">MAX(IF(AA397="Да",0,SUM(INDIRECT("M"&amp;(MAX(("Да"=AA$12:AA397)*ROW(AA$12:AA397)+1,ROW($P$12))&amp;":M"&amp;(ROW()))))-SUM(INDIRECT("W"&amp;(MAX(("Да"=AA$12:AA397)*ROW(AA$12:AA397)+1,ROW($P$12))&amp;":W"&amp;(ROW()))))),0)</f>
        <v>4508.32</v>
      </c>
      <c r="Q398" s="99">
        <f ca="1">MAX(SUM($N$13:N398)-SUM($T$13:T398),0)</f>
        <v>24448.380655737703</v>
      </c>
      <c r="R398" s="99">
        <f ca="1">Первоначальный[[#This Row],[Просроченный платеж по ОД]]+Первоначальный[[#This Row],[Просроченный платеж по процентам]]</f>
        <v>28956.700655737703</v>
      </c>
      <c r="S398" s="120">
        <f ca="1">IF(Первоначальный[[#This Row],[Просроченный платеж]]&lt;1,0,S397+1)</f>
        <v>294</v>
      </c>
      <c r="T398" s="100" cm="1">
        <f t="array" aca="1" ref="T398" ca="1">IF(Первоначальный[[#This Row],[Итого остаток на начало периода]]&lt;1,0,
IF(
AND(TYPE(VLOOKUP(1,$Z$12:Z398,1,0))=16,Первоначальный[[#This Row],[Досрочное погашение (да/"")]]=""),0,
_xlfn.IFS(AND(S397=0,Первоначальный[[#This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платеж]]&lt;&gt;0),MIN(LOOKUP(,-1/($Z$12:Z398=1),$C$12:C398)+LOOKUP(,-1/($Z$12:Z398=1),$H$12:H398),Первоначальный[[#This Row],[Полученный платеж]]+Y397),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платеж]]+Y397,SUM(Первоначальный[[#This Row],[Остаток процентов на начало периода]],Первоначальный[[#This Row],[Проценты за период]])),
AND(S397=0,Первоначальный[[#This Row],[Дата платежа из графика]]=""),0,
AND(S397=0,Первоначальный[[#This Row],[Дата платежа из графика]]=1,MAX((0&lt;&gt;S$12:S397)*ROW(S$12:S397),ROW($S$12))&gt;=MAX((1=Z$12:Z397)*ROW(Z$12:Z397),ROW($T$12)),TYPE(VLOOKUP("Да",(INDIRECT("AA"&amp;(MAX((1=Z$12:Z397)*ROW(Z$12:Z397),ROW($T$12))&amp;":AA"&amp;(ROW()-1)))),1,0))=16),MIN(LOOKUP(,-1/($Z$12:Z398=1),$C$12:C398)+LOOKUP(,-1/($Z$12:Z398=1),$H$12:H398),Первоначальный[[#This Row],[Полученный платеж]]+Y397),
AND(S397=0,TYPE(VLOOKUP("Да",(INDIRECT("AA"&amp;(MAX((1=Z$12:Z397)*ROW(Z$12:Z397),ROW($T$12))&amp;":AA"&amp;(ROW()-1)))),1,0))&lt;&gt;16),MIN(LOOKUP(,-1/($Z$12:Z398=1),$C$12:C398)+LOOKUP(,-1/($Z$12:Z398=1),$H$12:H398)-IF(AA397="Да",0,SUM(INDIRECT("T"&amp;(MAX(("Да"=AA$12:AA397)*ROW(AA$12:AA397)+1,ROW($T$12))&amp;":T"&amp;(ROW()-1))))),Первоначальный[[#This Row],[Полученный платеж]]+Y397),
AND(S397=0,MAX((0&lt;&gt;N$12:N397)*ROW(N$12:N397),ROW($S$12))&gt;=MAX((1=Z$12:Z397)*ROW(Z$12:Z397),ROW($T$12))),MIN(LOOKUP(,-1/($Z$12:Z398=1),$C$12:C398)+LOOKUP(,-1/($Z$12:Z398=1),$H$12:H398)-IF(N397&lt;&gt;0,0,SUM(INDIRECT("T"&amp;(MAX((0&lt;&gt;N$12:N397)*ROW(N$12:N397)+1,ROW($T$12))&amp;":T"&amp;(ROW()-1))))),Первоначальный[[#This Row],[Полученный платеж]]+Y397),
AND(S397=0,Первоначальный[[#This Row],[Дата платежа из графика]]=1),MIN(LOOKUP(,-1/($Z$12:Z398=1),$C$12:C398)+LOOKUP(,-1/($Z$12:Z398=1),$H$12:H398)-IF(Z397=1,0,SUM(INDIRECT("T"&amp;(MAX((1=Z$12:Z397)*ROW(Z$12:Z397)+1,ROW($T$12))&amp;":T"&amp;(ROW()-1))))),Первоначальный[[#This Row],[Полученный платеж]]+Y397),
AND(Z397&gt;0,Первоначальный[[#This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платеж]]+Y397),
AND(S397&gt;0,MAX((0&lt;&gt;S$12:S397)*ROW(S$12:S397),ROW($S$12))&gt;=MAX((1=Z$12:Z397)*ROW(Z$12:Z397),ROW($T$12)),TYPE(VLOOKUP("Да",(INDIRECT("AA"&amp;(MAX((1=Z$12:Z397)*ROW(Z$12:Z397),ROW($T$12))&amp;":AA"&amp;(ROW()-1)))),1,0))=16),MIN(LOOKUP(,-1/($Z$12:Z398=1),$C$12:C398)+LOOKUP(,-1/($Z$12:Z398=1),$H$12:H398)-SUM(INDIRECT("T"&amp;(MAX((1=Z$12:Z397)*ROW(Z$12:Z397),ROW($T$12))&amp;":T"&amp;(ROW()-1)))),Первоначальный[[#This Row],[Полученный платеж]]+Y397),
S397&gt;0,MIN(LOOKUP(,-1/($Z$12:Z398=1),$C$12:C398)+LOOKUP(,-1/($Z$12:Z398=1),$H$12:H398)-IF(Z397=1,0,SUM(INDIRECT("T"&amp;(MAX((1=Z$12:Z397)*ROW(Z$12:Z397)+1,ROW($T$12))&amp;":T"&amp;(ROW()-1))))),Первоначальный[[#This Row],[Полученный платеж]]+Y397)
)
)
)</f>
        <v>0</v>
      </c>
      <c r="U39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платеж]]+Y397-Первоначальный[[#This Row],[Полученный платёж по процентам]])</f>
        <v>0</v>
      </c>
      <c r="V398" s="55">
        <f t="shared" ca="1" si="73"/>
        <v>0</v>
      </c>
      <c r="W398" s="55" cm="1">
        <f t="array" aca="1" ref="W398" ca="1">IF(Первоначальный[[#This Row],[Итого остаток на начало периода]]&lt;1,0,
_xlfn.IFS(
AND(TYPE(VLOOKUP(1,$Z$12:Z398,1,0))=16,Первоначальный[[#This Row],[Досрочное погашение (да/"")]]=""),0,
AND(S397=0,Первоначальный[[#This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платеж]]+Y397-SUM(Первоначальный[[#This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комиссиям]]),VLOOKUP(LOOKUP(,-1/($Z$12:Z398=1),$A$12:A398),График[[Срок конец]:[Возврат основной суммы долга]],3,0)),
AND(S397=0,Первоначальный[[#This Row],[Дата платежа из графика]]="",Первоначальный[[#This Row],[Досрочное погашение (да/"")]]&lt;&gt;"Да"),0,
AND(S397=0,Первоначальный[[#This Row],[Досрочное погашение (да/"")]]=""),MIN(Первоначальный[[#This Row],[Полученный платеж]]+Y397-SUM(Первоначальный[[#This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комиссиям]]),VLOOKUP(LOOKUP(,-1/($Z$12:Z398=1),$A$12:A398),График[[Срок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платеж]]+Y397-SUM(Первоначальный[[#This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S397&gt;0,MIN(Первоначальный[[#This Row],[Полученный платеж]]+Y397-SUM(Первоначальный[[#This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комиссиям]]),SUM(INDIRECT("M"&amp;(MAX((1=S$12:S397)*ROW(S$12:S397),ROW($W$12))&amp;":M"&amp;(ROW()))))-SUM(INDIRECT("W"&amp;(MAX((1=S$12:S397)*ROW(S$12:S397),ROW($W$12))&amp;":W"&amp;(ROW()-1)))))
)
)</f>
        <v>0</v>
      </c>
      <c r="X398" s="55">
        <f t="shared" ca="1" si="74"/>
        <v>0</v>
      </c>
      <c r="Y398" s="101">
        <f t="shared" ref="Y398:Y461" ca="1" si="81">ROUND(Y397+O398-SUM(T398:X398),2)</f>
        <v>0</v>
      </c>
      <c r="Z398" s="133" t="str">
        <f>IF(TYPE((VLOOKUP(Первоначальный[[#This Row],[Дата платежа]],График[Срок конец],1,0)))=16,"",1)</f>
        <v/>
      </c>
      <c r="AA398" s="57"/>
      <c r="AB398" s="134"/>
      <c r="AC39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9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26032.049999999963</v>
      </c>
      <c r="AE39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387.05000000000064</v>
      </c>
      <c r="AF39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9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22910.204963934462</v>
      </c>
      <c r="AH398" s="55"/>
      <c r="AI398" s="55"/>
      <c r="AJ398" s="55"/>
      <c r="AK398" s="101">
        <f t="shared" ref="AK398:AK461" ca="1" si="82">SUM(AC398:AJ398)</f>
        <v>198962.64496393441</v>
      </c>
      <c r="AL398" s="129">
        <f t="array" ref="AL398">MAX((УслРестрактов[Характеристика]="Дата реструктуризации")*(УслРестрактов[Значение]=Первоначальный!$A398),0)</f>
        <v>0</v>
      </c>
    </row>
    <row r="399" spans="1:38" x14ac:dyDescent="0.25">
      <c r="A399" s="97">
        <f t="shared" si="75"/>
        <v>44530</v>
      </c>
      <c r="B399" s="100">
        <f t="shared" ca="1" si="76"/>
        <v>149633.34</v>
      </c>
      <c r="C399" s="55">
        <f t="shared" ca="1" si="72"/>
        <v>26032.049999999963</v>
      </c>
      <c r="D399" s="55">
        <f t="shared" ca="1" si="72"/>
        <v>387.05000000000064</v>
      </c>
      <c r="E399" s="55">
        <f t="shared" ca="1" si="77"/>
        <v>0</v>
      </c>
      <c r="F399" s="55">
        <f t="shared" ca="1" si="78"/>
        <v>22910.204963934462</v>
      </c>
      <c r="G399" s="101">
        <f t="shared" ca="1" si="79"/>
        <v>198962.64496393441</v>
      </c>
      <c r="H399" s="100">
        <f ca="1">ROUND($B399*VLOOKUP($A399,$A$1:$B$10,2,1)/(365+IF(MOD(YEAR($A399),4),0,1)*($A399-$A398)),2)-Первоначальный[[#This Row],[Проценты на просроченный платеж по ОД за период]]</f>
        <v>79.12</v>
      </c>
      <c r="I399" s="55">
        <f t="shared" ca="1" si="80"/>
        <v>2.46</v>
      </c>
      <c r="J399" s="55">
        <v>0</v>
      </c>
      <c r="K399" s="55">
        <f t="shared" ref="K399:K462" ca="1" si="83">IF(S399&lt;&gt;0,R399*$B$7,0)</f>
        <v>144.78350327868853</v>
      </c>
      <c r="L399" s="55">
        <v>0</v>
      </c>
      <c r="M399" s="113">
        <f>SUMIFS(График[Возврат основной суммы долга],График[Дата с учетом нерабочих дней],$A399)</f>
        <v>0</v>
      </c>
      <c r="N399" s="56">
        <f>SUMIFS(График[Возврат начисленных %],График[Дата с учетом нерабочих дней],$A399)</f>
        <v>0</v>
      </c>
      <c r="O399" s="101">
        <v>0</v>
      </c>
      <c r="P399" s="100" cm="1">
        <f t="array" aca="1" ref="P399" ca="1">MAX(IF(AA398="Да",0,SUM(INDIRECT("M"&amp;(MAX(("Да"=AA$12:AA398)*ROW(AA$12:AA398)+1,ROW($P$12))&amp;":M"&amp;(ROW()))))-SUM(INDIRECT("W"&amp;(MAX(("Да"=AA$12:AA398)*ROW(AA$12:AA398)+1,ROW($P$12))&amp;":W"&amp;(ROW()))))),0)</f>
        <v>4508.32</v>
      </c>
      <c r="Q399" s="99">
        <f ca="1">MAX(SUM($N$13:N399)-SUM($T$13:T399),0)</f>
        <v>24448.380655737703</v>
      </c>
      <c r="R399" s="99">
        <f ca="1">Первоначальный[[#This Row],[Просроченный платеж по ОД]]+Первоначальный[[#This Row],[Просроченный платеж по процентам]]</f>
        <v>28956.700655737703</v>
      </c>
      <c r="S399" s="120">
        <f ca="1">IF(Первоначальный[[#This Row],[Просроченный платеж]]&lt;1,0,S398+1)</f>
        <v>295</v>
      </c>
      <c r="T399" s="100" cm="1">
        <f t="array" aca="1" ref="T399" ca="1">IF(Первоначальный[[#This Row],[Итого остаток на начало периода]]&lt;1,0,
IF(
AND(TYPE(VLOOKUP(1,$Z$12:Z399,1,0))=16,Первоначальный[[#This Row],[Досрочное погашение (да/"")]]=""),0,
_xlfn.IFS(AND(S398=0,Первоначальный[[#This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платеж]]&lt;&gt;0),MIN(LOOKUP(,-1/($Z$12:Z399=1),$C$12:C399)+LOOKUP(,-1/($Z$12:Z399=1),$H$12:H399),Первоначальный[[#This Row],[Полученный платеж]]+Y398),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платеж]]+Y398,SUM(Первоначальный[[#This Row],[Остаток процентов на начало периода]],Первоначальный[[#This Row],[Проценты за период]])),
AND(S398=0,Первоначальный[[#This Row],[Дата платежа из графика]]=""),0,
AND(S398=0,Первоначальный[[#This Row],[Дата платежа из графика]]=1,MAX((0&lt;&gt;S$12:S398)*ROW(S$12:S398),ROW($S$12))&gt;=MAX((1=Z$12:Z398)*ROW(Z$12:Z398),ROW($T$12)),TYPE(VLOOKUP("Да",(INDIRECT("AA"&amp;(MAX((1=Z$12:Z398)*ROW(Z$12:Z398),ROW($T$12))&amp;":AA"&amp;(ROW()-1)))),1,0))=16),MIN(LOOKUP(,-1/($Z$12:Z399=1),$C$12:C399)+LOOKUP(,-1/($Z$12:Z399=1),$H$12:H399),Первоначальный[[#This Row],[Полученный платеж]]+Y398),
AND(S398=0,TYPE(VLOOKUP("Да",(INDIRECT("AA"&amp;(MAX((1=Z$12:Z398)*ROW(Z$12:Z398),ROW($T$12))&amp;":AA"&amp;(ROW()-1)))),1,0))&lt;&gt;16),MIN(LOOKUP(,-1/($Z$12:Z399=1),$C$12:C399)+LOOKUP(,-1/($Z$12:Z399=1),$H$12:H399)-IF(AA398="Да",0,SUM(INDIRECT("T"&amp;(MAX(("Да"=AA$12:AA398)*ROW(AA$12:AA398)+1,ROW($T$12))&amp;":T"&amp;(ROW()-1))))),Первоначальный[[#This Row],[Полученный платеж]]+Y398),
AND(S398=0,MAX((0&lt;&gt;N$12:N398)*ROW(N$12:N398),ROW($S$12))&gt;=MAX((1=Z$12:Z398)*ROW(Z$12:Z398),ROW($T$12))),MIN(LOOKUP(,-1/($Z$12:Z399=1),$C$12:C399)+LOOKUP(,-1/($Z$12:Z399=1),$H$12:H399)-IF(N398&lt;&gt;0,0,SUM(INDIRECT("T"&amp;(MAX((0&lt;&gt;N$12:N398)*ROW(N$12:N398)+1,ROW($T$12))&amp;":T"&amp;(ROW()-1))))),Первоначальный[[#This Row],[Полученный платеж]]+Y398),
AND(S398=0,Первоначальный[[#This Row],[Дата платежа из графика]]=1),MIN(LOOKUP(,-1/($Z$12:Z399=1),$C$12:C399)+LOOKUP(,-1/($Z$12:Z399=1),$H$12:H399)-IF(Z398=1,0,SUM(INDIRECT("T"&amp;(MAX((1=Z$12:Z398)*ROW(Z$12:Z398)+1,ROW($T$12))&amp;":T"&amp;(ROW()-1))))),Первоначальный[[#This Row],[Полученный платеж]]+Y398),
AND(Z398&gt;0,Первоначальный[[#This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платеж]]+Y398),
AND(S398&gt;0,MAX((0&lt;&gt;S$12:S398)*ROW(S$12:S398),ROW($S$12))&gt;=MAX((1=Z$12:Z398)*ROW(Z$12:Z398),ROW($T$12)),TYPE(VLOOKUP("Да",(INDIRECT("AA"&amp;(MAX((1=Z$12:Z398)*ROW(Z$12:Z398),ROW($T$12))&amp;":AA"&amp;(ROW()-1)))),1,0))=16),MIN(LOOKUP(,-1/($Z$12:Z399=1),$C$12:C399)+LOOKUP(,-1/($Z$12:Z399=1),$H$12:H399)-SUM(INDIRECT("T"&amp;(MAX((1=Z$12:Z398)*ROW(Z$12:Z398),ROW($T$12))&amp;":T"&amp;(ROW()-1)))),Первоначальный[[#This Row],[Полученный платеж]]+Y398),
S398&gt;0,MIN(LOOKUP(,-1/($Z$12:Z399=1),$C$12:C399)+LOOKUP(,-1/($Z$12:Z399=1),$H$12:H399)-IF(Z398=1,0,SUM(INDIRECT("T"&amp;(MAX((1=Z$12:Z398)*ROW(Z$12:Z398)+1,ROW($T$12))&amp;":T"&amp;(ROW()-1))))),Первоначальный[[#This Row],[Полученный платеж]]+Y398)
)
)
)</f>
        <v>0</v>
      </c>
      <c r="U39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платеж]]+Y398-Первоначальный[[#This Row],[Полученный платёж по процентам]])</f>
        <v>0</v>
      </c>
      <c r="V399" s="55">
        <f t="shared" ca="1" si="73"/>
        <v>0</v>
      </c>
      <c r="W399" s="55" cm="1">
        <f t="array" aca="1" ref="W399" ca="1">IF(Первоначальный[[#This Row],[Итого остаток на начало периода]]&lt;1,0,
_xlfn.IFS(
AND(TYPE(VLOOKUP(1,$Z$12:Z399,1,0))=16,Первоначальный[[#This Row],[Досрочное погашение (да/"")]]=""),0,
AND(S398=0,Первоначальный[[#This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платеж]]+Y398-SUM(Первоначальный[[#This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комиссиям]]),VLOOKUP(LOOKUP(,-1/($Z$12:Z399=1),$A$12:A399),График[[Срок конец]:[Возврат основной суммы долга]],3,0)),
AND(S398=0,Первоначальный[[#This Row],[Дата платежа из графика]]="",Первоначальный[[#This Row],[Досрочное погашение (да/"")]]&lt;&gt;"Да"),0,
AND(S398=0,Первоначальный[[#This Row],[Досрочное погашение (да/"")]]=""),MIN(Первоначальный[[#This Row],[Полученный платеж]]+Y398-SUM(Первоначальный[[#This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комиссиям]]),VLOOKUP(LOOKUP(,-1/($Z$12:Z399=1),$A$12:A399),График[[Срок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платеж]]+Y398-SUM(Первоначальный[[#This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S398&gt;0,MIN(Первоначальный[[#This Row],[Полученный платеж]]+Y398-SUM(Первоначальный[[#This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комиссиям]]),SUM(INDIRECT("M"&amp;(MAX((1=S$12:S398)*ROW(S$12:S398),ROW($W$12))&amp;":M"&amp;(ROW()))))-SUM(INDIRECT("W"&amp;(MAX((1=S$12:S398)*ROW(S$12:S398),ROW($W$12))&amp;":W"&amp;(ROW()-1)))))
)
)</f>
        <v>0</v>
      </c>
      <c r="X399" s="55">
        <f t="shared" ca="1" si="74"/>
        <v>0</v>
      </c>
      <c r="Y399" s="101">
        <f t="shared" ca="1" si="81"/>
        <v>0</v>
      </c>
      <c r="Z399" s="133" t="str">
        <f>IF(TYPE((VLOOKUP(Первоначальный[[#This Row],[Дата платежа]],График[Срок конец],1,0)))=16,"",1)</f>
        <v/>
      </c>
      <c r="AA399" s="57"/>
      <c r="AB399" s="134"/>
      <c r="AC39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39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26111.169999999962</v>
      </c>
      <c r="AE39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389.51000000000062</v>
      </c>
      <c r="AF39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39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23054.988467213152</v>
      </c>
      <c r="AH399" s="55"/>
      <c r="AI399" s="55"/>
      <c r="AJ399" s="55"/>
      <c r="AK399" s="101">
        <f t="shared" ca="1" si="82"/>
        <v>199189.00846721311</v>
      </c>
      <c r="AL399" s="129">
        <f t="array" ref="AL399">MAX((УслРестрактов[Характеристика]="Дата реструктуризации")*(УслРестрактов[Значение]=Первоначальный!$A399),0)</f>
        <v>0</v>
      </c>
    </row>
    <row r="400" spans="1:38" x14ac:dyDescent="0.25">
      <c r="A400" s="97">
        <f t="shared" si="75"/>
        <v>44531</v>
      </c>
      <c r="B400" s="100">
        <f t="shared" ca="1" si="76"/>
        <v>149633.34</v>
      </c>
      <c r="C400" s="55">
        <f t="shared" ca="1" si="72"/>
        <v>26111.169999999962</v>
      </c>
      <c r="D400" s="55">
        <f t="shared" ca="1" si="72"/>
        <v>389.51000000000062</v>
      </c>
      <c r="E400" s="55">
        <f t="shared" ca="1" si="77"/>
        <v>0</v>
      </c>
      <c r="F400" s="55">
        <f t="shared" ca="1" si="78"/>
        <v>23054.988467213152</v>
      </c>
      <c r="G400" s="101">
        <f t="shared" ca="1" si="79"/>
        <v>199189.00846721311</v>
      </c>
      <c r="H400" s="100">
        <f ca="1">ROUND($B400*VLOOKUP($A400,$A$1:$B$10,2,1)/(365+IF(MOD(YEAR($A400),4),0,1)*($A400-$A399)),2)-Первоначальный[[#This Row],[Проценты на просроченный платеж по ОД за период]]</f>
        <v>79.12</v>
      </c>
      <c r="I400" s="55">
        <f t="shared" ca="1" si="80"/>
        <v>2.46</v>
      </c>
      <c r="J400" s="55">
        <v>0</v>
      </c>
      <c r="K400" s="55">
        <f t="shared" ca="1" si="83"/>
        <v>144.78350327868853</v>
      </c>
      <c r="L400" s="55">
        <v>0</v>
      </c>
      <c r="M400" s="113">
        <f>SUMIFS(График[Возврат основной суммы долга],График[Дата с учетом нерабочих дней],$A400)</f>
        <v>0</v>
      </c>
      <c r="N400" s="56">
        <f>SUMIFS(График[Возврат начисленных %],График[Дата с учетом нерабочих дней],$A400)</f>
        <v>0</v>
      </c>
      <c r="O400" s="101">
        <v>0</v>
      </c>
      <c r="P400" s="100" cm="1">
        <f t="array" aca="1" ref="P400" ca="1">MAX(IF(AA399="Да",0,SUM(INDIRECT("M"&amp;(MAX(("Да"=AA$12:AA399)*ROW(AA$12:AA399)+1,ROW($P$12))&amp;":M"&amp;(ROW()))))-SUM(INDIRECT("W"&amp;(MAX(("Да"=AA$12:AA399)*ROW(AA$12:AA399)+1,ROW($P$12))&amp;":W"&amp;(ROW()))))),0)</f>
        <v>4508.32</v>
      </c>
      <c r="Q400" s="99">
        <f ca="1">MAX(SUM($N$13:N400)-SUM($T$13:T400),0)</f>
        <v>24448.380655737703</v>
      </c>
      <c r="R400" s="99">
        <f ca="1">Первоначальный[[#This Row],[Просроченный платеж по ОД]]+Первоначальный[[#This Row],[Просроченный платеж по процентам]]</f>
        <v>28956.700655737703</v>
      </c>
      <c r="S400" s="120">
        <f ca="1">IF(Первоначальный[[#This Row],[Просроченный платеж]]&lt;1,0,S399+1)</f>
        <v>296</v>
      </c>
      <c r="T400" s="100" cm="1">
        <f t="array" aca="1" ref="T400" ca="1">IF(Первоначальный[[#This Row],[Итого остаток на начало периода]]&lt;1,0,
IF(
AND(TYPE(VLOOKUP(1,$Z$12:Z400,1,0))=16,Первоначальный[[#This Row],[Досрочное погашение (да/"")]]=""),0,
_xlfn.IFS(AND(S399=0,Первоначальный[[#This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платеж]]&lt;&gt;0),MIN(LOOKUP(,-1/($Z$12:Z400=1),$C$12:C400)+LOOKUP(,-1/($Z$12:Z400=1),$H$12:H400),Первоначальный[[#This Row],[Полученный платеж]]+Y399),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платеж]]+Y399,SUM(Первоначальный[[#This Row],[Остаток процентов на начало периода]],Первоначальный[[#This Row],[Проценты за период]])),
AND(S399=0,Первоначальный[[#This Row],[Дата платежа из графика]]=""),0,
AND(S399=0,Первоначальный[[#This Row],[Дата платежа из графика]]=1,MAX((0&lt;&gt;S$12:S399)*ROW(S$12:S399),ROW($S$12))&gt;=MAX((1=Z$12:Z399)*ROW(Z$12:Z399),ROW($T$12)),TYPE(VLOOKUP("Да",(INDIRECT("AA"&amp;(MAX((1=Z$12:Z399)*ROW(Z$12:Z399),ROW($T$12))&amp;":AA"&amp;(ROW()-1)))),1,0))=16),MIN(LOOKUP(,-1/($Z$12:Z400=1),$C$12:C400)+LOOKUP(,-1/($Z$12:Z400=1),$H$12:H400),Первоначальный[[#This Row],[Полученный платеж]]+Y399),
AND(S399=0,TYPE(VLOOKUP("Да",(INDIRECT("AA"&amp;(MAX((1=Z$12:Z399)*ROW(Z$12:Z399),ROW($T$12))&amp;":AA"&amp;(ROW()-1)))),1,0))&lt;&gt;16),MIN(LOOKUP(,-1/($Z$12:Z400=1),$C$12:C400)+LOOKUP(,-1/($Z$12:Z400=1),$H$12:H400)-IF(AA399="Да",0,SUM(INDIRECT("T"&amp;(MAX(("Да"=AA$12:AA399)*ROW(AA$12:AA399)+1,ROW($T$12))&amp;":T"&amp;(ROW()-1))))),Первоначальный[[#This Row],[Полученный платеж]]+Y399),
AND(S399=0,MAX((0&lt;&gt;N$12:N399)*ROW(N$12:N399),ROW($S$12))&gt;=MAX((1=Z$12:Z399)*ROW(Z$12:Z399),ROW($T$12))),MIN(LOOKUP(,-1/($Z$12:Z400=1),$C$12:C400)+LOOKUP(,-1/($Z$12:Z400=1),$H$12:H400)-IF(N399&lt;&gt;0,0,SUM(INDIRECT("T"&amp;(MAX((0&lt;&gt;N$12:N399)*ROW(N$12:N399)+1,ROW($T$12))&amp;":T"&amp;(ROW()-1))))),Первоначальный[[#This Row],[Полученный платеж]]+Y399),
AND(S399=0,Первоначальный[[#This Row],[Дата платежа из графика]]=1),MIN(LOOKUP(,-1/($Z$12:Z400=1),$C$12:C400)+LOOKUP(,-1/($Z$12:Z400=1),$H$12:H400)-IF(Z399=1,0,SUM(INDIRECT("T"&amp;(MAX((1=Z$12:Z399)*ROW(Z$12:Z399)+1,ROW($T$12))&amp;":T"&amp;(ROW()-1))))),Первоначальный[[#This Row],[Полученный платеж]]+Y399),
AND(Z399&gt;0,Первоначальный[[#This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платеж]]+Y399),
AND(S399&gt;0,MAX((0&lt;&gt;S$12:S399)*ROW(S$12:S399),ROW($S$12))&gt;=MAX((1=Z$12:Z399)*ROW(Z$12:Z399),ROW($T$12)),TYPE(VLOOKUP("Да",(INDIRECT("AA"&amp;(MAX((1=Z$12:Z399)*ROW(Z$12:Z399),ROW($T$12))&amp;":AA"&amp;(ROW()-1)))),1,0))=16),MIN(LOOKUP(,-1/($Z$12:Z400=1),$C$12:C400)+LOOKUP(,-1/($Z$12:Z400=1),$H$12:H400)-SUM(INDIRECT("T"&amp;(MAX((1=Z$12:Z399)*ROW(Z$12:Z399),ROW($T$12))&amp;":T"&amp;(ROW()-1)))),Первоначальный[[#This Row],[Полученный платеж]]+Y399),
S399&gt;0,MIN(LOOKUP(,-1/($Z$12:Z400=1),$C$12:C400)+LOOKUP(,-1/($Z$12:Z400=1),$H$12:H400)-IF(Z399=1,0,SUM(INDIRECT("T"&amp;(MAX((1=Z$12:Z399)*ROW(Z$12:Z399)+1,ROW($T$12))&amp;":T"&amp;(ROW()-1))))),Первоначальный[[#This Row],[Полученный платеж]]+Y399)
)
)
)</f>
        <v>0</v>
      </c>
      <c r="U40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платеж]]+Y399-Первоначальный[[#This Row],[Полученный платёж по процентам]])</f>
        <v>0</v>
      </c>
      <c r="V400" s="55">
        <f t="shared" ca="1" si="73"/>
        <v>0</v>
      </c>
      <c r="W400" s="55" cm="1">
        <f t="array" aca="1" ref="W400" ca="1">IF(Первоначальный[[#This Row],[Итого остаток на начало периода]]&lt;1,0,
_xlfn.IFS(
AND(TYPE(VLOOKUP(1,$Z$12:Z400,1,0))=16,Первоначальный[[#This Row],[Досрочное погашение (да/"")]]=""),0,
AND(S399=0,Первоначальный[[#This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платеж]]+Y399-SUM(Первоначальный[[#This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комиссиям]]),VLOOKUP(LOOKUP(,-1/($Z$12:Z400=1),$A$12:A400),График[[Срок конец]:[Возврат основной суммы долга]],3,0)),
AND(S399=0,Первоначальный[[#This Row],[Дата платежа из графика]]="",Первоначальный[[#This Row],[Досрочное погашение (да/"")]]&lt;&gt;"Да"),0,
AND(S399=0,Первоначальный[[#This Row],[Досрочное погашение (да/"")]]=""),MIN(Первоначальный[[#This Row],[Полученный платеж]]+Y399-SUM(Первоначальный[[#This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комиссиям]]),VLOOKUP(LOOKUP(,-1/($Z$12:Z400=1),$A$12:A400),График[[Срок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платеж]]+Y399-SUM(Первоначальный[[#This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S399&gt;0,MIN(Первоначальный[[#This Row],[Полученный платеж]]+Y399-SUM(Первоначальный[[#This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комиссиям]]),SUM(INDIRECT("M"&amp;(MAX((1=S$12:S399)*ROW(S$12:S399),ROW($W$12))&amp;":M"&amp;(ROW()))))-SUM(INDIRECT("W"&amp;(MAX((1=S$12:S399)*ROW(S$12:S399),ROW($W$12))&amp;":W"&amp;(ROW()-1)))))
)
)</f>
        <v>0</v>
      </c>
      <c r="X400" s="55">
        <f t="shared" ca="1" si="74"/>
        <v>0</v>
      </c>
      <c r="Y400" s="101">
        <f t="shared" ca="1" si="81"/>
        <v>0</v>
      </c>
      <c r="Z400" s="133" t="str">
        <f>IF(TYPE((VLOOKUP(Первоначальный[[#This Row],[Дата платежа]],График[Срок конец],1,0)))=16,"",1)</f>
        <v/>
      </c>
      <c r="AA400" s="57"/>
      <c r="AB400" s="134"/>
      <c r="AC40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0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26190.289999999961</v>
      </c>
      <c r="AE40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391.9700000000006</v>
      </c>
      <c r="AF40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0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23199.771970491842</v>
      </c>
      <c r="AH400" s="55"/>
      <c r="AI400" s="55"/>
      <c r="AJ400" s="55"/>
      <c r="AK400" s="101">
        <f t="shared" ca="1" si="82"/>
        <v>199415.37197049177</v>
      </c>
      <c r="AL400" s="129">
        <f t="array" ref="AL400">MAX((УслРестрактов[Характеристика]="Дата реструктуризации")*(УслРестрактов[Значение]=Первоначальный!$A400),0)</f>
        <v>0</v>
      </c>
    </row>
    <row r="401" spans="1:38" x14ac:dyDescent="0.25">
      <c r="A401" s="97">
        <f t="shared" si="75"/>
        <v>44532</v>
      </c>
      <c r="B401" s="100">
        <f t="shared" ca="1" si="76"/>
        <v>149633.34</v>
      </c>
      <c r="C401" s="55">
        <f t="shared" ca="1" si="72"/>
        <v>26190.289999999961</v>
      </c>
      <c r="D401" s="55">
        <f t="shared" ca="1" si="72"/>
        <v>391.9700000000006</v>
      </c>
      <c r="E401" s="55">
        <f t="shared" ca="1" si="77"/>
        <v>0</v>
      </c>
      <c r="F401" s="55">
        <f t="shared" ca="1" si="78"/>
        <v>23199.771970491842</v>
      </c>
      <c r="G401" s="101">
        <f t="shared" ca="1" si="79"/>
        <v>199415.37197049177</v>
      </c>
      <c r="H401" s="100">
        <f ca="1">ROUND($B401*VLOOKUP($A401,$A$1:$B$10,2,1)/(365+IF(MOD(YEAR($A401),4),0,1)*($A401-$A400)),2)-Первоначальный[[#This Row],[Проценты на просроченный платеж по ОД за период]]</f>
        <v>79.12</v>
      </c>
      <c r="I401" s="55">
        <f t="shared" ca="1" si="80"/>
        <v>2.46</v>
      </c>
      <c r="J401" s="55">
        <v>0</v>
      </c>
      <c r="K401" s="55">
        <f t="shared" ca="1" si="83"/>
        <v>144.78350327868853</v>
      </c>
      <c r="L401" s="55">
        <v>0</v>
      </c>
      <c r="M401" s="113">
        <f>SUMIFS(График[Возврат основной суммы долга],График[Дата с учетом нерабочих дней],$A401)</f>
        <v>0</v>
      </c>
      <c r="N401" s="56">
        <f>SUMIFS(График[Возврат начисленных %],График[Дата с учетом нерабочих дней],$A401)</f>
        <v>0</v>
      </c>
      <c r="O401" s="101">
        <v>0</v>
      </c>
      <c r="P401" s="100" cm="1">
        <f t="array" aca="1" ref="P401" ca="1">MAX(IF(AA400="Да",0,SUM(INDIRECT("M"&amp;(MAX(("Да"=AA$12:AA400)*ROW(AA$12:AA400)+1,ROW($P$12))&amp;":M"&amp;(ROW()))))-SUM(INDIRECT("W"&amp;(MAX(("Да"=AA$12:AA400)*ROW(AA$12:AA400)+1,ROW($P$12))&amp;":W"&amp;(ROW()))))),0)</f>
        <v>4508.32</v>
      </c>
      <c r="Q401" s="99">
        <f ca="1">MAX(SUM($N$13:N401)-SUM($T$13:T401),0)</f>
        <v>24448.380655737703</v>
      </c>
      <c r="R401" s="99">
        <f ca="1">Первоначальный[[#This Row],[Просроченный платеж по ОД]]+Первоначальный[[#This Row],[Просроченный платеж по процентам]]</f>
        <v>28956.700655737703</v>
      </c>
      <c r="S401" s="120">
        <f ca="1">IF(Первоначальный[[#This Row],[Просроченный платеж]]&lt;1,0,S400+1)</f>
        <v>297</v>
      </c>
      <c r="T401" s="100" cm="1">
        <f t="array" aca="1" ref="T401" ca="1">IF(Первоначальный[[#This Row],[Итого остаток на начало периода]]&lt;1,0,
IF(
AND(TYPE(VLOOKUP(1,$Z$12:Z401,1,0))=16,Первоначальный[[#This Row],[Досрочное погашение (да/"")]]=""),0,
_xlfn.IFS(AND(S400=0,Первоначальный[[#This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платеж]]&lt;&gt;0),MIN(LOOKUP(,-1/($Z$12:Z401=1),$C$12:C401)+LOOKUP(,-1/($Z$12:Z401=1),$H$12:H401),Первоначальный[[#This Row],[Полученный платеж]]+Y400),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платеж]]+Y400,SUM(Первоначальный[[#This Row],[Остаток процентов на начало периода]],Первоначальный[[#This Row],[Проценты за период]])),
AND(S400=0,Первоначальный[[#This Row],[Дата платежа из графика]]=""),0,
AND(S400=0,Первоначальный[[#This Row],[Дата платежа из графика]]=1,MAX((0&lt;&gt;S$12:S400)*ROW(S$12:S400),ROW($S$12))&gt;=MAX((1=Z$12:Z400)*ROW(Z$12:Z400),ROW($T$12)),TYPE(VLOOKUP("Да",(INDIRECT("AA"&amp;(MAX((1=Z$12:Z400)*ROW(Z$12:Z400),ROW($T$12))&amp;":AA"&amp;(ROW()-1)))),1,0))=16),MIN(LOOKUP(,-1/($Z$12:Z401=1),$C$12:C401)+LOOKUP(,-1/($Z$12:Z401=1),$H$12:H401),Первоначальный[[#This Row],[Полученный платеж]]+Y400),
AND(S400=0,TYPE(VLOOKUP("Да",(INDIRECT("AA"&amp;(MAX((1=Z$12:Z400)*ROW(Z$12:Z400),ROW($T$12))&amp;":AA"&amp;(ROW()-1)))),1,0))&lt;&gt;16),MIN(LOOKUP(,-1/($Z$12:Z401=1),$C$12:C401)+LOOKUP(,-1/($Z$12:Z401=1),$H$12:H401)-IF(AA400="Да",0,SUM(INDIRECT("T"&amp;(MAX(("Да"=AA$12:AA400)*ROW(AA$12:AA400)+1,ROW($T$12))&amp;":T"&amp;(ROW()-1))))),Первоначальный[[#This Row],[Полученный платеж]]+Y400),
AND(S400=0,MAX((0&lt;&gt;N$12:N400)*ROW(N$12:N400),ROW($S$12))&gt;=MAX((1=Z$12:Z400)*ROW(Z$12:Z400),ROW($T$12))),MIN(LOOKUP(,-1/($Z$12:Z401=1),$C$12:C401)+LOOKUP(,-1/($Z$12:Z401=1),$H$12:H401)-IF(N400&lt;&gt;0,0,SUM(INDIRECT("T"&amp;(MAX((0&lt;&gt;N$12:N400)*ROW(N$12:N400)+1,ROW($T$12))&amp;":T"&amp;(ROW()-1))))),Первоначальный[[#This Row],[Полученный платеж]]+Y400),
AND(S400=0,Первоначальный[[#This Row],[Дата платежа из графика]]=1),MIN(LOOKUP(,-1/($Z$12:Z401=1),$C$12:C401)+LOOKUP(,-1/($Z$12:Z401=1),$H$12:H401)-IF(Z400=1,0,SUM(INDIRECT("T"&amp;(MAX((1=Z$12:Z400)*ROW(Z$12:Z400)+1,ROW($T$12))&amp;":T"&amp;(ROW()-1))))),Первоначальный[[#This Row],[Полученный платеж]]+Y400),
AND(Z400&gt;0,Первоначальный[[#This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платеж]]+Y400),
AND(S400&gt;0,MAX((0&lt;&gt;S$12:S400)*ROW(S$12:S400),ROW($S$12))&gt;=MAX((1=Z$12:Z400)*ROW(Z$12:Z400),ROW($T$12)),TYPE(VLOOKUP("Да",(INDIRECT("AA"&amp;(MAX((1=Z$12:Z400)*ROW(Z$12:Z400),ROW($T$12))&amp;":AA"&amp;(ROW()-1)))),1,0))=16),MIN(LOOKUP(,-1/($Z$12:Z401=1),$C$12:C401)+LOOKUP(,-1/($Z$12:Z401=1),$H$12:H401)-SUM(INDIRECT("T"&amp;(MAX((1=Z$12:Z400)*ROW(Z$12:Z400),ROW($T$12))&amp;":T"&amp;(ROW()-1)))),Первоначальный[[#This Row],[Полученный платеж]]+Y400),
S400&gt;0,MIN(LOOKUP(,-1/($Z$12:Z401=1),$C$12:C401)+LOOKUP(,-1/($Z$12:Z401=1),$H$12:H401)-IF(Z400=1,0,SUM(INDIRECT("T"&amp;(MAX((1=Z$12:Z400)*ROW(Z$12:Z400)+1,ROW($T$12))&amp;":T"&amp;(ROW()-1))))),Первоначальный[[#This Row],[Полученный платеж]]+Y400)
)
)
)</f>
        <v>0</v>
      </c>
      <c r="U40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платеж]]+Y400-Первоначальный[[#This Row],[Полученный платёж по процентам]])</f>
        <v>0</v>
      </c>
      <c r="V401" s="55">
        <f t="shared" ca="1" si="73"/>
        <v>0</v>
      </c>
      <c r="W401" s="55" cm="1">
        <f t="array" aca="1" ref="W401" ca="1">IF(Первоначальный[[#This Row],[Итого остаток на начало периода]]&lt;1,0,
_xlfn.IFS(
AND(TYPE(VLOOKUP(1,$Z$12:Z401,1,0))=16,Первоначальный[[#This Row],[Досрочное погашение (да/"")]]=""),0,
AND(S400=0,Первоначальный[[#This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платеж]]+Y400-SUM(Первоначальный[[#This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комиссиям]]),VLOOKUP(LOOKUP(,-1/($Z$12:Z401=1),$A$12:A401),График[[Срок конец]:[Возврат основной суммы долга]],3,0)),
AND(S400=0,Первоначальный[[#This Row],[Дата платежа из графика]]="",Первоначальный[[#This Row],[Досрочное погашение (да/"")]]&lt;&gt;"Да"),0,
AND(S400=0,Первоначальный[[#This Row],[Досрочное погашение (да/"")]]=""),MIN(Первоначальный[[#This Row],[Полученный платеж]]+Y400-SUM(Первоначальный[[#This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комиссиям]]),VLOOKUP(LOOKUP(,-1/($Z$12:Z401=1),$A$12:A401),График[[Срок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платеж]]+Y400-SUM(Первоначальный[[#This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S400&gt;0,MIN(Первоначальный[[#This Row],[Полученный платеж]]+Y400-SUM(Первоначальный[[#This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комиссиям]]),SUM(INDIRECT("M"&amp;(MAX((1=S$12:S400)*ROW(S$12:S400),ROW($W$12))&amp;":M"&amp;(ROW()))))-SUM(INDIRECT("W"&amp;(MAX((1=S$12:S400)*ROW(S$12:S400),ROW($W$12))&amp;":W"&amp;(ROW()-1)))))
)
)</f>
        <v>0</v>
      </c>
      <c r="X401" s="55">
        <f t="shared" ca="1" si="74"/>
        <v>0</v>
      </c>
      <c r="Y401" s="101">
        <f t="shared" ca="1" si="81"/>
        <v>0</v>
      </c>
      <c r="Z401" s="133" t="str">
        <f>IF(TYPE((VLOOKUP(Первоначальный[[#This Row],[Дата платежа]],График[Срок конец],1,0)))=16,"",1)</f>
        <v/>
      </c>
      <c r="AA401" s="57"/>
      <c r="AB401" s="134"/>
      <c r="AC40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0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26269.40999999996</v>
      </c>
      <c r="AE40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394.43000000000058</v>
      </c>
      <c r="AF40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0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23344.555473770532</v>
      </c>
      <c r="AH401" s="55"/>
      <c r="AI401" s="55"/>
      <c r="AJ401" s="55"/>
      <c r="AK401" s="101">
        <f t="shared" ca="1" si="82"/>
        <v>199641.73547377047</v>
      </c>
      <c r="AL401" s="129">
        <f t="array" ref="AL401">MAX((УслРестрактов[Характеристика]="Дата реструктуризации")*(УслРестрактов[Значение]=Первоначальный!$A401),0)</f>
        <v>0</v>
      </c>
    </row>
    <row r="402" spans="1:38" x14ac:dyDescent="0.25">
      <c r="A402" s="97">
        <f t="shared" si="75"/>
        <v>44533</v>
      </c>
      <c r="B402" s="100">
        <f t="shared" ca="1" si="76"/>
        <v>149633.34</v>
      </c>
      <c r="C402" s="55">
        <f t="shared" ca="1" si="72"/>
        <v>26269.40999999996</v>
      </c>
      <c r="D402" s="55">
        <f t="shared" ca="1" si="72"/>
        <v>394.43000000000058</v>
      </c>
      <c r="E402" s="55">
        <f t="shared" ca="1" si="77"/>
        <v>0</v>
      </c>
      <c r="F402" s="55">
        <f t="shared" ca="1" si="78"/>
        <v>23344.555473770532</v>
      </c>
      <c r="G402" s="101">
        <f t="shared" ca="1" si="79"/>
        <v>199641.73547377047</v>
      </c>
      <c r="H402" s="100">
        <f ca="1">ROUND($B402*VLOOKUP($A402,$A$1:$B$10,2,1)/(365+IF(MOD(YEAR($A402),4),0,1)*($A402-$A401)),2)-Первоначальный[[#This Row],[Проценты на просроченный платеж по ОД за период]]</f>
        <v>79.12</v>
      </c>
      <c r="I402" s="55">
        <f t="shared" ca="1" si="80"/>
        <v>2.46</v>
      </c>
      <c r="J402" s="55">
        <v>0</v>
      </c>
      <c r="K402" s="55">
        <f t="shared" ca="1" si="83"/>
        <v>144.78350327868853</v>
      </c>
      <c r="L402" s="55">
        <v>0</v>
      </c>
      <c r="M402" s="113">
        <f>SUMIFS(График[Возврат основной суммы долга],График[Дата с учетом нерабочих дней],$A402)</f>
        <v>0</v>
      </c>
      <c r="N402" s="56">
        <f>SUMIFS(График[Возврат начисленных %],График[Дата с учетом нерабочих дней],$A402)</f>
        <v>0</v>
      </c>
      <c r="O402" s="101">
        <v>0</v>
      </c>
      <c r="P402" s="100" cm="1">
        <f t="array" aca="1" ref="P402" ca="1">MAX(IF(AA401="Да",0,SUM(INDIRECT("M"&amp;(MAX(("Да"=AA$12:AA401)*ROW(AA$12:AA401)+1,ROW($P$12))&amp;":M"&amp;(ROW()))))-SUM(INDIRECT("W"&amp;(MAX(("Да"=AA$12:AA401)*ROW(AA$12:AA401)+1,ROW($P$12))&amp;":W"&amp;(ROW()))))),0)</f>
        <v>4508.32</v>
      </c>
      <c r="Q402" s="99">
        <f ca="1">MAX(SUM($N$13:N402)-SUM($T$13:T402),0)</f>
        <v>24448.380655737703</v>
      </c>
      <c r="R402" s="99">
        <f ca="1">Первоначальный[[#This Row],[Просроченный платеж по ОД]]+Первоначальный[[#This Row],[Просроченный платеж по процентам]]</f>
        <v>28956.700655737703</v>
      </c>
      <c r="S402" s="120">
        <f ca="1">IF(Первоначальный[[#This Row],[Просроченный платеж]]&lt;1,0,S401+1)</f>
        <v>298</v>
      </c>
      <c r="T402" s="100" cm="1">
        <f t="array" aca="1" ref="T402" ca="1">IF(Первоначальный[[#This Row],[Итого остаток на начало периода]]&lt;1,0,
IF(
AND(TYPE(VLOOKUP(1,$Z$12:Z402,1,0))=16,Первоначальный[[#This Row],[Досрочное погашение (да/"")]]=""),0,
_xlfn.IFS(AND(S401=0,Первоначальный[[#This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платеж]]&lt;&gt;0),MIN(LOOKUP(,-1/($Z$12:Z402=1),$C$12:C402)+LOOKUP(,-1/($Z$12:Z402=1),$H$12:H402),Первоначальный[[#This Row],[Полученный платеж]]+Y401),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платеж]]+Y401,SUM(Первоначальный[[#This Row],[Остаток процентов на начало периода]],Первоначальный[[#This Row],[Проценты за период]])),
AND(S401=0,Первоначальный[[#This Row],[Дата платежа из графика]]=""),0,
AND(S401=0,Первоначальный[[#This Row],[Дата платежа из графика]]=1,MAX((0&lt;&gt;S$12:S401)*ROW(S$12:S401),ROW($S$12))&gt;=MAX((1=Z$12:Z401)*ROW(Z$12:Z401),ROW($T$12)),TYPE(VLOOKUP("Да",(INDIRECT("AA"&amp;(MAX((1=Z$12:Z401)*ROW(Z$12:Z401),ROW($T$12))&amp;":AA"&amp;(ROW()-1)))),1,0))=16),MIN(LOOKUP(,-1/($Z$12:Z402=1),$C$12:C402)+LOOKUP(,-1/($Z$12:Z402=1),$H$12:H402),Первоначальный[[#This Row],[Полученный платеж]]+Y401),
AND(S401=0,TYPE(VLOOKUP("Да",(INDIRECT("AA"&amp;(MAX((1=Z$12:Z401)*ROW(Z$12:Z401),ROW($T$12))&amp;":AA"&amp;(ROW()-1)))),1,0))&lt;&gt;16),MIN(LOOKUP(,-1/($Z$12:Z402=1),$C$12:C402)+LOOKUP(,-1/($Z$12:Z402=1),$H$12:H402)-IF(AA401="Да",0,SUM(INDIRECT("T"&amp;(MAX(("Да"=AA$12:AA401)*ROW(AA$12:AA401)+1,ROW($T$12))&amp;":T"&amp;(ROW()-1))))),Первоначальный[[#This Row],[Полученный платеж]]+Y401),
AND(S401=0,MAX((0&lt;&gt;N$12:N401)*ROW(N$12:N401),ROW($S$12))&gt;=MAX((1=Z$12:Z401)*ROW(Z$12:Z401),ROW($T$12))),MIN(LOOKUP(,-1/($Z$12:Z402=1),$C$12:C402)+LOOKUP(,-1/($Z$12:Z402=1),$H$12:H402)-IF(N401&lt;&gt;0,0,SUM(INDIRECT("T"&amp;(MAX((0&lt;&gt;N$12:N401)*ROW(N$12:N401)+1,ROW($T$12))&amp;":T"&amp;(ROW()-1))))),Первоначальный[[#This Row],[Полученный платеж]]+Y401),
AND(S401=0,Первоначальный[[#This Row],[Дата платежа из графика]]=1),MIN(LOOKUP(,-1/($Z$12:Z402=1),$C$12:C402)+LOOKUP(,-1/($Z$12:Z402=1),$H$12:H402)-IF(Z401=1,0,SUM(INDIRECT("T"&amp;(MAX((1=Z$12:Z401)*ROW(Z$12:Z401)+1,ROW($T$12))&amp;":T"&amp;(ROW()-1))))),Первоначальный[[#This Row],[Полученный платеж]]+Y401),
AND(Z401&gt;0,Первоначальный[[#This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платеж]]+Y401),
AND(S401&gt;0,MAX((0&lt;&gt;S$12:S401)*ROW(S$12:S401),ROW($S$12))&gt;=MAX((1=Z$12:Z401)*ROW(Z$12:Z401),ROW($T$12)),TYPE(VLOOKUP("Да",(INDIRECT("AA"&amp;(MAX((1=Z$12:Z401)*ROW(Z$12:Z401),ROW($T$12))&amp;":AA"&amp;(ROW()-1)))),1,0))=16),MIN(LOOKUP(,-1/($Z$12:Z402=1),$C$12:C402)+LOOKUP(,-1/($Z$12:Z402=1),$H$12:H402)-SUM(INDIRECT("T"&amp;(MAX((1=Z$12:Z401)*ROW(Z$12:Z401),ROW($T$12))&amp;":T"&amp;(ROW()-1)))),Первоначальный[[#This Row],[Полученный платеж]]+Y401),
S401&gt;0,MIN(LOOKUP(,-1/($Z$12:Z402=1),$C$12:C402)+LOOKUP(,-1/($Z$12:Z402=1),$H$12:H402)-IF(Z401=1,0,SUM(INDIRECT("T"&amp;(MAX((1=Z$12:Z401)*ROW(Z$12:Z401)+1,ROW($T$12))&amp;":T"&amp;(ROW()-1))))),Первоначальный[[#This Row],[Полученный платеж]]+Y401)
)
)
)</f>
        <v>0</v>
      </c>
      <c r="U40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платеж]]+Y401-Первоначальный[[#This Row],[Полученный платёж по процентам]])</f>
        <v>0</v>
      </c>
      <c r="V402" s="55">
        <f t="shared" ca="1" si="73"/>
        <v>0</v>
      </c>
      <c r="W402" s="55" cm="1">
        <f t="array" aca="1" ref="W402" ca="1">IF(Первоначальный[[#This Row],[Итого остаток на начало периода]]&lt;1,0,
_xlfn.IFS(
AND(TYPE(VLOOKUP(1,$Z$12:Z402,1,0))=16,Первоначальный[[#This Row],[Досрочное погашение (да/"")]]=""),0,
AND(S401=0,Первоначальный[[#This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платеж]]+Y401-SUM(Первоначальный[[#This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комиссиям]]),VLOOKUP(LOOKUP(,-1/($Z$12:Z402=1),$A$12:A402),График[[Срок конец]:[Возврат основной суммы долга]],3,0)),
AND(S401=0,Первоначальный[[#This Row],[Дата платежа из графика]]="",Первоначальный[[#This Row],[Досрочное погашение (да/"")]]&lt;&gt;"Да"),0,
AND(S401=0,Первоначальный[[#This Row],[Досрочное погашение (да/"")]]=""),MIN(Первоначальный[[#This Row],[Полученный платеж]]+Y401-SUM(Первоначальный[[#This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комиссиям]]),VLOOKUP(LOOKUP(,-1/($Z$12:Z402=1),$A$12:A402),График[[Срок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платеж]]+Y401-SUM(Первоначальный[[#This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S401&gt;0,MIN(Первоначальный[[#This Row],[Полученный платеж]]+Y401-SUM(Первоначальный[[#This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комиссиям]]),SUM(INDIRECT("M"&amp;(MAX((1=S$12:S401)*ROW(S$12:S401),ROW($W$12))&amp;":M"&amp;(ROW()))))-SUM(INDIRECT("W"&amp;(MAX((1=S$12:S401)*ROW(S$12:S401),ROW($W$12))&amp;":W"&amp;(ROW()-1)))))
)
)</f>
        <v>0</v>
      </c>
      <c r="X402" s="55">
        <f t="shared" ca="1" si="74"/>
        <v>0</v>
      </c>
      <c r="Y402" s="101">
        <f t="shared" ca="1" si="81"/>
        <v>0</v>
      </c>
      <c r="Z402" s="133" t="str">
        <f>IF(TYPE((VLOOKUP(Первоначальный[[#This Row],[Дата платежа]],График[Срок конец],1,0)))=16,"",1)</f>
        <v/>
      </c>
      <c r="AA402" s="57"/>
      <c r="AB402" s="134"/>
      <c r="AC40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0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26348.529999999959</v>
      </c>
      <c r="AE40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396.89000000000055</v>
      </c>
      <c r="AF40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0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23489.338977049221</v>
      </c>
      <c r="AH402" s="55"/>
      <c r="AI402" s="55"/>
      <c r="AJ402" s="55"/>
      <c r="AK402" s="101">
        <f t="shared" ca="1" si="82"/>
        <v>199868.0989770492</v>
      </c>
      <c r="AL402" s="129">
        <f t="array" ref="AL402">MAX((УслРестрактов[Характеристика]="Дата реструктуризации")*(УслРестрактов[Значение]=Первоначальный!$A402),0)</f>
        <v>0</v>
      </c>
    </row>
    <row r="403" spans="1:38" x14ac:dyDescent="0.25">
      <c r="A403" s="97">
        <f t="shared" si="75"/>
        <v>44534</v>
      </c>
      <c r="B403" s="100">
        <f t="shared" ca="1" si="76"/>
        <v>149633.34</v>
      </c>
      <c r="C403" s="55">
        <f t="shared" ca="1" si="72"/>
        <v>26348.529999999959</v>
      </c>
      <c r="D403" s="55">
        <f t="shared" ca="1" si="72"/>
        <v>396.89000000000055</v>
      </c>
      <c r="E403" s="55">
        <f t="shared" ca="1" si="77"/>
        <v>0</v>
      </c>
      <c r="F403" s="55">
        <f t="shared" ca="1" si="78"/>
        <v>23489.338977049221</v>
      </c>
      <c r="G403" s="101">
        <f t="shared" ca="1" si="79"/>
        <v>199868.0989770492</v>
      </c>
      <c r="H403" s="100">
        <f ca="1">ROUND($B403*VLOOKUP($A403,$A$1:$B$10,2,1)/(365+IF(MOD(YEAR($A403),4),0,1)*($A403-$A402)),2)-Первоначальный[[#This Row],[Проценты на просроченный платеж по ОД за период]]</f>
        <v>79.12</v>
      </c>
      <c r="I403" s="55">
        <f t="shared" ca="1" si="80"/>
        <v>2.46</v>
      </c>
      <c r="J403" s="55">
        <v>0</v>
      </c>
      <c r="K403" s="55">
        <f t="shared" ca="1" si="83"/>
        <v>144.78350327868853</v>
      </c>
      <c r="L403" s="55">
        <v>0</v>
      </c>
      <c r="M403" s="113">
        <f>SUMIFS(График[Возврат основной суммы долга],График[Дата с учетом нерабочих дней],$A403)</f>
        <v>0</v>
      </c>
      <c r="N403" s="56">
        <f>SUMIFS(График[Возврат начисленных %],График[Дата с учетом нерабочих дней],$A403)</f>
        <v>0</v>
      </c>
      <c r="O403" s="101">
        <v>0</v>
      </c>
      <c r="P403" s="100" cm="1">
        <f t="array" aca="1" ref="P403" ca="1">MAX(IF(AA402="Да",0,SUM(INDIRECT("M"&amp;(MAX(("Да"=AA$12:AA402)*ROW(AA$12:AA402)+1,ROW($P$12))&amp;":M"&amp;(ROW()))))-SUM(INDIRECT("W"&amp;(MAX(("Да"=AA$12:AA402)*ROW(AA$12:AA402)+1,ROW($P$12))&amp;":W"&amp;(ROW()))))),0)</f>
        <v>4508.32</v>
      </c>
      <c r="Q403" s="99">
        <f ca="1">MAX(SUM($N$13:N403)-SUM($T$13:T403),0)</f>
        <v>24448.380655737703</v>
      </c>
      <c r="R403" s="99">
        <f ca="1">Первоначальный[[#This Row],[Просроченный платеж по ОД]]+Первоначальный[[#This Row],[Просроченный платеж по процентам]]</f>
        <v>28956.700655737703</v>
      </c>
      <c r="S403" s="120">
        <f ca="1">IF(Первоначальный[[#This Row],[Просроченный платеж]]&lt;1,0,S402+1)</f>
        <v>299</v>
      </c>
      <c r="T403" s="100" cm="1">
        <f t="array" aca="1" ref="T403" ca="1">IF(Первоначальный[[#This Row],[Итого остаток на начало периода]]&lt;1,0,
IF(
AND(TYPE(VLOOKUP(1,$Z$12:Z403,1,0))=16,Первоначальный[[#This Row],[Досрочное погашение (да/"")]]=""),0,
_xlfn.IFS(AND(S402=0,Первоначальный[[#This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платеж]]&lt;&gt;0),MIN(LOOKUP(,-1/($Z$12:Z403=1),$C$12:C403)+LOOKUP(,-1/($Z$12:Z403=1),$H$12:H403),Первоначальный[[#This Row],[Полученный платеж]]+Y402),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платеж]]+Y402,SUM(Первоначальный[[#This Row],[Остаток процентов на начало периода]],Первоначальный[[#This Row],[Проценты за период]])),
AND(S402=0,Первоначальный[[#This Row],[Дата платежа из графика]]=""),0,
AND(S402=0,Первоначальный[[#This Row],[Дата платежа из графика]]=1,MAX((0&lt;&gt;S$12:S402)*ROW(S$12:S402),ROW($S$12))&gt;=MAX((1=Z$12:Z402)*ROW(Z$12:Z402),ROW($T$12)),TYPE(VLOOKUP("Да",(INDIRECT("AA"&amp;(MAX((1=Z$12:Z402)*ROW(Z$12:Z402),ROW($T$12))&amp;":AA"&amp;(ROW()-1)))),1,0))=16),MIN(LOOKUP(,-1/($Z$12:Z403=1),$C$12:C403)+LOOKUP(,-1/($Z$12:Z403=1),$H$12:H403),Первоначальный[[#This Row],[Полученный платеж]]+Y402),
AND(S402=0,TYPE(VLOOKUP("Да",(INDIRECT("AA"&amp;(MAX((1=Z$12:Z402)*ROW(Z$12:Z402),ROW($T$12))&amp;":AA"&amp;(ROW()-1)))),1,0))&lt;&gt;16),MIN(LOOKUP(,-1/($Z$12:Z403=1),$C$12:C403)+LOOKUP(,-1/($Z$12:Z403=1),$H$12:H403)-IF(AA402="Да",0,SUM(INDIRECT("T"&amp;(MAX(("Да"=AA$12:AA402)*ROW(AA$12:AA402)+1,ROW($T$12))&amp;":T"&amp;(ROW()-1))))),Первоначальный[[#This Row],[Полученный платеж]]+Y402),
AND(S402=0,MAX((0&lt;&gt;N$12:N402)*ROW(N$12:N402),ROW($S$12))&gt;=MAX((1=Z$12:Z402)*ROW(Z$12:Z402),ROW($T$12))),MIN(LOOKUP(,-1/($Z$12:Z403=1),$C$12:C403)+LOOKUP(,-1/($Z$12:Z403=1),$H$12:H403)-IF(N402&lt;&gt;0,0,SUM(INDIRECT("T"&amp;(MAX((0&lt;&gt;N$12:N402)*ROW(N$12:N402)+1,ROW($T$12))&amp;":T"&amp;(ROW()-1))))),Первоначальный[[#This Row],[Полученный платеж]]+Y402),
AND(S402=0,Первоначальный[[#This Row],[Дата платежа из графика]]=1),MIN(LOOKUP(,-1/($Z$12:Z403=1),$C$12:C403)+LOOKUP(,-1/($Z$12:Z403=1),$H$12:H403)-IF(Z402=1,0,SUM(INDIRECT("T"&amp;(MAX((1=Z$12:Z402)*ROW(Z$12:Z402)+1,ROW($T$12))&amp;":T"&amp;(ROW()-1))))),Первоначальный[[#This Row],[Полученный платеж]]+Y402),
AND(Z402&gt;0,Первоначальный[[#This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платеж]]+Y402),
AND(S402&gt;0,MAX((0&lt;&gt;S$12:S402)*ROW(S$12:S402),ROW($S$12))&gt;=MAX((1=Z$12:Z402)*ROW(Z$12:Z402),ROW($T$12)),TYPE(VLOOKUP("Да",(INDIRECT("AA"&amp;(MAX((1=Z$12:Z402)*ROW(Z$12:Z402),ROW($T$12))&amp;":AA"&amp;(ROW()-1)))),1,0))=16),MIN(LOOKUP(,-1/($Z$12:Z403=1),$C$12:C403)+LOOKUP(,-1/($Z$12:Z403=1),$H$12:H403)-SUM(INDIRECT("T"&amp;(MAX((1=Z$12:Z402)*ROW(Z$12:Z402),ROW($T$12))&amp;":T"&amp;(ROW()-1)))),Первоначальный[[#This Row],[Полученный платеж]]+Y402),
S402&gt;0,MIN(LOOKUP(,-1/($Z$12:Z403=1),$C$12:C403)+LOOKUP(,-1/($Z$12:Z403=1),$H$12:H403)-IF(Z402=1,0,SUM(INDIRECT("T"&amp;(MAX((1=Z$12:Z402)*ROW(Z$12:Z402)+1,ROW($T$12))&amp;":T"&amp;(ROW()-1))))),Первоначальный[[#This Row],[Полученный платеж]]+Y402)
)
)
)</f>
        <v>0</v>
      </c>
      <c r="U40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платеж]]+Y402-Первоначальный[[#This Row],[Полученный платёж по процентам]])</f>
        <v>0</v>
      </c>
      <c r="V403" s="55">
        <f t="shared" ca="1" si="73"/>
        <v>0</v>
      </c>
      <c r="W403" s="55" cm="1">
        <f t="array" aca="1" ref="W403" ca="1">IF(Первоначальный[[#This Row],[Итого остаток на начало периода]]&lt;1,0,
_xlfn.IFS(
AND(TYPE(VLOOKUP(1,$Z$12:Z403,1,0))=16,Первоначальный[[#This Row],[Досрочное погашение (да/"")]]=""),0,
AND(S402=0,Первоначальный[[#This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платеж]]+Y402-SUM(Первоначальный[[#This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комиссиям]]),VLOOKUP(LOOKUP(,-1/($Z$12:Z403=1),$A$12:A403),График[[Срок конец]:[Возврат основной суммы долга]],3,0)),
AND(S402=0,Первоначальный[[#This Row],[Дата платежа из графика]]="",Первоначальный[[#This Row],[Досрочное погашение (да/"")]]&lt;&gt;"Да"),0,
AND(S402=0,Первоначальный[[#This Row],[Досрочное погашение (да/"")]]=""),MIN(Первоначальный[[#This Row],[Полученный платеж]]+Y402-SUM(Первоначальный[[#This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комиссиям]]),VLOOKUP(LOOKUP(,-1/($Z$12:Z403=1),$A$12:A403),График[[Срок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платеж]]+Y402-SUM(Первоначальный[[#This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S402&gt;0,MIN(Первоначальный[[#This Row],[Полученный платеж]]+Y402-SUM(Первоначальный[[#This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комиссиям]]),SUM(INDIRECT("M"&amp;(MAX((1=S$12:S402)*ROW(S$12:S402),ROW($W$12))&amp;":M"&amp;(ROW()))))-SUM(INDIRECT("W"&amp;(MAX((1=S$12:S402)*ROW(S$12:S402),ROW($W$12))&amp;":W"&amp;(ROW()-1)))))
)
)</f>
        <v>0</v>
      </c>
      <c r="X403" s="55">
        <f t="shared" ca="1" si="74"/>
        <v>0</v>
      </c>
      <c r="Y403" s="101">
        <f t="shared" ca="1" si="81"/>
        <v>0</v>
      </c>
      <c r="Z403" s="133" t="str">
        <f>IF(TYPE((VLOOKUP(Первоначальный[[#This Row],[Дата платежа]],График[Срок конец],1,0)))=16,"",1)</f>
        <v/>
      </c>
      <c r="AA403" s="57"/>
      <c r="AB403" s="134"/>
      <c r="AC40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0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26427.649999999958</v>
      </c>
      <c r="AE40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399.35000000000053</v>
      </c>
      <c r="AF40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0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23634.122480327911</v>
      </c>
      <c r="AH403" s="55"/>
      <c r="AI403" s="55"/>
      <c r="AJ403" s="55"/>
      <c r="AK403" s="101">
        <f t="shared" ca="1" si="82"/>
        <v>200094.46248032787</v>
      </c>
      <c r="AL403" s="129">
        <f t="array" ref="AL403">MAX((УслРестрактов[Характеристика]="Дата реструктуризации")*(УслРестрактов[Значение]=Первоначальный!$A403),0)</f>
        <v>0</v>
      </c>
    </row>
    <row r="404" spans="1:38" x14ac:dyDescent="0.25">
      <c r="A404" s="97">
        <f t="shared" si="75"/>
        <v>44535</v>
      </c>
      <c r="B404" s="100">
        <f t="shared" ca="1" si="76"/>
        <v>149633.34</v>
      </c>
      <c r="C404" s="55">
        <f t="shared" ca="1" si="72"/>
        <v>26427.649999999958</v>
      </c>
      <c r="D404" s="55">
        <f t="shared" ca="1" si="72"/>
        <v>399.35000000000053</v>
      </c>
      <c r="E404" s="55">
        <f t="shared" ca="1" si="77"/>
        <v>0</v>
      </c>
      <c r="F404" s="55">
        <f t="shared" ca="1" si="78"/>
        <v>23634.122480327911</v>
      </c>
      <c r="G404" s="101">
        <f t="shared" ca="1" si="79"/>
        <v>200094.46248032787</v>
      </c>
      <c r="H404" s="100">
        <f ca="1">ROUND($B404*VLOOKUP($A404,$A$1:$B$10,2,1)/(365+IF(MOD(YEAR($A404),4),0,1)*($A404-$A403)),2)-Первоначальный[[#This Row],[Проценты на просроченный платеж по ОД за период]]</f>
        <v>79.12</v>
      </c>
      <c r="I404" s="55">
        <f t="shared" ca="1" si="80"/>
        <v>2.46</v>
      </c>
      <c r="J404" s="55">
        <v>0</v>
      </c>
      <c r="K404" s="55">
        <f t="shared" ca="1" si="83"/>
        <v>144.78350327868853</v>
      </c>
      <c r="L404" s="55">
        <v>0</v>
      </c>
      <c r="M404" s="113">
        <f>SUMIFS(График[Возврат основной суммы долга],График[Дата с учетом нерабочих дней],$A404)</f>
        <v>0</v>
      </c>
      <c r="N404" s="56">
        <f>SUMIFS(График[Возврат начисленных %],График[Дата с учетом нерабочих дней],$A404)</f>
        <v>0</v>
      </c>
      <c r="O404" s="101">
        <v>0</v>
      </c>
      <c r="P404" s="100" cm="1">
        <f t="array" aca="1" ref="P404" ca="1">MAX(IF(AA403="Да",0,SUM(INDIRECT("M"&amp;(MAX(("Да"=AA$12:AA403)*ROW(AA$12:AA403)+1,ROW($P$12))&amp;":M"&amp;(ROW()))))-SUM(INDIRECT("W"&amp;(MAX(("Да"=AA$12:AA403)*ROW(AA$12:AA403)+1,ROW($P$12))&amp;":W"&amp;(ROW()))))),0)</f>
        <v>4508.32</v>
      </c>
      <c r="Q404" s="99">
        <f ca="1">MAX(SUM($N$13:N404)-SUM($T$13:T404),0)</f>
        <v>24448.380655737703</v>
      </c>
      <c r="R404" s="99">
        <f ca="1">Первоначальный[[#This Row],[Просроченный платеж по ОД]]+Первоначальный[[#This Row],[Просроченный платеж по процентам]]</f>
        <v>28956.700655737703</v>
      </c>
      <c r="S404" s="120">
        <f ca="1">IF(Первоначальный[[#This Row],[Просроченный платеж]]&lt;1,0,S403+1)</f>
        <v>300</v>
      </c>
      <c r="T404" s="100" cm="1">
        <f t="array" aca="1" ref="T404" ca="1">IF(Первоначальный[[#This Row],[Итого остаток на начало периода]]&lt;1,0,
IF(
AND(TYPE(VLOOKUP(1,$Z$12:Z404,1,0))=16,Первоначальный[[#This Row],[Досрочное погашение (да/"")]]=""),0,
_xlfn.IFS(AND(S403=0,Первоначальный[[#This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платеж]]&lt;&gt;0),MIN(LOOKUP(,-1/($Z$12:Z404=1),$C$12:C404)+LOOKUP(,-1/($Z$12:Z404=1),$H$12:H404),Первоначальный[[#This Row],[Полученный платеж]]+Y403),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платеж]]+Y403,SUM(Первоначальный[[#This Row],[Остаток процентов на начало периода]],Первоначальный[[#This Row],[Проценты за период]])),
AND(S403=0,Первоначальный[[#This Row],[Дата платежа из графика]]=""),0,
AND(S403=0,Первоначальный[[#This Row],[Дата платежа из графика]]=1,MAX((0&lt;&gt;S$12:S403)*ROW(S$12:S403),ROW($S$12))&gt;=MAX((1=Z$12:Z403)*ROW(Z$12:Z403),ROW($T$12)),TYPE(VLOOKUP("Да",(INDIRECT("AA"&amp;(MAX((1=Z$12:Z403)*ROW(Z$12:Z403),ROW($T$12))&amp;":AA"&amp;(ROW()-1)))),1,0))=16),MIN(LOOKUP(,-1/($Z$12:Z404=1),$C$12:C404)+LOOKUP(,-1/($Z$12:Z404=1),$H$12:H404),Первоначальный[[#This Row],[Полученный платеж]]+Y403),
AND(S403=0,TYPE(VLOOKUP("Да",(INDIRECT("AA"&amp;(MAX((1=Z$12:Z403)*ROW(Z$12:Z403),ROW($T$12))&amp;":AA"&amp;(ROW()-1)))),1,0))&lt;&gt;16),MIN(LOOKUP(,-1/($Z$12:Z404=1),$C$12:C404)+LOOKUP(,-1/($Z$12:Z404=1),$H$12:H404)-IF(AA403="Да",0,SUM(INDIRECT("T"&amp;(MAX(("Да"=AA$12:AA403)*ROW(AA$12:AA403)+1,ROW($T$12))&amp;":T"&amp;(ROW()-1))))),Первоначальный[[#This Row],[Полученный платеж]]+Y403),
AND(S403=0,MAX((0&lt;&gt;N$12:N403)*ROW(N$12:N403),ROW($S$12))&gt;=MAX((1=Z$12:Z403)*ROW(Z$12:Z403),ROW($T$12))),MIN(LOOKUP(,-1/($Z$12:Z404=1),$C$12:C404)+LOOKUP(,-1/($Z$12:Z404=1),$H$12:H404)-IF(N403&lt;&gt;0,0,SUM(INDIRECT("T"&amp;(MAX((0&lt;&gt;N$12:N403)*ROW(N$12:N403)+1,ROW($T$12))&amp;":T"&amp;(ROW()-1))))),Первоначальный[[#This Row],[Полученный платеж]]+Y403),
AND(S403=0,Первоначальный[[#This Row],[Дата платежа из графика]]=1),MIN(LOOKUP(,-1/($Z$12:Z404=1),$C$12:C404)+LOOKUP(,-1/($Z$12:Z404=1),$H$12:H404)-IF(Z403=1,0,SUM(INDIRECT("T"&amp;(MAX((1=Z$12:Z403)*ROW(Z$12:Z403)+1,ROW($T$12))&amp;":T"&amp;(ROW()-1))))),Первоначальный[[#This Row],[Полученный платеж]]+Y403),
AND(Z403&gt;0,Первоначальный[[#This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платеж]]+Y403),
AND(S403&gt;0,MAX((0&lt;&gt;S$12:S403)*ROW(S$12:S403),ROW($S$12))&gt;=MAX((1=Z$12:Z403)*ROW(Z$12:Z403),ROW($T$12)),TYPE(VLOOKUP("Да",(INDIRECT("AA"&amp;(MAX((1=Z$12:Z403)*ROW(Z$12:Z403),ROW($T$12))&amp;":AA"&amp;(ROW()-1)))),1,0))=16),MIN(LOOKUP(,-1/($Z$12:Z404=1),$C$12:C404)+LOOKUP(,-1/($Z$12:Z404=1),$H$12:H404)-SUM(INDIRECT("T"&amp;(MAX((1=Z$12:Z403)*ROW(Z$12:Z403),ROW($T$12))&amp;":T"&amp;(ROW()-1)))),Первоначальный[[#This Row],[Полученный платеж]]+Y403),
S403&gt;0,MIN(LOOKUP(,-1/($Z$12:Z404=1),$C$12:C404)+LOOKUP(,-1/($Z$12:Z404=1),$H$12:H404)-IF(Z403=1,0,SUM(INDIRECT("T"&amp;(MAX((1=Z$12:Z403)*ROW(Z$12:Z403)+1,ROW($T$12))&amp;":T"&amp;(ROW()-1))))),Первоначальный[[#This Row],[Полученный платеж]]+Y403)
)
)
)</f>
        <v>0</v>
      </c>
      <c r="U40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платеж]]+Y403-Первоначальный[[#This Row],[Полученный платёж по процентам]])</f>
        <v>0</v>
      </c>
      <c r="V404" s="55">
        <f t="shared" ca="1" si="73"/>
        <v>0</v>
      </c>
      <c r="W404" s="55" cm="1">
        <f t="array" aca="1" ref="W404" ca="1">IF(Первоначальный[[#This Row],[Итого остаток на начало периода]]&lt;1,0,
_xlfn.IFS(
AND(TYPE(VLOOKUP(1,$Z$12:Z404,1,0))=16,Первоначальный[[#This Row],[Досрочное погашение (да/"")]]=""),0,
AND(S403=0,Первоначальный[[#This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платеж]]+Y403-SUM(Первоначальный[[#This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комиссиям]]),VLOOKUP(LOOKUP(,-1/($Z$12:Z404=1),$A$12:A404),График[[Срок конец]:[Возврат основной суммы долга]],3,0)),
AND(S403=0,Первоначальный[[#This Row],[Дата платежа из графика]]="",Первоначальный[[#This Row],[Досрочное погашение (да/"")]]&lt;&gt;"Да"),0,
AND(S403=0,Первоначальный[[#This Row],[Досрочное погашение (да/"")]]=""),MIN(Первоначальный[[#This Row],[Полученный платеж]]+Y403-SUM(Первоначальный[[#This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комиссиям]]),VLOOKUP(LOOKUP(,-1/($Z$12:Z404=1),$A$12:A404),График[[Срок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платеж]]+Y403-SUM(Первоначальный[[#This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S403&gt;0,MIN(Первоначальный[[#This Row],[Полученный платеж]]+Y403-SUM(Первоначальный[[#This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комиссиям]]),SUM(INDIRECT("M"&amp;(MAX((1=S$12:S403)*ROW(S$12:S403),ROW($W$12))&amp;":M"&amp;(ROW()))))-SUM(INDIRECT("W"&amp;(MAX((1=S$12:S403)*ROW(S$12:S403),ROW($W$12))&amp;":W"&amp;(ROW()-1)))))
)
)</f>
        <v>0</v>
      </c>
      <c r="X404" s="55">
        <f t="shared" ca="1" si="74"/>
        <v>0</v>
      </c>
      <c r="Y404" s="101">
        <f t="shared" ca="1" si="81"/>
        <v>0</v>
      </c>
      <c r="Z404" s="133" t="str">
        <f>IF(TYPE((VLOOKUP(Первоначальный[[#This Row],[Дата платежа]],График[Срок конец],1,0)))=16,"",1)</f>
        <v/>
      </c>
      <c r="AA404" s="57"/>
      <c r="AB404" s="134"/>
      <c r="AC40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0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26506.769999999957</v>
      </c>
      <c r="AE40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401.81000000000051</v>
      </c>
      <c r="AF40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0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23778.905983606601</v>
      </c>
      <c r="AH404" s="55"/>
      <c r="AI404" s="55"/>
      <c r="AJ404" s="55"/>
      <c r="AK404" s="101">
        <f t="shared" ca="1" si="82"/>
        <v>200320.82598360657</v>
      </c>
      <c r="AL404" s="129">
        <f t="array" ref="AL404">MAX((УслРестрактов[Характеристика]="Дата реструктуризации")*(УслРестрактов[Значение]=Первоначальный!$A404),0)</f>
        <v>0</v>
      </c>
    </row>
    <row r="405" spans="1:38" x14ac:dyDescent="0.25">
      <c r="A405" s="97">
        <f t="shared" si="75"/>
        <v>44536</v>
      </c>
      <c r="B405" s="100">
        <f t="shared" ca="1" si="76"/>
        <v>149633.34</v>
      </c>
      <c r="C405" s="55">
        <f t="shared" ca="1" si="72"/>
        <v>26506.769999999957</v>
      </c>
      <c r="D405" s="55">
        <f t="shared" ca="1" si="72"/>
        <v>401.81000000000051</v>
      </c>
      <c r="E405" s="55">
        <f t="shared" ca="1" si="77"/>
        <v>0</v>
      </c>
      <c r="F405" s="55">
        <f t="shared" ca="1" si="78"/>
        <v>23778.905983606601</v>
      </c>
      <c r="G405" s="101">
        <f t="shared" ca="1" si="79"/>
        <v>200320.82598360657</v>
      </c>
      <c r="H405" s="100">
        <f ca="1">ROUND($B405*VLOOKUP($A405,$A$1:$B$10,2,1)/(365+IF(MOD(YEAR($A405),4),0,1)*($A405-$A404)),2)-Первоначальный[[#This Row],[Проценты на просроченный платеж по ОД за период]]</f>
        <v>79.12</v>
      </c>
      <c r="I405" s="55">
        <f t="shared" ca="1" si="80"/>
        <v>2.46</v>
      </c>
      <c r="J405" s="55">
        <v>0</v>
      </c>
      <c r="K405" s="55">
        <f t="shared" ca="1" si="83"/>
        <v>144.78350327868853</v>
      </c>
      <c r="L405" s="55">
        <v>0</v>
      </c>
      <c r="M405" s="113">
        <f>SUMIFS(График[Возврат основной суммы долга],График[Дата с учетом нерабочих дней],$A405)</f>
        <v>0</v>
      </c>
      <c r="N405" s="56">
        <f>SUMIFS(График[Возврат начисленных %],График[Дата с учетом нерабочих дней],$A405)</f>
        <v>0</v>
      </c>
      <c r="O405" s="101">
        <v>0</v>
      </c>
      <c r="P405" s="100" cm="1">
        <f t="array" aca="1" ref="P405" ca="1">MAX(IF(AA404="Да",0,SUM(INDIRECT("M"&amp;(MAX(("Да"=AA$12:AA404)*ROW(AA$12:AA404)+1,ROW($P$12))&amp;":M"&amp;(ROW()))))-SUM(INDIRECT("W"&amp;(MAX(("Да"=AA$12:AA404)*ROW(AA$12:AA404)+1,ROW($P$12))&amp;":W"&amp;(ROW()))))),0)</f>
        <v>4508.32</v>
      </c>
      <c r="Q405" s="99">
        <f ca="1">MAX(SUM($N$13:N405)-SUM($T$13:T405),0)</f>
        <v>24448.380655737703</v>
      </c>
      <c r="R405" s="99">
        <f ca="1">Первоначальный[[#This Row],[Просроченный платеж по ОД]]+Первоначальный[[#This Row],[Просроченный платеж по процентам]]</f>
        <v>28956.700655737703</v>
      </c>
      <c r="S405" s="120">
        <f ca="1">IF(Первоначальный[[#This Row],[Просроченный платеж]]&lt;1,0,S404+1)</f>
        <v>301</v>
      </c>
      <c r="T405" s="100" cm="1">
        <f t="array" aca="1" ref="T405" ca="1">IF(Первоначальный[[#This Row],[Итого остаток на начало периода]]&lt;1,0,
IF(
AND(TYPE(VLOOKUP(1,$Z$12:Z405,1,0))=16,Первоначальный[[#This Row],[Досрочное погашение (да/"")]]=""),0,
_xlfn.IFS(AND(S404=0,Первоначальный[[#This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платеж]]&lt;&gt;0),MIN(LOOKUP(,-1/($Z$12:Z405=1),$C$12:C405)+LOOKUP(,-1/($Z$12:Z405=1),$H$12:H405),Первоначальный[[#This Row],[Полученный платеж]]+Y404),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платеж]]+Y404,SUM(Первоначальный[[#This Row],[Остаток процентов на начало периода]],Первоначальный[[#This Row],[Проценты за период]])),
AND(S404=0,Первоначальный[[#This Row],[Дата платежа из графика]]=""),0,
AND(S404=0,Первоначальный[[#This Row],[Дата платежа из графика]]=1,MAX((0&lt;&gt;S$12:S404)*ROW(S$12:S404),ROW($S$12))&gt;=MAX((1=Z$12:Z404)*ROW(Z$12:Z404),ROW($T$12)),TYPE(VLOOKUP("Да",(INDIRECT("AA"&amp;(MAX((1=Z$12:Z404)*ROW(Z$12:Z404),ROW($T$12))&amp;":AA"&amp;(ROW()-1)))),1,0))=16),MIN(LOOKUP(,-1/($Z$12:Z405=1),$C$12:C405)+LOOKUP(,-1/($Z$12:Z405=1),$H$12:H405),Первоначальный[[#This Row],[Полученный платеж]]+Y404),
AND(S404=0,TYPE(VLOOKUP("Да",(INDIRECT("AA"&amp;(MAX((1=Z$12:Z404)*ROW(Z$12:Z404),ROW($T$12))&amp;":AA"&amp;(ROW()-1)))),1,0))&lt;&gt;16),MIN(LOOKUP(,-1/($Z$12:Z405=1),$C$12:C405)+LOOKUP(,-1/($Z$12:Z405=1),$H$12:H405)-IF(AA404="Да",0,SUM(INDIRECT("T"&amp;(MAX(("Да"=AA$12:AA404)*ROW(AA$12:AA404)+1,ROW($T$12))&amp;":T"&amp;(ROW()-1))))),Первоначальный[[#This Row],[Полученный платеж]]+Y404),
AND(S404=0,MAX((0&lt;&gt;N$12:N404)*ROW(N$12:N404),ROW($S$12))&gt;=MAX((1=Z$12:Z404)*ROW(Z$12:Z404),ROW($T$12))),MIN(LOOKUP(,-1/($Z$12:Z405=1),$C$12:C405)+LOOKUP(,-1/($Z$12:Z405=1),$H$12:H405)-IF(N404&lt;&gt;0,0,SUM(INDIRECT("T"&amp;(MAX((0&lt;&gt;N$12:N404)*ROW(N$12:N404)+1,ROW($T$12))&amp;":T"&amp;(ROW()-1))))),Первоначальный[[#This Row],[Полученный платеж]]+Y404),
AND(S404=0,Первоначальный[[#This Row],[Дата платежа из графика]]=1),MIN(LOOKUP(,-1/($Z$12:Z405=1),$C$12:C405)+LOOKUP(,-1/($Z$12:Z405=1),$H$12:H405)-IF(Z404=1,0,SUM(INDIRECT("T"&amp;(MAX((1=Z$12:Z404)*ROW(Z$12:Z404)+1,ROW($T$12))&amp;":T"&amp;(ROW()-1))))),Первоначальный[[#This Row],[Полученный платеж]]+Y404),
AND(Z404&gt;0,Первоначальный[[#This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платеж]]+Y404),
AND(S404&gt;0,MAX((0&lt;&gt;S$12:S404)*ROW(S$12:S404),ROW($S$12))&gt;=MAX((1=Z$12:Z404)*ROW(Z$12:Z404),ROW($T$12)),TYPE(VLOOKUP("Да",(INDIRECT("AA"&amp;(MAX((1=Z$12:Z404)*ROW(Z$12:Z404),ROW($T$12))&amp;":AA"&amp;(ROW()-1)))),1,0))=16),MIN(LOOKUP(,-1/($Z$12:Z405=1),$C$12:C405)+LOOKUP(,-1/($Z$12:Z405=1),$H$12:H405)-SUM(INDIRECT("T"&amp;(MAX((1=Z$12:Z404)*ROW(Z$12:Z404),ROW($T$12))&amp;":T"&amp;(ROW()-1)))),Первоначальный[[#This Row],[Полученный платеж]]+Y404),
S404&gt;0,MIN(LOOKUP(,-1/($Z$12:Z405=1),$C$12:C405)+LOOKUP(,-1/($Z$12:Z405=1),$H$12:H405)-IF(Z404=1,0,SUM(INDIRECT("T"&amp;(MAX((1=Z$12:Z404)*ROW(Z$12:Z404)+1,ROW($T$12))&amp;":T"&amp;(ROW()-1))))),Первоначальный[[#This Row],[Полученный платеж]]+Y404)
)
)
)</f>
        <v>0</v>
      </c>
      <c r="U40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платеж]]+Y404-Первоначальный[[#This Row],[Полученный платёж по процентам]])</f>
        <v>0</v>
      </c>
      <c r="V405" s="55">
        <f t="shared" ca="1" si="73"/>
        <v>0</v>
      </c>
      <c r="W405" s="55" cm="1">
        <f t="array" aca="1" ref="W405" ca="1">IF(Первоначальный[[#This Row],[Итого остаток на начало периода]]&lt;1,0,
_xlfn.IFS(
AND(TYPE(VLOOKUP(1,$Z$12:Z405,1,0))=16,Первоначальный[[#This Row],[Досрочное погашение (да/"")]]=""),0,
AND(S404=0,Первоначальный[[#This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платеж]]+Y404-SUM(Первоначальный[[#This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комиссиям]]),VLOOKUP(LOOKUP(,-1/($Z$12:Z405=1),$A$12:A405),График[[Срок конец]:[Возврат основной суммы долга]],3,0)),
AND(S404=0,Первоначальный[[#This Row],[Дата платежа из графика]]="",Первоначальный[[#This Row],[Досрочное погашение (да/"")]]&lt;&gt;"Да"),0,
AND(S404=0,Первоначальный[[#This Row],[Досрочное погашение (да/"")]]=""),MIN(Первоначальный[[#This Row],[Полученный платеж]]+Y404-SUM(Первоначальный[[#This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комиссиям]]),VLOOKUP(LOOKUP(,-1/($Z$12:Z405=1),$A$12:A405),График[[Срок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платеж]]+Y404-SUM(Первоначальный[[#This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S404&gt;0,MIN(Первоначальный[[#This Row],[Полученный платеж]]+Y404-SUM(Первоначальный[[#This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комиссиям]]),SUM(INDIRECT("M"&amp;(MAX((1=S$12:S404)*ROW(S$12:S404),ROW($W$12))&amp;":M"&amp;(ROW()))))-SUM(INDIRECT("W"&amp;(MAX((1=S$12:S404)*ROW(S$12:S404),ROW($W$12))&amp;":W"&amp;(ROW()-1)))))
)
)</f>
        <v>0</v>
      </c>
      <c r="X405" s="55">
        <f t="shared" ca="1" si="74"/>
        <v>0</v>
      </c>
      <c r="Y405" s="101">
        <f t="shared" ca="1" si="81"/>
        <v>0</v>
      </c>
      <c r="Z405" s="133" t="str">
        <f>IF(TYPE((VLOOKUP(Первоначальный[[#This Row],[Дата платежа]],График[Срок конец],1,0)))=16,"",1)</f>
        <v/>
      </c>
      <c r="AA405" s="57"/>
      <c r="AB405" s="134"/>
      <c r="AC40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0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26585.889999999956</v>
      </c>
      <c r="AE40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404.27000000000049</v>
      </c>
      <c r="AF40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0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23923.689486885291</v>
      </c>
      <c r="AH405" s="55"/>
      <c r="AI405" s="55"/>
      <c r="AJ405" s="55"/>
      <c r="AK405" s="101">
        <f t="shared" ca="1" si="82"/>
        <v>200547.18948688524</v>
      </c>
      <c r="AL405" s="129">
        <f t="array" ref="AL405">MAX((УслРестрактов[Характеристика]="Дата реструктуризации")*(УслРестрактов[Значение]=Первоначальный!$A405),0)</f>
        <v>0</v>
      </c>
    </row>
    <row r="406" spans="1:38" x14ac:dyDescent="0.25">
      <c r="A406" s="97">
        <f t="shared" si="75"/>
        <v>44537</v>
      </c>
      <c r="B406" s="100">
        <f t="shared" ca="1" si="76"/>
        <v>149633.34</v>
      </c>
      <c r="C406" s="55">
        <f t="shared" ca="1" si="72"/>
        <v>26585.889999999956</v>
      </c>
      <c r="D406" s="55">
        <f t="shared" ca="1" si="72"/>
        <v>404.27000000000049</v>
      </c>
      <c r="E406" s="55">
        <f t="shared" ca="1" si="77"/>
        <v>0</v>
      </c>
      <c r="F406" s="55">
        <f t="shared" ca="1" si="78"/>
        <v>23923.689486885291</v>
      </c>
      <c r="G406" s="101">
        <f t="shared" ca="1" si="79"/>
        <v>200547.18948688524</v>
      </c>
      <c r="H406" s="100">
        <f ca="1">ROUND($B406*VLOOKUP($A406,$A$1:$B$10,2,1)/(365+IF(MOD(YEAR($A406),4),0,1)*($A406-$A405)),2)-Первоначальный[[#This Row],[Проценты на просроченный платеж по ОД за период]]</f>
        <v>79.12</v>
      </c>
      <c r="I406" s="55">
        <f t="shared" ca="1" si="80"/>
        <v>2.46</v>
      </c>
      <c r="J406" s="55">
        <v>0</v>
      </c>
      <c r="K406" s="55">
        <f t="shared" ca="1" si="83"/>
        <v>144.78350327868853</v>
      </c>
      <c r="L406" s="55">
        <v>0</v>
      </c>
      <c r="M406" s="113">
        <f>SUMIFS(График[Возврат основной суммы долга],График[Дата с учетом нерабочих дней],$A406)</f>
        <v>0</v>
      </c>
      <c r="N406" s="56">
        <f>SUMIFS(График[Возврат начисленных %],График[Дата с учетом нерабочих дней],$A406)</f>
        <v>0</v>
      </c>
      <c r="O406" s="101">
        <v>0</v>
      </c>
      <c r="P406" s="100" cm="1">
        <f t="array" aca="1" ref="P406" ca="1">MAX(IF(AA405="Да",0,SUM(INDIRECT("M"&amp;(MAX(("Да"=AA$12:AA405)*ROW(AA$12:AA405)+1,ROW($P$12))&amp;":M"&amp;(ROW()))))-SUM(INDIRECT("W"&amp;(MAX(("Да"=AA$12:AA405)*ROW(AA$12:AA405)+1,ROW($P$12))&amp;":W"&amp;(ROW()))))),0)</f>
        <v>4508.32</v>
      </c>
      <c r="Q406" s="99">
        <f ca="1">MAX(SUM($N$13:N406)-SUM($T$13:T406),0)</f>
        <v>24448.380655737703</v>
      </c>
      <c r="R406" s="99">
        <f ca="1">Первоначальный[[#This Row],[Просроченный платеж по ОД]]+Первоначальный[[#This Row],[Просроченный платеж по процентам]]</f>
        <v>28956.700655737703</v>
      </c>
      <c r="S406" s="120">
        <f ca="1">IF(Первоначальный[[#This Row],[Просроченный платеж]]&lt;1,0,S405+1)</f>
        <v>302</v>
      </c>
      <c r="T406" s="100" cm="1">
        <f t="array" aca="1" ref="T406" ca="1">IF(Первоначальный[[#This Row],[Итого остаток на начало периода]]&lt;1,0,
IF(
AND(TYPE(VLOOKUP(1,$Z$12:Z406,1,0))=16,Первоначальный[[#This Row],[Досрочное погашение (да/"")]]=""),0,
_xlfn.IFS(AND(S405=0,Первоначальный[[#This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платеж]]&lt;&gt;0),MIN(LOOKUP(,-1/($Z$12:Z406=1),$C$12:C406)+LOOKUP(,-1/($Z$12:Z406=1),$H$12:H406),Первоначальный[[#This Row],[Полученный платеж]]+Y405),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платеж]]+Y405,SUM(Первоначальный[[#This Row],[Остаток процентов на начало периода]],Первоначальный[[#This Row],[Проценты за период]])),
AND(S405=0,Первоначальный[[#This Row],[Дата платежа из графика]]=""),0,
AND(S405=0,Первоначальный[[#This Row],[Дата платежа из графика]]=1,MAX((0&lt;&gt;S$12:S405)*ROW(S$12:S405),ROW($S$12))&gt;=MAX((1=Z$12:Z405)*ROW(Z$12:Z405),ROW($T$12)),TYPE(VLOOKUP("Да",(INDIRECT("AA"&amp;(MAX((1=Z$12:Z405)*ROW(Z$12:Z405),ROW($T$12))&amp;":AA"&amp;(ROW()-1)))),1,0))=16),MIN(LOOKUP(,-1/($Z$12:Z406=1),$C$12:C406)+LOOKUP(,-1/($Z$12:Z406=1),$H$12:H406),Первоначальный[[#This Row],[Полученный платеж]]+Y405),
AND(S405=0,TYPE(VLOOKUP("Да",(INDIRECT("AA"&amp;(MAX((1=Z$12:Z405)*ROW(Z$12:Z405),ROW($T$12))&amp;":AA"&amp;(ROW()-1)))),1,0))&lt;&gt;16),MIN(LOOKUP(,-1/($Z$12:Z406=1),$C$12:C406)+LOOKUP(,-1/($Z$12:Z406=1),$H$12:H406)-IF(AA405="Да",0,SUM(INDIRECT("T"&amp;(MAX(("Да"=AA$12:AA405)*ROW(AA$12:AA405)+1,ROW($T$12))&amp;":T"&amp;(ROW()-1))))),Первоначальный[[#This Row],[Полученный платеж]]+Y405),
AND(S405=0,MAX((0&lt;&gt;N$12:N405)*ROW(N$12:N405),ROW($S$12))&gt;=MAX((1=Z$12:Z405)*ROW(Z$12:Z405),ROW($T$12))),MIN(LOOKUP(,-1/($Z$12:Z406=1),$C$12:C406)+LOOKUP(,-1/($Z$12:Z406=1),$H$12:H406)-IF(N405&lt;&gt;0,0,SUM(INDIRECT("T"&amp;(MAX((0&lt;&gt;N$12:N405)*ROW(N$12:N405)+1,ROW($T$12))&amp;":T"&amp;(ROW()-1))))),Первоначальный[[#This Row],[Полученный платеж]]+Y405),
AND(S405=0,Первоначальный[[#This Row],[Дата платежа из графика]]=1),MIN(LOOKUP(,-1/($Z$12:Z406=1),$C$12:C406)+LOOKUP(,-1/($Z$12:Z406=1),$H$12:H406)-IF(Z405=1,0,SUM(INDIRECT("T"&amp;(MAX((1=Z$12:Z405)*ROW(Z$12:Z405)+1,ROW($T$12))&amp;":T"&amp;(ROW()-1))))),Первоначальный[[#This Row],[Полученный платеж]]+Y405),
AND(Z405&gt;0,Первоначальный[[#This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платеж]]+Y405),
AND(S405&gt;0,MAX((0&lt;&gt;S$12:S405)*ROW(S$12:S405),ROW($S$12))&gt;=MAX((1=Z$12:Z405)*ROW(Z$12:Z405),ROW($T$12)),TYPE(VLOOKUP("Да",(INDIRECT("AA"&amp;(MAX((1=Z$12:Z405)*ROW(Z$12:Z405),ROW($T$12))&amp;":AA"&amp;(ROW()-1)))),1,0))=16),MIN(LOOKUP(,-1/($Z$12:Z406=1),$C$12:C406)+LOOKUP(,-1/($Z$12:Z406=1),$H$12:H406)-SUM(INDIRECT("T"&amp;(MAX((1=Z$12:Z405)*ROW(Z$12:Z405),ROW($T$12))&amp;":T"&amp;(ROW()-1)))),Первоначальный[[#This Row],[Полученный платеж]]+Y405),
S405&gt;0,MIN(LOOKUP(,-1/($Z$12:Z406=1),$C$12:C406)+LOOKUP(,-1/($Z$12:Z406=1),$H$12:H406)-IF(Z405=1,0,SUM(INDIRECT("T"&amp;(MAX((1=Z$12:Z405)*ROW(Z$12:Z405)+1,ROW($T$12))&amp;":T"&amp;(ROW()-1))))),Первоначальный[[#This Row],[Полученный платеж]]+Y405)
)
)
)</f>
        <v>0</v>
      </c>
      <c r="U40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платеж]]+Y405-Первоначальный[[#This Row],[Полученный платёж по процентам]])</f>
        <v>0</v>
      </c>
      <c r="V406" s="55">
        <f t="shared" ca="1" si="73"/>
        <v>0</v>
      </c>
      <c r="W406" s="55" cm="1">
        <f t="array" aca="1" ref="W406" ca="1">IF(Первоначальный[[#This Row],[Итого остаток на начало периода]]&lt;1,0,
_xlfn.IFS(
AND(TYPE(VLOOKUP(1,$Z$12:Z406,1,0))=16,Первоначальный[[#This Row],[Досрочное погашение (да/"")]]=""),0,
AND(S405=0,Первоначальный[[#This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платеж]]+Y405-SUM(Первоначальный[[#This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комиссиям]]),VLOOKUP(LOOKUP(,-1/($Z$12:Z406=1),$A$12:A406),График[[Срок конец]:[Возврат основной суммы долга]],3,0)),
AND(S405=0,Первоначальный[[#This Row],[Дата платежа из графика]]="",Первоначальный[[#This Row],[Досрочное погашение (да/"")]]&lt;&gt;"Да"),0,
AND(S405=0,Первоначальный[[#This Row],[Досрочное погашение (да/"")]]=""),MIN(Первоначальный[[#This Row],[Полученный платеж]]+Y405-SUM(Первоначальный[[#This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комиссиям]]),VLOOKUP(LOOKUP(,-1/($Z$12:Z406=1),$A$12:A406),График[[Срок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платеж]]+Y405-SUM(Первоначальный[[#This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S405&gt;0,MIN(Первоначальный[[#This Row],[Полученный платеж]]+Y405-SUM(Первоначальный[[#This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комиссиям]]),SUM(INDIRECT("M"&amp;(MAX((1=S$12:S405)*ROW(S$12:S405),ROW($W$12))&amp;":M"&amp;(ROW()))))-SUM(INDIRECT("W"&amp;(MAX((1=S$12:S405)*ROW(S$12:S405),ROW($W$12))&amp;":W"&amp;(ROW()-1)))))
)
)</f>
        <v>0</v>
      </c>
      <c r="X406" s="55">
        <f t="shared" ca="1" si="74"/>
        <v>0</v>
      </c>
      <c r="Y406" s="101">
        <f t="shared" ca="1" si="81"/>
        <v>0</v>
      </c>
      <c r="Z406" s="133" t="str">
        <f>IF(TYPE((VLOOKUP(Первоначальный[[#This Row],[Дата платежа]],График[Срок конец],1,0)))=16,"",1)</f>
        <v/>
      </c>
      <c r="AA406" s="57"/>
      <c r="AB406" s="134"/>
      <c r="AC40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0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26665.009999999955</v>
      </c>
      <c r="AE40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406.73000000000047</v>
      </c>
      <c r="AF40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0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24068.47299016398</v>
      </c>
      <c r="AH406" s="55"/>
      <c r="AI406" s="55"/>
      <c r="AJ406" s="55"/>
      <c r="AK406" s="101">
        <f t="shared" ca="1" si="82"/>
        <v>200773.55299016394</v>
      </c>
      <c r="AL406" s="129">
        <f t="array" ref="AL406">MAX((УслРестрактов[Характеристика]="Дата реструктуризации")*(УслРестрактов[Значение]=Первоначальный!$A406),0)</f>
        <v>0</v>
      </c>
    </row>
    <row r="407" spans="1:38" x14ac:dyDescent="0.25">
      <c r="A407" s="97">
        <f t="shared" si="75"/>
        <v>44538</v>
      </c>
      <c r="B407" s="100">
        <f t="shared" ca="1" si="76"/>
        <v>149633.34</v>
      </c>
      <c r="C407" s="55">
        <f t="shared" ca="1" si="72"/>
        <v>26665.009999999955</v>
      </c>
      <c r="D407" s="55">
        <f t="shared" ca="1" si="72"/>
        <v>406.73000000000047</v>
      </c>
      <c r="E407" s="55">
        <f t="shared" ca="1" si="77"/>
        <v>0</v>
      </c>
      <c r="F407" s="55">
        <f t="shared" ca="1" si="78"/>
        <v>24068.47299016398</v>
      </c>
      <c r="G407" s="101">
        <f t="shared" ca="1" si="79"/>
        <v>200773.55299016394</v>
      </c>
      <c r="H407" s="100">
        <f ca="1">ROUND($B407*VLOOKUP($A407,$A$1:$B$10,2,1)/(365+IF(MOD(YEAR($A407),4),0,1)*($A407-$A406)),2)-Первоначальный[[#This Row],[Проценты на просроченный платеж по ОД за период]]</f>
        <v>79.12</v>
      </c>
      <c r="I407" s="55">
        <f t="shared" ca="1" si="80"/>
        <v>2.46</v>
      </c>
      <c r="J407" s="55">
        <v>0</v>
      </c>
      <c r="K407" s="55">
        <f t="shared" ca="1" si="83"/>
        <v>144.78350327868853</v>
      </c>
      <c r="L407" s="55">
        <v>0</v>
      </c>
      <c r="M407" s="113">
        <f>SUMIFS(График[Возврат основной суммы долга],График[Дата с учетом нерабочих дней],$A407)</f>
        <v>0</v>
      </c>
      <c r="N407" s="56">
        <f>SUMIFS(График[Возврат начисленных %],График[Дата с учетом нерабочих дней],$A407)</f>
        <v>0</v>
      </c>
      <c r="O407" s="101">
        <v>0</v>
      </c>
      <c r="P407" s="100" cm="1">
        <f t="array" aca="1" ref="P407" ca="1">MAX(IF(AA406="Да",0,SUM(INDIRECT("M"&amp;(MAX(("Да"=AA$12:AA406)*ROW(AA$12:AA406)+1,ROW($P$12))&amp;":M"&amp;(ROW()))))-SUM(INDIRECT("W"&amp;(MAX(("Да"=AA$12:AA406)*ROW(AA$12:AA406)+1,ROW($P$12))&amp;":W"&amp;(ROW()))))),0)</f>
        <v>4508.32</v>
      </c>
      <c r="Q407" s="99">
        <f ca="1">MAX(SUM($N$13:N407)-SUM($T$13:T407),0)</f>
        <v>24448.380655737703</v>
      </c>
      <c r="R407" s="99">
        <f ca="1">Первоначальный[[#This Row],[Просроченный платеж по ОД]]+Первоначальный[[#This Row],[Просроченный платеж по процентам]]</f>
        <v>28956.700655737703</v>
      </c>
      <c r="S407" s="120">
        <f ca="1">IF(Первоначальный[[#This Row],[Просроченный платеж]]&lt;1,0,S406+1)</f>
        <v>303</v>
      </c>
      <c r="T407" s="100" cm="1">
        <f t="array" aca="1" ref="T407" ca="1">IF(Первоначальный[[#This Row],[Итого остаток на начало периода]]&lt;1,0,
IF(
AND(TYPE(VLOOKUP(1,$Z$12:Z407,1,0))=16,Первоначальный[[#This Row],[Досрочное погашение (да/"")]]=""),0,
_xlfn.IFS(AND(S406=0,Первоначальный[[#This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платеж]]&lt;&gt;0),MIN(LOOKUP(,-1/($Z$12:Z407=1),$C$12:C407)+LOOKUP(,-1/($Z$12:Z407=1),$H$12:H407),Первоначальный[[#This Row],[Полученный платеж]]+Y406),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платеж]]+Y406,SUM(Первоначальный[[#This Row],[Остаток процентов на начало периода]],Первоначальный[[#This Row],[Проценты за период]])),
AND(S406=0,Первоначальный[[#This Row],[Дата платежа из графика]]=""),0,
AND(S406=0,Первоначальный[[#This Row],[Дата платежа из графика]]=1,MAX((0&lt;&gt;S$12:S406)*ROW(S$12:S406),ROW($S$12))&gt;=MAX((1=Z$12:Z406)*ROW(Z$12:Z406),ROW($T$12)),TYPE(VLOOKUP("Да",(INDIRECT("AA"&amp;(MAX((1=Z$12:Z406)*ROW(Z$12:Z406),ROW($T$12))&amp;":AA"&amp;(ROW()-1)))),1,0))=16),MIN(LOOKUP(,-1/($Z$12:Z407=1),$C$12:C407)+LOOKUP(,-1/($Z$12:Z407=1),$H$12:H407),Первоначальный[[#This Row],[Полученный платеж]]+Y406),
AND(S406=0,TYPE(VLOOKUP("Да",(INDIRECT("AA"&amp;(MAX((1=Z$12:Z406)*ROW(Z$12:Z406),ROW($T$12))&amp;":AA"&amp;(ROW()-1)))),1,0))&lt;&gt;16),MIN(LOOKUP(,-1/($Z$12:Z407=1),$C$12:C407)+LOOKUP(,-1/($Z$12:Z407=1),$H$12:H407)-IF(AA406="Да",0,SUM(INDIRECT("T"&amp;(MAX(("Да"=AA$12:AA406)*ROW(AA$12:AA406)+1,ROW($T$12))&amp;":T"&amp;(ROW()-1))))),Первоначальный[[#This Row],[Полученный платеж]]+Y406),
AND(S406=0,MAX((0&lt;&gt;N$12:N406)*ROW(N$12:N406),ROW($S$12))&gt;=MAX((1=Z$12:Z406)*ROW(Z$12:Z406),ROW($T$12))),MIN(LOOKUP(,-1/($Z$12:Z407=1),$C$12:C407)+LOOKUP(,-1/($Z$12:Z407=1),$H$12:H407)-IF(N406&lt;&gt;0,0,SUM(INDIRECT("T"&amp;(MAX((0&lt;&gt;N$12:N406)*ROW(N$12:N406)+1,ROW($T$12))&amp;":T"&amp;(ROW()-1))))),Первоначальный[[#This Row],[Полученный платеж]]+Y406),
AND(S406=0,Первоначальный[[#This Row],[Дата платежа из графика]]=1),MIN(LOOKUP(,-1/($Z$12:Z407=1),$C$12:C407)+LOOKUP(,-1/($Z$12:Z407=1),$H$12:H407)-IF(Z406=1,0,SUM(INDIRECT("T"&amp;(MAX((1=Z$12:Z406)*ROW(Z$12:Z406)+1,ROW($T$12))&amp;":T"&amp;(ROW()-1))))),Первоначальный[[#This Row],[Полученный платеж]]+Y406),
AND(Z406&gt;0,Первоначальный[[#This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платеж]]+Y406),
AND(S406&gt;0,MAX((0&lt;&gt;S$12:S406)*ROW(S$12:S406),ROW($S$12))&gt;=MAX((1=Z$12:Z406)*ROW(Z$12:Z406),ROW($T$12)),TYPE(VLOOKUP("Да",(INDIRECT("AA"&amp;(MAX((1=Z$12:Z406)*ROW(Z$12:Z406),ROW($T$12))&amp;":AA"&amp;(ROW()-1)))),1,0))=16),MIN(LOOKUP(,-1/($Z$12:Z407=1),$C$12:C407)+LOOKUP(,-1/($Z$12:Z407=1),$H$12:H407)-SUM(INDIRECT("T"&amp;(MAX((1=Z$12:Z406)*ROW(Z$12:Z406),ROW($T$12))&amp;":T"&amp;(ROW()-1)))),Первоначальный[[#This Row],[Полученный платеж]]+Y406),
S406&gt;0,MIN(LOOKUP(,-1/($Z$12:Z407=1),$C$12:C407)+LOOKUP(,-1/($Z$12:Z407=1),$H$12:H407)-IF(Z406=1,0,SUM(INDIRECT("T"&amp;(MAX((1=Z$12:Z406)*ROW(Z$12:Z406)+1,ROW($T$12))&amp;":T"&amp;(ROW()-1))))),Первоначальный[[#This Row],[Полученный платеж]]+Y406)
)
)
)</f>
        <v>0</v>
      </c>
      <c r="U40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платеж]]+Y406-Первоначальный[[#This Row],[Полученный платёж по процентам]])</f>
        <v>0</v>
      </c>
      <c r="V407" s="55">
        <f t="shared" ca="1" si="73"/>
        <v>0</v>
      </c>
      <c r="W407" s="55" cm="1">
        <f t="array" aca="1" ref="W407" ca="1">IF(Первоначальный[[#This Row],[Итого остаток на начало периода]]&lt;1,0,
_xlfn.IFS(
AND(TYPE(VLOOKUP(1,$Z$12:Z407,1,0))=16,Первоначальный[[#This Row],[Досрочное погашение (да/"")]]=""),0,
AND(S406=0,Первоначальный[[#This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платеж]]+Y406-SUM(Первоначальный[[#This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комиссиям]]),VLOOKUP(LOOKUP(,-1/($Z$12:Z407=1),$A$12:A407),График[[Срок конец]:[Возврат основной суммы долга]],3,0)),
AND(S406=0,Первоначальный[[#This Row],[Дата платежа из графика]]="",Первоначальный[[#This Row],[Досрочное погашение (да/"")]]&lt;&gt;"Да"),0,
AND(S406=0,Первоначальный[[#This Row],[Досрочное погашение (да/"")]]=""),MIN(Первоначальный[[#This Row],[Полученный платеж]]+Y406-SUM(Первоначальный[[#This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комиссиям]]),VLOOKUP(LOOKUP(,-1/($Z$12:Z407=1),$A$12:A407),График[[Срок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платеж]]+Y406-SUM(Первоначальный[[#This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S406&gt;0,MIN(Первоначальный[[#This Row],[Полученный платеж]]+Y406-SUM(Первоначальный[[#This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комиссиям]]),SUM(INDIRECT("M"&amp;(MAX((1=S$12:S406)*ROW(S$12:S406),ROW($W$12))&amp;":M"&amp;(ROW()))))-SUM(INDIRECT("W"&amp;(MAX((1=S$12:S406)*ROW(S$12:S406),ROW($W$12))&amp;":W"&amp;(ROW()-1)))))
)
)</f>
        <v>0</v>
      </c>
      <c r="X407" s="55">
        <f t="shared" ca="1" si="74"/>
        <v>0</v>
      </c>
      <c r="Y407" s="101">
        <f t="shared" ca="1" si="81"/>
        <v>0</v>
      </c>
      <c r="Z407" s="133" t="str">
        <f>IF(TYPE((VLOOKUP(Первоначальный[[#This Row],[Дата платежа]],График[Срок конец],1,0)))=16,"",1)</f>
        <v/>
      </c>
      <c r="AA407" s="57"/>
      <c r="AB407" s="134"/>
      <c r="AC40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0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26744.129999999954</v>
      </c>
      <c r="AE40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409.19000000000045</v>
      </c>
      <c r="AF40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0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24213.25649344267</v>
      </c>
      <c r="AH407" s="55"/>
      <c r="AI407" s="55"/>
      <c r="AJ407" s="55"/>
      <c r="AK407" s="101">
        <f t="shared" ca="1" si="82"/>
        <v>200999.91649344261</v>
      </c>
      <c r="AL407" s="129">
        <f t="array" ref="AL407">MAX((УслРестрактов[Характеристика]="Дата реструктуризации")*(УслРестрактов[Значение]=Первоначальный!$A407),0)</f>
        <v>0</v>
      </c>
    </row>
    <row r="408" spans="1:38" x14ac:dyDescent="0.25">
      <c r="A408" s="97">
        <f t="shared" si="75"/>
        <v>44539</v>
      </c>
      <c r="B408" s="100">
        <f t="shared" ca="1" si="76"/>
        <v>149633.34</v>
      </c>
      <c r="C408" s="55">
        <f t="shared" ca="1" si="72"/>
        <v>26744.129999999954</v>
      </c>
      <c r="D408" s="55">
        <f t="shared" ca="1" si="72"/>
        <v>409.19000000000045</v>
      </c>
      <c r="E408" s="55">
        <f t="shared" ca="1" si="77"/>
        <v>0</v>
      </c>
      <c r="F408" s="55">
        <f t="shared" ca="1" si="78"/>
        <v>24213.25649344267</v>
      </c>
      <c r="G408" s="101">
        <f t="shared" ca="1" si="79"/>
        <v>200999.91649344261</v>
      </c>
      <c r="H408" s="100">
        <f ca="1">ROUND($B408*VLOOKUP($A408,$A$1:$B$10,2,1)/(365+IF(MOD(YEAR($A408),4),0,1)*($A408-$A407)),2)-Первоначальный[[#This Row],[Проценты на просроченный платеж по ОД за период]]</f>
        <v>79.12</v>
      </c>
      <c r="I408" s="55">
        <f t="shared" ca="1" si="80"/>
        <v>2.46</v>
      </c>
      <c r="J408" s="55">
        <v>0</v>
      </c>
      <c r="K408" s="55">
        <f t="shared" ca="1" si="83"/>
        <v>159.26850327868851</v>
      </c>
      <c r="L408" s="55">
        <v>0</v>
      </c>
      <c r="M408" s="113">
        <f>SUMIFS(График[Возврат основной суммы долга],График[Дата с учетом нерабочих дней],$A408)</f>
        <v>523.30999999999995</v>
      </c>
      <c r="N408" s="56">
        <f>SUMIFS(График[Возврат начисленных %],График[Дата с учетом нерабочих дней],$A408)</f>
        <v>2373.69</v>
      </c>
      <c r="O408" s="101">
        <v>0</v>
      </c>
      <c r="P408" s="100" cm="1">
        <f t="array" aca="1" ref="P408" ca="1">MAX(IF(AA407="Да",0,SUM(INDIRECT("M"&amp;(MAX(("Да"=AA$12:AA407)*ROW(AA$12:AA407)+1,ROW($P$12))&amp;":M"&amp;(ROW()))))-SUM(INDIRECT("W"&amp;(MAX(("Да"=AA$12:AA407)*ROW(AA$12:AA407)+1,ROW($P$12))&amp;":W"&amp;(ROW()))))),0)</f>
        <v>5031.6299999999992</v>
      </c>
      <c r="Q408" s="99">
        <f ca="1">MAX(SUM($N$13:N408)-SUM($T$13:T408),0)</f>
        <v>26822.070655737705</v>
      </c>
      <c r="R408" s="99">
        <f ca="1">Первоначальный[[#This Row],[Просроченный платеж по ОД]]+Первоначальный[[#This Row],[Просроченный платеж по процентам]]</f>
        <v>31853.700655737703</v>
      </c>
      <c r="S408" s="120">
        <f ca="1">IF(Первоначальный[[#This Row],[Просроченный платеж]]&lt;1,0,S407+1)</f>
        <v>304</v>
      </c>
      <c r="T408" s="100" cm="1">
        <f t="array" aca="1" ref="T408" ca="1">IF(Первоначальный[[#This Row],[Итого остаток на начало периода]]&lt;1,0,
IF(
AND(TYPE(VLOOKUP(1,$Z$12:Z408,1,0))=16,Первоначальный[[#This Row],[Досрочное погашение (да/"")]]=""),0,
_xlfn.IFS(AND(S407=0,Первоначальный[[#This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платеж]]&lt;&gt;0),MIN(LOOKUP(,-1/($Z$12:Z408=1),$C$12:C408)+LOOKUP(,-1/($Z$12:Z408=1),$H$12:H408),Первоначальный[[#This Row],[Полученный платеж]]+Y407),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платеж]]+Y407,SUM(Первоначальный[[#This Row],[Остаток процентов на начало периода]],Первоначальный[[#This Row],[Проценты за период]])),
AND(S407=0,Первоначальный[[#This Row],[Дата платежа из графика]]=""),0,
AND(S407=0,Первоначальный[[#This Row],[Дата платежа из графика]]=1,MAX((0&lt;&gt;S$12:S407)*ROW(S$12:S407),ROW($S$12))&gt;=MAX((1=Z$12:Z407)*ROW(Z$12:Z407),ROW($T$12)),TYPE(VLOOKUP("Да",(INDIRECT("AA"&amp;(MAX((1=Z$12:Z407)*ROW(Z$12:Z407),ROW($T$12))&amp;":AA"&amp;(ROW()-1)))),1,0))=16),MIN(LOOKUP(,-1/($Z$12:Z408=1),$C$12:C408)+LOOKUP(,-1/($Z$12:Z408=1),$H$12:H408),Первоначальный[[#This Row],[Полученный платеж]]+Y407),
AND(S407=0,TYPE(VLOOKUP("Да",(INDIRECT("AA"&amp;(MAX((1=Z$12:Z407)*ROW(Z$12:Z407),ROW($T$12))&amp;":AA"&amp;(ROW()-1)))),1,0))&lt;&gt;16),MIN(LOOKUP(,-1/($Z$12:Z408=1),$C$12:C408)+LOOKUP(,-1/($Z$12:Z408=1),$H$12:H408)-IF(AA407="Да",0,SUM(INDIRECT("T"&amp;(MAX(("Да"=AA$12:AA407)*ROW(AA$12:AA407)+1,ROW($T$12))&amp;":T"&amp;(ROW()-1))))),Первоначальный[[#This Row],[Полученный платеж]]+Y407),
AND(S407=0,MAX((0&lt;&gt;N$12:N407)*ROW(N$12:N407),ROW($S$12))&gt;=MAX((1=Z$12:Z407)*ROW(Z$12:Z407),ROW($T$12))),MIN(LOOKUP(,-1/($Z$12:Z408=1),$C$12:C408)+LOOKUP(,-1/($Z$12:Z408=1),$H$12:H408)-IF(N407&lt;&gt;0,0,SUM(INDIRECT("T"&amp;(MAX((0&lt;&gt;N$12:N407)*ROW(N$12:N407)+1,ROW($T$12))&amp;":T"&amp;(ROW()-1))))),Первоначальный[[#This Row],[Полученный платеж]]+Y407),
AND(S407=0,Первоначальный[[#This Row],[Дата платежа из графика]]=1),MIN(LOOKUP(,-1/($Z$12:Z408=1),$C$12:C408)+LOOKUP(,-1/($Z$12:Z408=1),$H$12:H408)-IF(Z407=1,0,SUM(INDIRECT("T"&amp;(MAX((1=Z$12:Z407)*ROW(Z$12:Z407)+1,ROW($T$12))&amp;":T"&amp;(ROW()-1))))),Первоначальный[[#This Row],[Полученный платеж]]+Y407),
AND(Z407&gt;0,Первоначальный[[#This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платеж]]+Y407),
AND(S407&gt;0,MAX((0&lt;&gt;S$12:S407)*ROW(S$12:S407),ROW($S$12))&gt;=MAX((1=Z$12:Z407)*ROW(Z$12:Z407),ROW($T$12)),TYPE(VLOOKUP("Да",(INDIRECT("AA"&amp;(MAX((1=Z$12:Z407)*ROW(Z$12:Z407),ROW($T$12))&amp;":AA"&amp;(ROW()-1)))),1,0))=16),MIN(LOOKUP(,-1/($Z$12:Z408=1),$C$12:C408)+LOOKUP(,-1/($Z$12:Z408=1),$H$12:H408)-SUM(INDIRECT("T"&amp;(MAX((1=Z$12:Z407)*ROW(Z$12:Z407),ROW($T$12))&amp;":T"&amp;(ROW()-1)))),Первоначальный[[#This Row],[Полученный платеж]]+Y407),
S407&gt;0,MIN(LOOKUP(,-1/($Z$12:Z408=1),$C$12:C408)+LOOKUP(,-1/($Z$12:Z408=1),$H$12:H408)-IF(Z407=1,0,SUM(INDIRECT("T"&amp;(MAX((1=Z$12:Z407)*ROW(Z$12:Z407)+1,ROW($T$12))&amp;":T"&amp;(ROW()-1))))),Первоначальный[[#This Row],[Полученный платеж]]+Y407)
)
)
)</f>
        <v>0</v>
      </c>
      <c r="U40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платеж]]+Y407-Первоначальный[[#This Row],[Полученный платёж по процентам]])</f>
        <v>0</v>
      </c>
      <c r="V408" s="55">
        <f t="shared" ca="1" si="73"/>
        <v>0</v>
      </c>
      <c r="W408" s="55" cm="1">
        <f t="array" aca="1" ref="W408" ca="1">IF(Первоначальный[[#This Row],[Итого остаток на начало периода]]&lt;1,0,
_xlfn.IFS(
AND(TYPE(VLOOKUP(1,$Z$12:Z408,1,0))=16,Первоначальный[[#This Row],[Досрочное погашение (да/"")]]=""),0,
AND(S407=0,Первоначальный[[#This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платеж]]+Y407-SUM(Первоначальный[[#This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комиссиям]]),VLOOKUP(LOOKUP(,-1/($Z$12:Z408=1),$A$12:A408),График[[Срок конец]:[Возврат основной суммы долга]],3,0)),
AND(S407=0,Первоначальный[[#This Row],[Дата платежа из графика]]="",Первоначальный[[#This Row],[Досрочное погашение (да/"")]]&lt;&gt;"Да"),0,
AND(S407=0,Первоначальный[[#This Row],[Досрочное погашение (да/"")]]=""),MIN(Первоначальный[[#This Row],[Полученный платеж]]+Y407-SUM(Первоначальный[[#This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комиссиям]]),VLOOKUP(LOOKUP(,-1/($Z$12:Z408=1),$A$12:A408),График[[Срок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платеж]]+Y407-SUM(Первоначальный[[#This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S407&gt;0,MIN(Первоначальный[[#This Row],[Полученный платеж]]+Y407-SUM(Первоначальный[[#This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комиссиям]]),SUM(INDIRECT("M"&amp;(MAX((1=S$12:S407)*ROW(S$12:S407),ROW($W$12))&amp;":M"&amp;(ROW()))))-SUM(INDIRECT("W"&amp;(MAX((1=S$12:S407)*ROW(S$12:S407),ROW($W$12))&amp;":W"&amp;(ROW()-1)))))
)
)</f>
        <v>0</v>
      </c>
      <c r="X408" s="55">
        <f t="shared" ca="1" si="74"/>
        <v>0</v>
      </c>
      <c r="Y408" s="101">
        <f t="shared" ca="1" si="81"/>
        <v>0</v>
      </c>
      <c r="Z408" s="133">
        <f>IF(TYPE((VLOOKUP(Первоначальный[[#This Row],[Дата платежа]],График[Срок конец],1,0)))=16,"",1)</f>
        <v>1</v>
      </c>
      <c r="AA408" s="57"/>
      <c r="AB408" s="134"/>
      <c r="AC40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0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26823.249999999953</v>
      </c>
      <c r="AE40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411.65000000000043</v>
      </c>
      <c r="AF40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0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24372.52499672136</v>
      </c>
      <c r="AH408" s="55"/>
      <c r="AI408" s="55"/>
      <c r="AJ408" s="55"/>
      <c r="AK408" s="101">
        <f t="shared" ca="1" si="82"/>
        <v>201240.76499672129</v>
      </c>
      <c r="AL408" s="129">
        <f t="array" ref="AL408">MAX((УслРестрактов[Характеристика]="Дата реструктуризации")*(УслРестрактов[Значение]=Первоначальный!$A408),0)</f>
        <v>0</v>
      </c>
    </row>
    <row r="409" spans="1:38" x14ac:dyDescent="0.25">
      <c r="A409" s="97">
        <f t="shared" si="75"/>
        <v>44540</v>
      </c>
      <c r="B409" s="100">
        <f t="shared" ca="1" si="76"/>
        <v>149633.34</v>
      </c>
      <c r="C409" s="55">
        <f t="shared" ca="1" si="72"/>
        <v>26823.249999999953</v>
      </c>
      <c r="D409" s="55">
        <f t="shared" ca="1" si="72"/>
        <v>411.65000000000043</v>
      </c>
      <c r="E409" s="55">
        <f t="shared" ca="1" si="77"/>
        <v>0</v>
      </c>
      <c r="F409" s="55">
        <f t="shared" ca="1" si="78"/>
        <v>24372.52499672136</v>
      </c>
      <c r="G409" s="101">
        <f t="shared" ca="1" si="79"/>
        <v>201240.76499672129</v>
      </c>
      <c r="H409" s="100">
        <f ca="1">ROUND($B409*VLOOKUP($A409,$A$1:$B$10,2,1)/(365+IF(MOD(YEAR($A409),4),0,1)*($A409-$A408)),2)-Первоначальный[[#This Row],[Проценты на просроченный платеж по ОД за период]]</f>
        <v>78.84</v>
      </c>
      <c r="I409" s="55">
        <f t="shared" ca="1" si="80"/>
        <v>2.74</v>
      </c>
      <c r="J409" s="55">
        <v>0</v>
      </c>
      <c r="K409" s="55">
        <f t="shared" ca="1" si="83"/>
        <v>159.26850327868851</v>
      </c>
      <c r="L409" s="55">
        <v>0</v>
      </c>
      <c r="M409" s="113">
        <f>SUMIFS(График[Возврат основной суммы долга],График[Дата с учетом нерабочих дней],$A409)</f>
        <v>0</v>
      </c>
      <c r="N409" s="56">
        <f>SUMIFS(График[Возврат начисленных %],График[Дата с учетом нерабочих дней],$A409)</f>
        <v>0</v>
      </c>
      <c r="O409" s="101">
        <v>0</v>
      </c>
      <c r="P409" s="100" cm="1">
        <f t="array" aca="1" ref="P409" ca="1">MAX(IF(AA408="Да",0,SUM(INDIRECT("M"&amp;(MAX(("Да"=AA$12:AA408)*ROW(AA$12:AA408)+1,ROW($P$12))&amp;":M"&amp;(ROW()))))-SUM(INDIRECT("W"&amp;(MAX(("Да"=AA$12:AA408)*ROW(AA$12:AA408)+1,ROW($P$12))&amp;":W"&amp;(ROW()))))),0)</f>
        <v>5031.6299999999992</v>
      </c>
      <c r="Q409" s="99">
        <f ca="1">MAX(SUM($N$13:N409)-SUM($T$13:T409),0)</f>
        <v>26822.070655737705</v>
      </c>
      <c r="R409" s="99">
        <f ca="1">Первоначальный[[#This Row],[Просроченный платеж по ОД]]+Первоначальный[[#This Row],[Просроченный платеж по процентам]]</f>
        <v>31853.700655737703</v>
      </c>
      <c r="S409" s="120">
        <f ca="1">IF(Первоначальный[[#This Row],[Просроченный платеж]]&lt;1,0,S408+1)</f>
        <v>305</v>
      </c>
      <c r="T409" s="100" cm="1">
        <f t="array" aca="1" ref="T409" ca="1">IF(Первоначальный[[#This Row],[Итого остаток на начало периода]]&lt;1,0,
IF(
AND(TYPE(VLOOKUP(1,$Z$12:Z409,1,0))=16,Первоначальный[[#This Row],[Досрочное погашение (да/"")]]=""),0,
_xlfn.IFS(AND(S408=0,Первоначальный[[#This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платеж]]&lt;&gt;0),MIN(LOOKUP(,-1/($Z$12:Z409=1),$C$12:C409)+LOOKUP(,-1/($Z$12:Z409=1),$H$12:H409),Первоначальный[[#This Row],[Полученный платеж]]+Y408),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платеж]]+Y408,SUM(Первоначальный[[#This Row],[Остаток процентов на начало периода]],Первоначальный[[#This Row],[Проценты за период]])),
AND(S408=0,Первоначальный[[#This Row],[Дата платежа из графика]]=""),0,
AND(S408=0,Первоначальный[[#This Row],[Дата платежа из графика]]=1,MAX((0&lt;&gt;S$12:S408)*ROW(S$12:S408),ROW($S$12))&gt;=MAX((1=Z$12:Z408)*ROW(Z$12:Z408),ROW($T$12)),TYPE(VLOOKUP("Да",(INDIRECT("AA"&amp;(MAX((1=Z$12:Z408)*ROW(Z$12:Z408),ROW($T$12))&amp;":AA"&amp;(ROW()-1)))),1,0))=16),MIN(LOOKUP(,-1/($Z$12:Z409=1),$C$12:C409)+LOOKUP(,-1/($Z$12:Z409=1),$H$12:H409),Первоначальный[[#This Row],[Полученный платеж]]+Y408),
AND(S408=0,TYPE(VLOOKUP("Да",(INDIRECT("AA"&amp;(MAX((1=Z$12:Z408)*ROW(Z$12:Z408),ROW($T$12))&amp;":AA"&amp;(ROW()-1)))),1,0))&lt;&gt;16),MIN(LOOKUP(,-1/($Z$12:Z409=1),$C$12:C409)+LOOKUP(,-1/($Z$12:Z409=1),$H$12:H409)-IF(AA408="Да",0,SUM(INDIRECT("T"&amp;(MAX(("Да"=AA$12:AA408)*ROW(AA$12:AA408)+1,ROW($T$12))&amp;":T"&amp;(ROW()-1))))),Первоначальный[[#This Row],[Полученный платеж]]+Y408),
AND(S408=0,MAX((0&lt;&gt;N$12:N408)*ROW(N$12:N408),ROW($S$12))&gt;=MAX((1=Z$12:Z408)*ROW(Z$12:Z408),ROW($T$12))),MIN(LOOKUP(,-1/($Z$12:Z409=1),$C$12:C409)+LOOKUP(,-1/($Z$12:Z409=1),$H$12:H409)-IF(N408&lt;&gt;0,0,SUM(INDIRECT("T"&amp;(MAX((0&lt;&gt;N$12:N408)*ROW(N$12:N408)+1,ROW($T$12))&amp;":T"&amp;(ROW()-1))))),Первоначальный[[#This Row],[Полученный платеж]]+Y408),
AND(S408=0,Первоначальный[[#This Row],[Дата платежа из графика]]=1),MIN(LOOKUP(,-1/($Z$12:Z409=1),$C$12:C409)+LOOKUP(,-1/($Z$12:Z409=1),$H$12:H409)-IF(Z408=1,0,SUM(INDIRECT("T"&amp;(MAX((1=Z$12:Z408)*ROW(Z$12:Z408)+1,ROW($T$12))&amp;":T"&amp;(ROW()-1))))),Первоначальный[[#This Row],[Полученный платеж]]+Y408),
AND(Z408&gt;0,Первоначальный[[#This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платеж]]+Y408),
AND(S408&gt;0,MAX((0&lt;&gt;S$12:S408)*ROW(S$12:S408),ROW($S$12))&gt;=MAX((1=Z$12:Z408)*ROW(Z$12:Z408),ROW($T$12)),TYPE(VLOOKUP("Да",(INDIRECT("AA"&amp;(MAX((1=Z$12:Z408)*ROW(Z$12:Z408),ROW($T$12))&amp;":AA"&amp;(ROW()-1)))),1,0))=16),MIN(LOOKUP(,-1/($Z$12:Z409=1),$C$12:C409)+LOOKUP(,-1/($Z$12:Z409=1),$H$12:H409)-SUM(INDIRECT("T"&amp;(MAX((1=Z$12:Z408)*ROW(Z$12:Z408),ROW($T$12))&amp;":T"&amp;(ROW()-1)))),Первоначальный[[#This Row],[Полученный платеж]]+Y408),
S408&gt;0,MIN(LOOKUP(,-1/($Z$12:Z409=1),$C$12:C409)+LOOKUP(,-1/($Z$12:Z409=1),$H$12:H409)-IF(Z408=1,0,SUM(INDIRECT("T"&amp;(MAX((1=Z$12:Z408)*ROW(Z$12:Z408)+1,ROW($T$12))&amp;":T"&amp;(ROW()-1))))),Первоначальный[[#This Row],[Полученный платеж]]+Y408)
)
)
)</f>
        <v>0</v>
      </c>
      <c r="U40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платеж]]+Y408-Первоначальный[[#This Row],[Полученный платёж по процентам]])</f>
        <v>0</v>
      </c>
      <c r="V409" s="55">
        <f t="shared" ca="1" si="73"/>
        <v>0</v>
      </c>
      <c r="W409" s="55" cm="1">
        <f t="array" aca="1" ref="W409" ca="1">IF(Первоначальный[[#This Row],[Итого остаток на начало периода]]&lt;1,0,
_xlfn.IFS(
AND(TYPE(VLOOKUP(1,$Z$12:Z409,1,0))=16,Первоначальный[[#This Row],[Досрочное погашение (да/"")]]=""),0,
AND(S408=0,Первоначальный[[#This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платеж]]+Y408-SUM(Первоначальный[[#This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комиссиям]]),VLOOKUP(LOOKUP(,-1/($Z$12:Z409=1),$A$12:A409),График[[Срок конец]:[Возврат основной суммы долга]],3,0)),
AND(S408=0,Первоначальный[[#This Row],[Дата платежа из графика]]="",Первоначальный[[#This Row],[Досрочное погашение (да/"")]]&lt;&gt;"Да"),0,
AND(S408=0,Первоначальный[[#This Row],[Досрочное погашение (да/"")]]=""),MIN(Первоначальный[[#This Row],[Полученный платеж]]+Y408-SUM(Первоначальный[[#This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комиссиям]]),VLOOKUP(LOOKUP(,-1/($Z$12:Z409=1),$A$12:A409),График[[Срок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платеж]]+Y408-SUM(Первоначальный[[#This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S408&gt;0,MIN(Первоначальный[[#This Row],[Полученный платеж]]+Y408-SUM(Первоначальный[[#This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комиссиям]]),SUM(INDIRECT("M"&amp;(MAX((1=S$12:S408)*ROW(S$12:S408),ROW($W$12))&amp;":M"&amp;(ROW()))))-SUM(INDIRECT("W"&amp;(MAX((1=S$12:S408)*ROW(S$12:S408),ROW($W$12))&amp;":W"&amp;(ROW()-1)))))
)
)</f>
        <v>0</v>
      </c>
      <c r="X409" s="55">
        <f t="shared" ca="1" si="74"/>
        <v>0</v>
      </c>
      <c r="Y409" s="101">
        <f t="shared" ca="1" si="81"/>
        <v>0</v>
      </c>
      <c r="Z409" s="133" t="str">
        <f>IF(TYPE((VLOOKUP(Первоначальный[[#This Row],[Дата платежа]],График[Срок конец],1,0)))=16,"",1)</f>
        <v/>
      </c>
      <c r="AA409" s="57"/>
      <c r="AB409" s="134"/>
      <c r="AC40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0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26902.089999999953</v>
      </c>
      <c r="AE40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414.39000000000044</v>
      </c>
      <c r="AF40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0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24531.793500000051</v>
      </c>
      <c r="AH409" s="55"/>
      <c r="AI409" s="55"/>
      <c r="AJ409" s="55"/>
      <c r="AK409" s="101">
        <f t="shared" ca="1" si="82"/>
        <v>201481.61350000001</v>
      </c>
      <c r="AL409" s="129">
        <f t="array" ref="AL409">MAX((УслРестрактов[Характеристика]="Дата реструктуризации")*(УслРестрактов[Значение]=Первоначальный!$A409),0)</f>
        <v>0</v>
      </c>
    </row>
    <row r="410" spans="1:38" x14ac:dyDescent="0.25">
      <c r="A410" s="97">
        <f t="shared" si="75"/>
        <v>44541</v>
      </c>
      <c r="B410" s="100">
        <f t="shared" ca="1" si="76"/>
        <v>149633.34</v>
      </c>
      <c r="C410" s="55">
        <f t="shared" ca="1" si="72"/>
        <v>26902.089999999953</v>
      </c>
      <c r="D410" s="55">
        <f t="shared" ca="1" si="72"/>
        <v>414.39000000000044</v>
      </c>
      <c r="E410" s="55">
        <f t="shared" ca="1" si="77"/>
        <v>0</v>
      </c>
      <c r="F410" s="55">
        <f t="shared" ca="1" si="78"/>
        <v>24531.793500000051</v>
      </c>
      <c r="G410" s="101">
        <f t="shared" ca="1" si="79"/>
        <v>201481.61350000001</v>
      </c>
      <c r="H410" s="100">
        <f ca="1">ROUND($B410*VLOOKUP($A410,$A$1:$B$10,2,1)/(365+IF(MOD(YEAR($A410),4),0,1)*($A410-$A409)),2)-Первоначальный[[#This Row],[Проценты на просроченный платеж по ОД за период]]</f>
        <v>78.84</v>
      </c>
      <c r="I410" s="55">
        <f t="shared" ca="1" si="80"/>
        <v>2.74</v>
      </c>
      <c r="J410" s="55">
        <v>0</v>
      </c>
      <c r="K410" s="55">
        <f t="shared" ca="1" si="83"/>
        <v>159.26850327868851</v>
      </c>
      <c r="L410" s="55">
        <v>0</v>
      </c>
      <c r="M410" s="113">
        <f>SUMIFS(График[Возврат основной суммы долга],График[Дата с учетом нерабочих дней],$A410)</f>
        <v>0</v>
      </c>
      <c r="N410" s="56">
        <f>SUMIFS(График[Возврат начисленных %],График[Дата с учетом нерабочих дней],$A410)</f>
        <v>0</v>
      </c>
      <c r="O410" s="101">
        <v>0</v>
      </c>
      <c r="P410" s="100" cm="1">
        <f t="array" aca="1" ref="P410" ca="1">MAX(IF(AA409="Да",0,SUM(INDIRECT("M"&amp;(MAX(("Да"=AA$12:AA409)*ROW(AA$12:AA409)+1,ROW($P$12))&amp;":M"&amp;(ROW()))))-SUM(INDIRECT("W"&amp;(MAX(("Да"=AA$12:AA409)*ROW(AA$12:AA409)+1,ROW($P$12))&amp;":W"&amp;(ROW()))))),0)</f>
        <v>5031.6299999999992</v>
      </c>
      <c r="Q410" s="99">
        <f ca="1">MAX(SUM($N$13:N410)-SUM($T$13:T410),0)</f>
        <v>26822.070655737705</v>
      </c>
      <c r="R410" s="99">
        <f ca="1">Первоначальный[[#This Row],[Просроченный платеж по ОД]]+Первоначальный[[#This Row],[Просроченный платеж по процентам]]</f>
        <v>31853.700655737703</v>
      </c>
      <c r="S410" s="120">
        <f ca="1">IF(Первоначальный[[#This Row],[Просроченный платеж]]&lt;1,0,S409+1)</f>
        <v>306</v>
      </c>
      <c r="T410" s="100" cm="1">
        <f t="array" aca="1" ref="T410" ca="1">IF(Первоначальный[[#This Row],[Итого остаток на начало периода]]&lt;1,0,
IF(
AND(TYPE(VLOOKUP(1,$Z$12:Z410,1,0))=16,Первоначальный[[#This Row],[Досрочное погашение (да/"")]]=""),0,
_xlfn.IFS(AND(S409=0,Первоначальный[[#This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платеж]]&lt;&gt;0),MIN(LOOKUP(,-1/($Z$12:Z410=1),$C$12:C410)+LOOKUP(,-1/($Z$12:Z410=1),$H$12:H410),Первоначальный[[#This Row],[Полученный платеж]]+Y409),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платеж]]+Y409,SUM(Первоначальный[[#This Row],[Остаток процентов на начало периода]],Первоначальный[[#This Row],[Проценты за период]])),
AND(S409=0,Первоначальный[[#This Row],[Дата платежа из графика]]=""),0,
AND(S409=0,Первоначальный[[#This Row],[Дата платежа из графика]]=1,MAX((0&lt;&gt;S$12:S409)*ROW(S$12:S409),ROW($S$12))&gt;=MAX((1=Z$12:Z409)*ROW(Z$12:Z409),ROW($T$12)),TYPE(VLOOKUP("Да",(INDIRECT("AA"&amp;(MAX((1=Z$12:Z409)*ROW(Z$12:Z409),ROW($T$12))&amp;":AA"&amp;(ROW()-1)))),1,0))=16),MIN(LOOKUP(,-1/($Z$12:Z410=1),$C$12:C410)+LOOKUP(,-1/($Z$12:Z410=1),$H$12:H410),Первоначальный[[#This Row],[Полученный платеж]]+Y409),
AND(S409=0,TYPE(VLOOKUP("Да",(INDIRECT("AA"&amp;(MAX((1=Z$12:Z409)*ROW(Z$12:Z409),ROW($T$12))&amp;":AA"&amp;(ROW()-1)))),1,0))&lt;&gt;16),MIN(LOOKUP(,-1/($Z$12:Z410=1),$C$12:C410)+LOOKUP(,-1/($Z$12:Z410=1),$H$12:H410)-IF(AA409="Да",0,SUM(INDIRECT("T"&amp;(MAX(("Да"=AA$12:AA409)*ROW(AA$12:AA409)+1,ROW($T$12))&amp;":T"&amp;(ROW()-1))))),Первоначальный[[#This Row],[Полученный платеж]]+Y409),
AND(S409=0,MAX((0&lt;&gt;N$12:N409)*ROW(N$12:N409),ROW($S$12))&gt;=MAX((1=Z$12:Z409)*ROW(Z$12:Z409),ROW($T$12))),MIN(LOOKUP(,-1/($Z$12:Z410=1),$C$12:C410)+LOOKUP(,-1/($Z$12:Z410=1),$H$12:H410)-IF(N409&lt;&gt;0,0,SUM(INDIRECT("T"&amp;(MAX((0&lt;&gt;N$12:N409)*ROW(N$12:N409)+1,ROW($T$12))&amp;":T"&amp;(ROW()-1))))),Первоначальный[[#This Row],[Полученный платеж]]+Y409),
AND(S409=0,Первоначальный[[#This Row],[Дата платежа из графика]]=1),MIN(LOOKUP(,-1/($Z$12:Z410=1),$C$12:C410)+LOOKUP(,-1/($Z$12:Z410=1),$H$12:H410)-IF(Z409=1,0,SUM(INDIRECT("T"&amp;(MAX((1=Z$12:Z409)*ROW(Z$12:Z409)+1,ROW($T$12))&amp;":T"&amp;(ROW()-1))))),Первоначальный[[#This Row],[Полученный платеж]]+Y409),
AND(Z409&gt;0,Первоначальный[[#This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платеж]]+Y409),
AND(S409&gt;0,MAX((0&lt;&gt;S$12:S409)*ROW(S$12:S409),ROW($S$12))&gt;=MAX((1=Z$12:Z409)*ROW(Z$12:Z409),ROW($T$12)),TYPE(VLOOKUP("Да",(INDIRECT("AA"&amp;(MAX((1=Z$12:Z409)*ROW(Z$12:Z409),ROW($T$12))&amp;":AA"&amp;(ROW()-1)))),1,0))=16),MIN(LOOKUP(,-1/($Z$12:Z410=1),$C$12:C410)+LOOKUP(,-1/($Z$12:Z410=1),$H$12:H410)-SUM(INDIRECT("T"&amp;(MAX((1=Z$12:Z409)*ROW(Z$12:Z409),ROW($T$12))&amp;":T"&amp;(ROW()-1)))),Первоначальный[[#This Row],[Полученный платеж]]+Y409),
S409&gt;0,MIN(LOOKUP(,-1/($Z$12:Z410=1),$C$12:C410)+LOOKUP(,-1/($Z$12:Z410=1),$H$12:H410)-IF(Z409=1,0,SUM(INDIRECT("T"&amp;(MAX((1=Z$12:Z409)*ROW(Z$12:Z409)+1,ROW($T$12))&amp;":T"&amp;(ROW()-1))))),Первоначальный[[#This Row],[Полученный платеж]]+Y409)
)
)
)</f>
        <v>0</v>
      </c>
      <c r="U41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платеж]]+Y409-Первоначальный[[#This Row],[Полученный платёж по процентам]])</f>
        <v>0</v>
      </c>
      <c r="V410" s="55">
        <f t="shared" ca="1" si="73"/>
        <v>0</v>
      </c>
      <c r="W410" s="55" cm="1">
        <f t="array" aca="1" ref="W410" ca="1">IF(Первоначальный[[#This Row],[Итого остаток на начало периода]]&lt;1,0,
_xlfn.IFS(
AND(TYPE(VLOOKUP(1,$Z$12:Z410,1,0))=16,Первоначальный[[#This Row],[Досрочное погашение (да/"")]]=""),0,
AND(S409=0,Первоначальный[[#This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платеж]]+Y409-SUM(Первоначальный[[#This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комиссиям]]),VLOOKUP(LOOKUP(,-1/($Z$12:Z410=1),$A$12:A410),График[[Срок конец]:[Возврат основной суммы долга]],3,0)),
AND(S409=0,Первоначальный[[#This Row],[Дата платежа из графика]]="",Первоначальный[[#This Row],[Досрочное погашение (да/"")]]&lt;&gt;"Да"),0,
AND(S409=0,Первоначальный[[#This Row],[Досрочное погашение (да/"")]]=""),MIN(Первоначальный[[#This Row],[Полученный платеж]]+Y409-SUM(Первоначальный[[#This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комиссиям]]),VLOOKUP(LOOKUP(,-1/($Z$12:Z410=1),$A$12:A410),График[[Срок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платеж]]+Y409-SUM(Первоначальный[[#This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S409&gt;0,MIN(Первоначальный[[#This Row],[Полученный платеж]]+Y409-SUM(Первоначальный[[#This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комиссиям]]),SUM(INDIRECT("M"&amp;(MAX((1=S$12:S409)*ROW(S$12:S409),ROW($W$12))&amp;":M"&amp;(ROW()))))-SUM(INDIRECT("W"&amp;(MAX((1=S$12:S409)*ROW(S$12:S409),ROW($W$12))&amp;":W"&amp;(ROW()-1)))))
)
)</f>
        <v>0</v>
      </c>
      <c r="X410" s="55">
        <f t="shared" ca="1" si="74"/>
        <v>0</v>
      </c>
      <c r="Y410" s="101">
        <f t="shared" ca="1" si="81"/>
        <v>0</v>
      </c>
      <c r="Z410" s="133" t="str">
        <f>IF(TYPE((VLOOKUP(Первоначальный[[#This Row],[Дата платежа]],График[Срок конец],1,0)))=16,"",1)</f>
        <v/>
      </c>
      <c r="AA410" s="57"/>
      <c r="AB410" s="134"/>
      <c r="AC41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1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26980.929999999953</v>
      </c>
      <c r="AE41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417.13000000000045</v>
      </c>
      <c r="AF41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1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24691.062003278741</v>
      </c>
      <c r="AH410" s="55"/>
      <c r="AI410" s="55"/>
      <c r="AJ410" s="55"/>
      <c r="AK410" s="101">
        <f t="shared" ca="1" si="82"/>
        <v>201722.46200327872</v>
      </c>
      <c r="AL410" s="129">
        <f t="array" ref="AL410">MAX((УслРестрактов[Характеристика]="Дата реструктуризации")*(УслРестрактов[Значение]=Первоначальный!$A410),0)</f>
        <v>0</v>
      </c>
    </row>
    <row r="411" spans="1:38" x14ac:dyDescent="0.25">
      <c r="A411" s="97">
        <f t="shared" si="75"/>
        <v>44542</v>
      </c>
      <c r="B411" s="100">
        <f t="shared" ca="1" si="76"/>
        <v>149633.34</v>
      </c>
      <c r="C411" s="55">
        <f t="shared" ca="1" si="72"/>
        <v>26980.929999999953</v>
      </c>
      <c r="D411" s="55">
        <f t="shared" ca="1" si="72"/>
        <v>417.13000000000045</v>
      </c>
      <c r="E411" s="55">
        <f t="shared" ca="1" si="77"/>
        <v>0</v>
      </c>
      <c r="F411" s="55">
        <f t="shared" ca="1" si="78"/>
        <v>24691.062003278741</v>
      </c>
      <c r="G411" s="101">
        <f t="shared" ca="1" si="79"/>
        <v>201722.46200327872</v>
      </c>
      <c r="H411" s="100">
        <f ca="1">ROUND($B411*VLOOKUP($A411,$A$1:$B$10,2,1)/(365+IF(MOD(YEAR($A411),4),0,1)*($A411-$A410)),2)-Первоначальный[[#This Row],[Проценты на просроченный платеж по ОД за период]]</f>
        <v>78.84</v>
      </c>
      <c r="I411" s="55">
        <f t="shared" ca="1" si="80"/>
        <v>2.74</v>
      </c>
      <c r="J411" s="55">
        <v>0</v>
      </c>
      <c r="K411" s="55">
        <f t="shared" ca="1" si="83"/>
        <v>159.26850327868851</v>
      </c>
      <c r="L411" s="55">
        <v>0</v>
      </c>
      <c r="M411" s="113">
        <f>SUMIFS(График[Возврат основной суммы долга],График[Дата с учетом нерабочих дней],$A411)</f>
        <v>0</v>
      </c>
      <c r="N411" s="56">
        <f>SUMIFS(График[Возврат начисленных %],График[Дата с учетом нерабочих дней],$A411)</f>
        <v>0</v>
      </c>
      <c r="O411" s="101">
        <v>0</v>
      </c>
      <c r="P411" s="100" cm="1">
        <f t="array" aca="1" ref="P411" ca="1">MAX(IF(AA410="Да",0,SUM(INDIRECT("M"&amp;(MAX(("Да"=AA$12:AA410)*ROW(AA$12:AA410)+1,ROW($P$12))&amp;":M"&amp;(ROW()))))-SUM(INDIRECT("W"&amp;(MAX(("Да"=AA$12:AA410)*ROW(AA$12:AA410)+1,ROW($P$12))&amp;":W"&amp;(ROW()))))),0)</f>
        <v>5031.6299999999992</v>
      </c>
      <c r="Q411" s="99">
        <f ca="1">MAX(SUM($N$13:N411)-SUM($T$13:T411),0)</f>
        <v>26822.070655737705</v>
      </c>
      <c r="R411" s="99">
        <f ca="1">Первоначальный[[#This Row],[Просроченный платеж по ОД]]+Первоначальный[[#This Row],[Просроченный платеж по процентам]]</f>
        <v>31853.700655737703</v>
      </c>
      <c r="S411" s="120">
        <f ca="1">IF(Первоначальный[[#This Row],[Просроченный платеж]]&lt;1,0,S410+1)</f>
        <v>307</v>
      </c>
      <c r="T411" s="100" cm="1">
        <f t="array" aca="1" ref="T411" ca="1">IF(Первоначальный[[#This Row],[Итого остаток на начало периода]]&lt;1,0,
IF(
AND(TYPE(VLOOKUP(1,$Z$12:Z411,1,0))=16,Первоначальный[[#This Row],[Досрочное погашение (да/"")]]=""),0,
_xlfn.IFS(AND(S410=0,Первоначальный[[#This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платеж]]&lt;&gt;0),MIN(LOOKUP(,-1/($Z$12:Z411=1),$C$12:C411)+LOOKUP(,-1/($Z$12:Z411=1),$H$12:H411),Первоначальный[[#This Row],[Полученный платеж]]+Y410),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платеж]]+Y410,SUM(Первоначальный[[#This Row],[Остаток процентов на начало периода]],Первоначальный[[#This Row],[Проценты за период]])),
AND(S410=0,Первоначальный[[#This Row],[Дата платежа из графика]]=""),0,
AND(S410=0,Первоначальный[[#This Row],[Дата платежа из графика]]=1,MAX((0&lt;&gt;S$12:S410)*ROW(S$12:S410),ROW($S$12))&gt;=MAX((1=Z$12:Z410)*ROW(Z$12:Z410),ROW($T$12)),TYPE(VLOOKUP("Да",(INDIRECT("AA"&amp;(MAX((1=Z$12:Z410)*ROW(Z$12:Z410),ROW($T$12))&amp;":AA"&amp;(ROW()-1)))),1,0))=16),MIN(LOOKUP(,-1/($Z$12:Z411=1),$C$12:C411)+LOOKUP(,-1/($Z$12:Z411=1),$H$12:H411),Первоначальный[[#This Row],[Полученный платеж]]+Y410),
AND(S410=0,TYPE(VLOOKUP("Да",(INDIRECT("AA"&amp;(MAX((1=Z$12:Z410)*ROW(Z$12:Z410),ROW($T$12))&amp;":AA"&amp;(ROW()-1)))),1,0))&lt;&gt;16),MIN(LOOKUP(,-1/($Z$12:Z411=1),$C$12:C411)+LOOKUP(,-1/($Z$12:Z411=1),$H$12:H411)-IF(AA410="Да",0,SUM(INDIRECT("T"&amp;(MAX(("Да"=AA$12:AA410)*ROW(AA$12:AA410)+1,ROW($T$12))&amp;":T"&amp;(ROW()-1))))),Первоначальный[[#This Row],[Полученный платеж]]+Y410),
AND(S410=0,MAX((0&lt;&gt;N$12:N410)*ROW(N$12:N410),ROW($S$12))&gt;=MAX((1=Z$12:Z410)*ROW(Z$12:Z410),ROW($T$12))),MIN(LOOKUP(,-1/($Z$12:Z411=1),$C$12:C411)+LOOKUP(,-1/($Z$12:Z411=1),$H$12:H411)-IF(N410&lt;&gt;0,0,SUM(INDIRECT("T"&amp;(MAX((0&lt;&gt;N$12:N410)*ROW(N$12:N410)+1,ROW($T$12))&amp;":T"&amp;(ROW()-1))))),Первоначальный[[#This Row],[Полученный платеж]]+Y410),
AND(S410=0,Первоначальный[[#This Row],[Дата платежа из графика]]=1),MIN(LOOKUP(,-1/($Z$12:Z411=1),$C$12:C411)+LOOKUP(,-1/($Z$12:Z411=1),$H$12:H411)-IF(Z410=1,0,SUM(INDIRECT("T"&amp;(MAX((1=Z$12:Z410)*ROW(Z$12:Z410)+1,ROW($T$12))&amp;":T"&amp;(ROW()-1))))),Первоначальный[[#This Row],[Полученный платеж]]+Y410),
AND(Z410&gt;0,Первоначальный[[#This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платеж]]+Y410),
AND(S410&gt;0,MAX((0&lt;&gt;S$12:S410)*ROW(S$12:S410),ROW($S$12))&gt;=MAX((1=Z$12:Z410)*ROW(Z$12:Z410),ROW($T$12)),TYPE(VLOOKUP("Да",(INDIRECT("AA"&amp;(MAX((1=Z$12:Z410)*ROW(Z$12:Z410),ROW($T$12))&amp;":AA"&amp;(ROW()-1)))),1,0))=16),MIN(LOOKUP(,-1/($Z$12:Z411=1),$C$12:C411)+LOOKUP(,-1/($Z$12:Z411=1),$H$12:H411)-SUM(INDIRECT("T"&amp;(MAX((1=Z$12:Z410)*ROW(Z$12:Z410),ROW($T$12))&amp;":T"&amp;(ROW()-1)))),Первоначальный[[#This Row],[Полученный платеж]]+Y410),
S410&gt;0,MIN(LOOKUP(,-1/($Z$12:Z411=1),$C$12:C411)+LOOKUP(,-1/($Z$12:Z411=1),$H$12:H411)-IF(Z410=1,0,SUM(INDIRECT("T"&amp;(MAX((1=Z$12:Z410)*ROW(Z$12:Z410)+1,ROW($T$12))&amp;":T"&amp;(ROW()-1))))),Первоначальный[[#This Row],[Полученный платеж]]+Y410)
)
)
)</f>
        <v>0</v>
      </c>
      <c r="U41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платеж]]+Y410-Первоначальный[[#This Row],[Полученный платёж по процентам]])</f>
        <v>0</v>
      </c>
      <c r="V411" s="55">
        <f t="shared" ca="1" si="73"/>
        <v>0</v>
      </c>
      <c r="W411" s="55" cm="1">
        <f t="array" aca="1" ref="W411" ca="1">IF(Первоначальный[[#This Row],[Итого остаток на начало периода]]&lt;1,0,
_xlfn.IFS(
AND(TYPE(VLOOKUP(1,$Z$12:Z411,1,0))=16,Первоначальный[[#This Row],[Досрочное погашение (да/"")]]=""),0,
AND(S410=0,Первоначальный[[#This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платеж]]+Y410-SUM(Первоначальный[[#This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комиссиям]]),VLOOKUP(LOOKUP(,-1/($Z$12:Z411=1),$A$12:A411),График[[Срок конец]:[Возврат основной суммы долга]],3,0)),
AND(S410=0,Первоначальный[[#This Row],[Дата платежа из графика]]="",Первоначальный[[#This Row],[Досрочное погашение (да/"")]]&lt;&gt;"Да"),0,
AND(S410=0,Первоначальный[[#This Row],[Досрочное погашение (да/"")]]=""),MIN(Первоначальный[[#This Row],[Полученный платеж]]+Y410-SUM(Первоначальный[[#This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комиссиям]]),VLOOKUP(LOOKUP(,-1/($Z$12:Z411=1),$A$12:A411),График[[Срок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платеж]]+Y410-SUM(Первоначальный[[#This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S410&gt;0,MIN(Первоначальный[[#This Row],[Полученный платеж]]+Y410-SUM(Первоначальный[[#This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комиссиям]]),SUM(INDIRECT("M"&amp;(MAX((1=S$12:S410)*ROW(S$12:S410),ROW($W$12))&amp;":M"&amp;(ROW()))))-SUM(INDIRECT("W"&amp;(MAX((1=S$12:S410)*ROW(S$12:S410),ROW($W$12))&amp;":W"&amp;(ROW()-1)))))
)
)</f>
        <v>0</v>
      </c>
      <c r="X411" s="55">
        <f t="shared" ca="1" si="74"/>
        <v>0</v>
      </c>
      <c r="Y411" s="101">
        <f t="shared" ca="1" si="81"/>
        <v>0</v>
      </c>
      <c r="Z411" s="133" t="str">
        <f>IF(TYPE((VLOOKUP(Первоначальный[[#This Row],[Дата платежа]],График[Срок конец],1,0)))=16,"",1)</f>
        <v/>
      </c>
      <c r="AA411" s="57"/>
      <c r="AB411" s="134"/>
      <c r="AC41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1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27059.769999999953</v>
      </c>
      <c r="AE41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419.87000000000046</v>
      </c>
      <c r="AF41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1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24850.330506557431</v>
      </c>
      <c r="AH411" s="55"/>
      <c r="AI411" s="55"/>
      <c r="AJ411" s="55"/>
      <c r="AK411" s="101">
        <f t="shared" ca="1" si="82"/>
        <v>201963.31050655738</v>
      </c>
      <c r="AL411" s="129">
        <f t="array" ref="AL411">MAX((УслРестрактов[Характеристика]="Дата реструктуризации")*(УслРестрактов[Значение]=Первоначальный!$A411),0)</f>
        <v>0</v>
      </c>
    </row>
    <row r="412" spans="1:38" x14ac:dyDescent="0.25">
      <c r="A412" s="97">
        <f t="shared" si="75"/>
        <v>44543</v>
      </c>
      <c r="B412" s="100">
        <f t="shared" ca="1" si="76"/>
        <v>149633.34</v>
      </c>
      <c r="C412" s="55">
        <f t="shared" ca="1" si="72"/>
        <v>27059.769999999953</v>
      </c>
      <c r="D412" s="55">
        <f t="shared" ca="1" si="72"/>
        <v>419.87000000000046</v>
      </c>
      <c r="E412" s="55">
        <f t="shared" ca="1" si="77"/>
        <v>0</v>
      </c>
      <c r="F412" s="55">
        <f t="shared" ca="1" si="78"/>
        <v>24850.330506557431</v>
      </c>
      <c r="G412" s="101">
        <f t="shared" ca="1" si="79"/>
        <v>201963.31050655738</v>
      </c>
      <c r="H412" s="100">
        <f ca="1">ROUND($B412*VLOOKUP($A412,$A$1:$B$10,2,1)/(365+IF(MOD(YEAR($A412),4),0,1)*($A412-$A411)),2)-Первоначальный[[#This Row],[Проценты на просроченный платеж по ОД за период]]</f>
        <v>78.84</v>
      </c>
      <c r="I412" s="55">
        <f t="shared" ca="1" si="80"/>
        <v>2.74</v>
      </c>
      <c r="J412" s="55">
        <v>0</v>
      </c>
      <c r="K412" s="55">
        <f t="shared" ca="1" si="83"/>
        <v>159.26850327868851</v>
      </c>
      <c r="L412" s="55">
        <v>0</v>
      </c>
      <c r="M412" s="113">
        <f>SUMIFS(График[Возврат основной суммы долга],График[Дата с учетом нерабочих дней],$A412)</f>
        <v>0</v>
      </c>
      <c r="N412" s="56">
        <f>SUMIFS(График[Возврат начисленных %],График[Дата с учетом нерабочих дней],$A412)</f>
        <v>0</v>
      </c>
      <c r="O412" s="101">
        <v>0</v>
      </c>
      <c r="P412" s="100" cm="1">
        <f t="array" aca="1" ref="P412" ca="1">MAX(IF(AA411="Да",0,SUM(INDIRECT("M"&amp;(MAX(("Да"=AA$12:AA411)*ROW(AA$12:AA411)+1,ROW($P$12))&amp;":M"&amp;(ROW()))))-SUM(INDIRECT("W"&amp;(MAX(("Да"=AA$12:AA411)*ROW(AA$12:AA411)+1,ROW($P$12))&amp;":W"&amp;(ROW()))))),0)</f>
        <v>5031.6299999999992</v>
      </c>
      <c r="Q412" s="99">
        <f ca="1">MAX(SUM($N$13:N412)-SUM($T$13:T412),0)</f>
        <v>26822.070655737705</v>
      </c>
      <c r="R412" s="99">
        <f ca="1">Первоначальный[[#This Row],[Просроченный платеж по ОД]]+Первоначальный[[#This Row],[Просроченный платеж по процентам]]</f>
        <v>31853.700655737703</v>
      </c>
      <c r="S412" s="120">
        <f ca="1">IF(Первоначальный[[#This Row],[Просроченный платеж]]&lt;1,0,S411+1)</f>
        <v>308</v>
      </c>
      <c r="T412" s="100" cm="1">
        <f t="array" aca="1" ref="T412" ca="1">IF(Первоначальный[[#This Row],[Итого остаток на начало периода]]&lt;1,0,
IF(
AND(TYPE(VLOOKUP(1,$Z$12:Z412,1,0))=16,Первоначальный[[#This Row],[Досрочное погашение (да/"")]]=""),0,
_xlfn.IFS(AND(S411=0,Первоначальный[[#This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платеж]]&lt;&gt;0),MIN(LOOKUP(,-1/($Z$12:Z412=1),$C$12:C412)+LOOKUP(,-1/($Z$12:Z412=1),$H$12:H412),Первоначальный[[#This Row],[Полученный платеж]]+Y411),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платеж]]+Y411,SUM(Первоначальный[[#This Row],[Остаток процентов на начало периода]],Первоначальный[[#This Row],[Проценты за период]])),
AND(S411=0,Первоначальный[[#This Row],[Дата платежа из графика]]=""),0,
AND(S411=0,Первоначальный[[#This Row],[Дата платежа из графика]]=1,MAX((0&lt;&gt;S$12:S411)*ROW(S$12:S411),ROW($S$12))&gt;=MAX((1=Z$12:Z411)*ROW(Z$12:Z411),ROW($T$12)),TYPE(VLOOKUP("Да",(INDIRECT("AA"&amp;(MAX((1=Z$12:Z411)*ROW(Z$12:Z411),ROW($T$12))&amp;":AA"&amp;(ROW()-1)))),1,0))=16),MIN(LOOKUP(,-1/($Z$12:Z412=1),$C$12:C412)+LOOKUP(,-1/($Z$12:Z412=1),$H$12:H412),Первоначальный[[#This Row],[Полученный платеж]]+Y411),
AND(S411=0,TYPE(VLOOKUP("Да",(INDIRECT("AA"&amp;(MAX((1=Z$12:Z411)*ROW(Z$12:Z411),ROW($T$12))&amp;":AA"&amp;(ROW()-1)))),1,0))&lt;&gt;16),MIN(LOOKUP(,-1/($Z$12:Z412=1),$C$12:C412)+LOOKUP(,-1/($Z$12:Z412=1),$H$12:H412)-IF(AA411="Да",0,SUM(INDIRECT("T"&amp;(MAX(("Да"=AA$12:AA411)*ROW(AA$12:AA411)+1,ROW($T$12))&amp;":T"&amp;(ROW()-1))))),Первоначальный[[#This Row],[Полученный платеж]]+Y411),
AND(S411=0,MAX((0&lt;&gt;N$12:N411)*ROW(N$12:N411),ROW($S$12))&gt;=MAX((1=Z$12:Z411)*ROW(Z$12:Z411),ROW($T$12))),MIN(LOOKUP(,-1/($Z$12:Z412=1),$C$12:C412)+LOOKUP(,-1/($Z$12:Z412=1),$H$12:H412)-IF(N411&lt;&gt;0,0,SUM(INDIRECT("T"&amp;(MAX((0&lt;&gt;N$12:N411)*ROW(N$12:N411)+1,ROW($T$12))&amp;":T"&amp;(ROW()-1))))),Первоначальный[[#This Row],[Полученный платеж]]+Y411),
AND(S411=0,Первоначальный[[#This Row],[Дата платежа из графика]]=1),MIN(LOOKUP(,-1/($Z$12:Z412=1),$C$12:C412)+LOOKUP(,-1/($Z$12:Z412=1),$H$12:H412)-IF(Z411=1,0,SUM(INDIRECT("T"&amp;(MAX((1=Z$12:Z411)*ROW(Z$12:Z411)+1,ROW($T$12))&amp;":T"&amp;(ROW()-1))))),Первоначальный[[#This Row],[Полученный платеж]]+Y411),
AND(Z411&gt;0,Первоначальный[[#This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платеж]]+Y411),
AND(S411&gt;0,MAX((0&lt;&gt;S$12:S411)*ROW(S$12:S411),ROW($S$12))&gt;=MAX((1=Z$12:Z411)*ROW(Z$12:Z411),ROW($T$12)),TYPE(VLOOKUP("Да",(INDIRECT("AA"&amp;(MAX((1=Z$12:Z411)*ROW(Z$12:Z411),ROW($T$12))&amp;":AA"&amp;(ROW()-1)))),1,0))=16),MIN(LOOKUP(,-1/($Z$12:Z412=1),$C$12:C412)+LOOKUP(,-1/($Z$12:Z412=1),$H$12:H412)-SUM(INDIRECT("T"&amp;(MAX((1=Z$12:Z411)*ROW(Z$12:Z411),ROW($T$12))&amp;":T"&amp;(ROW()-1)))),Первоначальный[[#This Row],[Полученный платеж]]+Y411),
S411&gt;0,MIN(LOOKUP(,-1/($Z$12:Z412=1),$C$12:C412)+LOOKUP(,-1/($Z$12:Z412=1),$H$12:H412)-IF(Z411=1,0,SUM(INDIRECT("T"&amp;(MAX((1=Z$12:Z411)*ROW(Z$12:Z411)+1,ROW($T$12))&amp;":T"&amp;(ROW()-1))))),Первоначальный[[#This Row],[Полученный платеж]]+Y411)
)
)
)</f>
        <v>0</v>
      </c>
      <c r="U41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платеж]]+Y411-Первоначальный[[#This Row],[Полученный платёж по процентам]])</f>
        <v>0</v>
      </c>
      <c r="V412" s="55">
        <f t="shared" ca="1" si="73"/>
        <v>0</v>
      </c>
      <c r="W412" s="55" cm="1">
        <f t="array" aca="1" ref="W412" ca="1">IF(Первоначальный[[#This Row],[Итого остаток на начало периода]]&lt;1,0,
_xlfn.IFS(
AND(TYPE(VLOOKUP(1,$Z$12:Z412,1,0))=16,Первоначальный[[#This Row],[Досрочное погашение (да/"")]]=""),0,
AND(S411=0,Первоначальный[[#This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платеж]]+Y411-SUM(Первоначальный[[#This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комиссиям]]),VLOOKUP(LOOKUP(,-1/($Z$12:Z412=1),$A$12:A412),График[[Срок конец]:[Возврат основной суммы долга]],3,0)),
AND(S411=0,Первоначальный[[#This Row],[Дата платежа из графика]]="",Первоначальный[[#This Row],[Досрочное погашение (да/"")]]&lt;&gt;"Да"),0,
AND(S411=0,Первоначальный[[#This Row],[Досрочное погашение (да/"")]]=""),MIN(Первоначальный[[#This Row],[Полученный платеж]]+Y411-SUM(Первоначальный[[#This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комиссиям]]),VLOOKUP(LOOKUP(,-1/($Z$12:Z412=1),$A$12:A412),График[[Срок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платеж]]+Y411-SUM(Первоначальный[[#This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S411&gt;0,MIN(Первоначальный[[#This Row],[Полученный платеж]]+Y411-SUM(Первоначальный[[#This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комиссиям]]),SUM(INDIRECT("M"&amp;(MAX((1=S$12:S411)*ROW(S$12:S411),ROW($W$12))&amp;":M"&amp;(ROW()))))-SUM(INDIRECT("W"&amp;(MAX((1=S$12:S411)*ROW(S$12:S411),ROW($W$12))&amp;":W"&amp;(ROW()-1)))))
)
)</f>
        <v>0</v>
      </c>
      <c r="X412" s="55">
        <f t="shared" ca="1" si="74"/>
        <v>0</v>
      </c>
      <c r="Y412" s="101">
        <f t="shared" ca="1" si="81"/>
        <v>0</v>
      </c>
      <c r="Z412" s="133" t="str">
        <f>IF(TYPE((VLOOKUP(Первоначальный[[#This Row],[Дата платежа]],График[Срок конец],1,0)))=16,"",1)</f>
        <v/>
      </c>
      <c r="AA412" s="57"/>
      <c r="AB412" s="134"/>
      <c r="AC41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1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27138.609999999953</v>
      </c>
      <c r="AE41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422.61000000000047</v>
      </c>
      <c r="AF41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1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25009.599009836122</v>
      </c>
      <c r="AH412" s="55"/>
      <c r="AI412" s="55"/>
      <c r="AJ412" s="55"/>
      <c r="AK412" s="101">
        <f t="shared" ca="1" si="82"/>
        <v>202204.15900983606</v>
      </c>
      <c r="AL412" s="129">
        <f t="array" ref="AL412">MAX((УслРестрактов[Характеристика]="Дата реструктуризации")*(УслРестрактов[Значение]=Первоначальный!$A412),0)</f>
        <v>0</v>
      </c>
    </row>
    <row r="413" spans="1:38" x14ac:dyDescent="0.25">
      <c r="A413" s="97">
        <f t="shared" si="75"/>
        <v>44544</v>
      </c>
      <c r="B413" s="100">
        <f t="shared" ca="1" si="76"/>
        <v>149633.34</v>
      </c>
      <c r="C413" s="55">
        <f t="shared" ref="C413:D476" ca="1" si="84">AD412+AI412</f>
        <v>27138.609999999953</v>
      </c>
      <c r="D413" s="55">
        <f t="shared" ca="1" si="84"/>
        <v>422.61000000000047</v>
      </c>
      <c r="E413" s="55">
        <f t="shared" ca="1" si="77"/>
        <v>0</v>
      </c>
      <c r="F413" s="55">
        <f t="shared" ca="1" si="78"/>
        <v>25009.599009836122</v>
      </c>
      <c r="G413" s="101">
        <f t="shared" ca="1" si="79"/>
        <v>202204.15900983606</v>
      </c>
      <c r="H413" s="100">
        <f ca="1">ROUND($B413*VLOOKUP($A413,$A$1:$B$10,2,1)/(365+IF(MOD(YEAR($A413),4),0,1)*($A413-$A412)),2)-Первоначальный[[#This Row],[Проценты на просроченный платеж по ОД за период]]</f>
        <v>78.84</v>
      </c>
      <c r="I413" s="55">
        <f t="shared" ca="1" si="80"/>
        <v>2.74</v>
      </c>
      <c r="J413" s="55">
        <v>0</v>
      </c>
      <c r="K413" s="55">
        <f t="shared" ca="1" si="83"/>
        <v>159.26850327868851</v>
      </c>
      <c r="L413" s="55">
        <v>0</v>
      </c>
      <c r="M413" s="113">
        <f>SUMIFS(График[Возврат основной суммы долга],График[Дата с учетом нерабочих дней],$A413)</f>
        <v>0</v>
      </c>
      <c r="N413" s="56">
        <f>SUMIFS(График[Возврат начисленных %],График[Дата с учетом нерабочих дней],$A413)</f>
        <v>0</v>
      </c>
      <c r="O413" s="101">
        <v>0</v>
      </c>
      <c r="P413" s="100" cm="1">
        <f t="array" aca="1" ref="P413" ca="1">MAX(IF(AA412="Да",0,SUM(INDIRECT("M"&amp;(MAX(("Да"=AA$12:AA412)*ROW(AA$12:AA412)+1,ROW($P$12))&amp;":M"&amp;(ROW()))))-SUM(INDIRECT("W"&amp;(MAX(("Да"=AA$12:AA412)*ROW(AA$12:AA412)+1,ROW($P$12))&amp;":W"&amp;(ROW()))))),0)</f>
        <v>5031.6299999999992</v>
      </c>
      <c r="Q413" s="99">
        <f ca="1">MAX(SUM($N$13:N413)-SUM($T$13:T413),0)</f>
        <v>26822.070655737705</v>
      </c>
      <c r="R413" s="99">
        <f ca="1">Первоначальный[[#This Row],[Просроченный платеж по ОД]]+Первоначальный[[#This Row],[Просроченный платеж по процентам]]</f>
        <v>31853.700655737703</v>
      </c>
      <c r="S413" s="120">
        <f ca="1">IF(Первоначальный[[#This Row],[Просроченный платеж]]&lt;1,0,S412+1)</f>
        <v>309</v>
      </c>
      <c r="T413" s="100" cm="1">
        <f t="array" aca="1" ref="T413" ca="1">IF(Первоначальный[[#This Row],[Итого остаток на начало периода]]&lt;1,0,
IF(
AND(TYPE(VLOOKUP(1,$Z$12:Z413,1,0))=16,Первоначальный[[#This Row],[Досрочное погашение (да/"")]]=""),0,
_xlfn.IFS(AND(S412=0,Первоначальный[[#This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платеж]]&lt;&gt;0),MIN(LOOKUP(,-1/($Z$12:Z413=1),$C$12:C413)+LOOKUP(,-1/($Z$12:Z413=1),$H$12:H413),Первоначальный[[#This Row],[Полученный платеж]]+Y412),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платеж]]+Y412,SUM(Первоначальный[[#This Row],[Остаток процентов на начало периода]],Первоначальный[[#This Row],[Проценты за период]])),
AND(S412=0,Первоначальный[[#This Row],[Дата платежа из графика]]=""),0,
AND(S412=0,Первоначальный[[#This Row],[Дата платежа из графика]]=1,MAX((0&lt;&gt;S$12:S412)*ROW(S$12:S412),ROW($S$12))&gt;=MAX((1=Z$12:Z412)*ROW(Z$12:Z412),ROW($T$12)),TYPE(VLOOKUP("Да",(INDIRECT("AA"&amp;(MAX((1=Z$12:Z412)*ROW(Z$12:Z412),ROW($T$12))&amp;":AA"&amp;(ROW()-1)))),1,0))=16),MIN(LOOKUP(,-1/($Z$12:Z413=1),$C$12:C413)+LOOKUP(,-1/($Z$12:Z413=1),$H$12:H413),Первоначальный[[#This Row],[Полученный платеж]]+Y412),
AND(S412=0,TYPE(VLOOKUP("Да",(INDIRECT("AA"&amp;(MAX((1=Z$12:Z412)*ROW(Z$12:Z412),ROW($T$12))&amp;":AA"&amp;(ROW()-1)))),1,0))&lt;&gt;16),MIN(LOOKUP(,-1/($Z$12:Z413=1),$C$12:C413)+LOOKUP(,-1/($Z$12:Z413=1),$H$12:H413)-IF(AA412="Да",0,SUM(INDIRECT("T"&amp;(MAX(("Да"=AA$12:AA412)*ROW(AA$12:AA412)+1,ROW($T$12))&amp;":T"&amp;(ROW()-1))))),Первоначальный[[#This Row],[Полученный платеж]]+Y412),
AND(S412=0,MAX((0&lt;&gt;N$12:N412)*ROW(N$12:N412),ROW($S$12))&gt;=MAX((1=Z$12:Z412)*ROW(Z$12:Z412),ROW($T$12))),MIN(LOOKUP(,-1/($Z$12:Z413=1),$C$12:C413)+LOOKUP(,-1/($Z$12:Z413=1),$H$12:H413)-IF(N412&lt;&gt;0,0,SUM(INDIRECT("T"&amp;(MAX((0&lt;&gt;N$12:N412)*ROW(N$12:N412)+1,ROW($T$12))&amp;":T"&amp;(ROW()-1))))),Первоначальный[[#This Row],[Полученный платеж]]+Y412),
AND(S412=0,Первоначальный[[#This Row],[Дата платежа из графика]]=1),MIN(LOOKUP(,-1/($Z$12:Z413=1),$C$12:C413)+LOOKUP(,-1/($Z$12:Z413=1),$H$12:H413)-IF(Z412=1,0,SUM(INDIRECT("T"&amp;(MAX((1=Z$12:Z412)*ROW(Z$12:Z412)+1,ROW($T$12))&amp;":T"&amp;(ROW()-1))))),Первоначальный[[#This Row],[Полученный платеж]]+Y412),
AND(Z412&gt;0,Первоначальный[[#This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платеж]]+Y412),
AND(S412&gt;0,MAX((0&lt;&gt;S$12:S412)*ROW(S$12:S412),ROW($S$12))&gt;=MAX((1=Z$12:Z412)*ROW(Z$12:Z412),ROW($T$12)),TYPE(VLOOKUP("Да",(INDIRECT("AA"&amp;(MAX((1=Z$12:Z412)*ROW(Z$12:Z412),ROW($T$12))&amp;":AA"&amp;(ROW()-1)))),1,0))=16),MIN(LOOKUP(,-1/($Z$12:Z413=1),$C$12:C413)+LOOKUP(,-1/($Z$12:Z413=1),$H$12:H413)-SUM(INDIRECT("T"&amp;(MAX((1=Z$12:Z412)*ROW(Z$12:Z412),ROW($T$12))&amp;":T"&amp;(ROW()-1)))),Первоначальный[[#This Row],[Полученный платеж]]+Y412),
S412&gt;0,MIN(LOOKUP(,-1/($Z$12:Z413=1),$C$12:C413)+LOOKUP(,-1/($Z$12:Z413=1),$H$12:H413)-IF(Z412=1,0,SUM(INDIRECT("T"&amp;(MAX((1=Z$12:Z412)*ROW(Z$12:Z412)+1,ROW($T$12))&amp;":T"&amp;(ROW()-1))))),Первоначальный[[#This Row],[Полученный платеж]]+Y412)
)
)
)</f>
        <v>0</v>
      </c>
      <c r="U41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платеж]]+Y412-Первоначальный[[#This Row],[Полученный платёж по процентам]])</f>
        <v>0</v>
      </c>
      <c r="V413" s="55">
        <f t="shared" ca="1" si="73"/>
        <v>0</v>
      </c>
      <c r="W413" s="55" cm="1">
        <f t="array" aca="1" ref="W413" ca="1">IF(Первоначальный[[#This Row],[Итого остаток на начало периода]]&lt;1,0,
_xlfn.IFS(
AND(TYPE(VLOOKUP(1,$Z$12:Z413,1,0))=16,Первоначальный[[#This Row],[Досрочное погашение (да/"")]]=""),0,
AND(S412=0,Первоначальный[[#This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платеж]]+Y412-SUM(Первоначальный[[#This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комиссиям]]),VLOOKUP(LOOKUP(,-1/($Z$12:Z413=1),$A$12:A413),График[[Срок конец]:[Возврат основной суммы долга]],3,0)),
AND(S412=0,Первоначальный[[#This Row],[Дата платежа из графика]]="",Первоначальный[[#This Row],[Досрочное погашение (да/"")]]&lt;&gt;"Да"),0,
AND(S412=0,Первоначальный[[#This Row],[Досрочное погашение (да/"")]]=""),MIN(Первоначальный[[#This Row],[Полученный платеж]]+Y412-SUM(Первоначальный[[#This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комиссиям]]),VLOOKUP(LOOKUP(,-1/($Z$12:Z413=1),$A$12:A413),График[[Срок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платеж]]+Y412-SUM(Первоначальный[[#This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S412&gt;0,MIN(Первоначальный[[#This Row],[Полученный платеж]]+Y412-SUM(Первоначальный[[#This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комиссиям]]),SUM(INDIRECT("M"&amp;(MAX((1=S$12:S412)*ROW(S$12:S412),ROW($W$12))&amp;":M"&amp;(ROW()))))-SUM(INDIRECT("W"&amp;(MAX((1=S$12:S412)*ROW(S$12:S412),ROW($W$12))&amp;":W"&amp;(ROW()-1)))))
)
)</f>
        <v>0</v>
      </c>
      <c r="X413" s="55">
        <f t="shared" ca="1" si="74"/>
        <v>0</v>
      </c>
      <c r="Y413" s="101">
        <f t="shared" ca="1" si="81"/>
        <v>0</v>
      </c>
      <c r="Z413" s="133" t="str">
        <f>IF(TYPE((VLOOKUP(Первоначальный[[#This Row],[Дата платежа]],График[Срок конец],1,0)))=16,"",1)</f>
        <v/>
      </c>
      <c r="AA413" s="57"/>
      <c r="AB413" s="134"/>
      <c r="AC41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1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27217.449999999953</v>
      </c>
      <c r="AE41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425.35000000000048</v>
      </c>
      <c r="AF41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1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25168.867513114812</v>
      </c>
      <c r="AH413" s="55"/>
      <c r="AI413" s="55"/>
      <c r="AJ413" s="55"/>
      <c r="AK413" s="101">
        <f t="shared" ca="1" si="82"/>
        <v>202445.00751311478</v>
      </c>
      <c r="AL413" s="129">
        <f t="array" ref="AL413">MAX((УслРестрактов[Характеристика]="Дата реструктуризации")*(УслРестрактов[Значение]=Первоначальный!$A413),0)</f>
        <v>0</v>
      </c>
    </row>
    <row r="414" spans="1:38" x14ac:dyDescent="0.25">
      <c r="A414" s="97">
        <f t="shared" si="75"/>
        <v>44545</v>
      </c>
      <c r="B414" s="100">
        <f t="shared" ca="1" si="76"/>
        <v>149633.34</v>
      </c>
      <c r="C414" s="55">
        <f t="shared" ca="1" si="84"/>
        <v>27217.449999999953</v>
      </c>
      <c r="D414" s="55">
        <f t="shared" ca="1" si="84"/>
        <v>425.35000000000048</v>
      </c>
      <c r="E414" s="55">
        <f t="shared" ca="1" si="77"/>
        <v>0</v>
      </c>
      <c r="F414" s="55">
        <f t="shared" ca="1" si="78"/>
        <v>25168.867513114812</v>
      </c>
      <c r="G414" s="101">
        <f t="shared" ca="1" si="79"/>
        <v>202445.00751311478</v>
      </c>
      <c r="H414" s="100">
        <f ca="1">ROUND($B414*VLOOKUP($A414,$A$1:$B$10,2,1)/(365+IF(MOD(YEAR($A414),4),0,1)*($A414-$A413)),2)-Первоначальный[[#This Row],[Проценты на просроченный платеж по ОД за период]]</f>
        <v>78.84</v>
      </c>
      <c r="I414" s="55">
        <f t="shared" ca="1" si="80"/>
        <v>2.74</v>
      </c>
      <c r="J414" s="55">
        <v>0</v>
      </c>
      <c r="K414" s="55">
        <f t="shared" ca="1" si="83"/>
        <v>159.26850327868851</v>
      </c>
      <c r="L414" s="55">
        <v>0</v>
      </c>
      <c r="M414" s="113">
        <f>SUMIFS(График[Возврат основной суммы долга],График[Дата с учетом нерабочих дней],$A414)</f>
        <v>0</v>
      </c>
      <c r="N414" s="56">
        <f>SUMIFS(График[Возврат начисленных %],График[Дата с учетом нерабочих дней],$A414)</f>
        <v>0</v>
      </c>
      <c r="O414" s="101">
        <v>0</v>
      </c>
      <c r="P414" s="100" cm="1">
        <f t="array" aca="1" ref="P414" ca="1">MAX(IF(AA413="Да",0,SUM(INDIRECT("M"&amp;(MAX(("Да"=AA$12:AA413)*ROW(AA$12:AA413)+1,ROW($P$12))&amp;":M"&amp;(ROW()))))-SUM(INDIRECT("W"&amp;(MAX(("Да"=AA$12:AA413)*ROW(AA$12:AA413)+1,ROW($P$12))&amp;":W"&amp;(ROW()))))),0)</f>
        <v>5031.6299999999992</v>
      </c>
      <c r="Q414" s="99">
        <f ca="1">MAX(SUM($N$13:N414)-SUM($T$13:T414),0)</f>
        <v>26822.070655737705</v>
      </c>
      <c r="R414" s="99">
        <f ca="1">Первоначальный[[#This Row],[Просроченный платеж по ОД]]+Первоначальный[[#This Row],[Просроченный платеж по процентам]]</f>
        <v>31853.700655737703</v>
      </c>
      <c r="S414" s="120">
        <f ca="1">IF(Первоначальный[[#This Row],[Просроченный платеж]]&lt;1,0,S413+1)</f>
        <v>310</v>
      </c>
      <c r="T414" s="100" cm="1">
        <f t="array" aca="1" ref="T414" ca="1">IF(Первоначальный[[#This Row],[Итого остаток на начало периода]]&lt;1,0,
IF(
AND(TYPE(VLOOKUP(1,$Z$12:Z414,1,0))=16,Первоначальный[[#This Row],[Досрочное погашение (да/"")]]=""),0,
_xlfn.IFS(AND(S413=0,Первоначальный[[#This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платеж]]&lt;&gt;0),MIN(LOOKUP(,-1/($Z$12:Z414=1),$C$12:C414)+LOOKUP(,-1/($Z$12:Z414=1),$H$12:H414),Первоначальный[[#This Row],[Полученный платеж]]+Y413),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платеж]]+Y413,SUM(Первоначальный[[#This Row],[Остаток процентов на начало периода]],Первоначальный[[#This Row],[Проценты за период]])),
AND(S413=0,Первоначальный[[#This Row],[Дата платежа из графика]]=""),0,
AND(S413=0,Первоначальный[[#This Row],[Дата платежа из графика]]=1,MAX((0&lt;&gt;S$12:S413)*ROW(S$12:S413),ROW($S$12))&gt;=MAX((1=Z$12:Z413)*ROW(Z$12:Z413),ROW($T$12)),TYPE(VLOOKUP("Да",(INDIRECT("AA"&amp;(MAX((1=Z$12:Z413)*ROW(Z$12:Z413),ROW($T$12))&amp;":AA"&amp;(ROW()-1)))),1,0))=16),MIN(LOOKUP(,-1/($Z$12:Z414=1),$C$12:C414)+LOOKUP(,-1/($Z$12:Z414=1),$H$12:H414),Первоначальный[[#This Row],[Полученный платеж]]+Y413),
AND(S413=0,TYPE(VLOOKUP("Да",(INDIRECT("AA"&amp;(MAX((1=Z$12:Z413)*ROW(Z$12:Z413),ROW($T$12))&amp;":AA"&amp;(ROW()-1)))),1,0))&lt;&gt;16),MIN(LOOKUP(,-1/($Z$12:Z414=1),$C$12:C414)+LOOKUP(,-1/($Z$12:Z414=1),$H$12:H414)-IF(AA413="Да",0,SUM(INDIRECT("T"&amp;(MAX(("Да"=AA$12:AA413)*ROW(AA$12:AA413)+1,ROW($T$12))&amp;":T"&amp;(ROW()-1))))),Первоначальный[[#This Row],[Полученный платеж]]+Y413),
AND(S413=0,MAX((0&lt;&gt;N$12:N413)*ROW(N$12:N413),ROW($S$12))&gt;=MAX((1=Z$12:Z413)*ROW(Z$12:Z413),ROW($T$12))),MIN(LOOKUP(,-1/($Z$12:Z414=1),$C$12:C414)+LOOKUP(,-1/($Z$12:Z414=1),$H$12:H414)-IF(N413&lt;&gt;0,0,SUM(INDIRECT("T"&amp;(MAX((0&lt;&gt;N$12:N413)*ROW(N$12:N413)+1,ROW($T$12))&amp;":T"&amp;(ROW()-1))))),Первоначальный[[#This Row],[Полученный платеж]]+Y413),
AND(S413=0,Первоначальный[[#This Row],[Дата платежа из графика]]=1),MIN(LOOKUP(,-1/($Z$12:Z414=1),$C$12:C414)+LOOKUP(,-1/($Z$12:Z414=1),$H$12:H414)-IF(Z413=1,0,SUM(INDIRECT("T"&amp;(MAX((1=Z$12:Z413)*ROW(Z$12:Z413)+1,ROW($T$12))&amp;":T"&amp;(ROW()-1))))),Первоначальный[[#This Row],[Полученный платеж]]+Y413),
AND(Z413&gt;0,Первоначальный[[#This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платеж]]+Y413),
AND(S413&gt;0,MAX((0&lt;&gt;S$12:S413)*ROW(S$12:S413),ROW($S$12))&gt;=MAX((1=Z$12:Z413)*ROW(Z$12:Z413),ROW($T$12)),TYPE(VLOOKUP("Да",(INDIRECT("AA"&amp;(MAX((1=Z$12:Z413)*ROW(Z$12:Z413),ROW($T$12))&amp;":AA"&amp;(ROW()-1)))),1,0))=16),MIN(LOOKUP(,-1/($Z$12:Z414=1),$C$12:C414)+LOOKUP(,-1/($Z$12:Z414=1),$H$12:H414)-SUM(INDIRECT("T"&amp;(MAX((1=Z$12:Z413)*ROW(Z$12:Z413),ROW($T$12))&amp;":T"&amp;(ROW()-1)))),Первоначальный[[#This Row],[Полученный платеж]]+Y413),
S413&gt;0,MIN(LOOKUP(,-1/($Z$12:Z414=1),$C$12:C414)+LOOKUP(,-1/($Z$12:Z414=1),$H$12:H414)-IF(Z413=1,0,SUM(INDIRECT("T"&amp;(MAX((1=Z$12:Z413)*ROW(Z$12:Z413)+1,ROW($T$12))&amp;":T"&amp;(ROW()-1))))),Первоначальный[[#This Row],[Полученный платеж]]+Y413)
)
)
)</f>
        <v>0</v>
      </c>
      <c r="U41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платеж]]+Y413-Первоначальный[[#This Row],[Полученный платёж по процентам]])</f>
        <v>0</v>
      </c>
      <c r="V414" s="55">
        <f t="shared" ca="1" si="73"/>
        <v>0</v>
      </c>
      <c r="W414" s="55" cm="1">
        <f t="array" aca="1" ref="W414" ca="1">IF(Первоначальный[[#This Row],[Итого остаток на начало периода]]&lt;1,0,
_xlfn.IFS(
AND(TYPE(VLOOKUP(1,$Z$12:Z414,1,0))=16,Первоначальный[[#This Row],[Досрочное погашение (да/"")]]=""),0,
AND(S413=0,Первоначальный[[#This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платеж]]+Y413-SUM(Первоначальный[[#This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комиссиям]]),VLOOKUP(LOOKUP(,-1/($Z$12:Z414=1),$A$12:A414),График[[Срок конец]:[Возврат основной суммы долга]],3,0)),
AND(S413=0,Первоначальный[[#This Row],[Дата платежа из графика]]="",Первоначальный[[#This Row],[Досрочное погашение (да/"")]]&lt;&gt;"Да"),0,
AND(S413=0,Первоначальный[[#This Row],[Досрочное погашение (да/"")]]=""),MIN(Первоначальный[[#This Row],[Полученный платеж]]+Y413-SUM(Первоначальный[[#This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комиссиям]]),VLOOKUP(LOOKUP(,-1/($Z$12:Z414=1),$A$12:A414),График[[Срок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платеж]]+Y413-SUM(Первоначальный[[#This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S413&gt;0,MIN(Первоначальный[[#This Row],[Полученный платеж]]+Y413-SUM(Первоначальный[[#This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комиссиям]]),SUM(INDIRECT("M"&amp;(MAX((1=S$12:S413)*ROW(S$12:S413),ROW($W$12))&amp;":M"&amp;(ROW()))))-SUM(INDIRECT("W"&amp;(MAX((1=S$12:S413)*ROW(S$12:S413),ROW($W$12))&amp;":W"&amp;(ROW()-1)))))
)
)</f>
        <v>0</v>
      </c>
      <c r="X414" s="55">
        <f t="shared" ca="1" si="74"/>
        <v>0</v>
      </c>
      <c r="Y414" s="101">
        <f t="shared" ca="1" si="81"/>
        <v>0</v>
      </c>
      <c r="Z414" s="133" t="str">
        <f>IF(TYPE((VLOOKUP(Первоначальный[[#This Row],[Дата платежа]],График[Срок конец],1,0)))=16,"",1)</f>
        <v/>
      </c>
      <c r="AA414" s="57"/>
      <c r="AB414" s="134"/>
      <c r="AC41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1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27296.289999999954</v>
      </c>
      <c r="AE41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428.09000000000049</v>
      </c>
      <c r="AF41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1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25328.136016393502</v>
      </c>
      <c r="AH414" s="55"/>
      <c r="AI414" s="55"/>
      <c r="AJ414" s="55"/>
      <c r="AK414" s="101">
        <f t="shared" ca="1" si="82"/>
        <v>202685.85601639346</v>
      </c>
      <c r="AL414" s="129">
        <f t="array" ref="AL414">MAX((УслРестрактов[Характеристика]="Дата реструктуризации")*(УслРестрактов[Значение]=Первоначальный!$A414),0)</f>
        <v>0</v>
      </c>
    </row>
    <row r="415" spans="1:38" x14ac:dyDescent="0.25">
      <c r="A415" s="97">
        <f t="shared" si="75"/>
        <v>44546</v>
      </c>
      <c r="B415" s="100">
        <f t="shared" ca="1" si="76"/>
        <v>149633.34</v>
      </c>
      <c r="C415" s="55">
        <f t="shared" ca="1" si="84"/>
        <v>27296.289999999954</v>
      </c>
      <c r="D415" s="55">
        <f t="shared" ca="1" si="84"/>
        <v>428.09000000000049</v>
      </c>
      <c r="E415" s="55">
        <f t="shared" ca="1" si="77"/>
        <v>0</v>
      </c>
      <c r="F415" s="55">
        <f t="shared" ca="1" si="78"/>
        <v>25328.136016393502</v>
      </c>
      <c r="G415" s="101">
        <f t="shared" ca="1" si="79"/>
        <v>202685.85601639346</v>
      </c>
      <c r="H415" s="100">
        <f ca="1">ROUND($B415*VLOOKUP($A415,$A$1:$B$10,2,1)/(365+IF(MOD(YEAR($A415),4),0,1)*($A415-$A414)),2)-Первоначальный[[#This Row],[Проценты на просроченный платеж по ОД за период]]</f>
        <v>78.84</v>
      </c>
      <c r="I415" s="55">
        <f t="shared" ca="1" si="80"/>
        <v>2.74</v>
      </c>
      <c r="J415" s="55">
        <v>0</v>
      </c>
      <c r="K415" s="55">
        <f t="shared" ca="1" si="83"/>
        <v>159.26850327868851</v>
      </c>
      <c r="L415" s="55">
        <v>0</v>
      </c>
      <c r="M415" s="113">
        <f>SUMIFS(График[Возврат основной суммы долга],График[Дата с учетом нерабочих дней],$A415)</f>
        <v>0</v>
      </c>
      <c r="N415" s="56">
        <f>SUMIFS(График[Возврат начисленных %],График[Дата с учетом нерабочих дней],$A415)</f>
        <v>0</v>
      </c>
      <c r="O415" s="101">
        <v>0</v>
      </c>
      <c r="P415" s="100" cm="1">
        <f t="array" aca="1" ref="P415" ca="1">MAX(IF(AA414="Да",0,SUM(INDIRECT("M"&amp;(MAX(("Да"=AA$12:AA414)*ROW(AA$12:AA414)+1,ROW($P$12))&amp;":M"&amp;(ROW()))))-SUM(INDIRECT("W"&amp;(MAX(("Да"=AA$12:AA414)*ROW(AA$12:AA414)+1,ROW($P$12))&amp;":W"&amp;(ROW()))))),0)</f>
        <v>5031.6299999999992</v>
      </c>
      <c r="Q415" s="99">
        <f ca="1">MAX(SUM($N$13:N415)-SUM($T$13:T415),0)</f>
        <v>26822.070655737705</v>
      </c>
      <c r="R415" s="99">
        <f ca="1">Первоначальный[[#This Row],[Просроченный платеж по ОД]]+Первоначальный[[#This Row],[Просроченный платеж по процентам]]</f>
        <v>31853.700655737703</v>
      </c>
      <c r="S415" s="120">
        <f ca="1">IF(Первоначальный[[#This Row],[Просроченный платеж]]&lt;1,0,S414+1)</f>
        <v>311</v>
      </c>
      <c r="T415" s="100" cm="1">
        <f t="array" aca="1" ref="T415" ca="1">IF(Первоначальный[[#This Row],[Итого остаток на начало периода]]&lt;1,0,
IF(
AND(TYPE(VLOOKUP(1,$Z$12:Z415,1,0))=16,Первоначальный[[#This Row],[Досрочное погашение (да/"")]]=""),0,
_xlfn.IFS(AND(S414=0,Первоначальный[[#This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платеж]]&lt;&gt;0),MIN(LOOKUP(,-1/($Z$12:Z415=1),$C$12:C415)+LOOKUP(,-1/($Z$12:Z415=1),$H$12:H415),Первоначальный[[#This Row],[Полученный платеж]]+Y414),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платеж]]+Y414,SUM(Первоначальный[[#This Row],[Остаток процентов на начало периода]],Первоначальный[[#This Row],[Проценты за период]])),
AND(S414=0,Первоначальный[[#This Row],[Дата платежа из графика]]=""),0,
AND(S414=0,Первоначальный[[#This Row],[Дата платежа из графика]]=1,MAX((0&lt;&gt;S$12:S414)*ROW(S$12:S414),ROW($S$12))&gt;=MAX((1=Z$12:Z414)*ROW(Z$12:Z414),ROW($T$12)),TYPE(VLOOKUP("Да",(INDIRECT("AA"&amp;(MAX((1=Z$12:Z414)*ROW(Z$12:Z414),ROW($T$12))&amp;":AA"&amp;(ROW()-1)))),1,0))=16),MIN(LOOKUP(,-1/($Z$12:Z415=1),$C$12:C415)+LOOKUP(,-1/($Z$12:Z415=1),$H$12:H415),Первоначальный[[#This Row],[Полученный платеж]]+Y414),
AND(S414=0,TYPE(VLOOKUP("Да",(INDIRECT("AA"&amp;(MAX((1=Z$12:Z414)*ROW(Z$12:Z414),ROW($T$12))&amp;":AA"&amp;(ROW()-1)))),1,0))&lt;&gt;16),MIN(LOOKUP(,-1/($Z$12:Z415=1),$C$12:C415)+LOOKUP(,-1/($Z$12:Z415=1),$H$12:H415)-IF(AA414="Да",0,SUM(INDIRECT("T"&amp;(MAX(("Да"=AA$12:AA414)*ROW(AA$12:AA414)+1,ROW($T$12))&amp;":T"&amp;(ROW()-1))))),Первоначальный[[#This Row],[Полученный платеж]]+Y414),
AND(S414=0,MAX((0&lt;&gt;N$12:N414)*ROW(N$12:N414),ROW($S$12))&gt;=MAX((1=Z$12:Z414)*ROW(Z$12:Z414),ROW($T$12))),MIN(LOOKUP(,-1/($Z$12:Z415=1),$C$12:C415)+LOOKUP(,-1/($Z$12:Z415=1),$H$12:H415)-IF(N414&lt;&gt;0,0,SUM(INDIRECT("T"&amp;(MAX((0&lt;&gt;N$12:N414)*ROW(N$12:N414)+1,ROW($T$12))&amp;":T"&amp;(ROW()-1))))),Первоначальный[[#This Row],[Полученный платеж]]+Y414),
AND(S414=0,Первоначальный[[#This Row],[Дата платежа из графика]]=1),MIN(LOOKUP(,-1/($Z$12:Z415=1),$C$12:C415)+LOOKUP(,-1/($Z$12:Z415=1),$H$12:H415)-IF(Z414=1,0,SUM(INDIRECT("T"&amp;(MAX((1=Z$12:Z414)*ROW(Z$12:Z414)+1,ROW($T$12))&amp;":T"&amp;(ROW()-1))))),Первоначальный[[#This Row],[Полученный платеж]]+Y414),
AND(Z414&gt;0,Первоначальный[[#This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платеж]]+Y414),
AND(S414&gt;0,MAX((0&lt;&gt;S$12:S414)*ROW(S$12:S414),ROW($S$12))&gt;=MAX((1=Z$12:Z414)*ROW(Z$12:Z414),ROW($T$12)),TYPE(VLOOKUP("Да",(INDIRECT("AA"&amp;(MAX((1=Z$12:Z414)*ROW(Z$12:Z414),ROW($T$12))&amp;":AA"&amp;(ROW()-1)))),1,0))=16),MIN(LOOKUP(,-1/($Z$12:Z415=1),$C$12:C415)+LOOKUP(,-1/($Z$12:Z415=1),$H$12:H415)-SUM(INDIRECT("T"&amp;(MAX((1=Z$12:Z414)*ROW(Z$12:Z414),ROW($T$12))&amp;":T"&amp;(ROW()-1)))),Первоначальный[[#This Row],[Полученный платеж]]+Y414),
S414&gt;0,MIN(LOOKUP(,-1/($Z$12:Z415=1),$C$12:C415)+LOOKUP(,-1/($Z$12:Z415=1),$H$12:H415)-IF(Z414=1,0,SUM(INDIRECT("T"&amp;(MAX((1=Z$12:Z414)*ROW(Z$12:Z414)+1,ROW($T$12))&amp;":T"&amp;(ROW()-1))))),Первоначальный[[#This Row],[Полученный платеж]]+Y414)
)
)
)</f>
        <v>0</v>
      </c>
      <c r="U41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платеж]]+Y414-Первоначальный[[#This Row],[Полученный платёж по процентам]])</f>
        <v>0</v>
      </c>
      <c r="V415" s="55">
        <f t="shared" ca="1" si="73"/>
        <v>0</v>
      </c>
      <c r="W415" s="55" cm="1">
        <f t="array" aca="1" ref="W415" ca="1">IF(Первоначальный[[#This Row],[Итого остаток на начало периода]]&lt;1,0,
_xlfn.IFS(
AND(TYPE(VLOOKUP(1,$Z$12:Z415,1,0))=16,Первоначальный[[#This Row],[Досрочное погашение (да/"")]]=""),0,
AND(S414=0,Первоначальный[[#This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платеж]]+Y414-SUM(Первоначальный[[#This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комиссиям]]),VLOOKUP(LOOKUP(,-1/($Z$12:Z415=1),$A$12:A415),График[[Срок конец]:[Возврат основной суммы долга]],3,0)),
AND(S414=0,Первоначальный[[#This Row],[Дата платежа из графика]]="",Первоначальный[[#This Row],[Досрочное погашение (да/"")]]&lt;&gt;"Да"),0,
AND(S414=0,Первоначальный[[#This Row],[Досрочное погашение (да/"")]]=""),MIN(Первоначальный[[#This Row],[Полученный платеж]]+Y414-SUM(Первоначальный[[#This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комиссиям]]),VLOOKUP(LOOKUP(,-1/($Z$12:Z415=1),$A$12:A415),График[[Срок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платеж]]+Y414-SUM(Первоначальный[[#This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S414&gt;0,MIN(Первоначальный[[#This Row],[Полученный платеж]]+Y414-SUM(Первоначальный[[#This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комиссиям]]),SUM(INDIRECT("M"&amp;(MAX((1=S$12:S414)*ROW(S$12:S414),ROW($W$12))&amp;":M"&amp;(ROW()))))-SUM(INDIRECT("W"&amp;(MAX((1=S$12:S414)*ROW(S$12:S414),ROW($W$12))&amp;":W"&amp;(ROW()-1)))))
)
)</f>
        <v>0</v>
      </c>
      <c r="X415" s="55">
        <f t="shared" ca="1" si="74"/>
        <v>0</v>
      </c>
      <c r="Y415" s="101">
        <f t="shared" ca="1" si="81"/>
        <v>0</v>
      </c>
      <c r="Z415" s="133" t="str">
        <f>IF(TYPE((VLOOKUP(Первоначальный[[#This Row],[Дата платежа]],График[Срок конец],1,0)))=16,"",1)</f>
        <v/>
      </c>
      <c r="AA415" s="57"/>
      <c r="AB415" s="134"/>
      <c r="AC41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1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27375.129999999954</v>
      </c>
      <c r="AE41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430.8300000000005</v>
      </c>
      <c r="AF41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1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25487.404519672193</v>
      </c>
      <c r="AH415" s="55"/>
      <c r="AI415" s="55"/>
      <c r="AJ415" s="55"/>
      <c r="AK415" s="101">
        <f t="shared" ca="1" si="82"/>
        <v>202926.70451967212</v>
      </c>
      <c r="AL415" s="129">
        <f t="array" ref="AL415">MAX((УслРестрактов[Характеристика]="Дата реструктуризации")*(УслРестрактов[Значение]=Первоначальный!$A415),0)</f>
        <v>0</v>
      </c>
    </row>
    <row r="416" spans="1:38" x14ac:dyDescent="0.25">
      <c r="A416" s="97">
        <f t="shared" si="75"/>
        <v>44547</v>
      </c>
      <c r="B416" s="100">
        <f t="shared" ca="1" si="76"/>
        <v>149633.34</v>
      </c>
      <c r="C416" s="55">
        <f t="shared" ca="1" si="84"/>
        <v>27375.129999999954</v>
      </c>
      <c r="D416" s="55">
        <f t="shared" ca="1" si="84"/>
        <v>430.8300000000005</v>
      </c>
      <c r="E416" s="55">
        <f t="shared" ca="1" si="77"/>
        <v>0</v>
      </c>
      <c r="F416" s="55">
        <f t="shared" ca="1" si="78"/>
        <v>25487.404519672193</v>
      </c>
      <c r="G416" s="101">
        <f t="shared" ca="1" si="79"/>
        <v>202926.70451967212</v>
      </c>
      <c r="H416" s="100">
        <f ca="1">ROUND($B416*VLOOKUP($A416,$A$1:$B$10,2,1)/(365+IF(MOD(YEAR($A416),4),0,1)*($A416-$A415)),2)-Первоначальный[[#This Row],[Проценты на просроченный платеж по ОД за период]]</f>
        <v>78.84</v>
      </c>
      <c r="I416" s="55">
        <f t="shared" ca="1" si="80"/>
        <v>2.74</v>
      </c>
      <c r="J416" s="55">
        <v>0</v>
      </c>
      <c r="K416" s="55">
        <f t="shared" ca="1" si="83"/>
        <v>159.26850327868851</v>
      </c>
      <c r="L416" s="55">
        <v>0</v>
      </c>
      <c r="M416" s="113">
        <f>SUMIFS(График[Возврат основной суммы долга],График[Дата с учетом нерабочих дней],$A416)</f>
        <v>0</v>
      </c>
      <c r="N416" s="56">
        <f>SUMIFS(График[Возврат начисленных %],График[Дата с учетом нерабочих дней],$A416)</f>
        <v>0</v>
      </c>
      <c r="O416" s="101">
        <v>0</v>
      </c>
      <c r="P416" s="100" cm="1">
        <f t="array" aca="1" ref="P416" ca="1">MAX(IF(AA415="Да",0,SUM(INDIRECT("M"&amp;(MAX(("Да"=AA$12:AA415)*ROW(AA$12:AA415)+1,ROW($P$12))&amp;":M"&amp;(ROW()))))-SUM(INDIRECT("W"&amp;(MAX(("Да"=AA$12:AA415)*ROW(AA$12:AA415)+1,ROW($P$12))&amp;":W"&amp;(ROW()))))),0)</f>
        <v>5031.6299999999992</v>
      </c>
      <c r="Q416" s="99">
        <f ca="1">MAX(SUM($N$13:N416)-SUM($T$13:T416),0)</f>
        <v>26822.070655737705</v>
      </c>
      <c r="R416" s="99">
        <f ca="1">Первоначальный[[#This Row],[Просроченный платеж по ОД]]+Первоначальный[[#This Row],[Просроченный платеж по процентам]]</f>
        <v>31853.700655737703</v>
      </c>
      <c r="S416" s="120">
        <f ca="1">IF(Первоначальный[[#This Row],[Просроченный платеж]]&lt;1,0,S415+1)</f>
        <v>312</v>
      </c>
      <c r="T416" s="100" cm="1">
        <f t="array" aca="1" ref="T416" ca="1">IF(Первоначальный[[#This Row],[Итого остаток на начало периода]]&lt;1,0,
IF(
AND(TYPE(VLOOKUP(1,$Z$12:Z416,1,0))=16,Первоначальный[[#This Row],[Досрочное погашение (да/"")]]=""),0,
_xlfn.IFS(AND(S415=0,Первоначальный[[#This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платеж]]&lt;&gt;0),MIN(LOOKUP(,-1/($Z$12:Z416=1),$C$12:C416)+LOOKUP(,-1/($Z$12:Z416=1),$H$12:H416),Первоначальный[[#This Row],[Полученный платеж]]+Y415),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платеж]]+Y415,SUM(Первоначальный[[#This Row],[Остаток процентов на начало периода]],Первоначальный[[#This Row],[Проценты за период]])),
AND(S415=0,Первоначальный[[#This Row],[Дата платежа из графика]]=""),0,
AND(S415=0,Первоначальный[[#This Row],[Дата платежа из графика]]=1,MAX((0&lt;&gt;S$12:S415)*ROW(S$12:S415),ROW($S$12))&gt;=MAX((1=Z$12:Z415)*ROW(Z$12:Z415),ROW($T$12)),TYPE(VLOOKUP("Да",(INDIRECT("AA"&amp;(MAX((1=Z$12:Z415)*ROW(Z$12:Z415),ROW($T$12))&amp;":AA"&amp;(ROW()-1)))),1,0))=16),MIN(LOOKUP(,-1/($Z$12:Z416=1),$C$12:C416)+LOOKUP(,-1/($Z$12:Z416=1),$H$12:H416),Первоначальный[[#This Row],[Полученный платеж]]+Y415),
AND(S415=0,TYPE(VLOOKUP("Да",(INDIRECT("AA"&amp;(MAX((1=Z$12:Z415)*ROW(Z$12:Z415),ROW($T$12))&amp;":AA"&amp;(ROW()-1)))),1,0))&lt;&gt;16),MIN(LOOKUP(,-1/($Z$12:Z416=1),$C$12:C416)+LOOKUP(,-1/($Z$12:Z416=1),$H$12:H416)-IF(AA415="Да",0,SUM(INDIRECT("T"&amp;(MAX(("Да"=AA$12:AA415)*ROW(AA$12:AA415)+1,ROW($T$12))&amp;":T"&amp;(ROW()-1))))),Первоначальный[[#This Row],[Полученный платеж]]+Y415),
AND(S415=0,MAX((0&lt;&gt;N$12:N415)*ROW(N$12:N415),ROW($S$12))&gt;=MAX((1=Z$12:Z415)*ROW(Z$12:Z415),ROW($T$12))),MIN(LOOKUP(,-1/($Z$12:Z416=1),$C$12:C416)+LOOKUP(,-1/($Z$12:Z416=1),$H$12:H416)-IF(N415&lt;&gt;0,0,SUM(INDIRECT("T"&amp;(MAX((0&lt;&gt;N$12:N415)*ROW(N$12:N415)+1,ROW($T$12))&amp;":T"&amp;(ROW()-1))))),Первоначальный[[#This Row],[Полученный платеж]]+Y415),
AND(S415=0,Первоначальный[[#This Row],[Дата платежа из графика]]=1),MIN(LOOKUP(,-1/($Z$12:Z416=1),$C$12:C416)+LOOKUP(,-1/($Z$12:Z416=1),$H$12:H416)-IF(Z415=1,0,SUM(INDIRECT("T"&amp;(MAX((1=Z$12:Z415)*ROW(Z$12:Z415)+1,ROW($T$12))&amp;":T"&amp;(ROW()-1))))),Первоначальный[[#This Row],[Полученный платеж]]+Y415),
AND(Z415&gt;0,Первоначальный[[#This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платеж]]+Y415),
AND(S415&gt;0,MAX((0&lt;&gt;S$12:S415)*ROW(S$12:S415),ROW($S$12))&gt;=MAX((1=Z$12:Z415)*ROW(Z$12:Z415),ROW($T$12)),TYPE(VLOOKUP("Да",(INDIRECT("AA"&amp;(MAX((1=Z$12:Z415)*ROW(Z$12:Z415),ROW($T$12))&amp;":AA"&amp;(ROW()-1)))),1,0))=16),MIN(LOOKUP(,-1/($Z$12:Z416=1),$C$12:C416)+LOOKUP(,-1/($Z$12:Z416=1),$H$12:H416)-SUM(INDIRECT("T"&amp;(MAX((1=Z$12:Z415)*ROW(Z$12:Z415),ROW($T$12))&amp;":T"&amp;(ROW()-1)))),Первоначальный[[#This Row],[Полученный платеж]]+Y415),
S415&gt;0,MIN(LOOKUP(,-1/($Z$12:Z416=1),$C$12:C416)+LOOKUP(,-1/($Z$12:Z416=1),$H$12:H416)-IF(Z415=1,0,SUM(INDIRECT("T"&amp;(MAX((1=Z$12:Z415)*ROW(Z$12:Z415)+1,ROW($T$12))&amp;":T"&amp;(ROW()-1))))),Первоначальный[[#This Row],[Полученный платеж]]+Y415)
)
)
)</f>
        <v>0</v>
      </c>
      <c r="U41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платеж]]+Y415-Первоначальный[[#This Row],[Полученный платёж по процентам]])</f>
        <v>0</v>
      </c>
      <c r="V416" s="55">
        <f t="shared" ca="1" si="73"/>
        <v>0</v>
      </c>
      <c r="W416" s="55" cm="1">
        <f t="array" aca="1" ref="W416" ca="1">IF(Первоначальный[[#This Row],[Итого остаток на начало периода]]&lt;1,0,
_xlfn.IFS(
AND(TYPE(VLOOKUP(1,$Z$12:Z416,1,0))=16,Первоначальный[[#This Row],[Досрочное погашение (да/"")]]=""),0,
AND(S415=0,Первоначальный[[#This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платеж]]+Y415-SUM(Первоначальный[[#This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комиссиям]]),VLOOKUP(LOOKUP(,-1/($Z$12:Z416=1),$A$12:A416),График[[Срок конец]:[Возврат основной суммы долга]],3,0)),
AND(S415=0,Первоначальный[[#This Row],[Дата платежа из графика]]="",Первоначальный[[#This Row],[Досрочное погашение (да/"")]]&lt;&gt;"Да"),0,
AND(S415=0,Первоначальный[[#This Row],[Досрочное погашение (да/"")]]=""),MIN(Первоначальный[[#This Row],[Полученный платеж]]+Y415-SUM(Первоначальный[[#This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комиссиям]]),VLOOKUP(LOOKUP(,-1/($Z$12:Z416=1),$A$12:A416),График[[Срок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платеж]]+Y415-SUM(Первоначальный[[#This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S415&gt;0,MIN(Первоначальный[[#This Row],[Полученный платеж]]+Y415-SUM(Первоначальный[[#This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комиссиям]]),SUM(INDIRECT("M"&amp;(MAX((1=S$12:S415)*ROW(S$12:S415),ROW($W$12))&amp;":M"&amp;(ROW()))))-SUM(INDIRECT("W"&amp;(MAX((1=S$12:S415)*ROW(S$12:S415),ROW($W$12))&amp;":W"&amp;(ROW()-1)))))
)
)</f>
        <v>0</v>
      </c>
      <c r="X416" s="55">
        <f t="shared" ca="1" si="74"/>
        <v>0</v>
      </c>
      <c r="Y416" s="101">
        <f t="shared" ca="1" si="81"/>
        <v>0</v>
      </c>
      <c r="Z416" s="133" t="str">
        <f>IF(TYPE((VLOOKUP(Первоначальный[[#This Row],[Дата платежа]],График[Срок конец],1,0)))=16,"",1)</f>
        <v/>
      </c>
      <c r="AA416" s="57"/>
      <c r="AB416" s="134"/>
      <c r="AC41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1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27453.969999999954</v>
      </c>
      <c r="AE41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433.5700000000005</v>
      </c>
      <c r="AF41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1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25646.673022950883</v>
      </c>
      <c r="AH416" s="55"/>
      <c r="AI416" s="55"/>
      <c r="AJ416" s="55"/>
      <c r="AK416" s="101">
        <f t="shared" ca="1" si="82"/>
        <v>203167.55302295083</v>
      </c>
      <c r="AL416" s="129">
        <f t="array" ref="AL416">MAX((УслРестрактов[Характеристика]="Дата реструктуризации")*(УслРестрактов[Значение]=Первоначальный!$A416),0)</f>
        <v>0</v>
      </c>
    </row>
    <row r="417" spans="1:38" x14ac:dyDescent="0.25">
      <c r="A417" s="97">
        <f t="shared" si="75"/>
        <v>44548</v>
      </c>
      <c r="B417" s="100">
        <f t="shared" ca="1" si="76"/>
        <v>149633.34</v>
      </c>
      <c r="C417" s="55">
        <f t="shared" ca="1" si="84"/>
        <v>27453.969999999954</v>
      </c>
      <c r="D417" s="55">
        <f t="shared" ca="1" si="84"/>
        <v>433.5700000000005</v>
      </c>
      <c r="E417" s="55">
        <f t="shared" ca="1" si="77"/>
        <v>0</v>
      </c>
      <c r="F417" s="55">
        <f t="shared" ca="1" si="78"/>
        <v>25646.673022950883</v>
      </c>
      <c r="G417" s="101">
        <f t="shared" ca="1" si="79"/>
        <v>203167.55302295083</v>
      </c>
      <c r="H417" s="100">
        <f ca="1">ROUND($B417*VLOOKUP($A417,$A$1:$B$10,2,1)/(365+IF(MOD(YEAR($A417),4),0,1)*($A417-$A416)),2)-Первоначальный[[#This Row],[Проценты на просроченный платеж по ОД за период]]</f>
        <v>78.84</v>
      </c>
      <c r="I417" s="55">
        <f t="shared" ca="1" si="80"/>
        <v>2.74</v>
      </c>
      <c r="J417" s="55">
        <v>0</v>
      </c>
      <c r="K417" s="55">
        <f t="shared" ca="1" si="83"/>
        <v>159.26850327868851</v>
      </c>
      <c r="L417" s="55">
        <v>0</v>
      </c>
      <c r="M417" s="113">
        <f>SUMIFS(График[Возврат основной суммы долга],График[Дата с учетом нерабочих дней],$A417)</f>
        <v>0</v>
      </c>
      <c r="N417" s="56">
        <f>SUMIFS(График[Возврат начисленных %],График[Дата с учетом нерабочих дней],$A417)</f>
        <v>0</v>
      </c>
      <c r="O417" s="101">
        <v>0</v>
      </c>
      <c r="P417" s="100" cm="1">
        <f t="array" aca="1" ref="P417" ca="1">MAX(IF(AA416="Да",0,SUM(INDIRECT("M"&amp;(MAX(("Да"=AA$12:AA416)*ROW(AA$12:AA416)+1,ROW($P$12))&amp;":M"&amp;(ROW()))))-SUM(INDIRECT("W"&amp;(MAX(("Да"=AA$12:AA416)*ROW(AA$12:AA416)+1,ROW($P$12))&amp;":W"&amp;(ROW()))))),0)</f>
        <v>5031.6299999999992</v>
      </c>
      <c r="Q417" s="99">
        <f ca="1">MAX(SUM($N$13:N417)-SUM($T$13:T417),0)</f>
        <v>26822.070655737705</v>
      </c>
      <c r="R417" s="99">
        <f ca="1">Первоначальный[[#This Row],[Просроченный платеж по ОД]]+Первоначальный[[#This Row],[Просроченный платеж по процентам]]</f>
        <v>31853.700655737703</v>
      </c>
      <c r="S417" s="120">
        <f ca="1">IF(Первоначальный[[#This Row],[Просроченный платеж]]&lt;1,0,S416+1)</f>
        <v>313</v>
      </c>
      <c r="T417" s="100" cm="1">
        <f t="array" aca="1" ref="T417" ca="1">IF(Первоначальный[[#This Row],[Итого остаток на начало периода]]&lt;1,0,
IF(
AND(TYPE(VLOOKUP(1,$Z$12:Z417,1,0))=16,Первоначальный[[#This Row],[Досрочное погашение (да/"")]]=""),0,
_xlfn.IFS(AND(S416=0,Первоначальный[[#This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платеж]]&lt;&gt;0),MIN(LOOKUP(,-1/($Z$12:Z417=1),$C$12:C417)+LOOKUP(,-1/($Z$12:Z417=1),$H$12:H417),Первоначальный[[#This Row],[Полученный платеж]]+Y416),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платеж]]+Y416,SUM(Первоначальный[[#This Row],[Остаток процентов на начало периода]],Первоначальный[[#This Row],[Проценты за период]])),
AND(S416=0,Первоначальный[[#This Row],[Дата платежа из графика]]=""),0,
AND(S416=0,Первоначальный[[#This Row],[Дата платежа из графика]]=1,MAX((0&lt;&gt;S$12:S416)*ROW(S$12:S416),ROW($S$12))&gt;=MAX((1=Z$12:Z416)*ROW(Z$12:Z416),ROW($T$12)),TYPE(VLOOKUP("Да",(INDIRECT("AA"&amp;(MAX((1=Z$12:Z416)*ROW(Z$12:Z416),ROW($T$12))&amp;":AA"&amp;(ROW()-1)))),1,0))=16),MIN(LOOKUP(,-1/($Z$12:Z417=1),$C$12:C417)+LOOKUP(,-1/($Z$12:Z417=1),$H$12:H417),Первоначальный[[#This Row],[Полученный платеж]]+Y416),
AND(S416=0,TYPE(VLOOKUP("Да",(INDIRECT("AA"&amp;(MAX((1=Z$12:Z416)*ROW(Z$12:Z416),ROW($T$12))&amp;":AA"&amp;(ROW()-1)))),1,0))&lt;&gt;16),MIN(LOOKUP(,-1/($Z$12:Z417=1),$C$12:C417)+LOOKUP(,-1/($Z$12:Z417=1),$H$12:H417)-IF(AA416="Да",0,SUM(INDIRECT("T"&amp;(MAX(("Да"=AA$12:AA416)*ROW(AA$12:AA416)+1,ROW($T$12))&amp;":T"&amp;(ROW()-1))))),Первоначальный[[#This Row],[Полученный платеж]]+Y416),
AND(S416=0,MAX((0&lt;&gt;N$12:N416)*ROW(N$12:N416),ROW($S$12))&gt;=MAX((1=Z$12:Z416)*ROW(Z$12:Z416),ROW($T$12))),MIN(LOOKUP(,-1/($Z$12:Z417=1),$C$12:C417)+LOOKUP(,-1/($Z$12:Z417=1),$H$12:H417)-IF(N416&lt;&gt;0,0,SUM(INDIRECT("T"&amp;(MAX((0&lt;&gt;N$12:N416)*ROW(N$12:N416)+1,ROW($T$12))&amp;":T"&amp;(ROW()-1))))),Первоначальный[[#This Row],[Полученный платеж]]+Y416),
AND(S416=0,Первоначальный[[#This Row],[Дата платежа из графика]]=1),MIN(LOOKUP(,-1/($Z$12:Z417=1),$C$12:C417)+LOOKUP(,-1/($Z$12:Z417=1),$H$12:H417)-IF(Z416=1,0,SUM(INDIRECT("T"&amp;(MAX((1=Z$12:Z416)*ROW(Z$12:Z416)+1,ROW($T$12))&amp;":T"&amp;(ROW()-1))))),Первоначальный[[#This Row],[Полученный платеж]]+Y416),
AND(Z416&gt;0,Первоначальный[[#This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платеж]]+Y416),
AND(S416&gt;0,MAX((0&lt;&gt;S$12:S416)*ROW(S$12:S416),ROW($S$12))&gt;=MAX((1=Z$12:Z416)*ROW(Z$12:Z416),ROW($T$12)),TYPE(VLOOKUP("Да",(INDIRECT("AA"&amp;(MAX((1=Z$12:Z416)*ROW(Z$12:Z416),ROW($T$12))&amp;":AA"&amp;(ROW()-1)))),1,0))=16),MIN(LOOKUP(,-1/($Z$12:Z417=1),$C$12:C417)+LOOKUP(,-1/($Z$12:Z417=1),$H$12:H417)-SUM(INDIRECT("T"&amp;(MAX((1=Z$12:Z416)*ROW(Z$12:Z416),ROW($T$12))&amp;":T"&amp;(ROW()-1)))),Первоначальный[[#This Row],[Полученный платеж]]+Y416),
S416&gt;0,MIN(LOOKUP(,-1/($Z$12:Z417=1),$C$12:C417)+LOOKUP(,-1/($Z$12:Z417=1),$H$12:H417)-IF(Z416=1,0,SUM(INDIRECT("T"&amp;(MAX((1=Z$12:Z416)*ROW(Z$12:Z416)+1,ROW($T$12))&amp;":T"&amp;(ROW()-1))))),Первоначальный[[#This Row],[Полученный платеж]]+Y416)
)
)
)</f>
        <v>0</v>
      </c>
      <c r="U41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платеж]]+Y416-Первоначальный[[#This Row],[Полученный платёж по процентам]])</f>
        <v>0</v>
      </c>
      <c r="V417" s="55">
        <f t="shared" ca="1" si="73"/>
        <v>0</v>
      </c>
      <c r="W417" s="55" cm="1">
        <f t="array" aca="1" ref="W417" ca="1">IF(Первоначальный[[#This Row],[Итого остаток на начало периода]]&lt;1,0,
_xlfn.IFS(
AND(TYPE(VLOOKUP(1,$Z$12:Z417,1,0))=16,Первоначальный[[#This Row],[Досрочное погашение (да/"")]]=""),0,
AND(S416=0,Первоначальный[[#This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платеж]]+Y416-SUM(Первоначальный[[#This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комиссиям]]),VLOOKUP(LOOKUP(,-1/($Z$12:Z417=1),$A$12:A417),График[[Срок конец]:[Возврат основной суммы долга]],3,0)),
AND(S416=0,Первоначальный[[#This Row],[Дата платежа из графика]]="",Первоначальный[[#This Row],[Досрочное погашение (да/"")]]&lt;&gt;"Да"),0,
AND(S416=0,Первоначальный[[#This Row],[Досрочное погашение (да/"")]]=""),MIN(Первоначальный[[#This Row],[Полученный платеж]]+Y416-SUM(Первоначальный[[#This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комиссиям]]),VLOOKUP(LOOKUP(,-1/($Z$12:Z417=1),$A$12:A417),График[[Срок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платеж]]+Y416-SUM(Первоначальный[[#This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S416&gt;0,MIN(Первоначальный[[#This Row],[Полученный платеж]]+Y416-SUM(Первоначальный[[#This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комиссиям]]),SUM(INDIRECT("M"&amp;(MAX((1=S$12:S416)*ROW(S$12:S416),ROW($W$12))&amp;":M"&amp;(ROW()))))-SUM(INDIRECT("W"&amp;(MAX((1=S$12:S416)*ROW(S$12:S416),ROW($W$12))&amp;":W"&amp;(ROW()-1)))))
)
)</f>
        <v>0</v>
      </c>
      <c r="X417" s="55">
        <f t="shared" ca="1" si="74"/>
        <v>0</v>
      </c>
      <c r="Y417" s="101">
        <f t="shared" ca="1" si="81"/>
        <v>0</v>
      </c>
      <c r="Z417" s="133" t="str">
        <f>IF(TYPE((VLOOKUP(Первоначальный[[#This Row],[Дата платежа]],График[Срок конец],1,0)))=16,"",1)</f>
        <v/>
      </c>
      <c r="AA417" s="57"/>
      <c r="AB417" s="134"/>
      <c r="AC41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1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27532.809999999954</v>
      </c>
      <c r="AE41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436.31000000000051</v>
      </c>
      <c r="AF41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1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25805.941526229573</v>
      </c>
      <c r="AH417" s="55"/>
      <c r="AI417" s="55"/>
      <c r="AJ417" s="55"/>
      <c r="AK417" s="101">
        <f t="shared" ca="1" si="82"/>
        <v>203408.40152622954</v>
      </c>
      <c r="AL417" s="129">
        <f t="array" ref="AL417">MAX((УслРестрактов[Характеристика]="Дата реструктуризации")*(УслРестрактов[Значение]=Первоначальный!$A417),0)</f>
        <v>0</v>
      </c>
    </row>
    <row r="418" spans="1:38" x14ac:dyDescent="0.25">
      <c r="A418" s="97">
        <f t="shared" si="75"/>
        <v>44549</v>
      </c>
      <c r="B418" s="100">
        <f t="shared" ca="1" si="76"/>
        <v>149633.34</v>
      </c>
      <c r="C418" s="55">
        <f t="shared" ca="1" si="84"/>
        <v>27532.809999999954</v>
      </c>
      <c r="D418" s="55">
        <f t="shared" ca="1" si="84"/>
        <v>436.31000000000051</v>
      </c>
      <c r="E418" s="55">
        <f t="shared" ca="1" si="77"/>
        <v>0</v>
      </c>
      <c r="F418" s="55">
        <f t="shared" ca="1" si="78"/>
        <v>25805.941526229573</v>
      </c>
      <c r="G418" s="101">
        <f t="shared" ca="1" si="79"/>
        <v>203408.40152622954</v>
      </c>
      <c r="H418" s="100">
        <f ca="1">ROUND($B418*VLOOKUP($A418,$A$1:$B$10,2,1)/(365+IF(MOD(YEAR($A418),4),0,1)*($A418-$A417)),2)-Первоначальный[[#This Row],[Проценты на просроченный платеж по ОД за период]]</f>
        <v>78.84</v>
      </c>
      <c r="I418" s="55">
        <f t="shared" ca="1" si="80"/>
        <v>2.74</v>
      </c>
      <c r="J418" s="55">
        <v>0</v>
      </c>
      <c r="K418" s="55">
        <f t="shared" ca="1" si="83"/>
        <v>159.26850327868851</v>
      </c>
      <c r="L418" s="55">
        <v>0</v>
      </c>
      <c r="M418" s="113">
        <f>SUMIFS(График[Возврат основной суммы долга],График[Дата с учетом нерабочих дней],$A418)</f>
        <v>0</v>
      </c>
      <c r="N418" s="56">
        <f>SUMIFS(График[Возврат начисленных %],График[Дата с учетом нерабочих дней],$A418)</f>
        <v>0</v>
      </c>
      <c r="O418" s="101">
        <v>0</v>
      </c>
      <c r="P418" s="100" cm="1">
        <f t="array" aca="1" ref="P418" ca="1">MAX(IF(AA417="Да",0,SUM(INDIRECT("M"&amp;(MAX(("Да"=AA$12:AA417)*ROW(AA$12:AA417)+1,ROW($P$12))&amp;":M"&amp;(ROW()))))-SUM(INDIRECT("W"&amp;(MAX(("Да"=AA$12:AA417)*ROW(AA$12:AA417)+1,ROW($P$12))&amp;":W"&amp;(ROW()))))),0)</f>
        <v>5031.6299999999992</v>
      </c>
      <c r="Q418" s="99">
        <f ca="1">MAX(SUM($N$13:N418)-SUM($T$13:T418),0)</f>
        <v>26822.070655737705</v>
      </c>
      <c r="R418" s="99">
        <f ca="1">Первоначальный[[#This Row],[Просроченный платеж по ОД]]+Первоначальный[[#This Row],[Просроченный платеж по процентам]]</f>
        <v>31853.700655737703</v>
      </c>
      <c r="S418" s="120">
        <f ca="1">IF(Первоначальный[[#This Row],[Просроченный платеж]]&lt;1,0,S417+1)</f>
        <v>314</v>
      </c>
      <c r="T418" s="100" cm="1">
        <f t="array" aca="1" ref="T418" ca="1">IF(Первоначальный[[#This Row],[Итого остаток на начало периода]]&lt;1,0,
IF(
AND(TYPE(VLOOKUP(1,$Z$12:Z418,1,0))=16,Первоначальный[[#This Row],[Досрочное погашение (да/"")]]=""),0,
_xlfn.IFS(AND(S417=0,Первоначальный[[#This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платеж]]&lt;&gt;0),MIN(LOOKUP(,-1/($Z$12:Z418=1),$C$12:C418)+LOOKUP(,-1/($Z$12:Z418=1),$H$12:H418),Первоначальный[[#This Row],[Полученный платеж]]+Y417),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платеж]]+Y417,SUM(Первоначальный[[#This Row],[Остаток процентов на начало периода]],Первоначальный[[#This Row],[Проценты за период]])),
AND(S417=0,Первоначальный[[#This Row],[Дата платежа из графика]]=""),0,
AND(S417=0,Первоначальный[[#This Row],[Дата платежа из графика]]=1,MAX((0&lt;&gt;S$12:S417)*ROW(S$12:S417),ROW($S$12))&gt;=MAX((1=Z$12:Z417)*ROW(Z$12:Z417),ROW($T$12)),TYPE(VLOOKUP("Да",(INDIRECT("AA"&amp;(MAX((1=Z$12:Z417)*ROW(Z$12:Z417),ROW($T$12))&amp;":AA"&amp;(ROW()-1)))),1,0))=16),MIN(LOOKUP(,-1/($Z$12:Z418=1),$C$12:C418)+LOOKUP(,-1/($Z$12:Z418=1),$H$12:H418),Первоначальный[[#This Row],[Полученный платеж]]+Y417),
AND(S417=0,TYPE(VLOOKUP("Да",(INDIRECT("AA"&amp;(MAX((1=Z$12:Z417)*ROW(Z$12:Z417),ROW($T$12))&amp;":AA"&amp;(ROW()-1)))),1,0))&lt;&gt;16),MIN(LOOKUP(,-1/($Z$12:Z418=1),$C$12:C418)+LOOKUP(,-1/($Z$12:Z418=1),$H$12:H418)-IF(AA417="Да",0,SUM(INDIRECT("T"&amp;(MAX(("Да"=AA$12:AA417)*ROW(AA$12:AA417)+1,ROW($T$12))&amp;":T"&amp;(ROW()-1))))),Первоначальный[[#This Row],[Полученный платеж]]+Y417),
AND(S417=0,MAX((0&lt;&gt;N$12:N417)*ROW(N$12:N417),ROW($S$12))&gt;=MAX((1=Z$12:Z417)*ROW(Z$12:Z417),ROW($T$12))),MIN(LOOKUP(,-1/($Z$12:Z418=1),$C$12:C418)+LOOKUP(,-1/($Z$12:Z418=1),$H$12:H418)-IF(N417&lt;&gt;0,0,SUM(INDIRECT("T"&amp;(MAX((0&lt;&gt;N$12:N417)*ROW(N$12:N417)+1,ROW($T$12))&amp;":T"&amp;(ROW()-1))))),Первоначальный[[#This Row],[Полученный платеж]]+Y417),
AND(S417=0,Первоначальный[[#This Row],[Дата платежа из графика]]=1),MIN(LOOKUP(,-1/($Z$12:Z418=1),$C$12:C418)+LOOKUP(,-1/($Z$12:Z418=1),$H$12:H418)-IF(Z417=1,0,SUM(INDIRECT("T"&amp;(MAX((1=Z$12:Z417)*ROW(Z$12:Z417)+1,ROW($T$12))&amp;":T"&amp;(ROW()-1))))),Первоначальный[[#This Row],[Полученный платеж]]+Y417),
AND(Z417&gt;0,Первоначальный[[#This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платеж]]+Y417),
AND(S417&gt;0,MAX((0&lt;&gt;S$12:S417)*ROW(S$12:S417),ROW($S$12))&gt;=MAX((1=Z$12:Z417)*ROW(Z$12:Z417),ROW($T$12)),TYPE(VLOOKUP("Да",(INDIRECT("AA"&amp;(MAX((1=Z$12:Z417)*ROW(Z$12:Z417),ROW($T$12))&amp;":AA"&amp;(ROW()-1)))),1,0))=16),MIN(LOOKUP(,-1/($Z$12:Z418=1),$C$12:C418)+LOOKUP(,-1/($Z$12:Z418=1),$H$12:H418)-SUM(INDIRECT("T"&amp;(MAX((1=Z$12:Z417)*ROW(Z$12:Z417),ROW($T$12))&amp;":T"&amp;(ROW()-1)))),Первоначальный[[#This Row],[Полученный платеж]]+Y417),
S417&gt;0,MIN(LOOKUP(,-1/($Z$12:Z418=1),$C$12:C418)+LOOKUP(,-1/($Z$12:Z418=1),$H$12:H418)-IF(Z417=1,0,SUM(INDIRECT("T"&amp;(MAX((1=Z$12:Z417)*ROW(Z$12:Z417)+1,ROW($T$12))&amp;":T"&amp;(ROW()-1))))),Первоначальный[[#This Row],[Полученный платеж]]+Y417)
)
)
)</f>
        <v>0</v>
      </c>
      <c r="U41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платеж]]+Y417-Первоначальный[[#This Row],[Полученный платёж по процентам]])</f>
        <v>0</v>
      </c>
      <c r="V418" s="55">
        <f t="shared" ca="1" si="73"/>
        <v>0</v>
      </c>
      <c r="W418" s="55" cm="1">
        <f t="array" aca="1" ref="W418" ca="1">IF(Первоначальный[[#This Row],[Итого остаток на начало периода]]&lt;1,0,
_xlfn.IFS(
AND(TYPE(VLOOKUP(1,$Z$12:Z418,1,0))=16,Первоначальный[[#This Row],[Досрочное погашение (да/"")]]=""),0,
AND(S417=0,Первоначальный[[#This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платеж]]+Y417-SUM(Первоначальный[[#This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комиссиям]]),VLOOKUP(LOOKUP(,-1/($Z$12:Z418=1),$A$12:A418),График[[Срок конец]:[Возврат основной суммы долга]],3,0)),
AND(S417=0,Первоначальный[[#This Row],[Дата платежа из графика]]="",Первоначальный[[#This Row],[Досрочное погашение (да/"")]]&lt;&gt;"Да"),0,
AND(S417=0,Первоначальный[[#This Row],[Досрочное погашение (да/"")]]=""),MIN(Первоначальный[[#This Row],[Полученный платеж]]+Y417-SUM(Первоначальный[[#This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комиссиям]]),VLOOKUP(LOOKUP(,-1/($Z$12:Z418=1),$A$12:A418),График[[Срок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платеж]]+Y417-SUM(Первоначальный[[#This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S417&gt;0,MIN(Первоначальный[[#This Row],[Полученный платеж]]+Y417-SUM(Первоначальный[[#This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комиссиям]]),SUM(INDIRECT("M"&amp;(MAX((1=S$12:S417)*ROW(S$12:S417),ROW($W$12))&amp;":M"&amp;(ROW()))))-SUM(INDIRECT("W"&amp;(MAX((1=S$12:S417)*ROW(S$12:S417),ROW($W$12))&amp;":W"&amp;(ROW()-1)))))
)
)</f>
        <v>0</v>
      </c>
      <c r="X418" s="55">
        <f t="shared" ca="1" si="74"/>
        <v>0</v>
      </c>
      <c r="Y418" s="101">
        <f t="shared" ca="1" si="81"/>
        <v>0</v>
      </c>
      <c r="Z418" s="133" t="str">
        <f>IF(TYPE((VLOOKUP(Первоначальный[[#This Row],[Дата платежа]],График[Срок конец],1,0)))=16,"",1)</f>
        <v/>
      </c>
      <c r="AA418" s="57"/>
      <c r="AB418" s="134"/>
      <c r="AC41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1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27611.649999999954</v>
      </c>
      <c r="AE41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439.05000000000052</v>
      </c>
      <c r="AF41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1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25965.210029508264</v>
      </c>
      <c r="AH418" s="55"/>
      <c r="AI418" s="55"/>
      <c r="AJ418" s="55"/>
      <c r="AK418" s="101">
        <f t="shared" ca="1" si="82"/>
        <v>203649.2500295082</v>
      </c>
      <c r="AL418" s="129">
        <f t="array" ref="AL418">MAX((УслРестрактов[Характеристика]="Дата реструктуризации")*(УслРестрактов[Значение]=Первоначальный!$A418),0)</f>
        <v>0</v>
      </c>
    </row>
    <row r="419" spans="1:38" x14ac:dyDescent="0.25">
      <c r="A419" s="97">
        <f t="shared" si="75"/>
        <v>44550</v>
      </c>
      <c r="B419" s="100">
        <f t="shared" ca="1" si="76"/>
        <v>149633.34</v>
      </c>
      <c r="C419" s="55">
        <f t="shared" ca="1" si="84"/>
        <v>27611.649999999954</v>
      </c>
      <c r="D419" s="55">
        <f t="shared" ca="1" si="84"/>
        <v>439.05000000000052</v>
      </c>
      <c r="E419" s="55">
        <f t="shared" ca="1" si="77"/>
        <v>0</v>
      </c>
      <c r="F419" s="55">
        <f t="shared" ca="1" si="78"/>
        <v>25965.210029508264</v>
      </c>
      <c r="G419" s="101">
        <f t="shared" ca="1" si="79"/>
        <v>203649.2500295082</v>
      </c>
      <c r="H419" s="100">
        <f ca="1">ROUND($B419*VLOOKUP($A419,$A$1:$B$10,2,1)/(365+IF(MOD(YEAR($A419),4),0,1)*($A419-$A418)),2)-Первоначальный[[#This Row],[Проценты на просроченный платеж по ОД за период]]</f>
        <v>78.84</v>
      </c>
      <c r="I419" s="55">
        <f t="shared" ca="1" si="80"/>
        <v>2.74</v>
      </c>
      <c r="J419" s="55">
        <v>0</v>
      </c>
      <c r="K419" s="55">
        <f t="shared" ca="1" si="83"/>
        <v>159.26850327868851</v>
      </c>
      <c r="L419" s="55">
        <v>0</v>
      </c>
      <c r="M419" s="113">
        <f>SUMIFS(График[Возврат основной суммы долга],График[Дата с учетом нерабочих дней],$A419)</f>
        <v>0</v>
      </c>
      <c r="N419" s="56">
        <f>SUMIFS(График[Возврат начисленных %],График[Дата с учетом нерабочих дней],$A419)</f>
        <v>0</v>
      </c>
      <c r="O419" s="101">
        <v>0</v>
      </c>
      <c r="P419" s="100" cm="1">
        <f t="array" aca="1" ref="P419" ca="1">MAX(IF(AA418="Да",0,SUM(INDIRECT("M"&amp;(MAX(("Да"=AA$12:AA418)*ROW(AA$12:AA418)+1,ROW($P$12))&amp;":M"&amp;(ROW()))))-SUM(INDIRECT("W"&amp;(MAX(("Да"=AA$12:AA418)*ROW(AA$12:AA418)+1,ROW($P$12))&amp;":W"&amp;(ROW()))))),0)</f>
        <v>5031.6299999999992</v>
      </c>
      <c r="Q419" s="99">
        <f ca="1">MAX(SUM($N$13:N419)-SUM($T$13:T419),0)</f>
        <v>26822.070655737705</v>
      </c>
      <c r="R419" s="99">
        <f ca="1">Первоначальный[[#This Row],[Просроченный платеж по ОД]]+Первоначальный[[#This Row],[Просроченный платеж по процентам]]</f>
        <v>31853.700655737703</v>
      </c>
      <c r="S419" s="120">
        <f ca="1">IF(Первоначальный[[#This Row],[Просроченный платеж]]&lt;1,0,S418+1)</f>
        <v>315</v>
      </c>
      <c r="T419" s="100" cm="1">
        <f t="array" aca="1" ref="T419" ca="1">IF(Первоначальный[[#This Row],[Итого остаток на начало периода]]&lt;1,0,
IF(
AND(TYPE(VLOOKUP(1,$Z$12:Z419,1,0))=16,Первоначальный[[#This Row],[Досрочное погашение (да/"")]]=""),0,
_xlfn.IFS(AND(S418=0,Первоначальный[[#This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платеж]]&lt;&gt;0),MIN(LOOKUP(,-1/($Z$12:Z419=1),$C$12:C419)+LOOKUP(,-1/($Z$12:Z419=1),$H$12:H419),Первоначальный[[#This Row],[Полученный платеж]]+Y418),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платеж]]+Y418,SUM(Первоначальный[[#This Row],[Остаток процентов на начало периода]],Первоначальный[[#This Row],[Проценты за период]])),
AND(S418=0,Первоначальный[[#This Row],[Дата платежа из графика]]=""),0,
AND(S418=0,Первоначальный[[#This Row],[Дата платежа из графика]]=1,MAX((0&lt;&gt;S$12:S418)*ROW(S$12:S418),ROW($S$12))&gt;=MAX((1=Z$12:Z418)*ROW(Z$12:Z418),ROW($T$12)),TYPE(VLOOKUP("Да",(INDIRECT("AA"&amp;(MAX((1=Z$12:Z418)*ROW(Z$12:Z418),ROW($T$12))&amp;":AA"&amp;(ROW()-1)))),1,0))=16),MIN(LOOKUP(,-1/($Z$12:Z419=1),$C$12:C419)+LOOKUP(,-1/($Z$12:Z419=1),$H$12:H419),Первоначальный[[#This Row],[Полученный платеж]]+Y418),
AND(S418=0,TYPE(VLOOKUP("Да",(INDIRECT("AA"&amp;(MAX((1=Z$12:Z418)*ROW(Z$12:Z418),ROW($T$12))&amp;":AA"&amp;(ROW()-1)))),1,0))&lt;&gt;16),MIN(LOOKUP(,-1/($Z$12:Z419=1),$C$12:C419)+LOOKUP(,-1/($Z$12:Z419=1),$H$12:H419)-IF(AA418="Да",0,SUM(INDIRECT("T"&amp;(MAX(("Да"=AA$12:AA418)*ROW(AA$12:AA418)+1,ROW($T$12))&amp;":T"&amp;(ROW()-1))))),Первоначальный[[#This Row],[Полученный платеж]]+Y418),
AND(S418=0,MAX((0&lt;&gt;N$12:N418)*ROW(N$12:N418),ROW($S$12))&gt;=MAX((1=Z$12:Z418)*ROW(Z$12:Z418),ROW($T$12))),MIN(LOOKUP(,-1/($Z$12:Z419=1),$C$12:C419)+LOOKUP(,-1/($Z$12:Z419=1),$H$12:H419)-IF(N418&lt;&gt;0,0,SUM(INDIRECT("T"&amp;(MAX((0&lt;&gt;N$12:N418)*ROW(N$12:N418)+1,ROW($T$12))&amp;":T"&amp;(ROW()-1))))),Первоначальный[[#This Row],[Полученный платеж]]+Y418),
AND(S418=0,Первоначальный[[#This Row],[Дата платежа из графика]]=1),MIN(LOOKUP(,-1/($Z$12:Z419=1),$C$12:C419)+LOOKUP(,-1/($Z$12:Z419=1),$H$12:H419)-IF(Z418=1,0,SUM(INDIRECT("T"&amp;(MAX((1=Z$12:Z418)*ROW(Z$12:Z418)+1,ROW($T$12))&amp;":T"&amp;(ROW()-1))))),Первоначальный[[#This Row],[Полученный платеж]]+Y418),
AND(Z418&gt;0,Первоначальный[[#This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платеж]]+Y418),
AND(S418&gt;0,MAX((0&lt;&gt;S$12:S418)*ROW(S$12:S418),ROW($S$12))&gt;=MAX((1=Z$12:Z418)*ROW(Z$12:Z418),ROW($T$12)),TYPE(VLOOKUP("Да",(INDIRECT("AA"&amp;(MAX((1=Z$12:Z418)*ROW(Z$12:Z418),ROW($T$12))&amp;":AA"&amp;(ROW()-1)))),1,0))=16),MIN(LOOKUP(,-1/($Z$12:Z419=1),$C$12:C419)+LOOKUP(,-1/($Z$12:Z419=1),$H$12:H419)-SUM(INDIRECT("T"&amp;(MAX((1=Z$12:Z418)*ROW(Z$12:Z418),ROW($T$12))&amp;":T"&amp;(ROW()-1)))),Первоначальный[[#This Row],[Полученный платеж]]+Y418),
S418&gt;0,MIN(LOOKUP(,-1/($Z$12:Z419=1),$C$12:C419)+LOOKUP(,-1/($Z$12:Z419=1),$H$12:H419)-IF(Z418=1,0,SUM(INDIRECT("T"&amp;(MAX((1=Z$12:Z418)*ROW(Z$12:Z418)+1,ROW($T$12))&amp;":T"&amp;(ROW()-1))))),Первоначальный[[#This Row],[Полученный платеж]]+Y418)
)
)
)</f>
        <v>0</v>
      </c>
      <c r="U41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платеж]]+Y418-Первоначальный[[#This Row],[Полученный платёж по процентам]])</f>
        <v>0</v>
      </c>
      <c r="V419" s="55">
        <f t="shared" ca="1" si="73"/>
        <v>0</v>
      </c>
      <c r="W419" s="55" cm="1">
        <f t="array" aca="1" ref="W419" ca="1">IF(Первоначальный[[#This Row],[Итого остаток на начало периода]]&lt;1,0,
_xlfn.IFS(
AND(TYPE(VLOOKUP(1,$Z$12:Z419,1,0))=16,Первоначальный[[#This Row],[Досрочное погашение (да/"")]]=""),0,
AND(S418=0,Первоначальный[[#This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платеж]]+Y418-SUM(Первоначальный[[#This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комиссиям]]),VLOOKUP(LOOKUP(,-1/($Z$12:Z419=1),$A$12:A419),График[[Срок конец]:[Возврат основной суммы долга]],3,0)),
AND(S418=0,Первоначальный[[#This Row],[Дата платежа из графика]]="",Первоначальный[[#This Row],[Досрочное погашение (да/"")]]&lt;&gt;"Да"),0,
AND(S418=0,Первоначальный[[#This Row],[Досрочное погашение (да/"")]]=""),MIN(Первоначальный[[#This Row],[Полученный платеж]]+Y418-SUM(Первоначальный[[#This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комиссиям]]),VLOOKUP(LOOKUP(,-1/($Z$12:Z419=1),$A$12:A419),График[[Срок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платеж]]+Y418-SUM(Первоначальный[[#This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S418&gt;0,MIN(Первоначальный[[#This Row],[Полученный платеж]]+Y418-SUM(Первоначальный[[#This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комиссиям]]),SUM(INDIRECT("M"&amp;(MAX((1=S$12:S418)*ROW(S$12:S418),ROW($W$12))&amp;":M"&amp;(ROW()))))-SUM(INDIRECT("W"&amp;(MAX((1=S$12:S418)*ROW(S$12:S418),ROW($W$12))&amp;":W"&amp;(ROW()-1)))))
)
)</f>
        <v>0</v>
      </c>
      <c r="X419" s="55">
        <f t="shared" ca="1" si="74"/>
        <v>0</v>
      </c>
      <c r="Y419" s="101">
        <f t="shared" ca="1" si="81"/>
        <v>0</v>
      </c>
      <c r="Z419" s="133" t="str">
        <f>IF(TYPE((VLOOKUP(Первоначальный[[#This Row],[Дата платежа]],График[Срок конец],1,0)))=16,"",1)</f>
        <v/>
      </c>
      <c r="AA419" s="57"/>
      <c r="AB419" s="134"/>
      <c r="AC41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1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27690.489999999954</v>
      </c>
      <c r="AE41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441.79000000000053</v>
      </c>
      <c r="AF41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1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26124.478532786954</v>
      </c>
      <c r="AH419" s="55"/>
      <c r="AI419" s="55"/>
      <c r="AJ419" s="55"/>
      <c r="AK419" s="101">
        <f t="shared" ca="1" si="82"/>
        <v>203890.09853278691</v>
      </c>
      <c r="AL419" s="129">
        <f t="array" ref="AL419">MAX((УслРестрактов[Характеристика]="Дата реструктуризации")*(УслРестрактов[Значение]=Первоначальный!$A419),0)</f>
        <v>0</v>
      </c>
    </row>
    <row r="420" spans="1:38" x14ac:dyDescent="0.25">
      <c r="A420" s="97">
        <f t="shared" si="75"/>
        <v>44551</v>
      </c>
      <c r="B420" s="100">
        <f t="shared" ca="1" si="76"/>
        <v>149633.34</v>
      </c>
      <c r="C420" s="55">
        <f t="shared" ca="1" si="84"/>
        <v>27690.489999999954</v>
      </c>
      <c r="D420" s="55">
        <f t="shared" ca="1" si="84"/>
        <v>441.79000000000053</v>
      </c>
      <c r="E420" s="55">
        <f t="shared" ca="1" si="77"/>
        <v>0</v>
      </c>
      <c r="F420" s="55">
        <f t="shared" ca="1" si="78"/>
        <v>26124.478532786954</v>
      </c>
      <c r="G420" s="101">
        <f t="shared" ca="1" si="79"/>
        <v>203890.09853278691</v>
      </c>
      <c r="H420" s="100">
        <f ca="1">ROUND($B420*VLOOKUP($A420,$A$1:$B$10,2,1)/(365+IF(MOD(YEAR($A420),4),0,1)*($A420-$A419)),2)-Первоначальный[[#This Row],[Проценты на просроченный платеж по ОД за период]]</f>
        <v>78.84</v>
      </c>
      <c r="I420" s="55">
        <f t="shared" ca="1" si="80"/>
        <v>2.74</v>
      </c>
      <c r="J420" s="55">
        <v>0</v>
      </c>
      <c r="K420" s="55">
        <f t="shared" ca="1" si="83"/>
        <v>159.26850327868851</v>
      </c>
      <c r="L420" s="55">
        <v>0</v>
      </c>
      <c r="M420" s="113">
        <f>SUMIFS(График[Возврат основной суммы долга],График[Дата с учетом нерабочих дней],$A420)</f>
        <v>0</v>
      </c>
      <c r="N420" s="56">
        <f>SUMIFS(График[Возврат начисленных %],График[Дата с учетом нерабочих дней],$A420)</f>
        <v>0</v>
      </c>
      <c r="O420" s="101">
        <v>0</v>
      </c>
      <c r="P420" s="100" cm="1">
        <f t="array" aca="1" ref="P420" ca="1">MAX(IF(AA419="Да",0,SUM(INDIRECT("M"&amp;(MAX(("Да"=AA$12:AA419)*ROW(AA$12:AA419)+1,ROW($P$12))&amp;":M"&amp;(ROW()))))-SUM(INDIRECT("W"&amp;(MAX(("Да"=AA$12:AA419)*ROW(AA$12:AA419)+1,ROW($P$12))&amp;":W"&amp;(ROW()))))),0)</f>
        <v>5031.6299999999992</v>
      </c>
      <c r="Q420" s="99">
        <f ca="1">MAX(SUM($N$13:N420)-SUM($T$13:T420),0)</f>
        <v>26822.070655737705</v>
      </c>
      <c r="R420" s="99">
        <f ca="1">Первоначальный[[#This Row],[Просроченный платеж по ОД]]+Первоначальный[[#This Row],[Просроченный платеж по процентам]]</f>
        <v>31853.700655737703</v>
      </c>
      <c r="S420" s="120">
        <f ca="1">IF(Первоначальный[[#This Row],[Просроченный платеж]]&lt;1,0,S419+1)</f>
        <v>316</v>
      </c>
      <c r="T420" s="100" cm="1">
        <f t="array" aca="1" ref="T420" ca="1">IF(Первоначальный[[#This Row],[Итого остаток на начало периода]]&lt;1,0,
IF(
AND(TYPE(VLOOKUP(1,$Z$12:Z420,1,0))=16,Первоначальный[[#This Row],[Досрочное погашение (да/"")]]=""),0,
_xlfn.IFS(AND(S419=0,Первоначальный[[#This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платеж]]&lt;&gt;0),MIN(LOOKUP(,-1/($Z$12:Z420=1),$C$12:C420)+LOOKUP(,-1/($Z$12:Z420=1),$H$12:H420),Первоначальный[[#This Row],[Полученный платеж]]+Y419),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платеж]]+Y419,SUM(Первоначальный[[#This Row],[Остаток процентов на начало периода]],Первоначальный[[#This Row],[Проценты за период]])),
AND(S419=0,Первоначальный[[#This Row],[Дата платежа из графика]]=""),0,
AND(S419=0,Первоначальный[[#This Row],[Дата платежа из графика]]=1,MAX((0&lt;&gt;S$12:S419)*ROW(S$12:S419),ROW($S$12))&gt;=MAX((1=Z$12:Z419)*ROW(Z$12:Z419),ROW($T$12)),TYPE(VLOOKUP("Да",(INDIRECT("AA"&amp;(MAX((1=Z$12:Z419)*ROW(Z$12:Z419),ROW($T$12))&amp;":AA"&amp;(ROW()-1)))),1,0))=16),MIN(LOOKUP(,-1/($Z$12:Z420=1),$C$12:C420)+LOOKUP(,-1/($Z$12:Z420=1),$H$12:H420),Первоначальный[[#This Row],[Полученный платеж]]+Y419),
AND(S419=0,TYPE(VLOOKUP("Да",(INDIRECT("AA"&amp;(MAX((1=Z$12:Z419)*ROW(Z$12:Z419),ROW($T$12))&amp;":AA"&amp;(ROW()-1)))),1,0))&lt;&gt;16),MIN(LOOKUP(,-1/($Z$12:Z420=1),$C$12:C420)+LOOKUP(,-1/($Z$12:Z420=1),$H$12:H420)-IF(AA419="Да",0,SUM(INDIRECT("T"&amp;(MAX(("Да"=AA$12:AA419)*ROW(AA$12:AA419)+1,ROW($T$12))&amp;":T"&amp;(ROW()-1))))),Первоначальный[[#This Row],[Полученный платеж]]+Y419),
AND(S419=0,MAX((0&lt;&gt;N$12:N419)*ROW(N$12:N419),ROW($S$12))&gt;=MAX((1=Z$12:Z419)*ROW(Z$12:Z419),ROW($T$12))),MIN(LOOKUP(,-1/($Z$12:Z420=1),$C$12:C420)+LOOKUP(,-1/($Z$12:Z420=1),$H$12:H420)-IF(N419&lt;&gt;0,0,SUM(INDIRECT("T"&amp;(MAX((0&lt;&gt;N$12:N419)*ROW(N$12:N419)+1,ROW($T$12))&amp;":T"&amp;(ROW()-1))))),Первоначальный[[#This Row],[Полученный платеж]]+Y419),
AND(S419=0,Первоначальный[[#This Row],[Дата платежа из графика]]=1),MIN(LOOKUP(,-1/($Z$12:Z420=1),$C$12:C420)+LOOKUP(,-1/($Z$12:Z420=1),$H$12:H420)-IF(Z419=1,0,SUM(INDIRECT("T"&amp;(MAX((1=Z$12:Z419)*ROW(Z$12:Z419)+1,ROW($T$12))&amp;":T"&amp;(ROW()-1))))),Первоначальный[[#This Row],[Полученный платеж]]+Y419),
AND(Z419&gt;0,Первоначальный[[#This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платеж]]+Y419),
AND(S419&gt;0,MAX((0&lt;&gt;S$12:S419)*ROW(S$12:S419),ROW($S$12))&gt;=MAX((1=Z$12:Z419)*ROW(Z$12:Z419),ROW($T$12)),TYPE(VLOOKUP("Да",(INDIRECT("AA"&amp;(MAX((1=Z$12:Z419)*ROW(Z$12:Z419),ROW($T$12))&amp;":AA"&amp;(ROW()-1)))),1,0))=16),MIN(LOOKUP(,-1/($Z$12:Z420=1),$C$12:C420)+LOOKUP(,-1/($Z$12:Z420=1),$H$12:H420)-SUM(INDIRECT("T"&amp;(MAX((1=Z$12:Z419)*ROW(Z$12:Z419),ROW($T$12))&amp;":T"&amp;(ROW()-1)))),Первоначальный[[#This Row],[Полученный платеж]]+Y419),
S419&gt;0,MIN(LOOKUP(,-1/($Z$12:Z420=1),$C$12:C420)+LOOKUP(,-1/($Z$12:Z420=1),$H$12:H420)-IF(Z419=1,0,SUM(INDIRECT("T"&amp;(MAX((1=Z$12:Z419)*ROW(Z$12:Z419)+1,ROW($T$12))&amp;":T"&amp;(ROW()-1))))),Первоначальный[[#This Row],[Полученный платеж]]+Y419)
)
)
)</f>
        <v>0</v>
      </c>
      <c r="U42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платеж]]+Y419-Первоначальный[[#This Row],[Полученный платёж по процентам]])</f>
        <v>0</v>
      </c>
      <c r="V420" s="55">
        <f t="shared" ca="1" si="73"/>
        <v>0</v>
      </c>
      <c r="W420" s="55" cm="1">
        <f t="array" aca="1" ref="W420" ca="1">IF(Первоначальный[[#This Row],[Итого остаток на начало периода]]&lt;1,0,
_xlfn.IFS(
AND(TYPE(VLOOKUP(1,$Z$12:Z420,1,0))=16,Первоначальный[[#This Row],[Досрочное погашение (да/"")]]=""),0,
AND(S419=0,Первоначальный[[#This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платеж]]+Y419-SUM(Первоначальный[[#This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комиссиям]]),VLOOKUP(LOOKUP(,-1/($Z$12:Z420=1),$A$12:A420),График[[Срок конец]:[Возврат основной суммы долга]],3,0)),
AND(S419=0,Первоначальный[[#This Row],[Дата платежа из графика]]="",Первоначальный[[#This Row],[Досрочное погашение (да/"")]]&lt;&gt;"Да"),0,
AND(S419=0,Первоначальный[[#This Row],[Досрочное погашение (да/"")]]=""),MIN(Первоначальный[[#This Row],[Полученный платеж]]+Y419-SUM(Первоначальный[[#This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комиссиям]]),VLOOKUP(LOOKUP(,-1/($Z$12:Z420=1),$A$12:A420),График[[Срок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платеж]]+Y419-SUM(Первоначальный[[#This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S419&gt;0,MIN(Первоначальный[[#This Row],[Полученный платеж]]+Y419-SUM(Первоначальный[[#This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комиссиям]]),SUM(INDIRECT("M"&amp;(MAX((1=S$12:S419)*ROW(S$12:S419),ROW($W$12))&amp;":M"&amp;(ROW()))))-SUM(INDIRECT("W"&amp;(MAX((1=S$12:S419)*ROW(S$12:S419),ROW($W$12))&amp;":W"&amp;(ROW()-1)))))
)
)</f>
        <v>0</v>
      </c>
      <c r="X420" s="55">
        <f t="shared" ca="1" si="74"/>
        <v>0</v>
      </c>
      <c r="Y420" s="101">
        <f t="shared" ca="1" si="81"/>
        <v>0</v>
      </c>
      <c r="Z420" s="133" t="str">
        <f>IF(TYPE((VLOOKUP(Первоначальный[[#This Row],[Дата платежа]],График[Срок конец],1,0)))=16,"",1)</f>
        <v/>
      </c>
      <c r="AA420" s="57"/>
      <c r="AB420" s="134"/>
      <c r="AC42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2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27769.329999999954</v>
      </c>
      <c r="AE42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444.53000000000054</v>
      </c>
      <c r="AF42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2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26283.747036065644</v>
      </c>
      <c r="AH420" s="55"/>
      <c r="AI420" s="55"/>
      <c r="AJ420" s="55"/>
      <c r="AK420" s="101">
        <f t="shared" ca="1" si="82"/>
        <v>204130.9470360656</v>
      </c>
      <c r="AL420" s="129">
        <f t="array" ref="AL420">MAX((УслРестрактов[Характеристика]="Дата реструктуризации")*(УслРестрактов[Значение]=Первоначальный!$A420),0)</f>
        <v>0</v>
      </c>
    </row>
    <row r="421" spans="1:38" x14ac:dyDescent="0.25">
      <c r="A421" s="97">
        <f t="shared" si="75"/>
        <v>44552</v>
      </c>
      <c r="B421" s="100">
        <f t="shared" ca="1" si="76"/>
        <v>149633.34</v>
      </c>
      <c r="C421" s="55">
        <f t="shared" ca="1" si="84"/>
        <v>27769.329999999954</v>
      </c>
      <c r="D421" s="55">
        <f t="shared" ca="1" si="84"/>
        <v>444.53000000000054</v>
      </c>
      <c r="E421" s="55">
        <f t="shared" ca="1" si="77"/>
        <v>0</v>
      </c>
      <c r="F421" s="55">
        <f t="shared" ca="1" si="78"/>
        <v>26283.747036065644</v>
      </c>
      <c r="G421" s="101">
        <f t="shared" ca="1" si="79"/>
        <v>204130.9470360656</v>
      </c>
      <c r="H421" s="100">
        <f ca="1">ROUND($B421*VLOOKUP($A421,$A$1:$B$10,2,1)/(365+IF(MOD(YEAR($A421),4),0,1)*($A421-$A420)),2)-Первоначальный[[#This Row],[Проценты на просроченный платеж по ОД за период]]</f>
        <v>78.84</v>
      </c>
      <c r="I421" s="55">
        <f t="shared" ca="1" si="80"/>
        <v>2.74</v>
      </c>
      <c r="J421" s="55">
        <v>0</v>
      </c>
      <c r="K421" s="55">
        <f t="shared" ca="1" si="83"/>
        <v>159.26850327868851</v>
      </c>
      <c r="L421" s="55">
        <v>0</v>
      </c>
      <c r="M421" s="113">
        <f>SUMIFS(График[Возврат основной суммы долга],График[Дата с учетом нерабочих дней],$A421)</f>
        <v>0</v>
      </c>
      <c r="N421" s="56">
        <f>SUMIFS(График[Возврат начисленных %],График[Дата с учетом нерабочих дней],$A421)</f>
        <v>0</v>
      </c>
      <c r="O421" s="101">
        <v>0</v>
      </c>
      <c r="P421" s="100" cm="1">
        <f t="array" aca="1" ref="P421" ca="1">MAX(IF(AA420="Да",0,SUM(INDIRECT("M"&amp;(MAX(("Да"=AA$12:AA420)*ROW(AA$12:AA420)+1,ROW($P$12))&amp;":M"&amp;(ROW()))))-SUM(INDIRECT("W"&amp;(MAX(("Да"=AA$12:AA420)*ROW(AA$12:AA420)+1,ROW($P$12))&amp;":W"&amp;(ROW()))))),0)</f>
        <v>5031.6299999999992</v>
      </c>
      <c r="Q421" s="99">
        <f ca="1">MAX(SUM($N$13:N421)-SUM($T$13:T421),0)</f>
        <v>26822.070655737705</v>
      </c>
      <c r="R421" s="99">
        <f ca="1">Первоначальный[[#This Row],[Просроченный платеж по ОД]]+Первоначальный[[#This Row],[Просроченный платеж по процентам]]</f>
        <v>31853.700655737703</v>
      </c>
      <c r="S421" s="120">
        <f ca="1">IF(Первоначальный[[#This Row],[Просроченный платеж]]&lt;1,0,S420+1)</f>
        <v>317</v>
      </c>
      <c r="T421" s="100" cm="1">
        <f t="array" aca="1" ref="T421" ca="1">IF(Первоначальный[[#This Row],[Итого остаток на начало периода]]&lt;1,0,
IF(
AND(TYPE(VLOOKUP(1,$Z$12:Z421,1,0))=16,Первоначальный[[#This Row],[Досрочное погашение (да/"")]]=""),0,
_xlfn.IFS(AND(S420=0,Первоначальный[[#This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платеж]]&lt;&gt;0),MIN(LOOKUP(,-1/($Z$12:Z421=1),$C$12:C421)+LOOKUP(,-1/($Z$12:Z421=1),$H$12:H421),Первоначальный[[#This Row],[Полученный платеж]]+Y420),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платеж]]+Y420,SUM(Первоначальный[[#This Row],[Остаток процентов на начало периода]],Первоначальный[[#This Row],[Проценты за период]])),
AND(S420=0,Первоначальный[[#This Row],[Дата платежа из графика]]=""),0,
AND(S420=0,Первоначальный[[#This Row],[Дата платежа из графика]]=1,MAX((0&lt;&gt;S$12:S420)*ROW(S$12:S420),ROW($S$12))&gt;=MAX((1=Z$12:Z420)*ROW(Z$12:Z420),ROW($T$12)),TYPE(VLOOKUP("Да",(INDIRECT("AA"&amp;(MAX((1=Z$12:Z420)*ROW(Z$12:Z420),ROW($T$12))&amp;":AA"&amp;(ROW()-1)))),1,0))=16),MIN(LOOKUP(,-1/($Z$12:Z421=1),$C$12:C421)+LOOKUP(,-1/($Z$12:Z421=1),$H$12:H421),Первоначальный[[#This Row],[Полученный платеж]]+Y420),
AND(S420=0,TYPE(VLOOKUP("Да",(INDIRECT("AA"&amp;(MAX((1=Z$12:Z420)*ROW(Z$12:Z420),ROW($T$12))&amp;":AA"&amp;(ROW()-1)))),1,0))&lt;&gt;16),MIN(LOOKUP(,-1/($Z$12:Z421=1),$C$12:C421)+LOOKUP(,-1/($Z$12:Z421=1),$H$12:H421)-IF(AA420="Да",0,SUM(INDIRECT("T"&amp;(MAX(("Да"=AA$12:AA420)*ROW(AA$12:AA420)+1,ROW($T$12))&amp;":T"&amp;(ROW()-1))))),Первоначальный[[#This Row],[Полученный платеж]]+Y420),
AND(S420=0,MAX((0&lt;&gt;N$12:N420)*ROW(N$12:N420),ROW($S$12))&gt;=MAX((1=Z$12:Z420)*ROW(Z$12:Z420),ROW($T$12))),MIN(LOOKUP(,-1/($Z$12:Z421=1),$C$12:C421)+LOOKUP(,-1/($Z$12:Z421=1),$H$12:H421)-IF(N420&lt;&gt;0,0,SUM(INDIRECT("T"&amp;(MAX((0&lt;&gt;N$12:N420)*ROW(N$12:N420)+1,ROW($T$12))&amp;":T"&amp;(ROW()-1))))),Первоначальный[[#This Row],[Полученный платеж]]+Y420),
AND(S420=0,Первоначальный[[#This Row],[Дата платежа из графика]]=1),MIN(LOOKUP(,-1/($Z$12:Z421=1),$C$12:C421)+LOOKUP(,-1/($Z$12:Z421=1),$H$12:H421)-IF(Z420=1,0,SUM(INDIRECT("T"&amp;(MAX((1=Z$12:Z420)*ROW(Z$12:Z420)+1,ROW($T$12))&amp;":T"&amp;(ROW()-1))))),Первоначальный[[#This Row],[Полученный платеж]]+Y420),
AND(Z420&gt;0,Первоначальный[[#This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платеж]]+Y420),
AND(S420&gt;0,MAX((0&lt;&gt;S$12:S420)*ROW(S$12:S420),ROW($S$12))&gt;=MAX((1=Z$12:Z420)*ROW(Z$12:Z420),ROW($T$12)),TYPE(VLOOKUP("Да",(INDIRECT("AA"&amp;(MAX((1=Z$12:Z420)*ROW(Z$12:Z420),ROW($T$12))&amp;":AA"&amp;(ROW()-1)))),1,0))=16),MIN(LOOKUP(,-1/($Z$12:Z421=1),$C$12:C421)+LOOKUP(,-1/($Z$12:Z421=1),$H$12:H421)-SUM(INDIRECT("T"&amp;(MAX((1=Z$12:Z420)*ROW(Z$12:Z420),ROW($T$12))&amp;":T"&amp;(ROW()-1)))),Первоначальный[[#This Row],[Полученный платеж]]+Y420),
S420&gt;0,MIN(LOOKUP(,-1/($Z$12:Z421=1),$C$12:C421)+LOOKUP(,-1/($Z$12:Z421=1),$H$12:H421)-IF(Z420=1,0,SUM(INDIRECT("T"&amp;(MAX((1=Z$12:Z420)*ROW(Z$12:Z420)+1,ROW($T$12))&amp;":T"&amp;(ROW()-1))))),Первоначальный[[#This Row],[Полученный платеж]]+Y420)
)
)
)</f>
        <v>0</v>
      </c>
      <c r="U42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платеж]]+Y420-Первоначальный[[#This Row],[Полученный платёж по процентам]])</f>
        <v>0</v>
      </c>
      <c r="V421" s="55">
        <f t="shared" ca="1" si="73"/>
        <v>0</v>
      </c>
      <c r="W421" s="55" cm="1">
        <f t="array" aca="1" ref="W421" ca="1">IF(Первоначальный[[#This Row],[Итого остаток на начало периода]]&lt;1,0,
_xlfn.IFS(
AND(TYPE(VLOOKUP(1,$Z$12:Z421,1,0))=16,Первоначальный[[#This Row],[Досрочное погашение (да/"")]]=""),0,
AND(S420=0,Первоначальный[[#This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платеж]]+Y420-SUM(Первоначальный[[#This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комиссиям]]),VLOOKUP(LOOKUP(,-1/($Z$12:Z421=1),$A$12:A421),График[[Срок конец]:[Возврат основной суммы долга]],3,0)),
AND(S420=0,Первоначальный[[#This Row],[Дата платежа из графика]]="",Первоначальный[[#This Row],[Досрочное погашение (да/"")]]&lt;&gt;"Да"),0,
AND(S420=0,Первоначальный[[#This Row],[Досрочное погашение (да/"")]]=""),MIN(Первоначальный[[#This Row],[Полученный платеж]]+Y420-SUM(Первоначальный[[#This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комиссиям]]),VLOOKUP(LOOKUP(,-1/($Z$12:Z421=1),$A$12:A421),График[[Срок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платеж]]+Y420-SUM(Первоначальный[[#This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S420&gt;0,MIN(Первоначальный[[#This Row],[Полученный платеж]]+Y420-SUM(Первоначальный[[#This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комиссиям]]),SUM(INDIRECT("M"&amp;(MAX((1=S$12:S420)*ROW(S$12:S420),ROW($W$12))&amp;":M"&amp;(ROW()))))-SUM(INDIRECT("W"&amp;(MAX((1=S$12:S420)*ROW(S$12:S420),ROW($W$12))&amp;":W"&amp;(ROW()-1)))))
)
)</f>
        <v>0</v>
      </c>
      <c r="X421" s="55">
        <f t="shared" ca="1" si="74"/>
        <v>0</v>
      </c>
      <c r="Y421" s="101">
        <f t="shared" ca="1" si="81"/>
        <v>0</v>
      </c>
      <c r="Z421" s="133" t="str">
        <f>IF(TYPE((VLOOKUP(Первоначальный[[#This Row],[Дата платежа]],График[Срок конец],1,0)))=16,"",1)</f>
        <v/>
      </c>
      <c r="AA421" s="57"/>
      <c r="AB421" s="134"/>
      <c r="AC42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2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27848.169999999955</v>
      </c>
      <c r="AE42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447.27000000000055</v>
      </c>
      <c r="AF42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2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26443.015539344335</v>
      </c>
      <c r="AH421" s="55"/>
      <c r="AI421" s="55"/>
      <c r="AJ421" s="55"/>
      <c r="AK421" s="101">
        <f t="shared" ca="1" si="82"/>
        <v>204371.79553934428</v>
      </c>
      <c r="AL421" s="129">
        <f t="array" ref="AL421">MAX((УслРестрактов[Характеристика]="Дата реструктуризации")*(УслРестрактов[Значение]=Первоначальный!$A421),0)</f>
        <v>0</v>
      </c>
    </row>
    <row r="422" spans="1:38" x14ac:dyDescent="0.25">
      <c r="A422" s="97">
        <f t="shared" si="75"/>
        <v>44553</v>
      </c>
      <c r="B422" s="100">
        <f t="shared" ca="1" si="76"/>
        <v>149633.34</v>
      </c>
      <c r="C422" s="55">
        <f t="shared" ca="1" si="84"/>
        <v>27848.169999999955</v>
      </c>
      <c r="D422" s="55">
        <f t="shared" ca="1" si="84"/>
        <v>447.27000000000055</v>
      </c>
      <c r="E422" s="55">
        <f t="shared" ca="1" si="77"/>
        <v>0</v>
      </c>
      <c r="F422" s="55">
        <f t="shared" ca="1" si="78"/>
        <v>26443.015539344335</v>
      </c>
      <c r="G422" s="101">
        <f t="shared" ca="1" si="79"/>
        <v>204371.79553934428</v>
      </c>
      <c r="H422" s="100">
        <f ca="1">ROUND($B422*VLOOKUP($A422,$A$1:$B$10,2,1)/(365+IF(MOD(YEAR($A422),4),0,1)*($A422-$A421)),2)-Первоначальный[[#This Row],[Проценты на просроченный платеж по ОД за период]]</f>
        <v>78.84</v>
      </c>
      <c r="I422" s="55">
        <f t="shared" ca="1" si="80"/>
        <v>2.74</v>
      </c>
      <c r="J422" s="55">
        <v>0</v>
      </c>
      <c r="K422" s="55">
        <f t="shared" ca="1" si="83"/>
        <v>159.26850327868851</v>
      </c>
      <c r="L422" s="55">
        <v>0</v>
      </c>
      <c r="M422" s="113">
        <f>SUMIFS(График[Возврат основной суммы долга],График[Дата с учетом нерабочих дней],$A422)</f>
        <v>0</v>
      </c>
      <c r="N422" s="56">
        <f>SUMIFS(График[Возврат начисленных %],График[Дата с учетом нерабочих дней],$A422)</f>
        <v>0</v>
      </c>
      <c r="O422" s="101">
        <v>0</v>
      </c>
      <c r="P422" s="100" cm="1">
        <f t="array" aca="1" ref="P422" ca="1">MAX(IF(AA421="Да",0,SUM(INDIRECT("M"&amp;(MAX(("Да"=AA$12:AA421)*ROW(AA$12:AA421)+1,ROW($P$12))&amp;":M"&amp;(ROW()))))-SUM(INDIRECT("W"&amp;(MAX(("Да"=AA$12:AA421)*ROW(AA$12:AA421)+1,ROW($P$12))&amp;":W"&amp;(ROW()))))),0)</f>
        <v>5031.6299999999992</v>
      </c>
      <c r="Q422" s="99">
        <f ca="1">MAX(SUM($N$13:N422)-SUM($T$13:T422),0)</f>
        <v>26822.070655737705</v>
      </c>
      <c r="R422" s="99">
        <f ca="1">Первоначальный[[#This Row],[Просроченный платеж по ОД]]+Первоначальный[[#This Row],[Просроченный платеж по процентам]]</f>
        <v>31853.700655737703</v>
      </c>
      <c r="S422" s="120">
        <f ca="1">IF(Первоначальный[[#This Row],[Просроченный платеж]]&lt;1,0,S421+1)</f>
        <v>318</v>
      </c>
      <c r="T422" s="100" cm="1">
        <f t="array" aca="1" ref="T422" ca="1">IF(Первоначальный[[#This Row],[Итого остаток на начало периода]]&lt;1,0,
IF(
AND(TYPE(VLOOKUP(1,$Z$12:Z422,1,0))=16,Первоначальный[[#This Row],[Досрочное погашение (да/"")]]=""),0,
_xlfn.IFS(AND(S421=0,Первоначальный[[#This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платеж]]&lt;&gt;0),MIN(LOOKUP(,-1/($Z$12:Z422=1),$C$12:C422)+LOOKUP(,-1/($Z$12:Z422=1),$H$12:H422),Первоначальный[[#This Row],[Полученный платеж]]+Y421),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платеж]]+Y421,SUM(Первоначальный[[#This Row],[Остаток процентов на начало периода]],Первоначальный[[#This Row],[Проценты за период]])),
AND(S421=0,Первоначальный[[#This Row],[Дата платежа из графика]]=""),0,
AND(S421=0,Первоначальный[[#This Row],[Дата платежа из графика]]=1,MAX((0&lt;&gt;S$12:S421)*ROW(S$12:S421),ROW($S$12))&gt;=MAX((1=Z$12:Z421)*ROW(Z$12:Z421),ROW($T$12)),TYPE(VLOOKUP("Да",(INDIRECT("AA"&amp;(MAX((1=Z$12:Z421)*ROW(Z$12:Z421),ROW($T$12))&amp;":AA"&amp;(ROW()-1)))),1,0))=16),MIN(LOOKUP(,-1/($Z$12:Z422=1),$C$12:C422)+LOOKUP(,-1/($Z$12:Z422=1),$H$12:H422),Первоначальный[[#This Row],[Полученный платеж]]+Y421),
AND(S421=0,TYPE(VLOOKUP("Да",(INDIRECT("AA"&amp;(MAX((1=Z$12:Z421)*ROW(Z$12:Z421),ROW($T$12))&amp;":AA"&amp;(ROW()-1)))),1,0))&lt;&gt;16),MIN(LOOKUP(,-1/($Z$12:Z422=1),$C$12:C422)+LOOKUP(,-1/($Z$12:Z422=1),$H$12:H422)-IF(AA421="Да",0,SUM(INDIRECT("T"&amp;(MAX(("Да"=AA$12:AA421)*ROW(AA$12:AA421)+1,ROW($T$12))&amp;":T"&amp;(ROW()-1))))),Первоначальный[[#This Row],[Полученный платеж]]+Y421),
AND(S421=0,MAX((0&lt;&gt;N$12:N421)*ROW(N$12:N421),ROW($S$12))&gt;=MAX((1=Z$12:Z421)*ROW(Z$12:Z421),ROW($T$12))),MIN(LOOKUP(,-1/($Z$12:Z422=1),$C$12:C422)+LOOKUP(,-1/($Z$12:Z422=1),$H$12:H422)-IF(N421&lt;&gt;0,0,SUM(INDIRECT("T"&amp;(MAX((0&lt;&gt;N$12:N421)*ROW(N$12:N421)+1,ROW($T$12))&amp;":T"&amp;(ROW()-1))))),Первоначальный[[#This Row],[Полученный платеж]]+Y421),
AND(S421=0,Первоначальный[[#This Row],[Дата платежа из графика]]=1),MIN(LOOKUP(,-1/($Z$12:Z422=1),$C$12:C422)+LOOKUP(,-1/($Z$12:Z422=1),$H$12:H422)-IF(Z421=1,0,SUM(INDIRECT("T"&amp;(MAX((1=Z$12:Z421)*ROW(Z$12:Z421)+1,ROW($T$12))&amp;":T"&amp;(ROW()-1))))),Первоначальный[[#This Row],[Полученный платеж]]+Y421),
AND(Z421&gt;0,Первоначальный[[#This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платеж]]+Y421),
AND(S421&gt;0,MAX((0&lt;&gt;S$12:S421)*ROW(S$12:S421),ROW($S$12))&gt;=MAX((1=Z$12:Z421)*ROW(Z$12:Z421),ROW($T$12)),TYPE(VLOOKUP("Да",(INDIRECT("AA"&amp;(MAX((1=Z$12:Z421)*ROW(Z$12:Z421),ROW($T$12))&amp;":AA"&amp;(ROW()-1)))),1,0))=16),MIN(LOOKUP(,-1/($Z$12:Z422=1),$C$12:C422)+LOOKUP(,-1/($Z$12:Z422=1),$H$12:H422)-SUM(INDIRECT("T"&amp;(MAX((1=Z$12:Z421)*ROW(Z$12:Z421),ROW($T$12))&amp;":T"&amp;(ROW()-1)))),Первоначальный[[#This Row],[Полученный платеж]]+Y421),
S421&gt;0,MIN(LOOKUP(,-1/($Z$12:Z422=1),$C$12:C422)+LOOKUP(,-1/($Z$12:Z422=1),$H$12:H422)-IF(Z421=1,0,SUM(INDIRECT("T"&amp;(MAX((1=Z$12:Z421)*ROW(Z$12:Z421)+1,ROW($T$12))&amp;":T"&amp;(ROW()-1))))),Первоначальный[[#This Row],[Полученный платеж]]+Y421)
)
)
)</f>
        <v>0</v>
      </c>
      <c r="U42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платеж]]+Y421-Первоначальный[[#This Row],[Полученный платёж по процентам]])</f>
        <v>0</v>
      </c>
      <c r="V422" s="55">
        <f t="shared" ca="1" si="73"/>
        <v>0</v>
      </c>
      <c r="W422" s="55" cm="1">
        <f t="array" aca="1" ref="W422" ca="1">IF(Первоначальный[[#This Row],[Итого остаток на начало периода]]&lt;1,0,
_xlfn.IFS(
AND(TYPE(VLOOKUP(1,$Z$12:Z422,1,0))=16,Первоначальный[[#This Row],[Досрочное погашение (да/"")]]=""),0,
AND(S421=0,Первоначальный[[#This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платеж]]+Y421-SUM(Первоначальный[[#This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комиссиям]]),VLOOKUP(LOOKUP(,-1/($Z$12:Z422=1),$A$12:A422),График[[Срок конец]:[Возврат основной суммы долга]],3,0)),
AND(S421=0,Первоначальный[[#This Row],[Дата платежа из графика]]="",Первоначальный[[#This Row],[Досрочное погашение (да/"")]]&lt;&gt;"Да"),0,
AND(S421=0,Первоначальный[[#This Row],[Досрочное погашение (да/"")]]=""),MIN(Первоначальный[[#This Row],[Полученный платеж]]+Y421-SUM(Первоначальный[[#This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комиссиям]]),VLOOKUP(LOOKUP(,-1/($Z$12:Z422=1),$A$12:A422),График[[Срок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платеж]]+Y421-SUM(Первоначальный[[#This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S421&gt;0,MIN(Первоначальный[[#This Row],[Полученный платеж]]+Y421-SUM(Первоначальный[[#This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комиссиям]]),SUM(INDIRECT("M"&amp;(MAX((1=S$12:S421)*ROW(S$12:S421),ROW($W$12))&amp;":M"&amp;(ROW()))))-SUM(INDIRECT("W"&amp;(MAX((1=S$12:S421)*ROW(S$12:S421),ROW($W$12))&amp;":W"&amp;(ROW()-1)))))
)
)</f>
        <v>0</v>
      </c>
      <c r="X422" s="55">
        <f t="shared" ca="1" si="74"/>
        <v>0</v>
      </c>
      <c r="Y422" s="101">
        <f t="shared" ca="1" si="81"/>
        <v>0</v>
      </c>
      <c r="Z422" s="133" t="str">
        <f>IF(TYPE((VLOOKUP(Первоначальный[[#This Row],[Дата платежа]],График[Срок конец],1,0)))=16,"",1)</f>
        <v/>
      </c>
      <c r="AA422" s="57"/>
      <c r="AB422" s="134"/>
      <c r="AC42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2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27927.009999999955</v>
      </c>
      <c r="AE42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450.01000000000056</v>
      </c>
      <c r="AF42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2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26602.284042623025</v>
      </c>
      <c r="AH422" s="55"/>
      <c r="AI422" s="55"/>
      <c r="AJ422" s="55"/>
      <c r="AK422" s="101">
        <f t="shared" ca="1" si="82"/>
        <v>204612.644042623</v>
      </c>
      <c r="AL422" s="129">
        <f t="array" ref="AL422">MAX((УслРестрактов[Характеристика]="Дата реструктуризации")*(УслРестрактов[Значение]=Первоначальный!$A422),0)</f>
        <v>0</v>
      </c>
    </row>
    <row r="423" spans="1:38" x14ac:dyDescent="0.25">
      <c r="A423" s="97">
        <f t="shared" si="75"/>
        <v>44554</v>
      </c>
      <c r="B423" s="100">
        <f t="shared" ca="1" si="76"/>
        <v>149633.34</v>
      </c>
      <c r="C423" s="55">
        <f t="shared" ca="1" si="84"/>
        <v>27927.009999999955</v>
      </c>
      <c r="D423" s="55">
        <f t="shared" ca="1" si="84"/>
        <v>450.01000000000056</v>
      </c>
      <c r="E423" s="55">
        <f t="shared" ca="1" si="77"/>
        <v>0</v>
      </c>
      <c r="F423" s="55">
        <f t="shared" ca="1" si="78"/>
        <v>26602.284042623025</v>
      </c>
      <c r="G423" s="101">
        <f t="shared" ca="1" si="79"/>
        <v>204612.644042623</v>
      </c>
      <c r="H423" s="100">
        <f ca="1">ROUND($B423*VLOOKUP($A423,$A$1:$B$10,2,1)/(365+IF(MOD(YEAR($A423),4),0,1)*($A423-$A422)),2)-Первоначальный[[#This Row],[Проценты на просроченный платеж по ОД за период]]</f>
        <v>78.84</v>
      </c>
      <c r="I423" s="55">
        <f t="shared" ca="1" si="80"/>
        <v>2.74</v>
      </c>
      <c r="J423" s="55">
        <v>0</v>
      </c>
      <c r="K423" s="55">
        <f t="shared" ca="1" si="83"/>
        <v>159.26850327868851</v>
      </c>
      <c r="L423" s="55">
        <v>0</v>
      </c>
      <c r="M423" s="113">
        <f>SUMIFS(График[Возврат основной суммы долга],График[Дата с учетом нерабочих дней],$A423)</f>
        <v>0</v>
      </c>
      <c r="N423" s="56">
        <f>SUMIFS(График[Возврат начисленных %],График[Дата с учетом нерабочих дней],$A423)</f>
        <v>0</v>
      </c>
      <c r="O423" s="101">
        <v>0</v>
      </c>
      <c r="P423" s="100" cm="1">
        <f t="array" aca="1" ref="P423" ca="1">MAX(IF(AA422="Да",0,SUM(INDIRECT("M"&amp;(MAX(("Да"=AA$12:AA422)*ROW(AA$12:AA422)+1,ROW($P$12))&amp;":M"&amp;(ROW()))))-SUM(INDIRECT("W"&amp;(MAX(("Да"=AA$12:AA422)*ROW(AA$12:AA422)+1,ROW($P$12))&amp;":W"&amp;(ROW()))))),0)</f>
        <v>5031.6299999999992</v>
      </c>
      <c r="Q423" s="99">
        <f ca="1">MAX(SUM($N$13:N423)-SUM($T$13:T423),0)</f>
        <v>26822.070655737705</v>
      </c>
      <c r="R423" s="99">
        <f ca="1">Первоначальный[[#This Row],[Просроченный платеж по ОД]]+Первоначальный[[#This Row],[Просроченный платеж по процентам]]</f>
        <v>31853.700655737703</v>
      </c>
      <c r="S423" s="120">
        <f ca="1">IF(Первоначальный[[#This Row],[Просроченный платеж]]&lt;1,0,S422+1)</f>
        <v>319</v>
      </c>
      <c r="T423" s="100" cm="1">
        <f t="array" aca="1" ref="T423" ca="1">IF(Первоначальный[[#This Row],[Итого остаток на начало периода]]&lt;1,0,
IF(
AND(TYPE(VLOOKUP(1,$Z$12:Z423,1,0))=16,Первоначальный[[#This Row],[Досрочное погашение (да/"")]]=""),0,
_xlfn.IFS(AND(S422=0,Первоначальный[[#This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платеж]]&lt;&gt;0),MIN(LOOKUP(,-1/($Z$12:Z423=1),$C$12:C423)+LOOKUP(,-1/($Z$12:Z423=1),$H$12:H423),Первоначальный[[#This Row],[Полученный платеж]]+Y422),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платеж]]+Y422,SUM(Первоначальный[[#This Row],[Остаток процентов на начало периода]],Первоначальный[[#This Row],[Проценты за период]])),
AND(S422=0,Первоначальный[[#This Row],[Дата платежа из графика]]=""),0,
AND(S422=0,Первоначальный[[#This Row],[Дата платежа из графика]]=1,MAX((0&lt;&gt;S$12:S422)*ROW(S$12:S422),ROW($S$12))&gt;=MAX((1=Z$12:Z422)*ROW(Z$12:Z422),ROW($T$12)),TYPE(VLOOKUP("Да",(INDIRECT("AA"&amp;(MAX((1=Z$12:Z422)*ROW(Z$12:Z422),ROW($T$12))&amp;":AA"&amp;(ROW()-1)))),1,0))=16),MIN(LOOKUP(,-1/($Z$12:Z423=1),$C$12:C423)+LOOKUP(,-1/($Z$12:Z423=1),$H$12:H423),Первоначальный[[#This Row],[Полученный платеж]]+Y422),
AND(S422=0,TYPE(VLOOKUP("Да",(INDIRECT("AA"&amp;(MAX((1=Z$12:Z422)*ROW(Z$12:Z422),ROW($T$12))&amp;":AA"&amp;(ROW()-1)))),1,0))&lt;&gt;16),MIN(LOOKUP(,-1/($Z$12:Z423=1),$C$12:C423)+LOOKUP(,-1/($Z$12:Z423=1),$H$12:H423)-IF(AA422="Да",0,SUM(INDIRECT("T"&amp;(MAX(("Да"=AA$12:AA422)*ROW(AA$12:AA422)+1,ROW($T$12))&amp;":T"&amp;(ROW()-1))))),Первоначальный[[#This Row],[Полученный платеж]]+Y422),
AND(S422=0,MAX((0&lt;&gt;N$12:N422)*ROW(N$12:N422),ROW($S$12))&gt;=MAX((1=Z$12:Z422)*ROW(Z$12:Z422),ROW($T$12))),MIN(LOOKUP(,-1/($Z$12:Z423=1),$C$12:C423)+LOOKUP(,-1/($Z$12:Z423=1),$H$12:H423)-IF(N422&lt;&gt;0,0,SUM(INDIRECT("T"&amp;(MAX((0&lt;&gt;N$12:N422)*ROW(N$12:N422)+1,ROW($T$12))&amp;":T"&amp;(ROW()-1))))),Первоначальный[[#This Row],[Полученный платеж]]+Y422),
AND(S422=0,Первоначальный[[#This Row],[Дата платежа из графика]]=1),MIN(LOOKUP(,-1/($Z$12:Z423=1),$C$12:C423)+LOOKUP(,-1/($Z$12:Z423=1),$H$12:H423)-IF(Z422=1,0,SUM(INDIRECT("T"&amp;(MAX((1=Z$12:Z422)*ROW(Z$12:Z422)+1,ROW($T$12))&amp;":T"&amp;(ROW()-1))))),Первоначальный[[#This Row],[Полученный платеж]]+Y422),
AND(Z422&gt;0,Первоначальный[[#This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платеж]]+Y422),
AND(S422&gt;0,MAX((0&lt;&gt;S$12:S422)*ROW(S$12:S422),ROW($S$12))&gt;=MAX((1=Z$12:Z422)*ROW(Z$12:Z422),ROW($T$12)),TYPE(VLOOKUP("Да",(INDIRECT("AA"&amp;(MAX((1=Z$12:Z422)*ROW(Z$12:Z422),ROW($T$12))&amp;":AA"&amp;(ROW()-1)))),1,0))=16),MIN(LOOKUP(,-1/($Z$12:Z423=1),$C$12:C423)+LOOKUP(,-1/($Z$12:Z423=1),$H$12:H423)-SUM(INDIRECT("T"&amp;(MAX((1=Z$12:Z422)*ROW(Z$12:Z422),ROW($T$12))&amp;":T"&amp;(ROW()-1)))),Первоначальный[[#This Row],[Полученный платеж]]+Y422),
S422&gt;0,MIN(LOOKUP(,-1/($Z$12:Z423=1),$C$12:C423)+LOOKUP(,-1/($Z$12:Z423=1),$H$12:H423)-IF(Z422=1,0,SUM(INDIRECT("T"&amp;(MAX((1=Z$12:Z422)*ROW(Z$12:Z422)+1,ROW($T$12))&amp;":T"&amp;(ROW()-1))))),Первоначальный[[#This Row],[Полученный платеж]]+Y422)
)
)
)</f>
        <v>0</v>
      </c>
      <c r="U42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платеж]]+Y422-Первоначальный[[#This Row],[Полученный платёж по процентам]])</f>
        <v>0</v>
      </c>
      <c r="V423" s="55">
        <f t="shared" ca="1" si="73"/>
        <v>0</v>
      </c>
      <c r="W423" s="55" cm="1">
        <f t="array" aca="1" ref="W423" ca="1">IF(Первоначальный[[#This Row],[Итого остаток на начало периода]]&lt;1,0,
_xlfn.IFS(
AND(TYPE(VLOOKUP(1,$Z$12:Z423,1,0))=16,Первоначальный[[#This Row],[Досрочное погашение (да/"")]]=""),0,
AND(S422=0,Первоначальный[[#This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платеж]]+Y422-SUM(Первоначальный[[#This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комиссиям]]),VLOOKUP(LOOKUP(,-1/($Z$12:Z423=1),$A$12:A423),График[[Срок конец]:[Возврат основной суммы долга]],3,0)),
AND(S422=0,Первоначальный[[#This Row],[Дата платежа из графика]]="",Первоначальный[[#This Row],[Досрочное погашение (да/"")]]&lt;&gt;"Да"),0,
AND(S422=0,Первоначальный[[#This Row],[Досрочное погашение (да/"")]]=""),MIN(Первоначальный[[#This Row],[Полученный платеж]]+Y422-SUM(Первоначальный[[#This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комиссиям]]),VLOOKUP(LOOKUP(,-1/($Z$12:Z423=1),$A$12:A423),График[[Срок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платеж]]+Y422-SUM(Первоначальный[[#This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S422&gt;0,MIN(Первоначальный[[#This Row],[Полученный платеж]]+Y422-SUM(Первоначальный[[#This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комиссиям]]),SUM(INDIRECT("M"&amp;(MAX((1=S$12:S422)*ROW(S$12:S422),ROW($W$12))&amp;":M"&amp;(ROW()))))-SUM(INDIRECT("W"&amp;(MAX((1=S$12:S422)*ROW(S$12:S422),ROW($W$12))&amp;":W"&amp;(ROW()-1)))))
)
)</f>
        <v>0</v>
      </c>
      <c r="X423" s="55">
        <f t="shared" ca="1" si="74"/>
        <v>0</v>
      </c>
      <c r="Y423" s="101">
        <f t="shared" ca="1" si="81"/>
        <v>0</v>
      </c>
      <c r="Z423" s="133" t="str">
        <f>IF(TYPE((VLOOKUP(Первоначальный[[#This Row],[Дата платежа]],График[Срок конец],1,0)))=16,"",1)</f>
        <v/>
      </c>
      <c r="AA423" s="57"/>
      <c r="AB423" s="134"/>
      <c r="AC42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2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28005.849999999955</v>
      </c>
      <c r="AE42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452.75000000000057</v>
      </c>
      <c r="AF42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2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26761.552545901715</v>
      </c>
      <c r="AH423" s="55"/>
      <c r="AI423" s="55"/>
      <c r="AJ423" s="55"/>
      <c r="AK423" s="101">
        <f t="shared" ca="1" si="82"/>
        <v>204853.49254590165</v>
      </c>
      <c r="AL423" s="129">
        <f t="array" ref="AL423">MAX((УслРестрактов[Характеристика]="Дата реструктуризации")*(УслРестрактов[Значение]=Первоначальный!$A423),0)</f>
        <v>0</v>
      </c>
    </row>
    <row r="424" spans="1:38" x14ac:dyDescent="0.25">
      <c r="A424" s="97">
        <f t="shared" si="75"/>
        <v>44555</v>
      </c>
      <c r="B424" s="100">
        <f t="shared" ca="1" si="76"/>
        <v>149633.34</v>
      </c>
      <c r="C424" s="55">
        <f t="shared" ca="1" si="84"/>
        <v>28005.849999999955</v>
      </c>
      <c r="D424" s="55">
        <f t="shared" ca="1" si="84"/>
        <v>452.75000000000057</v>
      </c>
      <c r="E424" s="55">
        <f t="shared" ca="1" si="77"/>
        <v>0</v>
      </c>
      <c r="F424" s="55">
        <f t="shared" ca="1" si="78"/>
        <v>26761.552545901715</v>
      </c>
      <c r="G424" s="101">
        <f t="shared" ca="1" si="79"/>
        <v>204853.49254590165</v>
      </c>
      <c r="H424" s="100">
        <f ca="1">ROUND($B424*VLOOKUP($A424,$A$1:$B$10,2,1)/(365+IF(MOD(YEAR($A424),4),0,1)*($A424-$A423)),2)-Первоначальный[[#This Row],[Проценты на просроченный платеж по ОД за период]]</f>
        <v>78.84</v>
      </c>
      <c r="I424" s="55">
        <f t="shared" ca="1" si="80"/>
        <v>2.74</v>
      </c>
      <c r="J424" s="55">
        <v>0</v>
      </c>
      <c r="K424" s="55">
        <f t="shared" ca="1" si="83"/>
        <v>159.26850327868851</v>
      </c>
      <c r="L424" s="55">
        <v>0</v>
      </c>
      <c r="M424" s="113">
        <f>SUMIFS(График[Возврат основной суммы долга],График[Дата с учетом нерабочих дней],$A424)</f>
        <v>0</v>
      </c>
      <c r="N424" s="56">
        <f>SUMIFS(График[Возврат начисленных %],График[Дата с учетом нерабочих дней],$A424)</f>
        <v>0</v>
      </c>
      <c r="O424" s="101">
        <v>0</v>
      </c>
      <c r="P424" s="100" cm="1">
        <f t="array" aca="1" ref="P424" ca="1">MAX(IF(AA423="Да",0,SUM(INDIRECT("M"&amp;(MAX(("Да"=AA$12:AA423)*ROW(AA$12:AA423)+1,ROW($P$12))&amp;":M"&amp;(ROW()))))-SUM(INDIRECT("W"&amp;(MAX(("Да"=AA$12:AA423)*ROW(AA$12:AA423)+1,ROW($P$12))&amp;":W"&amp;(ROW()))))),0)</f>
        <v>5031.6299999999992</v>
      </c>
      <c r="Q424" s="99">
        <f ca="1">MAX(SUM($N$13:N424)-SUM($T$13:T424),0)</f>
        <v>26822.070655737705</v>
      </c>
      <c r="R424" s="99">
        <f ca="1">Первоначальный[[#This Row],[Просроченный платеж по ОД]]+Первоначальный[[#This Row],[Просроченный платеж по процентам]]</f>
        <v>31853.700655737703</v>
      </c>
      <c r="S424" s="120">
        <f ca="1">IF(Первоначальный[[#This Row],[Просроченный платеж]]&lt;1,0,S423+1)</f>
        <v>320</v>
      </c>
      <c r="T424" s="100" cm="1">
        <f t="array" aca="1" ref="T424" ca="1">IF(Первоначальный[[#This Row],[Итого остаток на начало периода]]&lt;1,0,
IF(
AND(TYPE(VLOOKUP(1,$Z$12:Z424,1,0))=16,Первоначальный[[#This Row],[Досрочное погашение (да/"")]]=""),0,
_xlfn.IFS(AND(S423=0,Первоначальный[[#This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платеж]]&lt;&gt;0),MIN(LOOKUP(,-1/($Z$12:Z424=1),$C$12:C424)+LOOKUP(,-1/($Z$12:Z424=1),$H$12:H424),Первоначальный[[#This Row],[Полученный платеж]]+Y423),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платеж]]+Y423,SUM(Первоначальный[[#This Row],[Остаток процентов на начало периода]],Первоначальный[[#This Row],[Проценты за период]])),
AND(S423=0,Первоначальный[[#This Row],[Дата платежа из графика]]=""),0,
AND(S423=0,Первоначальный[[#This Row],[Дата платежа из графика]]=1,MAX((0&lt;&gt;S$12:S423)*ROW(S$12:S423),ROW($S$12))&gt;=MAX((1=Z$12:Z423)*ROW(Z$12:Z423),ROW($T$12)),TYPE(VLOOKUP("Да",(INDIRECT("AA"&amp;(MAX((1=Z$12:Z423)*ROW(Z$12:Z423),ROW($T$12))&amp;":AA"&amp;(ROW()-1)))),1,0))=16),MIN(LOOKUP(,-1/($Z$12:Z424=1),$C$12:C424)+LOOKUP(,-1/($Z$12:Z424=1),$H$12:H424),Первоначальный[[#This Row],[Полученный платеж]]+Y423),
AND(S423=0,TYPE(VLOOKUP("Да",(INDIRECT("AA"&amp;(MAX((1=Z$12:Z423)*ROW(Z$12:Z423),ROW($T$12))&amp;":AA"&amp;(ROW()-1)))),1,0))&lt;&gt;16),MIN(LOOKUP(,-1/($Z$12:Z424=1),$C$12:C424)+LOOKUP(,-1/($Z$12:Z424=1),$H$12:H424)-IF(AA423="Да",0,SUM(INDIRECT("T"&amp;(MAX(("Да"=AA$12:AA423)*ROW(AA$12:AA423)+1,ROW($T$12))&amp;":T"&amp;(ROW()-1))))),Первоначальный[[#This Row],[Полученный платеж]]+Y423),
AND(S423=0,MAX((0&lt;&gt;N$12:N423)*ROW(N$12:N423),ROW($S$12))&gt;=MAX((1=Z$12:Z423)*ROW(Z$12:Z423),ROW($T$12))),MIN(LOOKUP(,-1/($Z$12:Z424=1),$C$12:C424)+LOOKUP(,-1/($Z$12:Z424=1),$H$12:H424)-IF(N423&lt;&gt;0,0,SUM(INDIRECT("T"&amp;(MAX((0&lt;&gt;N$12:N423)*ROW(N$12:N423)+1,ROW($T$12))&amp;":T"&amp;(ROW()-1))))),Первоначальный[[#This Row],[Полученный платеж]]+Y423),
AND(S423=0,Первоначальный[[#This Row],[Дата платежа из графика]]=1),MIN(LOOKUP(,-1/($Z$12:Z424=1),$C$12:C424)+LOOKUP(,-1/($Z$12:Z424=1),$H$12:H424)-IF(Z423=1,0,SUM(INDIRECT("T"&amp;(MAX((1=Z$12:Z423)*ROW(Z$12:Z423)+1,ROW($T$12))&amp;":T"&amp;(ROW()-1))))),Первоначальный[[#This Row],[Полученный платеж]]+Y423),
AND(Z423&gt;0,Первоначальный[[#This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платеж]]+Y423),
AND(S423&gt;0,MAX((0&lt;&gt;S$12:S423)*ROW(S$12:S423),ROW($S$12))&gt;=MAX((1=Z$12:Z423)*ROW(Z$12:Z423),ROW($T$12)),TYPE(VLOOKUP("Да",(INDIRECT("AA"&amp;(MAX((1=Z$12:Z423)*ROW(Z$12:Z423),ROW($T$12))&amp;":AA"&amp;(ROW()-1)))),1,0))=16),MIN(LOOKUP(,-1/($Z$12:Z424=1),$C$12:C424)+LOOKUP(,-1/($Z$12:Z424=1),$H$12:H424)-SUM(INDIRECT("T"&amp;(MAX((1=Z$12:Z423)*ROW(Z$12:Z423),ROW($T$12))&amp;":T"&amp;(ROW()-1)))),Первоначальный[[#This Row],[Полученный платеж]]+Y423),
S423&gt;0,MIN(LOOKUP(,-1/($Z$12:Z424=1),$C$12:C424)+LOOKUP(,-1/($Z$12:Z424=1),$H$12:H424)-IF(Z423=1,0,SUM(INDIRECT("T"&amp;(MAX((1=Z$12:Z423)*ROW(Z$12:Z423)+1,ROW($T$12))&amp;":T"&amp;(ROW()-1))))),Первоначальный[[#This Row],[Полученный платеж]]+Y423)
)
)
)</f>
        <v>0</v>
      </c>
      <c r="U42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платеж]]+Y423-Первоначальный[[#This Row],[Полученный платёж по процентам]])</f>
        <v>0</v>
      </c>
      <c r="V424" s="55">
        <f t="shared" ca="1" si="73"/>
        <v>0</v>
      </c>
      <c r="W424" s="55" cm="1">
        <f t="array" aca="1" ref="W424" ca="1">IF(Первоначальный[[#This Row],[Итого остаток на начало периода]]&lt;1,0,
_xlfn.IFS(
AND(TYPE(VLOOKUP(1,$Z$12:Z424,1,0))=16,Первоначальный[[#This Row],[Досрочное погашение (да/"")]]=""),0,
AND(S423=0,Первоначальный[[#This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платеж]]+Y423-SUM(Первоначальный[[#This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комиссиям]]),VLOOKUP(LOOKUP(,-1/($Z$12:Z424=1),$A$12:A424),График[[Срок конец]:[Возврат основной суммы долга]],3,0)),
AND(S423=0,Первоначальный[[#This Row],[Дата платежа из графика]]="",Первоначальный[[#This Row],[Досрочное погашение (да/"")]]&lt;&gt;"Да"),0,
AND(S423=0,Первоначальный[[#This Row],[Досрочное погашение (да/"")]]=""),MIN(Первоначальный[[#This Row],[Полученный платеж]]+Y423-SUM(Первоначальный[[#This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комиссиям]]),VLOOKUP(LOOKUP(,-1/($Z$12:Z424=1),$A$12:A424),График[[Срок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платеж]]+Y423-SUM(Первоначальный[[#This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S423&gt;0,MIN(Первоначальный[[#This Row],[Полученный платеж]]+Y423-SUM(Первоначальный[[#This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комиссиям]]),SUM(INDIRECT("M"&amp;(MAX((1=S$12:S423)*ROW(S$12:S423),ROW($W$12))&amp;":M"&amp;(ROW()))))-SUM(INDIRECT("W"&amp;(MAX((1=S$12:S423)*ROW(S$12:S423),ROW($W$12))&amp;":W"&amp;(ROW()-1)))))
)
)</f>
        <v>0</v>
      </c>
      <c r="X424" s="55">
        <f t="shared" ca="1" si="74"/>
        <v>0</v>
      </c>
      <c r="Y424" s="101">
        <f t="shared" ca="1" si="81"/>
        <v>0</v>
      </c>
      <c r="Z424" s="133" t="str">
        <f>IF(TYPE((VLOOKUP(Первоначальный[[#This Row],[Дата платежа]],График[Срок конец],1,0)))=16,"",1)</f>
        <v/>
      </c>
      <c r="AA424" s="57"/>
      <c r="AB424" s="134"/>
      <c r="AC42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2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28084.689999999955</v>
      </c>
      <c r="AE42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455.49000000000058</v>
      </c>
      <c r="AF42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2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26920.821049180406</v>
      </c>
      <c r="AH424" s="55"/>
      <c r="AI424" s="55"/>
      <c r="AJ424" s="55"/>
      <c r="AK424" s="101">
        <f t="shared" ca="1" si="82"/>
        <v>205094.34104918034</v>
      </c>
      <c r="AL424" s="129">
        <f t="array" ref="AL424">MAX((УслРестрактов[Характеристика]="Дата реструктуризации")*(УслРестрактов[Значение]=Первоначальный!$A424),0)</f>
        <v>0</v>
      </c>
    </row>
    <row r="425" spans="1:38" x14ac:dyDescent="0.25">
      <c r="A425" s="97">
        <f t="shared" si="75"/>
        <v>44556</v>
      </c>
      <c r="B425" s="100">
        <f t="shared" ca="1" si="76"/>
        <v>149633.34</v>
      </c>
      <c r="C425" s="55">
        <f t="shared" ca="1" si="84"/>
        <v>28084.689999999955</v>
      </c>
      <c r="D425" s="55">
        <f t="shared" ca="1" si="84"/>
        <v>455.49000000000058</v>
      </c>
      <c r="E425" s="55">
        <f t="shared" ca="1" si="77"/>
        <v>0</v>
      </c>
      <c r="F425" s="55">
        <f t="shared" ca="1" si="78"/>
        <v>26920.821049180406</v>
      </c>
      <c r="G425" s="101">
        <f t="shared" ca="1" si="79"/>
        <v>205094.34104918034</v>
      </c>
      <c r="H425" s="100">
        <f ca="1">ROUND($B425*VLOOKUP($A425,$A$1:$B$10,2,1)/(365+IF(MOD(YEAR($A425),4),0,1)*($A425-$A424)),2)-Первоначальный[[#This Row],[Проценты на просроченный платеж по ОД за период]]</f>
        <v>78.84</v>
      </c>
      <c r="I425" s="55">
        <f t="shared" ca="1" si="80"/>
        <v>2.74</v>
      </c>
      <c r="J425" s="55">
        <v>0</v>
      </c>
      <c r="K425" s="55">
        <f t="shared" ca="1" si="83"/>
        <v>159.26850327868851</v>
      </c>
      <c r="L425" s="55">
        <v>0</v>
      </c>
      <c r="M425" s="113">
        <f>SUMIFS(График[Возврат основной суммы долга],График[Дата с учетом нерабочих дней],$A425)</f>
        <v>0</v>
      </c>
      <c r="N425" s="56">
        <f>SUMIFS(График[Возврат начисленных %],График[Дата с учетом нерабочих дней],$A425)</f>
        <v>0</v>
      </c>
      <c r="O425" s="101">
        <v>0</v>
      </c>
      <c r="P425" s="100" cm="1">
        <f t="array" aca="1" ref="P425" ca="1">MAX(IF(AA424="Да",0,SUM(INDIRECT("M"&amp;(MAX(("Да"=AA$12:AA424)*ROW(AA$12:AA424)+1,ROW($P$12))&amp;":M"&amp;(ROW()))))-SUM(INDIRECT("W"&amp;(MAX(("Да"=AA$12:AA424)*ROW(AA$12:AA424)+1,ROW($P$12))&amp;":W"&amp;(ROW()))))),0)</f>
        <v>5031.6299999999992</v>
      </c>
      <c r="Q425" s="99">
        <f ca="1">MAX(SUM($N$13:N425)-SUM($T$13:T425),0)</f>
        <v>26822.070655737705</v>
      </c>
      <c r="R425" s="99">
        <f ca="1">Первоначальный[[#This Row],[Просроченный платеж по ОД]]+Первоначальный[[#This Row],[Просроченный платеж по процентам]]</f>
        <v>31853.700655737703</v>
      </c>
      <c r="S425" s="120">
        <f ca="1">IF(Первоначальный[[#This Row],[Просроченный платеж]]&lt;1,0,S424+1)</f>
        <v>321</v>
      </c>
      <c r="T425" s="100" cm="1">
        <f t="array" aca="1" ref="T425" ca="1">IF(Первоначальный[[#This Row],[Итого остаток на начало периода]]&lt;1,0,
IF(
AND(TYPE(VLOOKUP(1,$Z$12:Z425,1,0))=16,Первоначальный[[#This Row],[Досрочное погашение (да/"")]]=""),0,
_xlfn.IFS(AND(S424=0,Первоначальный[[#This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платеж]]&lt;&gt;0),MIN(LOOKUP(,-1/($Z$12:Z425=1),$C$12:C425)+LOOKUP(,-1/($Z$12:Z425=1),$H$12:H425),Первоначальный[[#This Row],[Полученный платеж]]+Y424),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платеж]]+Y424,SUM(Первоначальный[[#This Row],[Остаток процентов на начало периода]],Первоначальный[[#This Row],[Проценты за период]])),
AND(S424=0,Первоначальный[[#This Row],[Дата платежа из графика]]=""),0,
AND(S424=0,Первоначальный[[#This Row],[Дата платежа из графика]]=1,MAX((0&lt;&gt;S$12:S424)*ROW(S$12:S424),ROW($S$12))&gt;=MAX((1=Z$12:Z424)*ROW(Z$12:Z424),ROW($T$12)),TYPE(VLOOKUP("Да",(INDIRECT("AA"&amp;(MAX((1=Z$12:Z424)*ROW(Z$12:Z424),ROW($T$12))&amp;":AA"&amp;(ROW()-1)))),1,0))=16),MIN(LOOKUP(,-1/($Z$12:Z425=1),$C$12:C425)+LOOKUP(,-1/($Z$12:Z425=1),$H$12:H425),Первоначальный[[#This Row],[Полученный платеж]]+Y424),
AND(S424=0,TYPE(VLOOKUP("Да",(INDIRECT("AA"&amp;(MAX((1=Z$12:Z424)*ROW(Z$12:Z424),ROW($T$12))&amp;":AA"&amp;(ROW()-1)))),1,0))&lt;&gt;16),MIN(LOOKUP(,-1/($Z$12:Z425=1),$C$12:C425)+LOOKUP(,-1/($Z$12:Z425=1),$H$12:H425)-IF(AA424="Да",0,SUM(INDIRECT("T"&amp;(MAX(("Да"=AA$12:AA424)*ROW(AA$12:AA424)+1,ROW($T$12))&amp;":T"&amp;(ROW()-1))))),Первоначальный[[#This Row],[Полученный платеж]]+Y424),
AND(S424=0,MAX((0&lt;&gt;N$12:N424)*ROW(N$12:N424),ROW($S$12))&gt;=MAX((1=Z$12:Z424)*ROW(Z$12:Z424),ROW($T$12))),MIN(LOOKUP(,-1/($Z$12:Z425=1),$C$12:C425)+LOOKUP(,-1/($Z$12:Z425=1),$H$12:H425)-IF(N424&lt;&gt;0,0,SUM(INDIRECT("T"&amp;(MAX((0&lt;&gt;N$12:N424)*ROW(N$12:N424)+1,ROW($T$12))&amp;":T"&amp;(ROW()-1))))),Первоначальный[[#This Row],[Полученный платеж]]+Y424),
AND(S424=0,Первоначальный[[#This Row],[Дата платежа из графика]]=1),MIN(LOOKUP(,-1/($Z$12:Z425=1),$C$12:C425)+LOOKUP(,-1/($Z$12:Z425=1),$H$12:H425)-IF(Z424=1,0,SUM(INDIRECT("T"&amp;(MAX((1=Z$12:Z424)*ROW(Z$12:Z424)+1,ROW($T$12))&amp;":T"&amp;(ROW()-1))))),Первоначальный[[#This Row],[Полученный платеж]]+Y424),
AND(Z424&gt;0,Первоначальный[[#This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платеж]]+Y424),
AND(S424&gt;0,MAX((0&lt;&gt;S$12:S424)*ROW(S$12:S424),ROW($S$12))&gt;=MAX((1=Z$12:Z424)*ROW(Z$12:Z424),ROW($T$12)),TYPE(VLOOKUP("Да",(INDIRECT("AA"&amp;(MAX((1=Z$12:Z424)*ROW(Z$12:Z424),ROW($T$12))&amp;":AA"&amp;(ROW()-1)))),1,0))=16),MIN(LOOKUP(,-1/($Z$12:Z425=1),$C$12:C425)+LOOKUP(,-1/($Z$12:Z425=1),$H$12:H425)-SUM(INDIRECT("T"&amp;(MAX((1=Z$12:Z424)*ROW(Z$12:Z424),ROW($T$12))&amp;":T"&amp;(ROW()-1)))),Первоначальный[[#This Row],[Полученный платеж]]+Y424),
S424&gt;0,MIN(LOOKUP(,-1/($Z$12:Z425=1),$C$12:C425)+LOOKUP(,-1/($Z$12:Z425=1),$H$12:H425)-IF(Z424=1,0,SUM(INDIRECT("T"&amp;(MAX((1=Z$12:Z424)*ROW(Z$12:Z424)+1,ROW($T$12))&amp;":T"&amp;(ROW()-1))))),Первоначальный[[#This Row],[Полученный платеж]]+Y424)
)
)
)</f>
        <v>0</v>
      </c>
      <c r="U42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платеж]]+Y424-Первоначальный[[#This Row],[Полученный платёж по процентам]])</f>
        <v>0</v>
      </c>
      <c r="V425" s="55">
        <f t="shared" ca="1" si="73"/>
        <v>0</v>
      </c>
      <c r="W425" s="55" cm="1">
        <f t="array" aca="1" ref="W425" ca="1">IF(Первоначальный[[#This Row],[Итого остаток на начало периода]]&lt;1,0,
_xlfn.IFS(
AND(TYPE(VLOOKUP(1,$Z$12:Z425,1,0))=16,Первоначальный[[#This Row],[Досрочное погашение (да/"")]]=""),0,
AND(S424=0,Первоначальный[[#This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платеж]]+Y424-SUM(Первоначальный[[#This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комиссиям]]),VLOOKUP(LOOKUP(,-1/($Z$12:Z425=1),$A$12:A425),График[[Срок конец]:[Возврат основной суммы долга]],3,0)),
AND(S424=0,Первоначальный[[#This Row],[Дата платежа из графика]]="",Первоначальный[[#This Row],[Досрочное погашение (да/"")]]&lt;&gt;"Да"),0,
AND(S424=0,Первоначальный[[#This Row],[Досрочное погашение (да/"")]]=""),MIN(Первоначальный[[#This Row],[Полученный платеж]]+Y424-SUM(Первоначальный[[#This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комиссиям]]),VLOOKUP(LOOKUP(,-1/($Z$12:Z425=1),$A$12:A425),График[[Срок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платеж]]+Y424-SUM(Первоначальный[[#This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S424&gt;0,MIN(Первоначальный[[#This Row],[Полученный платеж]]+Y424-SUM(Первоначальный[[#This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комиссиям]]),SUM(INDIRECT("M"&amp;(MAX((1=S$12:S424)*ROW(S$12:S424),ROW($W$12))&amp;":M"&amp;(ROW()))))-SUM(INDIRECT("W"&amp;(MAX((1=S$12:S424)*ROW(S$12:S424),ROW($W$12))&amp;":W"&amp;(ROW()-1)))))
)
)</f>
        <v>0</v>
      </c>
      <c r="X425" s="55">
        <f t="shared" ca="1" si="74"/>
        <v>0</v>
      </c>
      <c r="Y425" s="101">
        <f t="shared" ca="1" si="81"/>
        <v>0</v>
      </c>
      <c r="Z425" s="133" t="str">
        <f>IF(TYPE((VLOOKUP(Первоначальный[[#This Row],[Дата платежа]],График[Срок конец],1,0)))=16,"",1)</f>
        <v/>
      </c>
      <c r="AA425" s="57"/>
      <c r="AB425" s="134"/>
      <c r="AC42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2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28163.529999999955</v>
      </c>
      <c r="AE42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458.23000000000059</v>
      </c>
      <c r="AF42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2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27080.089552459096</v>
      </c>
      <c r="AH425" s="55"/>
      <c r="AI425" s="55"/>
      <c r="AJ425" s="55"/>
      <c r="AK425" s="101">
        <f t="shared" ca="1" si="82"/>
        <v>205335.18955245905</v>
      </c>
      <c r="AL425" s="129">
        <f t="array" ref="AL425">MAX((УслРестрактов[Характеристика]="Дата реструктуризации")*(УслРестрактов[Значение]=Первоначальный!$A425),0)</f>
        <v>0</v>
      </c>
    </row>
    <row r="426" spans="1:38" x14ac:dyDescent="0.25">
      <c r="A426" s="97">
        <f t="shared" si="75"/>
        <v>44557</v>
      </c>
      <c r="B426" s="100">
        <f t="shared" ca="1" si="76"/>
        <v>149633.34</v>
      </c>
      <c r="C426" s="55">
        <f t="shared" ca="1" si="84"/>
        <v>28163.529999999955</v>
      </c>
      <c r="D426" s="55">
        <f t="shared" ca="1" si="84"/>
        <v>458.23000000000059</v>
      </c>
      <c r="E426" s="55">
        <f t="shared" ca="1" si="77"/>
        <v>0</v>
      </c>
      <c r="F426" s="55">
        <f t="shared" ca="1" si="78"/>
        <v>27080.089552459096</v>
      </c>
      <c r="G426" s="101">
        <f t="shared" ca="1" si="79"/>
        <v>205335.18955245905</v>
      </c>
      <c r="H426" s="100">
        <f ca="1">ROUND($B426*VLOOKUP($A426,$A$1:$B$10,2,1)/(365+IF(MOD(YEAR($A426),4),0,1)*($A426-$A425)),2)-Первоначальный[[#This Row],[Проценты на просроченный платеж по ОД за период]]</f>
        <v>78.84</v>
      </c>
      <c r="I426" s="55">
        <f t="shared" ca="1" si="80"/>
        <v>2.74</v>
      </c>
      <c r="J426" s="55">
        <v>0</v>
      </c>
      <c r="K426" s="55">
        <f t="shared" ca="1" si="83"/>
        <v>159.26850327868851</v>
      </c>
      <c r="L426" s="55">
        <v>0</v>
      </c>
      <c r="M426" s="113">
        <f>SUMIFS(График[Возврат основной суммы долга],График[Дата с учетом нерабочих дней],$A426)</f>
        <v>0</v>
      </c>
      <c r="N426" s="56">
        <f>SUMIFS(График[Возврат начисленных %],График[Дата с учетом нерабочих дней],$A426)</f>
        <v>0</v>
      </c>
      <c r="O426" s="101">
        <v>0</v>
      </c>
      <c r="P426" s="100" cm="1">
        <f t="array" aca="1" ref="P426" ca="1">MAX(IF(AA425="Да",0,SUM(INDIRECT("M"&amp;(MAX(("Да"=AA$12:AA425)*ROW(AA$12:AA425)+1,ROW($P$12))&amp;":M"&amp;(ROW()))))-SUM(INDIRECT("W"&amp;(MAX(("Да"=AA$12:AA425)*ROW(AA$12:AA425)+1,ROW($P$12))&amp;":W"&amp;(ROW()))))),0)</f>
        <v>5031.6299999999992</v>
      </c>
      <c r="Q426" s="99">
        <f ca="1">MAX(SUM($N$13:N426)-SUM($T$13:T426),0)</f>
        <v>26822.070655737705</v>
      </c>
      <c r="R426" s="99">
        <f ca="1">Первоначальный[[#This Row],[Просроченный платеж по ОД]]+Первоначальный[[#This Row],[Просроченный платеж по процентам]]</f>
        <v>31853.700655737703</v>
      </c>
      <c r="S426" s="120">
        <f ca="1">IF(Первоначальный[[#This Row],[Просроченный платеж]]&lt;1,0,S425+1)</f>
        <v>322</v>
      </c>
      <c r="T426" s="100" cm="1">
        <f t="array" aca="1" ref="T426" ca="1">IF(Первоначальный[[#This Row],[Итого остаток на начало периода]]&lt;1,0,
IF(
AND(TYPE(VLOOKUP(1,$Z$12:Z426,1,0))=16,Первоначальный[[#This Row],[Досрочное погашение (да/"")]]=""),0,
_xlfn.IFS(AND(S425=0,Первоначальный[[#This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платеж]]&lt;&gt;0),MIN(LOOKUP(,-1/($Z$12:Z426=1),$C$12:C426)+LOOKUP(,-1/($Z$12:Z426=1),$H$12:H426),Первоначальный[[#This Row],[Полученный платеж]]+Y425),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платеж]]+Y425,SUM(Первоначальный[[#This Row],[Остаток процентов на начало периода]],Первоначальный[[#This Row],[Проценты за период]])),
AND(S425=0,Первоначальный[[#This Row],[Дата платежа из графика]]=""),0,
AND(S425=0,Первоначальный[[#This Row],[Дата платежа из графика]]=1,MAX((0&lt;&gt;S$12:S425)*ROW(S$12:S425),ROW($S$12))&gt;=MAX((1=Z$12:Z425)*ROW(Z$12:Z425),ROW($T$12)),TYPE(VLOOKUP("Да",(INDIRECT("AA"&amp;(MAX((1=Z$12:Z425)*ROW(Z$12:Z425),ROW($T$12))&amp;":AA"&amp;(ROW()-1)))),1,0))=16),MIN(LOOKUP(,-1/($Z$12:Z426=1),$C$12:C426)+LOOKUP(,-1/($Z$12:Z426=1),$H$12:H426),Первоначальный[[#This Row],[Полученный платеж]]+Y425),
AND(S425=0,TYPE(VLOOKUP("Да",(INDIRECT("AA"&amp;(MAX((1=Z$12:Z425)*ROW(Z$12:Z425),ROW($T$12))&amp;":AA"&amp;(ROW()-1)))),1,0))&lt;&gt;16),MIN(LOOKUP(,-1/($Z$12:Z426=1),$C$12:C426)+LOOKUP(,-1/($Z$12:Z426=1),$H$12:H426)-IF(AA425="Да",0,SUM(INDIRECT("T"&amp;(MAX(("Да"=AA$12:AA425)*ROW(AA$12:AA425)+1,ROW($T$12))&amp;":T"&amp;(ROW()-1))))),Первоначальный[[#This Row],[Полученный платеж]]+Y425),
AND(S425=0,MAX((0&lt;&gt;N$12:N425)*ROW(N$12:N425),ROW($S$12))&gt;=MAX((1=Z$12:Z425)*ROW(Z$12:Z425),ROW($T$12))),MIN(LOOKUP(,-1/($Z$12:Z426=1),$C$12:C426)+LOOKUP(,-1/($Z$12:Z426=1),$H$12:H426)-IF(N425&lt;&gt;0,0,SUM(INDIRECT("T"&amp;(MAX((0&lt;&gt;N$12:N425)*ROW(N$12:N425)+1,ROW($T$12))&amp;":T"&amp;(ROW()-1))))),Первоначальный[[#This Row],[Полученный платеж]]+Y425),
AND(S425=0,Первоначальный[[#This Row],[Дата платежа из графика]]=1),MIN(LOOKUP(,-1/($Z$12:Z426=1),$C$12:C426)+LOOKUP(,-1/($Z$12:Z426=1),$H$12:H426)-IF(Z425=1,0,SUM(INDIRECT("T"&amp;(MAX((1=Z$12:Z425)*ROW(Z$12:Z425)+1,ROW($T$12))&amp;":T"&amp;(ROW()-1))))),Первоначальный[[#This Row],[Полученный платеж]]+Y425),
AND(Z425&gt;0,Первоначальный[[#This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платеж]]+Y425),
AND(S425&gt;0,MAX((0&lt;&gt;S$12:S425)*ROW(S$12:S425),ROW($S$12))&gt;=MAX((1=Z$12:Z425)*ROW(Z$12:Z425),ROW($T$12)),TYPE(VLOOKUP("Да",(INDIRECT("AA"&amp;(MAX((1=Z$12:Z425)*ROW(Z$12:Z425),ROW($T$12))&amp;":AA"&amp;(ROW()-1)))),1,0))=16),MIN(LOOKUP(,-1/($Z$12:Z426=1),$C$12:C426)+LOOKUP(,-1/($Z$12:Z426=1),$H$12:H426)-SUM(INDIRECT("T"&amp;(MAX((1=Z$12:Z425)*ROW(Z$12:Z425),ROW($T$12))&amp;":T"&amp;(ROW()-1)))),Первоначальный[[#This Row],[Полученный платеж]]+Y425),
S425&gt;0,MIN(LOOKUP(,-1/($Z$12:Z426=1),$C$12:C426)+LOOKUP(,-1/($Z$12:Z426=1),$H$12:H426)-IF(Z425=1,0,SUM(INDIRECT("T"&amp;(MAX((1=Z$12:Z425)*ROW(Z$12:Z425)+1,ROW($T$12))&amp;":T"&amp;(ROW()-1))))),Первоначальный[[#This Row],[Полученный платеж]]+Y425)
)
)
)</f>
        <v>0</v>
      </c>
      <c r="U42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платеж]]+Y425-Первоначальный[[#This Row],[Полученный платёж по процентам]])</f>
        <v>0</v>
      </c>
      <c r="V426" s="55">
        <f t="shared" ca="1" si="73"/>
        <v>0</v>
      </c>
      <c r="W426" s="55" cm="1">
        <f t="array" aca="1" ref="W426" ca="1">IF(Первоначальный[[#This Row],[Итого остаток на начало периода]]&lt;1,0,
_xlfn.IFS(
AND(TYPE(VLOOKUP(1,$Z$12:Z426,1,0))=16,Первоначальный[[#This Row],[Досрочное погашение (да/"")]]=""),0,
AND(S425=0,Первоначальный[[#This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платеж]]+Y425-SUM(Первоначальный[[#This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комиссиям]]),VLOOKUP(LOOKUP(,-1/($Z$12:Z426=1),$A$12:A426),График[[Срок конец]:[Возврат основной суммы долга]],3,0)),
AND(S425=0,Первоначальный[[#This Row],[Дата платежа из графика]]="",Первоначальный[[#This Row],[Досрочное погашение (да/"")]]&lt;&gt;"Да"),0,
AND(S425=0,Первоначальный[[#This Row],[Досрочное погашение (да/"")]]=""),MIN(Первоначальный[[#This Row],[Полученный платеж]]+Y425-SUM(Первоначальный[[#This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комиссиям]]),VLOOKUP(LOOKUP(,-1/($Z$12:Z426=1),$A$12:A426),График[[Срок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платеж]]+Y425-SUM(Первоначальный[[#This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S425&gt;0,MIN(Первоначальный[[#This Row],[Полученный платеж]]+Y425-SUM(Первоначальный[[#This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комиссиям]]),SUM(INDIRECT("M"&amp;(MAX((1=S$12:S425)*ROW(S$12:S425),ROW($W$12))&amp;":M"&amp;(ROW()))))-SUM(INDIRECT("W"&amp;(MAX((1=S$12:S425)*ROW(S$12:S425),ROW($W$12))&amp;":W"&amp;(ROW()-1)))))
)
)</f>
        <v>0</v>
      </c>
      <c r="X426" s="55">
        <f t="shared" ca="1" si="74"/>
        <v>0</v>
      </c>
      <c r="Y426" s="101">
        <f t="shared" ca="1" si="81"/>
        <v>0</v>
      </c>
      <c r="Z426" s="133" t="str">
        <f>IF(TYPE((VLOOKUP(Первоначальный[[#This Row],[Дата платежа]],График[Срок конец],1,0)))=16,"",1)</f>
        <v/>
      </c>
      <c r="AA426" s="57"/>
      <c r="AB426" s="134"/>
      <c r="AC42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2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28242.369999999955</v>
      </c>
      <c r="AE42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460.9700000000006</v>
      </c>
      <c r="AF42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2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27239.358055737786</v>
      </c>
      <c r="AH426" s="55"/>
      <c r="AI426" s="55"/>
      <c r="AJ426" s="55"/>
      <c r="AK426" s="101">
        <f t="shared" ca="1" si="82"/>
        <v>205576.03805573774</v>
      </c>
      <c r="AL426" s="129">
        <f t="array" ref="AL426">MAX((УслРестрактов[Характеристика]="Дата реструктуризации")*(УслРестрактов[Значение]=Первоначальный!$A426),0)</f>
        <v>0</v>
      </c>
    </row>
    <row r="427" spans="1:38" x14ac:dyDescent="0.25">
      <c r="A427" s="97">
        <f t="shared" si="75"/>
        <v>44558</v>
      </c>
      <c r="B427" s="100">
        <f t="shared" ca="1" si="76"/>
        <v>149633.34</v>
      </c>
      <c r="C427" s="55">
        <f t="shared" ca="1" si="84"/>
        <v>28242.369999999955</v>
      </c>
      <c r="D427" s="55">
        <f t="shared" ca="1" si="84"/>
        <v>460.9700000000006</v>
      </c>
      <c r="E427" s="55">
        <f t="shared" ca="1" si="77"/>
        <v>0</v>
      </c>
      <c r="F427" s="55">
        <f t="shared" ca="1" si="78"/>
        <v>27239.358055737786</v>
      </c>
      <c r="G427" s="101">
        <f t="shared" ca="1" si="79"/>
        <v>205576.03805573774</v>
      </c>
      <c r="H427" s="100">
        <f ca="1">ROUND($B427*VLOOKUP($A427,$A$1:$B$10,2,1)/(365+IF(MOD(YEAR($A427),4),0,1)*($A427-$A426)),2)-Первоначальный[[#This Row],[Проценты на просроченный платеж по ОД за период]]</f>
        <v>78.84</v>
      </c>
      <c r="I427" s="55">
        <f t="shared" ca="1" si="80"/>
        <v>2.74</v>
      </c>
      <c r="J427" s="55">
        <v>0</v>
      </c>
      <c r="K427" s="55">
        <f t="shared" ca="1" si="83"/>
        <v>159.26850327868851</v>
      </c>
      <c r="L427" s="55">
        <v>0</v>
      </c>
      <c r="M427" s="113">
        <f>SUMIFS(График[Возврат основной суммы долга],График[Дата с учетом нерабочих дней],$A427)</f>
        <v>0</v>
      </c>
      <c r="N427" s="56">
        <f>SUMIFS(График[Возврат начисленных %],График[Дата с учетом нерабочих дней],$A427)</f>
        <v>0</v>
      </c>
      <c r="O427" s="101">
        <v>0</v>
      </c>
      <c r="P427" s="100" cm="1">
        <f t="array" aca="1" ref="P427" ca="1">MAX(IF(AA426="Да",0,SUM(INDIRECT("M"&amp;(MAX(("Да"=AA$12:AA426)*ROW(AA$12:AA426)+1,ROW($P$12))&amp;":M"&amp;(ROW()))))-SUM(INDIRECT("W"&amp;(MAX(("Да"=AA$12:AA426)*ROW(AA$12:AA426)+1,ROW($P$12))&amp;":W"&amp;(ROW()))))),0)</f>
        <v>5031.6299999999992</v>
      </c>
      <c r="Q427" s="99">
        <f ca="1">MAX(SUM($N$13:N427)-SUM($T$13:T427),0)</f>
        <v>26822.070655737705</v>
      </c>
      <c r="R427" s="99">
        <f ca="1">Первоначальный[[#This Row],[Просроченный платеж по ОД]]+Первоначальный[[#This Row],[Просроченный платеж по процентам]]</f>
        <v>31853.700655737703</v>
      </c>
      <c r="S427" s="120">
        <f ca="1">IF(Первоначальный[[#This Row],[Просроченный платеж]]&lt;1,0,S426+1)</f>
        <v>323</v>
      </c>
      <c r="T427" s="100" cm="1">
        <f t="array" aca="1" ref="T427" ca="1">IF(Первоначальный[[#This Row],[Итого остаток на начало периода]]&lt;1,0,
IF(
AND(TYPE(VLOOKUP(1,$Z$12:Z427,1,0))=16,Первоначальный[[#This Row],[Досрочное погашение (да/"")]]=""),0,
_xlfn.IFS(AND(S426=0,Первоначальный[[#This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платеж]]&lt;&gt;0),MIN(LOOKUP(,-1/($Z$12:Z427=1),$C$12:C427)+LOOKUP(,-1/($Z$12:Z427=1),$H$12:H427),Первоначальный[[#This Row],[Полученный платеж]]+Y426),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платеж]]+Y426,SUM(Первоначальный[[#This Row],[Остаток процентов на начало периода]],Первоначальный[[#This Row],[Проценты за период]])),
AND(S426=0,Первоначальный[[#This Row],[Дата платежа из графика]]=""),0,
AND(S426=0,Первоначальный[[#This Row],[Дата платежа из графика]]=1,MAX((0&lt;&gt;S$12:S426)*ROW(S$12:S426),ROW($S$12))&gt;=MAX((1=Z$12:Z426)*ROW(Z$12:Z426),ROW($T$12)),TYPE(VLOOKUP("Да",(INDIRECT("AA"&amp;(MAX((1=Z$12:Z426)*ROW(Z$12:Z426),ROW($T$12))&amp;":AA"&amp;(ROW()-1)))),1,0))=16),MIN(LOOKUP(,-1/($Z$12:Z427=1),$C$12:C427)+LOOKUP(,-1/($Z$12:Z427=1),$H$12:H427),Первоначальный[[#This Row],[Полученный платеж]]+Y426),
AND(S426=0,TYPE(VLOOKUP("Да",(INDIRECT("AA"&amp;(MAX((1=Z$12:Z426)*ROW(Z$12:Z426),ROW($T$12))&amp;":AA"&amp;(ROW()-1)))),1,0))&lt;&gt;16),MIN(LOOKUP(,-1/($Z$12:Z427=1),$C$12:C427)+LOOKUP(,-1/($Z$12:Z427=1),$H$12:H427)-IF(AA426="Да",0,SUM(INDIRECT("T"&amp;(MAX(("Да"=AA$12:AA426)*ROW(AA$12:AA426)+1,ROW($T$12))&amp;":T"&amp;(ROW()-1))))),Первоначальный[[#This Row],[Полученный платеж]]+Y426),
AND(S426=0,MAX((0&lt;&gt;N$12:N426)*ROW(N$12:N426),ROW($S$12))&gt;=MAX((1=Z$12:Z426)*ROW(Z$12:Z426),ROW($T$12))),MIN(LOOKUP(,-1/($Z$12:Z427=1),$C$12:C427)+LOOKUP(,-1/($Z$12:Z427=1),$H$12:H427)-IF(N426&lt;&gt;0,0,SUM(INDIRECT("T"&amp;(MAX((0&lt;&gt;N$12:N426)*ROW(N$12:N426)+1,ROW($T$12))&amp;":T"&amp;(ROW()-1))))),Первоначальный[[#This Row],[Полученный платеж]]+Y426),
AND(S426=0,Первоначальный[[#This Row],[Дата платежа из графика]]=1),MIN(LOOKUP(,-1/($Z$12:Z427=1),$C$12:C427)+LOOKUP(,-1/($Z$12:Z427=1),$H$12:H427)-IF(Z426=1,0,SUM(INDIRECT("T"&amp;(MAX((1=Z$12:Z426)*ROW(Z$12:Z426)+1,ROW($T$12))&amp;":T"&amp;(ROW()-1))))),Первоначальный[[#This Row],[Полученный платеж]]+Y426),
AND(Z426&gt;0,Первоначальный[[#This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платеж]]+Y426),
AND(S426&gt;0,MAX((0&lt;&gt;S$12:S426)*ROW(S$12:S426),ROW($S$12))&gt;=MAX((1=Z$12:Z426)*ROW(Z$12:Z426),ROW($T$12)),TYPE(VLOOKUP("Да",(INDIRECT("AA"&amp;(MAX((1=Z$12:Z426)*ROW(Z$12:Z426),ROW($T$12))&amp;":AA"&amp;(ROW()-1)))),1,0))=16),MIN(LOOKUP(,-1/($Z$12:Z427=1),$C$12:C427)+LOOKUP(,-1/($Z$12:Z427=1),$H$12:H427)-SUM(INDIRECT("T"&amp;(MAX((1=Z$12:Z426)*ROW(Z$12:Z426),ROW($T$12))&amp;":T"&amp;(ROW()-1)))),Первоначальный[[#This Row],[Полученный платеж]]+Y426),
S426&gt;0,MIN(LOOKUP(,-1/($Z$12:Z427=1),$C$12:C427)+LOOKUP(,-1/($Z$12:Z427=1),$H$12:H427)-IF(Z426=1,0,SUM(INDIRECT("T"&amp;(MAX((1=Z$12:Z426)*ROW(Z$12:Z426)+1,ROW($T$12))&amp;":T"&amp;(ROW()-1))))),Первоначальный[[#This Row],[Полученный платеж]]+Y426)
)
)
)</f>
        <v>0</v>
      </c>
      <c r="U42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платеж]]+Y426-Первоначальный[[#This Row],[Полученный платёж по процентам]])</f>
        <v>0</v>
      </c>
      <c r="V427" s="55">
        <f t="shared" ca="1" si="73"/>
        <v>0</v>
      </c>
      <c r="W427" s="55" cm="1">
        <f t="array" aca="1" ref="W427" ca="1">IF(Первоначальный[[#This Row],[Итого остаток на начало периода]]&lt;1,0,
_xlfn.IFS(
AND(TYPE(VLOOKUP(1,$Z$12:Z427,1,0))=16,Первоначальный[[#This Row],[Досрочное погашение (да/"")]]=""),0,
AND(S426=0,Первоначальный[[#This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платеж]]+Y426-SUM(Первоначальный[[#This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комиссиям]]),VLOOKUP(LOOKUP(,-1/($Z$12:Z427=1),$A$12:A427),График[[Срок конец]:[Возврат основной суммы долга]],3,0)),
AND(S426=0,Первоначальный[[#This Row],[Дата платежа из графика]]="",Первоначальный[[#This Row],[Досрочное погашение (да/"")]]&lt;&gt;"Да"),0,
AND(S426=0,Первоначальный[[#This Row],[Досрочное погашение (да/"")]]=""),MIN(Первоначальный[[#This Row],[Полученный платеж]]+Y426-SUM(Первоначальный[[#This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комиссиям]]),VLOOKUP(LOOKUP(,-1/($Z$12:Z427=1),$A$12:A427),График[[Срок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платеж]]+Y426-SUM(Первоначальный[[#This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S426&gt;0,MIN(Первоначальный[[#This Row],[Полученный платеж]]+Y426-SUM(Первоначальный[[#This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комиссиям]]),SUM(INDIRECT("M"&amp;(MAX((1=S$12:S426)*ROW(S$12:S426),ROW($W$12))&amp;":M"&amp;(ROW()))))-SUM(INDIRECT("W"&amp;(MAX((1=S$12:S426)*ROW(S$12:S426),ROW($W$12))&amp;":W"&amp;(ROW()-1)))))
)
)</f>
        <v>0</v>
      </c>
      <c r="X427" s="55">
        <f t="shared" ca="1" si="74"/>
        <v>0</v>
      </c>
      <c r="Y427" s="101">
        <f t="shared" ca="1" si="81"/>
        <v>0</v>
      </c>
      <c r="Z427" s="133" t="str">
        <f>IF(TYPE((VLOOKUP(Первоначальный[[#This Row],[Дата платежа]],График[Срок конец],1,0)))=16,"",1)</f>
        <v/>
      </c>
      <c r="AA427" s="57"/>
      <c r="AB427" s="134"/>
      <c r="AC42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2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28321.209999999955</v>
      </c>
      <c r="AE42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463.7100000000006</v>
      </c>
      <c r="AF42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2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27398.626559016477</v>
      </c>
      <c r="AH427" s="55"/>
      <c r="AI427" s="55"/>
      <c r="AJ427" s="55"/>
      <c r="AK427" s="101">
        <f t="shared" ca="1" si="82"/>
        <v>205816.88655901642</v>
      </c>
      <c r="AL427" s="129">
        <f t="array" ref="AL427">MAX((УслРестрактов[Характеристика]="Дата реструктуризации")*(УслРестрактов[Значение]=Первоначальный!$A427),0)</f>
        <v>0</v>
      </c>
    </row>
    <row r="428" spans="1:38" x14ac:dyDescent="0.25">
      <c r="A428" s="97">
        <f t="shared" si="75"/>
        <v>44559</v>
      </c>
      <c r="B428" s="100">
        <f t="shared" ca="1" si="76"/>
        <v>149633.34</v>
      </c>
      <c r="C428" s="55">
        <f t="shared" ca="1" si="84"/>
        <v>28321.209999999955</v>
      </c>
      <c r="D428" s="55">
        <f t="shared" ca="1" si="84"/>
        <v>463.7100000000006</v>
      </c>
      <c r="E428" s="55">
        <f t="shared" ca="1" si="77"/>
        <v>0</v>
      </c>
      <c r="F428" s="55">
        <f t="shared" ca="1" si="78"/>
        <v>27398.626559016477</v>
      </c>
      <c r="G428" s="101">
        <f t="shared" ca="1" si="79"/>
        <v>205816.88655901642</v>
      </c>
      <c r="H428" s="100">
        <f ca="1">ROUND($B428*VLOOKUP($A428,$A$1:$B$10,2,1)/(365+IF(MOD(YEAR($A428),4),0,1)*($A428-$A427)),2)-Первоначальный[[#This Row],[Проценты на просроченный платеж по ОД за период]]</f>
        <v>78.84</v>
      </c>
      <c r="I428" s="55">
        <f t="shared" ca="1" si="80"/>
        <v>2.74</v>
      </c>
      <c r="J428" s="55">
        <v>0</v>
      </c>
      <c r="K428" s="55">
        <f t="shared" ca="1" si="83"/>
        <v>159.26850327868851</v>
      </c>
      <c r="L428" s="55">
        <v>0</v>
      </c>
      <c r="M428" s="113">
        <f>SUMIFS(График[Возврат основной суммы долга],График[Дата с учетом нерабочих дней],$A428)</f>
        <v>0</v>
      </c>
      <c r="N428" s="56">
        <f>SUMIFS(График[Возврат начисленных %],График[Дата с учетом нерабочих дней],$A428)</f>
        <v>0</v>
      </c>
      <c r="O428" s="101">
        <v>0</v>
      </c>
      <c r="P428" s="100" cm="1">
        <f t="array" aca="1" ref="P428" ca="1">MAX(IF(AA427="Да",0,SUM(INDIRECT("M"&amp;(MAX(("Да"=AA$12:AA427)*ROW(AA$12:AA427)+1,ROW($P$12))&amp;":M"&amp;(ROW()))))-SUM(INDIRECT("W"&amp;(MAX(("Да"=AA$12:AA427)*ROW(AA$12:AA427)+1,ROW($P$12))&amp;":W"&amp;(ROW()))))),0)</f>
        <v>5031.6299999999992</v>
      </c>
      <c r="Q428" s="99">
        <f ca="1">MAX(SUM($N$13:N428)-SUM($T$13:T428),0)</f>
        <v>26822.070655737705</v>
      </c>
      <c r="R428" s="99">
        <f ca="1">Первоначальный[[#This Row],[Просроченный платеж по ОД]]+Первоначальный[[#This Row],[Просроченный платеж по процентам]]</f>
        <v>31853.700655737703</v>
      </c>
      <c r="S428" s="120">
        <f ca="1">IF(Первоначальный[[#This Row],[Просроченный платеж]]&lt;1,0,S427+1)</f>
        <v>324</v>
      </c>
      <c r="T428" s="100" cm="1">
        <f t="array" aca="1" ref="T428" ca="1">IF(Первоначальный[[#This Row],[Итого остаток на начало периода]]&lt;1,0,
IF(
AND(TYPE(VLOOKUP(1,$Z$12:Z428,1,0))=16,Первоначальный[[#This Row],[Досрочное погашение (да/"")]]=""),0,
_xlfn.IFS(AND(S427=0,Первоначальный[[#This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платеж]]&lt;&gt;0),MIN(LOOKUP(,-1/($Z$12:Z428=1),$C$12:C428)+LOOKUP(,-1/($Z$12:Z428=1),$H$12:H428),Первоначальный[[#This Row],[Полученный платеж]]+Y427),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платеж]]+Y427,SUM(Первоначальный[[#This Row],[Остаток процентов на начало периода]],Первоначальный[[#This Row],[Проценты за период]])),
AND(S427=0,Первоначальный[[#This Row],[Дата платежа из графика]]=""),0,
AND(S427=0,Первоначальный[[#This Row],[Дата платежа из графика]]=1,MAX((0&lt;&gt;S$12:S427)*ROW(S$12:S427),ROW($S$12))&gt;=MAX((1=Z$12:Z427)*ROW(Z$12:Z427),ROW($T$12)),TYPE(VLOOKUP("Да",(INDIRECT("AA"&amp;(MAX((1=Z$12:Z427)*ROW(Z$12:Z427),ROW($T$12))&amp;":AA"&amp;(ROW()-1)))),1,0))=16),MIN(LOOKUP(,-1/($Z$12:Z428=1),$C$12:C428)+LOOKUP(,-1/($Z$12:Z428=1),$H$12:H428),Первоначальный[[#This Row],[Полученный платеж]]+Y427),
AND(S427=0,TYPE(VLOOKUP("Да",(INDIRECT("AA"&amp;(MAX((1=Z$12:Z427)*ROW(Z$12:Z427),ROW($T$12))&amp;":AA"&amp;(ROW()-1)))),1,0))&lt;&gt;16),MIN(LOOKUP(,-1/($Z$12:Z428=1),$C$12:C428)+LOOKUP(,-1/($Z$12:Z428=1),$H$12:H428)-IF(AA427="Да",0,SUM(INDIRECT("T"&amp;(MAX(("Да"=AA$12:AA427)*ROW(AA$12:AA427)+1,ROW($T$12))&amp;":T"&amp;(ROW()-1))))),Первоначальный[[#This Row],[Полученный платеж]]+Y427),
AND(S427=0,MAX((0&lt;&gt;N$12:N427)*ROW(N$12:N427),ROW($S$12))&gt;=MAX((1=Z$12:Z427)*ROW(Z$12:Z427),ROW($T$12))),MIN(LOOKUP(,-1/($Z$12:Z428=1),$C$12:C428)+LOOKUP(,-1/($Z$12:Z428=1),$H$12:H428)-IF(N427&lt;&gt;0,0,SUM(INDIRECT("T"&amp;(MAX((0&lt;&gt;N$12:N427)*ROW(N$12:N427)+1,ROW($T$12))&amp;":T"&amp;(ROW()-1))))),Первоначальный[[#This Row],[Полученный платеж]]+Y427),
AND(S427=0,Первоначальный[[#This Row],[Дата платежа из графика]]=1),MIN(LOOKUP(,-1/($Z$12:Z428=1),$C$12:C428)+LOOKUP(,-1/($Z$12:Z428=1),$H$12:H428)-IF(Z427=1,0,SUM(INDIRECT("T"&amp;(MAX((1=Z$12:Z427)*ROW(Z$12:Z427)+1,ROW($T$12))&amp;":T"&amp;(ROW()-1))))),Первоначальный[[#This Row],[Полученный платеж]]+Y427),
AND(Z427&gt;0,Первоначальный[[#This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платеж]]+Y427),
AND(S427&gt;0,MAX((0&lt;&gt;S$12:S427)*ROW(S$12:S427),ROW($S$12))&gt;=MAX((1=Z$12:Z427)*ROW(Z$12:Z427),ROW($T$12)),TYPE(VLOOKUP("Да",(INDIRECT("AA"&amp;(MAX((1=Z$12:Z427)*ROW(Z$12:Z427),ROW($T$12))&amp;":AA"&amp;(ROW()-1)))),1,0))=16),MIN(LOOKUP(,-1/($Z$12:Z428=1),$C$12:C428)+LOOKUP(,-1/($Z$12:Z428=1),$H$12:H428)-SUM(INDIRECT("T"&amp;(MAX((1=Z$12:Z427)*ROW(Z$12:Z427),ROW($T$12))&amp;":T"&amp;(ROW()-1)))),Первоначальный[[#This Row],[Полученный платеж]]+Y427),
S427&gt;0,MIN(LOOKUP(,-1/($Z$12:Z428=1),$C$12:C428)+LOOKUP(,-1/($Z$12:Z428=1),$H$12:H428)-IF(Z427=1,0,SUM(INDIRECT("T"&amp;(MAX((1=Z$12:Z427)*ROW(Z$12:Z427)+1,ROW($T$12))&amp;":T"&amp;(ROW()-1))))),Первоначальный[[#This Row],[Полученный платеж]]+Y427)
)
)
)</f>
        <v>0</v>
      </c>
      <c r="U42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платеж]]+Y427-Первоначальный[[#This Row],[Полученный платёж по процентам]])</f>
        <v>0</v>
      </c>
      <c r="V428" s="55">
        <f t="shared" ca="1" si="73"/>
        <v>0</v>
      </c>
      <c r="W428" s="55" cm="1">
        <f t="array" aca="1" ref="W428" ca="1">IF(Первоначальный[[#This Row],[Итого остаток на начало периода]]&lt;1,0,
_xlfn.IFS(
AND(TYPE(VLOOKUP(1,$Z$12:Z428,1,0))=16,Первоначальный[[#This Row],[Досрочное погашение (да/"")]]=""),0,
AND(S427=0,Первоначальный[[#This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платеж]]+Y427-SUM(Первоначальный[[#This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комиссиям]]),VLOOKUP(LOOKUP(,-1/($Z$12:Z428=1),$A$12:A428),График[[Срок конец]:[Возврат основной суммы долга]],3,0)),
AND(S427=0,Первоначальный[[#This Row],[Дата платежа из графика]]="",Первоначальный[[#This Row],[Досрочное погашение (да/"")]]&lt;&gt;"Да"),0,
AND(S427=0,Первоначальный[[#This Row],[Досрочное погашение (да/"")]]=""),MIN(Первоначальный[[#This Row],[Полученный платеж]]+Y427-SUM(Первоначальный[[#This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комиссиям]]),VLOOKUP(LOOKUP(,-1/($Z$12:Z428=1),$A$12:A428),График[[Срок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платеж]]+Y427-SUM(Первоначальный[[#This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S427&gt;0,MIN(Первоначальный[[#This Row],[Полученный платеж]]+Y427-SUM(Первоначальный[[#This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комиссиям]]),SUM(INDIRECT("M"&amp;(MAX((1=S$12:S427)*ROW(S$12:S427),ROW($W$12))&amp;":M"&amp;(ROW()))))-SUM(INDIRECT("W"&amp;(MAX((1=S$12:S427)*ROW(S$12:S427),ROW($W$12))&amp;":W"&amp;(ROW()-1)))))
)
)</f>
        <v>0</v>
      </c>
      <c r="X428" s="55">
        <f t="shared" ca="1" si="74"/>
        <v>0</v>
      </c>
      <c r="Y428" s="101">
        <f t="shared" ca="1" si="81"/>
        <v>0</v>
      </c>
      <c r="Z428" s="133" t="str">
        <f>IF(TYPE((VLOOKUP(Первоначальный[[#This Row],[Дата платежа]],График[Срок конец],1,0)))=16,"",1)</f>
        <v/>
      </c>
      <c r="AA428" s="57"/>
      <c r="AB428" s="134"/>
      <c r="AC42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2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28400.049999999956</v>
      </c>
      <c r="AE42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466.45000000000061</v>
      </c>
      <c r="AF42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2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27557.895062295167</v>
      </c>
      <c r="AH428" s="55"/>
      <c r="AI428" s="55"/>
      <c r="AJ428" s="55"/>
      <c r="AK428" s="101">
        <f t="shared" ca="1" si="82"/>
        <v>206057.73506229513</v>
      </c>
      <c r="AL428" s="129">
        <f t="array" ref="AL428">MAX((УслРестрактов[Характеристика]="Дата реструктуризации")*(УслРестрактов[Значение]=Первоначальный!$A428),0)</f>
        <v>0</v>
      </c>
    </row>
    <row r="429" spans="1:38" x14ac:dyDescent="0.25">
      <c r="A429" s="97">
        <f t="shared" si="75"/>
        <v>44560</v>
      </c>
      <c r="B429" s="100">
        <f t="shared" ca="1" si="76"/>
        <v>149633.34</v>
      </c>
      <c r="C429" s="55">
        <f t="shared" ca="1" si="84"/>
        <v>28400.049999999956</v>
      </c>
      <c r="D429" s="55">
        <f t="shared" ca="1" si="84"/>
        <v>466.45000000000061</v>
      </c>
      <c r="E429" s="55">
        <f t="shared" ca="1" si="77"/>
        <v>0</v>
      </c>
      <c r="F429" s="55">
        <f t="shared" ca="1" si="78"/>
        <v>27557.895062295167</v>
      </c>
      <c r="G429" s="101">
        <f t="shared" ca="1" si="79"/>
        <v>206057.73506229513</v>
      </c>
      <c r="H429" s="100">
        <f ca="1">ROUND($B429*VLOOKUP($A429,$A$1:$B$10,2,1)/(365+IF(MOD(YEAR($A429),4),0,1)*($A429-$A428)),2)-Первоначальный[[#This Row],[Проценты на просроченный платеж по ОД за период]]</f>
        <v>78.84</v>
      </c>
      <c r="I429" s="55">
        <f t="shared" ca="1" si="80"/>
        <v>2.74</v>
      </c>
      <c r="J429" s="55">
        <v>0</v>
      </c>
      <c r="K429" s="55">
        <f t="shared" ca="1" si="83"/>
        <v>159.26850327868851</v>
      </c>
      <c r="L429" s="55">
        <v>0</v>
      </c>
      <c r="M429" s="113">
        <f>SUMIFS(График[Возврат основной суммы долга],График[Дата с учетом нерабочих дней],$A429)</f>
        <v>0</v>
      </c>
      <c r="N429" s="56">
        <f>SUMIFS(График[Возврат начисленных %],График[Дата с учетом нерабочих дней],$A429)</f>
        <v>0</v>
      </c>
      <c r="O429" s="101">
        <v>0</v>
      </c>
      <c r="P429" s="100" cm="1">
        <f t="array" aca="1" ref="P429" ca="1">MAX(IF(AA428="Да",0,SUM(INDIRECT("M"&amp;(MAX(("Да"=AA$12:AA428)*ROW(AA$12:AA428)+1,ROW($P$12))&amp;":M"&amp;(ROW()))))-SUM(INDIRECT("W"&amp;(MAX(("Да"=AA$12:AA428)*ROW(AA$12:AA428)+1,ROW($P$12))&amp;":W"&amp;(ROW()))))),0)</f>
        <v>5031.6299999999992</v>
      </c>
      <c r="Q429" s="99">
        <f ca="1">MAX(SUM($N$13:N429)-SUM($T$13:T429),0)</f>
        <v>26822.070655737705</v>
      </c>
      <c r="R429" s="99">
        <f ca="1">Первоначальный[[#This Row],[Просроченный платеж по ОД]]+Первоначальный[[#This Row],[Просроченный платеж по процентам]]</f>
        <v>31853.700655737703</v>
      </c>
      <c r="S429" s="120">
        <f ca="1">IF(Первоначальный[[#This Row],[Просроченный платеж]]&lt;1,0,S428+1)</f>
        <v>325</v>
      </c>
      <c r="T429" s="100" cm="1">
        <f t="array" aca="1" ref="T429" ca="1">IF(Первоначальный[[#This Row],[Итого остаток на начало периода]]&lt;1,0,
IF(
AND(TYPE(VLOOKUP(1,$Z$12:Z429,1,0))=16,Первоначальный[[#This Row],[Досрочное погашение (да/"")]]=""),0,
_xlfn.IFS(AND(S428=0,Первоначальный[[#This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платеж]]&lt;&gt;0),MIN(LOOKUP(,-1/($Z$12:Z429=1),$C$12:C429)+LOOKUP(,-1/($Z$12:Z429=1),$H$12:H429),Первоначальный[[#This Row],[Полученный платеж]]+Y428),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платеж]]+Y428,SUM(Первоначальный[[#This Row],[Остаток процентов на начало периода]],Первоначальный[[#This Row],[Проценты за период]])),
AND(S428=0,Первоначальный[[#This Row],[Дата платежа из графика]]=""),0,
AND(S428=0,Первоначальный[[#This Row],[Дата платежа из графика]]=1,MAX((0&lt;&gt;S$12:S428)*ROW(S$12:S428),ROW($S$12))&gt;=MAX((1=Z$12:Z428)*ROW(Z$12:Z428),ROW($T$12)),TYPE(VLOOKUP("Да",(INDIRECT("AA"&amp;(MAX((1=Z$12:Z428)*ROW(Z$12:Z428),ROW($T$12))&amp;":AA"&amp;(ROW()-1)))),1,0))=16),MIN(LOOKUP(,-1/($Z$12:Z429=1),$C$12:C429)+LOOKUP(,-1/($Z$12:Z429=1),$H$12:H429),Первоначальный[[#This Row],[Полученный платеж]]+Y428),
AND(S428=0,TYPE(VLOOKUP("Да",(INDIRECT("AA"&amp;(MAX((1=Z$12:Z428)*ROW(Z$12:Z428),ROW($T$12))&amp;":AA"&amp;(ROW()-1)))),1,0))&lt;&gt;16),MIN(LOOKUP(,-1/($Z$12:Z429=1),$C$12:C429)+LOOKUP(,-1/($Z$12:Z429=1),$H$12:H429)-IF(AA428="Да",0,SUM(INDIRECT("T"&amp;(MAX(("Да"=AA$12:AA428)*ROW(AA$12:AA428)+1,ROW($T$12))&amp;":T"&amp;(ROW()-1))))),Первоначальный[[#This Row],[Полученный платеж]]+Y428),
AND(S428=0,MAX((0&lt;&gt;N$12:N428)*ROW(N$12:N428),ROW($S$12))&gt;=MAX((1=Z$12:Z428)*ROW(Z$12:Z428),ROW($T$12))),MIN(LOOKUP(,-1/($Z$12:Z429=1),$C$12:C429)+LOOKUP(,-1/($Z$12:Z429=1),$H$12:H429)-IF(N428&lt;&gt;0,0,SUM(INDIRECT("T"&amp;(MAX((0&lt;&gt;N$12:N428)*ROW(N$12:N428)+1,ROW($T$12))&amp;":T"&amp;(ROW()-1))))),Первоначальный[[#This Row],[Полученный платеж]]+Y428),
AND(S428=0,Первоначальный[[#This Row],[Дата платежа из графика]]=1),MIN(LOOKUP(,-1/($Z$12:Z429=1),$C$12:C429)+LOOKUP(,-1/($Z$12:Z429=1),$H$12:H429)-IF(Z428=1,0,SUM(INDIRECT("T"&amp;(MAX((1=Z$12:Z428)*ROW(Z$12:Z428)+1,ROW($T$12))&amp;":T"&amp;(ROW()-1))))),Первоначальный[[#This Row],[Полученный платеж]]+Y428),
AND(Z428&gt;0,Первоначальный[[#This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платеж]]+Y428),
AND(S428&gt;0,MAX((0&lt;&gt;S$12:S428)*ROW(S$12:S428),ROW($S$12))&gt;=MAX((1=Z$12:Z428)*ROW(Z$12:Z428),ROW($T$12)),TYPE(VLOOKUP("Да",(INDIRECT("AA"&amp;(MAX((1=Z$12:Z428)*ROW(Z$12:Z428),ROW($T$12))&amp;":AA"&amp;(ROW()-1)))),1,0))=16),MIN(LOOKUP(,-1/($Z$12:Z429=1),$C$12:C429)+LOOKUP(,-1/($Z$12:Z429=1),$H$12:H429)-SUM(INDIRECT("T"&amp;(MAX((1=Z$12:Z428)*ROW(Z$12:Z428),ROW($T$12))&amp;":T"&amp;(ROW()-1)))),Первоначальный[[#This Row],[Полученный платеж]]+Y428),
S428&gt;0,MIN(LOOKUP(,-1/($Z$12:Z429=1),$C$12:C429)+LOOKUP(,-1/($Z$12:Z429=1),$H$12:H429)-IF(Z428=1,0,SUM(INDIRECT("T"&amp;(MAX((1=Z$12:Z428)*ROW(Z$12:Z428)+1,ROW($T$12))&amp;":T"&amp;(ROW()-1))))),Первоначальный[[#This Row],[Полученный платеж]]+Y428)
)
)
)</f>
        <v>0</v>
      </c>
      <c r="U42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платеж]]+Y428-Первоначальный[[#This Row],[Полученный платёж по процентам]])</f>
        <v>0</v>
      </c>
      <c r="V429" s="55">
        <f t="shared" ca="1" si="73"/>
        <v>0</v>
      </c>
      <c r="W429" s="55" cm="1">
        <f t="array" aca="1" ref="W429" ca="1">IF(Первоначальный[[#This Row],[Итого остаток на начало периода]]&lt;1,0,
_xlfn.IFS(
AND(TYPE(VLOOKUP(1,$Z$12:Z429,1,0))=16,Первоначальный[[#This Row],[Досрочное погашение (да/"")]]=""),0,
AND(S428=0,Первоначальный[[#This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платеж]]+Y428-SUM(Первоначальный[[#This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комиссиям]]),VLOOKUP(LOOKUP(,-1/($Z$12:Z429=1),$A$12:A429),График[[Срок конец]:[Возврат основной суммы долга]],3,0)),
AND(S428=0,Первоначальный[[#This Row],[Дата платежа из графика]]="",Первоначальный[[#This Row],[Досрочное погашение (да/"")]]&lt;&gt;"Да"),0,
AND(S428=0,Первоначальный[[#This Row],[Досрочное погашение (да/"")]]=""),MIN(Первоначальный[[#This Row],[Полученный платеж]]+Y428-SUM(Первоначальный[[#This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комиссиям]]),VLOOKUP(LOOKUP(,-1/($Z$12:Z429=1),$A$12:A429),График[[Срок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платеж]]+Y428-SUM(Первоначальный[[#This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S428&gt;0,MIN(Первоначальный[[#This Row],[Полученный платеж]]+Y428-SUM(Первоначальный[[#This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комиссиям]]),SUM(INDIRECT("M"&amp;(MAX((1=S$12:S428)*ROW(S$12:S428),ROW($W$12))&amp;":M"&amp;(ROW()))))-SUM(INDIRECT("W"&amp;(MAX((1=S$12:S428)*ROW(S$12:S428),ROW($W$12))&amp;":W"&amp;(ROW()-1)))))
)
)</f>
        <v>0</v>
      </c>
      <c r="X429" s="55">
        <f t="shared" ca="1" si="74"/>
        <v>0</v>
      </c>
      <c r="Y429" s="101">
        <f t="shared" ca="1" si="81"/>
        <v>0</v>
      </c>
      <c r="Z429" s="133" t="str">
        <f>IF(TYPE((VLOOKUP(Первоначальный[[#This Row],[Дата платежа]],График[Срок конец],1,0)))=16,"",1)</f>
        <v/>
      </c>
      <c r="AA429" s="57"/>
      <c r="AB429" s="134"/>
      <c r="AC42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2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28478.889999999956</v>
      </c>
      <c r="AE42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469.19000000000062</v>
      </c>
      <c r="AF42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2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27717.163565573857</v>
      </c>
      <c r="AH429" s="55"/>
      <c r="AI429" s="55"/>
      <c r="AJ429" s="55"/>
      <c r="AK429" s="101">
        <f t="shared" ca="1" si="82"/>
        <v>206298.58356557382</v>
      </c>
      <c r="AL429" s="129">
        <f t="array" ref="AL429">MAX((УслРестрактов[Характеристика]="Дата реструктуризации")*(УслРестрактов[Значение]=Первоначальный!$A429),0)</f>
        <v>0</v>
      </c>
    </row>
    <row r="430" spans="1:38" x14ac:dyDescent="0.25">
      <c r="A430" s="97">
        <f t="shared" si="75"/>
        <v>44561</v>
      </c>
      <c r="B430" s="100">
        <f t="shared" ca="1" si="76"/>
        <v>149633.34</v>
      </c>
      <c r="C430" s="55">
        <f t="shared" ca="1" si="84"/>
        <v>28478.889999999956</v>
      </c>
      <c r="D430" s="55">
        <f t="shared" ca="1" si="84"/>
        <v>469.19000000000062</v>
      </c>
      <c r="E430" s="55">
        <f t="shared" ca="1" si="77"/>
        <v>0</v>
      </c>
      <c r="F430" s="55">
        <f t="shared" ca="1" si="78"/>
        <v>27717.163565573857</v>
      </c>
      <c r="G430" s="101">
        <f t="shared" ca="1" si="79"/>
        <v>206298.58356557382</v>
      </c>
      <c r="H430" s="100">
        <f ca="1">ROUND($B430*VLOOKUP($A430,$A$1:$B$10,2,1)/(365+IF(MOD(YEAR($A430),4),0,1)*($A430-$A429)),2)-Первоначальный[[#This Row],[Проценты на просроченный платеж по ОД за период]]</f>
        <v>78.84</v>
      </c>
      <c r="I430" s="55">
        <f t="shared" ca="1" si="80"/>
        <v>2.74</v>
      </c>
      <c r="J430" s="55">
        <v>0</v>
      </c>
      <c r="K430" s="55">
        <f t="shared" ca="1" si="83"/>
        <v>159.26850327868851</v>
      </c>
      <c r="L430" s="55">
        <v>0</v>
      </c>
      <c r="M430" s="113">
        <f>SUMIFS(График[Возврат основной суммы долга],График[Дата с учетом нерабочих дней],$A430)</f>
        <v>0</v>
      </c>
      <c r="N430" s="56">
        <f>SUMIFS(График[Возврат начисленных %],График[Дата с учетом нерабочих дней],$A430)</f>
        <v>0</v>
      </c>
      <c r="O430" s="101">
        <v>0</v>
      </c>
      <c r="P430" s="100" cm="1">
        <f t="array" aca="1" ref="P430" ca="1">MAX(IF(AA429="Да",0,SUM(INDIRECT("M"&amp;(MAX(("Да"=AA$12:AA429)*ROW(AA$12:AA429)+1,ROW($P$12))&amp;":M"&amp;(ROW()))))-SUM(INDIRECT("W"&amp;(MAX(("Да"=AA$12:AA429)*ROW(AA$12:AA429)+1,ROW($P$12))&amp;":W"&amp;(ROW()))))),0)</f>
        <v>5031.6299999999992</v>
      </c>
      <c r="Q430" s="99">
        <f ca="1">MAX(SUM($N$13:N430)-SUM($T$13:T430),0)</f>
        <v>26822.070655737705</v>
      </c>
      <c r="R430" s="99">
        <f ca="1">Первоначальный[[#This Row],[Просроченный платеж по ОД]]+Первоначальный[[#This Row],[Просроченный платеж по процентам]]</f>
        <v>31853.700655737703</v>
      </c>
      <c r="S430" s="120">
        <f ca="1">IF(Первоначальный[[#This Row],[Просроченный платеж]]&lt;1,0,S429+1)</f>
        <v>326</v>
      </c>
      <c r="T430" s="100" cm="1">
        <f t="array" aca="1" ref="T430" ca="1">IF(Первоначальный[[#This Row],[Итого остаток на начало периода]]&lt;1,0,
IF(
AND(TYPE(VLOOKUP(1,$Z$12:Z430,1,0))=16,Первоначальный[[#This Row],[Досрочное погашение (да/"")]]=""),0,
_xlfn.IFS(AND(S429=0,Первоначальный[[#This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платеж]]&lt;&gt;0),MIN(LOOKUP(,-1/($Z$12:Z430=1),$C$12:C430)+LOOKUP(,-1/($Z$12:Z430=1),$H$12:H430),Первоначальный[[#This Row],[Полученный платеж]]+Y429),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платеж]]+Y429,SUM(Первоначальный[[#This Row],[Остаток процентов на начало периода]],Первоначальный[[#This Row],[Проценты за период]])),
AND(S429=0,Первоначальный[[#This Row],[Дата платежа из графика]]=""),0,
AND(S429=0,Первоначальный[[#This Row],[Дата платежа из графика]]=1,MAX((0&lt;&gt;S$12:S429)*ROW(S$12:S429),ROW($S$12))&gt;=MAX((1=Z$12:Z429)*ROW(Z$12:Z429),ROW($T$12)),TYPE(VLOOKUP("Да",(INDIRECT("AA"&amp;(MAX((1=Z$12:Z429)*ROW(Z$12:Z429),ROW($T$12))&amp;":AA"&amp;(ROW()-1)))),1,0))=16),MIN(LOOKUP(,-1/($Z$12:Z430=1),$C$12:C430)+LOOKUP(,-1/($Z$12:Z430=1),$H$12:H430),Первоначальный[[#This Row],[Полученный платеж]]+Y429),
AND(S429=0,TYPE(VLOOKUP("Да",(INDIRECT("AA"&amp;(MAX((1=Z$12:Z429)*ROW(Z$12:Z429),ROW($T$12))&amp;":AA"&amp;(ROW()-1)))),1,0))&lt;&gt;16),MIN(LOOKUP(,-1/($Z$12:Z430=1),$C$12:C430)+LOOKUP(,-1/($Z$12:Z430=1),$H$12:H430)-IF(AA429="Да",0,SUM(INDIRECT("T"&amp;(MAX(("Да"=AA$12:AA429)*ROW(AA$12:AA429)+1,ROW($T$12))&amp;":T"&amp;(ROW()-1))))),Первоначальный[[#This Row],[Полученный платеж]]+Y429),
AND(S429=0,MAX((0&lt;&gt;N$12:N429)*ROW(N$12:N429),ROW($S$12))&gt;=MAX((1=Z$12:Z429)*ROW(Z$12:Z429),ROW($T$12))),MIN(LOOKUP(,-1/($Z$12:Z430=1),$C$12:C430)+LOOKUP(,-1/($Z$12:Z430=1),$H$12:H430)-IF(N429&lt;&gt;0,0,SUM(INDIRECT("T"&amp;(MAX((0&lt;&gt;N$12:N429)*ROW(N$12:N429)+1,ROW($T$12))&amp;":T"&amp;(ROW()-1))))),Первоначальный[[#This Row],[Полученный платеж]]+Y429),
AND(S429=0,Первоначальный[[#This Row],[Дата платежа из графика]]=1),MIN(LOOKUP(,-1/($Z$12:Z430=1),$C$12:C430)+LOOKUP(,-1/($Z$12:Z430=1),$H$12:H430)-IF(Z429=1,0,SUM(INDIRECT("T"&amp;(MAX((1=Z$12:Z429)*ROW(Z$12:Z429)+1,ROW($T$12))&amp;":T"&amp;(ROW()-1))))),Первоначальный[[#This Row],[Полученный платеж]]+Y429),
AND(Z429&gt;0,Первоначальный[[#This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платеж]]+Y429),
AND(S429&gt;0,MAX((0&lt;&gt;S$12:S429)*ROW(S$12:S429),ROW($S$12))&gt;=MAX((1=Z$12:Z429)*ROW(Z$12:Z429),ROW($T$12)),TYPE(VLOOKUP("Да",(INDIRECT("AA"&amp;(MAX((1=Z$12:Z429)*ROW(Z$12:Z429),ROW($T$12))&amp;":AA"&amp;(ROW()-1)))),1,0))=16),MIN(LOOKUP(,-1/($Z$12:Z430=1),$C$12:C430)+LOOKUP(,-1/($Z$12:Z430=1),$H$12:H430)-SUM(INDIRECT("T"&amp;(MAX((1=Z$12:Z429)*ROW(Z$12:Z429),ROW($T$12))&amp;":T"&amp;(ROW()-1)))),Первоначальный[[#This Row],[Полученный платеж]]+Y429),
S429&gt;0,MIN(LOOKUP(,-1/($Z$12:Z430=1),$C$12:C430)+LOOKUP(,-1/($Z$12:Z430=1),$H$12:H430)-IF(Z429=1,0,SUM(INDIRECT("T"&amp;(MAX((1=Z$12:Z429)*ROW(Z$12:Z429)+1,ROW($T$12))&amp;":T"&amp;(ROW()-1))))),Первоначальный[[#This Row],[Полученный платеж]]+Y429)
)
)
)</f>
        <v>0</v>
      </c>
      <c r="U43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платеж]]+Y429-Первоначальный[[#This Row],[Полученный платёж по процентам]])</f>
        <v>0</v>
      </c>
      <c r="V430" s="55">
        <f t="shared" ca="1" si="73"/>
        <v>0</v>
      </c>
      <c r="W430" s="55" cm="1">
        <f t="array" aca="1" ref="W430" ca="1">IF(Первоначальный[[#This Row],[Итого остаток на начало периода]]&lt;1,0,
_xlfn.IFS(
AND(TYPE(VLOOKUP(1,$Z$12:Z430,1,0))=16,Первоначальный[[#This Row],[Досрочное погашение (да/"")]]=""),0,
AND(S429=0,Первоначальный[[#This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платеж]]+Y429-SUM(Первоначальный[[#This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комиссиям]]),VLOOKUP(LOOKUP(,-1/($Z$12:Z430=1),$A$12:A430),График[[Срок конец]:[Возврат основной суммы долга]],3,0)),
AND(S429=0,Первоначальный[[#This Row],[Дата платежа из графика]]="",Первоначальный[[#This Row],[Досрочное погашение (да/"")]]&lt;&gt;"Да"),0,
AND(S429=0,Первоначальный[[#This Row],[Досрочное погашение (да/"")]]=""),MIN(Первоначальный[[#This Row],[Полученный платеж]]+Y429-SUM(Первоначальный[[#This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комиссиям]]),VLOOKUP(LOOKUP(,-1/($Z$12:Z430=1),$A$12:A430),График[[Срок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платеж]]+Y429-SUM(Первоначальный[[#This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S429&gt;0,MIN(Первоначальный[[#This Row],[Полученный платеж]]+Y429-SUM(Первоначальный[[#This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комиссиям]]),SUM(INDIRECT("M"&amp;(MAX((1=S$12:S429)*ROW(S$12:S429),ROW($W$12))&amp;":M"&amp;(ROW()))))-SUM(INDIRECT("W"&amp;(MAX((1=S$12:S429)*ROW(S$12:S429),ROW($W$12))&amp;":W"&amp;(ROW()-1)))))
)
)</f>
        <v>0</v>
      </c>
      <c r="X430" s="55">
        <f t="shared" ca="1" si="74"/>
        <v>0</v>
      </c>
      <c r="Y430" s="101">
        <f t="shared" ca="1" si="81"/>
        <v>0</v>
      </c>
      <c r="Z430" s="133" t="str">
        <f>IF(TYPE((VLOOKUP(Первоначальный[[#This Row],[Дата платежа]],График[Срок конец],1,0)))=16,"",1)</f>
        <v/>
      </c>
      <c r="AA430" s="57"/>
      <c r="AB430" s="134"/>
      <c r="AC43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3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28557.729999999956</v>
      </c>
      <c r="AE43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471.93000000000063</v>
      </c>
      <c r="AF43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3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27876.432068852548</v>
      </c>
      <c r="AH430" s="55"/>
      <c r="AI430" s="55"/>
      <c r="AJ430" s="55"/>
      <c r="AK430" s="101">
        <f t="shared" ca="1" si="82"/>
        <v>206539.43206885247</v>
      </c>
      <c r="AL430" s="129">
        <f t="array" ref="AL430">MAX((УслРестрактов[Характеристика]="Дата реструктуризации")*(УслРестрактов[Значение]=Первоначальный!$A430),0)</f>
        <v>0</v>
      </c>
    </row>
    <row r="431" spans="1:38" x14ac:dyDescent="0.25">
      <c r="A431" s="97">
        <f t="shared" si="75"/>
        <v>44562</v>
      </c>
      <c r="B431" s="100">
        <f t="shared" ca="1" si="76"/>
        <v>149633.34</v>
      </c>
      <c r="C431" s="55">
        <f t="shared" ca="1" si="84"/>
        <v>28557.729999999956</v>
      </c>
      <c r="D431" s="55">
        <f t="shared" ca="1" si="84"/>
        <v>471.93000000000063</v>
      </c>
      <c r="E431" s="55">
        <f t="shared" ca="1" si="77"/>
        <v>0</v>
      </c>
      <c r="F431" s="55">
        <f t="shared" ca="1" si="78"/>
        <v>27876.432068852548</v>
      </c>
      <c r="G431" s="101">
        <f t="shared" ca="1" si="79"/>
        <v>206539.43206885247</v>
      </c>
      <c r="H431" s="100">
        <f ca="1">ROUND($B431*VLOOKUP($A431,$A$1:$B$10,2,1)/(365+IF(MOD(YEAR($A431),4),0,1)*($A431-$A430)),2)-Первоначальный[[#This Row],[Проценты на просроченный платеж по ОД за период]]</f>
        <v>78.84</v>
      </c>
      <c r="I431" s="55">
        <f t="shared" ca="1" si="80"/>
        <v>2.74</v>
      </c>
      <c r="J431" s="55">
        <v>0</v>
      </c>
      <c r="K431" s="55">
        <f t="shared" ca="1" si="83"/>
        <v>159.26850327868851</v>
      </c>
      <c r="L431" s="55">
        <v>0</v>
      </c>
      <c r="M431" s="113">
        <f>SUMIFS(График[Возврат основной суммы долга],График[Дата с учетом нерабочих дней],$A431)</f>
        <v>0</v>
      </c>
      <c r="N431" s="56">
        <f>SUMIFS(График[Возврат начисленных %],График[Дата с учетом нерабочих дней],$A431)</f>
        <v>0</v>
      </c>
      <c r="O431" s="101">
        <v>0</v>
      </c>
      <c r="P431" s="100" cm="1">
        <f t="array" aca="1" ref="P431" ca="1">MAX(IF(AA430="Да",0,SUM(INDIRECT("M"&amp;(MAX(("Да"=AA$12:AA430)*ROW(AA$12:AA430)+1,ROW($P$12))&amp;":M"&amp;(ROW()))))-SUM(INDIRECT("W"&amp;(MAX(("Да"=AA$12:AA430)*ROW(AA$12:AA430)+1,ROW($P$12))&amp;":W"&amp;(ROW()))))),0)</f>
        <v>5031.6299999999992</v>
      </c>
      <c r="Q431" s="99">
        <f ca="1">MAX(SUM($N$13:N431)-SUM($T$13:T431),0)</f>
        <v>26822.070655737705</v>
      </c>
      <c r="R431" s="99">
        <f ca="1">Первоначальный[[#This Row],[Просроченный платеж по ОД]]+Первоначальный[[#This Row],[Просроченный платеж по процентам]]</f>
        <v>31853.700655737703</v>
      </c>
      <c r="S431" s="120">
        <f ca="1">IF(Первоначальный[[#This Row],[Просроченный платеж]]&lt;1,0,S430+1)</f>
        <v>327</v>
      </c>
      <c r="T431" s="100" cm="1">
        <f t="array" aca="1" ref="T431" ca="1">IF(Первоначальный[[#This Row],[Итого остаток на начало периода]]&lt;1,0,
IF(
AND(TYPE(VLOOKUP(1,$Z$12:Z431,1,0))=16,Первоначальный[[#This Row],[Досрочное погашение (да/"")]]=""),0,
_xlfn.IFS(AND(S430=0,Первоначальный[[#This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платеж]]&lt;&gt;0),MIN(LOOKUP(,-1/($Z$12:Z431=1),$C$12:C431)+LOOKUP(,-1/($Z$12:Z431=1),$H$12:H431),Первоначальный[[#This Row],[Полученный платеж]]+Y430),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платеж]]+Y430,SUM(Первоначальный[[#This Row],[Остаток процентов на начало периода]],Первоначальный[[#This Row],[Проценты за период]])),
AND(S430=0,Первоначальный[[#This Row],[Дата платежа из графика]]=""),0,
AND(S430=0,Первоначальный[[#This Row],[Дата платежа из графика]]=1,MAX((0&lt;&gt;S$12:S430)*ROW(S$12:S430),ROW($S$12))&gt;=MAX((1=Z$12:Z430)*ROW(Z$12:Z430),ROW($T$12)),TYPE(VLOOKUP("Да",(INDIRECT("AA"&amp;(MAX((1=Z$12:Z430)*ROW(Z$12:Z430),ROW($T$12))&amp;":AA"&amp;(ROW()-1)))),1,0))=16),MIN(LOOKUP(,-1/($Z$12:Z431=1),$C$12:C431)+LOOKUP(,-1/($Z$12:Z431=1),$H$12:H431),Первоначальный[[#This Row],[Полученный платеж]]+Y430),
AND(S430=0,TYPE(VLOOKUP("Да",(INDIRECT("AA"&amp;(MAX((1=Z$12:Z430)*ROW(Z$12:Z430),ROW($T$12))&amp;":AA"&amp;(ROW()-1)))),1,0))&lt;&gt;16),MIN(LOOKUP(,-1/($Z$12:Z431=1),$C$12:C431)+LOOKUP(,-1/($Z$12:Z431=1),$H$12:H431)-IF(AA430="Да",0,SUM(INDIRECT("T"&amp;(MAX(("Да"=AA$12:AA430)*ROW(AA$12:AA430)+1,ROW($T$12))&amp;":T"&amp;(ROW()-1))))),Первоначальный[[#This Row],[Полученный платеж]]+Y430),
AND(S430=0,MAX((0&lt;&gt;N$12:N430)*ROW(N$12:N430),ROW($S$12))&gt;=MAX((1=Z$12:Z430)*ROW(Z$12:Z430),ROW($T$12))),MIN(LOOKUP(,-1/($Z$12:Z431=1),$C$12:C431)+LOOKUP(,-1/($Z$12:Z431=1),$H$12:H431)-IF(N430&lt;&gt;0,0,SUM(INDIRECT("T"&amp;(MAX((0&lt;&gt;N$12:N430)*ROW(N$12:N430)+1,ROW($T$12))&amp;":T"&amp;(ROW()-1))))),Первоначальный[[#This Row],[Полученный платеж]]+Y430),
AND(S430=0,Первоначальный[[#This Row],[Дата платежа из графика]]=1),MIN(LOOKUP(,-1/($Z$12:Z431=1),$C$12:C431)+LOOKUP(,-1/($Z$12:Z431=1),$H$12:H431)-IF(Z430=1,0,SUM(INDIRECT("T"&amp;(MAX((1=Z$12:Z430)*ROW(Z$12:Z430)+1,ROW($T$12))&amp;":T"&amp;(ROW()-1))))),Первоначальный[[#This Row],[Полученный платеж]]+Y430),
AND(Z430&gt;0,Первоначальный[[#This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платеж]]+Y430),
AND(S430&gt;0,MAX((0&lt;&gt;S$12:S430)*ROW(S$12:S430),ROW($S$12))&gt;=MAX((1=Z$12:Z430)*ROW(Z$12:Z430),ROW($T$12)),TYPE(VLOOKUP("Да",(INDIRECT("AA"&amp;(MAX((1=Z$12:Z430)*ROW(Z$12:Z430),ROW($T$12))&amp;":AA"&amp;(ROW()-1)))),1,0))=16),MIN(LOOKUP(,-1/($Z$12:Z431=1),$C$12:C431)+LOOKUP(,-1/($Z$12:Z431=1),$H$12:H431)-SUM(INDIRECT("T"&amp;(MAX((1=Z$12:Z430)*ROW(Z$12:Z430),ROW($T$12))&amp;":T"&amp;(ROW()-1)))),Первоначальный[[#This Row],[Полученный платеж]]+Y430),
S430&gt;0,MIN(LOOKUP(,-1/($Z$12:Z431=1),$C$12:C431)+LOOKUP(,-1/($Z$12:Z431=1),$H$12:H431)-IF(Z430=1,0,SUM(INDIRECT("T"&amp;(MAX((1=Z$12:Z430)*ROW(Z$12:Z430)+1,ROW($T$12))&amp;":T"&amp;(ROW()-1))))),Первоначальный[[#This Row],[Полученный платеж]]+Y430)
)
)
)</f>
        <v>0</v>
      </c>
      <c r="U43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платеж]]+Y430-Первоначальный[[#This Row],[Полученный платёж по процентам]])</f>
        <v>0</v>
      </c>
      <c r="V431" s="55">
        <f t="shared" ca="1" si="73"/>
        <v>0</v>
      </c>
      <c r="W431" s="55" cm="1">
        <f t="array" aca="1" ref="W431" ca="1">IF(Первоначальный[[#This Row],[Итого остаток на начало периода]]&lt;1,0,
_xlfn.IFS(
AND(TYPE(VLOOKUP(1,$Z$12:Z431,1,0))=16,Первоначальный[[#This Row],[Досрочное погашение (да/"")]]=""),0,
AND(S430=0,Первоначальный[[#This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платеж]]+Y430-SUM(Первоначальный[[#This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комиссиям]]),VLOOKUP(LOOKUP(,-1/($Z$12:Z431=1),$A$12:A431),График[[Срок конец]:[Возврат основной суммы долга]],3,0)),
AND(S430=0,Первоначальный[[#This Row],[Дата платежа из графика]]="",Первоначальный[[#This Row],[Досрочное погашение (да/"")]]&lt;&gt;"Да"),0,
AND(S430=0,Первоначальный[[#This Row],[Досрочное погашение (да/"")]]=""),MIN(Первоначальный[[#This Row],[Полученный платеж]]+Y430-SUM(Первоначальный[[#This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комиссиям]]),VLOOKUP(LOOKUP(,-1/($Z$12:Z431=1),$A$12:A431),График[[Срок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платеж]]+Y430-SUM(Первоначальный[[#This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S430&gt;0,MIN(Первоначальный[[#This Row],[Полученный платеж]]+Y430-SUM(Первоначальный[[#This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комиссиям]]),SUM(INDIRECT("M"&amp;(MAX((1=S$12:S430)*ROW(S$12:S430),ROW($W$12))&amp;":M"&amp;(ROW()))))-SUM(INDIRECT("W"&amp;(MAX((1=S$12:S430)*ROW(S$12:S430),ROW($W$12))&amp;":W"&amp;(ROW()-1)))))
)
)</f>
        <v>0</v>
      </c>
      <c r="X431" s="55">
        <f t="shared" ca="1" si="74"/>
        <v>0</v>
      </c>
      <c r="Y431" s="101">
        <f t="shared" ca="1" si="81"/>
        <v>0</v>
      </c>
      <c r="Z431" s="133" t="str">
        <f>IF(TYPE((VLOOKUP(Первоначальный[[#This Row],[Дата платежа]],График[Срок конец],1,0)))=16,"",1)</f>
        <v/>
      </c>
      <c r="AA431" s="57"/>
      <c r="AB431" s="134"/>
      <c r="AC43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3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28636.569999999956</v>
      </c>
      <c r="AE43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474.67000000000064</v>
      </c>
      <c r="AF43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3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28035.700572131238</v>
      </c>
      <c r="AH431" s="55"/>
      <c r="AI431" s="55"/>
      <c r="AJ431" s="55"/>
      <c r="AK431" s="101">
        <f t="shared" ca="1" si="82"/>
        <v>206780.28057213119</v>
      </c>
      <c r="AL431" s="129">
        <f t="array" ref="AL431">MAX((УслРестрактов[Характеристика]="Дата реструктуризации")*(УслРестрактов[Значение]=Первоначальный!$A431),0)</f>
        <v>0</v>
      </c>
    </row>
    <row r="432" spans="1:38" x14ac:dyDescent="0.25">
      <c r="A432" s="97">
        <f t="shared" si="75"/>
        <v>44563</v>
      </c>
      <c r="B432" s="100">
        <f t="shared" ca="1" si="76"/>
        <v>149633.34</v>
      </c>
      <c r="C432" s="55">
        <f t="shared" ca="1" si="84"/>
        <v>28636.569999999956</v>
      </c>
      <c r="D432" s="55">
        <f t="shared" ca="1" si="84"/>
        <v>474.67000000000064</v>
      </c>
      <c r="E432" s="55">
        <f t="shared" ca="1" si="77"/>
        <v>0</v>
      </c>
      <c r="F432" s="55">
        <f t="shared" ca="1" si="78"/>
        <v>28035.700572131238</v>
      </c>
      <c r="G432" s="101">
        <f t="shared" ca="1" si="79"/>
        <v>206780.28057213119</v>
      </c>
      <c r="H432" s="100">
        <f ca="1">ROUND($B432*VLOOKUP($A432,$A$1:$B$10,2,1)/(365+IF(MOD(YEAR($A432),4),0,1)*($A432-$A431)),2)-Первоначальный[[#This Row],[Проценты на просроченный платеж по ОД за период]]</f>
        <v>78.84</v>
      </c>
      <c r="I432" s="55">
        <f t="shared" ca="1" si="80"/>
        <v>2.74</v>
      </c>
      <c r="J432" s="55">
        <v>0</v>
      </c>
      <c r="K432" s="55">
        <f t="shared" ca="1" si="83"/>
        <v>159.26850327868851</v>
      </c>
      <c r="L432" s="55">
        <v>0</v>
      </c>
      <c r="M432" s="113">
        <f>SUMIFS(График[Возврат основной суммы долга],График[Дата с учетом нерабочих дней],$A432)</f>
        <v>0</v>
      </c>
      <c r="N432" s="56">
        <f>SUMIFS(График[Возврат начисленных %],График[Дата с учетом нерабочих дней],$A432)</f>
        <v>0</v>
      </c>
      <c r="O432" s="101">
        <v>0</v>
      </c>
      <c r="P432" s="100" cm="1">
        <f t="array" aca="1" ref="P432" ca="1">MAX(IF(AA431="Да",0,SUM(INDIRECT("M"&amp;(MAX(("Да"=AA$12:AA431)*ROW(AA$12:AA431)+1,ROW($P$12))&amp;":M"&amp;(ROW()))))-SUM(INDIRECT("W"&amp;(MAX(("Да"=AA$12:AA431)*ROW(AA$12:AA431)+1,ROW($P$12))&amp;":W"&amp;(ROW()))))),0)</f>
        <v>5031.6299999999992</v>
      </c>
      <c r="Q432" s="99">
        <f ca="1">MAX(SUM($N$13:N432)-SUM($T$13:T432),0)</f>
        <v>26822.070655737705</v>
      </c>
      <c r="R432" s="99">
        <f ca="1">Первоначальный[[#This Row],[Просроченный платеж по ОД]]+Первоначальный[[#This Row],[Просроченный платеж по процентам]]</f>
        <v>31853.700655737703</v>
      </c>
      <c r="S432" s="120">
        <f ca="1">IF(Первоначальный[[#This Row],[Просроченный платеж]]&lt;1,0,S431+1)</f>
        <v>328</v>
      </c>
      <c r="T432" s="100" cm="1">
        <f t="array" aca="1" ref="T432" ca="1">IF(Первоначальный[[#This Row],[Итого остаток на начало периода]]&lt;1,0,
IF(
AND(TYPE(VLOOKUP(1,$Z$12:Z432,1,0))=16,Первоначальный[[#This Row],[Досрочное погашение (да/"")]]=""),0,
_xlfn.IFS(AND(S431=0,Первоначальный[[#This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платеж]]&lt;&gt;0),MIN(LOOKUP(,-1/($Z$12:Z432=1),$C$12:C432)+LOOKUP(,-1/($Z$12:Z432=1),$H$12:H432),Первоначальный[[#This Row],[Полученный платеж]]+Y431),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платеж]]+Y431,SUM(Первоначальный[[#This Row],[Остаток процентов на начало периода]],Первоначальный[[#This Row],[Проценты за период]])),
AND(S431=0,Первоначальный[[#This Row],[Дата платежа из графика]]=""),0,
AND(S431=0,Первоначальный[[#This Row],[Дата платежа из графика]]=1,MAX((0&lt;&gt;S$12:S431)*ROW(S$12:S431),ROW($S$12))&gt;=MAX((1=Z$12:Z431)*ROW(Z$12:Z431),ROW($T$12)),TYPE(VLOOKUP("Да",(INDIRECT("AA"&amp;(MAX((1=Z$12:Z431)*ROW(Z$12:Z431),ROW($T$12))&amp;":AA"&amp;(ROW()-1)))),1,0))=16),MIN(LOOKUP(,-1/($Z$12:Z432=1),$C$12:C432)+LOOKUP(,-1/($Z$12:Z432=1),$H$12:H432),Первоначальный[[#This Row],[Полученный платеж]]+Y431),
AND(S431=0,TYPE(VLOOKUP("Да",(INDIRECT("AA"&amp;(MAX((1=Z$12:Z431)*ROW(Z$12:Z431),ROW($T$12))&amp;":AA"&amp;(ROW()-1)))),1,0))&lt;&gt;16),MIN(LOOKUP(,-1/($Z$12:Z432=1),$C$12:C432)+LOOKUP(,-1/($Z$12:Z432=1),$H$12:H432)-IF(AA431="Да",0,SUM(INDIRECT("T"&amp;(MAX(("Да"=AA$12:AA431)*ROW(AA$12:AA431)+1,ROW($T$12))&amp;":T"&amp;(ROW()-1))))),Первоначальный[[#This Row],[Полученный платеж]]+Y431),
AND(S431=0,MAX((0&lt;&gt;N$12:N431)*ROW(N$12:N431),ROW($S$12))&gt;=MAX((1=Z$12:Z431)*ROW(Z$12:Z431),ROW($T$12))),MIN(LOOKUP(,-1/($Z$12:Z432=1),$C$12:C432)+LOOKUP(,-1/($Z$12:Z432=1),$H$12:H432)-IF(N431&lt;&gt;0,0,SUM(INDIRECT("T"&amp;(MAX((0&lt;&gt;N$12:N431)*ROW(N$12:N431)+1,ROW($T$12))&amp;":T"&amp;(ROW()-1))))),Первоначальный[[#This Row],[Полученный платеж]]+Y431),
AND(S431=0,Первоначальный[[#This Row],[Дата платежа из графика]]=1),MIN(LOOKUP(,-1/($Z$12:Z432=1),$C$12:C432)+LOOKUP(,-1/($Z$12:Z432=1),$H$12:H432)-IF(Z431=1,0,SUM(INDIRECT("T"&amp;(MAX((1=Z$12:Z431)*ROW(Z$12:Z431)+1,ROW($T$12))&amp;":T"&amp;(ROW()-1))))),Первоначальный[[#This Row],[Полученный платеж]]+Y431),
AND(Z431&gt;0,Первоначальный[[#This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платеж]]+Y431),
AND(S431&gt;0,MAX((0&lt;&gt;S$12:S431)*ROW(S$12:S431),ROW($S$12))&gt;=MAX((1=Z$12:Z431)*ROW(Z$12:Z431),ROW($T$12)),TYPE(VLOOKUP("Да",(INDIRECT("AA"&amp;(MAX((1=Z$12:Z431)*ROW(Z$12:Z431),ROW($T$12))&amp;":AA"&amp;(ROW()-1)))),1,0))=16),MIN(LOOKUP(,-1/($Z$12:Z432=1),$C$12:C432)+LOOKUP(,-1/($Z$12:Z432=1),$H$12:H432)-SUM(INDIRECT("T"&amp;(MAX((1=Z$12:Z431)*ROW(Z$12:Z431),ROW($T$12))&amp;":T"&amp;(ROW()-1)))),Первоначальный[[#This Row],[Полученный платеж]]+Y431),
S431&gt;0,MIN(LOOKUP(,-1/($Z$12:Z432=1),$C$12:C432)+LOOKUP(,-1/($Z$12:Z432=1),$H$12:H432)-IF(Z431=1,0,SUM(INDIRECT("T"&amp;(MAX((1=Z$12:Z431)*ROW(Z$12:Z431)+1,ROW($T$12))&amp;":T"&amp;(ROW()-1))))),Первоначальный[[#This Row],[Полученный платеж]]+Y431)
)
)
)</f>
        <v>0</v>
      </c>
      <c r="U43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платеж]]+Y431-Первоначальный[[#This Row],[Полученный платёж по процентам]])</f>
        <v>0</v>
      </c>
      <c r="V432" s="55">
        <f t="shared" ca="1" si="73"/>
        <v>0</v>
      </c>
      <c r="W432" s="55" cm="1">
        <f t="array" aca="1" ref="W432" ca="1">IF(Первоначальный[[#This Row],[Итого остаток на начало периода]]&lt;1,0,
_xlfn.IFS(
AND(TYPE(VLOOKUP(1,$Z$12:Z432,1,0))=16,Первоначальный[[#This Row],[Досрочное погашение (да/"")]]=""),0,
AND(S431=0,Первоначальный[[#This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платеж]]+Y431-SUM(Первоначальный[[#This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комиссиям]]),VLOOKUP(LOOKUP(,-1/($Z$12:Z432=1),$A$12:A432),График[[Срок конец]:[Возврат основной суммы долга]],3,0)),
AND(S431=0,Первоначальный[[#This Row],[Дата платежа из графика]]="",Первоначальный[[#This Row],[Досрочное погашение (да/"")]]&lt;&gt;"Да"),0,
AND(S431=0,Первоначальный[[#This Row],[Досрочное погашение (да/"")]]=""),MIN(Первоначальный[[#This Row],[Полученный платеж]]+Y431-SUM(Первоначальный[[#This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комиссиям]]),VLOOKUP(LOOKUP(,-1/($Z$12:Z432=1),$A$12:A432),График[[Срок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платеж]]+Y431-SUM(Первоначальный[[#This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S431&gt;0,MIN(Первоначальный[[#This Row],[Полученный платеж]]+Y431-SUM(Первоначальный[[#This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комиссиям]]),SUM(INDIRECT("M"&amp;(MAX((1=S$12:S431)*ROW(S$12:S431),ROW($W$12))&amp;":M"&amp;(ROW()))))-SUM(INDIRECT("W"&amp;(MAX((1=S$12:S431)*ROW(S$12:S431),ROW($W$12))&amp;":W"&amp;(ROW()-1)))))
)
)</f>
        <v>0</v>
      </c>
      <c r="X432" s="55">
        <f t="shared" ca="1" si="74"/>
        <v>0</v>
      </c>
      <c r="Y432" s="101">
        <f t="shared" ca="1" si="81"/>
        <v>0</v>
      </c>
      <c r="Z432" s="133" t="str">
        <f>IF(TYPE((VLOOKUP(Первоначальный[[#This Row],[Дата платежа]],График[Срок конец],1,0)))=16,"",1)</f>
        <v/>
      </c>
      <c r="AA432" s="57"/>
      <c r="AB432" s="134"/>
      <c r="AC43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3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28715.409999999956</v>
      </c>
      <c r="AE43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477.41000000000065</v>
      </c>
      <c r="AF43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3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28194.969075409928</v>
      </c>
      <c r="AH432" s="55"/>
      <c r="AI432" s="55"/>
      <c r="AJ432" s="55"/>
      <c r="AK432" s="101">
        <f t="shared" ca="1" si="82"/>
        <v>207021.12907540987</v>
      </c>
      <c r="AL432" s="129">
        <f t="array" ref="AL432">MAX((УслРестрактов[Характеристика]="Дата реструктуризации")*(УслРестрактов[Значение]=Первоначальный!$A432),0)</f>
        <v>0</v>
      </c>
    </row>
    <row r="433" spans="1:38" x14ac:dyDescent="0.25">
      <c r="A433" s="97">
        <f t="shared" si="75"/>
        <v>44564</v>
      </c>
      <c r="B433" s="100">
        <f t="shared" ca="1" si="76"/>
        <v>149633.34</v>
      </c>
      <c r="C433" s="55">
        <f t="shared" ca="1" si="84"/>
        <v>28715.409999999956</v>
      </c>
      <c r="D433" s="55">
        <f t="shared" ca="1" si="84"/>
        <v>477.41000000000065</v>
      </c>
      <c r="E433" s="55">
        <f t="shared" ca="1" si="77"/>
        <v>0</v>
      </c>
      <c r="F433" s="55">
        <f t="shared" ca="1" si="78"/>
        <v>28194.969075409928</v>
      </c>
      <c r="G433" s="101">
        <f t="shared" ca="1" si="79"/>
        <v>207021.12907540987</v>
      </c>
      <c r="H433" s="100">
        <f ca="1">ROUND($B433*VLOOKUP($A433,$A$1:$B$10,2,1)/(365+IF(MOD(YEAR($A433),4),0,1)*($A433-$A432)),2)-Первоначальный[[#This Row],[Проценты на просроченный платеж по ОД за период]]</f>
        <v>78.84</v>
      </c>
      <c r="I433" s="55">
        <f t="shared" ca="1" si="80"/>
        <v>2.74</v>
      </c>
      <c r="J433" s="55">
        <v>0</v>
      </c>
      <c r="K433" s="55">
        <f t="shared" ca="1" si="83"/>
        <v>159.26850327868851</v>
      </c>
      <c r="L433" s="55">
        <v>0</v>
      </c>
      <c r="M433" s="113">
        <f>SUMIFS(График[Возврат основной суммы долга],График[Дата с учетом нерабочих дней],$A433)</f>
        <v>0</v>
      </c>
      <c r="N433" s="56">
        <f>SUMIFS(График[Возврат начисленных %],График[Дата с учетом нерабочих дней],$A433)</f>
        <v>0</v>
      </c>
      <c r="O433" s="101">
        <v>0</v>
      </c>
      <c r="P433" s="100" cm="1">
        <f t="array" aca="1" ref="P433" ca="1">MAX(IF(AA432="Да",0,SUM(INDIRECT("M"&amp;(MAX(("Да"=AA$12:AA432)*ROW(AA$12:AA432)+1,ROW($P$12))&amp;":M"&amp;(ROW()))))-SUM(INDIRECT("W"&amp;(MAX(("Да"=AA$12:AA432)*ROW(AA$12:AA432)+1,ROW($P$12))&amp;":W"&amp;(ROW()))))),0)</f>
        <v>5031.6299999999992</v>
      </c>
      <c r="Q433" s="99">
        <f ca="1">MAX(SUM($N$13:N433)-SUM($T$13:T433),0)</f>
        <v>26822.070655737705</v>
      </c>
      <c r="R433" s="99">
        <f ca="1">Первоначальный[[#This Row],[Просроченный платеж по ОД]]+Первоначальный[[#This Row],[Просроченный платеж по процентам]]</f>
        <v>31853.700655737703</v>
      </c>
      <c r="S433" s="120">
        <f ca="1">IF(Первоначальный[[#This Row],[Просроченный платеж]]&lt;1,0,S432+1)</f>
        <v>329</v>
      </c>
      <c r="T433" s="100" cm="1">
        <f t="array" aca="1" ref="T433" ca="1">IF(Первоначальный[[#This Row],[Итого остаток на начало периода]]&lt;1,0,
IF(
AND(TYPE(VLOOKUP(1,$Z$12:Z433,1,0))=16,Первоначальный[[#This Row],[Досрочное погашение (да/"")]]=""),0,
_xlfn.IFS(AND(S432=0,Первоначальный[[#This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платеж]]&lt;&gt;0),MIN(LOOKUP(,-1/($Z$12:Z433=1),$C$12:C433)+LOOKUP(,-1/($Z$12:Z433=1),$H$12:H433),Первоначальный[[#This Row],[Полученный платеж]]+Y432),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платеж]]+Y432,SUM(Первоначальный[[#This Row],[Остаток процентов на начало периода]],Первоначальный[[#This Row],[Проценты за период]])),
AND(S432=0,Первоначальный[[#This Row],[Дата платежа из графика]]=""),0,
AND(S432=0,Первоначальный[[#This Row],[Дата платежа из графика]]=1,MAX((0&lt;&gt;S$12:S432)*ROW(S$12:S432),ROW($S$12))&gt;=MAX((1=Z$12:Z432)*ROW(Z$12:Z432),ROW($T$12)),TYPE(VLOOKUP("Да",(INDIRECT("AA"&amp;(MAX((1=Z$12:Z432)*ROW(Z$12:Z432),ROW($T$12))&amp;":AA"&amp;(ROW()-1)))),1,0))=16),MIN(LOOKUP(,-1/($Z$12:Z433=1),$C$12:C433)+LOOKUP(,-1/($Z$12:Z433=1),$H$12:H433),Первоначальный[[#This Row],[Полученный платеж]]+Y432),
AND(S432=0,TYPE(VLOOKUP("Да",(INDIRECT("AA"&amp;(MAX((1=Z$12:Z432)*ROW(Z$12:Z432),ROW($T$12))&amp;":AA"&amp;(ROW()-1)))),1,0))&lt;&gt;16),MIN(LOOKUP(,-1/($Z$12:Z433=1),$C$12:C433)+LOOKUP(,-1/($Z$12:Z433=1),$H$12:H433)-IF(AA432="Да",0,SUM(INDIRECT("T"&amp;(MAX(("Да"=AA$12:AA432)*ROW(AA$12:AA432)+1,ROW($T$12))&amp;":T"&amp;(ROW()-1))))),Первоначальный[[#This Row],[Полученный платеж]]+Y432),
AND(S432=0,MAX((0&lt;&gt;N$12:N432)*ROW(N$12:N432),ROW($S$12))&gt;=MAX((1=Z$12:Z432)*ROW(Z$12:Z432),ROW($T$12))),MIN(LOOKUP(,-1/($Z$12:Z433=1),$C$12:C433)+LOOKUP(,-1/($Z$12:Z433=1),$H$12:H433)-IF(N432&lt;&gt;0,0,SUM(INDIRECT("T"&amp;(MAX((0&lt;&gt;N$12:N432)*ROW(N$12:N432)+1,ROW($T$12))&amp;":T"&amp;(ROW()-1))))),Первоначальный[[#This Row],[Полученный платеж]]+Y432),
AND(S432=0,Первоначальный[[#This Row],[Дата платежа из графика]]=1),MIN(LOOKUP(,-1/($Z$12:Z433=1),$C$12:C433)+LOOKUP(,-1/($Z$12:Z433=1),$H$12:H433)-IF(Z432=1,0,SUM(INDIRECT("T"&amp;(MAX((1=Z$12:Z432)*ROW(Z$12:Z432)+1,ROW($T$12))&amp;":T"&amp;(ROW()-1))))),Первоначальный[[#This Row],[Полученный платеж]]+Y432),
AND(Z432&gt;0,Первоначальный[[#This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платеж]]+Y432),
AND(S432&gt;0,MAX((0&lt;&gt;S$12:S432)*ROW(S$12:S432),ROW($S$12))&gt;=MAX((1=Z$12:Z432)*ROW(Z$12:Z432),ROW($T$12)),TYPE(VLOOKUP("Да",(INDIRECT("AA"&amp;(MAX((1=Z$12:Z432)*ROW(Z$12:Z432),ROW($T$12))&amp;":AA"&amp;(ROW()-1)))),1,0))=16),MIN(LOOKUP(,-1/($Z$12:Z433=1),$C$12:C433)+LOOKUP(,-1/($Z$12:Z433=1),$H$12:H433)-SUM(INDIRECT("T"&amp;(MAX((1=Z$12:Z432)*ROW(Z$12:Z432),ROW($T$12))&amp;":T"&amp;(ROW()-1)))),Первоначальный[[#This Row],[Полученный платеж]]+Y432),
S432&gt;0,MIN(LOOKUP(,-1/($Z$12:Z433=1),$C$12:C433)+LOOKUP(,-1/($Z$12:Z433=1),$H$12:H433)-IF(Z432=1,0,SUM(INDIRECT("T"&amp;(MAX((1=Z$12:Z432)*ROW(Z$12:Z432)+1,ROW($T$12))&amp;":T"&amp;(ROW()-1))))),Первоначальный[[#This Row],[Полученный платеж]]+Y432)
)
)
)</f>
        <v>0</v>
      </c>
      <c r="U43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платеж]]+Y432-Первоначальный[[#This Row],[Полученный платёж по процентам]])</f>
        <v>0</v>
      </c>
      <c r="V433" s="55">
        <f t="shared" ca="1" si="73"/>
        <v>0</v>
      </c>
      <c r="W433" s="55" cm="1">
        <f t="array" aca="1" ref="W433" ca="1">IF(Первоначальный[[#This Row],[Итого остаток на начало периода]]&lt;1,0,
_xlfn.IFS(
AND(TYPE(VLOOKUP(1,$Z$12:Z433,1,0))=16,Первоначальный[[#This Row],[Досрочное погашение (да/"")]]=""),0,
AND(S432=0,Первоначальный[[#This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платеж]]+Y432-SUM(Первоначальный[[#This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комиссиям]]),VLOOKUP(LOOKUP(,-1/($Z$12:Z433=1),$A$12:A433),График[[Срок конец]:[Возврат основной суммы долга]],3,0)),
AND(S432=0,Первоначальный[[#This Row],[Дата платежа из графика]]="",Первоначальный[[#This Row],[Досрочное погашение (да/"")]]&lt;&gt;"Да"),0,
AND(S432=0,Первоначальный[[#This Row],[Досрочное погашение (да/"")]]=""),MIN(Первоначальный[[#This Row],[Полученный платеж]]+Y432-SUM(Первоначальный[[#This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комиссиям]]),VLOOKUP(LOOKUP(,-1/($Z$12:Z433=1),$A$12:A433),График[[Срок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платеж]]+Y432-SUM(Первоначальный[[#This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S432&gt;0,MIN(Первоначальный[[#This Row],[Полученный платеж]]+Y432-SUM(Первоначальный[[#This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комиссиям]]),SUM(INDIRECT("M"&amp;(MAX((1=S$12:S432)*ROW(S$12:S432),ROW($W$12))&amp;":M"&amp;(ROW()))))-SUM(INDIRECT("W"&amp;(MAX((1=S$12:S432)*ROW(S$12:S432),ROW($W$12))&amp;":W"&amp;(ROW()-1)))))
)
)</f>
        <v>0</v>
      </c>
      <c r="X433" s="55">
        <f t="shared" ca="1" si="74"/>
        <v>0</v>
      </c>
      <c r="Y433" s="101">
        <f t="shared" ca="1" si="81"/>
        <v>0</v>
      </c>
      <c r="Z433" s="133" t="str">
        <f>IF(TYPE((VLOOKUP(Первоначальный[[#This Row],[Дата платежа]],График[Срок конец],1,0)))=16,"",1)</f>
        <v/>
      </c>
      <c r="AA433" s="57"/>
      <c r="AB433" s="134"/>
      <c r="AC43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3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28794.249999999956</v>
      </c>
      <c r="AE43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480.15000000000066</v>
      </c>
      <c r="AF43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3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28354.237578688619</v>
      </c>
      <c r="AH433" s="55"/>
      <c r="AI433" s="55"/>
      <c r="AJ433" s="55"/>
      <c r="AK433" s="101">
        <f t="shared" ca="1" si="82"/>
        <v>207261.97757868859</v>
      </c>
      <c r="AL433" s="129">
        <f t="array" ref="AL433">MAX((УслРестрактов[Характеристика]="Дата реструктуризации")*(УслРестрактов[Значение]=Первоначальный!$A433),0)</f>
        <v>0</v>
      </c>
    </row>
    <row r="434" spans="1:38" x14ac:dyDescent="0.25">
      <c r="A434" s="97">
        <f t="shared" si="75"/>
        <v>44565</v>
      </c>
      <c r="B434" s="100">
        <f t="shared" ca="1" si="76"/>
        <v>149633.34</v>
      </c>
      <c r="C434" s="55">
        <f t="shared" ca="1" si="84"/>
        <v>28794.249999999956</v>
      </c>
      <c r="D434" s="55">
        <f t="shared" ca="1" si="84"/>
        <v>480.15000000000066</v>
      </c>
      <c r="E434" s="55">
        <f t="shared" ca="1" si="77"/>
        <v>0</v>
      </c>
      <c r="F434" s="55">
        <f t="shared" ca="1" si="78"/>
        <v>28354.237578688619</v>
      </c>
      <c r="G434" s="101">
        <f t="shared" ca="1" si="79"/>
        <v>207261.97757868859</v>
      </c>
      <c r="H434" s="100">
        <f ca="1">ROUND($B434*VLOOKUP($A434,$A$1:$B$10,2,1)/(365+IF(MOD(YEAR($A434),4),0,1)*($A434-$A433)),2)-Первоначальный[[#This Row],[Проценты на просроченный платеж по ОД за период]]</f>
        <v>78.84</v>
      </c>
      <c r="I434" s="55">
        <f t="shared" ca="1" si="80"/>
        <v>2.74</v>
      </c>
      <c r="J434" s="55">
        <v>0</v>
      </c>
      <c r="K434" s="55">
        <f t="shared" ca="1" si="83"/>
        <v>159.26850327868851</v>
      </c>
      <c r="L434" s="55">
        <v>0</v>
      </c>
      <c r="M434" s="113">
        <f>SUMIFS(График[Возврат основной суммы долга],График[Дата с учетом нерабочих дней],$A434)</f>
        <v>0</v>
      </c>
      <c r="N434" s="56">
        <f>SUMIFS(График[Возврат начисленных %],График[Дата с учетом нерабочих дней],$A434)</f>
        <v>0</v>
      </c>
      <c r="O434" s="101">
        <v>0</v>
      </c>
      <c r="P434" s="100" cm="1">
        <f t="array" aca="1" ref="P434" ca="1">MAX(IF(AA433="Да",0,SUM(INDIRECT("M"&amp;(MAX(("Да"=AA$12:AA433)*ROW(AA$12:AA433)+1,ROW($P$12))&amp;":M"&amp;(ROW()))))-SUM(INDIRECT("W"&amp;(MAX(("Да"=AA$12:AA433)*ROW(AA$12:AA433)+1,ROW($P$12))&amp;":W"&amp;(ROW()))))),0)</f>
        <v>5031.6299999999992</v>
      </c>
      <c r="Q434" s="99">
        <f ca="1">MAX(SUM($N$13:N434)-SUM($T$13:T434),0)</f>
        <v>26822.070655737705</v>
      </c>
      <c r="R434" s="99">
        <f ca="1">Первоначальный[[#This Row],[Просроченный платеж по ОД]]+Первоначальный[[#This Row],[Просроченный платеж по процентам]]</f>
        <v>31853.700655737703</v>
      </c>
      <c r="S434" s="120">
        <f ca="1">IF(Первоначальный[[#This Row],[Просроченный платеж]]&lt;1,0,S433+1)</f>
        <v>330</v>
      </c>
      <c r="T434" s="100" cm="1">
        <f t="array" aca="1" ref="T434" ca="1">IF(Первоначальный[[#This Row],[Итого остаток на начало периода]]&lt;1,0,
IF(
AND(TYPE(VLOOKUP(1,$Z$12:Z434,1,0))=16,Первоначальный[[#This Row],[Досрочное погашение (да/"")]]=""),0,
_xlfn.IFS(AND(S433=0,Первоначальный[[#This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платеж]]&lt;&gt;0),MIN(LOOKUP(,-1/($Z$12:Z434=1),$C$12:C434)+LOOKUP(,-1/($Z$12:Z434=1),$H$12:H434),Первоначальный[[#This Row],[Полученный платеж]]+Y433),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платеж]]+Y433,SUM(Первоначальный[[#This Row],[Остаток процентов на начало периода]],Первоначальный[[#This Row],[Проценты за период]])),
AND(S433=0,Первоначальный[[#This Row],[Дата платежа из графика]]=""),0,
AND(S433=0,Первоначальный[[#This Row],[Дата платежа из графика]]=1,MAX((0&lt;&gt;S$12:S433)*ROW(S$12:S433),ROW($S$12))&gt;=MAX((1=Z$12:Z433)*ROW(Z$12:Z433),ROW($T$12)),TYPE(VLOOKUP("Да",(INDIRECT("AA"&amp;(MAX((1=Z$12:Z433)*ROW(Z$12:Z433),ROW($T$12))&amp;":AA"&amp;(ROW()-1)))),1,0))=16),MIN(LOOKUP(,-1/($Z$12:Z434=1),$C$12:C434)+LOOKUP(,-1/($Z$12:Z434=1),$H$12:H434),Первоначальный[[#This Row],[Полученный платеж]]+Y433),
AND(S433=0,TYPE(VLOOKUP("Да",(INDIRECT("AA"&amp;(MAX((1=Z$12:Z433)*ROW(Z$12:Z433),ROW($T$12))&amp;":AA"&amp;(ROW()-1)))),1,0))&lt;&gt;16),MIN(LOOKUP(,-1/($Z$12:Z434=1),$C$12:C434)+LOOKUP(,-1/($Z$12:Z434=1),$H$12:H434)-IF(AA433="Да",0,SUM(INDIRECT("T"&amp;(MAX(("Да"=AA$12:AA433)*ROW(AA$12:AA433)+1,ROW($T$12))&amp;":T"&amp;(ROW()-1))))),Первоначальный[[#This Row],[Полученный платеж]]+Y433),
AND(S433=0,MAX((0&lt;&gt;N$12:N433)*ROW(N$12:N433),ROW($S$12))&gt;=MAX((1=Z$12:Z433)*ROW(Z$12:Z433),ROW($T$12))),MIN(LOOKUP(,-1/($Z$12:Z434=1),$C$12:C434)+LOOKUP(,-1/($Z$12:Z434=1),$H$12:H434)-IF(N433&lt;&gt;0,0,SUM(INDIRECT("T"&amp;(MAX((0&lt;&gt;N$12:N433)*ROW(N$12:N433)+1,ROW($T$12))&amp;":T"&amp;(ROW()-1))))),Первоначальный[[#This Row],[Полученный платеж]]+Y433),
AND(S433=0,Первоначальный[[#This Row],[Дата платежа из графика]]=1),MIN(LOOKUP(,-1/($Z$12:Z434=1),$C$12:C434)+LOOKUP(,-1/($Z$12:Z434=1),$H$12:H434)-IF(Z433=1,0,SUM(INDIRECT("T"&amp;(MAX((1=Z$12:Z433)*ROW(Z$12:Z433)+1,ROW($T$12))&amp;":T"&amp;(ROW()-1))))),Первоначальный[[#This Row],[Полученный платеж]]+Y433),
AND(Z433&gt;0,Первоначальный[[#This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платеж]]+Y433),
AND(S433&gt;0,MAX((0&lt;&gt;S$12:S433)*ROW(S$12:S433),ROW($S$12))&gt;=MAX((1=Z$12:Z433)*ROW(Z$12:Z433),ROW($T$12)),TYPE(VLOOKUP("Да",(INDIRECT("AA"&amp;(MAX((1=Z$12:Z433)*ROW(Z$12:Z433),ROW($T$12))&amp;":AA"&amp;(ROW()-1)))),1,0))=16),MIN(LOOKUP(,-1/($Z$12:Z434=1),$C$12:C434)+LOOKUP(,-1/($Z$12:Z434=1),$H$12:H434)-SUM(INDIRECT("T"&amp;(MAX((1=Z$12:Z433)*ROW(Z$12:Z433),ROW($T$12))&amp;":T"&amp;(ROW()-1)))),Первоначальный[[#This Row],[Полученный платеж]]+Y433),
S433&gt;0,MIN(LOOKUP(,-1/($Z$12:Z434=1),$C$12:C434)+LOOKUP(,-1/($Z$12:Z434=1),$H$12:H434)-IF(Z433=1,0,SUM(INDIRECT("T"&amp;(MAX((1=Z$12:Z433)*ROW(Z$12:Z433)+1,ROW($T$12))&amp;":T"&amp;(ROW()-1))))),Первоначальный[[#This Row],[Полученный платеж]]+Y433)
)
)
)</f>
        <v>0</v>
      </c>
      <c r="U43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платеж]]+Y433-Первоначальный[[#This Row],[Полученный платёж по процентам]])</f>
        <v>0</v>
      </c>
      <c r="V434" s="55">
        <f t="shared" ca="1" si="73"/>
        <v>0</v>
      </c>
      <c r="W434" s="55" cm="1">
        <f t="array" aca="1" ref="W434" ca="1">IF(Первоначальный[[#This Row],[Итого остаток на начало периода]]&lt;1,0,
_xlfn.IFS(
AND(TYPE(VLOOKUP(1,$Z$12:Z434,1,0))=16,Первоначальный[[#This Row],[Досрочное погашение (да/"")]]=""),0,
AND(S433=0,Первоначальный[[#This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платеж]]+Y433-SUM(Первоначальный[[#This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комиссиям]]),VLOOKUP(LOOKUP(,-1/($Z$12:Z434=1),$A$12:A434),График[[Срок конец]:[Возврат основной суммы долга]],3,0)),
AND(S433=0,Первоначальный[[#This Row],[Дата платежа из графика]]="",Первоначальный[[#This Row],[Досрочное погашение (да/"")]]&lt;&gt;"Да"),0,
AND(S433=0,Первоначальный[[#This Row],[Досрочное погашение (да/"")]]=""),MIN(Первоначальный[[#This Row],[Полученный платеж]]+Y433-SUM(Первоначальный[[#This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комиссиям]]),VLOOKUP(LOOKUP(,-1/($Z$12:Z434=1),$A$12:A434),График[[Срок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платеж]]+Y433-SUM(Первоначальный[[#This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S433&gt;0,MIN(Первоначальный[[#This Row],[Полученный платеж]]+Y433-SUM(Первоначальный[[#This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комиссиям]]),SUM(INDIRECT("M"&amp;(MAX((1=S$12:S433)*ROW(S$12:S433),ROW($W$12))&amp;":M"&amp;(ROW()))))-SUM(INDIRECT("W"&amp;(MAX((1=S$12:S433)*ROW(S$12:S433),ROW($W$12))&amp;":W"&amp;(ROW()-1)))))
)
)</f>
        <v>0</v>
      </c>
      <c r="X434" s="55">
        <f t="shared" ca="1" si="74"/>
        <v>0</v>
      </c>
      <c r="Y434" s="101">
        <f t="shared" ca="1" si="81"/>
        <v>0</v>
      </c>
      <c r="Z434" s="133" t="str">
        <f>IF(TYPE((VLOOKUP(Первоначальный[[#This Row],[Дата платежа]],График[Срок конец],1,0)))=16,"",1)</f>
        <v/>
      </c>
      <c r="AA434" s="57"/>
      <c r="AB434" s="134"/>
      <c r="AC43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3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28873.089999999956</v>
      </c>
      <c r="AE43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482.89000000000067</v>
      </c>
      <c r="AF43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3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28513.506081967309</v>
      </c>
      <c r="AH434" s="55"/>
      <c r="AI434" s="55"/>
      <c r="AJ434" s="55"/>
      <c r="AK434" s="101">
        <f t="shared" ca="1" si="82"/>
        <v>207502.82608196727</v>
      </c>
      <c r="AL434" s="129">
        <f t="array" ref="AL434">MAX((УслРестрактов[Характеристика]="Дата реструктуризации")*(УслРестрактов[Значение]=Первоначальный!$A434),0)</f>
        <v>0</v>
      </c>
    </row>
    <row r="435" spans="1:38" x14ac:dyDescent="0.25">
      <c r="A435" s="97">
        <f t="shared" si="75"/>
        <v>44566</v>
      </c>
      <c r="B435" s="100">
        <f t="shared" ca="1" si="76"/>
        <v>149633.34</v>
      </c>
      <c r="C435" s="55">
        <f t="shared" ca="1" si="84"/>
        <v>28873.089999999956</v>
      </c>
      <c r="D435" s="55">
        <f t="shared" ca="1" si="84"/>
        <v>482.89000000000067</v>
      </c>
      <c r="E435" s="55">
        <f t="shared" ca="1" si="77"/>
        <v>0</v>
      </c>
      <c r="F435" s="55">
        <f t="shared" ca="1" si="78"/>
        <v>28513.506081967309</v>
      </c>
      <c r="G435" s="101">
        <f t="shared" ca="1" si="79"/>
        <v>207502.82608196727</v>
      </c>
      <c r="H435" s="100">
        <f ca="1">ROUND($B435*VLOOKUP($A435,$A$1:$B$10,2,1)/(365+IF(MOD(YEAR($A435),4),0,1)*($A435-$A434)),2)-Первоначальный[[#This Row],[Проценты на просроченный платеж по ОД за период]]</f>
        <v>78.84</v>
      </c>
      <c r="I435" s="55">
        <f t="shared" ca="1" si="80"/>
        <v>2.74</v>
      </c>
      <c r="J435" s="55">
        <v>0</v>
      </c>
      <c r="K435" s="55">
        <f t="shared" ca="1" si="83"/>
        <v>159.26850327868851</v>
      </c>
      <c r="L435" s="55">
        <v>0</v>
      </c>
      <c r="M435" s="113">
        <f>SUMIFS(График[Возврат основной суммы долга],График[Дата с учетом нерабочих дней],$A435)</f>
        <v>0</v>
      </c>
      <c r="N435" s="56">
        <f>SUMIFS(График[Возврат начисленных %],График[Дата с учетом нерабочих дней],$A435)</f>
        <v>0</v>
      </c>
      <c r="O435" s="101">
        <v>0</v>
      </c>
      <c r="P435" s="100" cm="1">
        <f t="array" aca="1" ref="P435" ca="1">MAX(IF(AA434="Да",0,SUM(INDIRECT("M"&amp;(MAX(("Да"=AA$12:AA434)*ROW(AA$12:AA434)+1,ROW($P$12))&amp;":M"&amp;(ROW()))))-SUM(INDIRECT("W"&amp;(MAX(("Да"=AA$12:AA434)*ROW(AA$12:AA434)+1,ROW($P$12))&amp;":W"&amp;(ROW()))))),0)</f>
        <v>5031.6299999999992</v>
      </c>
      <c r="Q435" s="99">
        <f ca="1">MAX(SUM($N$13:N435)-SUM($T$13:T435),0)</f>
        <v>26822.070655737705</v>
      </c>
      <c r="R435" s="99">
        <f ca="1">Первоначальный[[#This Row],[Просроченный платеж по ОД]]+Первоначальный[[#This Row],[Просроченный платеж по процентам]]</f>
        <v>31853.700655737703</v>
      </c>
      <c r="S435" s="120">
        <f ca="1">IF(Первоначальный[[#This Row],[Просроченный платеж]]&lt;1,0,S434+1)</f>
        <v>331</v>
      </c>
      <c r="T435" s="100" cm="1">
        <f t="array" aca="1" ref="T435" ca="1">IF(Первоначальный[[#This Row],[Итого остаток на начало периода]]&lt;1,0,
IF(
AND(TYPE(VLOOKUP(1,$Z$12:Z435,1,0))=16,Первоначальный[[#This Row],[Досрочное погашение (да/"")]]=""),0,
_xlfn.IFS(AND(S434=0,Первоначальный[[#This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платеж]]&lt;&gt;0),MIN(LOOKUP(,-1/($Z$12:Z435=1),$C$12:C435)+LOOKUP(,-1/($Z$12:Z435=1),$H$12:H435),Первоначальный[[#This Row],[Полученный платеж]]+Y434),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платеж]]+Y434,SUM(Первоначальный[[#This Row],[Остаток процентов на начало периода]],Первоначальный[[#This Row],[Проценты за период]])),
AND(S434=0,Первоначальный[[#This Row],[Дата платежа из графика]]=""),0,
AND(S434=0,Первоначальный[[#This Row],[Дата платежа из графика]]=1,MAX((0&lt;&gt;S$12:S434)*ROW(S$12:S434),ROW($S$12))&gt;=MAX((1=Z$12:Z434)*ROW(Z$12:Z434),ROW($T$12)),TYPE(VLOOKUP("Да",(INDIRECT("AA"&amp;(MAX((1=Z$12:Z434)*ROW(Z$12:Z434),ROW($T$12))&amp;":AA"&amp;(ROW()-1)))),1,0))=16),MIN(LOOKUP(,-1/($Z$12:Z435=1),$C$12:C435)+LOOKUP(,-1/($Z$12:Z435=1),$H$12:H435),Первоначальный[[#This Row],[Полученный платеж]]+Y434),
AND(S434=0,TYPE(VLOOKUP("Да",(INDIRECT("AA"&amp;(MAX((1=Z$12:Z434)*ROW(Z$12:Z434),ROW($T$12))&amp;":AA"&amp;(ROW()-1)))),1,0))&lt;&gt;16),MIN(LOOKUP(,-1/($Z$12:Z435=1),$C$12:C435)+LOOKUP(,-1/($Z$12:Z435=1),$H$12:H435)-IF(AA434="Да",0,SUM(INDIRECT("T"&amp;(MAX(("Да"=AA$12:AA434)*ROW(AA$12:AA434)+1,ROW($T$12))&amp;":T"&amp;(ROW()-1))))),Первоначальный[[#This Row],[Полученный платеж]]+Y434),
AND(S434=0,MAX((0&lt;&gt;N$12:N434)*ROW(N$12:N434),ROW($S$12))&gt;=MAX((1=Z$12:Z434)*ROW(Z$12:Z434),ROW($T$12))),MIN(LOOKUP(,-1/($Z$12:Z435=1),$C$12:C435)+LOOKUP(,-1/($Z$12:Z435=1),$H$12:H435)-IF(N434&lt;&gt;0,0,SUM(INDIRECT("T"&amp;(MAX((0&lt;&gt;N$12:N434)*ROW(N$12:N434)+1,ROW($T$12))&amp;":T"&amp;(ROW()-1))))),Первоначальный[[#This Row],[Полученный платеж]]+Y434),
AND(S434=0,Первоначальный[[#This Row],[Дата платежа из графика]]=1),MIN(LOOKUP(,-1/($Z$12:Z435=1),$C$12:C435)+LOOKUP(,-1/($Z$12:Z435=1),$H$12:H435)-IF(Z434=1,0,SUM(INDIRECT("T"&amp;(MAX((1=Z$12:Z434)*ROW(Z$12:Z434)+1,ROW($T$12))&amp;":T"&amp;(ROW()-1))))),Первоначальный[[#This Row],[Полученный платеж]]+Y434),
AND(Z434&gt;0,Первоначальный[[#This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платеж]]+Y434),
AND(S434&gt;0,MAX((0&lt;&gt;S$12:S434)*ROW(S$12:S434),ROW($S$12))&gt;=MAX((1=Z$12:Z434)*ROW(Z$12:Z434),ROW($T$12)),TYPE(VLOOKUP("Да",(INDIRECT("AA"&amp;(MAX((1=Z$12:Z434)*ROW(Z$12:Z434),ROW($T$12))&amp;":AA"&amp;(ROW()-1)))),1,0))=16),MIN(LOOKUP(,-1/($Z$12:Z435=1),$C$12:C435)+LOOKUP(,-1/($Z$12:Z435=1),$H$12:H435)-SUM(INDIRECT("T"&amp;(MAX((1=Z$12:Z434)*ROW(Z$12:Z434),ROW($T$12))&amp;":T"&amp;(ROW()-1)))),Первоначальный[[#This Row],[Полученный платеж]]+Y434),
S434&gt;0,MIN(LOOKUP(,-1/($Z$12:Z435=1),$C$12:C435)+LOOKUP(,-1/($Z$12:Z435=1),$H$12:H435)-IF(Z434=1,0,SUM(INDIRECT("T"&amp;(MAX((1=Z$12:Z434)*ROW(Z$12:Z434)+1,ROW($T$12))&amp;":T"&amp;(ROW()-1))))),Первоначальный[[#This Row],[Полученный платеж]]+Y434)
)
)
)</f>
        <v>0</v>
      </c>
      <c r="U43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платеж]]+Y434-Первоначальный[[#This Row],[Полученный платёж по процентам]])</f>
        <v>0</v>
      </c>
      <c r="V435" s="55">
        <f t="shared" ca="1" si="73"/>
        <v>0</v>
      </c>
      <c r="W435" s="55" cm="1">
        <f t="array" aca="1" ref="W435" ca="1">IF(Первоначальный[[#This Row],[Итого остаток на начало периода]]&lt;1,0,
_xlfn.IFS(
AND(TYPE(VLOOKUP(1,$Z$12:Z435,1,0))=16,Первоначальный[[#This Row],[Досрочное погашение (да/"")]]=""),0,
AND(S434=0,Первоначальный[[#This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платеж]]+Y434-SUM(Первоначальный[[#This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комиссиям]]),VLOOKUP(LOOKUP(,-1/($Z$12:Z435=1),$A$12:A435),График[[Срок конец]:[Возврат основной суммы долга]],3,0)),
AND(S434=0,Первоначальный[[#This Row],[Дата платежа из графика]]="",Первоначальный[[#This Row],[Досрочное погашение (да/"")]]&lt;&gt;"Да"),0,
AND(S434=0,Первоначальный[[#This Row],[Досрочное погашение (да/"")]]=""),MIN(Первоначальный[[#This Row],[Полученный платеж]]+Y434-SUM(Первоначальный[[#This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комиссиям]]),VLOOKUP(LOOKUP(,-1/($Z$12:Z435=1),$A$12:A435),График[[Срок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платеж]]+Y434-SUM(Первоначальный[[#This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S434&gt;0,MIN(Первоначальный[[#This Row],[Полученный платеж]]+Y434-SUM(Первоначальный[[#This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комиссиям]]),SUM(INDIRECT("M"&amp;(MAX((1=S$12:S434)*ROW(S$12:S434),ROW($W$12))&amp;":M"&amp;(ROW()))))-SUM(INDIRECT("W"&amp;(MAX((1=S$12:S434)*ROW(S$12:S434),ROW($W$12))&amp;":W"&amp;(ROW()-1)))))
)
)</f>
        <v>0</v>
      </c>
      <c r="X435" s="55">
        <f t="shared" ca="1" si="74"/>
        <v>0</v>
      </c>
      <c r="Y435" s="101">
        <f t="shared" ca="1" si="81"/>
        <v>0</v>
      </c>
      <c r="Z435" s="133" t="str">
        <f>IF(TYPE((VLOOKUP(Первоначальный[[#This Row],[Дата платежа]],График[Срок конец],1,0)))=16,"",1)</f>
        <v/>
      </c>
      <c r="AA435" s="57"/>
      <c r="AB435" s="134"/>
      <c r="AC43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3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28951.929999999957</v>
      </c>
      <c r="AE43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485.63000000000068</v>
      </c>
      <c r="AF43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3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28672.774585245999</v>
      </c>
      <c r="AH435" s="55"/>
      <c r="AI435" s="55"/>
      <c r="AJ435" s="55"/>
      <c r="AK435" s="101">
        <f t="shared" ca="1" si="82"/>
        <v>207743.67458524596</v>
      </c>
      <c r="AL435" s="129">
        <f t="array" ref="AL435">MAX((УслРестрактов[Характеристика]="Дата реструктуризации")*(УслРестрактов[Значение]=Первоначальный!$A435),0)</f>
        <v>0</v>
      </c>
    </row>
    <row r="436" spans="1:38" x14ac:dyDescent="0.25">
      <c r="A436" s="97">
        <f t="shared" si="75"/>
        <v>44567</v>
      </c>
      <c r="B436" s="100">
        <f t="shared" ca="1" si="76"/>
        <v>149633.34</v>
      </c>
      <c r="C436" s="55">
        <f t="shared" ca="1" si="84"/>
        <v>28951.929999999957</v>
      </c>
      <c r="D436" s="55">
        <f t="shared" ca="1" si="84"/>
        <v>485.63000000000068</v>
      </c>
      <c r="E436" s="55">
        <f t="shared" ca="1" si="77"/>
        <v>0</v>
      </c>
      <c r="F436" s="55">
        <f t="shared" ca="1" si="78"/>
        <v>28672.774585245999</v>
      </c>
      <c r="G436" s="101">
        <f t="shared" ca="1" si="79"/>
        <v>207743.67458524596</v>
      </c>
      <c r="H436" s="100">
        <f ca="1">ROUND($B436*VLOOKUP($A436,$A$1:$B$10,2,1)/(365+IF(MOD(YEAR($A436),4),0,1)*($A436-$A435)),2)-Первоначальный[[#This Row],[Проценты на просроченный платеж по ОД за период]]</f>
        <v>78.84</v>
      </c>
      <c r="I436" s="55">
        <f t="shared" ca="1" si="80"/>
        <v>2.74</v>
      </c>
      <c r="J436" s="55">
        <v>0</v>
      </c>
      <c r="K436" s="55">
        <f t="shared" ca="1" si="83"/>
        <v>159.26850327868851</v>
      </c>
      <c r="L436" s="55">
        <v>0</v>
      </c>
      <c r="M436" s="113">
        <f>SUMIFS(График[Возврат основной суммы долга],График[Дата с учетом нерабочих дней],$A436)</f>
        <v>0</v>
      </c>
      <c r="N436" s="56">
        <f>SUMIFS(График[Возврат начисленных %],График[Дата с учетом нерабочих дней],$A436)</f>
        <v>0</v>
      </c>
      <c r="O436" s="101">
        <v>0</v>
      </c>
      <c r="P436" s="100" cm="1">
        <f t="array" aca="1" ref="P436" ca="1">MAX(IF(AA435="Да",0,SUM(INDIRECT("M"&amp;(MAX(("Да"=AA$12:AA435)*ROW(AA$12:AA435)+1,ROW($P$12))&amp;":M"&amp;(ROW()))))-SUM(INDIRECT("W"&amp;(MAX(("Да"=AA$12:AA435)*ROW(AA$12:AA435)+1,ROW($P$12))&amp;":W"&amp;(ROW()))))),0)</f>
        <v>5031.6299999999992</v>
      </c>
      <c r="Q436" s="99">
        <f ca="1">MAX(SUM($N$13:N436)-SUM($T$13:T436),0)</f>
        <v>26822.070655737705</v>
      </c>
      <c r="R436" s="99">
        <f ca="1">Первоначальный[[#This Row],[Просроченный платеж по ОД]]+Первоначальный[[#This Row],[Просроченный платеж по процентам]]</f>
        <v>31853.700655737703</v>
      </c>
      <c r="S436" s="120">
        <f ca="1">IF(Первоначальный[[#This Row],[Просроченный платеж]]&lt;1,0,S435+1)</f>
        <v>332</v>
      </c>
      <c r="T436" s="100" cm="1">
        <f t="array" aca="1" ref="T436" ca="1">IF(Первоначальный[[#This Row],[Итого остаток на начало периода]]&lt;1,0,
IF(
AND(TYPE(VLOOKUP(1,$Z$12:Z436,1,0))=16,Первоначальный[[#This Row],[Досрочное погашение (да/"")]]=""),0,
_xlfn.IFS(AND(S435=0,Первоначальный[[#This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платеж]]&lt;&gt;0),MIN(LOOKUP(,-1/($Z$12:Z436=1),$C$12:C436)+LOOKUP(,-1/($Z$12:Z436=1),$H$12:H436),Первоначальный[[#This Row],[Полученный платеж]]+Y435),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платеж]]+Y435,SUM(Первоначальный[[#This Row],[Остаток процентов на начало периода]],Первоначальный[[#This Row],[Проценты за период]])),
AND(S435=0,Первоначальный[[#This Row],[Дата платежа из графика]]=""),0,
AND(S435=0,Первоначальный[[#This Row],[Дата платежа из графика]]=1,MAX((0&lt;&gt;S$12:S435)*ROW(S$12:S435),ROW($S$12))&gt;=MAX((1=Z$12:Z435)*ROW(Z$12:Z435),ROW($T$12)),TYPE(VLOOKUP("Да",(INDIRECT("AA"&amp;(MAX((1=Z$12:Z435)*ROW(Z$12:Z435),ROW($T$12))&amp;":AA"&amp;(ROW()-1)))),1,0))=16),MIN(LOOKUP(,-1/($Z$12:Z436=1),$C$12:C436)+LOOKUP(,-1/($Z$12:Z436=1),$H$12:H436),Первоначальный[[#This Row],[Полученный платеж]]+Y435),
AND(S435=0,TYPE(VLOOKUP("Да",(INDIRECT("AA"&amp;(MAX((1=Z$12:Z435)*ROW(Z$12:Z435),ROW($T$12))&amp;":AA"&amp;(ROW()-1)))),1,0))&lt;&gt;16),MIN(LOOKUP(,-1/($Z$12:Z436=1),$C$12:C436)+LOOKUP(,-1/($Z$12:Z436=1),$H$12:H436)-IF(AA435="Да",0,SUM(INDIRECT("T"&amp;(MAX(("Да"=AA$12:AA435)*ROW(AA$12:AA435)+1,ROW($T$12))&amp;":T"&amp;(ROW()-1))))),Первоначальный[[#This Row],[Полученный платеж]]+Y435),
AND(S435=0,MAX((0&lt;&gt;N$12:N435)*ROW(N$12:N435),ROW($S$12))&gt;=MAX((1=Z$12:Z435)*ROW(Z$12:Z435),ROW($T$12))),MIN(LOOKUP(,-1/($Z$12:Z436=1),$C$12:C436)+LOOKUP(,-1/($Z$12:Z436=1),$H$12:H436)-IF(N435&lt;&gt;0,0,SUM(INDIRECT("T"&amp;(MAX((0&lt;&gt;N$12:N435)*ROW(N$12:N435)+1,ROW($T$12))&amp;":T"&amp;(ROW()-1))))),Первоначальный[[#This Row],[Полученный платеж]]+Y435),
AND(S435=0,Первоначальный[[#This Row],[Дата платежа из графика]]=1),MIN(LOOKUP(,-1/($Z$12:Z436=1),$C$12:C436)+LOOKUP(,-1/($Z$12:Z436=1),$H$12:H436)-IF(Z435=1,0,SUM(INDIRECT("T"&amp;(MAX((1=Z$12:Z435)*ROW(Z$12:Z435)+1,ROW($T$12))&amp;":T"&amp;(ROW()-1))))),Первоначальный[[#This Row],[Полученный платеж]]+Y435),
AND(Z435&gt;0,Первоначальный[[#This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платеж]]+Y435),
AND(S435&gt;0,MAX((0&lt;&gt;S$12:S435)*ROW(S$12:S435),ROW($S$12))&gt;=MAX((1=Z$12:Z435)*ROW(Z$12:Z435),ROW($T$12)),TYPE(VLOOKUP("Да",(INDIRECT("AA"&amp;(MAX((1=Z$12:Z435)*ROW(Z$12:Z435),ROW($T$12))&amp;":AA"&amp;(ROW()-1)))),1,0))=16),MIN(LOOKUP(,-1/($Z$12:Z436=1),$C$12:C436)+LOOKUP(,-1/($Z$12:Z436=1),$H$12:H436)-SUM(INDIRECT("T"&amp;(MAX((1=Z$12:Z435)*ROW(Z$12:Z435),ROW($T$12))&amp;":T"&amp;(ROW()-1)))),Первоначальный[[#This Row],[Полученный платеж]]+Y435),
S435&gt;0,MIN(LOOKUP(,-1/($Z$12:Z436=1),$C$12:C436)+LOOKUP(,-1/($Z$12:Z436=1),$H$12:H436)-IF(Z435=1,0,SUM(INDIRECT("T"&amp;(MAX((1=Z$12:Z435)*ROW(Z$12:Z435)+1,ROW($T$12))&amp;":T"&amp;(ROW()-1))))),Первоначальный[[#This Row],[Полученный платеж]]+Y435)
)
)
)</f>
        <v>0</v>
      </c>
      <c r="U43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платеж]]+Y435-Первоначальный[[#This Row],[Полученный платёж по процентам]])</f>
        <v>0</v>
      </c>
      <c r="V436" s="55">
        <f t="shared" ca="1" si="73"/>
        <v>0</v>
      </c>
      <c r="W436" s="55" cm="1">
        <f t="array" aca="1" ref="W436" ca="1">IF(Первоначальный[[#This Row],[Итого остаток на начало периода]]&lt;1,0,
_xlfn.IFS(
AND(TYPE(VLOOKUP(1,$Z$12:Z436,1,0))=16,Первоначальный[[#This Row],[Досрочное погашение (да/"")]]=""),0,
AND(S435=0,Первоначальный[[#This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платеж]]+Y435-SUM(Первоначальный[[#This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комиссиям]]),VLOOKUP(LOOKUP(,-1/($Z$12:Z436=1),$A$12:A436),График[[Срок конец]:[Возврат основной суммы долга]],3,0)),
AND(S435=0,Первоначальный[[#This Row],[Дата платежа из графика]]="",Первоначальный[[#This Row],[Досрочное погашение (да/"")]]&lt;&gt;"Да"),0,
AND(S435=0,Первоначальный[[#This Row],[Досрочное погашение (да/"")]]=""),MIN(Первоначальный[[#This Row],[Полученный платеж]]+Y435-SUM(Первоначальный[[#This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комиссиям]]),VLOOKUP(LOOKUP(,-1/($Z$12:Z436=1),$A$12:A436),График[[Срок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платеж]]+Y435-SUM(Первоначальный[[#This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S435&gt;0,MIN(Первоначальный[[#This Row],[Полученный платеж]]+Y435-SUM(Первоначальный[[#This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комиссиям]]),SUM(INDIRECT("M"&amp;(MAX((1=S$12:S435)*ROW(S$12:S435),ROW($W$12))&amp;":M"&amp;(ROW()))))-SUM(INDIRECT("W"&amp;(MAX((1=S$12:S435)*ROW(S$12:S435),ROW($W$12))&amp;":W"&amp;(ROW()-1)))))
)
)</f>
        <v>0</v>
      </c>
      <c r="X436" s="55">
        <f t="shared" ca="1" si="74"/>
        <v>0</v>
      </c>
      <c r="Y436" s="101">
        <f t="shared" ca="1" si="81"/>
        <v>0</v>
      </c>
      <c r="Z436" s="133" t="str">
        <f>IF(TYPE((VLOOKUP(Первоначальный[[#This Row],[Дата платежа]],График[Срок конец],1,0)))=16,"",1)</f>
        <v/>
      </c>
      <c r="AA436" s="57"/>
      <c r="AB436" s="134"/>
      <c r="AC43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3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29030.769999999957</v>
      </c>
      <c r="AE43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488.37000000000069</v>
      </c>
      <c r="AF43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3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28832.04308852469</v>
      </c>
      <c r="AH436" s="55"/>
      <c r="AI436" s="55"/>
      <c r="AJ436" s="55"/>
      <c r="AK436" s="101">
        <f t="shared" ca="1" si="82"/>
        <v>207984.52308852464</v>
      </c>
      <c r="AL436" s="129">
        <f t="array" ref="AL436">MAX((УслРестрактов[Характеристика]="Дата реструктуризации")*(УслРестрактов[Значение]=Первоначальный!$A436),0)</f>
        <v>0</v>
      </c>
    </row>
    <row r="437" spans="1:38" x14ac:dyDescent="0.25">
      <c r="A437" s="97">
        <f t="shared" si="75"/>
        <v>44568</v>
      </c>
      <c r="B437" s="100">
        <f t="shared" ca="1" si="76"/>
        <v>149633.34</v>
      </c>
      <c r="C437" s="55">
        <f t="shared" ca="1" si="84"/>
        <v>29030.769999999957</v>
      </c>
      <c r="D437" s="55">
        <f t="shared" ca="1" si="84"/>
        <v>488.37000000000069</v>
      </c>
      <c r="E437" s="55">
        <f t="shared" ca="1" si="77"/>
        <v>0</v>
      </c>
      <c r="F437" s="55">
        <f t="shared" ca="1" si="78"/>
        <v>28832.04308852469</v>
      </c>
      <c r="G437" s="101">
        <f t="shared" ca="1" si="79"/>
        <v>207984.52308852464</v>
      </c>
      <c r="H437" s="100">
        <f ca="1">ROUND($B437*VLOOKUP($A437,$A$1:$B$10,2,1)/(365+IF(MOD(YEAR($A437),4),0,1)*($A437-$A436)),2)-Первоначальный[[#This Row],[Проценты на просроченный платеж по ОД за период]]</f>
        <v>78.84</v>
      </c>
      <c r="I437" s="55">
        <f t="shared" ca="1" si="80"/>
        <v>2.74</v>
      </c>
      <c r="J437" s="55">
        <v>0</v>
      </c>
      <c r="K437" s="55">
        <f t="shared" ca="1" si="83"/>
        <v>159.26850327868851</v>
      </c>
      <c r="L437" s="55">
        <v>0</v>
      </c>
      <c r="M437" s="113">
        <f>SUMIFS(График[Возврат основной суммы долга],График[Дата с учетом нерабочих дней],$A437)</f>
        <v>0</v>
      </c>
      <c r="N437" s="56">
        <f>SUMIFS(График[Возврат начисленных %],График[Дата с учетом нерабочих дней],$A437)</f>
        <v>0</v>
      </c>
      <c r="O437" s="101">
        <v>0</v>
      </c>
      <c r="P437" s="100" cm="1">
        <f t="array" aca="1" ref="P437" ca="1">MAX(IF(AA436="Да",0,SUM(INDIRECT("M"&amp;(MAX(("Да"=AA$12:AA436)*ROW(AA$12:AA436)+1,ROW($P$12))&amp;":M"&amp;(ROW()))))-SUM(INDIRECT("W"&amp;(MAX(("Да"=AA$12:AA436)*ROW(AA$12:AA436)+1,ROW($P$12))&amp;":W"&amp;(ROW()))))),0)</f>
        <v>5031.6299999999992</v>
      </c>
      <c r="Q437" s="99">
        <f ca="1">MAX(SUM($N$13:N437)-SUM($T$13:T437),0)</f>
        <v>26822.070655737705</v>
      </c>
      <c r="R437" s="99">
        <f ca="1">Первоначальный[[#This Row],[Просроченный платеж по ОД]]+Первоначальный[[#This Row],[Просроченный платеж по процентам]]</f>
        <v>31853.700655737703</v>
      </c>
      <c r="S437" s="120">
        <f ca="1">IF(Первоначальный[[#This Row],[Просроченный платеж]]&lt;1,0,S436+1)</f>
        <v>333</v>
      </c>
      <c r="T437" s="100" cm="1">
        <f t="array" aca="1" ref="T437" ca="1">IF(Первоначальный[[#This Row],[Итого остаток на начало периода]]&lt;1,0,
IF(
AND(TYPE(VLOOKUP(1,$Z$12:Z437,1,0))=16,Первоначальный[[#This Row],[Досрочное погашение (да/"")]]=""),0,
_xlfn.IFS(AND(S436=0,Первоначальный[[#This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платеж]]&lt;&gt;0),MIN(LOOKUP(,-1/($Z$12:Z437=1),$C$12:C437)+LOOKUP(,-1/($Z$12:Z437=1),$H$12:H437),Первоначальный[[#This Row],[Полученный платеж]]+Y436),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платеж]]+Y436,SUM(Первоначальный[[#This Row],[Остаток процентов на начало периода]],Первоначальный[[#This Row],[Проценты за период]])),
AND(S436=0,Первоначальный[[#This Row],[Дата платежа из графика]]=""),0,
AND(S436=0,Первоначальный[[#This Row],[Дата платежа из графика]]=1,MAX((0&lt;&gt;S$12:S436)*ROW(S$12:S436),ROW($S$12))&gt;=MAX((1=Z$12:Z436)*ROW(Z$12:Z436),ROW($T$12)),TYPE(VLOOKUP("Да",(INDIRECT("AA"&amp;(MAX((1=Z$12:Z436)*ROW(Z$12:Z436),ROW($T$12))&amp;":AA"&amp;(ROW()-1)))),1,0))=16),MIN(LOOKUP(,-1/($Z$12:Z437=1),$C$12:C437)+LOOKUP(,-1/($Z$12:Z437=1),$H$12:H437),Первоначальный[[#This Row],[Полученный платеж]]+Y436),
AND(S436=0,TYPE(VLOOKUP("Да",(INDIRECT("AA"&amp;(MAX((1=Z$12:Z436)*ROW(Z$12:Z436),ROW($T$12))&amp;":AA"&amp;(ROW()-1)))),1,0))&lt;&gt;16),MIN(LOOKUP(,-1/($Z$12:Z437=1),$C$12:C437)+LOOKUP(,-1/($Z$12:Z437=1),$H$12:H437)-IF(AA436="Да",0,SUM(INDIRECT("T"&amp;(MAX(("Да"=AA$12:AA436)*ROW(AA$12:AA436)+1,ROW($T$12))&amp;":T"&amp;(ROW()-1))))),Первоначальный[[#This Row],[Полученный платеж]]+Y436),
AND(S436=0,MAX((0&lt;&gt;N$12:N436)*ROW(N$12:N436),ROW($S$12))&gt;=MAX((1=Z$12:Z436)*ROW(Z$12:Z436),ROW($T$12))),MIN(LOOKUP(,-1/($Z$12:Z437=1),$C$12:C437)+LOOKUP(,-1/($Z$12:Z437=1),$H$12:H437)-IF(N436&lt;&gt;0,0,SUM(INDIRECT("T"&amp;(MAX((0&lt;&gt;N$12:N436)*ROW(N$12:N436)+1,ROW($T$12))&amp;":T"&amp;(ROW()-1))))),Первоначальный[[#This Row],[Полученный платеж]]+Y436),
AND(S436=0,Первоначальный[[#This Row],[Дата платежа из графика]]=1),MIN(LOOKUP(,-1/($Z$12:Z437=1),$C$12:C437)+LOOKUP(,-1/($Z$12:Z437=1),$H$12:H437)-IF(Z436=1,0,SUM(INDIRECT("T"&amp;(MAX((1=Z$12:Z436)*ROW(Z$12:Z436)+1,ROW($T$12))&amp;":T"&amp;(ROW()-1))))),Первоначальный[[#This Row],[Полученный платеж]]+Y436),
AND(Z436&gt;0,Первоначальный[[#This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платеж]]+Y436),
AND(S436&gt;0,MAX((0&lt;&gt;S$12:S436)*ROW(S$12:S436),ROW($S$12))&gt;=MAX((1=Z$12:Z436)*ROW(Z$12:Z436),ROW($T$12)),TYPE(VLOOKUP("Да",(INDIRECT("AA"&amp;(MAX((1=Z$12:Z436)*ROW(Z$12:Z436),ROW($T$12))&amp;":AA"&amp;(ROW()-1)))),1,0))=16),MIN(LOOKUP(,-1/($Z$12:Z437=1),$C$12:C437)+LOOKUP(,-1/($Z$12:Z437=1),$H$12:H437)-SUM(INDIRECT("T"&amp;(MAX((1=Z$12:Z436)*ROW(Z$12:Z436),ROW($T$12))&amp;":T"&amp;(ROW()-1)))),Первоначальный[[#This Row],[Полученный платеж]]+Y436),
S436&gt;0,MIN(LOOKUP(,-1/($Z$12:Z437=1),$C$12:C437)+LOOKUP(,-1/($Z$12:Z437=1),$H$12:H437)-IF(Z436=1,0,SUM(INDIRECT("T"&amp;(MAX((1=Z$12:Z436)*ROW(Z$12:Z436)+1,ROW($T$12))&amp;":T"&amp;(ROW()-1))))),Первоначальный[[#This Row],[Полученный платеж]]+Y436)
)
)
)</f>
        <v>0</v>
      </c>
      <c r="U43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платеж]]+Y436-Первоначальный[[#This Row],[Полученный платёж по процентам]])</f>
        <v>0</v>
      </c>
      <c r="V437" s="55">
        <f t="shared" ca="1" si="73"/>
        <v>0</v>
      </c>
      <c r="W437" s="55" cm="1">
        <f t="array" aca="1" ref="W437" ca="1">IF(Первоначальный[[#This Row],[Итого остаток на начало периода]]&lt;1,0,
_xlfn.IFS(
AND(TYPE(VLOOKUP(1,$Z$12:Z437,1,0))=16,Первоначальный[[#This Row],[Досрочное погашение (да/"")]]=""),0,
AND(S436=0,Первоначальный[[#This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платеж]]+Y436-SUM(Первоначальный[[#This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комиссиям]]),VLOOKUP(LOOKUP(,-1/($Z$12:Z437=1),$A$12:A437),График[[Срок конец]:[Возврат основной суммы долга]],3,0)),
AND(S436=0,Первоначальный[[#This Row],[Дата платежа из графика]]="",Первоначальный[[#This Row],[Досрочное погашение (да/"")]]&lt;&gt;"Да"),0,
AND(S436=0,Первоначальный[[#This Row],[Досрочное погашение (да/"")]]=""),MIN(Первоначальный[[#This Row],[Полученный платеж]]+Y436-SUM(Первоначальный[[#This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комиссиям]]),VLOOKUP(LOOKUP(,-1/($Z$12:Z437=1),$A$12:A437),График[[Срок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платеж]]+Y436-SUM(Первоначальный[[#This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S436&gt;0,MIN(Первоначальный[[#This Row],[Полученный платеж]]+Y436-SUM(Первоначальный[[#This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комиссиям]]),SUM(INDIRECT("M"&amp;(MAX((1=S$12:S436)*ROW(S$12:S436),ROW($W$12))&amp;":M"&amp;(ROW()))))-SUM(INDIRECT("W"&amp;(MAX((1=S$12:S436)*ROW(S$12:S436),ROW($W$12))&amp;":W"&amp;(ROW()-1)))))
)
)</f>
        <v>0</v>
      </c>
      <c r="X437" s="55">
        <f t="shared" ca="1" si="74"/>
        <v>0</v>
      </c>
      <c r="Y437" s="101">
        <f t="shared" ca="1" si="81"/>
        <v>0</v>
      </c>
      <c r="Z437" s="133" t="str">
        <f>IF(TYPE((VLOOKUP(Первоначальный[[#This Row],[Дата платежа]],График[Срок конец],1,0)))=16,"",1)</f>
        <v/>
      </c>
      <c r="AA437" s="57"/>
      <c r="AB437" s="134"/>
      <c r="AC43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3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29109.609999999957</v>
      </c>
      <c r="AE43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491.1100000000007</v>
      </c>
      <c r="AF43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3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28991.31159180338</v>
      </c>
      <c r="AH437" s="55"/>
      <c r="AI437" s="55"/>
      <c r="AJ437" s="55"/>
      <c r="AK437" s="101">
        <f t="shared" ca="1" si="82"/>
        <v>208225.37159180336</v>
      </c>
      <c r="AL437" s="129">
        <f t="array" ref="AL437">MAX((УслРестрактов[Характеристика]="Дата реструктуризации")*(УслРестрактов[Значение]=Первоначальный!$A437),0)</f>
        <v>0</v>
      </c>
    </row>
    <row r="438" spans="1:38" x14ac:dyDescent="0.25">
      <c r="A438" s="97">
        <f t="shared" si="75"/>
        <v>44569</v>
      </c>
      <c r="B438" s="100">
        <f t="shared" ca="1" si="76"/>
        <v>149633.34</v>
      </c>
      <c r="C438" s="55">
        <f t="shared" ca="1" si="84"/>
        <v>29109.609999999957</v>
      </c>
      <c r="D438" s="55">
        <f t="shared" ca="1" si="84"/>
        <v>491.1100000000007</v>
      </c>
      <c r="E438" s="55">
        <f t="shared" ca="1" si="77"/>
        <v>0</v>
      </c>
      <c r="F438" s="55">
        <f t="shared" ca="1" si="78"/>
        <v>28991.31159180338</v>
      </c>
      <c r="G438" s="101">
        <f t="shared" ca="1" si="79"/>
        <v>208225.37159180336</v>
      </c>
      <c r="H438" s="100">
        <f ca="1">ROUND($B438*VLOOKUP($A438,$A$1:$B$10,2,1)/(365+IF(MOD(YEAR($A438),4),0,1)*($A438-$A437)),2)-Первоначальный[[#This Row],[Проценты на просроченный платеж по ОД за период]]</f>
        <v>78.84</v>
      </c>
      <c r="I438" s="55">
        <f t="shared" ca="1" si="80"/>
        <v>2.74</v>
      </c>
      <c r="J438" s="55">
        <v>0</v>
      </c>
      <c r="K438" s="55">
        <f t="shared" ca="1" si="83"/>
        <v>159.26850327868851</v>
      </c>
      <c r="L438" s="55">
        <v>0</v>
      </c>
      <c r="M438" s="113">
        <f>SUMIFS(График[Возврат основной суммы долга],График[Дата с учетом нерабочих дней],$A438)</f>
        <v>0</v>
      </c>
      <c r="N438" s="56">
        <f>SUMIFS(График[Возврат начисленных %],График[Дата с учетом нерабочих дней],$A438)</f>
        <v>0</v>
      </c>
      <c r="O438" s="101">
        <v>0</v>
      </c>
      <c r="P438" s="100" cm="1">
        <f t="array" aca="1" ref="P438" ca="1">MAX(IF(AA437="Да",0,SUM(INDIRECT("M"&amp;(MAX(("Да"=AA$12:AA437)*ROW(AA$12:AA437)+1,ROW($P$12))&amp;":M"&amp;(ROW()))))-SUM(INDIRECT("W"&amp;(MAX(("Да"=AA$12:AA437)*ROW(AA$12:AA437)+1,ROW($P$12))&amp;":W"&amp;(ROW()))))),0)</f>
        <v>5031.6299999999992</v>
      </c>
      <c r="Q438" s="99">
        <f ca="1">MAX(SUM($N$13:N438)-SUM($T$13:T438),0)</f>
        <v>26822.070655737705</v>
      </c>
      <c r="R438" s="99">
        <f ca="1">Первоначальный[[#This Row],[Просроченный платеж по ОД]]+Первоначальный[[#This Row],[Просроченный платеж по процентам]]</f>
        <v>31853.700655737703</v>
      </c>
      <c r="S438" s="120">
        <f ca="1">IF(Первоначальный[[#This Row],[Просроченный платеж]]&lt;1,0,S437+1)</f>
        <v>334</v>
      </c>
      <c r="T438" s="100" cm="1">
        <f t="array" aca="1" ref="T438" ca="1">IF(Первоначальный[[#This Row],[Итого остаток на начало периода]]&lt;1,0,
IF(
AND(TYPE(VLOOKUP(1,$Z$12:Z438,1,0))=16,Первоначальный[[#This Row],[Досрочное погашение (да/"")]]=""),0,
_xlfn.IFS(AND(S437=0,Первоначальный[[#This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платеж]]&lt;&gt;0),MIN(LOOKUP(,-1/($Z$12:Z438=1),$C$12:C438)+LOOKUP(,-1/($Z$12:Z438=1),$H$12:H438),Первоначальный[[#This Row],[Полученный платеж]]+Y437),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платеж]]+Y437,SUM(Первоначальный[[#This Row],[Остаток процентов на начало периода]],Первоначальный[[#This Row],[Проценты за период]])),
AND(S437=0,Первоначальный[[#This Row],[Дата платежа из графика]]=""),0,
AND(S437=0,Первоначальный[[#This Row],[Дата платежа из графика]]=1,MAX((0&lt;&gt;S$12:S437)*ROW(S$12:S437),ROW($S$12))&gt;=MAX((1=Z$12:Z437)*ROW(Z$12:Z437),ROW($T$12)),TYPE(VLOOKUP("Да",(INDIRECT("AA"&amp;(MAX((1=Z$12:Z437)*ROW(Z$12:Z437),ROW($T$12))&amp;":AA"&amp;(ROW()-1)))),1,0))=16),MIN(LOOKUP(,-1/($Z$12:Z438=1),$C$12:C438)+LOOKUP(,-1/($Z$12:Z438=1),$H$12:H438),Первоначальный[[#This Row],[Полученный платеж]]+Y437),
AND(S437=0,TYPE(VLOOKUP("Да",(INDIRECT("AA"&amp;(MAX((1=Z$12:Z437)*ROW(Z$12:Z437),ROW($T$12))&amp;":AA"&amp;(ROW()-1)))),1,0))&lt;&gt;16),MIN(LOOKUP(,-1/($Z$12:Z438=1),$C$12:C438)+LOOKUP(,-1/($Z$12:Z438=1),$H$12:H438)-IF(AA437="Да",0,SUM(INDIRECT("T"&amp;(MAX(("Да"=AA$12:AA437)*ROW(AA$12:AA437)+1,ROW($T$12))&amp;":T"&amp;(ROW()-1))))),Первоначальный[[#This Row],[Полученный платеж]]+Y437),
AND(S437=0,MAX((0&lt;&gt;N$12:N437)*ROW(N$12:N437),ROW($S$12))&gt;=MAX((1=Z$12:Z437)*ROW(Z$12:Z437),ROW($T$12))),MIN(LOOKUP(,-1/($Z$12:Z438=1),$C$12:C438)+LOOKUP(,-1/($Z$12:Z438=1),$H$12:H438)-IF(N437&lt;&gt;0,0,SUM(INDIRECT("T"&amp;(MAX((0&lt;&gt;N$12:N437)*ROW(N$12:N437)+1,ROW($T$12))&amp;":T"&amp;(ROW()-1))))),Первоначальный[[#This Row],[Полученный платеж]]+Y437),
AND(S437=0,Первоначальный[[#This Row],[Дата платежа из графика]]=1),MIN(LOOKUP(,-1/($Z$12:Z438=1),$C$12:C438)+LOOKUP(,-1/($Z$12:Z438=1),$H$12:H438)-IF(Z437=1,0,SUM(INDIRECT("T"&amp;(MAX((1=Z$12:Z437)*ROW(Z$12:Z437)+1,ROW($T$12))&amp;":T"&amp;(ROW()-1))))),Первоначальный[[#This Row],[Полученный платеж]]+Y437),
AND(Z437&gt;0,Первоначальный[[#This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платеж]]+Y437),
AND(S437&gt;0,MAX((0&lt;&gt;S$12:S437)*ROW(S$12:S437),ROW($S$12))&gt;=MAX((1=Z$12:Z437)*ROW(Z$12:Z437),ROW($T$12)),TYPE(VLOOKUP("Да",(INDIRECT("AA"&amp;(MAX((1=Z$12:Z437)*ROW(Z$12:Z437),ROW($T$12))&amp;":AA"&amp;(ROW()-1)))),1,0))=16),MIN(LOOKUP(,-1/($Z$12:Z438=1),$C$12:C438)+LOOKUP(,-1/($Z$12:Z438=1),$H$12:H438)-SUM(INDIRECT("T"&amp;(MAX((1=Z$12:Z437)*ROW(Z$12:Z437),ROW($T$12))&amp;":T"&amp;(ROW()-1)))),Первоначальный[[#This Row],[Полученный платеж]]+Y437),
S437&gt;0,MIN(LOOKUP(,-1/($Z$12:Z438=1),$C$12:C438)+LOOKUP(,-1/($Z$12:Z438=1),$H$12:H438)-IF(Z437=1,0,SUM(INDIRECT("T"&amp;(MAX((1=Z$12:Z437)*ROW(Z$12:Z437)+1,ROW($T$12))&amp;":T"&amp;(ROW()-1))))),Первоначальный[[#This Row],[Полученный платеж]]+Y437)
)
)
)</f>
        <v>0</v>
      </c>
      <c r="U43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платеж]]+Y437-Первоначальный[[#This Row],[Полученный платёж по процентам]])</f>
        <v>0</v>
      </c>
      <c r="V438" s="55">
        <f t="shared" ca="1" si="73"/>
        <v>0</v>
      </c>
      <c r="W438" s="55" cm="1">
        <f t="array" aca="1" ref="W438" ca="1">IF(Первоначальный[[#This Row],[Итого остаток на начало периода]]&lt;1,0,
_xlfn.IFS(
AND(TYPE(VLOOKUP(1,$Z$12:Z438,1,0))=16,Первоначальный[[#This Row],[Досрочное погашение (да/"")]]=""),0,
AND(S437=0,Первоначальный[[#This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платеж]]+Y437-SUM(Первоначальный[[#This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комиссиям]]),VLOOKUP(LOOKUP(,-1/($Z$12:Z438=1),$A$12:A438),График[[Срок конец]:[Возврат основной суммы долга]],3,0)),
AND(S437=0,Первоначальный[[#This Row],[Дата платежа из графика]]="",Первоначальный[[#This Row],[Досрочное погашение (да/"")]]&lt;&gt;"Да"),0,
AND(S437=0,Первоначальный[[#This Row],[Досрочное погашение (да/"")]]=""),MIN(Первоначальный[[#This Row],[Полученный платеж]]+Y437-SUM(Первоначальный[[#This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комиссиям]]),VLOOKUP(LOOKUP(,-1/($Z$12:Z438=1),$A$12:A438),График[[Срок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платеж]]+Y437-SUM(Первоначальный[[#This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S437&gt;0,MIN(Первоначальный[[#This Row],[Полученный платеж]]+Y437-SUM(Первоначальный[[#This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комиссиям]]),SUM(INDIRECT("M"&amp;(MAX((1=S$12:S437)*ROW(S$12:S437),ROW($W$12))&amp;":M"&amp;(ROW()))))-SUM(INDIRECT("W"&amp;(MAX((1=S$12:S437)*ROW(S$12:S437),ROW($W$12))&amp;":W"&amp;(ROW()-1)))))
)
)</f>
        <v>0</v>
      </c>
      <c r="X438" s="55">
        <f t="shared" ca="1" si="74"/>
        <v>0</v>
      </c>
      <c r="Y438" s="101">
        <f t="shared" ca="1" si="81"/>
        <v>0</v>
      </c>
      <c r="Z438" s="133" t="str">
        <f>IF(TYPE((VLOOKUP(Первоначальный[[#This Row],[Дата платежа]],График[Срок конец],1,0)))=16,"",1)</f>
        <v/>
      </c>
      <c r="AA438" s="57"/>
      <c r="AB438" s="134"/>
      <c r="AC43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3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29188.449999999957</v>
      </c>
      <c r="AE43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493.8500000000007</v>
      </c>
      <c r="AF43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3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29150.58009508207</v>
      </c>
      <c r="AH438" s="55"/>
      <c r="AI438" s="55"/>
      <c r="AJ438" s="55"/>
      <c r="AK438" s="101">
        <f t="shared" ca="1" si="82"/>
        <v>208466.22009508201</v>
      </c>
      <c r="AL438" s="129">
        <f t="array" ref="AL438">MAX((УслРестрактов[Характеристика]="Дата реструктуризации")*(УслРестрактов[Значение]=Первоначальный!$A438),0)</f>
        <v>0</v>
      </c>
    </row>
    <row r="439" spans="1:38" x14ac:dyDescent="0.25">
      <c r="A439" s="97">
        <f t="shared" si="75"/>
        <v>44570</v>
      </c>
      <c r="B439" s="100">
        <f t="shared" ca="1" si="76"/>
        <v>149633.34</v>
      </c>
      <c r="C439" s="55">
        <f t="shared" ca="1" si="84"/>
        <v>29188.449999999957</v>
      </c>
      <c r="D439" s="55">
        <f t="shared" ca="1" si="84"/>
        <v>493.8500000000007</v>
      </c>
      <c r="E439" s="55">
        <f t="shared" ca="1" si="77"/>
        <v>0</v>
      </c>
      <c r="F439" s="55">
        <f t="shared" ca="1" si="78"/>
        <v>29150.58009508207</v>
      </c>
      <c r="G439" s="101">
        <f t="shared" ca="1" si="79"/>
        <v>208466.22009508201</v>
      </c>
      <c r="H439" s="100">
        <f ca="1">ROUND($B439*VLOOKUP($A439,$A$1:$B$10,2,1)/(365+IF(MOD(YEAR($A439),4),0,1)*($A439-$A438)),2)-Первоначальный[[#This Row],[Проценты на просроченный платеж по ОД за период]]</f>
        <v>78.84</v>
      </c>
      <c r="I439" s="55">
        <f t="shared" ca="1" si="80"/>
        <v>2.74</v>
      </c>
      <c r="J439" s="55">
        <v>0</v>
      </c>
      <c r="K439" s="55">
        <f t="shared" ca="1" si="83"/>
        <v>159.26850327868851</v>
      </c>
      <c r="L439" s="55">
        <v>0</v>
      </c>
      <c r="M439" s="113">
        <f>SUMIFS(График[Возврат основной суммы долга],График[Дата с учетом нерабочих дней],$A439)</f>
        <v>0</v>
      </c>
      <c r="N439" s="56">
        <f>SUMIFS(График[Возврат начисленных %],График[Дата с учетом нерабочих дней],$A439)</f>
        <v>0</v>
      </c>
      <c r="O439" s="101">
        <v>0</v>
      </c>
      <c r="P439" s="100" cm="1">
        <f t="array" aca="1" ref="P439" ca="1">MAX(IF(AA438="Да",0,SUM(INDIRECT("M"&amp;(MAX(("Да"=AA$12:AA438)*ROW(AA$12:AA438)+1,ROW($P$12))&amp;":M"&amp;(ROW()))))-SUM(INDIRECT("W"&amp;(MAX(("Да"=AA$12:AA438)*ROW(AA$12:AA438)+1,ROW($P$12))&amp;":W"&amp;(ROW()))))),0)</f>
        <v>5031.6299999999992</v>
      </c>
      <c r="Q439" s="99">
        <f ca="1">MAX(SUM($N$13:N439)-SUM($T$13:T439),0)</f>
        <v>26822.070655737705</v>
      </c>
      <c r="R439" s="99">
        <f ca="1">Первоначальный[[#This Row],[Просроченный платеж по ОД]]+Первоначальный[[#This Row],[Просроченный платеж по процентам]]</f>
        <v>31853.700655737703</v>
      </c>
      <c r="S439" s="120">
        <f ca="1">IF(Первоначальный[[#This Row],[Просроченный платеж]]&lt;1,0,S438+1)</f>
        <v>335</v>
      </c>
      <c r="T439" s="100" cm="1">
        <f t="array" aca="1" ref="T439" ca="1">IF(Первоначальный[[#This Row],[Итого остаток на начало периода]]&lt;1,0,
IF(
AND(TYPE(VLOOKUP(1,$Z$12:Z439,1,0))=16,Первоначальный[[#This Row],[Досрочное погашение (да/"")]]=""),0,
_xlfn.IFS(AND(S438=0,Первоначальный[[#This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платеж]]&lt;&gt;0),MIN(LOOKUP(,-1/($Z$12:Z439=1),$C$12:C439)+LOOKUP(,-1/($Z$12:Z439=1),$H$12:H439),Первоначальный[[#This Row],[Полученный платеж]]+Y438),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платеж]]+Y438,SUM(Первоначальный[[#This Row],[Остаток процентов на начало периода]],Первоначальный[[#This Row],[Проценты за период]])),
AND(S438=0,Первоначальный[[#This Row],[Дата платежа из графика]]=""),0,
AND(S438=0,Первоначальный[[#This Row],[Дата платежа из графика]]=1,MAX((0&lt;&gt;S$12:S438)*ROW(S$12:S438),ROW($S$12))&gt;=MAX((1=Z$12:Z438)*ROW(Z$12:Z438),ROW($T$12)),TYPE(VLOOKUP("Да",(INDIRECT("AA"&amp;(MAX((1=Z$12:Z438)*ROW(Z$12:Z438),ROW($T$12))&amp;":AA"&amp;(ROW()-1)))),1,0))=16),MIN(LOOKUP(,-1/($Z$12:Z439=1),$C$12:C439)+LOOKUP(,-1/($Z$12:Z439=1),$H$12:H439),Первоначальный[[#This Row],[Полученный платеж]]+Y438),
AND(S438=0,TYPE(VLOOKUP("Да",(INDIRECT("AA"&amp;(MAX((1=Z$12:Z438)*ROW(Z$12:Z438),ROW($T$12))&amp;":AA"&amp;(ROW()-1)))),1,0))&lt;&gt;16),MIN(LOOKUP(,-1/($Z$12:Z439=1),$C$12:C439)+LOOKUP(,-1/($Z$12:Z439=1),$H$12:H439)-IF(AA438="Да",0,SUM(INDIRECT("T"&amp;(MAX(("Да"=AA$12:AA438)*ROW(AA$12:AA438)+1,ROW($T$12))&amp;":T"&amp;(ROW()-1))))),Первоначальный[[#This Row],[Полученный платеж]]+Y438),
AND(S438=0,MAX((0&lt;&gt;N$12:N438)*ROW(N$12:N438),ROW($S$12))&gt;=MAX((1=Z$12:Z438)*ROW(Z$12:Z438),ROW($T$12))),MIN(LOOKUP(,-1/($Z$12:Z439=1),$C$12:C439)+LOOKUP(,-1/($Z$12:Z439=1),$H$12:H439)-IF(N438&lt;&gt;0,0,SUM(INDIRECT("T"&amp;(MAX((0&lt;&gt;N$12:N438)*ROW(N$12:N438)+1,ROW($T$12))&amp;":T"&amp;(ROW()-1))))),Первоначальный[[#This Row],[Полученный платеж]]+Y438),
AND(S438=0,Первоначальный[[#This Row],[Дата платежа из графика]]=1),MIN(LOOKUP(,-1/($Z$12:Z439=1),$C$12:C439)+LOOKUP(,-1/($Z$12:Z439=1),$H$12:H439)-IF(Z438=1,0,SUM(INDIRECT("T"&amp;(MAX((1=Z$12:Z438)*ROW(Z$12:Z438)+1,ROW($T$12))&amp;":T"&amp;(ROW()-1))))),Первоначальный[[#This Row],[Полученный платеж]]+Y438),
AND(Z438&gt;0,Первоначальный[[#This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платеж]]+Y438),
AND(S438&gt;0,MAX((0&lt;&gt;S$12:S438)*ROW(S$12:S438),ROW($S$12))&gt;=MAX((1=Z$12:Z438)*ROW(Z$12:Z438),ROW($T$12)),TYPE(VLOOKUP("Да",(INDIRECT("AA"&amp;(MAX((1=Z$12:Z438)*ROW(Z$12:Z438),ROW($T$12))&amp;":AA"&amp;(ROW()-1)))),1,0))=16),MIN(LOOKUP(,-1/($Z$12:Z439=1),$C$12:C439)+LOOKUP(,-1/($Z$12:Z439=1),$H$12:H439)-SUM(INDIRECT("T"&amp;(MAX((1=Z$12:Z438)*ROW(Z$12:Z438),ROW($T$12))&amp;":T"&amp;(ROW()-1)))),Первоначальный[[#This Row],[Полученный платеж]]+Y438),
S438&gt;0,MIN(LOOKUP(,-1/($Z$12:Z439=1),$C$12:C439)+LOOKUP(,-1/($Z$12:Z439=1),$H$12:H439)-IF(Z438=1,0,SUM(INDIRECT("T"&amp;(MAX((1=Z$12:Z438)*ROW(Z$12:Z438)+1,ROW($T$12))&amp;":T"&amp;(ROW()-1))))),Первоначальный[[#This Row],[Полученный платеж]]+Y438)
)
)
)</f>
        <v>0</v>
      </c>
      <c r="U43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платеж]]+Y438-Первоначальный[[#This Row],[Полученный платёж по процентам]])</f>
        <v>0</v>
      </c>
      <c r="V439" s="55">
        <f t="shared" ca="1" si="73"/>
        <v>0</v>
      </c>
      <c r="W439" s="55" cm="1">
        <f t="array" aca="1" ref="W439" ca="1">IF(Первоначальный[[#This Row],[Итого остаток на начало периода]]&lt;1,0,
_xlfn.IFS(
AND(TYPE(VLOOKUP(1,$Z$12:Z439,1,0))=16,Первоначальный[[#This Row],[Досрочное погашение (да/"")]]=""),0,
AND(S438=0,Первоначальный[[#This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платеж]]+Y438-SUM(Первоначальный[[#This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комиссиям]]),VLOOKUP(LOOKUP(,-1/($Z$12:Z439=1),$A$12:A439),График[[Срок конец]:[Возврат основной суммы долга]],3,0)),
AND(S438=0,Первоначальный[[#This Row],[Дата платежа из графика]]="",Первоначальный[[#This Row],[Досрочное погашение (да/"")]]&lt;&gt;"Да"),0,
AND(S438=0,Первоначальный[[#This Row],[Досрочное погашение (да/"")]]=""),MIN(Первоначальный[[#This Row],[Полученный платеж]]+Y438-SUM(Первоначальный[[#This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комиссиям]]),VLOOKUP(LOOKUP(,-1/($Z$12:Z439=1),$A$12:A439),График[[Срок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платеж]]+Y438-SUM(Первоначальный[[#This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S438&gt;0,MIN(Первоначальный[[#This Row],[Полученный платеж]]+Y438-SUM(Первоначальный[[#This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комиссиям]]),SUM(INDIRECT("M"&amp;(MAX((1=S$12:S438)*ROW(S$12:S438),ROW($W$12))&amp;":M"&amp;(ROW()))))-SUM(INDIRECT("W"&amp;(MAX((1=S$12:S438)*ROW(S$12:S438),ROW($W$12))&amp;":W"&amp;(ROW()-1)))))
)
)</f>
        <v>0</v>
      </c>
      <c r="X439" s="55">
        <f t="shared" ca="1" si="74"/>
        <v>0</v>
      </c>
      <c r="Y439" s="101">
        <f t="shared" ca="1" si="81"/>
        <v>0</v>
      </c>
      <c r="Z439" s="133">
        <f>IF(TYPE((VLOOKUP(Первоначальный[[#This Row],[Дата платежа]],График[Срок конец],1,0)))=16,"",1)</f>
        <v>1</v>
      </c>
      <c r="AA439" s="57"/>
      <c r="AB439" s="134"/>
      <c r="AC43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3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29267.289999999957</v>
      </c>
      <c r="AE43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496.59000000000071</v>
      </c>
      <c r="AF43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3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29309.848598360761</v>
      </c>
      <c r="AH439" s="55"/>
      <c r="AI439" s="55"/>
      <c r="AJ439" s="55"/>
      <c r="AK439" s="101">
        <f t="shared" ca="1" si="82"/>
        <v>208707.0685983607</v>
      </c>
      <c r="AL439" s="129">
        <f t="array" ref="AL439">MAX((УслРестрактов[Характеристика]="Дата реструктуризации")*(УслРестрактов[Значение]=Первоначальный!$A439),0)</f>
        <v>0</v>
      </c>
    </row>
    <row r="440" spans="1:38" x14ac:dyDescent="0.25">
      <c r="A440" s="97">
        <f t="shared" si="75"/>
        <v>44571</v>
      </c>
      <c r="B440" s="100">
        <f t="shared" ca="1" si="76"/>
        <v>149633.34</v>
      </c>
      <c r="C440" s="55">
        <f t="shared" ca="1" si="84"/>
        <v>29267.289999999957</v>
      </c>
      <c r="D440" s="55">
        <f t="shared" ca="1" si="84"/>
        <v>496.59000000000071</v>
      </c>
      <c r="E440" s="55">
        <f t="shared" ca="1" si="77"/>
        <v>0</v>
      </c>
      <c r="F440" s="55">
        <f t="shared" ca="1" si="78"/>
        <v>29309.848598360761</v>
      </c>
      <c r="G440" s="101">
        <f t="shared" ca="1" si="79"/>
        <v>208707.0685983607</v>
      </c>
      <c r="H440" s="100">
        <f ca="1">ROUND($B440*VLOOKUP($A440,$A$1:$B$10,2,1)/(365+IF(MOD(YEAR($A440),4),0,1)*($A440-$A439)),2)-Первоначальный[[#This Row],[Проценты на просроченный платеж по ОД за период]]</f>
        <v>78.84</v>
      </c>
      <c r="I440" s="55">
        <f t="shared" ca="1" si="80"/>
        <v>2.74</v>
      </c>
      <c r="J440" s="55">
        <v>0</v>
      </c>
      <c r="K440" s="55">
        <f t="shared" ca="1" si="83"/>
        <v>173.75350327868853</v>
      </c>
      <c r="L440" s="55">
        <v>0</v>
      </c>
      <c r="M440" s="113">
        <f>SUMIFS(График[Возврат основной суммы долга],График[Дата с учетом нерабочих дней],$A440)</f>
        <v>453.0300000000002</v>
      </c>
      <c r="N440" s="56">
        <f>SUMIFS(График[Возврат начисленных %],График[Дата с учетом нерабочих дней],$A440)</f>
        <v>2443.9699999999998</v>
      </c>
      <c r="O440" s="101">
        <v>0</v>
      </c>
      <c r="P440" s="100" cm="1">
        <f t="array" aca="1" ref="P440" ca="1">MAX(IF(AA439="Да",0,SUM(INDIRECT("M"&amp;(MAX(("Да"=AA$12:AA439)*ROW(AA$12:AA439)+1,ROW($P$12))&amp;":M"&amp;(ROW()))))-SUM(INDIRECT("W"&amp;(MAX(("Да"=AA$12:AA439)*ROW(AA$12:AA439)+1,ROW($P$12))&amp;":W"&amp;(ROW()))))),0)</f>
        <v>5484.66</v>
      </c>
      <c r="Q440" s="99">
        <f ca="1">MAX(SUM($N$13:N440)-SUM($T$13:T440),0)</f>
        <v>29266.040655737699</v>
      </c>
      <c r="R440" s="99">
        <f ca="1">Первоначальный[[#This Row],[Просроченный платеж по ОД]]+Первоначальный[[#This Row],[Просроченный платеж по процентам]]</f>
        <v>34750.700655737703</v>
      </c>
      <c r="S440" s="120">
        <f ca="1">IF(Первоначальный[[#This Row],[Просроченный платеж]]&lt;1,0,S439+1)</f>
        <v>336</v>
      </c>
      <c r="T440" s="100" cm="1">
        <f t="array" aca="1" ref="T440" ca="1">IF(Первоначальный[[#This Row],[Итого остаток на начало периода]]&lt;1,0,
IF(
AND(TYPE(VLOOKUP(1,$Z$12:Z440,1,0))=16,Первоначальный[[#This Row],[Досрочное погашение (да/"")]]=""),0,
_xlfn.IFS(AND(S439=0,Первоначальный[[#This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платеж]]&lt;&gt;0),MIN(LOOKUP(,-1/($Z$12:Z440=1),$C$12:C440)+LOOKUP(,-1/($Z$12:Z440=1),$H$12:H440),Первоначальный[[#This Row],[Полученный платеж]]+Y439),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платеж]]+Y439,SUM(Первоначальный[[#This Row],[Остаток процентов на начало периода]],Первоначальный[[#This Row],[Проценты за период]])),
AND(S439=0,Первоначальный[[#This Row],[Дата платежа из графика]]=""),0,
AND(S439=0,Первоначальный[[#This Row],[Дата платежа из графика]]=1,MAX((0&lt;&gt;S$12:S439)*ROW(S$12:S439),ROW($S$12))&gt;=MAX((1=Z$12:Z439)*ROW(Z$12:Z439),ROW($T$12)),TYPE(VLOOKUP("Да",(INDIRECT("AA"&amp;(MAX((1=Z$12:Z439)*ROW(Z$12:Z439),ROW($T$12))&amp;":AA"&amp;(ROW()-1)))),1,0))=16),MIN(LOOKUP(,-1/($Z$12:Z440=1),$C$12:C440)+LOOKUP(,-1/($Z$12:Z440=1),$H$12:H440),Первоначальный[[#This Row],[Полученный платеж]]+Y439),
AND(S439=0,TYPE(VLOOKUP("Да",(INDIRECT("AA"&amp;(MAX((1=Z$12:Z439)*ROW(Z$12:Z439),ROW($T$12))&amp;":AA"&amp;(ROW()-1)))),1,0))&lt;&gt;16),MIN(LOOKUP(,-1/($Z$12:Z440=1),$C$12:C440)+LOOKUP(,-1/($Z$12:Z440=1),$H$12:H440)-IF(AA439="Да",0,SUM(INDIRECT("T"&amp;(MAX(("Да"=AA$12:AA439)*ROW(AA$12:AA439)+1,ROW($T$12))&amp;":T"&amp;(ROW()-1))))),Первоначальный[[#This Row],[Полученный платеж]]+Y439),
AND(S439=0,MAX((0&lt;&gt;N$12:N439)*ROW(N$12:N439),ROW($S$12))&gt;=MAX((1=Z$12:Z439)*ROW(Z$12:Z439),ROW($T$12))),MIN(LOOKUP(,-1/($Z$12:Z440=1),$C$12:C440)+LOOKUP(,-1/($Z$12:Z440=1),$H$12:H440)-IF(N439&lt;&gt;0,0,SUM(INDIRECT("T"&amp;(MAX((0&lt;&gt;N$12:N439)*ROW(N$12:N439)+1,ROW($T$12))&amp;":T"&amp;(ROW()-1))))),Первоначальный[[#This Row],[Полученный платеж]]+Y439),
AND(S439=0,Первоначальный[[#This Row],[Дата платежа из графика]]=1),MIN(LOOKUP(,-1/($Z$12:Z440=1),$C$12:C440)+LOOKUP(,-1/($Z$12:Z440=1),$H$12:H440)-IF(Z439=1,0,SUM(INDIRECT("T"&amp;(MAX((1=Z$12:Z439)*ROW(Z$12:Z439)+1,ROW($T$12))&amp;":T"&amp;(ROW()-1))))),Первоначальный[[#This Row],[Полученный платеж]]+Y439),
AND(Z439&gt;0,Первоначальный[[#This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платеж]]+Y439),
AND(S439&gt;0,MAX((0&lt;&gt;S$12:S439)*ROW(S$12:S439),ROW($S$12))&gt;=MAX((1=Z$12:Z439)*ROW(Z$12:Z439),ROW($T$12)),TYPE(VLOOKUP("Да",(INDIRECT("AA"&amp;(MAX((1=Z$12:Z439)*ROW(Z$12:Z439),ROW($T$12))&amp;":AA"&amp;(ROW()-1)))),1,0))=16),MIN(LOOKUP(,-1/($Z$12:Z440=1),$C$12:C440)+LOOKUP(,-1/($Z$12:Z440=1),$H$12:H440)-SUM(INDIRECT("T"&amp;(MAX((1=Z$12:Z439)*ROW(Z$12:Z439),ROW($T$12))&amp;":T"&amp;(ROW()-1)))),Первоначальный[[#This Row],[Полученный платеж]]+Y439),
S439&gt;0,MIN(LOOKUP(,-1/($Z$12:Z440=1),$C$12:C440)+LOOKUP(,-1/($Z$12:Z440=1),$H$12:H440)-IF(Z439=1,0,SUM(INDIRECT("T"&amp;(MAX((1=Z$12:Z439)*ROW(Z$12:Z439)+1,ROW($T$12))&amp;":T"&amp;(ROW()-1))))),Первоначальный[[#This Row],[Полученный платеж]]+Y439)
)
)
)</f>
        <v>0</v>
      </c>
      <c r="U44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платеж]]+Y439-Первоначальный[[#This Row],[Полученный платёж по процентам]])</f>
        <v>0</v>
      </c>
      <c r="V440" s="55">
        <f t="shared" ca="1" si="73"/>
        <v>0</v>
      </c>
      <c r="W440" s="55" cm="1">
        <f t="array" aca="1" ref="W440" ca="1">IF(Первоначальный[[#This Row],[Итого остаток на начало периода]]&lt;1,0,
_xlfn.IFS(
AND(TYPE(VLOOKUP(1,$Z$12:Z440,1,0))=16,Первоначальный[[#This Row],[Досрочное погашение (да/"")]]=""),0,
AND(S439=0,Первоначальный[[#This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платеж]]+Y439-SUM(Первоначальный[[#This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комиссиям]]),VLOOKUP(LOOKUP(,-1/($Z$12:Z440=1),$A$12:A440),График[[Срок конец]:[Возврат основной суммы долга]],3,0)),
AND(S439=0,Первоначальный[[#This Row],[Дата платежа из графика]]="",Первоначальный[[#This Row],[Досрочное погашение (да/"")]]&lt;&gt;"Да"),0,
AND(S439=0,Первоначальный[[#This Row],[Досрочное погашение (да/"")]]=""),MIN(Первоначальный[[#This Row],[Полученный платеж]]+Y439-SUM(Первоначальный[[#This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комиссиям]]),VLOOKUP(LOOKUP(,-1/($Z$12:Z440=1),$A$12:A440),График[[Срок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платеж]]+Y439-SUM(Первоначальный[[#This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S439&gt;0,MIN(Первоначальный[[#This Row],[Полученный платеж]]+Y439-SUM(Первоначальный[[#This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комиссиям]]),SUM(INDIRECT("M"&amp;(MAX((1=S$12:S439)*ROW(S$12:S439),ROW($W$12))&amp;":M"&amp;(ROW()))))-SUM(INDIRECT("W"&amp;(MAX((1=S$12:S439)*ROW(S$12:S439),ROW($W$12))&amp;":W"&amp;(ROW()-1)))))
)
)</f>
        <v>0</v>
      </c>
      <c r="X440" s="55">
        <f t="shared" ca="1" si="74"/>
        <v>0</v>
      </c>
      <c r="Y440" s="101">
        <f t="shared" ca="1" si="81"/>
        <v>0</v>
      </c>
      <c r="Z440" s="133" t="str">
        <f>IF(TYPE((VLOOKUP(Первоначальный[[#This Row],[Дата платежа]],График[Срок конец],1,0)))=16,"",1)</f>
        <v/>
      </c>
      <c r="AA440" s="57"/>
      <c r="AB440" s="134"/>
      <c r="AC44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4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29346.129999999957</v>
      </c>
      <c r="AE44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499.33000000000072</v>
      </c>
      <c r="AF44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4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29483.602101639448</v>
      </c>
      <c r="AH440" s="55"/>
      <c r="AI440" s="55"/>
      <c r="AJ440" s="55"/>
      <c r="AK440" s="101">
        <f t="shared" ca="1" si="82"/>
        <v>208962.40210163937</v>
      </c>
      <c r="AL440" s="129">
        <f t="array" ref="AL440">MAX((УслРестрактов[Характеристика]="Дата реструктуризации")*(УслРестрактов[Значение]=Первоначальный!$A440),0)</f>
        <v>0</v>
      </c>
    </row>
    <row r="441" spans="1:38" x14ac:dyDescent="0.25">
      <c r="A441" s="97">
        <f t="shared" si="75"/>
        <v>44572</v>
      </c>
      <c r="B441" s="100">
        <f t="shared" ca="1" si="76"/>
        <v>149633.34</v>
      </c>
      <c r="C441" s="55">
        <f t="shared" ca="1" si="84"/>
        <v>29346.129999999957</v>
      </c>
      <c r="D441" s="55">
        <f t="shared" ca="1" si="84"/>
        <v>499.33000000000072</v>
      </c>
      <c r="E441" s="55">
        <f t="shared" ca="1" si="77"/>
        <v>0</v>
      </c>
      <c r="F441" s="55">
        <f t="shared" ca="1" si="78"/>
        <v>29483.602101639448</v>
      </c>
      <c r="G441" s="101">
        <f t="shared" ca="1" si="79"/>
        <v>208962.40210163937</v>
      </c>
      <c r="H441" s="100">
        <f ca="1">ROUND($B441*VLOOKUP($A441,$A$1:$B$10,2,1)/(365+IF(MOD(YEAR($A441),4),0,1)*($A441-$A440)),2)-Первоначальный[[#This Row],[Проценты на просроченный платеж по ОД за период]]</f>
        <v>78.59</v>
      </c>
      <c r="I441" s="55">
        <f t="shared" ca="1" si="80"/>
        <v>2.99</v>
      </c>
      <c r="J441" s="55">
        <v>0</v>
      </c>
      <c r="K441" s="55">
        <f t="shared" ca="1" si="83"/>
        <v>173.75350327868853</v>
      </c>
      <c r="L441" s="55">
        <v>0</v>
      </c>
      <c r="M441" s="113">
        <f>SUMIFS(График[Возврат основной суммы долга],График[Дата с учетом нерабочих дней],$A441)</f>
        <v>0</v>
      </c>
      <c r="N441" s="56">
        <f>SUMIFS(График[Возврат начисленных %],График[Дата с учетом нерабочих дней],$A441)</f>
        <v>0</v>
      </c>
      <c r="O441" s="101">
        <v>0</v>
      </c>
      <c r="P441" s="100" cm="1">
        <f t="array" aca="1" ref="P441" ca="1">MAX(IF(AA440="Да",0,SUM(INDIRECT("M"&amp;(MAX(("Да"=AA$12:AA440)*ROW(AA$12:AA440)+1,ROW($P$12))&amp;":M"&amp;(ROW()))))-SUM(INDIRECT("W"&amp;(MAX(("Да"=AA$12:AA440)*ROW(AA$12:AA440)+1,ROW($P$12))&amp;":W"&amp;(ROW()))))),0)</f>
        <v>5484.66</v>
      </c>
      <c r="Q441" s="99">
        <f ca="1">MAX(SUM($N$13:N441)-SUM($T$13:T441),0)</f>
        <v>29266.040655737699</v>
      </c>
      <c r="R441" s="99">
        <f ca="1">Первоначальный[[#This Row],[Просроченный платеж по ОД]]+Первоначальный[[#This Row],[Просроченный платеж по процентам]]</f>
        <v>34750.700655737703</v>
      </c>
      <c r="S441" s="120">
        <f ca="1">IF(Первоначальный[[#This Row],[Просроченный платеж]]&lt;1,0,S440+1)</f>
        <v>337</v>
      </c>
      <c r="T441" s="100" cm="1">
        <f t="array" aca="1" ref="T441" ca="1">IF(Первоначальный[[#This Row],[Итого остаток на начало периода]]&lt;1,0,
IF(
AND(TYPE(VLOOKUP(1,$Z$12:Z441,1,0))=16,Первоначальный[[#This Row],[Досрочное погашение (да/"")]]=""),0,
_xlfn.IFS(AND(S440=0,Первоначальный[[#This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платеж]]&lt;&gt;0),MIN(LOOKUP(,-1/($Z$12:Z441=1),$C$12:C441)+LOOKUP(,-1/($Z$12:Z441=1),$H$12:H441),Первоначальный[[#This Row],[Полученный платеж]]+Y440),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платеж]]+Y440,SUM(Первоначальный[[#This Row],[Остаток процентов на начало периода]],Первоначальный[[#This Row],[Проценты за период]])),
AND(S440=0,Первоначальный[[#This Row],[Дата платежа из графика]]=""),0,
AND(S440=0,Первоначальный[[#This Row],[Дата платежа из графика]]=1,MAX((0&lt;&gt;S$12:S440)*ROW(S$12:S440),ROW($S$12))&gt;=MAX((1=Z$12:Z440)*ROW(Z$12:Z440),ROW($T$12)),TYPE(VLOOKUP("Да",(INDIRECT("AA"&amp;(MAX((1=Z$12:Z440)*ROW(Z$12:Z440),ROW($T$12))&amp;":AA"&amp;(ROW()-1)))),1,0))=16),MIN(LOOKUP(,-1/($Z$12:Z441=1),$C$12:C441)+LOOKUP(,-1/($Z$12:Z441=1),$H$12:H441),Первоначальный[[#This Row],[Полученный платеж]]+Y440),
AND(S440=0,TYPE(VLOOKUP("Да",(INDIRECT("AA"&amp;(MAX((1=Z$12:Z440)*ROW(Z$12:Z440),ROW($T$12))&amp;":AA"&amp;(ROW()-1)))),1,0))&lt;&gt;16),MIN(LOOKUP(,-1/($Z$12:Z441=1),$C$12:C441)+LOOKUP(,-1/($Z$12:Z441=1),$H$12:H441)-IF(AA440="Да",0,SUM(INDIRECT("T"&amp;(MAX(("Да"=AA$12:AA440)*ROW(AA$12:AA440)+1,ROW($T$12))&amp;":T"&amp;(ROW()-1))))),Первоначальный[[#This Row],[Полученный платеж]]+Y440),
AND(S440=0,MAX((0&lt;&gt;N$12:N440)*ROW(N$12:N440),ROW($S$12))&gt;=MAX((1=Z$12:Z440)*ROW(Z$12:Z440),ROW($T$12))),MIN(LOOKUP(,-1/($Z$12:Z441=1),$C$12:C441)+LOOKUP(,-1/($Z$12:Z441=1),$H$12:H441)-IF(N440&lt;&gt;0,0,SUM(INDIRECT("T"&amp;(MAX((0&lt;&gt;N$12:N440)*ROW(N$12:N440)+1,ROW($T$12))&amp;":T"&amp;(ROW()-1))))),Первоначальный[[#This Row],[Полученный платеж]]+Y440),
AND(S440=0,Первоначальный[[#This Row],[Дата платежа из графика]]=1),MIN(LOOKUP(,-1/($Z$12:Z441=1),$C$12:C441)+LOOKUP(,-1/($Z$12:Z441=1),$H$12:H441)-IF(Z440=1,0,SUM(INDIRECT("T"&amp;(MAX((1=Z$12:Z440)*ROW(Z$12:Z440)+1,ROW($T$12))&amp;":T"&amp;(ROW()-1))))),Первоначальный[[#This Row],[Полученный платеж]]+Y440),
AND(Z440&gt;0,Первоначальный[[#This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платеж]]+Y440),
AND(S440&gt;0,MAX((0&lt;&gt;S$12:S440)*ROW(S$12:S440),ROW($S$12))&gt;=MAX((1=Z$12:Z440)*ROW(Z$12:Z440),ROW($T$12)),TYPE(VLOOKUP("Да",(INDIRECT("AA"&amp;(MAX((1=Z$12:Z440)*ROW(Z$12:Z440),ROW($T$12))&amp;":AA"&amp;(ROW()-1)))),1,0))=16),MIN(LOOKUP(,-1/($Z$12:Z441=1),$C$12:C441)+LOOKUP(,-1/($Z$12:Z441=1),$H$12:H441)-SUM(INDIRECT("T"&amp;(MAX((1=Z$12:Z440)*ROW(Z$12:Z440),ROW($T$12))&amp;":T"&amp;(ROW()-1)))),Первоначальный[[#This Row],[Полученный платеж]]+Y440),
S440&gt;0,MIN(LOOKUP(,-1/($Z$12:Z441=1),$C$12:C441)+LOOKUP(,-1/($Z$12:Z441=1),$H$12:H441)-IF(Z440=1,0,SUM(INDIRECT("T"&amp;(MAX((1=Z$12:Z440)*ROW(Z$12:Z440)+1,ROW($T$12))&amp;":T"&amp;(ROW()-1))))),Первоначальный[[#This Row],[Полученный платеж]]+Y440)
)
)
)</f>
        <v>0</v>
      </c>
      <c r="U44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платеж]]+Y440-Первоначальный[[#This Row],[Полученный платёж по процентам]])</f>
        <v>0</v>
      </c>
      <c r="V441" s="55">
        <f t="shared" ca="1" si="73"/>
        <v>0</v>
      </c>
      <c r="W441" s="55" cm="1">
        <f t="array" aca="1" ref="W441" ca="1">IF(Первоначальный[[#This Row],[Итого остаток на начало периода]]&lt;1,0,
_xlfn.IFS(
AND(TYPE(VLOOKUP(1,$Z$12:Z441,1,0))=16,Первоначальный[[#This Row],[Досрочное погашение (да/"")]]=""),0,
AND(S440=0,Первоначальный[[#This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платеж]]+Y440-SUM(Первоначальный[[#This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комиссиям]]),VLOOKUP(LOOKUP(,-1/($Z$12:Z441=1),$A$12:A441),График[[Срок конец]:[Возврат основной суммы долга]],3,0)),
AND(S440=0,Первоначальный[[#This Row],[Дата платежа из графика]]="",Первоначальный[[#This Row],[Досрочное погашение (да/"")]]&lt;&gt;"Да"),0,
AND(S440=0,Первоначальный[[#This Row],[Досрочное погашение (да/"")]]=""),MIN(Первоначальный[[#This Row],[Полученный платеж]]+Y440-SUM(Первоначальный[[#This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комиссиям]]),VLOOKUP(LOOKUP(,-1/($Z$12:Z441=1),$A$12:A441),График[[Срок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платеж]]+Y440-SUM(Первоначальный[[#This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S440&gt;0,MIN(Первоначальный[[#This Row],[Полученный платеж]]+Y440-SUM(Первоначальный[[#This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комиссиям]]),SUM(INDIRECT("M"&amp;(MAX((1=S$12:S440)*ROW(S$12:S440),ROW($W$12))&amp;":M"&amp;(ROW()))))-SUM(INDIRECT("W"&amp;(MAX((1=S$12:S440)*ROW(S$12:S440),ROW($W$12))&amp;":W"&amp;(ROW()-1)))))
)
)</f>
        <v>0</v>
      </c>
      <c r="X441" s="55">
        <f t="shared" ca="1" si="74"/>
        <v>0</v>
      </c>
      <c r="Y441" s="101">
        <f t="shared" ca="1" si="81"/>
        <v>0</v>
      </c>
      <c r="Z441" s="133" t="str">
        <f>IF(TYPE((VLOOKUP(Первоначальный[[#This Row],[Дата платежа]],График[Срок конец],1,0)))=16,"",1)</f>
        <v/>
      </c>
      <c r="AA441" s="57"/>
      <c r="AB441" s="134"/>
      <c r="AC44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4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29424.719999999958</v>
      </c>
      <c r="AE44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502.32000000000073</v>
      </c>
      <c r="AF44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4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29657.355604918135</v>
      </c>
      <c r="AH441" s="55"/>
      <c r="AI441" s="55"/>
      <c r="AJ441" s="55"/>
      <c r="AK441" s="101">
        <f t="shared" ca="1" si="82"/>
        <v>209217.7356049181</v>
      </c>
      <c r="AL441" s="129">
        <f t="array" ref="AL441">MAX((УслРестрактов[Характеристика]="Дата реструктуризации")*(УслРестрактов[Значение]=Первоначальный!$A441),0)</f>
        <v>0</v>
      </c>
    </row>
    <row r="442" spans="1:38" x14ac:dyDescent="0.25">
      <c r="A442" s="97">
        <f t="shared" si="75"/>
        <v>44573</v>
      </c>
      <c r="B442" s="100">
        <f t="shared" ca="1" si="76"/>
        <v>149633.34</v>
      </c>
      <c r="C442" s="55">
        <f t="shared" ca="1" si="84"/>
        <v>29424.719999999958</v>
      </c>
      <c r="D442" s="55">
        <f t="shared" ca="1" si="84"/>
        <v>502.32000000000073</v>
      </c>
      <c r="E442" s="55">
        <f t="shared" ca="1" si="77"/>
        <v>0</v>
      </c>
      <c r="F442" s="55">
        <f t="shared" ca="1" si="78"/>
        <v>29657.355604918135</v>
      </c>
      <c r="G442" s="101">
        <f t="shared" ca="1" si="79"/>
        <v>209217.7356049181</v>
      </c>
      <c r="H442" s="100">
        <f ca="1">ROUND($B442*VLOOKUP($A442,$A$1:$B$10,2,1)/(365+IF(MOD(YEAR($A442),4),0,1)*($A442-$A441)),2)-Первоначальный[[#This Row],[Проценты на просроченный платеж по ОД за период]]</f>
        <v>78.59</v>
      </c>
      <c r="I442" s="55">
        <f t="shared" ca="1" si="80"/>
        <v>2.99</v>
      </c>
      <c r="J442" s="55">
        <v>0</v>
      </c>
      <c r="K442" s="55">
        <f t="shared" ca="1" si="83"/>
        <v>173.75350327868853</v>
      </c>
      <c r="L442" s="55">
        <v>0</v>
      </c>
      <c r="M442" s="113">
        <f>SUMIFS(График[Возврат основной суммы долга],График[Дата с учетом нерабочих дней],$A442)</f>
        <v>0</v>
      </c>
      <c r="N442" s="56">
        <f>SUMIFS(График[Возврат начисленных %],График[Дата с учетом нерабочих дней],$A442)</f>
        <v>0</v>
      </c>
      <c r="O442" s="101">
        <v>0</v>
      </c>
      <c r="P442" s="100" cm="1">
        <f t="array" aca="1" ref="P442" ca="1">MAX(IF(AA441="Да",0,SUM(INDIRECT("M"&amp;(MAX(("Да"=AA$12:AA441)*ROW(AA$12:AA441)+1,ROW($P$12))&amp;":M"&amp;(ROW()))))-SUM(INDIRECT("W"&amp;(MAX(("Да"=AA$12:AA441)*ROW(AA$12:AA441)+1,ROW($P$12))&amp;":W"&amp;(ROW()))))),0)</f>
        <v>5484.66</v>
      </c>
      <c r="Q442" s="99">
        <f ca="1">MAX(SUM($N$13:N442)-SUM($T$13:T442),0)</f>
        <v>29266.040655737699</v>
      </c>
      <c r="R442" s="99">
        <f ca="1">Первоначальный[[#This Row],[Просроченный платеж по ОД]]+Первоначальный[[#This Row],[Просроченный платеж по процентам]]</f>
        <v>34750.700655737703</v>
      </c>
      <c r="S442" s="120">
        <f ca="1">IF(Первоначальный[[#This Row],[Просроченный платеж]]&lt;1,0,S441+1)</f>
        <v>338</v>
      </c>
      <c r="T442" s="100" cm="1">
        <f t="array" aca="1" ref="T442" ca="1">IF(Первоначальный[[#This Row],[Итого остаток на начало периода]]&lt;1,0,
IF(
AND(TYPE(VLOOKUP(1,$Z$12:Z442,1,0))=16,Первоначальный[[#This Row],[Досрочное погашение (да/"")]]=""),0,
_xlfn.IFS(AND(S441=0,Первоначальный[[#This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платеж]]&lt;&gt;0),MIN(LOOKUP(,-1/($Z$12:Z442=1),$C$12:C442)+LOOKUP(,-1/($Z$12:Z442=1),$H$12:H442),Первоначальный[[#This Row],[Полученный платеж]]+Y441),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платеж]]+Y441,SUM(Первоначальный[[#This Row],[Остаток процентов на начало периода]],Первоначальный[[#This Row],[Проценты за период]])),
AND(S441=0,Первоначальный[[#This Row],[Дата платежа из графика]]=""),0,
AND(S441=0,Первоначальный[[#This Row],[Дата платежа из графика]]=1,MAX((0&lt;&gt;S$12:S441)*ROW(S$12:S441),ROW($S$12))&gt;=MAX((1=Z$12:Z441)*ROW(Z$12:Z441),ROW($T$12)),TYPE(VLOOKUP("Да",(INDIRECT("AA"&amp;(MAX((1=Z$12:Z441)*ROW(Z$12:Z441),ROW($T$12))&amp;":AA"&amp;(ROW()-1)))),1,0))=16),MIN(LOOKUP(,-1/($Z$12:Z442=1),$C$12:C442)+LOOKUP(,-1/($Z$12:Z442=1),$H$12:H442),Первоначальный[[#This Row],[Полученный платеж]]+Y441),
AND(S441=0,TYPE(VLOOKUP("Да",(INDIRECT("AA"&amp;(MAX((1=Z$12:Z441)*ROW(Z$12:Z441),ROW($T$12))&amp;":AA"&amp;(ROW()-1)))),1,0))&lt;&gt;16),MIN(LOOKUP(,-1/($Z$12:Z442=1),$C$12:C442)+LOOKUP(,-1/($Z$12:Z442=1),$H$12:H442)-IF(AA441="Да",0,SUM(INDIRECT("T"&amp;(MAX(("Да"=AA$12:AA441)*ROW(AA$12:AA441)+1,ROW($T$12))&amp;":T"&amp;(ROW()-1))))),Первоначальный[[#This Row],[Полученный платеж]]+Y441),
AND(S441=0,MAX((0&lt;&gt;N$12:N441)*ROW(N$12:N441),ROW($S$12))&gt;=MAX((1=Z$12:Z441)*ROW(Z$12:Z441),ROW($T$12))),MIN(LOOKUP(,-1/($Z$12:Z442=1),$C$12:C442)+LOOKUP(,-1/($Z$12:Z442=1),$H$12:H442)-IF(N441&lt;&gt;0,0,SUM(INDIRECT("T"&amp;(MAX((0&lt;&gt;N$12:N441)*ROW(N$12:N441)+1,ROW($T$12))&amp;":T"&amp;(ROW()-1))))),Первоначальный[[#This Row],[Полученный платеж]]+Y441),
AND(S441=0,Первоначальный[[#This Row],[Дата платежа из графика]]=1),MIN(LOOKUP(,-1/($Z$12:Z442=1),$C$12:C442)+LOOKUP(,-1/($Z$12:Z442=1),$H$12:H442)-IF(Z441=1,0,SUM(INDIRECT("T"&amp;(MAX((1=Z$12:Z441)*ROW(Z$12:Z441)+1,ROW($T$12))&amp;":T"&amp;(ROW()-1))))),Первоначальный[[#This Row],[Полученный платеж]]+Y441),
AND(Z441&gt;0,Первоначальный[[#This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платеж]]+Y441),
AND(S441&gt;0,MAX((0&lt;&gt;S$12:S441)*ROW(S$12:S441),ROW($S$12))&gt;=MAX((1=Z$12:Z441)*ROW(Z$12:Z441),ROW($T$12)),TYPE(VLOOKUP("Да",(INDIRECT("AA"&amp;(MAX((1=Z$12:Z441)*ROW(Z$12:Z441),ROW($T$12))&amp;":AA"&amp;(ROW()-1)))),1,0))=16),MIN(LOOKUP(,-1/($Z$12:Z442=1),$C$12:C442)+LOOKUP(,-1/($Z$12:Z442=1),$H$12:H442)-SUM(INDIRECT("T"&amp;(MAX((1=Z$12:Z441)*ROW(Z$12:Z441),ROW($T$12))&amp;":T"&amp;(ROW()-1)))),Первоначальный[[#This Row],[Полученный платеж]]+Y441),
S441&gt;0,MIN(LOOKUP(,-1/($Z$12:Z442=1),$C$12:C442)+LOOKUP(,-1/($Z$12:Z442=1),$H$12:H442)-IF(Z441=1,0,SUM(INDIRECT("T"&amp;(MAX((1=Z$12:Z441)*ROW(Z$12:Z441)+1,ROW($T$12))&amp;":T"&amp;(ROW()-1))))),Первоначальный[[#This Row],[Полученный платеж]]+Y441)
)
)
)</f>
        <v>0</v>
      </c>
      <c r="U44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платеж]]+Y441-Первоначальный[[#This Row],[Полученный платёж по процентам]])</f>
        <v>0</v>
      </c>
      <c r="V442" s="55">
        <f t="shared" ca="1" si="73"/>
        <v>0</v>
      </c>
      <c r="W442" s="55" cm="1">
        <f t="array" aca="1" ref="W442" ca="1">IF(Первоначальный[[#This Row],[Итого остаток на начало периода]]&lt;1,0,
_xlfn.IFS(
AND(TYPE(VLOOKUP(1,$Z$12:Z442,1,0))=16,Первоначальный[[#This Row],[Досрочное погашение (да/"")]]=""),0,
AND(S441=0,Первоначальный[[#This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платеж]]+Y441-SUM(Первоначальный[[#This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комиссиям]]),VLOOKUP(LOOKUP(,-1/($Z$12:Z442=1),$A$12:A442),График[[Срок конец]:[Возврат основной суммы долга]],3,0)),
AND(S441=0,Первоначальный[[#This Row],[Дата платежа из графика]]="",Первоначальный[[#This Row],[Досрочное погашение (да/"")]]&lt;&gt;"Да"),0,
AND(S441=0,Первоначальный[[#This Row],[Досрочное погашение (да/"")]]=""),MIN(Первоначальный[[#This Row],[Полученный платеж]]+Y441-SUM(Первоначальный[[#This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комиссиям]]),VLOOKUP(LOOKUP(,-1/($Z$12:Z442=1),$A$12:A442),График[[Срок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платеж]]+Y441-SUM(Первоначальный[[#This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S441&gt;0,MIN(Первоначальный[[#This Row],[Полученный платеж]]+Y441-SUM(Первоначальный[[#This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комиссиям]]),SUM(INDIRECT("M"&amp;(MAX((1=S$12:S441)*ROW(S$12:S441),ROW($W$12))&amp;":M"&amp;(ROW()))))-SUM(INDIRECT("W"&amp;(MAX((1=S$12:S441)*ROW(S$12:S441),ROW($W$12))&amp;":W"&amp;(ROW()-1)))))
)
)</f>
        <v>0</v>
      </c>
      <c r="X442" s="55">
        <f t="shared" ca="1" si="74"/>
        <v>0</v>
      </c>
      <c r="Y442" s="101">
        <f t="shared" ca="1" si="81"/>
        <v>0</v>
      </c>
      <c r="Z442" s="133" t="str">
        <f>IF(TYPE((VLOOKUP(Первоначальный[[#This Row],[Дата платежа]],График[Срок конец],1,0)))=16,"",1)</f>
        <v/>
      </c>
      <c r="AA442" s="57"/>
      <c r="AB442" s="134"/>
      <c r="AC44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4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29503.309999999958</v>
      </c>
      <c r="AE44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505.31000000000074</v>
      </c>
      <c r="AF44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4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29831.109108196822</v>
      </c>
      <c r="AH442" s="55"/>
      <c r="AI442" s="55"/>
      <c r="AJ442" s="55"/>
      <c r="AK442" s="101">
        <f t="shared" ca="1" si="82"/>
        <v>209473.0691081968</v>
      </c>
      <c r="AL442" s="129">
        <f t="array" ref="AL442">MAX((УслРестрактов[Характеристика]="Дата реструктуризации")*(УслРестрактов[Значение]=Первоначальный!$A442),0)</f>
        <v>0</v>
      </c>
    </row>
    <row r="443" spans="1:38" x14ac:dyDescent="0.25">
      <c r="A443" s="97">
        <f t="shared" si="75"/>
        <v>44574</v>
      </c>
      <c r="B443" s="100">
        <f t="shared" ca="1" si="76"/>
        <v>149633.34</v>
      </c>
      <c r="C443" s="55">
        <f t="shared" ca="1" si="84"/>
        <v>29503.309999999958</v>
      </c>
      <c r="D443" s="55">
        <f t="shared" ca="1" si="84"/>
        <v>505.31000000000074</v>
      </c>
      <c r="E443" s="55">
        <f t="shared" ca="1" si="77"/>
        <v>0</v>
      </c>
      <c r="F443" s="55">
        <f t="shared" ca="1" si="78"/>
        <v>29831.109108196822</v>
      </c>
      <c r="G443" s="101">
        <f t="shared" ca="1" si="79"/>
        <v>209473.0691081968</v>
      </c>
      <c r="H443" s="100">
        <f ca="1">ROUND($B443*VLOOKUP($A443,$A$1:$B$10,2,1)/(365+IF(MOD(YEAR($A443),4),0,1)*($A443-$A442)),2)-Первоначальный[[#This Row],[Проценты на просроченный платеж по ОД за период]]</f>
        <v>78.59</v>
      </c>
      <c r="I443" s="55">
        <f t="shared" ca="1" si="80"/>
        <v>2.99</v>
      </c>
      <c r="J443" s="55">
        <v>0</v>
      </c>
      <c r="K443" s="55">
        <f t="shared" ca="1" si="83"/>
        <v>173.75350327868853</v>
      </c>
      <c r="L443" s="55">
        <v>0</v>
      </c>
      <c r="M443" s="113">
        <f>SUMIFS(График[Возврат основной суммы долга],График[Дата с учетом нерабочих дней],$A443)</f>
        <v>0</v>
      </c>
      <c r="N443" s="56">
        <f>SUMIFS(График[Возврат начисленных %],График[Дата с учетом нерабочих дней],$A443)</f>
        <v>0</v>
      </c>
      <c r="O443" s="101">
        <v>0</v>
      </c>
      <c r="P443" s="100" cm="1">
        <f t="array" aca="1" ref="P443" ca="1">MAX(IF(AA442="Да",0,SUM(INDIRECT("M"&amp;(MAX(("Да"=AA$12:AA442)*ROW(AA$12:AA442)+1,ROW($P$12))&amp;":M"&amp;(ROW()))))-SUM(INDIRECT("W"&amp;(MAX(("Да"=AA$12:AA442)*ROW(AA$12:AA442)+1,ROW($P$12))&amp;":W"&amp;(ROW()))))),0)</f>
        <v>5484.66</v>
      </c>
      <c r="Q443" s="99">
        <f ca="1">MAX(SUM($N$13:N443)-SUM($T$13:T443),0)</f>
        <v>29266.040655737699</v>
      </c>
      <c r="R443" s="99">
        <f ca="1">Первоначальный[[#This Row],[Просроченный платеж по ОД]]+Первоначальный[[#This Row],[Просроченный платеж по процентам]]</f>
        <v>34750.700655737703</v>
      </c>
      <c r="S443" s="120">
        <f ca="1">IF(Первоначальный[[#This Row],[Просроченный платеж]]&lt;1,0,S442+1)</f>
        <v>339</v>
      </c>
      <c r="T443" s="100" cm="1">
        <f t="array" aca="1" ref="T443" ca="1">IF(Первоначальный[[#This Row],[Итого остаток на начало периода]]&lt;1,0,
IF(
AND(TYPE(VLOOKUP(1,$Z$12:Z443,1,0))=16,Первоначальный[[#This Row],[Досрочное погашение (да/"")]]=""),0,
_xlfn.IFS(AND(S442=0,Первоначальный[[#This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платеж]]&lt;&gt;0),MIN(LOOKUP(,-1/($Z$12:Z443=1),$C$12:C443)+LOOKUP(,-1/($Z$12:Z443=1),$H$12:H443),Первоначальный[[#This Row],[Полученный платеж]]+Y442),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платеж]]+Y442,SUM(Первоначальный[[#This Row],[Остаток процентов на начало периода]],Первоначальный[[#This Row],[Проценты за период]])),
AND(S442=0,Первоначальный[[#This Row],[Дата платежа из графика]]=""),0,
AND(S442=0,Первоначальный[[#This Row],[Дата платежа из графика]]=1,MAX((0&lt;&gt;S$12:S442)*ROW(S$12:S442),ROW($S$12))&gt;=MAX((1=Z$12:Z442)*ROW(Z$12:Z442),ROW($T$12)),TYPE(VLOOKUP("Да",(INDIRECT("AA"&amp;(MAX((1=Z$12:Z442)*ROW(Z$12:Z442),ROW($T$12))&amp;":AA"&amp;(ROW()-1)))),1,0))=16),MIN(LOOKUP(,-1/($Z$12:Z443=1),$C$12:C443)+LOOKUP(,-1/($Z$12:Z443=1),$H$12:H443),Первоначальный[[#This Row],[Полученный платеж]]+Y442),
AND(S442=0,TYPE(VLOOKUP("Да",(INDIRECT("AA"&amp;(MAX((1=Z$12:Z442)*ROW(Z$12:Z442),ROW($T$12))&amp;":AA"&amp;(ROW()-1)))),1,0))&lt;&gt;16),MIN(LOOKUP(,-1/($Z$12:Z443=1),$C$12:C443)+LOOKUP(,-1/($Z$12:Z443=1),$H$12:H443)-IF(AA442="Да",0,SUM(INDIRECT("T"&amp;(MAX(("Да"=AA$12:AA442)*ROW(AA$12:AA442)+1,ROW($T$12))&amp;":T"&amp;(ROW()-1))))),Первоначальный[[#This Row],[Полученный платеж]]+Y442),
AND(S442=0,MAX((0&lt;&gt;N$12:N442)*ROW(N$12:N442),ROW($S$12))&gt;=MAX((1=Z$12:Z442)*ROW(Z$12:Z442),ROW($T$12))),MIN(LOOKUP(,-1/($Z$12:Z443=1),$C$12:C443)+LOOKUP(,-1/($Z$12:Z443=1),$H$12:H443)-IF(N442&lt;&gt;0,0,SUM(INDIRECT("T"&amp;(MAX((0&lt;&gt;N$12:N442)*ROW(N$12:N442)+1,ROW($T$12))&amp;":T"&amp;(ROW()-1))))),Первоначальный[[#This Row],[Полученный платеж]]+Y442),
AND(S442=0,Первоначальный[[#This Row],[Дата платежа из графика]]=1),MIN(LOOKUP(,-1/($Z$12:Z443=1),$C$12:C443)+LOOKUP(,-1/($Z$12:Z443=1),$H$12:H443)-IF(Z442=1,0,SUM(INDIRECT("T"&amp;(MAX((1=Z$12:Z442)*ROW(Z$12:Z442)+1,ROW($T$12))&amp;":T"&amp;(ROW()-1))))),Первоначальный[[#This Row],[Полученный платеж]]+Y442),
AND(Z442&gt;0,Первоначальный[[#This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платеж]]+Y442),
AND(S442&gt;0,MAX((0&lt;&gt;S$12:S442)*ROW(S$12:S442),ROW($S$12))&gt;=MAX((1=Z$12:Z442)*ROW(Z$12:Z442),ROW($T$12)),TYPE(VLOOKUP("Да",(INDIRECT("AA"&amp;(MAX((1=Z$12:Z442)*ROW(Z$12:Z442),ROW($T$12))&amp;":AA"&amp;(ROW()-1)))),1,0))=16),MIN(LOOKUP(,-1/($Z$12:Z443=1),$C$12:C443)+LOOKUP(,-1/($Z$12:Z443=1),$H$12:H443)-SUM(INDIRECT("T"&amp;(MAX((1=Z$12:Z442)*ROW(Z$12:Z442),ROW($T$12))&amp;":T"&amp;(ROW()-1)))),Первоначальный[[#This Row],[Полученный платеж]]+Y442),
S442&gt;0,MIN(LOOKUP(,-1/($Z$12:Z443=1),$C$12:C443)+LOOKUP(,-1/($Z$12:Z443=1),$H$12:H443)-IF(Z442=1,0,SUM(INDIRECT("T"&amp;(MAX((1=Z$12:Z442)*ROW(Z$12:Z442)+1,ROW($T$12))&amp;":T"&amp;(ROW()-1))))),Первоначальный[[#This Row],[Полученный платеж]]+Y442)
)
)
)</f>
        <v>0</v>
      </c>
      <c r="U44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платеж]]+Y442-Первоначальный[[#This Row],[Полученный платёж по процентам]])</f>
        <v>0</v>
      </c>
      <c r="V443" s="55">
        <f t="shared" ca="1" si="73"/>
        <v>0</v>
      </c>
      <c r="W443" s="55" cm="1">
        <f t="array" aca="1" ref="W443" ca="1">IF(Первоначальный[[#This Row],[Итого остаток на начало периода]]&lt;1,0,
_xlfn.IFS(
AND(TYPE(VLOOKUP(1,$Z$12:Z443,1,0))=16,Первоначальный[[#This Row],[Досрочное погашение (да/"")]]=""),0,
AND(S442=0,Первоначальный[[#This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платеж]]+Y442-SUM(Первоначальный[[#This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комиссиям]]),VLOOKUP(LOOKUP(,-1/($Z$12:Z443=1),$A$12:A443),График[[Срок конец]:[Возврат основной суммы долга]],3,0)),
AND(S442=0,Первоначальный[[#This Row],[Дата платежа из графика]]="",Первоначальный[[#This Row],[Досрочное погашение (да/"")]]&lt;&gt;"Да"),0,
AND(S442=0,Первоначальный[[#This Row],[Досрочное погашение (да/"")]]=""),MIN(Первоначальный[[#This Row],[Полученный платеж]]+Y442-SUM(Первоначальный[[#This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комиссиям]]),VLOOKUP(LOOKUP(,-1/($Z$12:Z443=1),$A$12:A443),График[[Срок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платеж]]+Y442-SUM(Первоначальный[[#This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S442&gt;0,MIN(Первоначальный[[#This Row],[Полученный платеж]]+Y442-SUM(Первоначальный[[#This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комиссиям]]),SUM(INDIRECT("M"&amp;(MAX((1=S$12:S442)*ROW(S$12:S442),ROW($W$12))&amp;":M"&amp;(ROW()))))-SUM(INDIRECT("W"&amp;(MAX((1=S$12:S442)*ROW(S$12:S442),ROW($W$12))&amp;":W"&amp;(ROW()-1)))))
)
)</f>
        <v>0</v>
      </c>
      <c r="X443" s="55">
        <f t="shared" ca="1" si="74"/>
        <v>0</v>
      </c>
      <c r="Y443" s="101">
        <f t="shared" ca="1" si="81"/>
        <v>0</v>
      </c>
      <c r="Z443" s="133" t="str">
        <f>IF(TYPE((VLOOKUP(Первоначальный[[#This Row],[Дата платежа]],График[Срок конец],1,0)))=16,"",1)</f>
        <v/>
      </c>
      <c r="AA443" s="57"/>
      <c r="AB443" s="134"/>
      <c r="AC44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4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29581.899999999958</v>
      </c>
      <c r="AE44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508.30000000000075</v>
      </c>
      <c r="AF44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4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30004.86261147551</v>
      </c>
      <c r="AH443" s="55"/>
      <c r="AI443" s="55"/>
      <c r="AJ443" s="55"/>
      <c r="AK443" s="101">
        <f t="shared" ca="1" si="82"/>
        <v>209728.40261147547</v>
      </c>
      <c r="AL443" s="129">
        <f t="array" ref="AL443">MAX((УслРестрактов[Характеристика]="Дата реструктуризации")*(УслРестрактов[Значение]=Первоначальный!$A443),0)</f>
        <v>0</v>
      </c>
    </row>
    <row r="444" spans="1:38" x14ac:dyDescent="0.25">
      <c r="A444" s="97">
        <f t="shared" si="75"/>
        <v>44575</v>
      </c>
      <c r="B444" s="100">
        <f t="shared" ca="1" si="76"/>
        <v>149633.34</v>
      </c>
      <c r="C444" s="55">
        <f t="shared" ca="1" si="84"/>
        <v>29581.899999999958</v>
      </c>
      <c r="D444" s="55">
        <f t="shared" ca="1" si="84"/>
        <v>508.30000000000075</v>
      </c>
      <c r="E444" s="55">
        <f t="shared" ca="1" si="77"/>
        <v>0</v>
      </c>
      <c r="F444" s="55">
        <f t="shared" ca="1" si="78"/>
        <v>30004.86261147551</v>
      </c>
      <c r="G444" s="101">
        <f t="shared" ca="1" si="79"/>
        <v>209728.40261147547</v>
      </c>
      <c r="H444" s="100">
        <f ca="1">ROUND($B444*VLOOKUP($A444,$A$1:$B$10,2,1)/(365+IF(MOD(YEAR($A444),4),0,1)*($A444-$A443)),2)-Первоначальный[[#This Row],[Проценты на просроченный платеж по ОД за период]]</f>
        <v>78.59</v>
      </c>
      <c r="I444" s="55">
        <f t="shared" ca="1" si="80"/>
        <v>2.99</v>
      </c>
      <c r="J444" s="55">
        <v>0</v>
      </c>
      <c r="K444" s="55">
        <f t="shared" ca="1" si="83"/>
        <v>173.75350327868853</v>
      </c>
      <c r="L444" s="55">
        <v>0</v>
      </c>
      <c r="M444" s="113">
        <f>SUMIFS(График[Возврат основной суммы долга],График[Дата с учетом нерабочих дней],$A444)</f>
        <v>0</v>
      </c>
      <c r="N444" s="56">
        <f>SUMIFS(График[Возврат начисленных %],График[Дата с учетом нерабочих дней],$A444)</f>
        <v>0</v>
      </c>
      <c r="O444" s="101">
        <v>0</v>
      </c>
      <c r="P444" s="100" cm="1">
        <f t="array" aca="1" ref="P444" ca="1">MAX(IF(AA443="Да",0,SUM(INDIRECT("M"&amp;(MAX(("Да"=AA$12:AA443)*ROW(AA$12:AA443)+1,ROW($P$12))&amp;":M"&amp;(ROW()))))-SUM(INDIRECT("W"&amp;(MAX(("Да"=AA$12:AA443)*ROW(AA$12:AA443)+1,ROW($P$12))&amp;":W"&amp;(ROW()))))),0)</f>
        <v>5484.66</v>
      </c>
      <c r="Q444" s="99">
        <f ca="1">MAX(SUM($N$13:N444)-SUM($T$13:T444),0)</f>
        <v>29266.040655737699</v>
      </c>
      <c r="R444" s="99">
        <f ca="1">Первоначальный[[#This Row],[Просроченный платеж по ОД]]+Первоначальный[[#This Row],[Просроченный платеж по процентам]]</f>
        <v>34750.700655737703</v>
      </c>
      <c r="S444" s="120">
        <f ca="1">IF(Первоначальный[[#This Row],[Просроченный платеж]]&lt;1,0,S443+1)</f>
        <v>340</v>
      </c>
      <c r="T444" s="100" cm="1">
        <f t="array" aca="1" ref="T444" ca="1">IF(Первоначальный[[#This Row],[Итого остаток на начало периода]]&lt;1,0,
IF(
AND(TYPE(VLOOKUP(1,$Z$12:Z444,1,0))=16,Первоначальный[[#This Row],[Досрочное погашение (да/"")]]=""),0,
_xlfn.IFS(AND(S443=0,Первоначальный[[#This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платеж]]&lt;&gt;0),MIN(LOOKUP(,-1/($Z$12:Z444=1),$C$12:C444)+LOOKUP(,-1/($Z$12:Z444=1),$H$12:H444),Первоначальный[[#This Row],[Полученный платеж]]+Y443),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платеж]]+Y443,SUM(Первоначальный[[#This Row],[Остаток процентов на начало периода]],Первоначальный[[#This Row],[Проценты за период]])),
AND(S443=0,Первоначальный[[#This Row],[Дата платежа из графика]]=""),0,
AND(S443=0,Первоначальный[[#This Row],[Дата платежа из графика]]=1,MAX((0&lt;&gt;S$12:S443)*ROW(S$12:S443),ROW($S$12))&gt;=MAX((1=Z$12:Z443)*ROW(Z$12:Z443),ROW($T$12)),TYPE(VLOOKUP("Да",(INDIRECT("AA"&amp;(MAX((1=Z$12:Z443)*ROW(Z$12:Z443),ROW($T$12))&amp;":AA"&amp;(ROW()-1)))),1,0))=16),MIN(LOOKUP(,-1/($Z$12:Z444=1),$C$12:C444)+LOOKUP(,-1/($Z$12:Z444=1),$H$12:H444),Первоначальный[[#This Row],[Полученный платеж]]+Y443),
AND(S443=0,TYPE(VLOOKUP("Да",(INDIRECT("AA"&amp;(MAX((1=Z$12:Z443)*ROW(Z$12:Z443),ROW($T$12))&amp;":AA"&amp;(ROW()-1)))),1,0))&lt;&gt;16),MIN(LOOKUP(,-1/($Z$12:Z444=1),$C$12:C444)+LOOKUP(,-1/($Z$12:Z444=1),$H$12:H444)-IF(AA443="Да",0,SUM(INDIRECT("T"&amp;(MAX(("Да"=AA$12:AA443)*ROW(AA$12:AA443)+1,ROW($T$12))&amp;":T"&amp;(ROW()-1))))),Первоначальный[[#This Row],[Полученный платеж]]+Y443),
AND(S443=0,MAX((0&lt;&gt;N$12:N443)*ROW(N$12:N443),ROW($S$12))&gt;=MAX((1=Z$12:Z443)*ROW(Z$12:Z443),ROW($T$12))),MIN(LOOKUP(,-1/($Z$12:Z444=1),$C$12:C444)+LOOKUP(,-1/($Z$12:Z444=1),$H$12:H444)-IF(N443&lt;&gt;0,0,SUM(INDIRECT("T"&amp;(MAX((0&lt;&gt;N$12:N443)*ROW(N$12:N443)+1,ROW($T$12))&amp;":T"&amp;(ROW()-1))))),Первоначальный[[#This Row],[Полученный платеж]]+Y443),
AND(S443=0,Первоначальный[[#This Row],[Дата платежа из графика]]=1),MIN(LOOKUP(,-1/($Z$12:Z444=1),$C$12:C444)+LOOKUP(,-1/($Z$12:Z444=1),$H$12:H444)-IF(Z443=1,0,SUM(INDIRECT("T"&amp;(MAX((1=Z$12:Z443)*ROW(Z$12:Z443)+1,ROW($T$12))&amp;":T"&amp;(ROW()-1))))),Первоначальный[[#This Row],[Полученный платеж]]+Y443),
AND(Z443&gt;0,Первоначальный[[#This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платеж]]+Y443),
AND(S443&gt;0,MAX((0&lt;&gt;S$12:S443)*ROW(S$12:S443),ROW($S$12))&gt;=MAX((1=Z$12:Z443)*ROW(Z$12:Z443),ROW($T$12)),TYPE(VLOOKUP("Да",(INDIRECT("AA"&amp;(MAX((1=Z$12:Z443)*ROW(Z$12:Z443),ROW($T$12))&amp;":AA"&amp;(ROW()-1)))),1,0))=16),MIN(LOOKUP(,-1/($Z$12:Z444=1),$C$12:C444)+LOOKUP(,-1/($Z$12:Z444=1),$H$12:H444)-SUM(INDIRECT("T"&amp;(MAX((1=Z$12:Z443)*ROW(Z$12:Z443),ROW($T$12))&amp;":T"&amp;(ROW()-1)))),Первоначальный[[#This Row],[Полученный платеж]]+Y443),
S443&gt;0,MIN(LOOKUP(,-1/($Z$12:Z444=1),$C$12:C444)+LOOKUP(,-1/($Z$12:Z444=1),$H$12:H444)-IF(Z443=1,0,SUM(INDIRECT("T"&amp;(MAX((1=Z$12:Z443)*ROW(Z$12:Z443)+1,ROW($T$12))&amp;":T"&amp;(ROW()-1))))),Первоначальный[[#This Row],[Полученный платеж]]+Y443)
)
)
)</f>
        <v>0</v>
      </c>
      <c r="U44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платеж]]+Y443-Первоначальный[[#This Row],[Полученный платёж по процентам]])</f>
        <v>0</v>
      </c>
      <c r="V444" s="55">
        <f t="shared" ca="1" si="73"/>
        <v>0</v>
      </c>
      <c r="W444" s="55" cm="1">
        <f t="array" aca="1" ref="W444" ca="1">IF(Первоначальный[[#This Row],[Итого остаток на начало периода]]&lt;1,0,
_xlfn.IFS(
AND(TYPE(VLOOKUP(1,$Z$12:Z444,1,0))=16,Первоначальный[[#This Row],[Досрочное погашение (да/"")]]=""),0,
AND(S443=0,Первоначальный[[#This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платеж]]+Y443-SUM(Первоначальный[[#This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комиссиям]]),VLOOKUP(LOOKUP(,-1/($Z$12:Z444=1),$A$12:A444),График[[Срок конец]:[Возврат основной суммы долга]],3,0)),
AND(S443=0,Первоначальный[[#This Row],[Дата платежа из графика]]="",Первоначальный[[#This Row],[Досрочное погашение (да/"")]]&lt;&gt;"Да"),0,
AND(S443=0,Первоначальный[[#This Row],[Досрочное погашение (да/"")]]=""),MIN(Первоначальный[[#This Row],[Полученный платеж]]+Y443-SUM(Первоначальный[[#This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комиссиям]]),VLOOKUP(LOOKUP(,-1/($Z$12:Z444=1),$A$12:A444),График[[Срок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платеж]]+Y443-SUM(Первоначальный[[#This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S443&gt;0,MIN(Первоначальный[[#This Row],[Полученный платеж]]+Y443-SUM(Первоначальный[[#This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комиссиям]]),SUM(INDIRECT("M"&amp;(MAX((1=S$12:S443)*ROW(S$12:S443),ROW($W$12))&amp;":M"&amp;(ROW()))))-SUM(INDIRECT("W"&amp;(MAX((1=S$12:S443)*ROW(S$12:S443),ROW($W$12))&amp;":W"&amp;(ROW()-1)))))
)
)</f>
        <v>0</v>
      </c>
      <c r="X444" s="55">
        <f t="shared" ca="1" si="74"/>
        <v>0</v>
      </c>
      <c r="Y444" s="101">
        <f t="shared" ca="1" si="81"/>
        <v>0</v>
      </c>
      <c r="Z444" s="133" t="str">
        <f>IF(TYPE((VLOOKUP(Первоначальный[[#This Row],[Дата платежа]],График[Срок конец],1,0)))=16,"",1)</f>
        <v/>
      </c>
      <c r="AA444" s="57"/>
      <c r="AB444" s="134"/>
      <c r="AC44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4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29660.489999999958</v>
      </c>
      <c r="AE44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511.29000000000076</v>
      </c>
      <c r="AF44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4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30178.616114754197</v>
      </c>
      <c r="AH444" s="55"/>
      <c r="AI444" s="55"/>
      <c r="AJ444" s="55"/>
      <c r="AK444" s="101">
        <f t="shared" ca="1" si="82"/>
        <v>209983.73611475417</v>
      </c>
      <c r="AL444" s="129">
        <f t="array" ref="AL444">MAX((УслРестрактов[Характеристика]="Дата реструктуризации")*(УслРестрактов[Значение]=Первоначальный!$A444),0)</f>
        <v>0</v>
      </c>
    </row>
    <row r="445" spans="1:38" x14ac:dyDescent="0.25">
      <c r="A445" s="97">
        <f t="shared" si="75"/>
        <v>44576</v>
      </c>
      <c r="B445" s="100">
        <f t="shared" ca="1" si="76"/>
        <v>149633.34</v>
      </c>
      <c r="C445" s="55">
        <f t="shared" ca="1" si="84"/>
        <v>29660.489999999958</v>
      </c>
      <c r="D445" s="55">
        <f t="shared" ca="1" si="84"/>
        <v>511.29000000000076</v>
      </c>
      <c r="E445" s="55">
        <f t="shared" ca="1" si="77"/>
        <v>0</v>
      </c>
      <c r="F445" s="55">
        <f t="shared" ca="1" si="78"/>
        <v>30178.616114754197</v>
      </c>
      <c r="G445" s="101">
        <f t="shared" ca="1" si="79"/>
        <v>209983.73611475417</v>
      </c>
      <c r="H445" s="100">
        <f ca="1">ROUND($B445*VLOOKUP($A445,$A$1:$B$10,2,1)/(365+IF(MOD(YEAR($A445),4),0,1)*($A445-$A444)),2)-Первоначальный[[#This Row],[Проценты на просроченный платеж по ОД за период]]</f>
        <v>78.59</v>
      </c>
      <c r="I445" s="55">
        <f t="shared" ca="1" si="80"/>
        <v>2.99</v>
      </c>
      <c r="J445" s="55">
        <v>0</v>
      </c>
      <c r="K445" s="55">
        <f t="shared" ca="1" si="83"/>
        <v>173.75350327868853</v>
      </c>
      <c r="L445" s="55">
        <v>0</v>
      </c>
      <c r="M445" s="113">
        <f>SUMIFS(График[Возврат основной суммы долга],График[Дата с учетом нерабочих дней],$A445)</f>
        <v>0</v>
      </c>
      <c r="N445" s="56">
        <f>SUMIFS(График[Возврат начисленных %],График[Дата с учетом нерабочих дней],$A445)</f>
        <v>0</v>
      </c>
      <c r="O445" s="101">
        <v>0</v>
      </c>
      <c r="P445" s="100" cm="1">
        <f t="array" aca="1" ref="P445" ca="1">MAX(IF(AA444="Да",0,SUM(INDIRECT("M"&amp;(MAX(("Да"=AA$12:AA444)*ROW(AA$12:AA444)+1,ROW($P$12))&amp;":M"&amp;(ROW()))))-SUM(INDIRECT("W"&amp;(MAX(("Да"=AA$12:AA444)*ROW(AA$12:AA444)+1,ROW($P$12))&amp;":W"&amp;(ROW()))))),0)</f>
        <v>5484.66</v>
      </c>
      <c r="Q445" s="99">
        <f ca="1">MAX(SUM($N$13:N445)-SUM($T$13:T445),0)</f>
        <v>29266.040655737699</v>
      </c>
      <c r="R445" s="99">
        <f ca="1">Первоначальный[[#This Row],[Просроченный платеж по ОД]]+Первоначальный[[#This Row],[Просроченный платеж по процентам]]</f>
        <v>34750.700655737703</v>
      </c>
      <c r="S445" s="120">
        <f ca="1">IF(Первоначальный[[#This Row],[Просроченный платеж]]&lt;1,0,S444+1)</f>
        <v>341</v>
      </c>
      <c r="T445" s="100" cm="1">
        <f t="array" aca="1" ref="T445" ca="1">IF(Первоначальный[[#This Row],[Итого остаток на начало периода]]&lt;1,0,
IF(
AND(TYPE(VLOOKUP(1,$Z$12:Z445,1,0))=16,Первоначальный[[#This Row],[Досрочное погашение (да/"")]]=""),0,
_xlfn.IFS(AND(S444=0,Первоначальный[[#This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платеж]]&lt;&gt;0),MIN(LOOKUP(,-1/($Z$12:Z445=1),$C$12:C445)+LOOKUP(,-1/($Z$12:Z445=1),$H$12:H445),Первоначальный[[#This Row],[Полученный платеж]]+Y444),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платеж]]+Y444,SUM(Первоначальный[[#This Row],[Остаток процентов на начало периода]],Первоначальный[[#This Row],[Проценты за период]])),
AND(S444=0,Первоначальный[[#This Row],[Дата платежа из графика]]=""),0,
AND(S444=0,Первоначальный[[#This Row],[Дата платежа из графика]]=1,MAX((0&lt;&gt;S$12:S444)*ROW(S$12:S444),ROW($S$12))&gt;=MAX((1=Z$12:Z444)*ROW(Z$12:Z444),ROW($T$12)),TYPE(VLOOKUP("Да",(INDIRECT("AA"&amp;(MAX((1=Z$12:Z444)*ROW(Z$12:Z444),ROW($T$12))&amp;":AA"&amp;(ROW()-1)))),1,0))=16),MIN(LOOKUP(,-1/($Z$12:Z445=1),$C$12:C445)+LOOKUP(,-1/($Z$12:Z445=1),$H$12:H445),Первоначальный[[#This Row],[Полученный платеж]]+Y444),
AND(S444=0,TYPE(VLOOKUP("Да",(INDIRECT("AA"&amp;(MAX((1=Z$12:Z444)*ROW(Z$12:Z444),ROW($T$12))&amp;":AA"&amp;(ROW()-1)))),1,0))&lt;&gt;16),MIN(LOOKUP(,-1/($Z$12:Z445=1),$C$12:C445)+LOOKUP(,-1/($Z$12:Z445=1),$H$12:H445)-IF(AA444="Да",0,SUM(INDIRECT("T"&amp;(MAX(("Да"=AA$12:AA444)*ROW(AA$12:AA444)+1,ROW($T$12))&amp;":T"&amp;(ROW()-1))))),Первоначальный[[#This Row],[Полученный платеж]]+Y444),
AND(S444=0,MAX((0&lt;&gt;N$12:N444)*ROW(N$12:N444),ROW($S$12))&gt;=MAX((1=Z$12:Z444)*ROW(Z$12:Z444),ROW($T$12))),MIN(LOOKUP(,-1/($Z$12:Z445=1),$C$12:C445)+LOOKUP(,-1/($Z$12:Z445=1),$H$12:H445)-IF(N444&lt;&gt;0,0,SUM(INDIRECT("T"&amp;(MAX((0&lt;&gt;N$12:N444)*ROW(N$12:N444)+1,ROW($T$12))&amp;":T"&amp;(ROW()-1))))),Первоначальный[[#This Row],[Полученный платеж]]+Y444),
AND(S444=0,Первоначальный[[#This Row],[Дата платежа из графика]]=1),MIN(LOOKUP(,-1/($Z$12:Z445=1),$C$12:C445)+LOOKUP(,-1/($Z$12:Z445=1),$H$12:H445)-IF(Z444=1,0,SUM(INDIRECT("T"&amp;(MAX((1=Z$12:Z444)*ROW(Z$12:Z444)+1,ROW($T$12))&amp;":T"&amp;(ROW()-1))))),Первоначальный[[#This Row],[Полученный платеж]]+Y444),
AND(Z444&gt;0,Первоначальный[[#This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платеж]]+Y444),
AND(S444&gt;0,MAX((0&lt;&gt;S$12:S444)*ROW(S$12:S444),ROW($S$12))&gt;=MAX((1=Z$12:Z444)*ROW(Z$12:Z444),ROW($T$12)),TYPE(VLOOKUP("Да",(INDIRECT("AA"&amp;(MAX((1=Z$12:Z444)*ROW(Z$12:Z444),ROW($T$12))&amp;":AA"&amp;(ROW()-1)))),1,0))=16),MIN(LOOKUP(,-1/($Z$12:Z445=1),$C$12:C445)+LOOKUP(,-1/($Z$12:Z445=1),$H$12:H445)-SUM(INDIRECT("T"&amp;(MAX((1=Z$12:Z444)*ROW(Z$12:Z444),ROW($T$12))&amp;":T"&amp;(ROW()-1)))),Первоначальный[[#This Row],[Полученный платеж]]+Y444),
S444&gt;0,MIN(LOOKUP(,-1/($Z$12:Z445=1),$C$12:C445)+LOOKUP(,-1/($Z$12:Z445=1),$H$12:H445)-IF(Z444=1,0,SUM(INDIRECT("T"&amp;(MAX((1=Z$12:Z444)*ROW(Z$12:Z444)+1,ROW($T$12))&amp;":T"&amp;(ROW()-1))))),Первоначальный[[#This Row],[Полученный платеж]]+Y444)
)
)
)</f>
        <v>0</v>
      </c>
      <c r="U44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платеж]]+Y444-Первоначальный[[#This Row],[Полученный платёж по процентам]])</f>
        <v>0</v>
      </c>
      <c r="V445" s="55">
        <f t="shared" ca="1" si="73"/>
        <v>0</v>
      </c>
      <c r="W445" s="55" cm="1">
        <f t="array" aca="1" ref="W445" ca="1">IF(Первоначальный[[#This Row],[Итого остаток на начало периода]]&lt;1,0,
_xlfn.IFS(
AND(TYPE(VLOOKUP(1,$Z$12:Z445,1,0))=16,Первоначальный[[#This Row],[Досрочное погашение (да/"")]]=""),0,
AND(S444=0,Первоначальный[[#This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платеж]]+Y444-SUM(Первоначальный[[#This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комиссиям]]),VLOOKUP(LOOKUP(,-1/($Z$12:Z445=1),$A$12:A445),График[[Срок конец]:[Возврат основной суммы долга]],3,0)),
AND(S444=0,Первоначальный[[#This Row],[Дата платежа из графика]]="",Первоначальный[[#This Row],[Досрочное погашение (да/"")]]&lt;&gt;"Да"),0,
AND(S444=0,Первоначальный[[#This Row],[Досрочное погашение (да/"")]]=""),MIN(Первоначальный[[#This Row],[Полученный платеж]]+Y444-SUM(Первоначальный[[#This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комиссиям]]),VLOOKUP(LOOKUP(,-1/($Z$12:Z445=1),$A$12:A445),График[[Срок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платеж]]+Y444-SUM(Первоначальный[[#This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S444&gt;0,MIN(Первоначальный[[#This Row],[Полученный платеж]]+Y444-SUM(Первоначальный[[#This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комиссиям]]),SUM(INDIRECT("M"&amp;(MAX((1=S$12:S444)*ROW(S$12:S444),ROW($W$12))&amp;":M"&amp;(ROW()))))-SUM(INDIRECT("W"&amp;(MAX((1=S$12:S444)*ROW(S$12:S444),ROW($W$12))&amp;":W"&amp;(ROW()-1)))))
)
)</f>
        <v>0</v>
      </c>
      <c r="X445" s="55">
        <f t="shared" ca="1" si="74"/>
        <v>0</v>
      </c>
      <c r="Y445" s="101">
        <f t="shared" ca="1" si="81"/>
        <v>0</v>
      </c>
      <c r="Z445" s="133" t="str">
        <f>IF(TYPE((VLOOKUP(Первоначальный[[#This Row],[Дата платежа]],График[Срок конец],1,0)))=16,"",1)</f>
        <v/>
      </c>
      <c r="AA445" s="57"/>
      <c r="AB445" s="134"/>
      <c r="AC44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4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29739.079999999958</v>
      </c>
      <c r="AE44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514.28000000000077</v>
      </c>
      <c r="AF44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4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30352.369618032884</v>
      </c>
      <c r="AH445" s="55"/>
      <c r="AI445" s="55"/>
      <c r="AJ445" s="55"/>
      <c r="AK445" s="101">
        <f t="shared" ca="1" si="82"/>
        <v>210239.06961803284</v>
      </c>
      <c r="AL445" s="129">
        <f t="array" ref="AL445">MAX((УслРестрактов[Характеристика]="Дата реструктуризации")*(УслРестрактов[Значение]=Первоначальный!$A445),0)</f>
        <v>0</v>
      </c>
    </row>
    <row r="446" spans="1:38" x14ac:dyDescent="0.25">
      <c r="A446" s="97">
        <f t="shared" si="75"/>
        <v>44577</v>
      </c>
      <c r="B446" s="100">
        <f t="shared" ca="1" si="76"/>
        <v>149633.34</v>
      </c>
      <c r="C446" s="55">
        <f t="shared" ca="1" si="84"/>
        <v>29739.079999999958</v>
      </c>
      <c r="D446" s="55">
        <f t="shared" ca="1" si="84"/>
        <v>514.28000000000077</v>
      </c>
      <c r="E446" s="55">
        <f t="shared" ca="1" si="77"/>
        <v>0</v>
      </c>
      <c r="F446" s="55">
        <f t="shared" ca="1" si="78"/>
        <v>30352.369618032884</v>
      </c>
      <c r="G446" s="101">
        <f t="shared" ca="1" si="79"/>
        <v>210239.06961803284</v>
      </c>
      <c r="H446" s="100">
        <f ca="1">ROUND($B446*VLOOKUP($A446,$A$1:$B$10,2,1)/(365+IF(MOD(YEAR($A446),4),0,1)*($A446-$A445)),2)-Первоначальный[[#This Row],[Проценты на просроченный платеж по ОД за период]]</f>
        <v>78.59</v>
      </c>
      <c r="I446" s="55">
        <f t="shared" ca="1" si="80"/>
        <v>2.99</v>
      </c>
      <c r="J446" s="55">
        <v>0</v>
      </c>
      <c r="K446" s="55">
        <f t="shared" ca="1" si="83"/>
        <v>173.75350327868853</v>
      </c>
      <c r="L446" s="55">
        <v>0</v>
      </c>
      <c r="M446" s="113">
        <f>SUMIFS(График[Возврат основной суммы долга],График[Дата с учетом нерабочих дней],$A446)</f>
        <v>0</v>
      </c>
      <c r="N446" s="56">
        <f>SUMIFS(График[Возврат начисленных %],График[Дата с учетом нерабочих дней],$A446)</f>
        <v>0</v>
      </c>
      <c r="O446" s="101">
        <v>0</v>
      </c>
      <c r="P446" s="100" cm="1">
        <f t="array" aca="1" ref="P446" ca="1">MAX(IF(AA445="Да",0,SUM(INDIRECT("M"&amp;(MAX(("Да"=AA$12:AA445)*ROW(AA$12:AA445)+1,ROW($P$12))&amp;":M"&amp;(ROW()))))-SUM(INDIRECT("W"&amp;(MAX(("Да"=AA$12:AA445)*ROW(AA$12:AA445)+1,ROW($P$12))&amp;":W"&amp;(ROW()))))),0)</f>
        <v>5484.66</v>
      </c>
      <c r="Q446" s="99">
        <f ca="1">MAX(SUM($N$13:N446)-SUM($T$13:T446),0)</f>
        <v>29266.040655737699</v>
      </c>
      <c r="R446" s="99">
        <f ca="1">Первоначальный[[#This Row],[Просроченный платеж по ОД]]+Первоначальный[[#This Row],[Просроченный платеж по процентам]]</f>
        <v>34750.700655737703</v>
      </c>
      <c r="S446" s="120">
        <f ca="1">IF(Первоначальный[[#This Row],[Просроченный платеж]]&lt;1,0,S445+1)</f>
        <v>342</v>
      </c>
      <c r="T446" s="100" cm="1">
        <f t="array" aca="1" ref="T446" ca="1">IF(Первоначальный[[#This Row],[Итого остаток на начало периода]]&lt;1,0,
IF(
AND(TYPE(VLOOKUP(1,$Z$12:Z446,1,0))=16,Первоначальный[[#This Row],[Досрочное погашение (да/"")]]=""),0,
_xlfn.IFS(AND(S445=0,Первоначальный[[#This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платеж]]&lt;&gt;0),MIN(LOOKUP(,-1/($Z$12:Z446=1),$C$12:C446)+LOOKUP(,-1/($Z$12:Z446=1),$H$12:H446),Первоначальный[[#This Row],[Полученный платеж]]+Y445),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платеж]]+Y445,SUM(Первоначальный[[#This Row],[Остаток процентов на начало периода]],Первоначальный[[#This Row],[Проценты за период]])),
AND(S445=0,Первоначальный[[#This Row],[Дата платежа из графика]]=""),0,
AND(S445=0,Первоначальный[[#This Row],[Дата платежа из графика]]=1,MAX((0&lt;&gt;S$12:S445)*ROW(S$12:S445),ROW($S$12))&gt;=MAX((1=Z$12:Z445)*ROW(Z$12:Z445),ROW($T$12)),TYPE(VLOOKUP("Да",(INDIRECT("AA"&amp;(MAX((1=Z$12:Z445)*ROW(Z$12:Z445),ROW($T$12))&amp;":AA"&amp;(ROW()-1)))),1,0))=16),MIN(LOOKUP(,-1/($Z$12:Z446=1),$C$12:C446)+LOOKUP(,-1/($Z$12:Z446=1),$H$12:H446),Первоначальный[[#This Row],[Полученный платеж]]+Y445),
AND(S445=0,TYPE(VLOOKUP("Да",(INDIRECT("AA"&amp;(MAX((1=Z$12:Z445)*ROW(Z$12:Z445),ROW($T$12))&amp;":AA"&amp;(ROW()-1)))),1,0))&lt;&gt;16),MIN(LOOKUP(,-1/($Z$12:Z446=1),$C$12:C446)+LOOKUP(,-1/($Z$12:Z446=1),$H$12:H446)-IF(AA445="Да",0,SUM(INDIRECT("T"&amp;(MAX(("Да"=AA$12:AA445)*ROW(AA$12:AA445)+1,ROW($T$12))&amp;":T"&amp;(ROW()-1))))),Первоначальный[[#This Row],[Полученный платеж]]+Y445),
AND(S445=0,MAX((0&lt;&gt;N$12:N445)*ROW(N$12:N445),ROW($S$12))&gt;=MAX((1=Z$12:Z445)*ROW(Z$12:Z445),ROW($T$12))),MIN(LOOKUP(,-1/($Z$12:Z446=1),$C$12:C446)+LOOKUP(,-1/($Z$12:Z446=1),$H$12:H446)-IF(N445&lt;&gt;0,0,SUM(INDIRECT("T"&amp;(MAX((0&lt;&gt;N$12:N445)*ROW(N$12:N445)+1,ROW($T$12))&amp;":T"&amp;(ROW()-1))))),Первоначальный[[#This Row],[Полученный платеж]]+Y445),
AND(S445=0,Первоначальный[[#This Row],[Дата платежа из графика]]=1),MIN(LOOKUP(,-1/($Z$12:Z446=1),$C$12:C446)+LOOKUP(,-1/($Z$12:Z446=1),$H$12:H446)-IF(Z445=1,0,SUM(INDIRECT("T"&amp;(MAX((1=Z$12:Z445)*ROW(Z$12:Z445)+1,ROW($T$12))&amp;":T"&amp;(ROW()-1))))),Первоначальный[[#This Row],[Полученный платеж]]+Y445),
AND(Z445&gt;0,Первоначальный[[#This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платеж]]+Y445),
AND(S445&gt;0,MAX((0&lt;&gt;S$12:S445)*ROW(S$12:S445),ROW($S$12))&gt;=MAX((1=Z$12:Z445)*ROW(Z$12:Z445),ROW($T$12)),TYPE(VLOOKUP("Да",(INDIRECT("AA"&amp;(MAX((1=Z$12:Z445)*ROW(Z$12:Z445),ROW($T$12))&amp;":AA"&amp;(ROW()-1)))),1,0))=16),MIN(LOOKUP(,-1/($Z$12:Z446=1),$C$12:C446)+LOOKUP(,-1/($Z$12:Z446=1),$H$12:H446)-SUM(INDIRECT("T"&amp;(MAX((1=Z$12:Z445)*ROW(Z$12:Z445),ROW($T$12))&amp;":T"&amp;(ROW()-1)))),Первоначальный[[#This Row],[Полученный платеж]]+Y445),
S445&gt;0,MIN(LOOKUP(,-1/($Z$12:Z446=1),$C$12:C446)+LOOKUP(,-1/($Z$12:Z446=1),$H$12:H446)-IF(Z445=1,0,SUM(INDIRECT("T"&amp;(MAX((1=Z$12:Z445)*ROW(Z$12:Z445)+1,ROW($T$12))&amp;":T"&amp;(ROW()-1))))),Первоначальный[[#This Row],[Полученный платеж]]+Y445)
)
)
)</f>
        <v>0</v>
      </c>
      <c r="U44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платеж]]+Y445-Первоначальный[[#This Row],[Полученный платёж по процентам]])</f>
        <v>0</v>
      </c>
      <c r="V446" s="55">
        <f t="shared" ca="1" si="73"/>
        <v>0</v>
      </c>
      <c r="W446" s="55" cm="1">
        <f t="array" aca="1" ref="W446" ca="1">IF(Первоначальный[[#This Row],[Итого остаток на начало периода]]&lt;1,0,
_xlfn.IFS(
AND(TYPE(VLOOKUP(1,$Z$12:Z446,1,0))=16,Первоначальный[[#This Row],[Досрочное погашение (да/"")]]=""),0,
AND(S445=0,Первоначальный[[#This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платеж]]+Y445-SUM(Первоначальный[[#This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комиссиям]]),VLOOKUP(LOOKUP(,-1/($Z$12:Z446=1),$A$12:A446),График[[Срок конец]:[Возврат основной суммы долга]],3,0)),
AND(S445=0,Первоначальный[[#This Row],[Дата платежа из графика]]="",Первоначальный[[#This Row],[Досрочное погашение (да/"")]]&lt;&gt;"Да"),0,
AND(S445=0,Первоначальный[[#This Row],[Досрочное погашение (да/"")]]=""),MIN(Первоначальный[[#This Row],[Полученный платеж]]+Y445-SUM(Первоначальный[[#This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комиссиям]]),VLOOKUP(LOOKUP(,-1/($Z$12:Z446=1),$A$12:A446),График[[Срок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платеж]]+Y445-SUM(Первоначальный[[#This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S445&gt;0,MIN(Первоначальный[[#This Row],[Полученный платеж]]+Y445-SUM(Первоначальный[[#This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комиссиям]]),SUM(INDIRECT("M"&amp;(MAX((1=S$12:S445)*ROW(S$12:S445),ROW($W$12))&amp;":M"&amp;(ROW()))))-SUM(INDIRECT("W"&amp;(MAX((1=S$12:S445)*ROW(S$12:S445),ROW($W$12))&amp;":W"&amp;(ROW()-1)))))
)
)</f>
        <v>0</v>
      </c>
      <c r="X446" s="55">
        <f t="shared" ca="1" si="74"/>
        <v>0</v>
      </c>
      <c r="Y446" s="101">
        <f t="shared" ca="1" si="81"/>
        <v>0</v>
      </c>
      <c r="Z446" s="133" t="str">
        <f>IF(TYPE((VLOOKUP(Первоначальный[[#This Row],[Дата платежа]],График[Срок конец],1,0)))=16,"",1)</f>
        <v/>
      </c>
      <c r="AA446" s="57"/>
      <c r="AB446" s="134"/>
      <c r="AC44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4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29817.669999999958</v>
      </c>
      <c r="AE44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517.27000000000078</v>
      </c>
      <c r="AF44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4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30526.123121311572</v>
      </c>
      <c r="AH446" s="55"/>
      <c r="AI446" s="55"/>
      <c r="AJ446" s="55"/>
      <c r="AK446" s="101">
        <f t="shared" ca="1" si="82"/>
        <v>210494.40312131151</v>
      </c>
      <c r="AL446" s="129">
        <f t="array" ref="AL446">MAX((УслРестрактов[Характеристика]="Дата реструктуризации")*(УслРестрактов[Значение]=Первоначальный!$A446),0)</f>
        <v>0</v>
      </c>
    </row>
    <row r="447" spans="1:38" x14ac:dyDescent="0.25">
      <c r="A447" s="97">
        <f t="shared" si="75"/>
        <v>44578</v>
      </c>
      <c r="B447" s="100">
        <f t="shared" ca="1" si="76"/>
        <v>149633.34</v>
      </c>
      <c r="C447" s="55">
        <f t="shared" ca="1" si="84"/>
        <v>29817.669999999958</v>
      </c>
      <c r="D447" s="55">
        <f t="shared" ca="1" si="84"/>
        <v>517.27000000000078</v>
      </c>
      <c r="E447" s="55">
        <f t="shared" ca="1" si="77"/>
        <v>0</v>
      </c>
      <c r="F447" s="55">
        <f t="shared" ca="1" si="78"/>
        <v>30526.123121311572</v>
      </c>
      <c r="G447" s="101">
        <f t="shared" ca="1" si="79"/>
        <v>210494.40312131151</v>
      </c>
      <c r="H447" s="100">
        <f ca="1">ROUND($B447*VLOOKUP($A447,$A$1:$B$10,2,1)/(365+IF(MOD(YEAR($A447),4),0,1)*($A447-$A446)),2)-Первоначальный[[#This Row],[Проценты на просроченный платеж по ОД за период]]</f>
        <v>78.59</v>
      </c>
      <c r="I447" s="55">
        <f t="shared" ca="1" si="80"/>
        <v>2.99</v>
      </c>
      <c r="J447" s="55">
        <v>0</v>
      </c>
      <c r="K447" s="55">
        <f t="shared" ca="1" si="83"/>
        <v>173.75350327868853</v>
      </c>
      <c r="L447" s="55">
        <v>0</v>
      </c>
      <c r="M447" s="113">
        <f>SUMIFS(График[Возврат основной суммы долга],График[Дата с учетом нерабочих дней],$A447)</f>
        <v>0</v>
      </c>
      <c r="N447" s="56">
        <f>SUMIFS(График[Возврат начисленных %],График[Дата с учетом нерабочих дней],$A447)</f>
        <v>0</v>
      </c>
      <c r="O447" s="101">
        <v>0</v>
      </c>
      <c r="P447" s="100" cm="1">
        <f t="array" aca="1" ref="P447" ca="1">MAX(IF(AA446="Да",0,SUM(INDIRECT("M"&amp;(MAX(("Да"=AA$12:AA446)*ROW(AA$12:AA446)+1,ROW($P$12))&amp;":M"&amp;(ROW()))))-SUM(INDIRECT("W"&amp;(MAX(("Да"=AA$12:AA446)*ROW(AA$12:AA446)+1,ROW($P$12))&amp;":W"&amp;(ROW()))))),0)</f>
        <v>5484.66</v>
      </c>
      <c r="Q447" s="99">
        <f ca="1">MAX(SUM($N$13:N447)-SUM($T$13:T447),0)</f>
        <v>29266.040655737699</v>
      </c>
      <c r="R447" s="99">
        <f ca="1">Первоначальный[[#This Row],[Просроченный платеж по ОД]]+Первоначальный[[#This Row],[Просроченный платеж по процентам]]</f>
        <v>34750.700655737703</v>
      </c>
      <c r="S447" s="120">
        <f ca="1">IF(Первоначальный[[#This Row],[Просроченный платеж]]&lt;1,0,S446+1)</f>
        <v>343</v>
      </c>
      <c r="T447" s="100" cm="1">
        <f t="array" aca="1" ref="T447" ca="1">IF(Первоначальный[[#This Row],[Итого остаток на начало периода]]&lt;1,0,
IF(
AND(TYPE(VLOOKUP(1,$Z$12:Z447,1,0))=16,Первоначальный[[#This Row],[Досрочное погашение (да/"")]]=""),0,
_xlfn.IFS(AND(S446=0,Первоначальный[[#This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платеж]]&lt;&gt;0),MIN(LOOKUP(,-1/($Z$12:Z447=1),$C$12:C447)+LOOKUP(,-1/($Z$12:Z447=1),$H$12:H447),Первоначальный[[#This Row],[Полученный платеж]]+Y446),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платеж]]+Y446,SUM(Первоначальный[[#This Row],[Остаток процентов на начало периода]],Первоначальный[[#This Row],[Проценты за период]])),
AND(S446=0,Первоначальный[[#This Row],[Дата платежа из графика]]=""),0,
AND(S446=0,Первоначальный[[#This Row],[Дата платежа из графика]]=1,MAX((0&lt;&gt;S$12:S446)*ROW(S$12:S446),ROW($S$12))&gt;=MAX((1=Z$12:Z446)*ROW(Z$12:Z446),ROW($T$12)),TYPE(VLOOKUP("Да",(INDIRECT("AA"&amp;(MAX((1=Z$12:Z446)*ROW(Z$12:Z446),ROW($T$12))&amp;":AA"&amp;(ROW()-1)))),1,0))=16),MIN(LOOKUP(,-1/($Z$12:Z447=1),$C$12:C447)+LOOKUP(,-1/($Z$12:Z447=1),$H$12:H447),Первоначальный[[#This Row],[Полученный платеж]]+Y446),
AND(S446=0,TYPE(VLOOKUP("Да",(INDIRECT("AA"&amp;(MAX((1=Z$12:Z446)*ROW(Z$12:Z446),ROW($T$12))&amp;":AA"&amp;(ROW()-1)))),1,0))&lt;&gt;16),MIN(LOOKUP(,-1/($Z$12:Z447=1),$C$12:C447)+LOOKUP(,-1/($Z$12:Z447=1),$H$12:H447)-IF(AA446="Да",0,SUM(INDIRECT("T"&amp;(MAX(("Да"=AA$12:AA446)*ROW(AA$12:AA446)+1,ROW($T$12))&amp;":T"&amp;(ROW()-1))))),Первоначальный[[#This Row],[Полученный платеж]]+Y446),
AND(S446=0,MAX((0&lt;&gt;N$12:N446)*ROW(N$12:N446),ROW($S$12))&gt;=MAX((1=Z$12:Z446)*ROW(Z$12:Z446),ROW($T$12))),MIN(LOOKUP(,-1/($Z$12:Z447=1),$C$12:C447)+LOOKUP(,-1/($Z$12:Z447=1),$H$12:H447)-IF(N446&lt;&gt;0,0,SUM(INDIRECT("T"&amp;(MAX((0&lt;&gt;N$12:N446)*ROW(N$12:N446)+1,ROW($T$12))&amp;":T"&amp;(ROW()-1))))),Первоначальный[[#This Row],[Полученный платеж]]+Y446),
AND(S446=0,Первоначальный[[#This Row],[Дата платежа из графика]]=1),MIN(LOOKUP(,-1/($Z$12:Z447=1),$C$12:C447)+LOOKUP(,-1/($Z$12:Z447=1),$H$12:H447)-IF(Z446=1,0,SUM(INDIRECT("T"&amp;(MAX((1=Z$12:Z446)*ROW(Z$12:Z446)+1,ROW($T$12))&amp;":T"&amp;(ROW()-1))))),Первоначальный[[#This Row],[Полученный платеж]]+Y446),
AND(Z446&gt;0,Первоначальный[[#This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платеж]]+Y446),
AND(S446&gt;0,MAX((0&lt;&gt;S$12:S446)*ROW(S$12:S446),ROW($S$12))&gt;=MAX((1=Z$12:Z446)*ROW(Z$12:Z446),ROW($T$12)),TYPE(VLOOKUP("Да",(INDIRECT("AA"&amp;(MAX((1=Z$12:Z446)*ROW(Z$12:Z446),ROW($T$12))&amp;":AA"&amp;(ROW()-1)))),1,0))=16),MIN(LOOKUP(,-1/($Z$12:Z447=1),$C$12:C447)+LOOKUP(,-1/($Z$12:Z447=1),$H$12:H447)-SUM(INDIRECT("T"&amp;(MAX((1=Z$12:Z446)*ROW(Z$12:Z446),ROW($T$12))&amp;":T"&amp;(ROW()-1)))),Первоначальный[[#This Row],[Полученный платеж]]+Y446),
S446&gt;0,MIN(LOOKUP(,-1/($Z$12:Z447=1),$C$12:C447)+LOOKUP(,-1/($Z$12:Z447=1),$H$12:H447)-IF(Z446=1,0,SUM(INDIRECT("T"&amp;(MAX((1=Z$12:Z446)*ROW(Z$12:Z446)+1,ROW($T$12))&amp;":T"&amp;(ROW()-1))))),Первоначальный[[#This Row],[Полученный платеж]]+Y446)
)
)
)</f>
        <v>0</v>
      </c>
      <c r="U44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платеж]]+Y446-Первоначальный[[#This Row],[Полученный платёж по процентам]])</f>
        <v>0</v>
      </c>
      <c r="V447" s="55">
        <f t="shared" ca="1" si="73"/>
        <v>0</v>
      </c>
      <c r="W447" s="55" cm="1">
        <f t="array" aca="1" ref="W447" ca="1">IF(Первоначальный[[#This Row],[Итого остаток на начало периода]]&lt;1,0,
_xlfn.IFS(
AND(TYPE(VLOOKUP(1,$Z$12:Z447,1,0))=16,Первоначальный[[#This Row],[Досрочное погашение (да/"")]]=""),0,
AND(S446=0,Первоначальный[[#This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платеж]]+Y446-SUM(Первоначальный[[#This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комиссиям]]),VLOOKUP(LOOKUP(,-1/($Z$12:Z447=1),$A$12:A447),График[[Срок конец]:[Возврат основной суммы долга]],3,0)),
AND(S446=0,Первоначальный[[#This Row],[Дата платежа из графика]]="",Первоначальный[[#This Row],[Досрочное погашение (да/"")]]&lt;&gt;"Да"),0,
AND(S446=0,Первоначальный[[#This Row],[Досрочное погашение (да/"")]]=""),MIN(Первоначальный[[#This Row],[Полученный платеж]]+Y446-SUM(Первоначальный[[#This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комиссиям]]),VLOOKUP(LOOKUP(,-1/($Z$12:Z447=1),$A$12:A447),График[[Срок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платеж]]+Y446-SUM(Первоначальный[[#This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S446&gt;0,MIN(Первоначальный[[#This Row],[Полученный платеж]]+Y446-SUM(Первоначальный[[#This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комиссиям]]),SUM(INDIRECT("M"&amp;(MAX((1=S$12:S446)*ROW(S$12:S446),ROW($W$12))&amp;":M"&amp;(ROW()))))-SUM(INDIRECT("W"&amp;(MAX((1=S$12:S446)*ROW(S$12:S446),ROW($W$12))&amp;":W"&amp;(ROW()-1)))))
)
)</f>
        <v>0</v>
      </c>
      <c r="X447" s="55">
        <f t="shared" ca="1" si="74"/>
        <v>0</v>
      </c>
      <c r="Y447" s="101">
        <f t="shared" ca="1" si="81"/>
        <v>0</v>
      </c>
      <c r="Z447" s="133" t="str">
        <f>IF(TYPE((VLOOKUP(Первоначальный[[#This Row],[Дата платежа]],График[Срок конец],1,0)))=16,"",1)</f>
        <v/>
      </c>
      <c r="AA447" s="57"/>
      <c r="AB447" s="134"/>
      <c r="AC44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4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29896.259999999958</v>
      </c>
      <c r="AE44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520.26000000000079</v>
      </c>
      <c r="AF44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4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30699.876624590259</v>
      </c>
      <c r="AH447" s="55"/>
      <c r="AI447" s="55"/>
      <c r="AJ447" s="55"/>
      <c r="AK447" s="101">
        <f t="shared" ca="1" si="82"/>
        <v>210749.73662459021</v>
      </c>
      <c r="AL447" s="129">
        <f t="array" ref="AL447">MAX((УслРестрактов[Характеристика]="Дата реструктуризации")*(УслРестрактов[Значение]=Первоначальный!$A447),0)</f>
        <v>0</v>
      </c>
    </row>
    <row r="448" spans="1:38" x14ac:dyDescent="0.25">
      <c r="A448" s="97">
        <f t="shared" si="75"/>
        <v>44579</v>
      </c>
      <c r="B448" s="100">
        <f t="shared" ca="1" si="76"/>
        <v>149633.34</v>
      </c>
      <c r="C448" s="55">
        <f t="shared" ca="1" si="84"/>
        <v>29896.259999999958</v>
      </c>
      <c r="D448" s="55">
        <f t="shared" ca="1" si="84"/>
        <v>520.26000000000079</v>
      </c>
      <c r="E448" s="55">
        <f t="shared" ca="1" si="77"/>
        <v>0</v>
      </c>
      <c r="F448" s="55">
        <f t="shared" ca="1" si="78"/>
        <v>30699.876624590259</v>
      </c>
      <c r="G448" s="101">
        <f t="shared" ca="1" si="79"/>
        <v>210749.73662459021</v>
      </c>
      <c r="H448" s="100">
        <f ca="1">ROUND($B448*VLOOKUP($A448,$A$1:$B$10,2,1)/(365+IF(MOD(YEAR($A448),4),0,1)*($A448-$A447)),2)-Первоначальный[[#This Row],[Проценты на просроченный платеж по ОД за период]]</f>
        <v>78.59</v>
      </c>
      <c r="I448" s="55">
        <f t="shared" ca="1" si="80"/>
        <v>2.99</v>
      </c>
      <c r="J448" s="55">
        <v>0</v>
      </c>
      <c r="K448" s="55">
        <f t="shared" ca="1" si="83"/>
        <v>173.75350327868853</v>
      </c>
      <c r="L448" s="55">
        <v>0</v>
      </c>
      <c r="M448" s="113">
        <f>SUMIFS(График[Возврат основной суммы долга],График[Дата с учетом нерабочих дней],$A448)</f>
        <v>0</v>
      </c>
      <c r="N448" s="56">
        <f>SUMIFS(График[Возврат начисленных %],График[Дата с учетом нерабочих дней],$A448)</f>
        <v>0</v>
      </c>
      <c r="O448" s="101">
        <v>0</v>
      </c>
      <c r="P448" s="100" cm="1">
        <f t="array" aca="1" ref="P448" ca="1">MAX(IF(AA447="Да",0,SUM(INDIRECT("M"&amp;(MAX(("Да"=AA$12:AA447)*ROW(AA$12:AA447)+1,ROW($P$12))&amp;":M"&amp;(ROW()))))-SUM(INDIRECT("W"&amp;(MAX(("Да"=AA$12:AA447)*ROW(AA$12:AA447)+1,ROW($P$12))&amp;":W"&amp;(ROW()))))),0)</f>
        <v>5484.66</v>
      </c>
      <c r="Q448" s="99">
        <f ca="1">MAX(SUM($N$13:N448)-SUM($T$13:T448),0)</f>
        <v>29266.040655737699</v>
      </c>
      <c r="R448" s="99">
        <f ca="1">Первоначальный[[#This Row],[Просроченный платеж по ОД]]+Первоначальный[[#This Row],[Просроченный платеж по процентам]]</f>
        <v>34750.700655737703</v>
      </c>
      <c r="S448" s="120">
        <f ca="1">IF(Первоначальный[[#This Row],[Просроченный платеж]]&lt;1,0,S447+1)</f>
        <v>344</v>
      </c>
      <c r="T448" s="100" cm="1">
        <f t="array" aca="1" ref="T448" ca="1">IF(Первоначальный[[#This Row],[Итого остаток на начало периода]]&lt;1,0,
IF(
AND(TYPE(VLOOKUP(1,$Z$12:Z448,1,0))=16,Первоначальный[[#This Row],[Досрочное погашение (да/"")]]=""),0,
_xlfn.IFS(AND(S447=0,Первоначальный[[#This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платеж]]&lt;&gt;0),MIN(LOOKUP(,-1/($Z$12:Z448=1),$C$12:C448)+LOOKUP(,-1/($Z$12:Z448=1),$H$12:H448),Первоначальный[[#This Row],[Полученный платеж]]+Y447),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платеж]]+Y447,SUM(Первоначальный[[#This Row],[Остаток процентов на начало периода]],Первоначальный[[#This Row],[Проценты за период]])),
AND(S447=0,Первоначальный[[#This Row],[Дата платежа из графика]]=""),0,
AND(S447=0,Первоначальный[[#This Row],[Дата платежа из графика]]=1,MAX((0&lt;&gt;S$12:S447)*ROW(S$12:S447),ROW($S$12))&gt;=MAX((1=Z$12:Z447)*ROW(Z$12:Z447),ROW($T$12)),TYPE(VLOOKUP("Да",(INDIRECT("AA"&amp;(MAX((1=Z$12:Z447)*ROW(Z$12:Z447),ROW($T$12))&amp;":AA"&amp;(ROW()-1)))),1,0))=16),MIN(LOOKUP(,-1/($Z$12:Z448=1),$C$12:C448)+LOOKUP(,-1/($Z$12:Z448=1),$H$12:H448),Первоначальный[[#This Row],[Полученный платеж]]+Y447),
AND(S447=0,TYPE(VLOOKUP("Да",(INDIRECT("AA"&amp;(MAX((1=Z$12:Z447)*ROW(Z$12:Z447),ROW($T$12))&amp;":AA"&amp;(ROW()-1)))),1,0))&lt;&gt;16),MIN(LOOKUP(,-1/($Z$12:Z448=1),$C$12:C448)+LOOKUP(,-1/($Z$12:Z448=1),$H$12:H448)-IF(AA447="Да",0,SUM(INDIRECT("T"&amp;(MAX(("Да"=AA$12:AA447)*ROW(AA$12:AA447)+1,ROW($T$12))&amp;":T"&amp;(ROW()-1))))),Первоначальный[[#This Row],[Полученный платеж]]+Y447),
AND(S447=0,MAX((0&lt;&gt;N$12:N447)*ROW(N$12:N447),ROW($S$12))&gt;=MAX((1=Z$12:Z447)*ROW(Z$12:Z447),ROW($T$12))),MIN(LOOKUP(,-1/($Z$12:Z448=1),$C$12:C448)+LOOKUP(,-1/($Z$12:Z448=1),$H$12:H448)-IF(N447&lt;&gt;0,0,SUM(INDIRECT("T"&amp;(MAX((0&lt;&gt;N$12:N447)*ROW(N$12:N447)+1,ROW($T$12))&amp;":T"&amp;(ROW()-1))))),Первоначальный[[#This Row],[Полученный платеж]]+Y447),
AND(S447=0,Первоначальный[[#This Row],[Дата платежа из графика]]=1),MIN(LOOKUP(,-1/($Z$12:Z448=1),$C$12:C448)+LOOKUP(,-1/($Z$12:Z448=1),$H$12:H448)-IF(Z447=1,0,SUM(INDIRECT("T"&amp;(MAX((1=Z$12:Z447)*ROW(Z$12:Z447)+1,ROW($T$12))&amp;":T"&amp;(ROW()-1))))),Первоначальный[[#This Row],[Полученный платеж]]+Y447),
AND(Z447&gt;0,Первоначальный[[#This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платеж]]+Y447),
AND(S447&gt;0,MAX((0&lt;&gt;S$12:S447)*ROW(S$12:S447),ROW($S$12))&gt;=MAX((1=Z$12:Z447)*ROW(Z$12:Z447),ROW($T$12)),TYPE(VLOOKUP("Да",(INDIRECT("AA"&amp;(MAX((1=Z$12:Z447)*ROW(Z$12:Z447),ROW($T$12))&amp;":AA"&amp;(ROW()-1)))),1,0))=16),MIN(LOOKUP(,-1/($Z$12:Z448=1),$C$12:C448)+LOOKUP(,-1/($Z$12:Z448=1),$H$12:H448)-SUM(INDIRECT("T"&amp;(MAX((1=Z$12:Z447)*ROW(Z$12:Z447),ROW($T$12))&amp;":T"&amp;(ROW()-1)))),Первоначальный[[#This Row],[Полученный платеж]]+Y447),
S447&gt;0,MIN(LOOKUP(,-1/($Z$12:Z448=1),$C$12:C448)+LOOKUP(,-1/($Z$12:Z448=1),$H$12:H448)-IF(Z447=1,0,SUM(INDIRECT("T"&amp;(MAX((1=Z$12:Z447)*ROW(Z$12:Z447)+1,ROW($T$12))&amp;":T"&amp;(ROW()-1))))),Первоначальный[[#This Row],[Полученный платеж]]+Y447)
)
)
)</f>
        <v>0</v>
      </c>
      <c r="U44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платеж]]+Y447-Первоначальный[[#This Row],[Полученный платёж по процентам]])</f>
        <v>0</v>
      </c>
      <c r="V448" s="55">
        <f t="shared" ca="1" si="73"/>
        <v>0</v>
      </c>
      <c r="W448" s="55" cm="1">
        <f t="array" aca="1" ref="W448" ca="1">IF(Первоначальный[[#This Row],[Итого остаток на начало периода]]&lt;1,0,
_xlfn.IFS(
AND(TYPE(VLOOKUP(1,$Z$12:Z448,1,0))=16,Первоначальный[[#This Row],[Досрочное погашение (да/"")]]=""),0,
AND(S447=0,Первоначальный[[#This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платеж]]+Y447-SUM(Первоначальный[[#This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комиссиям]]),VLOOKUP(LOOKUP(,-1/($Z$12:Z448=1),$A$12:A448),График[[Срок конец]:[Возврат основной суммы долга]],3,0)),
AND(S447=0,Первоначальный[[#This Row],[Дата платежа из графика]]="",Первоначальный[[#This Row],[Досрочное погашение (да/"")]]&lt;&gt;"Да"),0,
AND(S447=0,Первоначальный[[#This Row],[Досрочное погашение (да/"")]]=""),MIN(Первоначальный[[#This Row],[Полученный платеж]]+Y447-SUM(Первоначальный[[#This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комиссиям]]),VLOOKUP(LOOKUP(,-1/($Z$12:Z448=1),$A$12:A448),График[[Срок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платеж]]+Y447-SUM(Первоначальный[[#This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S447&gt;0,MIN(Первоначальный[[#This Row],[Полученный платеж]]+Y447-SUM(Первоначальный[[#This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комиссиям]]),SUM(INDIRECT("M"&amp;(MAX((1=S$12:S447)*ROW(S$12:S447),ROW($W$12))&amp;":M"&amp;(ROW()))))-SUM(INDIRECT("W"&amp;(MAX((1=S$12:S447)*ROW(S$12:S447),ROW($W$12))&amp;":W"&amp;(ROW()-1)))))
)
)</f>
        <v>0</v>
      </c>
      <c r="X448" s="55">
        <f t="shared" ca="1" si="74"/>
        <v>0</v>
      </c>
      <c r="Y448" s="101">
        <f t="shared" ca="1" si="81"/>
        <v>0</v>
      </c>
      <c r="Z448" s="133" t="str">
        <f>IF(TYPE((VLOOKUP(Первоначальный[[#This Row],[Дата платежа]],График[Срок конец],1,0)))=16,"",1)</f>
        <v/>
      </c>
      <c r="AA448" s="57"/>
      <c r="AB448" s="134"/>
      <c r="AC44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4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29974.849999999959</v>
      </c>
      <c r="AE44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523.2500000000008</v>
      </c>
      <c r="AF44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4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30873.630127868946</v>
      </c>
      <c r="AH448" s="55"/>
      <c r="AI448" s="55"/>
      <c r="AJ448" s="55"/>
      <c r="AK448" s="101">
        <f t="shared" ca="1" si="82"/>
        <v>211005.07012786888</v>
      </c>
      <c r="AL448" s="129">
        <f t="array" ref="AL448">MAX((УслРестрактов[Характеристика]="Дата реструктуризации")*(УслРестрактов[Значение]=Первоначальный!$A448),0)</f>
        <v>0</v>
      </c>
    </row>
    <row r="449" spans="1:38" x14ac:dyDescent="0.25">
      <c r="A449" s="97">
        <f t="shared" si="75"/>
        <v>44580</v>
      </c>
      <c r="B449" s="100">
        <f t="shared" ca="1" si="76"/>
        <v>149633.34</v>
      </c>
      <c r="C449" s="55">
        <f t="shared" ca="1" si="84"/>
        <v>29974.849999999959</v>
      </c>
      <c r="D449" s="55">
        <f t="shared" ca="1" si="84"/>
        <v>523.2500000000008</v>
      </c>
      <c r="E449" s="55">
        <f t="shared" ca="1" si="77"/>
        <v>0</v>
      </c>
      <c r="F449" s="55">
        <f t="shared" ca="1" si="78"/>
        <v>30873.630127868946</v>
      </c>
      <c r="G449" s="101">
        <f t="shared" ca="1" si="79"/>
        <v>211005.07012786888</v>
      </c>
      <c r="H449" s="100">
        <f ca="1">ROUND($B449*VLOOKUP($A449,$A$1:$B$10,2,1)/(365+IF(MOD(YEAR($A449),4),0,1)*($A449-$A448)),2)-Первоначальный[[#This Row],[Проценты на просроченный платеж по ОД за период]]</f>
        <v>78.59</v>
      </c>
      <c r="I449" s="55">
        <f t="shared" ca="1" si="80"/>
        <v>2.99</v>
      </c>
      <c r="J449" s="55">
        <v>0</v>
      </c>
      <c r="K449" s="55">
        <f t="shared" ca="1" si="83"/>
        <v>173.75350327868853</v>
      </c>
      <c r="L449" s="55">
        <v>0</v>
      </c>
      <c r="M449" s="113">
        <f>SUMIFS(График[Возврат основной суммы долга],График[Дата с учетом нерабочих дней],$A449)</f>
        <v>0</v>
      </c>
      <c r="N449" s="56">
        <f>SUMIFS(График[Возврат начисленных %],График[Дата с учетом нерабочих дней],$A449)</f>
        <v>0</v>
      </c>
      <c r="O449" s="101">
        <v>0</v>
      </c>
      <c r="P449" s="100" cm="1">
        <f t="array" aca="1" ref="P449" ca="1">MAX(IF(AA448="Да",0,SUM(INDIRECT("M"&amp;(MAX(("Да"=AA$12:AA448)*ROW(AA$12:AA448)+1,ROW($P$12))&amp;":M"&amp;(ROW()))))-SUM(INDIRECT("W"&amp;(MAX(("Да"=AA$12:AA448)*ROW(AA$12:AA448)+1,ROW($P$12))&amp;":W"&amp;(ROW()))))),0)</f>
        <v>5484.66</v>
      </c>
      <c r="Q449" s="99">
        <f ca="1">MAX(SUM($N$13:N449)-SUM($T$13:T449),0)</f>
        <v>29266.040655737699</v>
      </c>
      <c r="R449" s="99">
        <f ca="1">Первоначальный[[#This Row],[Просроченный платеж по ОД]]+Первоначальный[[#This Row],[Просроченный платеж по процентам]]</f>
        <v>34750.700655737703</v>
      </c>
      <c r="S449" s="120">
        <f ca="1">IF(Первоначальный[[#This Row],[Просроченный платеж]]&lt;1,0,S448+1)</f>
        <v>345</v>
      </c>
      <c r="T449" s="100" cm="1">
        <f t="array" aca="1" ref="T449" ca="1">IF(Первоначальный[[#This Row],[Итого остаток на начало периода]]&lt;1,0,
IF(
AND(TYPE(VLOOKUP(1,$Z$12:Z449,1,0))=16,Первоначальный[[#This Row],[Досрочное погашение (да/"")]]=""),0,
_xlfn.IFS(AND(S448=0,Первоначальный[[#This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платеж]]&lt;&gt;0),MIN(LOOKUP(,-1/($Z$12:Z449=1),$C$12:C449)+LOOKUP(,-1/($Z$12:Z449=1),$H$12:H449),Первоначальный[[#This Row],[Полученный платеж]]+Y448),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платеж]]+Y448,SUM(Первоначальный[[#This Row],[Остаток процентов на начало периода]],Первоначальный[[#This Row],[Проценты за период]])),
AND(S448=0,Первоначальный[[#This Row],[Дата платежа из графика]]=""),0,
AND(S448=0,Первоначальный[[#This Row],[Дата платежа из графика]]=1,MAX((0&lt;&gt;S$12:S448)*ROW(S$12:S448),ROW($S$12))&gt;=MAX((1=Z$12:Z448)*ROW(Z$12:Z448),ROW($T$12)),TYPE(VLOOKUP("Да",(INDIRECT("AA"&amp;(MAX((1=Z$12:Z448)*ROW(Z$12:Z448),ROW($T$12))&amp;":AA"&amp;(ROW()-1)))),1,0))=16),MIN(LOOKUP(,-1/($Z$12:Z449=1),$C$12:C449)+LOOKUP(,-1/($Z$12:Z449=1),$H$12:H449),Первоначальный[[#This Row],[Полученный платеж]]+Y448),
AND(S448=0,TYPE(VLOOKUP("Да",(INDIRECT("AA"&amp;(MAX((1=Z$12:Z448)*ROW(Z$12:Z448),ROW($T$12))&amp;":AA"&amp;(ROW()-1)))),1,0))&lt;&gt;16),MIN(LOOKUP(,-1/($Z$12:Z449=1),$C$12:C449)+LOOKUP(,-1/($Z$12:Z449=1),$H$12:H449)-IF(AA448="Да",0,SUM(INDIRECT("T"&amp;(MAX(("Да"=AA$12:AA448)*ROW(AA$12:AA448)+1,ROW($T$12))&amp;":T"&amp;(ROW()-1))))),Первоначальный[[#This Row],[Полученный платеж]]+Y448),
AND(S448=0,MAX((0&lt;&gt;N$12:N448)*ROW(N$12:N448),ROW($S$12))&gt;=MAX((1=Z$12:Z448)*ROW(Z$12:Z448),ROW($T$12))),MIN(LOOKUP(,-1/($Z$12:Z449=1),$C$12:C449)+LOOKUP(,-1/($Z$12:Z449=1),$H$12:H449)-IF(N448&lt;&gt;0,0,SUM(INDIRECT("T"&amp;(MAX((0&lt;&gt;N$12:N448)*ROW(N$12:N448)+1,ROW($T$12))&amp;":T"&amp;(ROW()-1))))),Первоначальный[[#This Row],[Полученный платеж]]+Y448),
AND(S448=0,Первоначальный[[#This Row],[Дата платежа из графика]]=1),MIN(LOOKUP(,-1/($Z$12:Z449=1),$C$12:C449)+LOOKUP(,-1/($Z$12:Z449=1),$H$12:H449)-IF(Z448=1,0,SUM(INDIRECT("T"&amp;(MAX((1=Z$12:Z448)*ROW(Z$12:Z448)+1,ROW($T$12))&amp;":T"&amp;(ROW()-1))))),Первоначальный[[#This Row],[Полученный платеж]]+Y448),
AND(Z448&gt;0,Первоначальный[[#This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платеж]]+Y448),
AND(S448&gt;0,MAX((0&lt;&gt;S$12:S448)*ROW(S$12:S448),ROW($S$12))&gt;=MAX((1=Z$12:Z448)*ROW(Z$12:Z448),ROW($T$12)),TYPE(VLOOKUP("Да",(INDIRECT("AA"&amp;(MAX((1=Z$12:Z448)*ROW(Z$12:Z448),ROW($T$12))&amp;":AA"&amp;(ROW()-1)))),1,0))=16),MIN(LOOKUP(,-1/($Z$12:Z449=1),$C$12:C449)+LOOKUP(,-1/($Z$12:Z449=1),$H$12:H449)-SUM(INDIRECT("T"&amp;(MAX((1=Z$12:Z448)*ROW(Z$12:Z448),ROW($T$12))&amp;":T"&amp;(ROW()-1)))),Первоначальный[[#This Row],[Полученный платеж]]+Y448),
S448&gt;0,MIN(LOOKUP(,-1/($Z$12:Z449=1),$C$12:C449)+LOOKUP(,-1/($Z$12:Z449=1),$H$12:H449)-IF(Z448=1,0,SUM(INDIRECT("T"&amp;(MAX((1=Z$12:Z448)*ROW(Z$12:Z448)+1,ROW($T$12))&amp;":T"&amp;(ROW()-1))))),Первоначальный[[#This Row],[Полученный платеж]]+Y448)
)
)
)</f>
        <v>0</v>
      </c>
      <c r="U44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платеж]]+Y448-Первоначальный[[#This Row],[Полученный платёж по процентам]])</f>
        <v>0</v>
      </c>
      <c r="V449" s="55">
        <f t="shared" ca="1" si="73"/>
        <v>0</v>
      </c>
      <c r="W449" s="55" cm="1">
        <f t="array" aca="1" ref="W449" ca="1">IF(Первоначальный[[#This Row],[Итого остаток на начало периода]]&lt;1,0,
_xlfn.IFS(
AND(TYPE(VLOOKUP(1,$Z$12:Z449,1,0))=16,Первоначальный[[#This Row],[Досрочное погашение (да/"")]]=""),0,
AND(S448=0,Первоначальный[[#This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платеж]]+Y448-SUM(Первоначальный[[#This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комиссиям]]),VLOOKUP(LOOKUP(,-1/($Z$12:Z449=1),$A$12:A449),График[[Срок конец]:[Возврат основной суммы долга]],3,0)),
AND(S448=0,Первоначальный[[#This Row],[Дата платежа из графика]]="",Первоначальный[[#This Row],[Досрочное погашение (да/"")]]&lt;&gt;"Да"),0,
AND(S448=0,Первоначальный[[#This Row],[Досрочное погашение (да/"")]]=""),MIN(Первоначальный[[#This Row],[Полученный платеж]]+Y448-SUM(Первоначальный[[#This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комиссиям]]),VLOOKUP(LOOKUP(,-1/($Z$12:Z449=1),$A$12:A449),График[[Срок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платеж]]+Y448-SUM(Первоначальный[[#This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S448&gt;0,MIN(Первоначальный[[#This Row],[Полученный платеж]]+Y448-SUM(Первоначальный[[#This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комиссиям]]),SUM(INDIRECT("M"&amp;(MAX((1=S$12:S448)*ROW(S$12:S448),ROW($W$12))&amp;":M"&amp;(ROW()))))-SUM(INDIRECT("W"&amp;(MAX((1=S$12:S448)*ROW(S$12:S448),ROW($W$12))&amp;":W"&amp;(ROW()-1)))))
)
)</f>
        <v>0</v>
      </c>
      <c r="X449" s="55">
        <f t="shared" ca="1" si="74"/>
        <v>0</v>
      </c>
      <c r="Y449" s="101">
        <f t="shared" ca="1" si="81"/>
        <v>0</v>
      </c>
      <c r="Z449" s="133" t="str">
        <f>IF(TYPE((VLOOKUP(Первоначальный[[#This Row],[Дата платежа]],График[Срок конец],1,0)))=16,"",1)</f>
        <v/>
      </c>
      <c r="AA449" s="57"/>
      <c r="AB449" s="134"/>
      <c r="AC44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4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30053.439999999959</v>
      </c>
      <c r="AE44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526.2400000000008</v>
      </c>
      <c r="AF44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4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31047.383631147633</v>
      </c>
      <c r="AH449" s="55"/>
      <c r="AI449" s="55"/>
      <c r="AJ449" s="55"/>
      <c r="AK449" s="101">
        <f t="shared" ca="1" si="82"/>
        <v>211260.40363114758</v>
      </c>
      <c r="AL449" s="129">
        <f t="array" ref="AL449">MAX((УслРестрактов[Характеристика]="Дата реструктуризации")*(УслРестрактов[Значение]=Первоначальный!$A449),0)</f>
        <v>0</v>
      </c>
    </row>
    <row r="450" spans="1:38" x14ac:dyDescent="0.25">
      <c r="A450" s="97">
        <f t="shared" si="75"/>
        <v>44581</v>
      </c>
      <c r="B450" s="100">
        <f t="shared" ca="1" si="76"/>
        <v>149633.34</v>
      </c>
      <c r="C450" s="55">
        <f t="shared" ca="1" si="84"/>
        <v>30053.439999999959</v>
      </c>
      <c r="D450" s="55">
        <f t="shared" ca="1" si="84"/>
        <v>526.2400000000008</v>
      </c>
      <c r="E450" s="55">
        <f t="shared" ca="1" si="77"/>
        <v>0</v>
      </c>
      <c r="F450" s="55">
        <f t="shared" ca="1" si="78"/>
        <v>31047.383631147633</v>
      </c>
      <c r="G450" s="101">
        <f t="shared" ca="1" si="79"/>
        <v>211260.40363114758</v>
      </c>
      <c r="H450" s="100">
        <f ca="1">ROUND($B450*VLOOKUP($A450,$A$1:$B$10,2,1)/(365+IF(MOD(YEAR($A450),4),0,1)*($A450-$A449)),2)-Первоначальный[[#This Row],[Проценты на просроченный платеж по ОД за период]]</f>
        <v>78.59</v>
      </c>
      <c r="I450" s="55">
        <f t="shared" ca="1" si="80"/>
        <v>2.99</v>
      </c>
      <c r="J450" s="55">
        <v>0</v>
      </c>
      <c r="K450" s="55">
        <f t="shared" ca="1" si="83"/>
        <v>173.75350327868853</v>
      </c>
      <c r="L450" s="55">
        <v>0</v>
      </c>
      <c r="M450" s="113">
        <f>SUMIFS(График[Возврат основной суммы долга],График[Дата с учетом нерабочих дней],$A450)</f>
        <v>0</v>
      </c>
      <c r="N450" s="56">
        <f>SUMIFS(График[Возврат начисленных %],График[Дата с учетом нерабочих дней],$A450)</f>
        <v>0</v>
      </c>
      <c r="O450" s="101">
        <v>0</v>
      </c>
      <c r="P450" s="100" cm="1">
        <f t="array" aca="1" ref="P450" ca="1">MAX(IF(AA449="Да",0,SUM(INDIRECT("M"&amp;(MAX(("Да"=AA$12:AA449)*ROW(AA$12:AA449)+1,ROW($P$12))&amp;":M"&amp;(ROW()))))-SUM(INDIRECT("W"&amp;(MAX(("Да"=AA$12:AA449)*ROW(AA$12:AA449)+1,ROW($P$12))&amp;":W"&amp;(ROW()))))),0)</f>
        <v>5484.66</v>
      </c>
      <c r="Q450" s="99">
        <f ca="1">MAX(SUM($N$13:N450)-SUM($T$13:T450),0)</f>
        <v>29266.040655737699</v>
      </c>
      <c r="R450" s="99">
        <f ca="1">Первоначальный[[#This Row],[Просроченный платеж по ОД]]+Первоначальный[[#This Row],[Просроченный платеж по процентам]]</f>
        <v>34750.700655737703</v>
      </c>
      <c r="S450" s="120">
        <f ca="1">IF(Первоначальный[[#This Row],[Просроченный платеж]]&lt;1,0,S449+1)</f>
        <v>346</v>
      </c>
      <c r="T450" s="100" cm="1">
        <f t="array" aca="1" ref="T450" ca="1">IF(Первоначальный[[#This Row],[Итого остаток на начало периода]]&lt;1,0,
IF(
AND(TYPE(VLOOKUP(1,$Z$12:Z450,1,0))=16,Первоначальный[[#This Row],[Досрочное погашение (да/"")]]=""),0,
_xlfn.IFS(AND(S449=0,Первоначальный[[#This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платеж]]&lt;&gt;0),MIN(LOOKUP(,-1/($Z$12:Z450=1),$C$12:C450)+LOOKUP(,-1/($Z$12:Z450=1),$H$12:H450),Первоначальный[[#This Row],[Полученный платеж]]+Y449),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платеж]]+Y449,SUM(Первоначальный[[#This Row],[Остаток процентов на начало периода]],Первоначальный[[#This Row],[Проценты за период]])),
AND(S449=0,Первоначальный[[#This Row],[Дата платежа из графика]]=""),0,
AND(S449=0,Первоначальный[[#This Row],[Дата платежа из графика]]=1,MAX((0&lt;&gt;S$12:S449)*ROW(S$12:S449),ROW($S$12))&gt;=MAX((1=Z$12:Z449)*ROW(Z$12:Z449),ROW($T$12)),TYPE(VLOOKUP("Да",(INDIRECT("AA"&amp;(MAX((1=Z$12:Z449)*ROW(Z$12:Z449),ROW($T$12))&amp;":AA"&amp;(ROW()-1)))),1,0))=16),MIN(LOOKUP(,-1/($Z$12:Z450=1),$C$12:C450)+LOOKUP(,-1/($Z$12:Z450=1),$H$12:H450),Первоначальный[[#This Row],[Полученный платеж]]+Y449),
AND(S449=0,TYPE(VLOOKUP("Да",(INDIRECT("AA"&amp;(MAX((1=Z$12:Z449)*ROW(Z$12:Z449),ROW($T$12))&amp;":AA"&amp;(ROW()-1)))),1,0))&lt;&gt;16),MIN(LOOKUP(,-1/($Z$12:Z450=1),$C$12:C450)+LOOKUP(,-1/($Z$12:Z450=1),$H$12:H450)-IF(AA449="Да",0,SUM(INDIRECT("T"&amp;(MAX(("Да"=AA$12:AA449)*ROW(AA$12:AA449)+1,ROW($T$12))&amp;":T"&amp;(ROW()-1))))),Первоначальный[[#This Row],[Полученный платеж]]+Y449),
AND(S449=0,MAX((0&lt;&gt;N$12:N449)*ROW(N$12:N449),ROW($S$12))&gt;=MAX((1=Z$12:Z449)*ROW(Z$12:Z449),ROW($T$12))),MIN(LOOKUP(,-1/($Z$12:Z450=1),$C$12:C450)+LOOKUP(,-1/($Z$12:Z450=1),$H$12:H450)-IF(N449&lt;&gt;0,0,SUM(INDIRECT("T"&amp;(MAX((0&lt;&gt;N$12:N449)*ROW(N$12:N449)+1,ROW($T$12))&amp;":T"&amp;(ROW()-1))))),Первоначальный[[#This Row],[Полученный платеж]]+Y449),
AND(S449=0,Первоначальный[[#This Row],[Дата платежа из графика]]=1),MIN(LOOKUP(,-1/($Z$12:Z450=1),$C$12:C450)+LOOKUP(,-1/($Z$12:Z450=1),$H$12:H450)-IF(Z449=1,0,SUM(INDIRECT("T"&amp;(MAX((1=Z$12:Z449)*ROW(Z$12:Z449)+1,ROW($T$12))&amp;":T"&amp;(ROW()-1))))),Первоначальный[[#This Row],[Полученный платеж]]+Y449),
AND(Z449&gt;0,Первоначальный[[#This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платеж]]+Y449),
AND(S449&gt;0,MAX((0&lt;&gt;S$12:S449)*ROW(S$12:S449),ROW($S$12))&gt;=MAX((1=Z$12:Z449)*ROW(Z$12:Z449),ROW($T$12)),TYPE(VLOOKUP("Да",(INDIRECT("AA"&amp;(MAX((1=Z$12:Z449)*ROW(Z$12:Z449),ROW($T$12))&amp;":AA"&amp;(ROW()-1)))),1,0))=16),MIN(LOOKUP(,-1/($Z$12:Z450=1),$C$12:C450)+LOOKUP(,-1/($Z$12:Z450=1),$H$12:H450)-SUM(INDIRECT("T"&amp;(MAX((1=Z$12:Z449)*ROW(Z$12:Z449),ROW($T$12))&amp;":T"&amp;(ROW()-1)))),Первоначальный[[#This Row],[Полученный платеж]]+Y449),
S449&gt;0,MIN(LOOKUP(,-1/($Z$12:Z450=1),$C$12:C450)+LOOKUP(,-1/($Z$12:Z450=1),$H$12:H450)-IF(Z449=1,0,SUM(INDIRECT("T"&amp;(MAX((1=Z$12:Z449)*ROW(Z$12:Z449)+1,ROW($T$12))&amp;":T"&amp;(ROW()-1))))),Первоначальный[[#This Row],[Полученный платеж]]+Y449)
)
)
)</f>
        <v>0</v>
      </c>
      <c r="U45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платеж]]+Y449-Первоначальный[[#This Row],[Полученный платёж по процентам]])</f>
        <v>0</v>
      </c>
      <c r="V450" s="55">
        <f t="shared" ca="1" si="73"/>
        <v>0</v>
      </c>
      <c r="W450" s="55" cm="1">
        <f t="array" aca="1" ref="W450" ca="1">IF(Первоначальный[[#This Row],[Итого остаток на начало периода]]&lt;1,0,
_xlfn.IFS(
AND(TYPE(VLOOKUP(1,$Z$12:Z450,1,0))=16,Первоначальный[[#This Row],[Досрочное погашение (да/"")]]=""),0,
AND(S449=0,Первоначальный[[#This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платеж]]+Y449-SUM(Первоначальный[[#This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комиссиям]]),VLOOKUP(LOOKUP(,-1/($Z$12:Z450=1),$A$12:A450),График[[Срок конец]:[Возврат основной суммы долга]],3,0)),
AND(S449=0,Первоначальный[[#This Row],[Дата платежа из графика]]="",Первоначальный[[#This Row],[Досрочное погашение (да/"")]]&lt;&gt;"Да"),0,
AND(S449=0,Первоначальный[[#This Row],[Досрочное погашение (да/"")]]=""),MIN(Первоначальный[[#This Row],[Полученный платеж]]+Y449-SUM(Первоначальный[[#This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комиссиям]]),VLOOKUP(LOOKUP(,-1/($Z$12:Z450=1),$A$12:A450),График[[Срок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платеж]]+Y449-SUM(Первоначальный[[#This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S449&gt;0,MIN(Первоначальный[[#This Row],[Полученный платеж]]+Y449-SUM(Первоначальный[[#This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комиссиям]]),SUM(INDIRECT("M"&amp;(MAX((1=S$12:S449)*ROW(S$12:S449),ROW($W$12))&amp;":M"&amp;(ROW()))))-SUM(INDIRECT("W"&amp;(MAX((1=S$12:S449)*ROW(S$12:S449),ROW($W$12))&amp;":W"&amp;(ROW()-1)))))
)
)</f>
        <v>0</v>
      </c>
      <c r="X450" s="55">
        <f t="shared" ca="1" si="74"/>
        <v>0</v>
      </c>
      <c r="Y450" s="101">
        <f t="shared" ca="1" si="81"/>
        <v>0</v>
      </c>
      <c r="Z450" s="133" t="str">
        <f>IF(TYPE((VLOOKUP(Первоначальный[[#This Row],[Дата платежа]],График[Срок конец],1,0)))=16,"",1)</f>
        <v/>
      </c>
      <c r="AA450" s="57"/>
      <c r="AB450" s="134"/>
      <c r="AC45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5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30132.029999999959</v>
      </c>
      <c r="AE45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529.23000000000081</v>
      </c>
      <c r="AF45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5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31221.137134426321</v>
      </c>
      <c r="AH450" s="55"/>
      <c r="AI450" s="55"/>
      <c r="AJ450" s="55"/>
      <c r="AK450" s="101">
        <f t="shared" ca="1" si="82"/>
        <v>211515.73713442631</v>
      </c>
      <c r="AL450" s="129">
        <f t="array" ref="AL450">MAX((УслРестрактов[Характеристика]="Дата реструктуризации")*(УслРестрактов[Значение]=Первоначальный!$A450),0)</f>
        <v>0</v>
      </c>
    </row>
    <row r="451" spans="1:38" x14ac:dyDescent="0.25">
      <c r="A451" s="97">
        <f t="shared" si="75"/>
        <v>44582</v>
      </c>
      <c r="B451" s="100">
        <f t="shared" ca="1" si="76"/>
        <v>149633.34</v>
      </c>
      <c r="C451" s="55">
        <f t="shared" ca="1" si="84"/>
        <v>30132.029999999959</v>
      </c>
      <c r="D451" s="55">
        <f t="shared" ca="1" si="84"/>
        <v>529.23000000000081</v>
      </c>
      <c r="E451" s="55">
        <f t="shared" ca="1" si="77"/>
        <v>0</v>
      </c>
      <c r="F451" s="55">
        <f t="shared" ca="1" si="78"/>
        <v>31221.137134426321</v>
      </c>
      <c r="G451" s="101">
        <f t="shared" ca="1" si="79"/>
        <v>211515.73713442631</v>
      </c>
      <c r="H451" s="100">
        <f ca="1">ROUND($B451*VLOOKUP($A451,$A$1:$B$10,2,1)/(365+IF(MOD(YEAR($A451),4),0,1)*($A451-$A450)),2)-Первоначальный[[#This Row],[Проценты на просроченный платеж по ОД за период]]</f>
        <v>78.59</v>
      </c>
      <c r="I451" s="55">
        <f t="shared" ca="1" si="80"/>
        <v>2.99</v>
      </c>
      <c r="J451" s="55">
        <v>0</v>
      </c>
      <c r="K451" s="55">
        <f t="shared" ca="1" si="83"/>
        <v>173.75350327868853</v>
      </c>
      <c r="L451" s="55">
        <v>0</v>
      </c>
      <c r="M451" s="113">
        <f>SUMIFS(График[Возврат основной суммы долга],График[Дата с учетом нерабочих дней],$A451)</f>
        <v>0</v>
      </c>
      <c r="N451" s="56">
        <f>SUMIFS(График[Возврат начисленных %],График[Дата с учетом нерабочих дней],$A451)</f>
        <v>0</v>
      </c>
      <c r="O451" s="101">
        <v>0</v>
      </c>
      <c r="P451" s="100" cm="1">
        <f t="array" aca="1" ref="P451" ca="1">MAX(IF(AA450="Да",0,SUM(INDIRECT("M"&amp;(MAX(("Да"=AA$12:AA450)*ROW(AA$12:AA450)+1,ROW($P$12))&amp;":M"&amp;(ROW()))))-SUM(INDIRECT("W"&amp;(MAX(("Да"=AA$12:AA450)*ROW(AA$12:AA450)+1,ROW($P$12))&amp;":W"&amp;(ROW()))))),0)</f>
        <v>5484.66</v>
      </c>
      <c r="Q451" s="99">
        <f ca="1">MAX(SUM($N$13:N451)-SUM($T$13:T451),0)</f>
        <v>29266.040655737699</v>
      </c>
      <c r="R451" s="99">
        <f ca="1">Первоначальный[[#This Row],[Просроченный платеж по ОД]]+Первоначальный[[#This Row],[Просроченный платеж по процентам]]</f>
        <v>34750.700655737703</v>
      </c>
      <c r="S451" s="120">
        <f ca="1">IF(Первоначальный[[#This Row],[Просроченный платеж]]&lt;1,0,S450+1)</f>
        <v>347</v>
      </c>
      <c r="T451" s="100" cm="1">
        <f t="array" aca="1" ref="T451" ca="1">IF(Первоначальный[[#This Row],[Итого остаток на начало периода]]&lt;1,0,
IF(
AND(TYPE(VLOOKUP(1,$Z$12:Z451,1,0))=16,Первоначальный[[#This Row],[Досрочное погашение (да/"")]]=""),0,
_xlfn.IFS(AND(S450=0,Первоначальный[[#This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платеж]]&lt;&gt;0),MIN(LOOKUP(,-1/($Z$12:Z451=1),$C$12:C451)+LOOKUP(,-1/($Z$12:Z451=1),$H$12:H451),Первоначальный[[#This Row],[Полученный платеж]]+Y450),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платеж]]+Y450,SUM(Первоначальный[[#This Row],[Остаток процентов на начало периода]],Первоначальный[[#This Row],[Проценты за период]])),
AND(S450=0,Первоначальный[[#This Row],[Дата платежа из графика]]=""),0,
AND(S450=0,Первоначальный[[#This Row],[Дата платежа из графика]]=1,MAX((0&lt;&gt;S$12:S450)*ROW(S$12:S450),ROW($S$12))&gt;=MAX((1=Z$12:Z450)*ROW(Z$12:Z450),ROW($T$12)),TYPE(VLOOKUP("Да",(INDIRECT("AA"&amp;(MAX((1=Z$12:Z450)*ROW(Z$12:Z450),ROW($T$12))&amp;":AA"&amp;(ROW()-1)))),1,0))=16),MIN(LOOKUP(,-1/($Z$12:Z451=1),$C$12:C451)+LOOKUP(,-1/($Z$12:Z451=1),$H$12:H451),Первоначальный[[#This Row],[Полученный платеж]]+Y450),
AND(S450=0,TYPE(VLOOKUP("Да",(INDIRECT("AA"&amp;(MAX((1=Z$12:Z450)*ROW(Z$12:Z450),ROW($T$12))&amp;":AA"&amp;(ROW()-1)))),1,0))&lt;&gt;16),MIN(LOOKUP(,-1/($Z$12:Z451=1),$C$12:C451)+LOOKUP(,-1/($Z$12:Z451=1),$H$12:H451)-IF(AA450="Да",0,SUM(INDIRECT("T"&amp;(MAX(("Да"=AA$12:AA450)*ROW(AA$12:AA450)+1,ROW($T$12))&amp;":T"&amp;(ROW()-1))))),Первоначальный[[#This Row],[Полученный платеж]]+Y450),
AND(S450=0,MAX((0&lt;&gt;N$12:N450)*ROW(N$12:N450),ROW($S$12))&gt;=MAX((1=Z$12:Z450)*ROW(Z$12:Z450),ROW($T$12))),MIN(LOOKUP(,-1/($Z$12:Z451=1),$C$12:C451)+LOOKUP(,-1/($Z$12:Z451=1),$H$12:H451)-IF(N450&lt;&gt;0,0,SUM(INDIRECT("T"&amp;(MAX((0&lt;&gt;N$12:N450)*ROW(N$12:N450)+1,ROW($T$12))&amp;":T"&amp;(ROW()-1))))),Первоначальный[[#This Row],[Полученный платеж]]+Y450),
AND(S450=0,Первоначальный[[#This Row],[Дата платежа из графика]]=1),MIN(LOOKUP(,-1/($Z$12:Z451=1),$C$12:C451)+LOOKUP(,-1/($Z$12:Z451=1),$H$12:H451)-IF(Z450=1,0,SUM(INDIRECT("T"&amp;(MAX((1=Z$12:Z450)*ROW(Z$12:Z450)+1,ROW($T$12))&amp;":T"&amp;(ROW()-1))))),Первоначальный[[#This Row],[Полученный платеж]]+Y450),
AND(Z450&gt;0,Первоначальный[[#This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платеж]]+Y450),
AND(S450&gt;0,MAX((0&lt;&gt;S$12:S450)*ROW(S$12:S450),ROW($S$12))&gt;=MAX((1=Z$12:Z450)*ROW(Z$12:Z450),ROW($T$12)),TYPE(VLOOKUP("Да",(INDIRECT("AA"&amp;(MAX((1=Z$12:Z450)*ROW(Z$12:Z450),ROW($T$12))&amp;":AA"&amp;(ROW()-1)))),1,0))=16),MIN(LOOKUP(,-1/($Z$12:Z451=1),$C$12:C451)+LOOKUP(,-1/($Z$12:Z451=1),$H$12:H451)-SUM(INDIRECT("T"&amp;(MAX((1=Z$12:Z450)*ROW(Z$12:Z450),ROW($T$12))&amp;":T"&amp;(ROW()-1)))),Первоначальный[[#This Row],[Полученный платеж]]+Y450),
S450&gt;0,MIN(LOOKUP(,-1/($Z$12:Z451=1),$C$12:C451)+LOOKUP(,-1/($Z$12:Z451=1),$H$12:H451)-IF(Z450=1,0,SUM(INDIRECT("T"&amp;(MAX((1=Z$12:Z450)*ROW(Z$12:Z450)+1,ROW($T$12))&amp;":T"&amp;(ROW()-1))))),Первоначальный[[#This Row],[Полученный платеж]]+Y450)
)
)
)</f>
        <v>0</v>
      </c>
      <c r="U45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платеж]]+Y450-Первоначальный[[#This Row],[Полученный платёж по процентам]])</f>
        <v>0</v>
      </c>
      <c r="V451" s="55">
        <f t="shared" ca="1" si="73"/>
        <v>0</v>
      </c>
      <c r="W451" s="55" cm="1">
        <f t="array" aca="1" ref="W451" ca="1">IF(Первоначальный[[#This Row],[Итого остаток на начало периода]]&lt;1,0,
_xlfn.IFS(
AND(TYPE(VLOOKUP(1,$Z$12:Z451,1,0))=16,Первоначальный[[#This Row],[Досрочное погашение (да/"")]]=""),0,
AND(S450=0,Первоначальный[[#This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платеж]]+Y450-SUM(Первоначальный[[#This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комиссиям]]),VLOOKUP(LOOKUP(,-1/($Z$12:Z451=1),$A$12:A451),График[[Срок конец]:[Возврат основной суммы долга]],3,0)),
AND(S450=0,Первоначальный[[#This Row],[Дата платежа из графика]]="",Первоначальный[[#This Row],[Досрочное погашение (да/"")]]&lt;&gt;"Да"),0,
AND(S450=0,Первоначальный[[#This Row],[Досрочное погашение (да/"")]]=""),MIN(Первоначальный[[#This Row],[Полученный платеж]]+Y450-SUM(Первоначальный[[#This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комиссиям]]),VLOOKUP(LOOKUP(,-1/($Z$12:Z451=1),$A$12:A451),График[[Срок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платеж]]+Y450-SUM(Первоначальный[[#This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S450&gt;0,MIN(Первоначальный[[#This Row],[Полученный платеж]]+Y450-SUM(Первоначальный[[#This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комиссиям]]),SUM(INDIRECT("M"&amp;(MAX((1=S$12:S450)*ROW(S$12:S450),ROW($W$12))&amp;":M"&amp;(ROW()))))-SUM(INDIRECT("W"&amp;(MAX((1=S$12:S450)*ROW(S$12:S450),ROW($W$12))&amp;":W"&amp;(ROW()-1)))))
)
)</f>
        <v>0</v>
      </c>
      <c r="X451" s="55">
        <f t="shared" ca="1" si="74"/>
        <v>0</v>
      </c>
      <c r="Y451" s="101">
        <f t="shared" ca="1" si="81"/>
        <v>0</v>
      </c>
      <c r="Z451" s="133" t="str">
        <f>IF(TYPE((VLOOKUP(Первоначальный[[#This Row],[Дата платежа]],График[Срок конец],1,0)))=16,"",1)</f>
        <v/>
      </c>
      <c r="AA451" s="57"/>
      <c r="AB451" s="134"/>
      <c r="AC45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5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30210.619999999959</v>
      </c>
      <c r="AE45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532.22000000000082</v>
      </c>
      <c r="AF45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5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31394.890637705008</v>
      </c>
      <c r="AH451" s="55"/>
      <c r="AI451" s="55"/>
      <c r="AJ451" s="55"/>
      <c r="AK451" s="101">
        <f t="shared" ca="1" si="82"/>
        <v>211771.07063770498</v>
      </c>
      <c r="AL451" s="129">
        <f t="array" ref="AL451">MAX((УслРестрактов[Характеристика]="Дата реструктуризации")*(УслРестрактов[Значение]=Первоначальный!$A451),0)</f>
        <v>0</v>
      </c>
    </row>
    <row r="452" spans="1:38" x14ac:dyDescent="0.25">
      <c r="A452" s="97">
        <f t="shared" si="75"/>
        <v>44583</v>
      </c>
      <c r="B452" s="100">
        <f t="shared" ca="1" si="76"/>
        <v>149633.34</v>
      </c>
      <c r="C452" s="55">
        <f t="shared" ca="1" si="84"/>
        <v>30210.619999999959</v>
      </c>
      <c r="D452" s="55">
        <f t="shared" ca="1" si="84"/>
        <v>532.22000000000082</v>
      </c>
      <c r="E452" s="55">
        <f t="shared" ca="1" si="77"/>
        <v>0</v>
      </c>
      <c r="F452" s="55">
        <f t="shared" ca="1" si="78"/>
        <v>31394.890637705008</v>
      </c>
      <c r="G452" s="101">
        <f t="shared" ca="1" si="79"/>
        <v>211771.07063770498</v>
      </c>
      <c r="H452" s="100">
        <f ca="1">ROUND($B452*VLOOKUP($A452,$A$1:$B$10,2,1)/(365+IF(MOD(YEAR($A452),4),0,1)*($A452-$A451)),2)-Первоначальный[[#This Row],[Проценты на просроченный платеж по ОД за период]]</f>
        <v>78.59</v>
      </c>
      <c r="I452" s="55">
        <f t="shared" ca="1" si="80"/>
        <v>2.99</v>
      </c>
      <c r="J452" s="55">
        <v>0</v>
      </c>
      <c r="K452" s="55">
        <f t="shared" ca="1" si="83"/>
        <v>173.75350327868853</v>
      </c>
      <c r="L452" s="55">
        <v>0</v>
      </c>
      <c r="M452" s="113">
        <f>SUMIFS(График[Возврат основной суммы долга],График[Дата с учетом нерабочих дней],$A452)</f>
        <v>0</v>
      </c>
      <c r="N452" s="56">
        <f>SUMIFS(График[Возврат начисленных %],График[Дата с учетом нерабочих дней],$A452)</f>
        <v>0</v>
      </c>
      <c r="O452" s="101">
        <v>0</v>
      </c>
      <c r="P452" s="100" cm="1">
        <f t="array" aca="1" ref="P452" ca="1">MAX(IF(AA451="Да",0,SUM(INDIRECT("M"&amp;(MAX(("Да"=AA$12:AA451)*ROW(AA$12:AA451)+1,ROW($P$12))&amp;":M"&amp;(ROW()))))-SUM(INDIRECT("W"&amp;(MAX(("Да"=AA$12:AA451)*ROW(AA$12:AA451)+1,ROW($P$12))&amp;":W"&amp;(ROW()))))),0)</f>
        <v>5484.66</v>
      </c>
      <c r="Q452" s="99">
        <f ca="1">MAX(SUM($N$13:N452)-SUM($T$13:T452),0)</f>
        <v>29266.040655737699</v>
      </c>
      <c r="R452" s="99">
        <f ca="1">Первоначальный[[#This Row],[Просроченный платеж по ОД]]+Первоначальный[[#This Row],[Просроченный платеж по процентам]]</f>
        <v>34750.700655737703</v>
      </c>
      <c r="S452" s="120">
        <f ca="1">IF(Первоначальный[[#This Row],[Просроченный платеж]]&lt;1,0,S451+1)</f>
        <v>348</v>
      </c>
      <c r="T452" s="100" cm="1">
        <f t="array" aca="1" ref="T452" ca="1">IF(Первоначальный[[#This Row],[Итого остаток на начало периода]]&lt;1,0,
IF(
AND(TYPE(VLOOKUP(1,$Z$12:Z452,1,0))=16,Первоначальный[[#This Row],[Досрочное погашение (да/"")]]=""),0,
_xlfn.IFS(AND(S451=0,Первоначальный[[#This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платеж]]&lt;&gt;0),MIN(LOOKUP(,-1/($Z$12:Z452=1),$C$12:C452)+LOOKUP(,-1/($Z$12:Z452=1),$H$12:H452),Первоначальный[[#This Row],[Полученный платеж]]+Y451),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платеж]]+Y451,SUM(Первоначальный[[#This Row],[Остаток процентов на начало периода]],Первоначальный[[#This Row],[Проценты за период]])),
AND(S451=0,Первоначальный[[#This Row],[Дата платежа из графика]]=""),0,
AND(S451=0,Первоначальный[[#This Row],[Дата платежа из графика]]=1,MAX((0&lt;&gt;S$12:S451)*ROW(S$12:S451),ROW($S$12))&gt;=MAX((1=Z$12:Z451)*ROW(Z$12:Z451),ROW($T$12)),TYPE(VLOOKUP("Да",(INDIRECT("AA"&amp;(MAX((1=Z$12:Z451)*ROW(Z$12:Z451),ROW($T$12))&amp;":AA"&amp;(ROW()-1)))),1,0))=16),MIN(LOOKUP(,-1/($Z$12:Z452=1),$C$12:C452)+LOOKUP(,-1/($Z$12:Z452=1),$H$12:H452),Первоначальный[[#This Row],[Полученный платеж]]+Y451),
AND(S451=0,TYPE(VLOOKUP("Да",(INDIRECT("AA"&amp;(MAX((1=Z$12:Z451)*ROW(Z$12:Z451),ROW($T$12))&amp;":AA"&amp;(ROW()-1)))),1,0))&lt;&gt;16),MIN(LOOKUP(,-1/($Z$12:Z452=1),$C$12:C452)+LOOKUP(,-1/($Z$12:Z452=1),$H$12:H452)-IF(AA451="Да",0,SUM(INDIRECT("T"&amp;(MAX(("Да"=AA$12:AA451)*ROW(AA$12:AA451)+1,ROW($T$12))&amp;":T"&amp;(ROW()-1))))),Первоначальный[[#This Row],[Полученный платеж]]+Y451),
AND(S451=0,MAX((0&lt;&gt;N$12:N451)*ROW(N$12:N451),ROW($S$12))&gt;=MAX((1=Z$12:Z451)*ROW(Z$12:Z451),ROW($T$12))),MIN(LOOKUP(,-1/($Z$12:Z452=1),$C$12:C452)+LOOKUP(,-1/($Z$12:Z452=1),$H$12:H452)-IF(N451&lt;&gt;0,0,SUM(INDIRECT("T"&amp;(MAX((0&lt;&gt;N$12:N451)*ROW(N$12:N451)+1,ROW($T$12))&amp;":T"&amp;(ROW()-1))))),Первоначальный[[#This Row],[Полученный платеж]]+Y451),
AND(S451=0,Первоначальный[[#This Row],[Дата платежа из графика]]=1),MIN(LOOKUP(,-1/($Z$12:Z452=1),$C$12:C452)+LOOKUP(,-1/($Z$12:Z452=1),$H$12:H452)-IF(Z451=1,0,SUM(INDIRECT("T"&amp;(MAX((1=Z$12:Z451)*ROW(Z$12:Z451)+1,ROW($T$12))&amp;":T"&amp;(ROW()-1))))),Первоначальный[[#This Row],[Полученный платеж]]+Y451),
AND(Z451&gt;0,Первоначальный[[#This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платеж]]+Y451),
AND(S451&gt;0,MAX((0&lt;&gt;S$12:S451)*ROW(S$12:S451),ROW($S$12))&gt;=MAX((1=Z$12:Z451)*ROW(Z$12:Z451),ROW($T$12)),TYPE(VLOOKUP("Да",(INDIRECT("AA"&amp;(MAX((1=Z$12:Z451)*ROW(Z$12:Z451),ROW($T$12))&amp;":AA"&amp;(ROW()-1)))),1,0))=16),MIN(LOOKUP(,-1/($Z$12:Z452=1),$C$12:C452)+LOOKUP(,-1/($Z$12:Z452=1),$H$12:H452)-SUM(INDIRECT("T"&amp;(MAX((1=Z$12:Z451)*ROW(Z$12:Z451),ROW($T$12))&amp;":T"&amp;(ROW()-1)))),Первоначальный[[#This Row],[Полученный платеж]]+Y451),
S451&gt;0,MIN(LOOKUP(,-1/($Z$12:Z452=1),$C$12:C452)+LOOKUP(,-1/($Z$12:Z452=1),$H$12:H452)-IF(Z451=1,0,SUM(INDIRECT("T"&amp;(MAX((1=Z$12:Z451)*ROW(Z$12:Z451)+1,ROW($T$12))&amp;":T"&amp;(ROW()-1))))),Первоначальный[[#This Row],[Полученный платеж]]+Y451)
)
)
)</f>
        <v>0</v>
      </c>
      <c r="U45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платеж]]+Y451-Первоначальный[[#This Row],[Полученный платёж по процентам]])</f>
        <v>0</v>
      </c>
      <c r="V452" s="55">
        <f t="shared" ca="1" si="73"/>
        <v>0</v>
      </c>
      <c r="W452" s="55" cm="1">
        <f t="array" aca="1" ref="W452" ca="1">IF(Первоначальный[[#This Row],[Итого остаток на начало периода]]&lt;1,0,
_xlfn.IFS(
AND(TYPE(VLOOKUP(1,$Z$12:Z452,1,0))=16,Первоначальный[[#This Row],[Досрочное погашение (да/"")]]=""),0,
AND(S451=0,Первоначальный[[#This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платеж]]+Y451-SUM(Первоначальный[[#This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комиссиям]]),VLOOKUP(LOOKUP(,-1/($Z$12:Z452=1),$A$12:A452),График[[Срок конец]:[Возврат основной суммы долга]],3,0)),
AND(S451=0,Первоначальный[[#This Row],[Дата платежа из графика]]="",Первоначальный[[#This Row],[Досрочное погашение (да/"")]]&lt;&gt;"Да"),0,
AND(S451=0,Первоначальный[[#This Row],[Досрочное погашение (да/"")]]=""),MIN(Первоначальный[[#This Row],[Полученный платеж]]+Y451-SUM(Первоначальный[[#This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комиссиям]]),VLOOKUP(LOOKUP(,-1/($Z$12:Z452=1),$A$12:A452),График[[Срок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платеж]]+Y451-SUM(Первоначальный[[#This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S451&gt;0,MIN(Первоначальный[[#This Row],[Полученный платеж]]+Y451-SUM(Первоначальный[[#This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комиссиям]]),SUM(INDIRECT("M"&amp;(MAX((1=S$12:S451)*ROW(S$12:S451),ROW($W$12))&amp;":M"&amp;(ROW()))))-SUM(INDIRECT("W"&amp;(MAX((1=S$12:S451)*ROW(S$12:S451),ROW($W$12))&amp;":W"&amp;(ROW()-1)))))
)
)</f>
        <v>0</v>
      </c>
      <c r="X452" s="55">
        <f t="shared" ca="1" si="74"/>
        <v>0</v>
      </c>
      <c r="Y452" s="101">
        <f t="shared" ca="1" si="81"/>
        <v>0</v>
      </c>
      <c r="Z452" s="133" t="str">
        <f>IF(TYPE((VLOOKUP(Первоначальный[[#This Row],[Дата платежа]],График[Срок конец],1,0)))=16,"",1)</f>
        <v/>
      </c>
      <c r="AA452" s="57"/>
      <c r="AB452" s="134"/>
      <c r="AC45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5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30289.209999999959</v>
      </c>
      <c r="AE45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535.21000000000083</v>
      </c>
      <c r="AF45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5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31568.644140983695</v>
      </c>
      <c r="AH452" s="55"/>
      <c r="AI452" s="55"/>
      <c r="AJ452" s="55"/>
      <c r="AK452" s="101">
        <f t="shared" ca="1" si="82"/>
        <v>212026.40414098365</v>
      </c>
      <c r="AL452" s="129">
        <f t="array" ref="AL452">MAX((УслРестрактов[Характеристика]="Дата реструктуризации")*(УслРестрактов[Значение]=Первоначальный!$A452),0)</f>
        <v>0</v>
      </c>
    </row>
    <row r="453" spans="1:38" x14ac:dyDescent="0.25">
      <c r="A453" s="97">
        <f t="shared" si="75"/>
        <v>44584</v>
      </c>
      <c r="B453" s="100">
        <f t="shared" ca="1" si="76"/>
        <v>149633.34</v>
      </c>
      <c r="C453" s="55">
        <f t="shared" ca="1" si="84"/>
        <v>30289.209999999959</v>
      </c>
      <c r="D453" s="55">
        <f t="shared" ca="1" si="84"/>
        <v>535.21000000000083</v>
      </c>
      <c r="E453" s="55">
        <f t="shared" ca="1" si="77"/>
        <v>0</v>
      </c>
      <c r="F453" s="55">
        <f t="shared" ca="1" si="78"/>
        <v>31568.644140983695</v>
      </c>
      <c r="G453" s="101">
        <f t="shared" ca="1" si="79"/>
        <v>212026.40414098365</v>
      </c>
      <c r="H453" s="100">
        <f ca="1">ROUND($B453*VLOOKUP($A453,$A$1:$B$10,2,1)/(365+IF(MOD(YEAR($A453),4),0,1)*($A453-$A452)),2)-Первоначальный[[#This Row],[Проценты на просроченный платеж по ОД за период]]</f>
        <v>78.59</v>
      </c>
      <c r="I453" s="55">
        <f t="shared" ca="1" si="80"/>
        <v>2.99</v>
      </c>
      <c r="J453" s="55">
        <v>0</v>
      </c>
      <c r="K453" s="55">
        <f t="shared" ca="1" si="83"/>
        <v>173.75350327868853</v>
      </c>
      <c r="L453" s="55">
        <v>0</v>
      </c>
      <c r="M453" s="113">
        <f>SUMIFS(График[Возврат основной суммы долга],График[Дата с учетом нерабочих дней],$A453)</f>
        <v>0</v>
      </c>
      <c r="N453" s="56">
        <f>SUMIFS(График[Возврат начисленных %],График[Дата с учетом нерабочих дней],$A453)</f>
        <v>0</v>
      </c>
      <c r="O453" s="101">
        <v>0</v>
      </c>
      <c r="P453" s="100" cm="1">
        <f t="array" aca="1" ref="P453" ca="1">MAX(IF(AA452="Да",0,SUM(INDIRECT("M"&amp;(MAX(("Да"=AA$12:AA452)*ROW(AA$12:AA452)+1,ROW($P$12))&amp;":M"&amp;(ROW()))))-SUM(INDIRECT("W"&amp;(MAX(("Да"=AA$12:AA452)*ROW(AA$12:AA452)+1,ROW($P$12))&amp;":W"&amp;(ROW()))))),0)</f>
        <v>5484.66</v>
      </c>
      <c r="Q453" s="99">
        <f ca="1">MAX(SUM($N$13:N453)-SUM($T$13:T453),0)</f>
        <v>29266.040655737699</v>
      </c>
      <c r="R453" s="99">
        <f ca="1">Первоначальный[[#This Row],[Просроченный платеж по ОД]]+Первоначальный[[#This Row],[Просроченный платеж по процентам]]</f>
        <v>34750.700655737703</v>
      </c>
      <c r="S453" s="120">
        <f ca="1">IF(Первоначальный[[#This Row],[Просроченный платеж]]&lt;1,0,S452+1)</f>
        <v>349</v>
      </c>
      <c r="T453" s="100" cm="1">
        <f t="array" aca="1" ref="T453" ca="1">IF(Первоначальный[[#This Row],[Итого остаток на начало периода]]&lt;1,0,
IF(
AND(TYPE(VLOOKUP(1,$Z$12:Z453,1,0))=16,Первоначальный[[#This Row],[Досрочное погашение (да/"")]]=""),0,
_xlfn.IFS(AND(S452=0,Первоначальный[[#This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платеж]]&lt;&gt;0),MIN(LOOKUP(,-1/($Z$12:Z453=1),$C$12:C453)+LOOKUP(,-1/($Z$12:Z453=1),$H$12:H453),Первоначальный[[#This Row],[Полученный платеж]]+Y452),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платеж]]+Y452,SUM(Первоначальный[[#This Row],[Остаток процентов на начало периода]],Первоначальный[[#This Row],[Проценты за период]])),
AND(S452=0,Первоначальный[[#This Row],[Дата платежа из графика]]=""),0,
AND(S452=0,Первоначальный[[#This Row],[Дата платежа из графика]]=1,MAX((0&lt;&gt;S$12:S452)*ROW(S$12:S452),ROW($S$12))&gt;=MAX((1=Z$12:Z452)*ROW(Z$12:Z452),ROW($T$12)),TYPE(VLOOKUP("Да",(INDIRECT("AA"&amp;(MAX((1=Z$12:Z452)*ROW(Z$12:Z452),ROW($T$12))&amp;":AA"&amp;(ROW()-1)))),1,0))=16),MIN(LOOKUP(,-1/($Z$12:Z453=1),$C$12:C453)+LOOKUP(,-1/($Z$12:Z453=1),$H$12:H453),Первоначальный[[#This Row],[Полученный платеж]]+Y452),
AND(S452=0,TYPE(VLOOKUP("Да",(INDIRECT("AA"&amp;(MAX((1=Z$12:Z452)*ROW(Z$12:Z452),ROW($T$12))&amp;":AA"&amp;(ROW()-1)))),1,0))&lt;&gt;16),MIN(LOOKUP(,-1/($Z$12:Z453=1),$C$12:C453)+LOOKUP(,-1/($Z$12:Z453=1),$H$12:H453)-IF(AA452="Да",0,SUM(INDIRECT("T"&amp;(MAX(("Да"=AA$12:AA452)*ROW(AA$12:AA452)+1,ROW($T$12))&amp;":T"&amp;(ROW()-1))))),Первоначальный[[#This Row],[Полученный платеж]]+Y452),
AND(S452=0,MAX((0&lt;&gt;N$12:N452)*ROW(N$12:N452),ROW($S$12))&gt;=MAX((1=Z$12:Z452)*ROW(Z$12:Z452),ROW($T$12))),MIN(LOOKUP(,-1/($Z$12:Z453=1),$C$12:C453)+LOOKUP(,-1/($Z$12:Z453=1),$H$12:H453)-IF(N452&lt;&gt;0,0,SUM(INDIRECT("T"&amp;(MAX((0&lt;&gt;N$12:N452)*ROW(N$12:N452)+1,ROW($T$12))&amp;":T"&amp;(ROW()-1))))),Первоначальный[[#This Row],[Полученный платеж]]+Y452),
AND(S452=0,Первоначальный[[#This Row],[Дата платежа из графика]]=1),MIN(LOOKUP(,-1/($Z$12:Z453=1),$C$12:C453)+LOOKUP(,-1/($Z$12:Z453=1),$H$12:H453)-IF(Z452=1,0,SUM(INDIRECT("T"&amp;(MAX((1=Z$12:Z452)*ROW(Z$12:Z452)+1,ROW($T$12))&amp;":T"&amp;(ROW()-1))))),Первоначальный[[#This Row],[Полученный платеж]]+Y452),
AND(Z452&gt;0,Первоначальный[[#This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платеж]]+Y452),
AND(S452&gt;0,MAX((0&lt;&gt;S$12:S452)*ROW(S$12:S452),ROW($S$12))&gt;=MAX((1=Z$12:Z452)*ROW(Z$12:Z452),ROW($T$12)),TYPE(VLOOKUP("Да",(INDIRECT("AA"&amp;(MAX((1=Z$12:Z452)*ROW(Z$12:Z452),ROW($T$12))&amp;":AA"&amp;(ROW()-1)))),1,0))=16),MIN(LOOKUP(,-1/($Z$12:Z453=1),$C$12:C453)+LOOKUP(,-1/($Z$12:Z453=1),$H$12:H453)-SUM(INDIRECT("T"&amp;(MAX((1=Z$12:Z452)*ROW(Z$12:Z452),ROW($T$12))&amp;":T"&amp;(ROW()-1)))),Первоначальный[[#This Row],[Полученный платеж]]+Y452),
S452&gt;0,MIN(LOOKUP(,-1/($Z$12:Z453=1),$C$12:C453)+LOOKUP(,-1/($Z$12:Z453=1),$H$12:H453)-IF(Z452=1,0,SUM(INDIRECT("T"&amp;(MAX((1=Z$12:Z452)*ROW(Z$12:Z452)+1,ROW($T$12))&amp;":T"&amp;(ROW()-1))))),Первоначальный[[#This Row],[Полученный платеж]]+Y452)
)
)
)</f>
        <v>0</v>
      </c>
      <c r="U45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платеж]]+Y452-Первоначальный[[#This Row],[Полученный платёж по процентам]])</f>
        <v>0</v>
      </c>
      <c r="V453" s="55">
        <f t="shared" ca="1" si="73"/>
        <v>0</v>
      </c>
      <c r="W453" s="55" cm="1">
        <f t="array" aca="1" ref="W453" ca="1">IF(Первоначальный[[#This Row],[Итого остаток на начало периода]]&lt;1,0,
_xlfn.IFS(
AND(TYPE(VLOOKUP(1,$Z$12:Z453,1,0))=16,Первоначальный[[#This Row],[Досрочное погашение (да/"")]]=""),0,
AND(S452=0,Первоначальный[[#This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платеж]]+Y452-SUM(Первоначальный[[#This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комиссиям]]),VLOOKUP(LOOKUP(,-1/($Z$12:Z453=1),$A$12:A453),График[[Срок конец]:[Возврат основной суммы долга]],3,0)),
AND(S452=0,Первоначальный[[#This Row],[Дата платежа из графика]]="",Первоначальный[[#This Row],[Досрочное погашение (да/"")]]&lt;&gt;"Да"),0,
AND(S452=0,Первоначальный[[#This Row],[Досрочное погашение (да/"")]]=""),MIN(Первоначальный[[#This Row],[Полученный платеж]]+Y452-SUM(Первоначальный[[#This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комиссиям]]),VLOOKUP(LOOKUP(,-1/($Z$12:Z453=1),$A$12:A453),График[[Срок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платеж]]+Y452-SUM(Первоначальный[[#This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S452&gt;0,MIN(Первоначальный[[#This Row],[Полученный платеж]]+Y452-SUM(Первоначальный[[#This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комиссиям]]),SUM(INDIRECT("M"&amp;(MAX((1=S$12:S452)*ROW(S$12:S452),ROW($W$12))&amp;":M"&amp;(ROW()))))-SUM(INDIRECT("W"&amp;(MAX((1=S$12:S452)*ROW(S$12:S452),ROW($W$12))&amp;":W"&amp;(ROW()-1)))))
)
)</f>
        <v>0</v>
      </c>
      <c r="X453" s="55">
        <f t="shared" ca="1" si="74"/>
        <v>0</v>
      </c>
      <c r="Y453" s="101">
        <f t="shared" ca="1" si="81"/>
        <v>0</v>
      </c>
      <c r="Z453" s="133" t="str">
        <f>IF(TYPE((VLOOKUP(Первоначальный[[#This Row],[Дата платежа]],График[Срок конец],1,0)))=16,"",1)</f>
        <v/>
      </c>
      <c r="AA453" s="57"/>
      <c r="AB453" s="134"/>
      <c r="AC45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5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30367.799999999959</v>
      </c>
      <c r="AE45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538.20000000000084</v>
      </c>
      <c r="AF45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5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31742.397644262383</v>
      </c>
      <c r="AH453" s="55"/>
      <c r="AI453" s="55"/>
      <c r="AJ453" s="55"/>
      <c r="AK453" s="101">
        <f t="shared" ca="1" si="82"/>
        <v>212281.73764426235</v>
      </c>
      <c r="AL453" s="129">
        <f t="array" ref="AL453">MAX((УслРестрактов[Характеристика]="Дата реструктуризации")*(УслРестрактов[Значение]=Первоначальный!$A453),0)</f>
        <v>0</v>
      </c>
    </row>
    <row r="454" spans="1:38" x14ac:dyDescent="0.25">
      <c r="A454" s="97">
        <f t="shared" si="75"/>
        <v>44585</v>
      </c>
      <c r="B454" s="100">
        <f t="shared" ca="1" si="76"/>
        <v>149633.34</v>
      </c>
      <c r="C454" s="55">
        <f t="shared" ca="1" si="84"/>
        <v>30367.799999999959</v>
      </c>
      <c r="D454" s="55">
        <f t="shared" ca="1" si="84"/>
        <v>538.20000000000084</v>
      </c>
      <c r="E454" s="55">
        <f t="shared" ca="1" si="77"/>
        <v>0</v>
      </c>
      <c r="F454" s="55">
        <f t="shared" ca="1" si="78"/>
        <v>31742.397644262383</v>
      </c>
      <c r="G454" s="101">
        <f t="shared" ca="1" si="79"/>
        <v>212281.73764426235</v>
      </c>
      <c r="H454" s="100">
        <f ca="1">ROUND($B454*VLOOKUP($A454,$A$1:$B$10,2,1)/(365+IF(MOD(YEAR($A454),4),0,1)*($A454-$A453)),2)-Первоначальный[[#This Row],[Проценты на просроченный платеж по ОД за период]]</f>
        <v>78.59</v>
      </c>
      <c r="I454" s="55">
        <f t="shared" ca="1" si="80"/>
        <v>2.99</v>
      </c>
      <c r="J454" s="55">
        <v>0</v>
      </c>
      <c r="K454" s="55">
        <f t="shared" ca="1" si="83"/>
        <v>173.75350327868853</v>
      </c>
      <c r="L454" s="55">
        <v>0</v>
      </c>
      <c r="M454" s="113">
        <f>SUMIFS(График[Возврат основной суммы долга],График[Дата с учетом нерабочих дней],$A454)</f>
        <v>0</v>
      </c>
      <c r="N454" s="56">
        <f>SUMIFS(График[Возврат начисленных %],График[Дата с учетом нерабочих дней],$A454)</f>
        <v>0</v>
      </c>
      <c r="O454" s="101">
        <v>0</v>
      </c>
      <c r="P454" s="100" cm="1">
        <f t="array" aca="1" ref="P454" ca="1">MAX(IF(AA453="Да",0,SUM(INDIRECT("M"&amp;(MAX(("Да"=AA$12:AA453)*ROW(AA$12:AA453)+1,ROW($P$12))&amp;":M"&amp;(ROW()))))-SUM(INDIRECT("W"&amp;(MAX(("Да"=AA$12:AA453)*ROW(AA$12:AA453)+1,ROW($P$12))&amp;":W"&amp;(ROW()))))),0)</f>
        <v>5484.66</v>
      </c>
      <c r="Q454" s="99">
        <f ca="1">MAX(SUM($N$13:N454)-SUM($T$13:T454),0)</f>
        <v>29266.040655737699</v>
      </c>
      <c r="R454" s="99">
        <f ca="1">Первоначальный[[#This Row],[Просроченный платеж по ОД]]+Первоначальный[[#This Row],[Просроченный платеж по процентам]]</f>
        <v>34750.700655737703</v>
      </c>
      <c r="S454" s="120">
        <f ca="1">IF(Первоначальный[[#This Row],[Просроченный платеж]]&lt;1,0,S453+1)</f>
        <v>350</v>
      </c>
      <c r="T454" s="100" cm="1">
        <f t="array" aca="1" ref="T454" ca="1">IF(Первоначальный[[#This Row],[Итого остаток на начало периода]]&lt;1,0,
IF(
AND(TYPE(VLOOKUP(1,$Z$12:Z454,1,0))=16,Первоначальный[[#This Row],[Досрочное погашение (да/"")]]=""),0,
_xlfn.IFS(AND(S453=0,Первоначальный[[#This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платеж]]&lt;&gt;0),MIN(LOOKUP(,-1/($Z$12:Z454=1),$C$12:C454)+LOOKUP(,-1/($Z$12:Z454=1),$H$12:H454),Первоначальный[[#This Row],[Полученный платеж]]+Y453),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платеж]]+Y453,SUM(Первоначальный[[#This Row],[Остаток процентов на начало периода]],Первоначальный[[#This Row],[Проценты за период]])),
AND(S453=0,Первоначальный[[#This Row],[Дата платежа из графика]]=""),0,
AND(S453=0,Первоначальный[[#This Row],[Дата платежа из графика]]=1,MAX((0&lt;&gt;S$12:S453)*ROW(S$12:S453),ROW($S$12))&gt;=MAX((1=Z$12:Z453)*ROW(Z$12:Z453),ROW($T$12)),TYPE(VLOOKUP("Да",(INDIRECT("AA"&amp;(MAX((1=Z$12:Z453)*ROW(Z$12:Z453),ROW($T$12))&amp;":AA"&amp;(ROW()-1)))),1,0))=16),MIN(LOOKUP(,-1/($Z$12:Z454=1),$C$12:C454)+LOOKUP(,-1/($Z$12:Z454=1),$H$12:H454),Первоначальный[[#This Row],[Полученный платеж]]+Y453),
AND(S453=0,TYPE(VLOOKUP("Да",(INDIRECT("AA"&amp;(MAX((1=Z$12:Z453)*ROW(Z$12:Z453),ROW($T$12))&amp;":AA"&amp;(ROW()-1)))),1,0))&lt;&gt;16),MIN(LOOKUP(,-1/($Z$12:Z454=1),$C$12:C454)+LOOKUP(,-1/($Z$12:Z454=1),$H$12:H454)-IF(AA453="Да",0,SUM(INDIRECT("T"&amp;(MAX(("Да"=AA$12:AA453)*ROW(AA$12:AA453)+1,ROW($T$12))&amp;":T"&amp;(ROW()-1))))),Первоначальный[[#This Row],[Полученный платеж]]+Y453),
AND(S453=0,MAX((0&lt;&gt;N$12:N453)*ROW(N$12:N453),ROW($S$12))&gt;=MAX((1=Z$12:Z453)*ROW(Z$12:Z453),ROW($T$12))),MIN(LOOKUP(,-1/($Z$12:Z454=1),$C$12:C454)+LOOKUP(,-1/($Z$12:Z454=1),$H$12:H454)-IF(N453&lt;&gt;0,0,SUM(INDIRECT("T"&amp;(MAX((0&lt;&gt;N$12:N453)*ROW(N$12:N453)+1,ROW($T$12))&amp;":T"&amp;(ROW()-1))))),Первоначальный[[#This Row],[Полученный платеж]]+Y453),
AND(S453=0,Первоначальный[[#This Row],[Дата платежа из графика]]=1),MIN(LOOKUP(,-1/($Z$12:Z454=1),$C$12:C454)+LOOKUP(,-1/($Z$12:Z454=1),$H$12:H454)-IF(Z453=1,0,SUM(INDIRECT("T"&amp;(MAX((1=Z$12:Z453)*ROW(Z$12:Z453)+1,ROW($T$12))&amp;":T"&amp;(ROW()-1))))),Первоначальный[[#This Row],[Полученный платеж]]+Y453),
AND(Z453&gt;0,Первоначальный[[#This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платеж]]+Y453),
AND(S453&gt;0,MAX((0&lt;&gt;S$12:S453)*ROW(S$12:S453),ROW($S$12))&gt;=MAX((1=Z$12:Z453)*ROW(Z$12:Z453),ROW($T$12)),TYPE(VLOOKUP("Да",(INDIRECT("AA"&amp;(MAX((1=Z$12:Z453)*ROW(Z$12:Z453),ROW($T$12))&amp;":AA"&amp;(ROW()-1)))),1,0))=16),MIN(LOOKUP(,-1/($Z$12:Z454=1),$C$12:C454)+LOOKUP(,-1/($Z$12:Z454=1),$H$12:H454)-SUM(INDIRECT("T"&amp;(MAX((1=Z$12:Z453)*ROW(Z$12:Z453),ROW($T$12))&amp;":T"&amp;(ROW()-1)))),Первоначальный[[#This Row],[Полученный платеж]]+Y453),
S453&gt;0,MIN(LOOKUP(,-1/($Z$12:Z454=1),$C$12:C454)+LOOKUP(,-1/($Z$12:Z454=1),$H$12:H454)-IF(Z453=1,0,SUM(INDIRECT("T"&amp;(MAX((1=Z$12:Z453)*ROW(Z$12:Z453)+1,ROW($T$12))&amp;":T"&amp;(ROW()-1))))),Первоначальный[[#This Row],[Полученный платеж]]+Y453)
)
)
)</f>
        <v>0</v>
      </c>
      <c r="U45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платеж]]+Y453-Первоначальный[[#This Row],[Полученный платёж по процентам]])</f>
        <v>0</v>
      </c>
      <c r="V454" s="55">
        <f t="shared" ca="1" si="73"/>
        <v>0</v>
      </c>
      <c r="W454" s="55" cm="1">
        <f t="array" aca="1" ref="W454" ca="1">IF(Первоначальный[[#This Row],[Итого остаток на начало периода]]&lt;1,0,
_xlfn.IFS(
AND(TYPE(VLOOKUP(1,$Z$12:Z454,1,0))=16,Первоначальный[[#This Row],[Досрочное погашение (да/"")]]=""),0,
AND(S453=0,Первоначальный[[#This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платеж]]+Y453-SUM(Первоначальный[[#This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комиссиям]]),VLOOKUP(LOOKUP(,-1/($Z$12:Z454=1),$A$12:A454),График[[Срок конец]:[Возврат основной суммы долга]],3,0)),
AND(S453=0,Первоначальный[[#This Row],[Дата платежа из графика]]="",Первоначальный[[#This Row],[Досрочное погашение (да/"")]]&lt;&gt;"Да"),0,
AND(S453=0,Первоначальный[[#This Row],[Досрочное погашение (да/"")]]=""),MIN(Первоначальный[[#This Row],[Полученный платеж]]+Y453-SUM(Первоначальный[[#This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комиссиям]]),VLOOKUP(LOOKUP(,-1/($Z$12:Z454=1),$A$12:A454),График[[Срок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платеж]]+Y453-SUM(Первоначальный[[#This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S453&gt;0,MIN(Первоначальный[[#This Row],[Полученный платеж]]+Y453-SUM(Первоначальный[[#This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комиссиям]]),SUM(INDIRECT("M"&amp;(MAX((1=S$12:S453)*ROW(S$12:S453),ROW($W$12))&amp;":M"&amp;(ROW()))))-SUM(INDIRECT("W"&amp;(MAX((1=S$12:S453)*ROW(S$12:S453),ROW($W$12))&amp;":W"&amp;(ROW()-1)))))
)
)</f>
        <v>0</v>
      </c>
      <c r="X454" s="55">
        <f t="shared" ca="1" si="74"/>
        <v>0</v>
      </c>
      <c r="Y454" s="101">
        <f t="shared" ca="1" si="81"/>
        <v>0</v>
      </c>
      <c r="Z454" s="133" t="str">
        <f>IF(TYPE((VLOOKUP(Первоначальный[[#This Row],[Дата платежа]],График[Срок конец],1,0)))=16,"",1)</f>
        <v/>
      </c>
      <c r="AA454" s="57"/>
      <c r="AB454" s="134"/>
      <c r="AC45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5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30446.389999999959</v>
      </c>
      <c r="AE45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541.19000000000085</v>
      </c>
      <c r="AF45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5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31916.15114754107</v>
      </c>
      <c r="AH454" s="55"/>
      <c r="AI454" s="55"/>
      <c r="AJ454" s="55"/>
      <c r="AK454" s="101">
        <f t="shared" ca="1" si="82"/>
        <v>212537.07114754102</v>
      </c>
      <c r="AL454" s="129">
        <f t="array" ref="AL454">MAX((УслРестрактов[Характеристика]="Дата реструктуризации")*(УслРестрактов[Значение]=Первоначальный!$A454),0)</f>
        <v>0</v>
      </c>
    </row>
    <row r="455" spans="1:38" x14ac:dyDescent="0.25">
      <c r="A455" s="97">
        <f t="shared" si="75"/>
        <v>44586</v>
      </c>
      <c r="B455" s="100">
        <f t="shared" ca="1" si="76"/>
        <v>149633.34</v>
      </c>
      <c r="C455" s="55">
        <f t="shared" ca="1" si="84"/>
        <v>30446.389999999959</v>
      </c>
      <c r="D455" s="55">
        <f t="shared" ca="1" si="84"/>
        <v>541.19000000000085</v>
      </c>
      <c r="E455" s="55">
        <f t="shared" ca="1" si="77"/>
        <v>0</v>
      </c>
      <c r="F455" s="55">
        <f t="shared" ca="1" si="78"/>
        <v>31916.15114754107</v>
      </c>
      <c r="G455" s="101">
        <f t="shared" ca="1" si="79"/>
        <v>212537.07114754102</v>
      </c>
      <c r="H455" s="100">
        <f ca="1">ROUND($B455*VLOOKUP($A455,$A$1:$B$10,2,1)/(365+IF(MOD(YEAR($A455),4),0,1)*($A455-$A454)),2)-Первоначальный[[#This Row],[Проценты на просроченный платеж по ОД за период]]</f>
        <v>78.59</v>
      </c>
      <c r="I455" s="55">
        <f t="shared" ca="1" si="80"/>
        <v>2.99</v>
      </c>
      <c r="J455" s="55">
        <v>0</v>
      </c>
      <c r="K455" s="55">
        <f t="shared" ca="1" si="83"/>
        <v>173.75350327868853</v>
      </c>
      <c r="L455" s="55">
        <v>0</v>
      </c>
      <c r="M455" s="113">
        <f>SUMIFS(График[Возврат основной суммы долга],График[Дата с учетом нерабочих дней],$A455)</f>
        <v>0</v>
      </c>
      <c r="N455" s="56">
        <f>SUMIFS(График[Возврат начисленных %],График[Дата с учетом нерабочих дней],$A455)</f>
        <v>0</v>
      </c>
      <c r="O455" s="101">
        <v>0</v>
      </c>
      <c r="P455" s="100" cm="1">
        <f t="array" aca="1" ref="P455" ca="1">MAX(IF(AA454="Да",0,SUM(INDIRECT("M"&amp;(MAX(("Да"=AA$12:AA454)*ROW(AA$12:AA454)+1,ROW($P$12))&amp;":M"&amp;(ROW()))))-SUM(INDIRECT("W"&amp;(MAX(("Да"=AA$12:AA454)*ROW(AA$12:AA454)+1,ROW($P$12))&amp;":W"&amp;(ROW()))))),0)</f>
        <v>5484.66</v>
      </c>
      <c r="Q455" s="99">
        <f ca="1">MAX(SUM($N$13:N455)-SUM($T$13:T455),0)</f>
        <v>29266.040655737699</v>
      </c>
      <c r="R455" s="99">
        <f ca="1">Первоначальный[[#This Row],[Просроченный платеж по ОД]]+Первоначальный[[#This Row],[Просроченный платеж по процентам]]</f>
        <v>34750.700655737703</v>
      </c>
      <c r="S455" s="120">
        <f ca="1">IF(Первоначальный[[#This Row],[Просроченный платеж]]&lt;1,0,S454+1)</f>
        <v>351</v>
      </c>
      <c r="T455" s="100" cm="1">
        <f t="array" aca="1" ref="T455" ca="1">IF(Первоначальный[[#This Row],[Итого остаток на начало периода]]&lt;1,0,
IF(
AND(TYPE(VLOOKUP(1,$Z$12:Z455,1,0))=16,Первоначальный[[#This Row],[Досрочное погашение (да/"")]]=""),0,
_xlfn.IFS(AND(S454=0,Первоначальный[[#This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платеж]]&lt;&gt;0),MIN(LOOKUP(,-1/($Z$12:Z455=1),$C$12:C455)+LOOKUP(,-1/($Z$12:Z455=1),$H$12:H455),Первоначальный[[#This Row],[Полученный платеж]]+Y454),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платеж]]+Y454,SUM(Первоначальный[[#This Row],[Остаток процентов на начало периода]],Первоначальный[[#This Row],[Проценты за период]])),
AND(S454=0,Первоначальный[[#This Row],[Дата платежа из графика]]=""),0,
AND(S454=0,Первоначальный[[#This Row],[Дата платежа из графика]]=1,MAX((0&lt;&gt;S$12:S454)*ROW(S$12:S454),ROW($S$12))&gt;=MAX((1=Z$12:Z454)*ROW(Z$12:Z454),ROW($T$12)),TYPE(VLOOKUP("Да",(INDIRECT("AA"&amp;(MAX((1=Z$12:Z454)*ROW(Z$12:Z454),ROW($T$12))&amp;":AA"&amp;(ROW()-1)))),1,0))=16),MIN(LOOKUP(,-1/($Z$12:Z455=1),$C$12:C455)+LOOKUP(,-1/($Z$12:Z455=1),$H$12:H455),Первоначальный[[#This Row],[Полученный платеж]]+Y454),
AND(S454=0,TYPE(VLOOKUP("Да",(INDIRECT("AA"&amp;(MAX((1=Z$12:Z454)*ROW(Z$12:Z454),ROW($T$12))&amp;":AA"&amp;(ROW()-1)))),1,0))&lt;&gt;16),MIN(LOOKUP(,-1/($Z$12:Z455=1),$C$12:C455)+LOOKUP(,-1/($Z$12:Z455=1),$H$12:H455)-IF(AA454="Да",0,SUM(INDIRECT("T"&amp;(MAX(("Да"=AA$12:AA454)*ROW(AA$12:AA454)+1,ROW($T$12))&amp;":T"&amp;(ROW()-1))))),Первоначальный[[#This Row],[Полученный платеж]]+Y454),
AND(S454=0,MAX((0&lt;&gt;N$12:N454)*ROW(N$12:N454),ROW($S$12))&gt;=MAX((1=Z$12:Z454)*ROW(Z$12:Z454),ROW($T$12))),MIN(LOOKUP(,-1/($Z$12:Z455=1),$C$12:C455)+LOOKUP(,-1/($Z$12:Z455=1),$H$12:H455)-IF(N454&lt;&gt;0,0,SUM(INDIRECT("T"&amp;(MAX((0&lt;&gt;N$12:N454)*ROW(N$12:N454)+1,ROW($T$12))&amp;":T"&amp;(ROW()-1))))),Первоначальный[[#This Row],[Полученный платеж]]+Y454),
AND(S454=0,Первоначальный[[#This Row],[Дата платежа из графика]]=1),MIN(LOOKUP(,-1/($Z$12:Z455=1),$C$12:C455)+LOOKUP(,-1/($Z$12:Z455=1),$H$12:H455)-IF(Z454=1,0,SUM(INDIRECT("T"&amp;(MAX((1=Z$12:Z454)*ROW(Z$12:Z454)+1,ROW($T$12))&amp;":T"&amp;(ROW()-1))))),Первоначальный[[#This Row],[Полученный платеж]]+Y454),
AND(Z454&gt;0,Первоначальный[[#This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платеж]]+Y454),
AND(S454&gt;0,MAX((0&lt;&gt;S$12:S454)*ROW(S$12:S454),ROW($S$12))&gt;=MAX((1=Z$12:Z454)*ROW(Z$12:Z454),ROW($T$12)),TYPE(VLOOKUP("Да",(INDIRECT("AA"&amp;(MAX((1=Z$12:Z454)*ROW(Z$12:Z454),ROW($T$12))&amp;":AA"&amp;(ROW()-1)))),1,0))=16),MIN(LOOKUP(,-1/($Z$12:Z455=1),$C$12:C455)+LOOKUP(,-1/($Z$12:Z455=1),$H$12:H455)-SUM(INDIRECT("T"&amp;(MAX((1=Z$12:Z454)*ROW(Z$12:Z454),ROW($T$12))&amp;":T"&amp;(ROW()-1)))),Первоначальный[[#This Row],[Полученный платеж]]+Y454),
S454&gt;0,MIN(LOOKUP(,-1/($Z$12:Z455=1),$C$12:C455)+LOOKUP(,-1/($Z$12:Z455=1),$H$12:H455)-IF(Z454=1,0,SUM(INDIRECT("T"&amp;(MAX((1=Z$12:Z454)*ROW(Z$12:Z454)+1,ROW($T$12))&amp;":T"&amp;(ROW()-1))))),Первоначальный[[#This Row],[Полученный платеж]]+Y454)
)
)
)</f>
        <v>0</v>
      </c>
      <c r="U45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платеж]]+Y454-Первоначальный[[#This Row],[Полученный платёж по процентам]])</f>
        <v>0</v>
      </c>
      <c r="V455" s="55">
        <f t="shared" ca="1" si="73"/>
        <v>0</v>
      </c>
      <c r="W455" s="55" cm="1">
        <f t="array" aca="1" ref="W455" ca="1">IF(Первоначальный[[#This Row],[Итого остаток на начало периода]]&lt;1,0,
_xlfn.IFS(
AND(TYPE(VLOOKUP(1,$Z$12:Z455,1,0))=16,Первоначальный[[#This Row],[Досрочное погашение (да/"")]]=""),0,
AND(S454=0,Первоначальный[[#This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платеж]]+Y454-SUM(Первоначальный[[#This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комиссиям]]),VLOOKUP(LOOKUP(,-1/($Z$12:Z455=1),$A$12:A455),График[[Срок конец]:[Возврат основной суммы долга]],3,0)),
AND(S454=0,Первоначальный[[#This Row],[Дата платежа из графика]]="",Первоначальный[[#This Row],[Досрочное погашение (да/"")]]&lt;&gt;"Да"),0,
AND(S454=0,Первоначальный[[#This Row],[Досрочное погашение (да/"")]]=""),MIN(Первоначальный[[#This Row],[Полученный платеж]]+Y454-SUM(Первоначальный[[#This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комиссиям]]),VLOOKUP(LOOKUP(,-1/($Z$12:Z455=1),$A$12:A455),График[[Срок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платеж]]+Y454-SUM(Первоначальный[[#This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S454&gt;0,MIN(Первоначальный[[#This Row],[Полученный платеж]]+Y454-SUM(Первоначальный[[#This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комиссиям]]),SUM(INDIRECT("M"&amp;(MAX((1=S$12:S454)*ROW(S$12:S454),ROW($W$12))&amp;":M"&amp;(ROW()))))-SUM(INDIRECT("W"&amp;(MAX((1=S$12:S454)*ROW(S$12:S454),ROW($W$12))&amp;":W"&amp;(ROW()-1)))))
)
)</f>
        <v>0</v>
      </c>
      <c r="X455" s="55">
        <f t="shared" ca="1" si="74"/>
        <v>0</v>
      </c>
      <c r="Y455" s="101">
        <f t="shared" ca="1" si="81"/>
        <v>0</v>
      </c>
      <c r="Z455" s="133" t="str">
        <f>IF(TYPE((VLOOKUP(Первоначальный[[#This Row],[Дата платежа]],График[Срок конец],1,0)))=16,"",1)</f>
        <v/>
      </c>
      <c r="AA455" s="57"/>
      <c r="AB455" s="134"/>
      <c r="AC45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5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30524.97999999996</v>
      </c>
      <c r="AE45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544.18000000000086</v>
      </c>
      <c r="AF45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5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32089.904650819757</v>
      </c>
      <c r="AH455" s="55"/>
      <c r="AI455" s="55"/>
      <c r="AJ455" s="55"/>
      <c r="AK455" s="101">
        <f t="shared" ca="1" si="82"/>
        <v>212792.40465081969</v>
      </c>
      <c r="AL455" s="129">
        <f t="array" ref="AL455">MAX((УслРестрактов[Характеристика]="Дата реструктуризации")*(УслРестрактов[Значение]=Первоначальный!$A455),0)</f>
        <v>0</v>
      </c>
    </row>
    <row r="456" spans="1:38" x14ac:dyDescent="0.25">
      <c r="A456" s="97">
        <f t="shared" si="75"/>
        <v>44587</v>
      </c>
      <c r="B456" s="100">
        <f t="shared" ca="1" si="76"/>
        <v>149633.34</v>
      </c>
      <c r="C456" s="55">
        <f t="shared" ca="1" si="84"/>
        <v>30524.97999999996</v>
      </c>
      <c r="D456" s="55">
        <f t="shared" ca="1" si="84"/>
        <v>544.18000000000086</v>
      </c>
      <c r="E456" s="55">
        <f t="shared" ca="1" si="77"/>
        <v>0</v>
      </c>
      <c r="F456" s="55">
        <f t="shared" ca="1" si="78"/>
        <v>32089.904650819757</v>
      </c>
      <c r="G456" s="101">
        <f t="shared" ca="1" si="79"/>
        <v>212792.40465081969</v>
      </c>
      <c r="H456" s="100">
        <f ca="1">ROUND($B456*VLOOKUP($A456,$A$1:$B$10,2,1)/(365+IF(MOD(YEAR($A456),4),0,1)*($A456-$A455)),2)-Первоначальный[[#This Row],[Проценты на просроченный платеж по ОД за период]]</f>
        <v>78.59</v>
      </c>
      <c r="I456" s="55">
        <f t="shared" ca="1" si="80"/>
        <v>2.99</v>
      </c>
      <c r="J456" s="55">
        <v>0</v>
      </c>
      <c r="K456" s="55">
        <f t="shared" ca="1" si="83"/>
        <v>173.75350327868853</v>
      </c>
      <c r="L456" s="55">
        <v>0</v>
      </c>
      <c r="M456" s="113">
        <f>SUMIFS(График[Возврат основной суммы долга],График[Дата с учетом нерабочих дней],$A456)</f>
        <v>0</v>
      </c>
      <c r="N456" s="56">
        <f>SUMIFS(График[Возврат начисленных %],График[Дата с учетом нерабочих дней],$A456)</f>
        <v>0</v>
      </c>
      <c r="O456" s="101">
        <v>0</v>
      </c>
      <c r="P456" s="100" cm="1">
        <f t="array" aca="1" ref="P456" ca="1">MAX(IF(AA455="Да",0,SUM(INDIRECT("M"&amp;(MAX(("Да"=AA$12:AA455)*ROW(AA$12:AA455)+1,ROW($P$12))&amp;":M"&amp;(ROW()))))-SUM(INDIRECT("W"&amp;(MAX(("Да"=AA$12:AA455)*ROW(AA$12:AA455)+1,ROW($P$12))&amp;":W"&amp;(ROW()))))),0)</f>
        <v>5484.66</v>
      </c>
      <c r="Q456" s="99">
        <f ca="1">MAX(SUM($N$13:N456)-SUM($T$13:T456),0)</f>
        <v>29266.040655737699</v>
      </c>
      <c r="R456" s="99">
        <f ca="1">Первоначальный[[#This Row],[Просроченный платеж по ОД]]+Первоначальный[[#This Row],[Просроченный платеж по процентам]]</f>
        <v>34750.700655737703</v>
      </c>
      <c r="S456" s="120">
        <f ca="1">IF(Первоначальный[[#This Row],[Просроченный платеж]]&lt;1,0,S455+1)</f>
        <v>352</v>
      </c>
      <c r="T456" s="100" cm="1">
        <f t="array" aca="1" ref="T456" ca="1">IF(Первоначальный[[#This Row],[Итого остаток на начало периода]]&lt;1,0,
IF(
AND(TYPE(VLOOKUP(1,$Z$12:Z456,1,0))=16,Первоначальный[[#This Row],[Досрочное погашение (да/"")]]=""),0,
_xlfn.IFS(AND(S455=0,Первоначальный[[#This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платеж]]&lt;&gt;0),MIN(LOOKUP(,-1/($Z$12:Z456=1),$C$12:C456)+LOOKUP(,-1/($Z$12:Z456=1),$H$12:H456),Первоначальный[[#This Row],[Полученный платеж]]+Y455),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платеж]]+Y455,SUM(Первоначальный[[#This Row],[Остаток процентов на начало периода]],Первоначальный[[#This Row],[Проценты за период]])),
AND(S455=0,Первоначальный[[#This Row],[Дата платежа из графика]]=""),0,
AND(S455=0,Первоначальный[[#This Row],[Дата платежа из графика]]=1,MAX((0&lt;&gt;S$12:S455)*ROW(S$12:S455),ROW($S$12))&gt;=MAX((1=Z$12:Z455)*ROW(Z$12:Z455),ROW($T$12)),TYPE(VLOOKUP("Да",(INDIRECT("AA"&amp;(MAX((1=Z$12:Z455)*ROW(Z$12:Z455),ROW($T$12))&amp;":AA"&amp;(ROW()-1)))),1,0))=16),MIN(LOOKUP(,-1/($Z$12:Z456=1),$C$12:C456)+LOOKUP(,-1/($Z$12:Z456=1),$H$12:H456),Первоначальный[[#This Row],[Полученный платеж]]+Y455),
AND(S455=0,TYPE(VLOOKUP("Да",(INDIRECT("AA"&amp;(MAX((1=Z$12:Z455)*ROW(Z$12:Z455),ROW($T$12))&amp;":AA"&amp;(ROW()-1)))),1,0))&lt;&gt;16),MIN(LOOKUP(,-1/($Z$12:Z456=1),$C$12:C456)+LOOKUP(,-1/($Z$12:Z456=1),$H$12:H456)-IF(AA455="Да",0,SUM(INDIRECT("T"&amp;(MAX(("Да"=AA$12:AA455)*ROW(AA$12:AA455)+1,ROW($T$12))&amp;":T"&amp;(ROW()-1))))),Первоначальный[[#This Row],[Полученный платеж]]+Y455),
AND(S455=0,MAX((0&lt;&gt;N$12:N455)*ROW(N$12:N455),ROW($S$12))&gt;=MAX((1=Z$12:Z455)*ROW(Z$12:Z455),ROW($T$12))),MIN(LOOKUP(,-1/($Z$12:Z456=1),$C$12:C456)+LOOKUP(,-1/($Z$12:Z456=1),$H$12:H456)-IF(N455&lt;&gt;0,0,SUM(INDIRECT("T"&amp;(MAX((0&lt;&gt;N$12:N455)*ROW(N$12:N455)+1,ROW($T$12))&amp;":T"&amp;(ROW()-1))))),Первоначальный[[#This Row],[Полученный платеж]]+Y455),
AND(S455=0,Первоначальный[[#This Row],[Дата платежа из графика]]=1),MIN(LOOKUP(,-1/($Z$12:Z456=1),$C$12:C456)+LOOKUP(,-1/($Z$12:Z456=1),$H$12:H456)-IF(Z455=1,0,SUM(INDIRECT("T"&amp;(MAX((1=Z$12:Z455)*ROW(Z$12:Z455)+1,ROW($T$12))&amp;":T"&amp;(ROW()-1))))),Первоначальный[[#This Row],[Полученный платеж]]+Y455),
AND(Z455&gt;0,Первоначальный[[#This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платеж]]+Y455),
AND(S455&gt;0,MAX((0&lt;&gt;S$12:S455)*ROW(S$12:S455),ROW($S$12))&gt;=MAX((1=Z$12:Z455)*ROW(Z$12:Z455),ROW($T$12)),TYPE(VLOOKUP("Да",(INDIRECT("AA"&amp;(MAX((1=Z$12:Z455)*ROW(Z$12:Z455),ROW($T$12))&amp;":AA"&amp;(ROW()-1)))),1,0))=16),MIN(LOOKUP(,-1/($Z$12:Z456=1),$C$12:C456)+LOOKUP(,-1/($Z$12:Z456=1),$H$12:H456)-SUM(INDIRECT("T"&amp;(MAX((1=Z$12:Z455)*ROW(Z$12:Z455),ROW($T$12))&amp;":T"&amp;(ROW()-1)))),Первоначальный[[#This Row],[Полученный платеж]]+Y455),
S455&gt;0,MIN(LOOKUP(,-1/($Z$12:Z456=1),$C$12:C456)+LOOKUP(,-1/($Z$12:Z456=1),$H$12:H456)-IF(Z455=1,0,SUM(INDIRECT("T"&amp;(MAX((1=Z$12:Z455)*ROW(Z$12:Z455)+1,ROW($T$12))&amp;":T"&amp;(ROW()-1))))),Первоначальный[[#This Row],[Полученный платеж]]+Y455)
)
)
)</f>
        <v>0</v>
      </c>
      <c r="U45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платеж]]+Y455-Первоначальный[[#This Row],[Полученный платёж по процентам]])</f>
        <v>0</v>
      </c>
      <c r="V456" s="55">
        <f t="shared" ca="1" si="73"/>
        <v>0</v>
      </c>
      <c r="W456" s="55" cm="1">
        <f t="array" aca="1" ref="W456" ca="1">IF(Первоначальный[[#This Row],[Итого остаток на начало периода]]&lt;1,0,
_xlfn.IFS(
AND(TYPE(VLOOKUP(1,$Z$12:Z456,1,0))=16,Первоначальный[[#This Row],[Досрочное погашение (да/"")]]=""),0,
AND(S455=0,Первоначальный[[#This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платеж]]+Y455-SUM(Первоначальный[[#This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комиссиям]]),VLOOKUP(LOOKUP(,-1/($Z$12:Z456=1),$A$12:A456),График[[Срок конец]:[Возврат основной суммы долга]],3,0)),
AND(S455=0,Первоначальный[[#This Row],[Дата платежа из графика]]="",Первоначальный[[#This Row],[Досрочное погашение (да/"")]]&lt;&gt;"Да"),0,
AND(S455=0,Первоначальный[[#This Row],[Досрочное погашение (да/"")]]=""),MIN(Первоначальный[[#This Row],[Полученный платеж]]+Y455-SUM(Первоначальный[[#This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комиссиям]]),VLOOKUP(LOOKUP(,-1/($Z$12:Z456=1),$A$12:A456),График[[Срок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платеж]]+Y455-SUM(Первоначальный[[#This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S455&gt;0,MIN(Первоначальный[[#This Row],[Полученный платеж]]+Y455-SUM(Первоначальный[[#This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комиссиям]]),SUM(INDIRECT("M"&amp;(MAX((1=S$12:S455)*ROW(S$12:S455),ROW($W$12))&amp;":M"&amp;(ROW()))))-SUM(INDIRECT("W"&amp;(MAX((1=S$12:S455)*ROW(S$12:S455),ROW($W$12))&amp;":W"&amp;(ROW()-1)))))
)
)</f>
        <v>0</v>
      </c>
      <c r="X456" s="55">
        <f t="shared" ca="1" si="74"/>
        <v>0</v>
      </c>
      <c r="Y456" s="101">
        <f t="shared" ca="1" si="81"/>
        <v>0</v>
      </c>
      <c r="Z456" s="133" t="str">
        <f>IF(TYPE((VLOOKUP(Первоначальный[[#This Row],[Дата платежа]],График[Срок конец],1,0)))=16,"",1)</f>
        <v/>
      </c>
      <c r="AA456" s="57"/>
      <c r="AB456" s="134"/>
      <c r="AC45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5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30603.56999999996</v>
      </c>
      <c r="AE45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547.17000000000087</v>
      </c>
      <c r="AF45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5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32263.658154098444</v>
      </c>
      <c r="AH456" s="55"/>
      <c r="AI456" s="55"/>
      <c r="AJ456" s="55"/>
      <c r="AK456" s="101">
        <f t="shared" ca="1" si="82"/>
        <v>213047.73815409839</v>
      </c>
      <c r="AL456" s="129">
        <f t="array" ref="AL456">MAX((УслРестрактов[Характеристика]="Дата реструктуризации")*(УслРестрактов[Значение]=Первоначальный!$A456),0)</f>
        <v>0</v>
      </c>
    </row>
    <row r="457" spans="1:38" x14ac:dyDescent="0.25">
      <c r="A457" s="97">
        <f t="shared" si="75"/>
        <v>44588</v>
      </c>
      <c r="B457" s="100">
        <f t="shared" ca="1" si="76"/>
        <v>149633.34</v>
      </c>
      <c r="C457" s="55">
        <f t="shared" ca="1" si="84"/>
        <v>30603.56999999996</v>
      </c>
      <c r="D457" s="55">
        <f t="shared" ca="1" si="84"/>
        <v>547.17000000000087</v>
      </c>
      <c r="E457" s="55">
        <f t="shared" ca="1" si="77"/>
        <v>0</v>
      </c>
      <c r="F457" s="55">
        <f t="shared" ca="1" si="78"/>
        <v>32263.658154098444</v>
      </c>
      <c r="G457" s="101">
        <f t="shared" ca="1" si="79"/>
        <v>213047.73815409839</v>
      </c>
      <c r="H457" s="100">
        <f ca="1">ROUND($B457*VLOOKUP($A457,$A$1:$B$10,2,1)/(365+IF(MOD(YEAR($A457),4),0,1)*($A457-$A456)),2)-Первоначальный[[#This Row],[Проценты на просроченный платеж по ОД за период]]</f>
        <v>78.59</v>
      </c>
      <c r="I457" s="55">
        <f t="shared" ca="1" si="80"/>
        <v>2.99</v>
      </c>
      <c r="J457" s="55">
        <v>0</v>
      </c>
      <c r="K457" s="55">
        <f t="shared" ca="1" si="83"/>
        <v>173.75350327868853</v>
      </c>
      <c r="L457" s="55">
        <v>0</v>
      </c>
      <c r="M457" s="113">
        <f>SUMIFS(График[Возврат основной суммы долга],График[Дата с учетом нерабочих дней],$A457)</f>
        <v>0</v>
      </c>
      <c r="N457" s="56">
        <f>SUMIFS(График[Возврат начисленных %],График[Дата с учетом нерабочих дней],$A457)</f>
        <v>0</v>
      </c>
      <c r="O457" s="101">
        <v>0</v>
      </c>
      <c r="P457" s="100" cm="1">
        <f t="array" aca="1" ref="P457" ca="1">MAX(IF(AA456="Да",0,SUM(INDIRECT("M"&amp;(MAX(("Да"=AA$12:AA456)*ROW(AA$12:AA456)+1,ROW($P$12))&amp;":M"&amp;(ROW()))))-SUM(INDIRECT("W"&amp;(MAX(("Да"=AA$12:AA456)*ROW(AA$12:AA456)+1,ROW($P$12))&amp;":W"&amp;(ROW()))))),0)</f>
        <v>5484.66</v>
      </c>
      <c r="Q457" s="99">
        <f ca="1">MAX(SUM($N$13:N457)-SUM($T$13:T457),0)</f>
        <v>29266.040655737699</v>
      </c>
      <c r="R457" s="99">
        <f ca="1">Первоначальный[[#This Row],[Просроченный платеж по ОД]]+Первоначальный[[#This Row],[Просроченный платеж по процентам]]</f>
        <v>34750.700655737703</v>
      </c>
      <c r="S457" s="120">
        <f ca="1">IF(Первоначальный[[#This Row],[Просроченный платеж]]&lt;1,0,S456+1)</f>
        <v>353</v>
      </c>
      <c r="T457" s="100" cm="1">
        <f t="array" aca="1" ref="T457" ca="1">IF(Первоначальный[[#This Row],[Итого остаток на начало периода]]&lt;1,0,
IF(
AND(TYPE(VLOOKUP(1,$Z$12:Z457,1,0))=16,Первоначальный[[#This Row],[Досрочное погашение (да/"")]]=""),0,
_xlfn.IFS(AND(S456=0,Первоначальный[[#This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платеж]]&lt;&gt;0),MIN(LOOKUP(,-1/($Z$12:Z457=1),$C$12:C457)+LOOKUP(,-1/($Z$12:Z457=1),$H$12:H457),Первоначальный[[#This Row],[Полученный платеж]]+Y456),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платеж]]+Y456,SUM(Первоначальный[[#This Row],[Остаток процентов на начало периода]],Первоначальный[[#This Row],[Проценты за период]])),
AND(S456=0,Первоначальный[[#This Row],[Дата платежа из графика]]=""),0,
AND(S456=0,Первоначальный[[#This Row],[Дата платежа из графика]]=1,MAX((0&lt;&gt;S$12:S456)*ROW(S$12:S456),ROW($S$12))&gt;=MAX((1=Z$12:Z456)*ROW(Z$12:Z456),ROW($T$12)),TYPE(VLOOKUP("Да",(INDIRECT("AA"&amp;(MAX((1=Z$12:Z456)*ROW(Z$12:Z456),ROW($T$12))&amp;":AA"&amp;(ROW()-1)))),1,0))=16),MIN(LOOKUP(,-1/($Z$12:Z457=1),$C$12:C457)+LOOKUP(,-1/($Z$12:Z457=1),$H$12:H457),Первоначальный[[#This Row],[Полученный платеж]]+Y456),
AND(S456=0,TYPE(VLOOKUP("Да",(INDIRECT("AA"&amp;(MAX((1=Z$12:Z456)*ROW(Z$12:Z456),ROW($T$12))&amp;":AA"&amp;(ROW()-1)))),1,0))&lt;&gt;16),MIN(LOOKUP(,-1/($Z$12:Z457=1),$C$12:C457)+LOOKUP(,-1/($Z$12:Z457=1),$H$12:H457)-IF(AA456="Да",0,SUM(INDIRECT("T"&amp;(MAX(("Да"=AA$12:AA456)*ROW(AA$12:AA456)+1,ROW($T$12))&amp;":T"&amp;(ROW()-1))))),Первоначальный[[#This Row],[Полученный платеж]]+Y456),
AND(S456=0,MAX((0&lt;&gt;N$12:N456)*ROW(N$12:N456),ROW($S$12))&gt;=MAX((1=Z$12:Z456)*ROW(Z$12:Z456),ROW($T$12))),MIN(LOOKUP(,-1/($Z$12:Z457=1),$C$12:C457)+LOOKUP(,-1/($Z$12:Z457=1),$H$12:H457)-IF(N456&lt;&gt;0,0,SUM(INDIRECT("T"&amp;(MAX((0&lt;&gt;N$12:N456)*ROW(N$12:N456)+1,ROW($T$12))&amp;":T"&amp;(ROW()-1))))),Первоначальный[[#This Row],[Полученный платеж]]+Y456),
AND(S456=0,Первоначальный[[#This Row],[Дата платежа из графика]]=1),MIN(LOOKUP(,-1/($Z$12:Z457=1),$C$12:C457)+LOOKUP(,-1/($Z$12:Z457=1),$H$12:H457)-IF(Z456=1,0,SUM(INDIRECT("T"&amp;(MAX((1=Z$12:Z456)*ROW(Z$12:Z456)+1,ROW($T$12))&amp;":T"&amp;(ROW()-1))))),Первоначальный[[#This Row],[Полученный платеж]]+Y456),
AND(Z456&gt;0,Первоначальный[[#This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платеж]]+Y456),
AND(S456&gt;0,MAX((0&lt;&gt;S$12:S456)*ROW(S$12:S456),ROW($S$12))&gt;=MAX((1=Z$12:Z456)*ROW(Z$12:Z456),ROW($T$12)),TYPE(VLOOKUP("Да",(INDIRECT("AA"&amp;(MAX((1=Z$12:Z456)*ROW(Z$12:Z456),ROW($T$12))&amp;":AA"&amp;(ROW()-1)))),1,0))=16),MIN(LOOKUP(,-1/($Z$12:Z457=1),$C$12:C457)+LOOKUP(,-1/($Z$12:Z457=1),$H$12:H457)-SUM(INDIRECT("T"&amp;(MAX((1=Z$12:Z456)*ROW(Z$12:Z456),ROW($T$12))&amp;":T"&amp;(ROW()-1)))),Первоначальный[[#This Row],[Полученный платеж]]+Y456),
S456&gt;0,MIN(LOOKUP(,-1/($Z$12:Z457=1),$C$12:C457)+LOOKUP(,-1/($Z$12:Z457=1),$H$12:H457)-IF(Z456=1,0,SUM(INDIRECT("T"&amp;(MAX((1=Z$12:Z456)*ROW(Z$12:Z456)+1,ROW($T$12))&amp;":T"&amp;(ROW()-1))))),Первоначальный[[#This Row],[Полученный платеж]]+Y456)
)
)
)</f>
        <v>0</v>
      </c>
      <c r="U45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платеж]]+Y456-Первоначальный[[#This Row],[Полученный платёж по процентам]])</f>
        <v>0</v>
      </c>
      <c r="V457" s="55">
        <f t="shared" ca="1" si="73"/>
        <v>0</v>
      </c>
      <c r="W457" s="55" cm="1">
        <f t="array" aca="1" ref="W457" ca="1">IF(Первоначальный[[#This Row],[Итого остаток на начало периода]]&lt;1,0,
_xlfn.IFS(
AND(TYPE(VLOOKUP(1,$Z$12:Z457,1,0))=16,Первоначальный[[#This Row],[Досрочное погашение (да/"")]]=""),0,
AND(S456=0,Первоначальный[[#This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платеж]]+Y456-SUM(Первоначальный[[#This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комиссиям]]),VLOOKUP(LOOKUP(,-1/($Z$12:Z457=1),$A$12:A457),График[[Срок конец]:[Возврат основной суммы долга]],3,0)),
AND(S456=0,Первоначальный[[#This Row],[Дата платежа из графика]]="",Первоначальный[[#This Row],[Досрочное погашение (да/"")]]&lt;&gt;"Да"),0,
AND(S456=0,Первоначальный[[#This Row],[Досрочное погашение (да/"")]]=""),MIN(Первоначальный[[#This Row],[Полученный платеж]]+Y456-SUM(Первоначальный[[#This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комиссиям]]),VLOOKUP(LOOKUP(,-1/($Z$12:Z457=1),$A$12:A457),График[[Срок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платеж]]+Y456-SUM(Первоначальный[[#This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S456&gt;0,MIN(Первоначальный[[#This Row],[Полученный платеж]]+Y456-SUM(Первоначальный[[#This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комиссиям]]),SUM(INDIRECT("M"&amp;(MAX((1=S$12:S456)*ROW(S$12:S456),ROW($W$12))&amp;":M"&amp;(ROW()))))-SUM(INDIRECT("W"&amp;(MAX((1=S$12:S456)*ROW(S$12:S456),ROW($W$12))&amp;":W"&amp;(ROW()-1)))))
)
)</f>
        <v>0</v>
      </c>
      <c r="X457" s="55">
        <f t="shared" ca="1" si="74"/>
        <v>0</v>
      </c>
      <c r="Y457" s="101">
        <f t="shared" ca="1" si="81"/>
        <v>0</v>
      </c>
      <c r="Z457" s="133" t="str">
        <f>IF(TYPE((VLOOKUP(Первоначальный[[#This Row],[Дата платежа]],График[Срок конец],1,0)))=16,"",1)</f>
        <v/>
      </c>
      <c r="AA457" s="57"/>
      <c r="AB457" s="134"/>
      <c r="AC45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5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30682.15999999996</v>
      </c>
      <c r="AE45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550.16000000000088</v>
      </c>
      <c r="AF45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5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32437.411657377132</v>
      </c>
      <c r="AH457" s="55"/>
      <c r="AI457" s="55"/>
      <c r="AJ457" s="55"/>
      <c r="AK457" s="101">
        <f t="shared" ca="1" si="82"/>
        <v>213303.07165737706</v>
      </c>
      <c r="AL457" s="129">
        <f t="array" ref="AL457">MAX((УслРестрактов[Характеристика]="Дата реструктуризации")*(УслРестрактов[Значение]=Первоначальный!$A457),0)</f>
        <v>0</v>
      </c>
    </row>
    <row r="458" spans="1:38" x14ac:dyDescent="0.25">
      <c r="A458" s="97">
        <f t="shared" si="75"/>
        <v>44589</v>
      </c>
      <c r="B458" s="100">
        <f t="shared" ca="1" si="76"/>
        <v>149633.34</v>
      </c>
      <c r="C458" s="55">
        <f t="shared" ca="1" si="84"/>
        <v>30682.15999999996</v>
      </c>
      <c r="D458" s="55">
        <f t="shared" ca="1" si="84"/>
        <v>550.16000000000088</v>
      </c>
      <c r="E458" s="55">
        <f t="shared" ca="1" si="77"/>
        <v>0</v>
      </c>
      <c r="F458" s="55">
        <f t="shared" ca="1" si="78"/>
        <v>32437.411657377132</v>
      </c>
      <c r="G458" s="101">
        <f t="shared" ca="1" si="79"/>
        <v>213303.07165737706</v>
      </c>
      <c r="H458" s="100">
        <f ca="1">ROUND($B458*VLOOKUP($A458,$A$1:$B$10,2,1)/(365+IF(MOD(YEAR($A458),4),0,1)*($A458-$A457)),2)-Первоначальный[[#This Row],[Проценты на просроченный платеж по ОД за период]]</f>
        <v>78.59</v>
      </c>
      <c r="I458" s="55">
        <f t="shared" ca="1" si="80"/>
        <v>2.99</v>
      </c>
      <c r="J458" s="55">
        <v>0</v>
      </c>
      <c r="K458" s="55">
        <f t="shared" ca="1" si="83"/>
        <v>173.75350327868853</v>
      </c>
      <c r="L458" s="55">
        <v>0</v>
      </c>
      <c r="M458" s="113">
        <f>SUMIFS(График[Возврат основной суммы долга],График[Дата с учетом нерабочих дней],$A458)</f>
        <v>0</v>
      </c>
      <c r="N458" s="56">
        <f>SUMIFS(График[Возврат начисленных %],График[Дата с учетом нерабочих дней],$A458)</f>
        <v>0</v>
      </c>
      <c r="O458" s="101">
        <v>0</v>
      </c>
      <c r="P458" s="100" cm="1">
        <f t="array" aca="1" ref="P458" ca="1">MAX(IF(AA457="Да",0,SUM(INDIRECT("M"&amp;(MAX(("Да"=AA$12:AA457)*ROW(AA$12:AA457)+1,ROW($P$12))&amp;":M"&amp;(ROW()))))-SUM(INDIRECT("W"&amp;(MAX(("Да"=AA$12:AA457)*ROW(AA$12:AA457)+1,ROW($P$12))&amp;":W"&amp;(ROW()))))),0)</f>
        <v>5484.66</v>
      </c>
      <c r="Q458" s="99">
        <f ca="1">MAX(SUM($N$13:N458)-SUM($T$13:T458),0)</f>
        <v>29266.040655737699</v>
      </c>
      <c r="R458" s="99">
        <f ca="1">Первоначальный[[#This Row],[Просроченный платеж по ОД]]+Первоначальный[[#This Row],[Просроченный платеж по процентам]]</f>
        <v>34750.700655737703</v>
      </c>
      <c r="S458" s="120">
        <f ca="1">IF(Первоначальный[[#This Row],[Просроченный платеж]]&lt;1,0,S457+1)</f>
        <v>354</v>
      </c>
      <c r="T458" s="100" cm="1">
        <f t="array" aca="1" ref="T458" ca="1">IF(Первоначальный[[#This Row],[Итого остаток на начало периода]]&lt;1,0,
IF(
AND(TYPE(VLOOKUP(1,$Z$12:Z458,1,0))=16,Первоначальный[[#This Row],[Досрочное погашение (да/"")]]=""),0,
_xlfn.IFS(AND(S457=0,Первоначальный[[#This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платеж]]&lt;&gt;0),MIN(LOOKUP(,-1/($Z$12:Z458=1),$C$12:C458)+LOOKUP(,-1/($Z$12:Z458=1),$H$12:H458),Первоначальный[[#This Row],[Полученный платеж]]+Y457),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платеж]]+Y457,SUM(Первоначальный[[#This Row],[Остаток процентов на начало периода]],Первоначальный[[#This Row],[Проценты за период]])),
AND(S457=0,Первоначальный[[#This Row],[Дата платежа из графика]]=""),0,
AND(S457=0,Первоначальный[[#This Row],[Дата платежа из графика]]=1,MAX((0&lt;&gt;S$12:S457)*ROW(S$12:S457),ROW($S$12))&gt;=MAX((1=Z$12:Z457)*ROW(Z$12:Z457),ROW($T$12)),TYPE(VLOOKUP("Да",(INDIRECT("AA"&amp;(MAX((1=Z$12:Z457)*ROW(Z$12:Z457),ROW($T$12))&amp;":AA"&amp;(ROW()-1)))),1,0))=16),MIN(LOOKUP(,-1/($Z$12:Z458=1),$C$12:C458)+LOOKUP(,-1/($Z$12:Z458=1),$H$12:H458),Первоначальный[[#This Row],[Полученный платеж]]+Y457),
AND(S457=0,TYPE(VLOOKUP("Да",(INDIRECT("AA"&amp;(MAX((1=Z$12:Z457)*ROW(Z$12:Z457),ROW($T$12))&amp;":AA"&amp;(ROW()-1)))),1,0))&lt;&gt;16),MIN(LOOKUP(,-1/($Z$12:Z458=1),$C$12:C458)+LOOKUP(,-1/($Z$12:Z458=1),$H$12:H458)-IF(AA457="Да",0,SUM(INDIRECT("T"&amp;(MAX(("Да"=AA$12:AA457)*ROW(AA$12:AA457)+1,ROW($T$12))&amp;":T"&amp;(ROW()-1))))),Первоначальный[[#This Row],[Полученный платеж]]+Y457),
AND(S457=0,MAX((0&lt;&gt;N$12:N457)*ROW(N$12:N457),ROW($S$12))&gt;=MAX((1=Z$12:Z457)*ROW(Z$12:Z457),ROW($T$12))),MIN(LOOKUP(,-1/($Z$12:Z458=1),$C$12:C458)+LOOKUP(,-1/($Z$12:Z458=1),$H$12:H458)-IF(N457&lt;&gt;0,0,SUM(INDIRECT("T"&amp;(MAX((0&lt;&gt;N$12:N457)*ROW(N$12:N457)+1,ROW($T$12))&amp;":T"&amp;(ROW()-1))))),Первоначальный[[#This Row],[Полученный платеж]]+Y457),
AND(S457=0,Первоначальный[[#This Row],[Дата платежа из графика]]=1),MIN(LOOKUP(,-1/($Z$12:Z458=1),$C$12:C458)+LOOKUP(,-1/($Z$12:Z458=1),$H$12:H458)-IF(Z457=1,0,SUM(INDIRECT("T"&amp;(MAX((1=Z$12:Z457)*ROW(Z$12:Z457)+1,ROW($T$12))&amp;":T"&amp;(ROW()-1))))),Первоначальный[[#This Row],[Полученный платеж]]+Y457),
AND(Z457&gt;0,Первоначальный[[#This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платеж]]+Y457),
AND(S457&gt;0,MAX((0&lt;&gt;S$12:S457)*ROW(S$12:S457),ROW($S$12))&gt;=MAX((1=Z$12:Z457)*ROW(Z$12:Z457),ROW($T$12)),TYPE(VLOOKUP("Да",(INDIRECT("AA"&amp;(MAX((1=Z$12:Z457)*ROW(Z$12:Z457),ROW($T$12))&amp;":AA"&amp;(ROW()-1)))),1,0))=16),MIN(LOOKUP(,-1/($Z$12:Z458=1),$C$12:C458)+LOOKUP(,-1/($Z$12:Z458=1),$H$12:H458)-SUM(INDIRECT("T"&amp;(MAX((1=Z$12:Z457)*ROW(Z$12:Z457),ROW($T$12))&amp;":T"&amp;(ROW()-1)))),Первоначальный[[#This Row],[Полученный платеж]]+Y457),
S457&gt;0,MIN(LOOKUP(,-1/($Z$12:Z458=1),$C$12:C458)+LOOKUP(,-1/($Z$12:Z458=1),$H$12:H458)-IF(Z457=1,0,SUM(INDIRECT("T"&amp;(MAX((1=Z$12:Z457)*ROW(Z$12:Z457)+1,ROW($T$12))&amp;":T"&amp;(ROW()-1))))),Первоначальный[[#This Row],[Полученный платеж]]+Y457)
)
)
)</f>
        <v>0</v>
      </c>
      <c r="U45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платеж]]+Y457-Первоначальный[[#This Row],[Полученный платёж по процентам]])</f>
        <v>0</v>
      </c>
      <c r="V458" s="55">
        <f t="shared" ca="1" si="73"/>
        <v>0</v>
      </c>
      <c r="W458" s="55" cm="1">
        <f t="array" aca="1" ref="W458" ca="1">IF(Первоначальный[[#This Row],[Итого остаток на начало периода]]&lt;1,0,
_xlfn.IFS(
AND(TYPE(VLOOKUP(1,$Z$12:Z458,1,0))=16,Первоначальный[[#This Row],[Досрочное погашение (да/"")]]=""),0,
AND(S457=0,Первоначальный[[#This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платеж]]+Y457-SUM(Первоначальный[[#This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комиссиям]]),VLOOKUP(LOOKUP(,-1/($Z$12:Z458=1),$A$12:A458),График[[Срок конец]:[Возврат основной суммы долга]],3,0)),
AND(S457=0,Первоначальный[[#This Row],[Дата платежа из графика]]="",Первоначальный[[#This Row],[Досрочное погашение (да/"")]]&lt;&gt;"Да"),0,
AND(S457=0,Первоначальный[[#This Row],[Досрочное погашение (да/"")]]=""),MIN(Первоначальный[[#This Row],[Полученный платеж]]+Y457-SUM(Первоначальный[[#This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комиссиям]]),VLOOKUP(LOOKUP(,-1/($Z$12:Z458=1),$A$12:A458),График[[Срок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платеж]]+Y457-SUM(Первоначальный[[#This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S457&gt;0,MIN(Первоначальный[[#This Row],[Полученный платеж]]+Y457-SUM(Первоначальный[[#This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комиссиям]]),SUM(INDIRECT("M"&amp;(MAX((1=S$12:S457)*ROW(S$12:S457),ROW($W$12))&amp;":M"&amp;(ROW()))))-SUM(INDIRECT("W"&amp;(MAX((1=S$12:S457)*ROW(S$12:S457),ROW($W$12))&amp;":W"&amp;(ROW()-1)))))
)
)</f>
        <v>0</v>
      </c>
      <c r="X458" s="55">
        <f t="shared" ca="1" si="74"/>
        <v>0</v>
      </c>
      <c r="Y458" s="101">
        <f t="shared" ca="1" si="81"/>
        <v>0</v>
      </c>
      <c r="Z458" s="133" t="str">
        <f>IF(TYPE((VLOOKUP(Первоначальный[[#This Row],[Дата платежа]],График[Срок конец],1,0)))=16,"",1)</f>
        <v/>
      </c>
      <c r="AA458" s="57"/>
      <c r="AB458" s="134"/>
      <c r="AC45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5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30760.74999999996</v>
      </c>
      <c r="AE45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553.15000000000089</v>
      </c>
      <c r="AF45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5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32611.165160655819</v>
      </c>
      <c r="AH458" s="55"/>
      <c r="AI458" s="55"/>
      <c r="AJ458" s="55"/>
      <c r="AK458" s="101">
        <f t="shared" ca="1" si="82"/>
        <v>213558.40516065579</v>
      </c>
      <c r="AL458" s="129">
        <f t="array" ref="AL458">MAX((УслРестрактов[Характеристика]="Дата реструктуризации")*(УслРестрактов[Значение]=Первоначальный!$A458),0)</f>
        <v>0</v>
      </c>
    </row>
    <row r="459" spans="1:38" x14ac:dyDescent="0.25">
      <c r="A459" s="97">
        <f t="shared" si="75"/>
        <v>44590</v>
      </c>
      <c r="B459" s="100">
        <f t="shared" ca="1" si="76"/>
        <v>149633.34</v>
      </c>
      <c r="C459" s="55">
        <f t="shared" ca="1" si="84"/>
        <v>30760.74999999996</v>
      </c>
      <c r="D459" s="55">
        <f t="shared" ca="1" si="84"/>
        <v>553.15000000000089</v>
      </c>
      <c r="E459" s="55">
        <f t="shared" ca="1" si="77"/>
        <v>0</v>
      </c>
      <c r="F459" s="55">
        <f t="shared" ca="1" si="78"/>
        <v>32611.165160655819</v>
      </c>
      <c r="G459" s="101">
        <f t="shared" ca="1" si="79"/>
        <v>213558.40516065579</v>
      </c>
      <c r="H459" s="100">
        <f ca="1">ROUND($B459*VLOOKUP($A459,$A$1:$B$10,2,1)/(365+IF(MOD(YEAR($A459),4),0,1)*($A459-$A458)),2)-Первоначальный[[#This Row],[Проценты на просроченный платеж по ОД за период]]</f>
        <v>78.59</v>
      </c>
      <c r="I459" s="55">
        <f t="shared" ca="1" si="80"/>
        <v>2.99</v>
      </c>
      <c r="J459" s="55">
        <v>0</v>
      </c>
      <c r="K459" s="55">
        <f t="shared" ca="1" si="83"/>
        <v>173.75350327868853</v>
      </c>
      <c r="L459" s="55">
        <v>0</v>
      </c>
      <c r="M459" s="113">
        <f>SUMIFS(График[Возврат основной суммы долга],График[Дата с учетом нерабочих дней],$A459)</f>
        <v>0</v>
      </c>
      <c r="N459" s="56">
        <f>SUMIFS(График[Возврат начисленных %],График[Дата с учетом нерабочих дней],$A459)</f>
        <v>0</v>
      </c>
      <c r="O459" s="101">
        <v>0</v>
      </c>
      <c r="P459" s="100" cm="1">
        <f t="array" aca="1" ref="P459" ca="1">MAX(IF(AA458="Да",0,SUM(INDIRECT("M"&amp;(MAX(("Да"=AA$12:AA458)*ROW(AA$12:AA458)+1,ROW($P$12))&amp;":M"&amp;(ROW()))))-SUM(INDIRECT("W"&amp;(MAX(("Да"=AA$12:AA458)*ROW(AA$12:AA458)+1,ROW($P$12))&amp;":W"&amp;(ROW()))))),0)</f>
        <v>5484.66</v>
      </c>
      <c r="Q459" s="99">
        <f ca="1">MAX(SUM($N$13:N459)-SUM($T$13:T459),0)</f>
        <v>29266.040655737699</v>
      </c>
      <c r="R459" s="99">
        <f ca="1">Первоначальный[[#This Row],[Просроченный платеж по ОД]]+Первоначальный[[#This Row],[Просроченный платеж по процентам]]</f>
        <v>34750.700655737703</v>
      </c>
      <c r="S459" s="120">
        <f ca="1">IF(Первоначальный[[#This Row],[Просроченный платеж]]&lt;1,0,S458+1)</f>
        <v>355</v>
      </c>
      <c r="T459" s="100" cm="1">
        <f t="array" aca="1" ref="T459" ca="1">IF(Первоначальный[[#This Row],[Итого остаток на начало периода]]&lt;1,0,
IF(
AND(TYPE(VLOOKUP(1,$Z$12:Z459,1,0))=16,Первоначальный[[#This Row],[Досрочное погашение (да/"")]]=""),0,
_xlfn.IFS(AND(S458=0,Первоначальный[[#This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платеж]]&lt;&gt;0),MIN(LOOKUP(,-1/($Z$12:Z459=1),$C$12:C459)+LOOKUP(,-1/($Z$12:Z459=1),$H$12:H459),Первоначальный[[#This Row],[Полученный платеж]]+Y458),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платеж]]+Y458,SUM(Первоначальный[[#This Row],[Остаток процентов на начало периода]],Первоначальный[[#This Row],[Проценты за период]])),
AND(S458=0,Первоначальный[[#This Row],[Дата платежа из графика]]=""),0,
AND(S458=0,Первоначальный[[#This Row],[Дата платежа из графика]]=1,MAX((0&lt;&gt;S$12:S458)*ROW(S$12:S458),ROW($S$12))&gt;=MAX((1=Z$12:Z458)*ROW(Z$12:Z458),ROW($T$12)),TYPE(VLOOKUP("Да",(INDIRECT("AA"&amp;(MAX((1=Z$12:Z458)*ROW(Z$12:Z458),ROW($T$12))&amp;":AA"&amp;(ROW()-1)))),1,0))=16),MIN(LOOKUP(,-1/($Z$12:Z459=1),$C$12:C459)+LOOKUP(,-1/($Z$12:Z459=1),$H$12:H459),Первоначальный[[#This Row],[Полученный платеж]]+Y458),
AND(S458=0,TYPE(VLOOKUP("Да",(INDIRECT("AA"&amp;(MAX((1=Z$12:Z458)*ROW(Z$12:Z458),ROW($T$12))&amp;":AA"&amp;(ROW()-1)))),1,0))&lt;&gt;16),MIN(LOOKUP(,-1/($Z$12:Z459=1),$C$12:C459)+LOOKUP(,-1/($Z$12:Z459=1),$H$12:H459)-IF(AA458="Да",0,SUM(INDIRECT("T"&amp;(MAX(("Да"=AA$12:AA458)*ROW(AA$12:AA458)+1,ROW($T$12))&amp;":T"&amp;(ROW()-1))))),Первоначальный[[#This Row],[Полученный платеж]]+Y458),
AND(S458=0,MAX((0&lt;&gt;N$12:N458)*ROW(N$12:N458),ROW($S$12))&gt;=MAX((1=Z$12:Z458)*ROW(Z$12:Z458),ROW($T$12))),MIN(LOOKUP(,-1/($Z$12:Z459=1),$C$12:C459)+LOOKUP(,-1/($Z$12:Z459=1),$H$12:H459)-IF(N458&lt;&gt;0,0,SUM(INDIRECT("T"&amp;(MAX((0&lt;&gt;N$12:N458)*ROW(N$12:N458)+1,ROW($T$12))&amp;":T"&amp;(ROW()-1))))),Первоначальный[[#This Row],[Полученный платеж]]+Y458),
AND(S458=0,Первоначальный[[#This Row],[Дата платежа из графика]]=1),MIN(LOOKUP(,-1/($Z$12:Z459=1),$C$12:C459)+LOOKUP(,-1/($Z$12:Z459=1),$H$12:H459)-IF(Z458=1,0,SUM(INDIRECT("T"&amp;(MAX((1=Z$12:Z458)*ROW(Z$12:Z458)+1,ROW($T$12))&amp;":T"&amp;(ROW()-1))))),Первоначальный[[#This Row],[Полученный платеж]]+Y458),
AND(Z458&gt;0,Первоначальный[[#This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платеж]]+Y458),
AND(S458&gt;0,MAX((0&lt;&gt;S$12:S458)*ROW(S$12:S458),ROW($S$12))&gt;=MAX((1=Z$12:Z458)*ROW(Z$12:Z458),ROW($T$12)),TYPE(VLOOKUP("Да",(INDIRECT("AA"&amp;(MAX((1=Z$12:Z458)*ROW(Z$12:Z458),ROW($T$12))&amp;":AA"&amp;(ROW()-1)))),1,0))=16),MIN(LOOKUP(,-1/($Z$12:Z459=1),$C$12:C459)+LOOKUP(,-1/($Z$12:Z459=1),$H$12:H459)-SUM(INDIRECT("T"&amp;(MAX((1=Z$12:Z458)*ROW(Z$12:Z458),ROW($T$12))&amp;":T"&amp;(ROW()-1)))),Первоначальный[[#This Row],[Полученный платеж]]+Y458),
S458&gt;0,MIN(LOOKUP(,-1/($Z$12:Z459=1),$C$12:C459)+LOOKUP(,-1/($Z$12:Z459=1),$H$12:H459)-IF(Z458=1,0,SUM(INDIRECT("T"&amp;(MAX((1=Z$12:Z458)*ROW(Z$12:Z458)+1,ROW($T$12))&amp;":T"&amp;(ROW()-1))))),Первоначальный[[#This Row],[Полученный платеж]]+Y458)
)
)
)</f>
        <v>0</v>
      </c>
      <c r="U45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платеж]]+Y458-Первоначальный[[#This Row],[Полученный платёж по процентам]])</f>
        <v>0</v>
      </c>
      <c r="V459" s="55">
        <f t="shared" ca="1" si="73"/>
        <v>0</v>
      </c>
      <c r="W459" s="55" cm="1">
        <f t="array" aca="1" ref="W459" ca="1">IF(Первоначальный[[#This Row],[Итого остаток на начало периода]]&lt;1,0,
_xlfn.IFS(
AND(TYPE(VLOOKUP(1,$Z$12:Z459,1,0))=16,Первоначальный[[#This Row],[Досрочное погашение (да/"")]]=""),0,
AND(S458=0,Первоначальный[[#This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платеж]]+Y458-SUM(Первоначальный[[#This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комиссиям]]),VLOOKUP(LOOKUP(,-1/($Z$12:Z459=1),$A$12:A459),График[[Срок конец]:[Возврат основной суммы долга]],3,0)),
AND(S458=0,Первоначальный[[#This Row],[Дата платежа из графика]]="",Первоначальный[[#This Row],[Досрочное погашение (да/"")]]&lt;&gt;"Да"),0,
AND(S458=0,Первоначальный[[#This Row],[Досрочное погашение (да/"")]]=""),MIN(Первоначальный[[#This Row],[Полученный платеж]]+Y458-SUM(Первоначальный[[#This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комиссиям]]),VLOOKUP(LOOKUP(,-1/($Z$12:Z459=1),$A$12:A459),График[[Срок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платеж]]+Y458-SUM(Первоначальный[[#This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S458&gt;0,MIN(Первоначальный[[#This Row],[Полученный платеж]]+Y458-SUM(Первоначальный[[#This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комиссиям]]),SUM(INDIRECT("M"&amp;(MAX((1=S$12:S458)*ROW(S$12:S458),ROW($W$12))&amp;":M"&amp;(ROW()))))-SUM(INDIRECT("W"&amp;(MAX((1=S$12:S458)*ROW(S$12:S458),ROW($W$12))&amp;":W"&amp;(ROW()-1)))))
)
)</f>
        <v>0</v>
      </c>
      <c r="X459" s="55">
        <f t="shared" ca="1" si="74"/>
        <v>0</v>
      </c>
      <c r="Y459" s="101">
        <f t="shared" ca="1" si="81"/>
        <v>0</v>
      </c>
      <c r="Z459" s="133" t="str">
        <f>IF(TYPE((VLOOKUP(Первоначальный[[#This Row],[Дата платежа]],График[Срок конец],1,0)))=16,"",1)</f>
        <v/>
      </c>
      <c r="AA459" s="57"/>
      <c r="AB459" s="134"/>
      <c r="AC45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5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30839.33999999996</v>
      </c>
      <c r="AE45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556.1400000000009</v>
      </c>
      <c r="AF45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5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32784.918663934506</v>
      </c>
      <c r="AH459" s="55"/>
      <c r="AI459" s="55"/>
      <c r="AJ459" s="55"/>
      <c r="AK459" s="101">
        <f t="shared" ca="1" si="82"/>
        <v>213813.73866393449</v>
      </c>
      <c r="AL459" s="129">
        <f t="array" ref="AL459">MAX((УслРестрактов[Характеристика]="Дата реструктуризации")*(УслРестрактов[Значение]=Первоначальный!$A459),0)</f>
        <v>0</v>
      </c>
    </row>
    <row r="460" spans="1:38" x14ac:dyDescent="0.25">
      <c r="A460" s="97">
        <f t="shared" si="75"/>
        <v>44591</v>
      </c>
      <c r="B460" s="100">
        <f t="shared" ca="1" si="76"/>
        <v>149633.34</v>
      </c>
      <c r="C460" s="55">
        <f t="shared" ca="1" si="84"/>
        <v>30839.33999999996</v>
      </c>
      <c r="D460" s="55">
        <f t="shared" ca="1" si="84"/>
        <v>556.1400000000009</v>
      </c>
      <c r="E460" s="55">
        <f t="shared" ca="1" si="77"/>
        <v>0</v>
      </c>
      <c r="F460" s="55">
        <f t="shared" ca="1" si="78"/>
        <v>32784.918663934506</v>
      </c>
      <c r="G460" s="101">
        <f t="shared" ca="1" si="79"/>
        <v>213813.73866393449</v>
      </c>
      <c r="H460" s="100">
        <f ca="1">ROUND($B460*VLOOKUP($A460,$A$1:$B$10,2,1)/(365+IF(MOD(YEAR($A460),4),0,1)*($A460-$A459)),2)-Первоначальный[[#This Row],[Проценты на просроченный платеж по ОД за период]]</f>
        <v>78.59</v>
      </c>
      <c r="I460" s="55">
        <f t="shared" ca="1" si="80"/>
        <v>2.99</v>
      </c>
      <c r="J460" s="55">
        <v>0</v>
      </c>
      <c r="K460" s="55">
        <f t="shared" ca="1" si="83"/>
        <v>173.75350327868853</v>
      </c>
      <c r="L460" s="55">
        <v>0</v>
      </c>
      <c r="M460" s="113">
        <f>SUMIFS(График[Возврат основной суммы долга],График[Дата с учетом нерабочих дней],$A460)</f>
        <v>0</v>
      </c>
      <c r="N460" s="56">
        <f>SUMIFS(График[Возврат начисленных %],График[Дата с учетом нерабочих дней],$A460)</f>
        <v>0</v>
      </c>
      <c r="O460" s="101">
        <v>0</v>
      </c>
      <c r="P460" s="100" cm="1">
        <f t="array" aca="1" ref="P460" ca="1">MAX(IF(AA459="Да",0,SUM(INDIRECT("M"&amp;(MAX(("Да"=AA$12:AA459)*ROW(AA$12:AA459)+1,ROW($P$12))&amp;":M"&amp;(ROW()))))-SUM(INDIRECT("W"&amp;(MAX(("Да"=AA$12:AA459)*ROW(AA$12:AA459)+1,ROW($P$12))&amp;":W"&amp;(ROW()))))),0)</f>
        <v>5484.66</v>
      </c>
      <c r="Q460" s="99">
        <f ca="1">MAX(SUM($N$13:N460)-SUM($T$13:T460),0)</f>
        <v>29266.040655737699</v>
      </c>
      <c r="R460" s="99">
        <f ca="1">Первоначальный[[#This Row],[Просроченный платеж по ОД]]+Первоначальный[[#This Row],[Просроченный платеж по процентам]]</f>
        <v>34750.700655737703</v>
      </c>
      <c r="S460" s="120">
        <f ca="1">IF(Первоначальный[[#This Row],[Просроченный платеж]]&lt;1,0,S459+1)</f>
        <v>356</v>
      </c>
      <c r="T460" s="100" cm="1">
        <f t="array" aca="1" ref="T460" ca="1">IF(Первоначальный[[#This Row],[Итого остаток на начало периода]]&lt;1,0,
IF(
AND(TYPE(VLOOKUP(1,$Z$12:Z460,1,0))=16,Первоначальный[[#This Row],[Досрочное погашение (да/"")]]=""),0,
_xlfn.IFS(AND(S459=0,Первоначальный[[#This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платеж]]&lt;&gt;0),MIN(LOOKUP(,-1/($Z$12:Z460=1),$C$12:C460)+LOOKUP(,-1/($Z$12:Z460=1),$H$12:H460),Первоначальный[[#This Row],[Полученный платеж]]+Y459),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платеж]]+Y459,SUM(Первоначальный[[#This Row],[Остаток процентов на начало периода]],Первоначальный[[#This Row],[Проценты за период]])),
AND(S459=0,Первоначальный[[#This Row],[Дата платежа из графика]]=""),0,
AND(S459=0,Первоначальный[[#This Row],[Дата платежа из графика]]=1,MAX((0&lt;&gt;S$12:S459)*ROW(S$12:S459),ROW($S$12))&gt;=MAX((1=Z$12:Z459)*ROW(Z$12:Z459),ROW($T$12)),TYPE(VLOOKUP("Да",(INDIRECT("AA"&amp;(MAX((1=Z$12:Z459)*ROW(Z$12:Z459),ROW($T$12))&amp;":AA"&amp;(ROW()-1)))),1,0))=16),MIN(LOOKUP(,-1/($Z$12:Z460=1),$C$12:C460)+LOOKUP(,-1/($Z$12:Z460=1),$H$12:H460),Первоначальный[[#This Row],[Полученный платеж]]+Y459),
AND(S459=0,TYPE(VLOOKUP("Да",(INDIRECT("AA"&amp;(MAX((1=Z$12:Z459)*ROW(Z$12:Z459),ROW($T$12))&amp;":AA"&amp;(ROW()-1)))),1,0))&lt;&gt;16),MIN(LOOKUP(,-1/($Z$12:Z460=1),$C$12:C460)+LOOKUP(,-1/($Z$12:Z460=1),$H$12:H460)-IF(AA459="Да",0,SUM(INDIRECT("T"&amp;(MAX(("Да"=AA$12:AA459)*ROW(AA$12:AA459)+1,ROW($T$12))&amp;":T"&amp;(ROW()-1))))),Первоначальный[[#This Row],[Полученный платеж]]+Y459),
AND(S459=0,MAX((0&lt;&gt;N$12:N459)*ROW(N$12:N459),ROW($S$12))&gt;=MAX((1=Z$12:Z459)*ROW(Z$12:Z459),ROW($T$12))),MIN(LOOKUP(,-1/($Z$12:Z460=1),$C$12:C460)+LOOKUP(,-1/($Z$12:Z460=1),$H$12:H460)-IF(N459&lt;&gt;0,0,SUM(INDIRECT("T"&amp;(MAX((0&lt;&gt;N$12:N459)*ROW(N$12:N459)+1,ROW($T$12))&amp;":T"&amp;(ROW()-1))))),Первоначальный[[#This Row],[Полученный платеж]]+Y459),
AND(S459=0,Первоначальный[[#This Row],[Дата платежа из графика]]=1),MIN(LOOKUP(,-1/($Z$12:Z460=1),$C$12:C460)+LOOKUP(,-1/($Z$12:Z460=1),$H$12:H460)-IF(Z459=1,0,SUM(INDIRECT("T"&amp;(MAX((1=Z$12:Z459)*ROW(Z$12:Z459)+1,ROW($T$12))&amp;":T"&amp;(ROW()-1))))),Первоначальный[[#This Row],[Полученный платеж]]+Y459),
AND(Z459&gt;0,Первоначальный[[#This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платеж]]+Y459),
AND(S459&gt;0,MAX((0&lt;&gt;S$12:S459)*ROW(S$12:S459),ROW($S$12))&gt;=MAX((1=Z$12:Z459)*ROW(Z$12:Z459),ROW($T$12)),TYPE(VLOOKUP("Да",(INDIRECT("AA"&amp;(MAX((1=Z$12:Z459)*ROW(Z$12:Z459),ROW($T$12))&amp;":AA"&amp;(ROW()-1)))),1,0))=16),MIN(LOOKUP(,-1/($Z$12:Z460=1),$C$12:C460)+LOOKUP(,-1/($Z$12:Z460=1),$H$12:H460)-SUM(INDIRECT("T"&amp;(MAX((1=Z$12:Z459)*ROW(Z$12:Z459),ROW($T$12))&amp;":T"&amp;(ROW()-1)))),Первоначальный[[#This Row],[Полученный платеж]]+Y459),
S459&gt;0,MIN(LOOKUP(,-1/($Z$12:Z460=1),$C$12:C460)+LOOKUP(,-1/($Z$12:Z460=1),$H$12:H460)-IF(Z459=1,0,SUM(INDIRECT("T"&amp;(MAX((1=Z$12:Z459)*ROW(Z$12:Z459)+1,ROW($T$12))&amp;":T"&amp;(ROW()-1))))),Первоначальный[[#This Row],[Полученный платеж]]+Y459)
)
)
)</f>
        <v>0</v>
      </c>
      <c r="U46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платеж]]+Y459-Первоначальный[[#This Row],[Полученный платёж по процентам]])</f>
        <v>0</v>
      </c>
      <c r="V460" s="55">
        <f t="shared" ca="1" si="73"/>
        <v>0</v>
      </c>
      <c r="W460" s="55" cm="1">
        <f t="array" aca="1" ref="W460" ca="1">IF(Первоначальный[[#This Row],[Итого остаток на начало периода]]&lt;1,0,
_xlfn.IFS(
AND(TYPE(VLOOKUP(1,$Z$12:Z460,1,0))=16,Первоначальный[[#This Row],[Досрочное погашение (да/"")]]=""),0,
AND(S459=0,Первоначальный[[#This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платеж]]+Y459-SUM(Первоначальный[[#This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комиссиям]]),VLOOKUP(LOOKUP(,-1/($Z$12:Z460=1),$A$12:A460),График[[Срок конец]:[Возврат основной суммы долга]],3,0)),
AND(S459=0,Первоначальный[[#This Row],[Дата платежа из графика]]="",Первоначальный[[#This Row],[Досрочное погашение (да/"")]]&lt;&gt;"Да"),0,
AND(S459=0,Первоначальный[[#This Row],[Досрочное погашение (да/"")]]=""),MIN(Первоначальный[[#This Row],[Полученный платеж]]+Y459-SUM(Первоначальный[[#This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комиссиям]]),VLOOKUP(LOOKUP(,-1/($Z$12:Z460=1),$A$12:A460),График[[Срок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платеж]]+Y459-SUM(Первоначальный[[#This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S459&gt;0,MIN(Первоначальный[[#This Row],[Полученный платеж]]+Y459-SUM(Первоначальный[[#This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комиссиям]]),SUM(INDIRECT("M"&amp;(MAX((1=S$12:S459)*ROW(S$12:S459),ROW($W$12))&amp;":M"&amp;(ROW()))))-SUM(INDIRECT("W"&amp;(MAX((1=S$12:S459)*ROW(S$12:S459),ROW($W$12))&amp;":W"&amp;(ROW()-1)))))
)
)</f>
        <v>0</v>
      </c>
      <c r="X460" s="55">
        <f t="shared" ca="1" si="74"/>
        <v>0</v>
      </c>
      <c r="Y460" s="101">
        <f t="shared" ca="1" si="81"/>
        <v>0</v>
      </c>
      <c r="Z460" s="133" t="str">
        <f>IF(TYPE((VLOOKUP(Первоначальный[[#This Row],[Дата платежа]],График[Срок конец],1,0)))=16,"",1)</f>
        <v/>
      </c>
      <c r="AA460" s="57"/>
      <c r="AB460" s="134"/>
      <c r="AC46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6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30917.92999999996</v>
      </c>
      <c r="AE46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559.1300000000009</v>
      </c>
      <c r="AF46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6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32958.672167213197</v>
      </c>
      <c r="AH460" s="55"/>
      <c r="AI460" s="55"/>
      <c r="AJ460" s="55"/>
      <c r="AK460" s="101">
        <f t="shared" ca="1" si="82"/>
        <v>214069.07216721316</v>
      </c>
      <c r="AL460" s="129">
        <f t="array" ref="AL460">MAX((УслРестрактов[Характеристика]="Дата реструктуризации")*(УслРестрактов[Значение]=Первоначальный!$A460),0)</f>
        <v>0</v>
      </c>
    </row>
    <row r="461" spans="1:38" x14ac:dyDescent="0.25">
      <c r="A461" s="97">
        <f t="shared" si="75"/>
        <v>44592</v>
      </c>
      <c r="B461" s="100">
        <f t="shared" ca="1" si="76"/>
        <v>149633.34</v>
      </c>
      <c r="C461" s="55">
        <f t="shared" ca="1" si="84"/>
        <v>30917.92999999996</v>
      </c>
      <c r="D461" s="55">
        <f t="shared" ca="1" si="84"/>
        <v>559.1300000000009</v>
      </c>
      <c r="E461" s="55">
        <f t="shared" ca="1" si="77"/>
        <v>0</v>
      </c>
      <c r="F461" s="55">
        <f t="shared" ca="1" si="78"/>
        <v>32958.672167213197</v>
      </c>
      <c r="G461" s="101">
        <f t="shared" ca="1" si="79"/>
        <v>214069.07216721316</v>
      </c>
      <c r="H461" s="100">
        <f ca="1">ROUND($B461*VLOOKUP($A461,$A$1:$B$10,2,1)/(365+IF(MOD(YEAR($A461),4),0,1)*($A461-$A460)),2)-Первоначальный[[#This Row],[Проценты на просроченный платеж по ОД за период]]</f>
        <v>78.59</v>
      </c>
      <c r="I461" s="55">
        <f t="shared" ca="1" si="80"/>
        <v>2.99</v>
      </c>
      <c r="J461" s="55">
        <v>0</v>
      </c>
      <c r="K461" s="55">
        <f t="shared" ca="1" si="83"/>
        <v>173.75350327868853</v>
      </c>
      <c r="L461" s="55">
        <v>0</v>
      </c>
      <c r="M461" s="113">
        <f>SUMIFS(График[Возврат основной суммы долга],График[Дата с учетом нерабочих дней],$A461)</f>
        <v>0</v>
      </c>
      <c r="N461" s="56">
        <f>SUMIFS(График[Возврат начисленных %],График[Дата с учетом нерабочих дней],$A461)</f>
        <v>0</v>
      </c>
      <c r="O461" s="101">
        <v>0</v>
      </c>
      <c r="P461" s="100" cm="1">
        <f t="array" aca="1" ref="P461" ca="1">MAX(IF(AA460="Да",0,SUM(INDIRECT("M"&amp;(MAX(("Да"=AA$12:AA460)*ROW(AA$12:AA460)+1,ROW($P$12))&amp;":M"&amp;(ROW()))))-SUM(INDIRECT("W"&amp;(MAX(("Да"=AA$12:AA460)*ROW(AA$12:AA460)+1,ROW($P$12))&amp;":W"&amp;(ROW()))))),0)</f>
        <v>5484.66</v>
      </c>
      <c r="Q461" s="99">
        <f ca="1">MAX(SUM($N$13:N461)-SUM($T$13:T461),0)</f>
        <v>29266.040655737699</v>
      </c>
      <c r="R461" s="99">
        <f ca="1">Первоначальный[[#This Row],[Просроченный платеж по ОД]]+Первоначальный[[#This Row],[Просроченный платеж по процентам]]</f>
        <v>34750.700655737703</v>
      </c>
      <c r="S461" s="120">
        <f ca="1">IF(Первоначальный[[#This Row],[Просроченный платеж]]&lt;1,0,S460+1)</f>
        <v>357</v>
      </c>
      <c r="T461" s="100" cm="1">
        <f t="array" aca="1" ref="T461" ca="1">IF(Первоначальный[[#This Row],[Итого остаток на начало периода]]&lt;1,0,
IF(
AND(TYPE(VLOOKUP(1,$Z$12:Z461,1,0))=16,Первоначальный[[#This Row],[Досрочное погашение (да/"")]]=""),0,
_xlfn.IFS(AND(S460=0,Первоначальный[[#This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платеж]]&lt;&gt;0),MIN(LOOKUP(,-1/($Z$12:Z461=1),$C$12:C461)+LOOKUP(,-1/($Z$12:Z461=1),$H$12:H461),Первоначальный[[#This Row],[Полученный платеж]]+Y460),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платеж]]+Y460,SUM(Первоначальный[[#This Row],[Остаток процентов на начало периода]],Первоначальный[[#This Row],[Проценты за период]])),
AND(S460=0,Первоначальный[[#This Row],[Дата платежа из графика]]=""),0,
AND(S460=0,Первоначальный[[#This Row],[Дата платежа из графика]]=1,MAX((0&lt;&gt;S$12:S460)*ROW(S$12:S460),ROW($S$12))&gt;=MAX((1=Z$12:Z460)*ROW(Z$12:Z460),ROW($T$12)),TYPE(VLOOKUP("Да",(INDIRECT("AA"&amp;(MAX((1=Z$12:Z460)*ROW(Z$12:Z460),ROW($T$12))&amp;":AA"&amp;(ROW()-1)))),1,0))=16),MIN(LOOKUP(,-1/($Z$12:Z461=1),$C$12:C461)+LOOKUP(,-1/($Z$12:Z461=1),$H$12:H461),Первоначальный[[#This Row],[Полученный платеж]]+Y460),
AND(S460=0,TYPE(VLOOKUP("Да",(INDIRECT("AA"&amp;(MAX((1=Z$12:Z460)*ROW(Z$12:Z460),ROW($T$12))&amp;":AA"&amp;(ROW()-1)))),1,0))&lt;&gt;16),MIN(LOOKUP(,-1/($Z$12:Z461=1),$C$12:C461)+LOOKUP(,-1/($Z$12:Z461=1),$H$12:H461)-IF(AA460="Да",0,SUM(INDIRECT("T"&amp;(MAX(("Да"=AA$12:AA460)*ROW(AA$12:AA460)+1,ROW($T$12))&amp;":T"&amp;(ROW()-1))))),Первоначальный[[#This Row],[Полученный платеж]]+Y460),
AND(S460=0,MAX((0&lt;&gt;N$12:N460)*ROW(N$12:N460),ROW($S$12))&gt;=MAX((1=Z$12:Z460)*ROW(Z$12:Z460),ROW($T$12))),MIN(LOOKUP(,-1/($Z$12:Z461=1),$C$12:C461)+LOOKUP(,-1/($Z$12:Z461=1),$H$12:H461)-IF(N460&lt;&gt;0,0,SUM(INDIRECT("T"&amp;(MAX((0&lt;&gt;N$12:N460)*ROW(N$12:N460)+1,ROW($T$12))&amp;":T"&amp;(ROW()-1))))),Первоначальный[[#This Row],[Полученный платеж]]+Y460),
AND(S460=0,Первоначальный[[#This Row],[Дата платежа из графика]]=1),MIN(LOOKUP(,-1/($Z$12:Z461=1),$C$12:C461)+LOOKUP(,-1/($Z$12:Z461=1),$H$12:H461)-IF(Z460=1,0,SUM(INDIRECT("T"&amp;(MAX((1=Z$12:Z460)*ROW(Z$12:Z460)+1,ROW($T$12))&amp;":T"&amp;(ROW()-1))))),Первоначальный[[#This Row],[Полученный платеж]]+Y460),
AND(Z460&gt;0,Первоначальный[[#This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платеж]]+Y460),
AND(S460&gt;0,MAX((0&lt;&gt;S$12:S460)*ROW(S$12:S460),ROW($S$12))&gt;=MAX((1=Z$12:Z460)*ROW(Z$12:Z460),ROW($T$12)),TYPE(VLOOKUP("Да",(INDIRECT("AA"&amp;(MAX((1=Z$12:Z460)*ROW(Z$12:Z460),ROW($T$12))&amp;":AA"&amp;(ROW()-1)))),1,0))=16),MIN(LOOKUP(,-1/($Z$12:Z461=1),$C$12:C461)+LOOKUP(,-1/($Z$12:Z461=1),$H$12:H461)-SUM(INDIRECT("T"&amp;(MAX((1=Z$12:Z460)*ROW(Z$12:Z460),ROW($T$12))&amp;":T"&amp;(ROW()-1)))),Первоначальный[[#This Row],[Полученный платеж]]+Y460),
S460&gt;0,MIN(LOOKUP(,-1/($Z$12:Z461=1),$C$12:C461)+LOOKUP(,-1/($Z$12:Z461=1),$H$12:H461)-IF(Z460=1,0,SUM(INDIRECT("T"&amp;(MAX((1=Z$12:Z460)*ROW(Z$12:Z460)+1,ROW($T$12))&amp;":T"&amp;(ROW()-1))))),Первоначальный[[#This Row],[Полученный платеж]]+Y460)
)
)
)</f>
        <v>0</v>
      </c>
      <c r="U46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платеж]]+Y460-Первоначальный[[#This Row],[Полученный платёж по процентам]])</f>
        <v>0</v>
      </c>
      <c r="V461" s="55">
        <f t="shared" ref="V461:V524" ca="1" si="85">MAX(MIN(SUM(O461,Y460)-SUM(T461:T461),SUM(E461,J461)),0)</f>
        <v>0</v>
      </c>
      <c r="W461" s="55" cm="1">
        <f t="array" aca="1" ref="W461" ca="1">IF(Первоначальный[[#This Row],[Итого остаток на начало периода]]&lt;1,0,
_xlfn.IFS(
AND(TYPE(VLOOKUP(1,$Z$12:Z461,1,0))=16,Первоначальный[[#This Row],[Досрочное погашение (да/"")]]=""),0,
AND(S460=0,Первоначальный[[#This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платеж]]+Y460-SUM(Первоначальный[[#This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комиссиям]]),VLOOKUP(LOOKUP(,-1/($Z$12:Z461=1),$A$12:A461),График[[Срок конец]:[Возврат основной суммы долга]],3,0)),
AND(S460=0,Первоначальный[[#This Row],[Дата платежа из графика]]="",Первоначальный[[#This Row],[Досрочное погашение (да/"")]]&lt;&gt;"Да"),0,
AND(S460=0,Первоначальный[[#This Row],[Досрочное погашение (да/"")]]=""),MIN(Первоначальный[[#This Row],[Полученный платеж]]+Y460-SUM(Первоначальный[[#This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комиссиям]]),VLOOKUP(LOOKUP(,-1/($Z$12:Z461=1),$A$12:A461),График[[Срок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платеж]]+Y460-SUM(Первоначальный[[#This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S460&gt;0,MIN(Первоначальный[[#This Row],[Полученный платеж]]+Y460-SUM(Первоначальный[[#This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комиссиям]]),SUM(INDIRECT("M"&amp;(MAX((1=S$12:S460)*ROW(S$12:S460),ROW($W$12))&amp;":M"&amp;(ROW()))))-SUM(INDIRECT("W"&amp;(MAX((1=S$12:S460)*ROW(S$12:S460),ROW($W$12))&amp;":W"&amp;(ROW()-1)))))
)
)</f>
        <v>0</v>
      </c>
      <c r="X461" s="55">
        <f t="shared" ref="X461:X524" ca="1" si="86">MAX(MIN(SUM(O461,Y460)-SUM(T461:W461),SUM(F461,K461)),0)</f>
        <v>0</v>
      </c>
      <c r="Y461" s="101">
        <f t="shared" ca="1" si="81"/>
        <v>0</v>
      </c>
      <c r="Z461" s="133" t="str">
        <f>IF(TYPE((VLOOKUP(Первоначальный[[#This Row],[Дата платежа]],График[Срок конец],1,0)))=16,"",1)</f>
        <v/>
      </c>
      <c r="AA461" s="57"/>
      <c r="AB461" s="134"/>
      <c r="AC46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6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30996.51999999996</v>
      </c>
      <c r="AE46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562.12000000000091</v>
      </c>
      <c r="AF46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6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33132.425670491888</v>
      </c>
      <c r="AH461" s="55"/>
      <c r="AI461" s="55"/>
      <c r="AJ461" s="55"/>
      <c r="AK461" s="101">
        <f t="shared" ca="1" si="82"/>
        <v>214324.40567049183</v>
      </c>
      <c r="AL461" s="129">
        <f t="array" ref="AL461">MAX((УслРестрактов[Характеристика]="Дата реструктуризации")*(УслРестрактов[Значение]=Первоначальный!$A461),0)</f>
        <v>0</v>
      </c>
    </row>
    <row r="462" spans="1:38" x14ac:dyDescent="0.25">
      <c r="A462" s="97">
        <f t="shared" ref="A462:A525" si="87">A461+1</f>
        <v>44593</v>
      </c>
      <c r="B462" s="100">
        <f t="shared" ref="B462:B525" ca="1" si="88">AC461</f>
        <v>149633.34</v>
      </c>
      <c r="C462" s="55">
        <f t="shared" ca="1" si="84"/>
        <v>30996.51999999996</v>
      </c>
      <c r="D462" s="55">
        <f t="shared" ca="1" si="84"/>
        <v>562.12000000000091</v>
      </c>
      <c r="E462" s="55">
        <f t="shared" ref="E462:E525" ca="1" si="89">AF461</f>
        <v>0</v>
      </c>
      <c r="F462" s="55">
        <f t="shared" ref="F462:F525" ca="1" si="90">AG461+AH461</f>
        <v>33132.425670491888</v>
      </c>
      <c r="G462" s="101">
        <f t="shared" ref="G462:G525" ca="1" si="91">AK461</f>
        <v>214324.40567049183</v>
      </c>
      <c r="H462" s="100">
        <f ca="1">ROUND($B462*VLOOKUP($A462,$A$1:$B$10,2,1)/(365+IF(MOD(YEAR($A462),4),0,1)*($A462-$A461)),2)-Первоначальный[[#This Row],[Проценты на просроченный платеж по ОД за период]]</f>
        <v>78.59</v>
      </c>
      <c r="I462" s="55">
        <f t="shared" ref="I462:I525" ca="1" si="92">ROUND(P461*VLOOKUP($A462,$A$1:$B$10,2,1)/(365+IF(MOD(YEAR($A462),4),0,1)*($A462-$A461)),2)</f>
        <v>2.99</v>
      </c>
      <c r="J462" s="55">
        <v>0</v>
      </c>
      <c r="K462" s="55">
        <f t="shared" ca="1" si="83"/>
        <v>173.75350327868853</v>
      </c>
      <c r="L462" s="55">
        <v>0</v>
      </c>
      <c r="M462" s="113">
        <f>SUMIFS(График[Возврат основной суммы долга],График[Дата с учетом нерабочих дней],$A462)</f>
        <v>0</v>
      </c>
      <c r="N462" s="56">
        <f>SUMIFS(График[Возврат начисленных %],График[Дата с учетом нерабочих дней],$A462)</f>
        <v>0</v>
      </c>
      <c r="O462" s="101">
        <v>0</v>
      </c>
      <c r="P462" s="100" cm="1">
        <f t="array" aca="1" ref="P462" ca="1">MAX(IF(AA461="Да",0,SUM(INDIRECT("M"&amp;(MAX(("Да"=AA$12:AA461)*ROW(AA$12:AA461)+1,ROW($P$12))&amp;":M"&amp;(ROW()))))-SUM(INDIRECT("W"&amp;(MAX(("Да"=AA$12:AA461)*ROW(AA$12:AA461)+1,ROW($P$12))&amp;":W"&amp;(ROW()))))),0)</f>
        <v>5484.66</v>
      </c>
      <c r="Q462" s="99">
        <f ca="1">MAX(SUM($N$13:N462)-SUM($T$13:T462),0)</f>
        <v>29266.040655737699</v>
      </c>
      <c r="R462" s="99">
        <f ca="1">Первоначальный[[#This Row],[Просроченный платеж по ОД]]+Первоначальный[[#This Row],[Просроченный платеж по процентам]]</f>
        <v>34750.700655737703</v>
      </c>
      <c r="S462" s="120">
        <f ca="1">IF(Первоначальный[[#This Row],[Просроченный платеж]]&lt;1,0,S461+1)</f>
        <v>358</v>
      </c>
      <c r="T462" s="100" cm="1">
        <f t="array" aca="1" ref="T462" ca="1">IF(Первоначальный[[#This Row],[Итого остаток на начало периода]]&lt;1,0,
IF(
AND(TYPE(VLOOKUP(1,$Z$12:Z462,1,0))=16,Первоначальный[[#This Row],[Досрочное погашение (да/"")]]=""),0,
_xlfn.IFS(AND(S461=0,Первоначальный[[#This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платеж]]&lt;&gt;0),MIN(LOOKUP(,-1/($Z$12:Z462=1),$C$12:C462)+LOOKUP(,-1/($Z$12:Z462=1),$H$12:H462),Первоначальный[[#This Row],[Полученный платеж]]+Y461),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платеж]]+Y461,SUM(Первоначальный[[#This Row],[Остаток процентов на начало периода]],Первоначальный[[#This Row],[Проценты за период]])),
AND(S461=0,Первоначальный[[#This Row],[Дата платежа из графика]]=""),0,
AND(S461=0,Первоначальный[[#This Row],[Дата платежа из графика]]=1,MAX((0&lt;&gt;S$12:S461)*ROW(S$12:S461),ROW($S$12))&gt;=MAX((1=Z$12:Z461)*ROW(Z$12:Z461),ROW($T$12)),TYPE(VLOOKUP("Да",(INDIRECT("AA"&amp;(MAX((1=Z$12:Z461)*ROW(Z$12:Z461),ROW($T$12))&amp;":AA"&amp;(ROW()-1)))),1,0))=16),MIN(LOOKUP(,-1/($Z$12:Z462=1),$C$12:C462)+LOOKUP(,-1/($Z$12:Z462=1),$H$12:H462),Первоначальный[[#This Row],[Полученный платеж]]+Y461),
AND(S461=0,TYPE(VLOOKUP("Да",(INDIRECT("AA"&amp;(MAX((1=Z$12:Z461)*ROW(Z$12:Z461),ROW($T$12))&amp;":AA"&amp;(ROW()-1)))),1,0))&lt;&gt;16),MIN(LOOKUP(,-1/($Z$12:Z462=1),$C$12:C462)+LOOKUP(,-1/($Z$12:Z462=1),$H$12:H462)-IF(AA461="Да",0,SUM(INDIRECT("T"&amp;(MAX(("Да"=AA$12:AA461)*ROW(AA$12:AA461)+1,ROW($T$12))&amp;":T"&amp;(ROW()-1))))),Первоначальный[[#This Row],[Полученный платеж]]+Y461),
AND(S461=0,MAX((0&lt;&gt;N$12:N461)*ROW(N$12:N461),ROW($S$12))&gt;=MAX((1=Z$12:Z461)*ROW(Z$12:Z461),ROW($T$12))),MIN(LOOKUP(,-1/($Z$12:Z462=1),$C$12:C462)+LOOKUP(,-1/($Z$12:Z462=1),$H$12:H462)-IF(N461&lt;&gt;0,0,SUM(INDIRECT("T"&amp;(MAX((0&lt;&gt;N$12:N461)*ROW(N$12:N461)+1,ROW($T$12))&amp;":T"&amp;(ROW()-1))))),Первоначальный[[#This Row],[Полученный платеж]]+Y461),
AND(S461=0,Первоначальный[[#This Row],[Дата платежа из графика]]=1),MIN(LOOKUP(,-1/($Z$12:Z462=1),$C$12:C462)+LOOKUP(,-1/($Z$12:Z462=1),$H$12:H462)-IF(Z461=1,0,SUM(INDIRECT("T"&amp;(MAX((1=Z$12:Z461)*ROW(Z$12:Z461)+1,ROW($T$12))&amp;":T"&amp;(ROW()-1))))),Первоначальный[[#This Row],[Полученный платеж]]+Y461),
AND(Z461&gt;0,Первоначальный[[#This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платеж]]+Y461),
AND(S461&gt;0,MAX((0&lt;&gt;S$12:S461)*ROW(S$12:S461),ROW($S$12))&gt;=MAX((1=Z$12:Z461)*ROW(Z$12:Z461),ROW($T$12)),TYPE(VLOOKUP("Да",(INDIRECT("AA"&amp;(MAX((1=Z$12:Z461)*ROW(Z$12:Z461),ROW($T$12))&amp;":AA"&amp;(ROW()-1)))),1,0))=16),MIN(LOOKUP(,-1/($Z$12:Z462=1),$C$12:C462)+LOOKUP(,-1/($Z$12:Z462=1),$H$12:H462)-SUM(INDIRECT("T"&amp;(MAX((1=Z$12:Z461)*ROW(Z$12:Z461),ROW($T$12))&amp;":T"&amp;(ROW()-1)))),Первоначальный[[#This Row],[Полученный платеж]]+Y461),
S461&gt;0,MIN(LOOKUP(,-1/($Z$12:Z462=1),$C$12:C462)+LOOKUP(,-1/($Z$12:Z462=1),$H$12:H462)-IF(Z461=1,0,SUM(INDIRECT("T"&amp;(MAX((1=Z$12:Z461)*ROW(Z$12:Z461)+1,ROW($T$12))&amp;":T"&amp;(ROW()-1))))),Первоначальный[[#This Row],[Полученный платеж]]+Y461)
)
)
)</f>
        <v>0</v>
      </c>
      <c r="U46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платеж]]+Y461-Первоначальный[[#This Row],[Полученный платёж по процентам]])</f>
        <v>0</v>
      </c>
      <c r="V462" s="55">
        <f t="shared" ca="1" si="85"/>
        <v>0</v>
      </c>
      <c r="W462" s="55" cm="1">
        <f t="array" aca="1" ref="W462" ca="1">IF(Первоначальный[[#This Row],[Итого остаток на начало периода]]&lt;1,0,
_xlfn.IFS(
AND(TYPE(VLOOKUP(1,$Z$12:Z462,1,0))=16,Первоначальный[[#This Row],[Досрочное погашение (да/"")]]=""),0,
AND(S461=0,Первоначальный[[#This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платеж]]+Y461-SUM(Первоначальный[[#This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комиссиям]]),VLOOKUP(LOOKUP(,-1/($Z$12:Z462=1),$A$12:A462),График[[Срок конец]:[Возврат основной суммы долга]],3,0)),
AND(S461=0,Первоначальный[[#This Row],[Дата платежа из графика]]="",Первоначальный[[#This Row],[Досрочное погашение (да/"")]]&lt;&gt;"Да"),0,
AND(S461=0,Первоначальный[[#This Row],[Досрочное погашение (да/"")]]=""),MIN(Первоначальный[[#This Row],[Полученный платеж]]+Y461-SUM(Первоначальный[[#This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комиссиям]]),VLOOKUP(LOOKUP(,-1/($Z$12:Z462=1),$A$12:A462),График[[Срок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платеж]]+Y461-SUM(Первоначальный[[#This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S461&gt;0,MIN(Первоначальный[[#This Row],[Полученный платеж]]+Y461-SUM(Первоначальный[[#This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комиссиям]]),SUM(INDIRECT("M"&amp;(MAX((1=S$12:S461)*ROW(S$12:S461),ROW($W$12))&amp;":M"&amp;(ROW()))))-SUM(INDIRECT("W"&amp;(MAX((1=S$12:S461)*ROW(S$12:S461),ROW($W$12))&amp;":W"&amp;(ROW()-1)))))
)
)</f>
        <v>0</v>
      </c>
      <c r="X462" s="55">
        <f t="shared" ca="1" si="86"/>
        <v>0</v>
      </c>
      <c r="Y462" s="101">
        <f t="shared" ref="Y462:Y525" ca="1" si="93">ROUND(Y461+O462-SUM(T462:X462),2)</f>
        <v>0</v>
      </c>
      <c r="Z462" s="133" t="str">
        <f>IF(TYPE((VLOOKUP(Первоначальный[[#This Row],[Дата платежа]],График[Срок конец],1,0)))=16,"",1)</f>
        <v/>
      </c>
      <c r="AA462" s="57"/>
      <c r="AB462" s="134"/>
      <c r="AC46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6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31075.109999999961</v>
      </c>
      <c r="AE46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565.11000000000092</v>
      </c>
      <c r="AF46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6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33306.179173770579</v>
      </c>
      <c r="AH462" s="55"/>
      <c r="AI462" s="55"/>
      <c r="AJ462" s="55"/>
      <c r="AK462" s="101">
        <f t="shared" ref="AK462:AK525" ca="1" si="94">SUM(AC462:AJ462)</f>
        <v>214579.73917377053</v>
      </c>
      <c r="AL462" s="129">
        <f t="array" ref="AL462">MAX((УслРестрактов[Характеристика]="Дата реструктуризации")*(УслРестрактов[Значение]=Первоначальный!$A462),0)</f>
        <v>0</v>
      </c>
    </row>
    <row r="463" spans="1:38" x14ac:dyDescent="0.25">
      <c r="A463" s="97">
        <f t="shared" si="87"/>
        <v>44594</v>
      </c>
      <c r="B463" s="100">
        <f t="shared" ca="1" si="88"/>
        <v>149633.34</v>
      </c>
      <c r="C463" s="55">
        <f t="shared" ca="1" si="84"/>
        <v>31075.109999999961</v>
      </c>
      <c r="D463" s="55">
        <f t="shared" ca="1" si="84"/>
        <v>565.11000000000092</v>
      </c>
      <c r="E463" s="55">
        <f t="shared" ca="1" si="89"/>
        <v>0</v>
      </c>
      <c r="F463" s="55">
        <f t="shared" ca="1" si="90"/>
        <v>33306.179173770579</v>
      </c>
      <c r="G463" s="101">
        <f t="shared" ca="1" si="91"/>
        <v>214579.73917377053</v>
      </c>
      <c r="H463" s="100">
        <f ca="1">ROUND($B463*VLOOKUP($A463,$A$1:$B$10,2,1)/(365+IF(MOD(YEAR($A463),4),0,1)*($A463-$A462)),2)-Первоначальный[[#This Row],[Проценты на просроченный платеж по ОД за период]]</f>
        <v>78.59</v>
      </c>
      <c r="I463" s="55">
        <f t="shared" ca="1" si="92"/>
        <v>2.99</v>
      </c>
      <c r="J463" s="55">
        <v>0</v>
      </c>
      <c r="K463" s="55">
        <f t="shared" ref="K463:K526" ca="1" si="95">IF(S463&lt;&gt;0,R463*$B$7,0)</f>
        <v>173.75350327868853</v>
      </c>
      <c r="L463" s="55">
        <v>0</v>
      </c>
      <c r="M463" s="113">
        <f>SUMIFS(График[Возврат основной суммы долга],График[Дата с учетом нерабочих дней],$A463)</f>
        <v>0</v>
      </c>
      <c r="N463" s="56">
        <f>SUMIFS(График[Возврат начисленных %],График[Дата с учетом нерабочих дней],$A463)</f>
        <v>0</v>
      </c>
      <c r="O463" s="101">
        <v>0</v>
      </c>
      <c r="P463" s="100" cm="1">
        <f t="array" aca="1" ref="P463" ca="1">MAX(IF(AA462="Да",0,SUM(INDIRECT("M"&amp;(MAX(("Да"=AA$12:AA462)*ROW(AA$12:AA462)+1,ROW($P$12))&amp;":M"&amp;(ROW()))))-SUM(INDIRECT("W"&amp;(MAX(("Да"=AA$12:AA462)*ROW(AA$12:AA462)+1,ROW($P$12))&amp;":W"&amp;(ROW()))))),0)</f>
        <v>5484.66</v>
      </c>
      <c r="Q463" s="99">
        <f ca="1">MAX(SUM($N$13:N463)-SUM($T$13:T463),0)</f>
        <v>29266.040655737699</v>
      </c>
      <c r="R463" s="99">
        <f ca="1">Первоначальный[[#This Row],[Просроченный платеж по ОД]]+Первоначальный[[#This Row],[Просроченный платеж по процентам]]</f>
        <v>34750.700655737703</v>
      </c>
      <c r="S463" s="120">
        <f ca="1">IF(Первоначальный[[#This Row],[Просроченный платеж]]&lt;1,0,S462+1)</f>
        <v>359</v>
      </c>
      <c r="T463" s="100" cm="1">
        <f t="array" aca="1" ref="T463" ca="1">IF(Первоначальный[[#This Row],[Итого остаток на начало периода]]&lt;1,0,
IF(
AND(TYPE(VLOOKUP(1,$Z$12:Z463,1,0))=16,Первоначальный[[#This Row],[Досрочное погашение (да/"")]]=""),0,
_xlfn.IFS(AND(S462=0,Первоначальный[[#This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платеж]]&lt;&gt;0),MIN(LOOKUP(,-1/($Z$12:Z463=1),$C$12:C463)+LOOKUP(,-1/($Z$12:Z463=1),$H$12:H463),Первоначальный[[#This Row],[Полученный платеж]]+Y462),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платеж]]+Y462,SUM(Первоначальный[[#This Row],[Остаток процентов на начало периода]],Первоначальный[[#This Row],[Проценты за период]])),
AND(S462=0,Первоначальный[[#This Row],[Дата платежа из графика]]=""),0,
AND(S462=0,Первоначальный[[#This Row],[Дата платежа из графика]]=1,MAX((0&lt;&gt;S$12:S462)*ROW(S$12:S462),ROW($S$12))&gt;=MAX((1=Z$12:Z462)*ROW(Z$12:Z462),ROW($T$12)),TYPE(VLOOKUP("Да",(INDIRECT("AA"&amp;(MAX((1=Z$12:Z462)*ROW(Z$12:Z462),ROW($T$12))&amp;":AA"&amp;(ROW()-1)))),1,0))=16),MIN(LOOKUP(,-1/($Z$12:Z463=1),$C$12:C463)+LOOKUP(,-1/($Z$12:Z463=1),$H$12:H463),Первоначальный[[#This Row],[Полученный платеж]]+Y462),
AND(S462=0,TYPE(VLOOKUP("Да",(INDIRECT("AA"&amp;(MAX((1=Z$12:Z462)*ROW(Z$12:Z462),ROW($T$12))&amp;":AA"&amp;(ROW()-1)))),1,0))&lt;&gt;16),MIN(LOOKUP(,-1/($Z$12:Z463=1),$C$12:C463)+LOOKUP(,-1/($Z$12:Z463=1),$H$12:H463)-IF(AA462="Да",0,SUM(INDIRECT("T"&amp;(MAX(("Да"=AA$12:AA462)*ROW(AA$12:AA462)+1,ROW($T$12))&amp;":T"&amp;(ROW()-1))))),Первоначальный[[#This Row],[Полученный платеж]]+Y462),
AND(S462=0,MAX((0&lt;&gt;N$12:N462)*ROW(N$12:N462),ROW($S$12))&gt;=MAX((1=Z$12:Z462)*ROW(Z$12:Z462),ROW($T$12))),MIN(LOOKUP(,-1/($Z$12:Z463=1),$C$12:C463)+LOOKUP(,-1/($Z$12:Z463=1),$H$12:H463)-IF(N462&lt;&gt;0,0,SUM(INDIRECT("T"&amp;(MAX((0&lt;&gt;N$12:N462)*ROW(N$12:N462)+1,ROW($T$12))&amp;":T"&amp;(ROW()-1))))),Первоначальный[[#This Row],[Полученный платеж]]+Y462),
AND(S462=0,Первоначальный[[#This Row],[Дата платежа из графика]]=1),MIN(LOOKUP(,-1/($Z$12:Z463=1),$C$12:C463)+LOOKUP(,-1/($Z$12:Z463=1),$H$12:H463)-IF(Z462=1,0,SUM(INDIRECT("T"&amp;(MAX((1=Z$12:Z462)*ROW(Z$12:Z462)+1,ROW($T$12))&amp;":T"&amp;(ROW()-1))))),Первоначальный[[#This Row],[Полученный платеж]]+Y462),
AND(Z462&gt;0,Первоначальный[[#This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платеж]]+Y462),
AND(S462&gt;0,MAX((0&lt;&gt;S$12:S462)*ROW(S$12:S462),ROW($S$12))&gt;=MAX((1=Z$12:Z462)*ROW(Z$12:Z462),ROW($T$12)),TYPE(VLOOKUP("Да",(INDIRECT("AA"&amp;(MAX((1=Z$12:Z462)*ROW(Z$12:Z462),ROW($T$12))&amp;":AA"&amp;(ROW()-1)))),1,0))=16),MIN(LOOKUP(,-1/($Z$12:Z463=1),$C$12:C463)+LOOKUP(,-1/($Z$12:Z463=1),$H$12:H463)-SUM(INDIRECT("T"&amp;(MAX((1=Z$12:Z462)*ROW(Z$12:Z462),ROW($T$12))&amp;":T"&amp;(ROW()-1)))),Первоначальный[[#This Row],[Полученный платеж]]+Y462),
S462&gt;0,MIN(LOOKUP(,-1/($Z$12:Z463=1),$C$12:C463)+LOOKUP(,-1/($Z$12:Z463=1),$H$12:H463)-IF(Z462=1,0,SUM(INDIRECT("T"&amp;(MAX((1=Z$12:Z462)*ROW(Z$12:Z462)+1,ROW($T$12))&amp;":T"&amp;(ROW()-1))))),Первоначальный[[#This Row],[Полученный платеж]]+Y462)
)
)
)</f>
        <v>0</v>
      </c>
      <c r="U46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платеж]]+Y462-Первоначальный[[#This Row],[Полученный платёж по процентам]])</f>
        <v>0</v>
      </c>
      <c r="V463" s="55">
        <f t="shared" ca="1" si="85"/>
        <v>0</v>
      </c>
      <c r="W463" s="55" cm="1">
        <f t="array" aca="1" ref="W463" ca="1">IF(Первоначальный[[#This Row],[Итого остаток на начало периода]]&lt;1,0,
_xlfn.IFS(
AND(TYPE(VLOOKUP(1,$Z$12:Z463,1,0))=16,Первоначальный[[#This Row],[Досрочное погашение (да/"")]]=""),0,
AND(S462=0,Первоначальный[[#This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платеж]]+Y462-SUM(Первоначальный[[#This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комиссиям]]),VLOOKUP(LOOKUP(,-1/($Z$12:Z463=1),$A$12:A463),График[[Срок конец]:[Возврат основной суммы долга]],3,0)),
AND(S462=0,Первоначальный[[#This Row],[Дата платежа из графика]]="",Первоначальный[[#This Row],[Досрочное погашение (да/"")]]&lt;&gt;"Да"),0,
AND(S462=0,Первоначальный[[#This Row],[Досрочное погашение (да/"")]]=""),MIN(Первоначальный[[#This Row],[Полученный платеж]]+Y462-SUM(Первоначальный[[#This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комиссиям]]),VLOOKUP(LOOKUP(,-1/($Z$12:Z463=1),$A$12:A463),График[[Срок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платеж]]+Y462-SUM(Первоначальный[[#This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S462&gt;0,MIN(Первоначальный[[#This Row],[Полученный платеж]]+Y462-SUM(Первоначальный[[#This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комиссиям]]),SUM(INDIRECT("M"&amp;(MAX((1=S$12:S462)*ROW(S$12:S462),ROW($W$12))&amp;":M"&amp;(ROW()))))-SUM(INDIRECT("W"&amp;(MAX((1=S$12:S462)*ROW(S$12:S462),ROW($W$12))&amp;":W"&amp;(ROW()-1)))))
)
)</f>
        <v>0</v>
      </c>
      <c r="X463" s="55">
        <f t="shared" ca="1" si="86"/>
        <v>0</v>
      </c>
      <c r="Y463" s="101">
        <f t="shared" ca="1" si="93"/>
        <v>0</v>
      </c>
      <c r="Z463" s="133" t="str">
        <f>IF(TYPE((VLOOKUP(Первоначальный[[#This Row],[Дата платежа]],График[Срок конец],1,0)))=16,"",1)</f>
        <v/>
      </c>
      <c r="AA463" s="57"/>
      <c r="AB463" s="134"/>
      <c r="AC46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6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31153.699999999961</v>
      </c>
      <c r="AE46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568.10000000000093</v>
      </c>
      <c r="AF46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6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33479.93267704927</v>
      </c>
      <c r="AH463" s="55"/>
      <c r="AI463" s="55"/>
      <c r="AJ463" s="55"/>
      <c r="AK463" s="101">
        <f t="shared" ca="1" si="94"/>
        <v>214835.07267704923</v>
      </c>
      <c r="AL463" s="129">
        <f t="array" ref="AL463">MAX((УслРестрактов[Характеристика]="Дата реструктуризации")*(УслРестрактов[Значение]=Первоначальный!$A463),0)</f>
        <v>0</v>
      </c>
    </row>
    <row r="464" spans="1:38" x14ac:dyDescent="0.25">
      <c r="A464" s="97">
        <f t="shared" si="87"/>
        <v>44595</v>
      </c>
      <c r="B464" s="100">
        <f t="shared" ca="1" si="88"/>
        <v>149633.34</v>
      </c>
      <c r="C464" s="55">
        <f t="shared" ca="1" si="84"/>
        <v>31153.699999999961</v>
      </c>
      <c r="D464" s="55">
        <f t="shared" ca="1" si="84"/>
        <v>568.10000000000093</v>
      </c>
      <c r="E464" s="55">
        <f t="shared" ca="1" si="89"/>
        <v>0</v>
      </c>
      <c r="F464" s="55">
        <f t="shared" ca="1" si="90"/>
        <v>33479.93267704927</v>
      </c>
      <c r="G464" s="101">
        <f t="shared" ca="1" si="91"/>
        <v>214835.07267704923</v>
      </c>
      <c r="H464" s="100">
        <f ca="1">ROUND($B464*VLOOKUP($A464,$A$1:$B$10,2,1)/(365+IF(MOD(YEAR($A464),4),0,1)*($A464-$A463)),2)-Первоначальный[[#This Row],[Проценты на просроченный платеж по ОД за период]]</f>
        <v>78.59</v>
      </c>
      <c r="I464" s="55">
        <f t="shared" ca="1" si="92"/>
        <v>2.99</v>
      </c>
      <c r="J464" s="55">
        <v>0</v>
      </c>
      <c r="K464" s="55">
        <f t="shared" ca="1" si="95"/>
        <v>173.75350327868853</v>
      </c>
      <c r="L464" s="55">
        <v>0</v>
      </c>
      <c r="M464" s="113">
        <f>SUMIFS(График[Возврат основной суммы долга],График[Дата с учетом нерабочих дней],$A464)</f>
        <v>0</v>
      </c>
      <c r="N464" s="56">
        <f>SUMIFS(График[Возврат начисленных %],График[Дата с учетом нерабочих дней],$A464)</f>
        <v>0</v>
      </c>
      <c r="O464" s="101">
        <v>0</v>
      </c>
      <c r="P464" s="100" cm="1">
        <f t="array" aca="1" ref="P464" ca="1">MAX(IF(AA463="Да",0,SUM(INDIRECT("M"&amp;(MAX(("Да"=AA$12:AA463)*ROW(AA$12:AA463)+1,ROW($P$12))&amp;":M"&amp;(ROW()))))-SUM(INDIRECT("W"&amp;(MAX(("Да"=AA$12:AA463)*ROW(AA$12:AA463)+1,ROW($P$12))&amp;":W"&amp;(ROW()))))),0)</f>
        <v>5484.66</v>
      </c>
      <c r="Q464" s="99">
        <f ca="1">MAX(SUM($N$13:N464)-SUM($T$13:T464),0)</f>
        <v>29266.040655737699</v>
      </c>
      <c r="R464" s="99">
        <f ca="1">Первоначальный[[#This Row],[Просроченный платеж по ОД]]+Первоначальный[[#This Row],[Просроченный платеж по процентам]]</f>
        <v>34750.700655737703</v>
      </c>
      <c r="S464" s="120">
        <f ca="1">IF(Первоначальный[[#This Row],[Просроченный платеж]]&lt;1,0,S463+1)</f>
        <v>360</v>
      </c>
      <c r="T464" s="100" cm="1">
        <f t="array" aca="1" ref="T464" ca="1">IF(Первоначальный[[#This Row],[Итого остаток на начало периода]]&lt;1,0,
IF(
AND(TYPE(VLOOKUP(1,$Z$12:Z464,1,0))=16,Первоначальный[[#This Row],[Досрочное погашение (да/"")]]=""),0,
_xlfn.IFS(AND(S463=0,Первоначальный[[#This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платеж]]&lt;&gt;0),MIN(LOOKUP(,-1/($Z$12:Z464=1),$C$12:C464)+LOOKUP(,-1/($Z$12:Z464=1),$H$12:H464),Первоначальный[[#This Row],[Полученный платеж]]+Y463),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платеж]]+Y463,SUM(Первоначальный[[#This Row],[Остаток процентов на начало периода]],Первоначальный[[#This Row],[Проценты за период]])),
AND(S463=0,Первоначальный[[#This Row],[Дата платежа из графика]]=""),0,
AND(S463=0,Первоначальный[[#This Row],[Дата платежа из графика]]=1,MAX((0&lt;&gt;S$12:S463)*ROW(S$12:S463),ROW($S$12))&gt;=MAX((1=Z$12:Z463)*ROW(Z$12:Z463),ROW($T$12)),TYPE(VLOOKUP("Да",(INDIRECT("AA"&amp;(MAX((1=Z$12:Z463)*ROW(Z$12:Z463),ROW($T$12))&amp;":AA"&amp;(ROW()-1)))),1,0))=16),MIN(LOOKUP(,-1/($Z$12:Z464=1),$C$12:C464)+LOOKUP(,-1/($Z$12:Z464=1),$H$12:H464),Первоначальный[[#This Row],[Полученный платеж]]+Y463),
AND(S463=0,TYPE(VLOOKUP("Да",(INDIRECT("AA"&amp;(MAX((1=Z$12:Z463)*ROW(Z$12:Z463),ROW($T$12))&amp;":AA"&amp;(ROW()-1)))),1,0))&lt;&gt;16),MIN(LOOKUP(,-1/($Z$12:Z464=1),$C$12:C464)+LOOKUP(,-1/($Z$12:Z464=1),$H$12:H464)-IF(AA463="Да",0,SUM(INDIRECT("T"&amp;(MAX(("Да"=AA$12:AA463)*ROW(AA$12:AA463)+1,ROW($T$12))&amp;":T"&amp;(ROW()-1))))),Первоначальный[[#This Row],[Полученный платеж]]+Y463),
AND(S463=0,MAX((0&lt;&gt;N$12:N463)*ROW(N$12:N463),ROW($S$12))&gt;=MAX((1=Z$12:Z463)*ROW(Z$12:Z463),ROW($T$12))),MIN(LOOKUP(,-1/($Z$12:Z464=1),$C$12:C464)+LOOKUP(,-1/($Z$12:Z464=1),$H$12:H464)-IF(N463&lt;&gt;0,0,SUM(INDIRECT("T"&amp;(MAX((0&lt;&gt;N$12:N463)*ROW(N$12:N463)+1,ROW($T$12))&amp;":T"&amp;(ROW()-1))))),Первоначальный[[#This Row],[Полученный платеж]]+Y463),
AND(S463=0,Первоначальный[[#This Row],[Дата платежа из графика]]=1),MIN(LOOKUP(,-1/($Z$12:Z464=1),$C$12:C464)+LOOKUP(,-1/($Z$12:Z464=1),$H$12:H464)-IF(Z463=1,0,SUM(INDIRECT("T"&amp;(MAX((1=Z$12:Z463)*ROW(Z$12:Z463)+1,ROW($T$12))&amp;":T"&amp;(ROW()-1))))),Первоначальный[[#This Row],[Полученный платеж]]+Y463),
AND(Z463&gt;0,Первоначальный[[#This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платеж]]+Y463),
AND(S463&gt;0,MAX((0&lt;&gt;S$12:S463)*ROW(S$12:S463),ROW($S$12))&gt;=MAX((1=Z$12:Z463)*ROW(Z$12:Z463),ROW($T$12)),TYPE(VLOOKUP("Да",(INDIRECT("AA"&amp;(MAX((1=Z$12:Z463)*ROW(Z$12:Z463),ROW($T$12))&amp;":AA"&amp;(ROW()-1)))),1,0))=16),MIN(LOOKUP(,-1/($Z$12:Z464=1),$C$12:C464)+LOOKUP(,-1/($Z$12:Z464=1),$H$12:H464)-SUM(INDIRECT("T"&amp;(MAX((1=Z$12:Z463)*ROW(Z$12:Z463),ROW($T$12))&amp;":T"&amp;(ROW()-1)))),Первоначальный[[#This Row],[Полученный платеж]]+Y463),
S463&gt;0,MIN(LOOKUP(,-1/($Z$12:Z464=1),$C$12:C464)+LOOKUP(,-1/($Z$12:Z464=1),$H$12:H464)-IF(Z463=1,0,SUM(INDIRECT("T"&amp;(MAX((1=Z$12:Z463)*ROW(Z$12:Z463)+1,ROW($T$12))&amp;":T"&amp;(ROW()-1))))),Первоначальный[[#This Row],[Полученный платеж]]+Y463)
)
)
)</f>
        <v>0</v>
      </c>
      <c r="U46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платеж]]+Y463-Первоначальный[[#This Row],[Полученный платёж по процентам]])</f>
        <v>0</v>
      </c>
      <c r="V464" s="55">
        <f t="shared" ca="1" si="85"/>
        <v>0</v>
      </c>
      <c r="W464" s="55" cm="1">
        <f t="array" aca="1" ref="W464" ca="1">IF(Первоначальный[[#This Row],[Итого остаток на начало периода]]&lt;1,0,
_xlfn.IFS(
AND(TYPE(VLOOKUP(1,$Z$12:Z464,1,0))=16,Первоначальный[[#This Row],[Досрочное погашение (да/"")]]=""),0,
AND(S463=0,Первоначальный[[#This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платеж]]+Y463-SUM(Первоначальный[[#This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комиссиям]]),VLOOKUP(LOOKUP(,-1/($Z$12:Z464=1),$A$12:A464),График[[Срок конец]:[Возврат основной суммы долга]],3,0)),
AND(S463=0,Первоначальный[[#This Row],[Дата платежа из графика]]="",Первоначальный[[#This Row],[Досрочное погашение (да/"")]]&lt;&gt;"Да"),0,
AND(S463=0,Первоначальный[[#This Row],[Досрочное погашение (да/"")]]=""),MIN(Первоначальный[[#This Row],[Полученный платеж]]+Y463-SUM(Первоначальный[[#This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комиссиям]]),VLOOKUP(LOOKUP(,-1/($Z$12:Z464=1),$A$12:A464),График[[Срок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платеж]]+Y463-SUM(Первоначальный[[#This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S463&gt;0,MIN(Первоначальный[[#This Row],[Полученный платеж]]+Y463-SUM(Первоначальный[[#This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комиссиям]]),SUM(INDIRECT("M"&amp;(MAX((1=S$12:S463)*ROW(S$12:S463),ROW($W$12))&amp;":M"&amp;(ROW()))))-SUM(INDIRECT("W"&amp;(MAX((1=S$12:S463)*ROW(S$12:S463),ROW($W$12))&amp;":W"&amp;(ROW()-1)))))
)
)</f>
        <v>0</v>
      </c>
      <c r="X464" s="55">
        <f t="shared" ca="1" si="86"/>
        <v>0</v>
      </c>
      <c r="Y464" s="101">
        <f t="shared" ca="1" si="93"/>
        <v>0</v>
      </c>
      <c r="Z464" s="133" t="str">
        <f>IF(TYPE((VLOOKUP(Первоначальный[[#This Row],[Дата платежа]],График[Срок конец],1,0)))=16,"",1)</f>
        <v/>
      </c>
      <c r="AA464" s="57"/>
      <c r="AB464" s="134"/>
      <c r="AC46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6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31232.289999999961</v>
      </c>
      <c r="AE46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571.09000000000094</v>
      </c>
      <c r="AF46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6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33653.686180327961</v>
      </c>
      <c r="AH464" s="55"/>
      <c r="AI464" s="55"/>
      <c r="AJ464" s="55"/>
      <c r="AK464" s="101">
        <f t="shared" ca="1" si="94"/>
        <v>215090.4061803279</v>
      </c>
      <c r="AL464" s="129">
        <f t="array" ref="AL464">MAX((УслРестрактов[Характеристика]="Дата реструктуризации")*(УслРестрактов[Значение]=Первоначальный!$A464),0)</f>
        <v>0</v>
      </c>
    </row>
    <row r="465" spans="1:38" x14ac:dyDescent="0.25">
      <c r="A465" s="97">
        <f t="shared" si="87"/>
        <v>44596</v>
      </c>
      <c r="B465" s="100">
        <f t="shared" ca="1" si="88"/>
        <v>149633.34</v>
      </c>
      <c r="C465" s="55">
        <f t="shared" ca="1" si="84"/>
        <v>31232.289999999961</v>
      </c>
      <c r="D465" s="55">
        <f t="shared" ca="1" si="84"/>
        <v>571.09000000000094</v>
      </c>
      <c r="E465" s="55">
        <f t="shared" ca="1" si="89"/>
        <v>0</v>
      </c>
      <c r="F465" s="55">
        <f t="shared" ca="1" si="90"/>
        <v>33653.686180327961</v>
      </c>
      <c r="G465" s="101">
        <f t="shared" ca="1" si="91"/>
        <v>215090.4061803279</v>
      </c>
      <c r="H465" s="100">
        <f ca="1">ROUND($B465*VLOOKUP($A465,$A$1:$B$10,2,1)/(365+IF(MOD(YEAR($A465),4),0,1)*($A465-$A464)),2)-Первоначальный[[#This Row],[Проценты на просроченный платеж по ОД за период]]</f>
        <v>78.59</v>
      </c>
      <c r="I465" s="55">
        <f t="shared" ca="1" si="92"/>
        <v>2.99</v>
      </c>
      <c r="J465" s="55">
        <v>0</v>
      </c>
      <c r="K465" s="55">
        <f t="shared" ca="1" si="95"/>
        <v>173.75350327868853</v>
      </c>
      <c r="L465" s="55">
        <v>0</v>
      </c>
      <c r="M465" s="113">
        <f>SUMIFS(График[Возврат основной суммы долга],График[Дата с учетом нерабочих дней],$A465)</f>
        <v>0</v>
      </c>
      <c r="N465" s="56">
        <f>SUMIFS(График[Возврат начисленных %],График[Дата с учетом нерабочих дней],$A465)</f>
        <v>0</v>
      </c>
      <c r="O465" s="101">
        <v>0</v>
      </c>
      <c r="P465" s="100" cm="1">
        <f t="array" aca="1" ref="P465" ca="1">MAX(IF(AA464="Да",0,SUM(INDIRECT("M"&amp;(MAX(("Да"=AA$12:AA464)*ROW(AA$12:AA464)+1,ROW($P$12))&amp;":M"&amp;(ROW()))))-SUM(INDIRECT("W"&amp;(MAX(("Да"=AA$12:AA464)*ROW(AA$12:AA464)+1,ROW($P$12))&amp;":W"&amp;(ROW()))))),0)</f>
        <v>5484.66</v>
      </c>
      <c r="Q465" s="99">
        <f ca="1">MAX(SUM($N$13:N465)-SUM($T$13:T465),0)</f>
        <v>29266.040655737699</v>
      </c>
      <c r="R465" s="99">
        <f ca="1">Первоначальный[[#This Row],[Просроченный платеж по ОД]]+Первоначальный[[#This Row],[Просроченный платеж по процентам]]</f>
        <v>34750.700655737703</v>
      </c>
      <c r="S465" s="120">
        <f ca="1">IF(Первоначальный[[#This Row],[Просроченный платеж]]&lt;1,0,S464+1)</f>
        <v>361</v>
      </c>
      <c r="T465" s="100" cm="1">
        <f t="array" aca="1" ref="T465" ca="1">IF(Первоначальный[[#This Row],[Итого остаток на начало периода]]&lt;1,0,
IF(
AND(TYPE(VLOOKUP(1,$Z$12:Z465,1,0))=16,Первоначальный[[#This Row],[Досрочное погашение (да/"")]]=""),0,
_xlfn.IFS(AND(S464=0,Первоначальный[[#This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платеж]]&lt;&gt;0),MIN(LOOKUP(,-1/($Z$12:Z465=1),$C$12:C465)+LOOKUP(,-1/($Z$12:Z465=1),$H$12:H465),Первоначальный[[#This Row],[Полученный платеж]]+Y464),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платеж]]+Y464,SUM(Первоначальный[[#This Row],[Остаток процентов на начало периода]],Первоначальный[[#This Row],[Проценты за период]])),
AND(S464=0,Первоначальный[[#This Row],[Дата платежа из графика]]=""),0,
AND(S464=0,Первоначальный[[#This Row],[Дата платежа из графика]]=1,MAX((0&lt;&gt;S$12:S464)*ROW(S$12:S464),ROW($S$12))&gt;=MAX((1=Z$12:Z464)*ROW(Z$12:Z464),ROW($T$12)),TYPE(VLOOKUP("Да",(INDIRECT("AA"&amp;(MAX((1=Z$12:Z464)*ROW(Z$12:Z464),ROW($T$12))&amp;":AA"&amp;(ROW()-1)))),1,0))=16),MIN(LOOKUP(,-1/($Z$12:Z465=1),$C$12:C465)+LOOKUP(,-1/($Z$12:Z465=1),$H$12:H465),Первоначальный[[#This Row],[Полученный платеж]]+Y464),
AND(S464=0,TYPE(VLOOKUP("Да",(INDIRECT("AA"&amp;(MAX((1=Z$12:Z464)*ROW(Z$12:Z464),ROW($T$12))&amp;":AA"&amp;(ROW()-1)))),1,0))&lt;&gt;16),MIN(LOOKUP(,-1/($Z$12:Z465=1),$C$12:C465)+LOOKUP(,-1/($Z$12:Z465=1),$H$12:H465)-IF(AA464="Да",0,SUM(INDIRECT("T"&amp;(MAX(("Да"=AA$12:AA464)*ROW(AA$12:AA464)+1,ROW($T$12))&amp;":T"&amp;(ROW()-1))))),Первоначальный[[#This Row],[Полученный платеж]]+Y464),
AND(S464=0,MAX((0&lt;&gt;N$12:N464)*ROW(N$12:N464),ROW($S$12))&gt;=MAX((1=Z$12:Z464)*ROW(Z$12:Z464),ROW($T$12))),MIN(LOOKUP(,-1/($Z$12:Z465=1),$C$12:C465)+LOOKUP(,-1/($Z$12:Z465=1),$H$12:H465)-IF(N464&lt;&gt;0,0,SUM(INDIRECT("T"&amp;(MAX((0&lt;&gt;N$12:N464)*ROW(N$12:N464)+1,ROW($T$12))&amp;":T"&amp;(ROW()-1))))),Первоначальный[[#This Row],[Полученный платеж]]+Y464),
AND(S464=0,Первоначальный[[#This Row],[Дата платежа из графика]]=1),MIN(LOOKUP(,-1/($Z$12:Z465=1),$C$12:C465)+LOOKUP(,-1/($Z$12:Z465=1),$H$12:H465)-IF(Z464=1,0,SUM(INDIRECT("T"&amp;(MAX((1=Z$12:Z464)*ROW(Z$12:Z464)+1,ROW($T$12))&amp;":T"&amp;(ROW()-1))))),Первоначальный[[#This Row],[Полученный платеж]]+Y464),
AND(Z464&gt;0,Первоначальный[[#This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платеж]]+Y464),
AND(S464&gt;0,MAX((0&lt;&gt;S$12:S464)*ROW(S$12:S464),ROW($S$12))&gt;=MAX((1=Z$12:Z464)*ROW(Z$12:Z464),ROW($T$12)),TYPE(VLOOKUP("Да",(INDIRECT("AA"&amp;(MAX((1=Z$12:Z464)*ROW(Z$12:Z464),ROW($T$12))&amp;":AA"&amp;(ROW()-1)))),1,0))=16),MIN(LOOKUP(,-1/($Z$12:Z465=1),$C$12:C465)+LOOKUP(,-1/($Z$12:Z465=1),$H$12:H465)-SUM(INDIRECT("T"&amp;(MAX((1=Z$12:Z464)*ROW(Z$12:Z464),ROW($T$12))&amp;":T"&amp;(ROW()-1)))),Первоначальный[[#This Row],[Полученный платеж]]+Y464),
S464&gt;0,MIN(LOOKUP(,-1/($Z$12:Z465=1),$C$12:C465)+LOOKUP(,-1/($Z$12:Z465=1),$H$12:H465)-IF(Z464=1,0,SUM(INDIRECT("T"&amp;(MAX((1=Z$12:Z464)*ROW(Z$12:Z464)+1,ROW($T$12))&amp;":T"&amp;(ROW()-1))))),Первоначальный[[#This Row],[Полученный платеж]]+Y464)
)
)
)</f>
        <v>0</v>
      </c>
      <c r="U46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платеж]]+Y464-Первоначальный[[#This Row],[Полученный платёж по процентам]])</f>
        <v>0</v>
      </c>
      <c r="V465" s="55">
        <f t="shared" ca="1" si="85"/>
        <v>0</v>
      </c>
      <c r="W465" s="55" cm="1">
        <f t="array" aca="1" ref="W465" ca="1">IF(Первоначальный[[#This Row],[Итого остаток на начало периода]]&lt;1,0,
_xlfn.IFS(
AND(TYPE(VLOOKUP(1,$Z$12:Z465,1,0))=16,Первоначальный[[#This Row],[Досрочное погашение (да/"")]]=""),0,
AND(S464=0,Первоначальный[[#This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платеж]]+Y464-SUM(Первоначальный[[#This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комиссиям]]),VLOOKUP(LOOKUP(,-1/($Z$12:Z465=1),$A$12:A465),График[[Срок конец]:[Возврат основной суммы долга]],3,0)),
AND(S464=0,Первоначальный[[#This Row],[Дата платежа из графика]]="",Первоначальный[[#This Row],[Досрочное погашение (да/"")]]&lt;&gt;"Да"),0,
AND(S464=0,Первоначальный[[#This Row],[Досрочное погашение (да/"")]]=""),MIN(Первоначальный[[#This Row],[Полученный платеж]]+Y464-SUM(Первоначальный[[#This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комиссиям]]),VLOOKUP(LOOKUP(,-1/($Z$12:Z465=1),$A$12:A465),График[[Срок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платеж]]+Y464-SUM(Первоначальный[[#This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S464&gt;0,MIN(Первоначальный[[#This Row],[Полученный платеж]]+Y464-SUM(Первоначальный[[#This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комиссиям]]),SUM(INDIRECT("M"&amp;(MAX((1=S$12:S464)*ROW(S$12:S464),ROW($W$12))&amp;":M"&amp;(ROW()))))-SUM(INDIRECT("W"&amp;(MAX((1=S$12:S464)*ROW(S$12:S464),ROW($W$12))&amp;":W"&amp;(ROW()-1)))))
)
)</f>
        <v>0</v>
      </c>
      <c r="X465" s="55">
        <f t="shared" ca="1" si="86"/>
        <v>0</v>
      </c>
      <c r="Y465" s="101">
        <f t="shared" ca="1" si="93"/>
        <v>0</v>
      </c>
      <c r="Z465" s="133" t="str">
        <f>IF(TYPE((VLOOKUP(Первоначальный[[#This Row],[Дата платежа]],График[Срок конец],1,0)))=16,"",1)</f>
        <v/>
      </c>
      <c r="AA465" s="57"/>
      <c r="AB465" s="134"/>
      <c r="AC46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6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31310.879999999961</v>
      </c>
      <c r="AE46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574.08000000000095</v>
      </c>
      <c r="AF46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6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33827.439683606652</v>
      </c>
      <c r="AH465" s="55"/>
      <c r="AI465" s="55"/>
      <c r="AJ465" s="55"/>
      <c r="AK465" s="101">
        <f t="shared" ca="1" si="94"/>
        <v>215345.7396836066</v>
      </c>
      <c r="AL465" s="129">
        <f t="array" ref="AL465">MAX((УслРестрактов[Характеристика]="Дата реструктуризации")*(УслРестрактов[Значение]=Первоначальный!$A465),0)</f>
        <v>0</v>
      </c>
    </row>
    <row r="466" spans="1:38" x14ac:dyDescent="0.25">
      <c r="A466" s="97">
        <f t="shared" si="87"/>
        <v>44597</v>
      </c>
      <c r="B466" s="100">
        <f t="shared" ca="1" si="88"/>
        <v>149633.34</v>
      </c>
      <c r="C466" s="55">
        <f t="shared" ca="1" si="84"/>
        <v>31310.879999999961</v>
      </c>
      <c r="D466" s="55">
        <f t="shared" ca="1" si="84"/>
        <v>574.08000000000095</v>
      </c>
      <c r="E466" s="55">
        <f t="shared" ca="1" si="89"/>
        <v>0</v>
      </c>
      <c r="F466" s="55">
        <f t="shared" ca="1" si="90"/>
        <v>33827.439683606652</v>
      </c>
      <c r="G466" s="101">
        <f t="shared" ca="1" si="91"/>
        <v>215345.7396836066</v>
      </c>
      <c r="H466" s="100">
        <f ca="1">ROUND($B466*VLOOKUP($A466,$A$1:$B$10,2,1)/(365+IF(MOD(YEAR($A466),4),0,1)*($A466-$A465)),2)-Первоначальный[[#This Row],[Проценты на просроченный платеж по ОД за период]]</f>
        <v>78.59</v>
      </c>
      <c r="I466" s="55">
        <f t="shared" ca="1" si="92"/>
        <v>2.99</v>
      </c>
      <c r="J466" s="55">
        <v>0</v>
      </c>
      <c r="K466" s="55">
        <f t="shared" ca="1" si="95"/>
        <v>173.75350327868853</v>
      </c>
      <c r="L466" s="55">
        <v>0</v>
      </c>
      <c r="M466" s="113">
        <f>SUMIFS(График[Возврат основной суммы долга],График[Дата с учетом нерабочих дней],$A466)</f>
        <v>0</v>
      </c>
      <c r="N466" s="56">
        <f>SUMIFS(График[Возврат начисленных %],График[Дата с учетом нерабочих дней],$A466)</f>
        <v>0</v>
      </c>
      <c r="O466" s="101">
        <v>0</v>
      </c>
      <c r="P466" s="100" cm="1">
        <f t="array" aca="1" ref="P466" ca="1">MAX(IF(AA465="Да",0,SUM(INDIRECT("M"&amp;(MAX(("Да"=AA$12:AA465)*ROW(AA$12:AA465)+1,ROW($P$12))&amp;":M"&amp;(ROW()))))-SUM(INDIRECT("W"&amp;(MAX(("Да"=AA$12:AA465)*ROW(AA$12:AA465)+1,ROW($P$12))&amp;":W"&amp;(ROW()))))),0)</f>
        <v>5484.66</v>
      </c>
      <c r="Q466" s="99">
        <f ca="1">MAX(SUM($N$13:N466)-SUM($T$13:T466),0)</f>
        <v>29266.040655737699</v>
      </c>
      <c r="R466" s="99">
        <f ca="1">Первоначальный[[#This Row],[Просроченный платеж по ОД]]+Первоначальный[[#This Row],[Просроченный платеж по процентам]]</f>
        <v>34750.700655737703</v>
      </c>
      <c r="S466" s="120">
        <f ca="1">IF(Первоначальный[[#This Row],[Просроченный платеж]]&lt;1,0,S465+1)</f>
        <v>362</v>
      </c>
      <c r="T466" s="100" cm="1">
        <f t="array" aca="1" ref="T466" ca="1">IF(Первоначальный[[#This Row],[Итого остаток на начало периода]]&lt;1,0,
IF(
AND(TYPE(VLOOKUP(1,$Z$12:Z466,1,0))=16,Первоначальный[[#This Row],[Досрочное погашение (да/"")]]=""),0,
_xlfn.IFS(AND(S465=0,Первоначальный[[#This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платеж]]&lt;&gt;0),MIN(LOOKUP(,-1/($Z$12:Z466=1),$C$12:C466)+LOOKUP(,-1/($Z$12:Z466=1),$H$12:H466),Первоначальный[[#This Row],[Полученный платеж]]+Y465),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платеж]]+Y465,SUM(Первоначальный[[#This Row],[Остаток процентов на начало периода]],Первоначальный[[#This Row],[Проценты за период]])),
AND(S465=0,Первоначальный[[#This Row],[Дата платежа из графика]]=""),0,
AND(S465=0,Первоначальный[[#This Row],[Дата платежа из графика]]=1,MAX((0&lt;&gt;S$12:S465)*ROW(S$12:S465),ROW($S$12))&gt;=MAX((1=Z$12:Z465)*ROW(Z$12:Z465),ROW($T$12)),TYPE(VLOOKUP("Да",(INDIRECT("AA"&amp;(MAX((1=Z$12:Z465)*ROW(Z$12:Z465),ROW($T$12))&amp;":AA"&amp;(ROW()-1)))),1,0))=16),MIN(LOOKUP(,-1/($Z$12:Z466=1),$C$12:C466)+LOOKUP(,-1/($Z$12:Z466=1),$H$12:H466),Первоначальный[[#This Row],[Полученный платеж]]+Y465),
AND(S465=0,TYPE(VLOOKUP("Да",(INDIRECT("AA"&amp;(MAX((1=Z$12:Z465)*ROW(Z$12:Z465),ROW($T$12))&amp;":AA"&amp;(ROW()-1)))),1,0))&lt;&gt;16),MIN(LOOKUP(,-1/($Z$12:Z466=1),$C$12:C466)+LOOKUP(,-1/($Z$12:Z466=1),$H$12:H466)-IF(AA465="Да",0,SUM(INDIRECT("T"&amp;(MAX(("Да"=AA$12:AA465)*ROW(AA$12:AA465)+1,ROW($T$12))&amp;":T"&amp;(ROW()-1))))),Первоначальный[[#This Row],[Полученный платеж]]+Y465),
AND(S465=0,MAX((0&lt;&gt;N$12:N465)*ROW(N$12:N465),ROW($S$12))&gt;=MAX((1=Z$12:Z465)*ROW(Z$12:Z465),ROW($T$12))),MIN(LOOKUP(,-1/($Z$12:Z466=1),$C$12:C466)+LOOKUP(,-1/($Z$12:Z466=1),$H$12:H466)-IF(N465&lt;&gt;0,0,SUM(INDIRECT("T"&amp;(MAX((0&lt;&gt;N$12:N465)*ROW(N$12:N465)+1,ROW($T$12))&amp;":T"&amp;(ROW()-1))))),Первоначальный[[#This Row],[Полученный платеж]]+Y465),
AND(S465=0,Первоначальный[[#This Row],[Дата платежа из графика]]=1),MIN(LOOKUP(,-1/($Z$12:Z466=1),$C$12:C466)+LOOKUP(,-1/($Z$12:Z466=1),$H$12:H466)-IF(Z465=1,0,SUM(INDIRECT("T"&amp;(MAX((1=Z$12:Z465)*ROW(Z$12:Z465)+1,ROW($T$12))&amp;":T"&amp;(ROW()-1))))),Первоначальный[[#This Row],[Полученный платеж]]+Y465),
AND(Z465&gt;0,Первоначальный[[#This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платеж]]+Y465),
AND(S465&gt;0,MAX((0&lt;&gt;S$12:S465)*ROW(S$12:S465),ROW($S$12))&gt;=MAX((1=Z$12:Z465)*ROW(Z$12:Z465),ROW($T$12)),TYPE(VLOOKUP("Да",(INDIRECT("AA"&amp;(MAX((1=Z$12:Z465)*ROW(Z$12:Z465),ROW($T$12))&amp;":AA"&amp;(ROW()-1)))),1,0))=16),MIN(LOOKUP(,-1/($Z$12:Z466=1),$C$12:C466)+LOOKUP(,-1/($Z$12:Z466=1),$H$12:H466)-SUM(INDIRECT("T"&amp;(MAX((1=Z$12:Z465)*ROW(Z$12:Z465),ROW($T$12))&amp;":T"&amp;(ROW()-1)))),Первоначальный[[#This Row],[Полученный платеж]]+Y465),
S465&gt;0,MIN(LOOKUP(,-1/($Z$12:Z466=1),$C$12:C466)+LOOKUP(,-1/($Z$12:Z466=1),$H$12:H466)-IF(Z465=1,0,SUM(INDIRECT("T"&amp;(MAX((1=Z$12:Z465)*ROW(Z$12:Z465)+1,ROW($T$12))&amp;":T"&amp;(ROW()-1))))),Первоначальный[[#This Row],[Полученный платеж]]+Y465)
)
)
)</f>
        <v>0</v>
      </c>
      <c r="U46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платеж]]+Y465-Первоначальный[[#This Row],[Полученный платёж по процентам]])</f>
        <v>0</v>
      </c>
      <c r="V466" s="55">
        <f t="shared" ca="1" si="85"/>
        <v>0</v>
      </c>
      <c r="W466" s="55" cm="1">
        <f t="array" aca="1" ref="W466" ca="1">IF(Первоначальный[[#This Row],[Итого остаток на начало периода]]&lt;1,0,
_xlfn.IFS(
AND(TYPE(VLOOKUP(1,$Z$12:Z466,1,0))=16,Первоначальный[[#This Row],[Досрочное погашение (да/"")]]=""),0,
AND(S465=0,Первоначальный[[#This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платеж]]+Y465-SUM(Первоначальный[[#This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комиссиям]]),VLOOKUP(LOOKUP(,-1/($Z$12:Z466=1),$A$12:A466),График[[Срок конец]:[Возврат основной суммы долга]],3,0)),
AND(S465=0,Первоначальный[[#This Row],[Дата платежа из графика]]="",Первоначальный[[#This Row],[Досрочное погашение (да/"")]]&lt;&gt;"Да"),0,
AND(S465=0,Первоначальный[[#This Row],[Досрочное погашение (да/"")]]=""),MIN(Первоначальный[[#This Row],[Полученный платеж]]+Y465-SUM(Первоначальный[[#This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комиссиям]]),VLOOKUP(LOOKUP(,-1/($Z$12:Z466=1),$A$12:A466),График[[Срок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платеж]]+Y465-SUM(Первоначальный[[#This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S465&gt;0,MIN(Первоначальный[[#This Row],[Полученный платеж]]+Y465-SUM(Первоначальный[[#This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комиссиям]]),SUM(INDIRECT("M"&amp;(MAX((1=S$12:S465)*ROW(S$12:S465),ROW($W$12))&amp;":M"&amp;(ROW()))))-SUM(INDIRECT("W"&amp;(MAX((1=S$12:S465)*ROW(S$12:S465),ROW($W$12))&amp;":W"&amp;(ROW()-1)))))
)
)</f>
        <v>0</v>
      </c>
      <c r="X466" s="55">
        <f t="shared" ca="1" si="86"/>
        <v>0</v>
      </c>
      <c r="Y466" s="101">
        <f t="shared" ca="1" si="93"/>
        <v>0</v>
      </c>
      <c r="Z466" s="133" t="str">
        <f>IF(TYPE((VLOOKUP(Первоначальный[[#This Row],[Дата платежа]],График[Срок конец],1,0)))=16,"",1)</f>
        <v/>
      </c>
      <c r="AA466" s="57"/>
      <c r="AB466" s="134"/>
      <c r="AC46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6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31389.469999999961</v>
      </c>
      <c r="AE46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577.07000000000096</v>
      </c>
      <c r="AF46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6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34001.193186885343</v>
      </c>
      <c r="AH466" s="55"/>
      <c r="AI466" s="55"/>
      <c r="AJ466" s="55"/>
      <c r="AK466" s="101">
        <f t="shared" ca="1" si="94"/>
        <v>215601.07318688533</v>
      </c>
      <c r="AL466" s="129">
        <f t="array" ref="AL466">MAX((УслРестрактов[Характеристика]="Дата реструктуризации")*(УслРестрактов[Значение]=Первоначальный!$A466),0)</f>
        <v>0</v>
      </c>
    </row>
    <row r="467" spans="1:38" x14ac:dyDescent="0.25">
      <c r="A467" s="97">
        <f t="shared" si="87"/>
        <v>44598</v>
      </c>
      <c r="B467" s="100">
        <f t="shared" ca="1" si="88"/>
        <v>149633.34</v>
      </c>
      <c r="C467" s="55">
        <f t="shared" ca="1" si="84"/>
        <v>31389.469999999961</v>
      </c>
      <c r="D467" s="55">
        <f t="shared" ca="1" si="84"/>
        <v>577.07000000000096</v>
      </c>
      <c r="E467" s="55">
        <f t="shared" ca="1" si="89"/>
        <v>0</v>
      </c>
      <c r="F467" s="55">
        <f t="shared" ca="1" si="90"/>
        <v>34001.193186885343</v>
      </c>
      <c r="G467" s="101">
        <f t="shared" ca="1" si="91"/>
        <v>215601.07318688533</v>
      </c>
      <c r="H467" s="100">
        <f ca="1">ROUND($B467*VLOOKUP($A467,$A$1:$B$10,2,1)/(365+IF(MOD(YEAR($A467),4),0,1)*($A467-$A466)),2)-Первоначальный[[#This Row],[Проценты на просроченный платеж по ОД за период]]</f>
        <v>78.59</v>
      </c>
      <c r="I467" s="55">
        <f t="shared" ca="1" si="92"/>
        <v>2.99</v>
      </c>
      <c r="J467" s="55">
        <v>0</v>
      </c>
      <c r="K467" s="55">
        <f t="shared" ca="1" si="95"/>
        <v>173.75350327868853</v>
      </c>
      <c r="L467" s="55">
        <v>0</v>
      </c>
      <c r="M467" s="113">
        <f>SUMIFS(График[Возврат основной суммы долга],График[Дата с учетом нерабочих дней],$A467)</f>
        <v>0</v>
      </c>
      <c r="N467" s="56">
        <f>SUMIFS(График[Возврат начисленных %],График[Дата с учетом нерабочих дней],$A467)</f>
        <v>0</v>
      </c>
      <c r="O467" s="101">
        <v>0</v>
      </c>
      <c r="P467" s="100" cm="1">
        <f t="array" aca="1" ref="P467" ca="1">MAX(IF(AA466="Да",0,SUM(INDIRECT("M"&amp;(MAX(("Да"=AA$12:AA466)*ROW(AA$12:AA466)+1,ROW($P$12))&amp;":M"&amp;(ROW()))))-SUM(INDIRECT("W"&amp;(MAX(("Да"=AA$12:AA466)*ROW(AA$12:AA466)+1,ROW($P$12))&amp;":W"&amp;(ROW()))))),0)</f>
        <v>5484.66</v>
      </c>
      <c r="Q467" s="99">
        <f ca="1">MAX(SUM($N$13:N467)-SUM($T$13:T467),0)</f>
        <v>29266.040655737699</v>
      </c>
      <c r="R467" s="99">
        <f ca="1">Первоначальный[[#This Row],[Просроченный платеж по ОД]]+Первоначальный[[#This Row],[Просроченный платеж по процентам]]</f>
        <v>34750.700655737703</v>
      </c>
      <c r="S467" s="120">
        <f ca="1">IF(Первоначальный[[#This Row],[Просроченный платеж]]&lt;1,0,S466+1)</f>
        <v>363</v>
      </c>
      <c r="T467" s="100" cm="1">
        <f t="array" aca="1" ref="T467" ca="1">IF(Первоначальный[[#This Row],[Итого остаток на начало периода]]&lt;1,0,
IF(
AND(TYPE(VLOOKUP(1,$Z$12:Z467,1,0))=16,Первоначальный[[#This Row],[Досрочное погашение (да/"")]]=""),0,
_xlfn.IFS(AND(S466=0,Первоначальный[[#This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платеж]]&lt;&gt;0),MIN(LOOKUP(,-1/($Z$12:Z467=1),$C$12:C467)+LOOKUP(,-1/($Z$12:Z467=1),$H$12:H467),Первоначальный[[#This Row],[Полученный платеж]]+Y466),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платеж]]+Y466,SUM(Первоначальный[[#This Row],[Остаток процентов на начало периода]],Первоначальный[[#This Row],[Проценты за период]])),
AND(S466=0,Первоначальный[[#This Row],[Дата платежа из графика]]=""),0,
AND(S466=0,Первоначальный[[#This Row],[Дата платежа из графика]]=1,MAX((0&lt;&gt;S$12:S466)*ROW(S$12:S466),ROW($S$12))&gt;=MAX((1=Z$12:Z466)*ROW(Z$12:Z466),ROW($T$12)),TYPE(VLOOKUP("Да",(INDIRECT("AA"&amp;(MAX((1=Z$12:Z466)*ROW(Z$12:Z466),ROW($T$12))&amp;":AA"&amp;(ROW()-1)))),1,0))=16),MIN(LOOKUP(,-1/($Z$12:Z467=1),$C$12:C467)+LOOKUP(,-1/($Z$12:Z467=1),$H$12:H467),Первоначальный[[#This Row],[Полученный платеж]]+Y466),
AND(S466=0,TYPE(VLOOKUP("Да",(INDIRECT("AA"&amp;(MAX((1=Z$12:Z466)*ROW(Z$12:Z466),ROW($T$12))&amp;":AA"&amp;(ROW()-1)))),1,0))&lt;&gt;16),MIN(LOOKUP(,-1/($Z$12:Z467=1),$C$12:C467)+LOOKUP(,-1/($Z$12:Z467=1),$H$12:H467)-IF(AA466="Да",0,SUM(INDIRECT("T"&amp;(MAX(("Да"=AA$12:AA466)*ROW(AA$12:AA466)+1,ROW($T$12))&amp;":T"&amp;(ROW()-1))))),Первоначальный[[#This Row],[Полученный платеж]]+Y466),
AND(S466=0,MAX((0&lt;&gt;N$12:N466)*ROW(N$12:N466),ROW($S$12))&gt;=MAX((1=Z$12:Z466)*ROW(Z$12:Z466),ROW($T$12))),MIN(LOOKUP(,-1/($Z$12:Z467=1),$C$12:C467)+LOOKUP(,-1/($Z$12:Z467=1),$H$12:H467)-IF(N466&lt;&gt;0,0,SUM(INDIRECT("T"&amp;(MAX((0&lt;&gt;N$12:N466)*ROW(N$12:N466)+1,ROW($T$12))&amp;":T"&amp;(ROW()-1))))),Первоначальный[[#This Row],[Полученный платеж]]+Y466),
AND(S466=0,Первоначальный[[#This Row],[Дата платежа из графика]]=1),MIN(LOOKUP(,-1/($Z$12:Z467=1),$C$12:C467)+LOOKUP(,-1/($Z$12:Z467=1),$H$12:H467)-IF(Z466=1,0,SUM(INDIRECT("T"&amp;(MAX((1=Z$12:Z466)*ROW(Z$12:Z466)+1,ROW($T$12))&amp;":T"&amp;(ROW()-1))))),Первоначальный[[#This Row],[Полученный платеж]]+Y466),
AND(Z466&gt;0,Первоначальный[[#This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платеж]]+Y466),
AND(S466&gt;0,MAX((0&lt;&gt;S$12:S466)*ROW(S$12:S466),ROW($S$12))&gt;=MAX((1=Z$12:Z466)*ROW(Z$12:Z466),ROW($T$12)),TYPE(VLOOKUP("Да",(INDIRECT("AA"&amp;(MAX((1=Z$12:Z466)*ROW(Z$12:Z466),ROW($T$12))&amp;":AA"&amp;(ROW()-1)))),1,0))=16),MIN(LOOKUP(,-1/($Z$12:Z467=1),$C$12:C467)+LOOKUP(,-1/($Z$12:Z467=1),$H$12:H467)-SUM(INDIRECT("T"&amp;(MAX((1=Z$12:Z466)*ROW(Z$12:Z466),ROW($T$12))&amp;":T"&amp;(ROW()-1)))),Первоначальный[[#This Row],[Полученный платеж]]+Y466),
S466&gt;0,MIN(LOOKUP(,-1/($Z$12:Z467=1),$C$12:C467)+LOOKUP(,-1/($Z$12:Z467=1),$H$12:H467)-IF(Z466=1,0,SUM(INDIRECT("T"&amp;(MAX((1=Z$12:Z466)*ROW(Z$12:Z466)+1,ROW($T$12))&amp;":T"&amp;(ROW()-1))))),Первоначальный[[#This Row],[Полученный платеж]]+Y466)
)
)
)</f>
        <v>0</v>
      </c>
      <c r="U46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платеж]]+Y466-Первоначальный[[#This Row],[Полученный платёж по процентам]])</f>
        <v>0</v>
      </c>
      <c r="V467" s="55">
        <f t="shared" ca="1" si="85"/>
        <v>0</v>
      </c>
      <c r="W467" s="55" cm="1">
        <f t="array" aca="1" ref="W467" ca="1">IF(Первоначальный[[#This Row],[Итого остаток на начало периода]]&lt;1,0,
_xlfn.IFS(
AND(TYPE(VLOOKUP(1,$Z$12:Z467,1,0))=16,Первоначальный[[#This Row],[Досрочное погашение (да/"")]]=""),0,
AND(S466=0,Первоначальный[[#This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платеж]]+Y466-SUM(Первоначальный[[#This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комиссиям]]),VLOOKUP(LOOKUP(,-1/($Z$12:Z467=1),$A$12:A467),График[[Срок конец]:[Возврат основной суммы долга]],3,0)),
AND(S466=0,Первоначальный[[#This Row],[Дата платежа из графика]]="",Первоначальный[[#This Row],[Досрочное погашение (да/"")]]&lt;&gt;"Да"),0,
AND(S466=0,Первоначальный[[#This Row],[Досрочное погашение (да/"")]]=""),MIN(Первоначальный[[#This Row],[Полученный платеж]]+Y466-SUM(Первоначальный[[#This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комиссиям]]),VLOOKUP(LOOKUP(,-1/($Z$12:Z467=1),$A$12:A467),График[[Срок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платеж]]+Y466-SUM(Первоначальный[[#This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S466&gt;0,MIN(Первоначальный[[#This Row],[Полученный платеж]]+Y466-SUM(Первоначальный[[#This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комиссиям]]),SUM(INDIRECT("M"&amp;(MAX((1=S$12:S466)*ROW(S$12:S466),ROW($W$12))&amp;":M"&amp;(ROW()))))-SUM(INDIRECT("W"&amp;(MAX((1=S$12:S466)*ROW(S$12:S466),ROW($W$12))&amp;":W"&amp;(ROW()-1)))))
)
)</f>
        <v>0</v>
      </c>
      <c r="X467" s="55">
        <f t="shared" ca="1" si="86"/>
        <v>0</v>
      </c>
      <c r="Y467" s="101">
        <f t="shared" ca="1" si="93"/>
        <v>0</v>
      </c>
      <c r="Z467" s="133" t="str">
        <f>IF(TYPE((VLOOKUP(Первоначальный[[#This Row],[Дата платежа]],График[Срок конец],1,0)))=16,"",1)</f>
        <v/>
      </c>
      <c r="AA467" s="57"/>
      <c r="AB467" s="134"/>
      <c r="AC46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6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31468.059999999961</v>
      </c>
      <c r="AE46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580.06000000000097</v>
      </c>
      <c r="AF46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6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34174.946690164033</v>
      </c>
      <c r="AH467" s="55"/>
      <c r="AI467" s="55"/>
      <c r="AJ467" s="55"/>
      <c r="AK467" s="101">
        <f t="shared" ca="1" si="94"/>
        <v>215856.406690164</v>
      </c>
      <c r="AL467" s="129">
        <f t="array" ref="AL467">MAX((УслРестрактов[Характеристика]="Дата реструктуризации")*(УслРестрактов[Значение]=Первоначальный!$A467),0)</f>
        <v>0</v>
      </c>
    </row>
    <row r="468" spans="1:38" x14ac:dyDescent="0.25">
      <c r="A468" s="97">
        <f t="shared" si="87"/>
        <v>44599</v>
      </c>
      <c r="B468" s="100">
        <f t="shared" ca="1" si="88"/>
        <v>149633.34</v>
      </c>
      <c r="C468" s="55">
        <f t="shared" ca="1" si="84"/>
        <v>31468.059999999961</v>
      </c>
      <c r="D468" s="55">
        <f t="shared" ca="1" si="84"/>
        <v>580.06000000000097</v>
      </c>
      <c r="E468" s="55">
        <f t="shared" ca="1" si="89"/>
        <v>0</v>
      </c>
      <c r="F468" s="55">
        <f t="shared" ca="1" si="90"/>
        <v>34174.946690164033</v>
      </c>
      <c r="G468" s="101">
        <f t="shared" ca="1" si="91"/>
        <v>215856.406690164</v>
      </c>
      <c r="H468" s="100">
        <f ca="1">ROUND($B468*VLOOKUP($A468,$A$1:$B$10,2,1)/(365+IF(MOD(YEAR($A468),4),0,1)*($A468-$A467)),2)-Первоначальный[[#This Row],[Проценты на просроченный платеж по ОД за период]]</f>
        <v>78.59</v>
      </c>
      <c r="I468" s="55">
        <f t="shared" ca="1" si="92"/>
        <v>2.99</v>
      </c>
      <c r="J468" s="55">
        <v>0</v>
      </c>
      <c r="K468" s="55">
        <f t="shared" ca="1" si="95"/>
        <v>173.75350327868853</v>
      </c>
      <c r="L468" s="55">
        <v>0</v>
      </c>
      <c r="M468" s="113">
        <f>SUMIFS(График[Возврат основной суммы долга],График[Дата с учетом нерабочих дней],$A468)</f>
        <v>0</v>
      </c>
      <c r="N468" s="56">
        <f>SUMIFS(График[Возврат начисленных %],График[Дата с учетом нерабочих дней],$A468)</f>
        <v>0</v>
      </c>
      <c r="O468" s="101">
        <v>0</v>
      </c>
      <c r="P468" s="100" cm="1">
        <f t="array" aca="1" ref="P468" ca="1">MAX(IF(AA467="Да",0,SUM(INDIRECT("M"&amp;(MAX(("Да"=AA$12:AA467)*ROW(AA$12:AA467)+1,ROW($P$12))&amp;":M"&amp;(ROW()))))-SUM(INDIRECT("W"&amp;(MAX(("Да"=AA$12:AA467)*ROW(AA$12:AA467)+1,ROW($P$12))&amp;":W"&amp;(ROW()))))),0)</f>
        <v>5484.66</v>
      </c>
      <c r="Q468" s="99">
        <f ca="1">MAX(SUM($N$13:N468)-SUM($T$13:T468),0)</f>
        <v>29266.040655737699</v>
      </c>
      <c r="R468" s="99">
        <f ca="1">Первоначальный[[#This Row],[Просроченный платеж по ОД]]+Первоначальный[[#This Row],[Просроченный платеж по процентам]]</f>
        <v>34750.700655737703</v>
      </c>
      <c r="S468" s="120">
        <f ca="1">IF(Первоначальный[[#This Row],[Просроченный платеж]]&lt;1,0,S467+1)</f>
        <v>364</v>
      </c>
      <c r="T468" s="100" cm="1">
        <f t="array" aca="1" ref="T468" ca="1">IF(Первоначальный[[#This Row],[Итого остаток на начало периода]]&lt;1,0,
IF(
AND(TYPE(VLOOKUP(1,$Z$12:Z468,1,0))=16,Первоначальный[[#This Row],[Досрочное погашение (да/"")]]=""),0,
_xlfn.IFS(AND(S467=0,Первоначальный[[#This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платеж]]&lt;&gt;0),MIN(LOOKUP(,-1/($Z$12:Z468=1),$C$12:C468)+LOOKUP(,-1/($Z$12:Z468=1),$H$12:H468),Первоначальный[[#This Row],[Полученный платеж]]+Y467),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платеж]]+Y467,SUM(Первоначальный[[#This Row],[Остаток процентов на начало периода]],Первоначальный[[#This Row],[Проценты за период]])),
AND(S467=0,Первоначальный[[#This Row],[Дата платежа из графика]]=""),0,
AND(S467=0,Первоначальный[[#This Row],[Дата платежа из графика]]=1,MAX((0&lt;&gt;S$12:S467)*ROW(S$12:S467),ROW($S$12))&gt;=MAX((1=Z$12:Z467)*ROW(Z$12:Z467),ROW($T$12)),TYPE(VLOOKUP("Да",(INDIRECT("AA"&amp;(MAX((1=Z$12:Z467)*ROW(Z$12:Z467),ROW($T$12))&amp;":AA"&amp;(ROW()-1)))),1,0))=16),MIN(LOOKUP(,-1/($Z$12:Z468=1),$C$12:C468)+LOOKUP(,-1/($Z$12:Z468=1),$H$12:H468),Первоначальный[[#This Row],[Полученный платеж]]+Y467),
AND(S467=0,TYPE(VLOOKUP("Да",(INDIRECT("AA"&amp;(MAX((1=Z$12:Z467)*ROW(Z$12:Z467),ROW($T$12))&amp;":AA"&amp;(ROW()-1)))),1,0))&lt;&gt;16),MIN(LOOKUP(,-1/($Z$12:Z468=1),$C$12:C468)+LOOKUP(,-1/($Z$12:Z468=1),$H$12:H468)-IF(AA467="Да",0,SUM(INDIRECT("T"&amp;(MAX(("Да"=AA$12:AA467)*ROW(AA$12:AA467)+1,ROW($T$12))&amp;":T"&amp;(ROW()-1))))),Первоначальный[[#This Row],[Полученный платеж]]+Y467),
AND(S467=0,MAX((0&lt;&gt;N$12:N467)*ROW(N$12:N467),ROW($S$12))&gt;=MAX((1=Z$12:Z467)*ROW(Z$12:Z467),ROW($T$12))),MIN(LOOKUP(,-1/($Z$12:Z468=1),$C$12:C468)+LOOKUP(,-1/($Z$12:Z468=1),$H$12:H468)-IF(N467&lt;&gt;0,0,SUM(INDIRECT("T"&amp;(MAX((0&lt;&gt;N$12:N467)*ROW(N$12:N467)+1,ROW($T$12))&amp;":T"&amp;(ROW()-1))))),Первоначальный[[#This Row],[Полученный платеж]]+Y467),
AND(S467=0,Первоначальный[[#This Row],[Дата платежа из графика]]=1),MIN(LOOKUP(,-1/($Z$12:Z468=1),$C$12:C468)+LOOKUP(,-1/($Z$12:Z468=1),$H$12:H468)-IF(Z467=1,0,SUM(INDIRECT("T"&amp;(MAX((1=Z$12:Z467)*ROW(Z$12:Z467)+1,ROW($T$12))&amp;":T"&amp;(ROW()-1))))),Первоначальный[[#This Row],[Полученный платеж]]+Y467),
AND(Z467&gt;0,Первоначальный[[#This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платеж]]+Y467),
AND(S467&gt;0,MAX((0&lt;&gt;S$12:S467)*ROW(S$12:S467),ROW($S$12))&gt;=MAX((1=Z$12:Z467)*ROW(Z$12:Z467),ROW($T$12)),TYPE(VLOOKUP("Да",(INDIRECT("AA"&amp;(MAX((1=Z$12:Z467)*ROW(Z$12:Z467),ROW($T$12))&amp;":AA"&amp;(ROW()-1)))),1,0))=16),MIN(LOOKUP(,-1/($Z$12:Z468=1),$C$12:C468)+LOOKUP(,-1/($Z$12:Z468=1),$H$12:H468)-SUM(INDIRECT("T"&amp;(MAX((1=Z$12:Z467)*ROW(Z$12:Z467),ROW($T$12))&amp;":T"&amp;(ROW()-1)))),Первоначальный[[#This Row],[Полученный платеж]]+Y467),
S467&gt;0,MIN(LOOKUP(,-1/($Z$12:Z468=1),$C$12:C468)+LOOKUP(,-1/($Z$12:Z468=1),$H$12:H468)-IF(Z467=1,0,SUM(INDIRECT("T"&amp;(MAX((1=Z$12:Z467)*ROW(Z$12:Z467)+1,ROW($T$12))&amp;":T"&amp;(ROW()-1))))),Первоначальный[[#This Row],[Полученный платеж]]+Y467)
)
)
)</f>
        <v>0</v>
      </c>
      <c r="U46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платеж]]+Y467-Первоначальный[[#This Row],[Полученный платёж по процентам]])</f>
        <v>0</v>
      </c>
      <c r="V468" s="55">
        <f t="shared" ca="1" si="85"/>
        <v>0</v>
      </c>
      <c r="W468" s="55" cm="1">
        <f t="array" aca="1" ref="W468" ca="1">IF(Первоначальный[[#This Row],[Итого остаток на начало периода]]&lt;1,0,
_xlfn.IFS(
AND(TYPE(VLOOKUP(1,$Z$12:Z468,1,0))=16,Первоначальный[[#This Row],[Досрочное погашение (да/"")]]=""),0,
AND(S467=0,Первоначальный[[#This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платеж]]+Y467-SUM(Первоначальный[[#This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комиссиям]]),VLOOKUP(LOOKUP(,-1/($Z$12:Z468=1),$A$12:A468),График[[Срок конец]:[Возврат основной суммы долга]],3,0)),
AND(S467=0,Первоначальный[[#This Row],[Дата платежа из графика]]="",Первоначальный[[#This Row],[Досрочное погашение (да/"")]]&lt;&gt;"Да"),0,
AND(S467=0,Первоначальный[[#This Row],[Досрочное погашение (да/"")]]=""),MIN(Первоначальный[[#This Row],[Полученный платеж]]+Y467-SUM(Первоначальный[[#This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комиссиям]]),VLOOKUP(LOOKUP(,-1/($Z$12:Z468=1),$A$12:A468),График[[Срок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платеж]]+Y467-SUM(Первоначальный[[#This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S467&gt;0,MIN(Первоначальный[[#This Row],[Полученный платеж]]+Y467-SUM(Первоначальный[[#This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комиссиям]]),SUM(INDIRECT("M"&amp;(MAX((1=S$12:S467)*ROW(S$12:S467),ROW($W$12))&amp;":M"&amp;(ROW()))))-SUM(INDIRECT("W"&amp;(MAX((1=S$12:S467)*ROW(S$12:S467),ROW($W$12))&amp;":W"&amp;(ROW()-1)))))
)
)</f>
        <v>0</v>
      </c>
      <c r="X468" s="55">
        <f t="shared" ca="1" si="86"/>
        <v>0</v>
      </c>
      <c r="Y468" s="101">
        <f t="shared" ca="1" si="93"/>
        <v>0</v>
      </c>
      <c r="Z468" s="133" t="str">
        <f>IF(TYPE((VLOOKUP(Первоначальный[[#This Row],[Дата платежа]],График[Срок конец],1,0)))=16,"",1)</f>
        <v/>
      </c>
      <c r="AA468" s="57"/>
      <c r="AB468" s="134"/>
      <c r="AC46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6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31546.649999999961</v>
      </c>
      <c r="AE46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583.05000000000098</v>
      </c>
      <c r="AF46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6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34348.700193442724</v>
      </c>
      <c r="AH468" s="55"/>
      <c r="AI468" s="55"/>
      <c r="AJ468" s="55"/>
      <c r="AK468" s="101">
        <f t="shared" ca="1" si="94"/>
        <v>216111.74019344267</v>
      </c>
      <c r="AL468" s="129">
        <f t="array" ref="AL468">MAX((УслРестрактов[Характеристика]="Дата реструктуризации")*(УслРестрактов[Значение]=Первоначальный!$A468),0)</f>
        <v>0</v>
      </c>
    </row>
    <row r="469" spans="1:38" x14ac:dyDescent="0.25">
      <c r="A469" s="97">
        <f t="shared" si="87"/>
        <v>44600</v>
      </c>
      <c r="B469" s="100">
        <f t="shared" ca="1" si="88"/>
        <v>149633.34</v>
      </c>
      <c r="C469" s="55">
        <f t="shared" ca="1" si="84"/>
        <v>31546.649999999961</v>
      </c>
      <c r="D469" s="55">
        <f t="shared" ca="1" si="84"/>
        <v>583.05000000000098</v>
      </c>
      <c r="E469" s="55">
        <f t="shared" ca="1" si="89"/>
        <v>0</v>
      </c>
      <c r="F469" s="55">
        <f t="shared" ca="1" si="90"/>
        <v>34348.700193442724</v>
      </c>
      <c r="G469" s="101">
        <f t="shared" ca="1" si="91"/>
        <v>216111.74019344267</v>
      </c>
      <c r="H469" s="100">
        <f ca="1">ROUND($B469*VLOOKUP($A469,$A$1:$B$10,2,1)/(365+IF(MOD(YEAR($A469),4),0,1)*($A469-$A468)),2)-Первоначальный[[#This Row],[Проценты на просроченный платеж по ОД за период]]</f>
        <v>78.59</v>
      </c>
      <c r="I469" s="55">
        <f t="shared" ca="1" si="92"/>
        <v>2.99</v>
      </c>
      <c r="J469" s="55">
        <v>0</v>
      </c>
      <c r="K469" s="55">
        <f t="shared" ca="1" si="95"/>
        <v>173.75350327868853</v>
      </c>
      <c r="L469" s="55">
        <v>0</v>
      </c>
      <c r="M469" s="113">
        <f>SUMIFS(График[Возврат основной суммы долга],График[Дата с учетом нерабочих дней],$A469)</f>
        <v>0</v>
      </c>
      <c r="N469" s="56">
        <f>SUMIFS(График[Возврат начисленных %],График[Дата с учетом нерабочих дней],$A469)</f>
        <v>0</v>
      </c>
      <c r="O469" s="101">
        <v>0</v>
      </c>
      <c r="P469" s="100" cm="1">
        <f t="array" aca="1" ref="P469" ca="1">MAX(IF(AA468="Да",0,SUM(INDIRECT("M"&amp;(MAX(("Да"=AA$12:AA468)*ROW(AA$12:AA468)+1,ROW($P$12))&amp;":M"&amp;(ROW()))))-SUM(INDIRECT("W"&amp;(MAX(("Да"=AA$12:AA468)*ROW(AA$12:AA468)+1,ROW($P$12))&amp;":W"&amp;(ROW()))))),0)</f>
        <v>5484.66</v>
      </c>
      <c r="Q469" s="99">
        <f ca="1">MAX(SUM($N$13:N469)-SUM($T$13:T469),0)</f>
        <v>29266.040655737699</v>
      </c>
      <c r="R469" s="99">
        <f ca="1">Первоначальный[[#This Row],[Просроченный платеж по ОД]]+Первоначальный[[#This Row],[Просроченный платеж по процентам]]</f>
        <v>34750.700655737703</v>
      </c>
      <c r="S469" s="120">
        <f ca="1">IF(Первоначальный[[#This Row],[Просроченный платеж]]&lt;1,0,S468+1)</f>
        <v>365</v>
      </c>
      <c r="T469" s="100" cm="1">
        <f t="array" aca="1" ref="T469" ca="1">IF(Первоначальный[[#This Row],[Итого остаток на начало периода]]&lt;1,0,
IF(
AND(TYPE(VLOOKUP(1,$Z$12:Z469,1,0))=16,Первоначальный[[#This Row],[Досрочное погашение (да/"")]]=""),0,
_xlfn.IFS(AND(S468=0,Первоначальный[[#This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платеж]]&lt;&gt;0),MIN(LOOKUP(,-1/($Z$12:Z469=1),$C$12:C469)+LOOKUP(,-1/($Z$12:Z469=1),$H$12:H469),Первоначальный[[#This Row],[Полученный платеж]]+Y468),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платеж]]+Y468,SUM(Первоначальный[[#This Row],[Остаток процентов на начало периода]],Первоначальный[[#This Row],[Проценты за период]])),
AND(S468=0,Первоначальный[[#This Row],[Дата платежа из графика]]=""),0,
AND(S468=0,Первоначальный[[#This Row],[Дата платежа из графика]]=1,MAX((0&lt;&gt;S$12:S468)*ROW(S$12:S468),ROW($S$12))&gt;=MAX((1=Z$12:Z468)*ROW(Z$12:Z468),ROW($T$12)),TYPE(VLOOKUP("Да",(INDIRECT("AA"&amp;(MAX((1=Z$12:Z468)*ROW(Z$12:Z468),ROW($T$12))&amp;":AA"&amp;(ROW()-1)))),1,0))=16),MIN(LOOKUP(,-1/($Z$12:Z469=1),$C$12:C469)+LOOKUP(,-1/($Z$12:Z469=1),$H$12:H469),Первоначальный[[#This Row],[Полученный платеж]]+Y468),
AND(S468=0,TYPE(VLOOKUP("Да",(INDIRECT("AA"&amp;(MAX((1=Z$12:Z468)*ROW(Z$12:Z468),ROW($T$12))&amp;":AA"&amp;(ROW()-1)))),1,0))&lt;&gt;16),MIN(LOOKUP(,-1/($Z$12:Z469=1),$C$12:C469)+LOOKUP(,-1/($Z$12:Z469=1),$H$12:H469)-IF(AA468="Да",0,SUM(INDIRECT("T"&amp;(MAX(("Да"=AA$12:AA468)*ROW(AA$12:AA468)+1,ROW($T$12))&amp;":T"&amp;(ROW()-1))))),Первоначальный[[#This Row],[Полученный платеж]]+Y468),
AND(S468=0,MAX((0&lt;&gt;N$12:N468)*ROW(N$12:N468),ROW($S$12))&gt;=MAX((1=Z$12:Z468)*ROW(Z$12:Z468),ROW($T$12))),MIN(LOOKUP(,-1/($Z$12:Z469=1),$C$12:C469)+LOOKUP(,-1/($Z$12:Z469=1),$H$12:H469)-IF(N468&lt;&gt;0,0,SUM(INDIRECT("T"&amp;(MAX((0&lt;&gt;N$12:N468)*ROW(N$12:N468)+1,ROW($T$12))&amp;":T"&amp;(ROW()-1))))),Первоначальный[[#This Row],[Полученный платеж]]+Y468),
AND(S468=0,Первоначальный[[#This Row],[Дата платежа из графика]]=1),MIN(LOOKUP(,-1/($Z$12:Z469=1),$C$12:C469)+LOOKUP(,-1/($Z$12:Z469=1),$H$12:H469)-IF(Z468=1,0,SUM(INDIRECT("T"&amp;(MAX((1=Z$12:Z468)*ROW(Z$12:Z468)+1,ROW($T$12))&amp;":T"&amp;(ROW()-1))))),Первоначальный[[#This Row],[Полученный платеж]]+Y468),
AND(Z468&gt;0,Первоначальный[[#This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платеж]]+Y468),
AND(S468&gt;0,MAX((0&lt;&gt;S$12:S468)*ROW(S$12:S468),ROW($S$12))&gt;=MAX((1=Z$12:Z468)*ROW(Z$12:Z468),ROW($T$12)),TYPE(VLOOKUP("Да",(INDIRECT("AA"&amp;(MAX((1=Z$12:Z468)*ROW(Z$12:Z468),ROW($T$12))&amp;":AA"&amp;(ROW()-1)))),1,0))=16),MIN(LOOKUP(,-1/($Z$12:Z469=1),$C$12:C469)+LOOKUP(,-1/($Z$12:Z469=1),$H$12:H469)-SUM(INDIRECT("T"&amp;(MAX((1=Z$12:Z468)*ROW(Z$12:Z468),ROW($T$12))&amp;":T"&amp;(ROW()-1)))),Первоначальный[[#This Row],[Полученный платеж]]+Y468),
S468&gt;0,MIN(LOOKUP(,-1/($Z$12:Z469=1),$C$12:C469)+LOOKUP(,-1/($Z$12:Z469=1),$H$12:H469)-IF(Z468=1,0,SUM(INDIRECT("T"&amp;(MAX((1=Z$12:Z468)*ROW(Z$12:Z468)+1,ROW($T$12))&amp;":T"&amp;(ROW()-1))))),Первоначальный[[#This Row],[Полученный платеж]]+Y468)
)
)
)</f>
        <v>0</v>
      </c>
      <c r="U46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платеж]]+Y468-Первоначальный[[#This Row],[Полученный платёж по процентам]])</f>
        <v>0</v>
      </c>
      <c r="V469" s="55">
        <f t="shared" ca="1" si="85"/>
        <v>0</v>
      </c>
      <c r="W469" s="55" cm="1">
        <f t="array" aca="1" ref="W469" ca="1">IF(Первоначальный[[#This Row],[Итого остаток на начало периода]]&lt;1,0,
_xlfn.IFS(
AND(TYPE(VLOOKUP(1,$Z$12:Z469,1,0))=16,Первоначальный[[#This Row],[Досрочное погашение (да/"")]]=""),0,
AND(S468=0,Первоначальный[[#This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платеж]]+Y468-SUM(Первоначальный[[#This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комиссиям]]),VLOOKUP(LOOKUP(,-1/($Z$12:Z469=1),$A$12:A469),График[[Срок конец]:[Возврат основной суммы долга]],3,0)),
AND(S468=0,Первоначальный[[#This Row],[Дата платежа из графика]]="",Первоначальный[[#This Row],[Досрочное погашение (да/"")]]&lt;&gt;"Да"),0,
AND(S468=0,Первоначальный[[#This Row],[Досрочное погашение (да/"")]]=""),MIN(Первоначальный[[#This Row],[Полученный платеж]]+Y468-SUM(Первоначальный[[#This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комиссиям]]),VLOOKUP(LOOKUP(,-1/($Z$12:Z469=1),$A$12:A469),График[[Срок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платеж]]+Y468-SUM(Первоначальный[[#This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S468&gt;0,MIN(Первоначальный[[#This Row],[Полученный платеж]]+Y468-SUM(Первоначальный[[#This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комиссиям]]),SUM(INDIRECT("M"&amp;(MAX((1=S$12:S468)*ROW(S$12:S468),ROW($W$12))&amp;":M"&amp;(ROW()))))-SUM(INDIRECT("W"&amp;(MAX((1=S$12:S468)*ROW(S$12:S468),ROW($W$12))&amp;":W"&amp;(ROW()-1)))))
)
)</f>
        <v>0</v>
      </c>
      <c r="X469" s="55">
        <f t="shared" ca="1" si="86"/>
        <v>0</v>
      </c>
      <c r="Y469" s="101">
        <f t="shared" ca="1" si="93"/>
        <v>0</v>
      </c>
      <c r="Z469" s="133" t="str">
        <f>IF(TYPE((VLOOKUP(Первоначальный[[#This Row],[Дата платежа]],График[Срок конец],1,0)))=16,"",1)</f>
        <v/>
      </c>
      <c r="AA469" s="57"/>
      <c r="AB469" s="134"/>
      <c r="AC46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6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31625.239999999962</v>
      </c>
      <c r="AE46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586.04000000000099</v>
      </c>
      <c r="AF46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6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34522.453696721415</v>
      </c>
      <c r="AH469" s="55"/>
      <c r="AI469" s="55"/>
      <c r="AJ469" s="55"/>
      <c r="AK469" s="101">
        <f t="shared" ca="1" si="94"/>
        <v>216367.07369672137</v>
      </c>
      <c r="AL469" s="129">
        <f t="array" ref="AL469">MAX((УслРестрактов[Характеристика]="Дата реструктуризации")*(УслРестрактов[Значение]=Первоначальный!$A469),0)</f>
        <v>0</v>
      </c>
    </row>
    <row r="470" spans="1:38" x14ac:dyDescent="0.25">
      <c r="A470" s="97">
        <f t="shared" si="87"/>
        <v>44601</v>
      </c>
      <c r="B470" s="100">
        <f t="shared" ca="1" si="88"/>
        <v>149633.34</v>
      </c>
      <c r="C470" s="55">
        <f t="shared" ca="1" si="84"/>
        <v>31625.239999999962</v>
      </c>
      <c r="D470" s="55">
        <f t="shared" ca="1" si="84"/>
        <v>586.04000000000099</v>
      </c>
      <c r="E470" s="55">
        <f t="shared" ca="1" si="89"/>
        <v>0</v>
      </c>
      <c r="F470" s="55">
        <f t="shared" ca="1" si="90"/>
        <v>34522.453696721415</v>
      </c>
      <c r="G470" s="101">
        <f t="shared" ca="1" si="91"/>
        <v>216367.07369672137</v>
      </c>
      <c r="H470" s="100">
        <f ca="1">ROUND($B470*VLOOKUP($A470,$A$1:$B$10,2,1)/(365+IF(MOD(YEAR($A470),4),0,1)*($A470-$A469)),2)-Первоначальный[[#This Row],[Проценты на просроченный платеж по ОД за период]]</f>
        <v>78.59</v>
      </c>
      <c r="I470" s="55">
        <f t="shared" ca="1" si="92"/>
        <v>2.99</v>
      </c>
      <c r="J470" s="55">
        <v>0</v>
      </c>
      <c r="K470" s="55">
        <f t="shared" ca="1" si="95"/>
        <v>188.23850327868848</v>
      </c>
      <c r="L470" s="55">
        <v>0</v>
      </c>
      <c r="M470" s="113">
        <f>SUMIFS(График[Возврат основной суммы долга],График[Дата с учетом нерабочих дней],$A470)</f>
        <v>460.69000000000005</v>
      </c>
      <c r="N470" s="56">
        <f>SUMIFS(График[Возврат начисленных %],График[Дата с учетом нерабочих дней],$A470)</f>
        <v>2436.31</v>
      </c>
      <c r="O470" s="101">
        <v>0</v>
      </c>
      <c r="P470" s="100" cm="1">
        <f t="array" aca="1" ref="P470" ca="1">MAX(IF(AA469="Да",0,SUM(INDIRECT("M"&amp;(MAX(("Да"=AA$12:AA469)*ROW(AA$12:AA469)+1,ROW($P$12))&amp;":M"&amp;(ROW()))))-SUM(INDIRECT("W"&amp;(MAX(("Да"=AA$12:AA469)*ROW(AA$12:AA469)+1,ROW($P$12))&amp;":W"&amp;(ROW()))))),0)</f>
        <v>5945.35</v>
      </c>
      <c r="Q470" s="99">
        <f ca="1">MAX(SUM($N$13:N470)-SUM($T$13:T470),0)</f>
        <v>31702.350655737697</v>
      </c>
      <c r="R470" s="99">
        <f ca="1">Первоначальный[[#This Row],[Просроченный платеж по ОД]]+Первоначальный[[#This Row],[Просроченный платеж по процентам]]</f>
        <v>37647.700655737695</v>
      </c>
      <c r="S470" s="120">
        <f ca="1">IF(Первоначальный[[#This Row],[Просроченный платеж]]&lt;1,0,S469+1)</f>
        <v>366</v>
      </c>
      <c r="T470" s="100" cm="1">
        <f t="array" aca="1" ref="T470" ca="1">IF(Первоначальный[[#This Row],[Итого остаток на начало периода]]&lt;1,0,
IF(
AND(TYPE(VLOOKUP(1,$Z$12:Z470,1,0))=16,Первоначальный[[#This Row],[Досрочное погашение (да/"")]]=""),0,
_xlfn.IFS(AND(S469=0,Первоначальный[[#This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платеж]]&lt;&gt;0),MIN(LOOKUP(,-1/($Z$12:Z470=1),$C$12:C470)+LOOKUP(,-1/($Z$12:Z470=1),$H$12:H470),Первоначальный[[#This Row],[Полученный платеж]]+Y469),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платеж]]+Y469,SUM(Первоначальный[[#This Row],[Остаток процентов на начало периода]],Первоначальный[[#This Row],[Проценты за период]])),
AND(S469=0,Первоначальный[[#This Row],[Дата платежа из графика]]=""),0,
AND(S469=0,Первоначальный[[#This Row],[Дата платежа из графика]]=1,MAX((0&lt;&gt;S$12:S469)*ROW(S$12:S469),ROW($S$12))&gt;=MAX((1=Z$12:Z469)*ROW(Z$12:Z469),ROW($T$12)),TYPE(VLOOKUP("Да",(INDIRECT("AA"&amp;(MAX((1=Z$12:Z469)*ROW(Z$12:Z469),ROW($T$12))&amp;":AA"&amp;(ROW()-1)))),1,0))=16),MIN(LOOKUP(,-1/($Z$12:Z470=1),$C$12:C470)+LOOKUP(,-1/($Z$12:Z470=1),$H$12:H470),Первоначальный[[#This Row],[Полученный платеж]]+Y469),
AND(S469=0,TYPE(VLOOKUP("Да",(INDIRECT("AA"&amp;(MAX((1=Z$12:Z469)*ROW(Z$12:Z469),ROW($T$12))&amp;":AA"&amp;(ROW()-1)))),1,0))&lt;&gt;16),MIN(LOOKUP(,-1/($Z$12:Z470=1),$C$12:C470)+LOOKUP(,-1/($Z$12:Z470=1),$H$12:H470)-IF(AA469="Да",0,SUM(INDIRECT("T"&amp;(MAX(("Да"=AA$12:AA469)*ROW(AA$12:AA469)+1,ROW($T$12))&amp;":T"&amp;(ROW()-1))))),Первоначальный[[#This Row],[Полученный платеж]]+Y469),
AND(S469=0,MAX((0&lt;&gt;N$12:N469)*ROW(N$12:N469),ROW($S$12))&gt;=MAX((1=Z$12:Z469)*ROW(Z$12:Z469),ROW($T$12))),MIN(LOOKUP(,-1/($Z$12:Z470=1),$C$12:C470)+LOOKUP(,-1/($Z$12:Z470=1),$H$12:H470)-IF(N469&lt;&gt;0,0,SUM(INDIRECT("T"&amp;(MAX((0&lt;&gt;N$12:N469)*ROW(N$12:N469)+1,ROW($T$12))&amp;":T"&amp;(ROW()-1))))),Первоначальный[[#This Row],[Полученный платеж]]+Y469),
AND(S469=0,Первоначальный[[#This Row],[Дата платежа из графика]]=1),MIN(LOOKUP(,-1/($Z$12:Z470=1),$C$12:C470)+LOOKUP(,-1/($Z$12:Z470=1),$H$12:H470)-IF(Z469=1,0,SUM(INDIRECT("T"&amp;(MAX((1=Z$12:Z469)*ROW(Z$12:Z469)+1,ROW($T$12))&amp;":T"&amp;(ROW()-1))))),Первоначальный[[#This Row],[Полученный платеж]]+Y469),
AND(Z469&gt;0,Первоначальный[[#This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платеж]]+Y469),
AND(S469&gt;0,MAX((0&lt;&gt;S$12:S469)*ROW(S$12:S469),ROW($S$12))&gt;=MAX((1=Z$12:Z469)*ROW(Z$12:Z469),ROW($T$12)),TYPE(VLOOKUP("Да",(INDIRECT("AA"&amp;(MAX((1=Z$12:Z469)*ROW(Z$12:Z469),ROW($T$12))&amp;":AA"&amp;(ROW()-1)))),1,0))=16),MIN(LOOKUP(,-1/($Z$12:Z470=1),$C$12:C470)+LOOKUP(,-1/($Z$12:Z470=1),$H$12:H470)-SUM(INDIRECT("T"&amp;(MAX((1=Z$12:Z469)*ROW(Z$12:Z469),ROW($T$12))&amp;":T"&amp;(ROW()-1)))),Первоначальный[[#This Row],[Полученный платеж]]+Y469),
S469&gt;0,MIN(LOOKUP(,-1/($Z$12:Z470=1),$C$12:C470)+LOOKUP(,-1/($Z$12:Z470=1),$H$12:H470)-IF(Z469=1,0,SUM(INDIRECT("T"&amp;(MAX((1=Z$12:Z469)*ROW(Z$12:Z469)+1,ROW($T$12))&amp;":T"&amp;(ROW()-1))))),Первоначальный[[#This Row],[Полученный платеж]]+Y469)
)
)
)</f>
        <v>0</v>
      </c>
      <c r="U47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платеж]]+Y469-Первоначальный[[#This Row],[Полученный платёж по процентам]])</f>
        <v>0</v>
      </c>
      <c r="V470" s="55">
        <f t="shared" ca="1" si="85"/>
        <v>0</v>
      </c>
      <c r="W470" s="55" cm="1">
        <f t="array" aca="1" ref="W470" ca="1">IF(Первоначальный[[#This Row],[Итого остаток на начало периода]]&lt;1,0,
_xlfn.IFS(
AND(TYPE(VLOOKUP(1,$Z$12:Z470,1,0))=16,Первоначальный[[#This Row],[Досрочное погашение (да/"")]]=""),0,
AND(S469=0,Первоначальный[[#This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платеж]]+Y469-SUM(Первоначальный[[#This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комиссиям]]),VLOOKUP(LOOKUP(,-1/($Z$12:Z470=1),$A$12:A470),График[[Срок конец]:[Возврат основной суммы долга]],3,0)),
AND(S469=0,Первоначальный[[#This Row],[Дата платежа из графика]]="",Первоначальный[[#This Row],[Досрочное погашение (да/"")]]&lt;&gt;"Да"),0,
AND(S469=0,Первоначальный[[#This Row],[Досрочное погашение (да/"")]]=""),MIN(Первоначальный[[#This Row],[Полученный платеж]]+Y469-SUM(Первоначальный[[#This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комиссиям]]),VLOOKUP(LOOKUP(,-1/($Z$12:Z470=1),$A$12:A470),График[[Срок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платеж]]+Y469-SUM(Первоначальный[[#This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S469&gt;0,MIN(Первоначальный[[#This Row],[Полученный платеж]]+Y469-SUM(Первоначальный[[#This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комиссиям]]),SUM(INDIRECT("M"&amp;(MAX((1=S$12:S469)*ROW(S$12:S469),ROW($W$12))&amp;":M"&amp;(ROW()))))-SUM(INDIRECT("W"&amp;(MAX((1=S$12:S469)*ROW(S$12:S469),ROW($W$12))&amp;":W"&amp;(ROW()-1)))))
)
)</f>
        <v>0</v>
      </c>
      <c r="X470" s="55">
        <f t="shared" ca="1" si="86"/>
        <v>0</v>
      </c>
      <c r="Y470" s="101">
        <f t="shared" ca="1" si="93"/>
        <v>0</v>
      </c>
      <c r="Z470" s="133">
        <f>IF(TYPE((VLOOKUP(Первоначальный[[#This Row],[Дата платежа]],График[Срок конец],1,0)))=16,"",1)</f>
        <v>1</v>
      </c>
      <c r="AA470" s="57"/>
      <c r="AB470" s="134"/>
      <c r="AC47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7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31703.829999999962</v>
      </c>
      <c r="AE47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589.030000000001</v>
      </c>
      <c r="AF47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7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34710.692200000107</v>
      </c>
      <c r="AH470" s="55"/>
      <c r="AI470" s="55"/>
      <c r="AJ470" s="55"/>
      <c r="AK470" s="101">
        <f t="shared" ca="1" si="94"/>
        <v>216636.89220000006</v>
      </c>
      <c r="AL470" s="129">
        <f t="array" ref="AL470">MAX((УслРестрактов[Характеристика]="Дата реструктуризации")*(УслРестрактов[Значение]=Первоначальный!$A470),0)</f>
        <v>0</v>
      </c>
    </row>
    <row r="471" spans="1:38" x14ac:dyDescent="0.25">
      <c r="A471" s="97">
        <f t="shared" si="87"/>
        <v>44602</v>
      </c>
      <c r="B471" s="100">
        <f t="shared" ca="1" si="88"/>
        <v>149633.34</v>
      </c>
      <c r="C471" s="55">
        <f t="shared" ca="1" si="84"/>
        <v>31703.829999999962</v>
      </c>
      <c r="D471" s="55">
        <f t="shared" ca="1" si="84"/>
        <v>589.030000000001</v>
      </c>
      <c r="E471" s="55">
        <f t="shared" ca="1" si="89"/>
        <v>0</v>
      </c>
      <c r="F471" s="55">
        <f t="shared" ca="1" si="90"/>
        <v>34710.692200000107</v>
      </c>
      <c r="G471" s="101">
        <f t="shared" ca="1" si="91"/>
        <v>216636.89220000006</v>
      </c>
      <c r="H471" s="100">
        <f ca="1">ROUND($B471*VLOOKUP($A471,$A$1:$B$10,2,1)/(365+IF(MOD(YEAR($A471),4),0,1)*($A471-$A470)),2)-Первоначальный[[#This Row],[Проценты на просроченный платеж по ОД за период]]</f>
        <v>78.34</v>
      </c>
      <c r="I471" s="55">
        <f t="shared" ca="1" si="92"/>
        <v>3.24</v>
      </c>
      <c r="J471" s="55">
        <v>0</v>
      </c>
      <c r="K471" s="55">
        <f t="shared" ca="1" si="95"/>
        <v>188.23850327868848</v>
      </c>
      <c r="L471" s="55">
        <v>0</v>
      </c>
      <c r="M471" s="113">
        <f>SUMIFS(График[Возврат основной суммы долга],График[Дата с учетом нерабочих дней],$A471)</f>
        <v>0</v>
      </c>
      <c r="N471" s="56">
        <f>SUMIFS(График[Возврат начисленных %],График[Дата с учетом нерабочих дней],$A471)</f>
        <v>0</v>
      </c>
      <c r="O471" s="101">
        <v>0</v>
      </c>
      <c r="P471" s="100" cm="1">
        <f t="array" aca="1" ref="P471" ca="1">MAX(IF(AA470="Да",0,SUM(INDIRECT("M"&amp;(MAX(("Да"=AA$12:AA470)*ROW(AA$12:AA470)+1,ROW($P$12))&amp;":M"&amp;(ROW()))))-SUM(INDIRECT("W"&amp;(MAX(("Да"=AA$12:AA470)*ROW(AA$12:AA470)+1,ROW($P$12))&amp;":W"&amp;(ROW()))))),0)</f>
        <v>5945.35</v>
      </c>
      <c r="Q471" s="99">
        <f ca="1">MAX(SUM($N$13:N471)-SUM($T$13:T471),0)</f>
        <v>31702.350655737697</v>
      </c>
      <c r="R471" s="99">
        <f ca="1">Первоначальный[[#This Row],[Просроченный платеж по ОД]]+Первоначальный[[#This Row],[Просроченный платеж по процентам]]</f>
        <v>37647.700655737695</v>
      </c>
      <c r="S471" s="120">
        <f ca="1">IF(Первоначальный[[#This Row],[Просроченный платеж]]&lt;1,0,S470+1)</f>
        <v>367</v>
      </c>
      <c r="T471" s="100" cm="1">
        <f t="array" aca="1" ref="T471" ca="1">IF(Первоначальный[[#This Row],[Итого остаток на начало периода]]&lt;1,0,
IF(
AND(TYPE(VLOOKUP(1,$Z$12:Z471,1,0))=16,Первоначальный[[#This Row],[Досрочное погашение (да/"")]]=""),0,
_xlfn.IFS(AND(S470=0,Первоначальный[[#This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платеж]]&lt;&gt;0),MIN(LOOKUP(,-1/($Z$12:Z471=1),$C$12:C471)+LOOKUP(,-1/($Z$12:Z471=1),$H$12:H471),Первоначальный[[#This Row],[Полученный платеж]]+Y470),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платеж]]+Y470,SUM(Первоначальный[[#This Row],[Остаток процентов на начало периода]],Первоначальный[[#This Row],[Проценты за период]])),
AND(S470=0,Первоначальный[[#This Row],[Дата платежа из графика]]=""),0,
AND(S470=0,Первоначальный[[#This Row],[Дата платежа из графика]]=1,MAX((0&lt;&gt;S$12:S470)*ROW(S$12:S470),ROW($S$12))&gt;=MAX((1=Z$12:Z470)*ROW(Z$12:Z470),ROW($T$12)),TYPE(VLOOKUP("Да",(INDIRECT("AA"&amp;(MAX((1=Z$12:Z470)*ROW(Z$12:Z470),ROW($T$12))&amp;":AA"&amp;(ROW()-1)))),1,0))=16),MIN(LOOKUP(,-1/($Z$12:Z471=1),$C$12:C471)+LOOKUP(,-1/($Z$12:Z471=1),$H$12:H471),Первоначальный[[#This Row],[Полученный платеж]]+Y470),
AND(S470=0,TYPE(VLOOKUP("Да",(INDIRECT("AA"&amp;(MAX((1=Z$12:Z470)*ROW(Z$12:Z470),ROW($T$12))&amp;":AA"&amp;(ROW()-1)))),1,0))&lt;&gt;16),MIN(LOOKUP(,-1/($Z$12:Z471=1),$C$12:C471)+LOOKUP(,-1/($Z$12:Z471=1),$H$12:H471)-IF(AA470="Да",0,SUM(INDIRECT("T"&amp;(MAX(("Да"=AA$12:AA470)*ROW(AA$12:AA470)+1,ROW($T$12))&amp;":T"&amp;(ROW()-1))))),Первоначальный[[#This Row],[Полученный платеж]]+Y470),
AND(S470=0,MAX((0&lt;&gt;N$12:N470)*ROW(N$12:N470),ROW($S$12))&gt;=MAX((1=Z$12:Z470)*ROW(Z$12:Z470),ROW($T$12))),MIN(LOOKUP(,-1/($Z$12:Z471=1),$C$12:C471)+LOOKUP(,-1/($Z$12:Z471=1),$H$12:H471)-IF(N470&lt;&gt;0,0,SUM(INDIRECT("T"&amp;(MAX((0&lt;&gt;N$12:N470)*ROW(N$12:N470)+1,ROW($T$12))&amp;":T"&amp;(ROW()-1))))),Первоначальный[[#This Row],[Полученный платеж]]+Y470),
AND(S470=0,Первоначальный[[#This Row],[Дата платежа из графика]]=1),MIN(LOOKUP(,-1/($Z$12:Z471=1),$C$12:C471)+LOOKUP(,-1/($Z$12:Z471=1),$H$12:H471)-IF(Z470=1,0,SUM(INDIRECT("T"&amp;(MAX((1=Z$12:Z470)*ROW(Z$12:Z470)+1,ROW($T$12))&amp;":T"&amp;(ROW()-1))))),Первоначальный[[#This Row],[Полученный платеж]]+Y470),
AND(Z470&gt;0,Первоначальный[[#This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платеж]]+Y470),
AND(S470&gt;0,MAX((0&lt;&gt;S$12:S470)*ROW(S$12:S470),ROW($S$12))&gt;=MAX((1=Z$12:Z470)*ROW(Z$12:Z470),ROW($T$12)),TYPE(VLOOKUP("Да",(INDIRECT("AA"&amp;(MAX((1=Z$12:Z470)*ROW(Z$12:Z470),ROW($T$12))&amp;":AA"&amp;(ROW()-1)))),1,0))=16),MIN(LOOKUP(,-1/($Z$12:Z471=1),$C$12:C471)+LOOKUP(,-1/($Z$12:Z471=1),$H$12:H471)-SUM(INDIRECT("T"&amp;(MAX((1=Z$12:Z470)*ROW(Z$12:Z470),ROW($T$12))&amp;":T"&amp;(ROW()-1)))),Первоначальный[[#This Row],[Полученный платеж]]+Y470),
S470&gt;0,MIN(LOOKUP(,-1/($Z$12:Z471=1),$C$12:C471)+LOOKUP(,-1/($Z$12:Z471=1),$H$12:H471)-IF(Z470=1,0,SUM(INDIRECT("T"&amp;(MAX((1=Z$12:Z470)*ROW(Z$12:Z470)+1,ROW($T$12))&amp;":T"&amp;(ROW()-1))))),Первоначальный[[#This Row],[Полученный платеж]]+Y470)
)
)
)</f>
        <v>0</v>
      </c>
      <c r="U47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платеж]]+Y470-Первоначальный[[#This Row],[Полученный платёж по процентам]])</f>
        <v>0</v>
      </c>
      <c r="V471" s="55">
        <f t="shared" ca="1" si="85"/>
        <v>0</v>
      </c>
      <c r="W471" s="55" cm="1">
        <f t="array" aca="1" ref="W471" ca="1">IF(Первоначальный[[#This Row],[Итого остаток на начало периода]]&lt;1,0,
_xlfn.IFS(
AND(TYPE(VLOOKUP(1,$Z$12:Z471,1,0))=16,Первоначальный[[#This Row],[Досрочное погашение (да/"")]]=""),0,
AND(S470=0,Первоначальный[[#This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платеж]]+Y470-SUM(Первоначальный[[#This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комиссиям]]),VLOOKUP(LOOKUP(,-1/($Z$12:Z471=1),$A$12:A471),График[[Срок конец]:[Возврат основной суммы долга]],3,0)),
AND(S470=0,Первоначальный[[#This Row],[Дата платежа из графика]]="",Первоначальный[[#This Row],[Досрочное погашение (да/"")]]&lt;&gt;"Да"),0,
AND(S470=0,Первоначальный[[#This Row],[Досрочное погашение (да/"")]]=""),MIN(Первоначальный[[#This Row],[Полученный платеж]]+Y470-SUM(Первоначальный[[#This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комиссиям]]),VLOOKUP(LOOKUP(,-1/($Z$12:Z471=1),$A$12:A471),График[[Срок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платеж]]+Y470-SUM(Первоначальный[[#This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S470&gt;0,MIN(Первоначальный[[#This Row],[Полученный платеж]]+Y470-SUM(Первоначальный[[#This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комиссиям]]),SUM(INDIRECT("M"&amp;(MAX((1=S$12:S470)*ROW(S$12:S470),ROW($W$12))&amp;":M"&amp;(ROW()))))-SUM(INDIRECT("W"&amp;(MAX((1=S$12:S470)*ROW(S$12:S470),ROW($W$12))&amp;":W"&amp;(ROW()-1)))))
)
)</f>
        <v>0</v>
      </c>
      <c r="X471" s="55">
        <f t="shared" ca="1" si="86"/>
        <v>0</v>
      </c>
      <c r="Y471" s="101">
        <f t="shared" ca="1" si="93"/>
        <v>0</v>
      </c>
      <c r="Z471" s="133" t="str">
        <f>IF(TYPE((VLOOKUP(Первоначальный[[#This Row],[Дата платежа]],График[Срок конец],1,0)))=16,"",1)</f>
        <v/>
      </c>
      <c r="AA471" s="57"/>
      <c r="AB471" s="134"/>
      <c r="AC47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7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31782.169999999962</v>
      </c>
      <c r="AE47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592.270000000001</v>
      </c>
      <c r="AF47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7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34898.930703278798</v>
      </c>
      <c r="AH471" s="55"/>
      <c r="AI471" s="55"/>
      <c r="AJ471" s="55"/>
      <c r="AK471" s="101">
        <f t="shared" ca="1" si="94"/>
        <v>216906.71070327875</v>
      </c>
      <c r="AL471" s="129">
        <f t="array" ref="AL471">MAX((УслРестрактов[Характеристика]="Дата реструктуризации")*(УслРестрактов[Значение]=Первоначальный!$A471),0)</f>
        <v>0</v>
      </c>
    </row>
    <row r="472" spans="1:38" x14ac:dyDescent="0.25">
      <c r="A472" s="97">
        <f t="shared" si="87"/>
        <v>44603</v>
      </c>
      <c r="B472" s="100">
        <f t="shared" ca="1" si="88"/>
        <v>149633.34</v>
      </c>
      <c r="C472" s="55">
        <f t="shared" ca="1" si="84"/>
        <v>31782.169999999962</v>
      </c>
      <c r="D472" s="55">
        <f t="shared" ca="1" si="84"/>
        <v>592.270000000001</v>
      </c>
      <c r="E472" s="55">
        <f t="shared" ca="1" si="89"/>
        <v>0</v>
      </c>
      <c r="F472" s="55">
        <f t="shared" ca="1" si="90"/>
        <v>34898.930703278798</v>
      </c>
      <c r="G472" s="101">
        <f t="shared" ca="1" si="91"/>
        <v>216906.71070327875</v>
      </c>
      <c r="H472" s="100">
        <f ca="1">ROUND($B472*VLOOKUP($A472,$A$1:$B$10,2,1)/(365+IF(MOD(YEAR($A472),4),0,1)*($A472-$A471)),2)-Первоначальный[[#This Row],[Проценты на просроченный платеж по ОД за период]]</f>
        <v>78.34</v>
      </c>
      <c r="I472" s="55">
        <f t="shared" ca="1" si="92"/>
        <v>3.24</v>
      </c>
      <c r="J472" s="55">
        <v>0</v>
      </c>
      <c r="K472" s="55">
        <f t="shared" ca="1" si="95"/>
        <v>188.23850327868848</v>
      </c>
      <c r="L472" s="55">
        <v>0</v>
      </c>
      <c r="M472" s="113">
        <f>SUMIFS(График[Возврат основной суммы долга],График[Дата с учетом нерабочих дней],$A472)</f>
        <v>0</v>
      </c>
      <c r="N472" s="56">
        <f>SUMIFS(График[Возврат начисленных %],График[Дата с учетом нерабочих дней],$A472)</f>
        <v>0</v>
      </c>
      <c r="O472" s="101">
        <v>0</v>
      </c>
      <c r="P472" s="100" cm="1">
        <f t="array" aca="1" ref="P472" ca="1">MAX(IF(AA471="Да",0,SUM(INDIRECT("M"&amp;(MAX(("Да"=AA$12:AA471)*ROW(AA$12:AA471)+1,ROW($P$12))&amp;":M"&amp;(ROW()))))-SUM(INDIRECT("W"&amp;(MAX(("Да"=AA$12:AA471)*ROW(AA$12:AA471)+1,ROW($P$12))&amp;":W"&amp;(ROW()))))),0)</f>
        <v>5945.35</v>
      </c>
      <c r="Q472" s="99">
        <f ca="1">MAX(SUM($N$13:N472)-SUM($T$13:T472),0)</f>
        <v>31702.350655737697</v>
      </c>
      <c r="R472" s="99">
        <f ca="1">Первоначальный[[#This Row],[Просроченный платеж по ОД]]+Первоначальный[[#This Row],[Просроченный платеж по процентам]]</f>
        <v>37647.700655737695</v>
      </c>
      <c r="S472" s="120">
        <f ca="1">IF(Первоначальный[[#This Row],[Просроченный платеж]]&lt;1,0,S471+1)</f>
        <v>368</v>
      </c>
      <c r="T472" s="100" cm="1">
        <f t="array" aca="1" ref="T472" ca="1">IF(Первоначальный[[#This Row],[Итого остаток на начало периода]]&lt;1,0,
IF(
AND(TYPE(VLOOKUP(1,$Z$12:Z472,1,0))=16,Первоначальный[[#This Row],[Досрочное погашение (да/"")]]=""),0,
_xlfn.IFS(AND(S471=0,Первоначальный[[#This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платеж]]&lt;&gt;0),MIN(LOOKUP(,-1/($Z$12:Z472=1),$C$12:C472)+LOOKUP(,-1/($Z$12:Z472=1),$H$12:H472),Первоначальный[[#This Row],[Полученный платеж]]+Y471),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платеж]]+Y471,SUM(Первоначальный[[#This Row],[Остаток процентов на начало периода]],Первоначальный[[#This Row],[Проценты за период]])),
AND(S471=0,Первоначальный[[#This Row],[Дата платежа из графика]]=""),0,
AND(S471=0,Первоначальный[[#This Row],[Дата платежа из графика]]=1,MAX((0&lt;&gt;S$12:S471)*ROW(S$12:S471),ROW($S$12))&gt;=MAX((1=Z$12:Z471)*ROW(Z$12:Z471),ROW($T$12)),TYPE(VLOOKUP("Да",(INDIRECT("AA"&amp;(MAX((1=Z$12:Z471)*ROW(Z$12:Z471),ROW($T$12))&amp;":AA"&amp;(ROW()-1)))),1,0))=16),MIN(LOOKUP(,-1/($Z$12:Z472=1),$C$12:C472)+LOOKUP(,-1/($Z$12:Z472=1),$H$12:H472),Первоначальный[[#This Row],[Полученный платеж]]+Y471),
AND(S471=0,TYPE(VLOOKUP("Да",(INDIRECT("AA"&amp;(MAX((1=Z$12:Z471)*ROW(Z$12:Z471),ROW($T$12))&amp;":AA"&amp;(ROW()-1)))),1,0))&lt;&gt;16),MIN(LOOKUP(,-1/($Z$12:Z472=1),$C$12:C472)+LOOKUP(,-1/($Z$12:Z472=1),$H$12:H472)-IF(AA471="Да",0,SUM(INDIRECT("T"&amp;(MAX(("Да"=AA$12:AA471)*ROW(AA$12:AA471)+1,ROW($T$12))&amp;":T"&amp;(ROW()-1))))),Первоначальный[[#This Row],[Полученный платеж]]+Y471),
AND(S471=0,MAX((0&lt;&gt;N$12:N471)*ROW(N$12:N471),ROW($S$12))&gt;=MAX((1=Z$12:Z471)*ROW(Z$12:Z471),ROW($T$12))),MIN(LOOKUP(,-1/($Z$12:Z472=1),$C$12:C472)+LOOKUP(,-1/($Z$12:Z472=1),$H$12:H472)-IF(N471&lt;&gt;0,0,SUM(INDIRECT("T"&amp;(MAX((0&lt;&gt;N$12:N471)*ROW(N$12:N471)+1,ROW($T$12))&amp;":T"&amp;(ROW()-1))))),Первоначальный[[#This Row],[Полученный платеж]]+Y471),
AND(S471=0,Первоначальный[[#This Row],[Дата платежа из графика]]=1),MIN(LOOKUP(,-1/($Z$12:Z472=1),$C$12:C472)+LOOKUP(,-1/($Z$12:Z472=1),$H$12:H472)-IF(Z471=1,0,SUM(INDIRECT("T"&amp;(MAX((1=Z$12:Z471)*ROW(Z$12:Z471)+1,ROW($T$12))&amp;":T"&amp;(ROW()-1))))),Первоначальный[[#This Row],[Полученный платеж]]+Y471),
AND(Z471&gt;0,Первоначальный[[#This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платеж]]+Y471),
AND(S471&gt;0,MAX((0&lt;&gt;S$12:S471)*ROW(S$12:S471),ROW($S$12))&gt;=MAX((1=Z$12:Z471)*ROW(Z$12:Z471),ROW($T$12)),TYPE(VLOOKUP("Да",(INDIRECT("AA"&amp;(MAX((1=Z$12:Z471)*ROW(Z$12:Z471),ROW($T$12))&amp;":AA"&amp;(ROW()-1)))),1,0))=16),MIN(LOOKUP(,-1/($Z$12:Z472=1),$C$12:C472)+LOOKUP(,-1/($Z$12:Z472=1),$H$12:H472)-SUM(INDIRECT("T"&amp;(MAX((1=Z$12:Z471)*ROW(Z$12:Z471),ROW($T$12))&amp;":T"&amp;(ROW()-1)))),Первоначальный[[#This Row],[Полученный платеж]]+Y471),
S471&gt;0,MIN(LOOKUP(,-1/($Z$12:Z472=1),$C$12:C472)+LOOKUP(,-1/($Z$12:Z472=1),$H$12:H472)-IF(Z471=1,0,SUM(INDIRECT("T"&amp;(MAX((1=Z$12:Z471)*ROW(Z$12:Z471)+1,ROW($T$12))&amp;":T"&amp;(ROW()-1))))),Первоначальный[[#This Row],[Полученный платеж]]+Y471)
)
)
)</f>
        <v>0</v>
      </c>
      <c r="U47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платеж]]+Y471-Первоначальный[[#This Row],[Полученный платёж по процентам]])</f>
        <v>0</v>
      </c>
      <c r="V472" s="55">
        <f t="shared" ca="1" si="85"/>
        <v>0</v>
      </c>
      <c r="W472" s="55" cm="1">
        <f t="array" aca="1" ref="W472" ca="1">IF(Первоначальный[[#This Row],[Итого остаток на начало периода]]&lt;1,0,
_xlfn.IFS(
AND(TYPE(VLOOKUP(1,$Z$12:Z472,1,0))=16,Первоначальный[[#This Row],[Досрочное погашение (да/"")]]=""),0,
AND(S471=0,Первоначальный[[#This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платеж]]+Y471-SUM(Первоначальный[[#This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комиссиям]]),VLOOKUP(LOOKUP(,-1/($Z$12:Z472=1),$A$12:A472),График[[Срок конец]:[Возврат основной суммы долга]],3,0)),
AND(S471=0,Первоначальный[[#This Row],[Дата платежа из графика]]="",Первоначальный[[#This Row],[Досрочное погашение (да/"")]]&lt;&gt;"Да"),0,
AND(S471=0,Первоначальный[[#This Row],[Досрочное погашение (да/"")]]=""),MIN(Первоначальный[[#This Row],[Полученный платеж]]+Y471-SUM(Первоначальный[[#This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комиссиям]]),VLOOKUP(LOOKUP(,-1/($Z$12:Z472=1),$A$12:A472),График[[Срок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платеж]]+Y471-SUM(Первоначальный[[#This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S471&gt;0,MIN(Первоначальный[[#This Row],[Полученный платеж]]+Y471-SUM(Первоначальный[[#This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комиссиям]]),SUM(INDIRECT("M"&amp;(MAX((1=S$12:S471)*ROW(S$12:S471),ROW($W$12))&amp;":M"&amp;(ROW()))))-SUM(INDIRECT("W"&amp;(MAX((1=S$12:S471)*ROW(S$12:S471),ROW($W$12))&amp;":W"&amp;(ROW()-1)))))
)
)</f>
        <v>0</v>
      </c>
      <c r="X472" s="55">
        <f t="shared" ca="1" si="86"/>
        <v>0</v>
      </c>
      <c r="Y472" s="101">
        <f t="shared" ca="1" si="93"/>
        <v>0</v>
      </c>
      <c r="Z472" s="133" t="str">
        <f>IF(TYPE((VLOOKUP(Первоначальный[[#This Row],[Дата платежа]],График[Срок конец],1,0)))=16,"",1)</f>
        <v/>
      </c>
      <c r="AA472" s="57"/>
      <c r="AB472" s="134"/>
      <c r="AC47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7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31860.509999999962</v>
      </c>
      <c r="AE47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595.51000000000101</v>
      </c>
      <c r="AF47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7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35087.16920655749</v>
      </c>
      <c r="AH472" s="55"/>
      <c r="AI472" s="55"/>
      <c r="AJ472" s="55"/>
      <c r="AK472" s="101">
        <f t="shared" ca="1" si="94"/>
        <v>217176.52920655743</v>
      </c>
      <c r="AL472" s="129">
        <f t="array" ref="AL472">MAX((УслРестрактов[Характеристика]="Дата реструктуризации")*(УслРестрактов[Значение]=Первоначальный!$A472),0)</f>
        <v>0</v>
      </c>
    </row>
    <row r="473" spans="1:38" x14ac:dyDescent="0.25">
      <c r="A473" s="97">
        <f t="shared" si="87"/>
        <v>44604</v>
      </c>
      <c r="B473" s="100">
        <f t="shared" ca="1" si="88"/>
        <v>149633.34</v>
      </c>
      <c r="C473" s="55">
        <f t="shared" ca="1" si="84"/>
        <v>31860.509999999962</v>
      </c>
      <c r="D473" s="55">
        <f t="shared" ca="1" si="84"/>
        <v>595.51000000000101</v>
      </c>
      <c r="E473" s="55">
        <f t="shared" ca="1" si="89"/>
        <v>0</v>
      </c>
      <c r="F473" s="55">
        <f t="shared" ca="1" si="90"/>
        <v>35087.16920655749</v>
      </c>
      <c r="G473" s="101">
        <f t="shared" ca="1" si="91"/>
        <v>217176.52920655743</v>
      </c>
      <c r="H473" s="100">
        <f ca="1">ROUND($B473*VLOOKUP($A473,$A$1:$B$10,2,1)/(365+IF(MOD(YEAR($A473),4),0,1)*($A473-$A472)),2)-Первоначальный[[#This Row],[Проценты на просроченный платеж по ОД за период]]</f>
        <v>78.34</v>
      </c>
      <c r="I473" s="55">
        <f t="shared" ca="1" si="92"/>
        <v>3.24</v>
      </c>
      <c r="J473" s="55">
        <v>0</v>
      </c>
      <c r="K473" s="55">
        <f t="shared" ca="1" si="95"/>
        <v>188.23850327868848</v>
      </c>
      <c r="L473" s="55">
        <v>0</v>
      </c>
      <c r="M473" s="113">
        <f>SUMIFS(График[Возврат основной суммы долга],График[Дата с учетом нерабочих дней],$A473)</f>
        <v>0</v>
      </c>
      <c r="N473" s="56">
        <f>SUMIFS(График[Возврат начисленных %],График[Дата с учетом нерабочих дней],$A473)</f>
        <v>0</v>
      </c>
      <c r="O473" s="101">
        <v>0</v>
      </c>
      <c r="P473" s="100" cm="1">
        <f t="array" aca="1" ref="P473" ca="1">MAX(IF(AA472="Да",0,SUM(INDIRECT("M"&amp;(MAX(("Да"=AA$12:AA472)*ROW(AA$12:AA472)+1,ROW($P$12))&amp;":M"&amp;(ROW()))))-SUM(INDIRECT("W"&amp;(MAX(("Да"=AA$12:AA472)*ROW(AA$12:AA472)+1,ROW($P$12))&amp;":W"&amp;(ROW()))))),0)</f>
        <v>5945.35</v>
      </c>
      <c r="Q473" s="99">
        <f ca="1">MAX(SUM($N$13:N473)-SUM($T$13:T473),0)</f>
        <v>31702.350655737697</v>
      </c>
      <c r="R473" s="99">
        <f ca="1">Первоначальный[[#This Row],[Просроченный платеж по ОД]]+Первоначальный[[#This Row],[Просроченный платеж по процентам]]</f>
        <v>37647.700655737695</v>
      </c>
      <c r="S473" s="120">
        <f ca="1">IF(Первоначальный[[#This Row],[Просроченный платеж]]&lt;1,0,S472+1)</f>
        <v>369</v>
      </c>
      <c r="T473" s="100" cm="1">
        <f t="array" aca="1" ref="T473" ca="1">IF(Первоначальный[[#This Row],[Итого остаток на начало периода]]&lt;1,0,
IF(
AND(TYPE(VLOOKUP(1,$Z$12:Z473,1,0))=16,Первоначальный[[#This Row],[Досрочное погашение (да/"")]]=""),0,
_xlfn.IFS(AND(S472=0,Первоначальный[[#This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платеж]]&lt;&gt;0),MIN(LOOKUP(,-1/($Z$12:Z473=1),$C$12:C473)+LOOKUP(,-1/($Z$12:Z473=1),$H$12:H473),Первоначальный[[#This Row],[Полученный платеж]]+Y472),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платеж]]+Y472,SUM(Первоначальный[[#This Row],[Остаток процентов на начало периода]],Первоначальный[[#This Row],[Проценты за период]])),
AND(S472=0,Первоначальный[[#This Row],[Дата платежа из графика]]=""),0,
AND(S472=0,Первоначальный[[#This Row],[Дата платежа из графика]]=1,MAX((0&lt;&gt;S$12:S472)*ROW(S$12:S472),ROW($S$12))&gt;=MAX((1=Z$12:Z472)*ROW(Z$12:Z472),ROW($T$12)),TYPE(VLOOKUP("Да",(INDIRECT("AA"&amp;(MAX((1=Z$12:Z472)*ROW(Z$12:Z472),ROW($T$12))&amp;":AA"&amp;(ROW()-1)))),1,0))=16),MIN(LOOKUP(,-1/($Z$12:Z473=1),$C$12:C473)+LOOKUP(,-1/($Z$12:Z473=1),$H$12:H473),Первоначальный[[#This Row],[Полученный платеж]]+Y472),
AND(S472=0,TYPE(VLOOKUP("Да",(INDIRECT("AA"&amp;(MAX((1=Z$12:Z472)*ROW(Z$12:Z472),ROW($T$12))&amp;":AA"&amp;(ROW()-1)))),1,0))&lt;&gt;16),MIN(LOOKUP(,-1/($Z$12:Z473=1),$C$12:C473)+LOOKUP(,-1/($Z$12:Z473=1),$H$12:H473)-IF(AA472="Да",0,SUM(INDIRECT("T"&amp;(MAX(("Да"=AA$12:AA472)*ROW(AA$12:AA472)+1,ROW($T$12))&amp;":T"&amp;(ROW()-1))))),Первоначальный[[#This Row],[Полученный платеж]]+Y472),
AND(S472=0,MAX((0&lt;&gt;N$12:N472)*ROW(N$12:N472),ROW($S$12))&gt;=MAX((1=Z$12:Z472)*ROW(Z$12:Z472),ROW($T$12))),MIN(LOOKUP(,-1/($Z$12:Z473=1),$C$12:C473)+LOOKUP(,-1/($Z$12:Z473=1),$H$12:H473)-IF(N472&lt;&gt;0,0,SUM(INDIRECT("T"&amp;(MAX((0&lt;&gt;N$12:N472)*ROW(N$12:N472)+1,ROW($T$12))&amp;":T"&amp;(ROW()-1))))),Первоначальный[[#This Row],[Полученный платеж]]+Y472),
AND(S472=0,Первоначальный[[#This Row],[Дата платежа из графика]]=1),MIN(LOOKUP(,-1/($Z$12:Z473=1),$C$12:C473)+LOOKUP(,-1/($Z$12:Z473=1),$H$12:H473)-IF(Z472=1,0,SUM(INDIRECT("T"&amp;(MAX((1=Z$12:Z472)*ROW(Z$12:Z472)+1,ROW($T$12))&amp;":T"&amp;(ROW()-1))))),Первоначальный[[#This Row],[Полученный платеж]]+Y472),
AND(Z472&gt;0,Первоначальный[[#This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платеж]]+Y472),
AND(S472&gt;0,MAX((0&lt;&gt;S$12:S472)*ROW(S$12:S472),ROW($S$12))&gt;=MAX((1=Z$12:Z472)*ROW(Z$12:Z472),ROW($T$12)),TYPE(VLOOKUP("Да",(INDIRECT("AA"&amp;(MAX((1=Z$12:Z472)*ROW(Z$12:Z472),ROW($T$12))&amp;":AA"&amp;(ROW()-1)))),1,0))=16),MIN(LOOKUP(,-1/($Z$12:Z473=1),$C$12:C473)+LOOKUP(,-1/($Z$12:Z473=1),$H$12:H473)-SUM(INDIRECT("T"&amp;(MAX((1=Z$12:Z472)*ROW(Z$12:Z472),ROW($T$12))&amp;":T"&amp;(ROW()-1)))),Первоначальный[[#This Row],[Полученный платеж]]+Y472),
S472&gt;0,MIN(LOOKUP(,-1/($Z$12:Z473=1),$C$12:C473)+LOOKUP(,-1/($Z$12:Z473=1),$H$12:H473)-IF(Z472=1,0,SUM(INDIRECT("T"&amp;(MAX((1=Z$12:Z472)*ROW(Z$12:Z472)+1,ROW($T$12))&amp;":T"&amp;(ROW()-1))))),Первоначальный[[#This Row],[Полученный платеж]]+Y472)
)
)
)</f>
        <v>0</v>
      </c>
      <c r="U47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платеж]]+Y472-Первоначальный[[#This Row],[Полученный платёж по процентам]])</f>
        <v>0</v>
      </c>
      <c r="V473" s="55">
        <f t="shared" ca="1" si="85"/>
        <v>0</v>
      </c>
      <c r="W473" s="55" cm="1">
        <f t="array" aca="1" ref="W473" ca="1">IF(Первоначальный[[#This Row],[Итого остаток на начало периода]]&lt;1,0,
_xlfn.IFS(
AND(TYPE(VLOOKUP(1,$Z$12:Z473,1,0))=16,Первоначальный[[#This Row],[Досрочное погашение (да/"")]]=""),0,
AND(S472=0,Первоначальный[[#This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платеж]]+Y472-SUM(Первоначальный[[#This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комиссиям]]),VLOOKUP(LOOKUP(,-1/($Z$12:Z473=1),$A$12:A473),График[[Срок конец]:[Возврат основной суммы долга]],3,0)),
AND(S472=0,Первоначальный[[#This Row],[Дата платежа из графика]]="",Первоначальный[[#This Row],[Досрочное погашение (да/"")]]&lt;&gt;"Да"),0,
AND(S472=0,Первоначальный[[#This Row],[Досрочное погашение (да/"")]]=""),MIN(Первоначальный[[#This Row],[Полученный платеж]]+Y472-SUM(Первоначальный[[#This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комиссиям]]),VLOOKUP(LOOKUP(,-1/($Z$12:Z473=1),$A$12:A473),График[[Срок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платеж]]+Y472-SUM(Первоначальный[[#This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S472&gt;0,MIN(Первоначальный[[#This Row],[Полученный платеж]]+Y472-SUM(Первоначальный[[#This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комиссиям]]),SUM(INDIRECT("M"&amp;(MAX((1=S$12:S472)*ROW(S$12:S472),ROW($W$12))&amp;":M"&amp;(ROW()))))-SUM(INDIRECT("W"&amp;(MAX((1=S$12:S472)*ROW(S$12:S472),ROW($W$12))&amp;":W"&amp;(ROW()-1)))))
)
)</f>
        <v>0</v>
      </c>
      <c r="X473" s="55">
        <f t="shared" ca="1" si="86"/>
        <v>0</v>
      </c>
      <c r="Y473" s="101">
        <f t="shared" ca="1" si="93"/>
        <v>0</v>
      </c>
      <c r="Z473" s="133" t="str">
        <f>IF(TYPE((VLOOKUP(Первоначальный[[#This Row],[Дата платежа]],График[Срок конец],1,0)))=16,"",1)</f>
        <v/>
      </c>
      <c r="AA473" s="57"/>
      <c r="AB473" s="134"/>
      <c r="AC47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7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31938.849999999962</v>
      </c>
      <c r="AE47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598.75000000000102</v>
      </c>
      <c r="AF47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7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35275.407709836181</v>
      </c>
      <c r="AH473" s="55"/>
      <c r="AI473" s="55"/>
      <c r="AJ473" s="55"/>
      <c r="AK473" s="101">
        <f t="shared" ca="1" si="94"/>
        <v>217446.34770983612</v>
      </c>
      <c r="AL473" s="129">
        <f t="array" ref="AL473">MAX((УслРестрактов[Характеристика]="Дата реструктуризации")*(УслРестрактов[Значение]=Первоначальный!$A473),0)</f>
        <v>0</v>
      </c>
    </row>
    <row r="474" spans="1:38" x14ac:dyDescent="0.25">
      <c r="A474" s="97">
        <f t="shared" si="87"/>
        <v>44605</v>
      </c>
      <c r="B474" s="100">
        <f t="shared" ca="1" si="88"/>
        <v>149633.34</v>
      </c>
      <c r="C474" s="55">
        <f t="shared" ca="1" si="84"/>
        <v>31938.849999999962</v>
      </c>
      <c r="D474" s="55">
        <f t="shared" ca="1" si="84"/>
        <v>598.75000000000102</v>
      </c>
      <c r="E474" s="55">
        <f t="shared" ca="1" si="89"/>
        <v>0</v>
      </c>
      <c r="F474" s="55">
        <f t="shared" ca="1" si="90"/>
        <v>35275.407709836181</v>
      </c>
      <c r="G474" s="101">
        <f t="shared" ca="1" si="91"/>
        <v>217446.34770983612</v>
      </c>
      <c r="H474" s="100">
        <f ca="1">ROUND($B474*VLOOKUP($A474,$A$1:$B$10,2,1)/(365+IF(MOD(YEAR($A474),4),0,1)*($A474-$A473)),2)-Первоначальный[[#This Row],[Проценты на просроченный платеж по ОД за период]]</f>
        <v>78.34</v>
      </c>
      <c r="I474" s="55">
        <f t="shared" ca="1" si="92"/>
        <v>3.24</v>
      </c>
      <c r="J474" s="55">
        <v>0</v>
      </c>
      <c r="K474" s="55">
        <f t="shared" ca="1" si="95"/>
        <v>188.23850327868848</v>
      </c>
      <c r="L474" s="55">
        <v>0</v>
      </c>
      <c r="M474" s="113">
        <f>SUMIFS(График[Возврат основной суммы долга],График[Дата с учетом нерабочих дней],$A474)</f>
        <v>0</v>
      </c>
      <c r="N474" s="56">
        <f>SUMIFS(График[Возврат начисленных %],График[Дата с учетом нерабочих дней],$A474)</f>
        <v>0</v>
      </c>
      <c r="O474" s="101">
        <v>0</v>
      </c>
      <c r="P474" s="100" cm="1">
        <f t="array" aca="1" ref="P474" ca="1">MAX(IF(AA473="Да",0,SUM(INDIRECT("M"&amp;(MAX(("Да"=AA$12:AA473)*ROW(AA$12:AA473)+1,ROW($P$12))&amp;":M"&amp;(ROW()))))-SUM(INDIRECT("W"&amp;(MAX(("Да"=AA$12:AA473)*ROW(AA$12:AA473)+1,ROW($P$12))&amp;":W"&amp;(ROW()))))),0)</f>
        <v>5945.35</v>
      </c>
      <c r="Q474" s="99">
        <f ca="1">MAX(SUM($N$13:N474)-SUM($T$13:T474),0)</f>
        <v>31702.350655737697</v>
      </c>
      <c r="R474" s="99">
        <f ca="1">Первоначальный[[#This Row],[Просроченный платеж по ОД]]+Первоначальный[[#This Row],[Просроченный платеж по процентам]]</f>
        <v>37647.700655737695</v>
      </c>
      <c r="S474" s="120">
        <f ca="1">IF(Первоначальный[[#This Row],[Просроченный платеж]]&lt;1,0,S473+1)</f>
        <v>370</v>
      </c>
      <c r="T474" s="100" cm="1">
        <f t="array" aca="1" ref="T474" ca="1">IF(Первоначальный[[#This Row],[Итого остаток на начало периода]]&lt;1,0,
IF(
AND(TYPE(VLOOKUP(1,$Z$12:Z474,1,0))=16,Первоначальный[[#This Row],[Досрочное погашение (да/"")]]=""),0,
_xlfn.IFS(AND(S473=0,Первоначальный[[#This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платеж]]&lt;&gt;0),MIN(LOOKUP(,-1/($Z$12:Z474=1),$C$12:C474)+LOOKUP(,-1/($Z$12:Z474=1),$H$12:H474),Первоначальный[[#This Row],[Полученный платеж]]+Y473),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платеж]]+Y473,SUM(Первоначальный[[#This Row],[Остаток процентов на начало периода]],Первоначальный[[#This Row],[Проценты за период]])),
AND(S473=0,Первоначальный[[#This Row],[Дата платежа из графика]]=""),0,
AND(S473=0,Первоначальный[[#This Row],[Дата платежа из графика]]=1,MAX((0&lt;&gt;S$12:S473)*ROW(S$12:S473),ROW($S$12))&gt;=MAX((1=Z$12:Z473)*ROW(Z$12:Z473),ROW($T$12)),TYPE(VLOOKUP("Да",(INDIRECT("AA"&amp;(MAX((1=Z$12:Z473)*ROW(Z$12:Z473),ROW($T$12))&amp;":AA"&amp;(ROW()-1)))),1,0))=16),MIN(LOOKUP(,-1/($Z$12:Z474=1),$C$12:C474)+LOOKUP(,-1/($Z$12:Z474=1),$H$12:H474),Первоначальный[[#This Row],[Полученный платеж]]+Y473),
AND(S473=0,TYPE(VLOOKUP("Да",(INDIRECT("AA"&amp;(MAX((1=Z$12:Z473)*ROW(Z$12:Z473),ROW($T$12))&amp;":AA"&amp;(ROW()-1)))),1,0))&lt;&gt;16),MIN(LOOKUP(,-1/($Z$12:Z474=1),$C$12:C474)+LOOKUP(,-1/($Z$12:Z474=1),$H$12:H474)-IF(AA473="Да",0,SUM(INDIRECT("T"&amp;(MAX(("Да"=AA$12:AA473)*ROW(AA$12:AA473)+1,ROW($T$12))&amp;":T"&amp;(ROW()-1))))),Первоначальный[[#This Row],[Полученный платеж]]+Y473),
AND(S473=0,MAX((0&lt;&gt;N$12:N473)*ROW(N$12:N473),ROW($S$12))&gt;=MAX((1=Z$12:Z473)*ROW(Z$12:Z473),ROW($T$12))),MIN(LOOKUP(,-1/($Z$12:Z474=1),$C$12:C474)+LOOKUP(,-1/($Z$12:Z474=1),$H$12:H474)-IF(N473&lt;&gt;0,0,SUM(INDIRECT("T"&amp;(MAX((0&lt;&gt;N$12:N473)*ROW(N$12:N473)+1,ROW($T$12))&amp;":T"&amp;(ROW()-1))))),Первоначальный[[#This Row],[Полученный платеж]]+Y473),
AND(S473=0,Первоначальный[[#This Row],[Дата платежа из графика]]=1),MIN(LOOKUP(,-1/($Z$12:Z474=1),$C$12:C474)+LOOKUP(,-1/($Z$12:Z474=1),$H$12:H474)-IF(Z473=1,0,SUM(INDIRECT("T"&amp;(MAX((1=Z$12:Z473)*ROW(Z$12:Z473)+1,ROW($T$12))&amp;":T"&amp;(ROW()-1))))),Первоначальный[[#This Row],[Полученный платеж]]+Y473),
AND(Z473&gt;0,Первоначальный[[#This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платеж]]+Y473),
AND(S473&gt;0,MAX((0&lt;&gt;S$12:S473)*ROW(S$12:S473),ROW($S$12))&gt;=MAX((1=Z$12:Z473)*ROW(Z$12:Z473),ROW($T$12)),TYPE(VLOOKUP("Да",(INDIRECT("AA"&amp;(MAX((1=Z$12:Z473)*ROW(Z$12:Z473),ROW($T$12))&amp;":AA"&amp;(ROW()-1)))),1,0))=16),MIN(LOOKUP(,-1/($Z$12:Z474=1),$C$12:C474)+LOOKUP(,-1/($Z$12:Z474=1),$H$12:H474)-SUM(INDIRECT("T"&amp;(MAX((1=Z$12:Z473)*ROW(Z$12:Z473),ROW($T$12))&amp;":T"&amp;(ROW()-1)))),Первоначальный[[#This Row],[Полученный платеж]]+Y473),
S473&gt;0,MIN(LOOKUP(,-1/($Z$12:Z474=1),$C$12:C474)+LOOKUP(,-1/($Z$12:Z474=1),$H$12:H474)-IF(Z473=1,0,SUM(INDIRECT("T"&amp;(MAX((1=Z$12:Z473)*ROW(Z$12:Z473)+1,ROW($T$12))&amp;":T"&amp;(ROW()-1))))),Первоначальный[[#This Row],[Полученный платеж]]+Y473)
)
)
)</f>
        <v>0</v>
      </c>
      <c r="U47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платеж]]+Y473-Первоначальный[[#This Row],[Полученный платёж по процентам]])</f>
        <v>0</v>
      </c>
      <c r="V474" s="55">
        <f t="shared" ca="1" si="85"/>
        <v>0</v>
      </c>
      <c r="W474" s="55" cm="1">
        <f t="array" aca="1" ref="W474" ca="1">IF(Первоначальный[[#This Row],[Итого остаток на начало периода]]&lt;1,0,
_xlfn.IFS(
AND(TYPE(VLOOKUP(1,$Z$12:Z474,1,0))=16,Первоначальный[[#This Row],[Досрочное погашение (да/"")]]=""),0,
AND(S473=0,Первоначальный[[#This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платеж]]+Y473-SUM(Первоначальный[[#This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комиссиям]]),VLOOKUP(LOOKUP(,-1/($Z$12:Z474=1),$A$12:A474),График[[Срок конец]:[Возврат основной суммы долга]],3,0)),
AND(S473=0,Первоначальный[[#This Row],[Дата платежа из графика]]="",Первоначальный[[#This Row],[Досрочное погашение (да/"")]]&lt;&gt;"Да"),0,
AND(S473=0,Первоначальный[[#This Row],[Досрочное погашение (да/"")]]=""),MIN(Первоначальный[[#This Row],[Полученный платеж]]+Y473-SUM(Первоначальный[[#This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комиссиям]]),VLOOKUP(LOOKUP(,-1/($Z$12:Z474=1),$A$12:A474),График[[Срок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платеж]]+Y473-SUM(Первоначальный[[#This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S473&gt;0,MIN(Первоначальный[[#This Row],[Полученный платеж]]+Y473-SUM(Первоначальный[[#This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комиссиям]]),SUM(INDIRECT("M"&amp;(MAX((1=S$12:S473)*ROW(S$12:S473),ROW($W$12))&amp;":M"&amp;(ROW()))))-SUM(INDIRECT("W"&amp;(MAX((1=S$12:S473)*ROW(S$12:S473),ROW($W$12))&amp;":W"&amp;(ROW()-1)))))
)
)</f>
        <v>0</v>
      </c>
      <c r="X474" s="55">
        <f t="shared" ca="1" si="86"/>
        <v>0</v>
      </c>
      <c r="Y474" s="101">
        <f t="shared" ca="1" si="93"/>
        <v>0</v>
      </c>
      <c r="Z474" s="133" t="str">
        <f>IF(TYPE((VLOOKUP(Первоначальный[[#This Row],[Дата платежа]],График[Срок конец],1,0)))=16,"",1)</f>
        <v/>
      </c>
      <c r="AA474" s="57"/>
      <c r="AB474" s="134"/>
      <c r="AC47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7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32017.189999999962</v>
      </c>
      <c r="AE47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601.99000000000103</v>
      </c>
      <c r="AF47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7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35463.646213114873</v>
      </c>
      <c r="AH474" s="55"/>
      <c r="AI474" s="55"/>
      <c r="AJ474" s="55"/>
      <c r="AK474" s="101">
        <f t="shared" ca="1" si="94"/>
        <v>217716.16621311483</v>
      </c>
      <c r="AL474" s="129">
        <f t="array" ref="AL474">MAX((УслРестрактов[Характеристика]="Дата реструктуризации")*(УслРестрактов[Значение]=Первоначальный!$A474),0)</f>
        <v>0</v>
      </c>
    </row>
    <row r="475" spans="1:38" x14ac:dyDescent="0.25">
      <c r="A475" s="97">
        <f t="shared" si="87"/>
        <v>44606</v>
      </c>
      <c r="B475" s="100">
        <f t="shared" ca="1" si="88"/>
        <v>149633.34</v>
      </c>
      <c r="C475" s="55">
        <f t="shared" ca="1" si="84"/>
        <v>32017.189999999962</v>
      </c>
      <c r="D475" s="55">
        <f t="shared" ca="1" si="84"/>
        <v>601.99000000000103</v>
      </c>
      <c r="E475" s="55">
        <f t="shared" ca="1" si="89"/>
        <v>0</v>
      </c>
      <c r="F475" s="55">
        <f t="shared" ca="1" si="90"/>
        <v>35463.646213114873</v>
      </c>
      <c r="G475" s="101">
        <f t="shared" ca="1" si="91"/>
        <v>217716.16621311483</v>
      </c>
      <c r="H475" s="100">
        <f ca="1">ROUND($B475*VLOOKUP($A475,$A$1:$B$10,2,1)/(365+IF(MOD(YEAR($A475),4),0,1)*($A475-$A474)),2)-Первоначальный[[#This Row],[Проценты на просроченный платеж по ОД за период]]</f>
        <v>78.34</v>
      </c>
      <c r="I475" s="55">
        <f t="shared" ca="1" si="92"/>
        <v>3.24</v>
      </c>
      <c r="J475" s="55">
        <v>0</v>
      </c>
      <c r="K475" s="55">
        <f t="shared" ca="1" si="95"/>
        <v>188.23850327868848</v>
      </c>
      <c r="L475" s="55">
        <v>0</v>
      </c>
      <c r="M475" s="113">
        <f>SUMIFS(График[Возврат основной суммы долга],График[Дата с учетом нерабочих дней],$A475)</f>
        <v>0</v>
      </c>
      <c r="N475" s="56">
        <f>SUMIFS(График[Возврат начисленных %],График[Дата с учетом нерабочих дней],$A475)</f>
        <v>0</v>
      </c>
      <c r="O475" s="101">
        <v>0</v>
      </c>
      <c r="P475" s="100" cm="1">
        <f t="array" aca="1" ref="P475" ca="1">MAX(IF(AA474="Да",0,SUM(INDIRECT("M"&amp;(MAX(("Да"=AA$12:AA474)*ROW(AA$12:AA474)+1,ROW($P$12))&amp;":M"&amp;(ROW()))))-SUM(INDIRECT("W"&amp;(MAX(("Да"=AA$12:AA474)*ROW(AA$12:AA474)+1,ROW($P$12))&amp;":W"&amp;(ROW()))))),0)</f>
        <v>5945.35</v>
      </c>
      <c r="Q475" s="99">
        <f ca="1">MAX(SUM($N$13:N475)-SUM($T$13:T475),0)</f>
        <v>31702.350655737697</v>
      </c>
      <c r="R475" s="99">
        <f ca="1">Первоначальный[[#This Row],[Просроченный платеж по ОД]]+Первоначальный[[#This Row],[Просроченный платеж по процентам]]</f>
        <v>37647.700655737695</v>
      </c>
      <c r="S475" s="120">
        <f ca="1">IF(Первоначальный[[#This Row],[Просроченный платеж]]&lt;1,0,S474+1)</f>
        <v>371</v>
      </c>
      <c r="T475" s="100" cm="1">
        <f t="array" aca="1" ref="T475" ca="1">IF(Первоначальный[[#This Row],[Итого остаток на начало периода]]&lt;1,0,
IF(
AND(TYPE(VLOOKUP(1,$Z$12:Z475,1,0))=16,Первоначальный[[#This Row],[Досрочное погашение (да/"")]]=""),0,
_xlfn.IFS(AND(S474=0,Первоначальный[[#This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платеж]]&lt;&gt;0),MIN(LOOKUP(,-1/($Z$12:Z475=1),$C$12:C475)+LOOKUP(,-1/($Z$12:Z475=1),$H$12:H475),Первоначальный[[#This Row],[Полученный платеж]]+Y474),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платеж]]+Y474,SUM(Первоначальный[[#This Row],[Остаток процентов на начало периода]],Первоначальный[[#This Row],[Проценты за период]])),
AND(S474=0,Первоначальный[[#This Row],[Дата платежа из графика]]=""),0,
AND(S474=0,Первоначальный[[#This Row],[Дата платежа из графика]]=1,MAX((0&lt;&gt;S$12:S474)*ROW(S$12:S474),ROW($S$12))&gt;=MAX((1=Z$12:Z474)*ROW(Z$12:Z474),ROW($T$12)),TYPE(VLOOKUP("Да",(INDIRECT("AA"&amp;(MAX((1=Z$12:Z474)*ROW(Z$12:Z474),ROW($T$12))&amp;":AA"&amp;(ROW()-1)))),1,0))=16),MIN(LOOKUP(,-1/($Z$12:Z475=1),$C$12:C475)+LOOKUP(,-1/($Z$12:Z475=1),$H$12:H475),Первоначальный[[#This Row],[Полученный платеж]]+Y474),
AND(S474=0,TYPE(VLOOKUP("Да",(INDIRECT("AA"&amp;(MAX((1=Z$12:Z474)*ROW(Z$12:Z474),ROW($T$12))&amp;":AA"&amp;(ROW()-1)))),1,0))&lt;&gt;16),MIN(LOOKUP(,-1/($Z$12:Z475=1),$C$12:C475)+LOOKUP(,-1/($Z$12:Z475=1),$H$12:H475)-IF(AA474="Да",0,SUM(INDIRECT("T"&amp;(MAX(("Да"=AA$12:AA474)*ROW(AA$12:AA474)+1,ROW($T$12))&amp;":T"&amp;(ROW()-1))))),Первоначальный[[#This Row],[Полученный платеж]]+Y474),
AND(S474=0,MAX((0&lt;&gt;N$12:N474)*ROW(N$12:N474),ROW($S$12))&gt;=MAX((1=Z$12:Z474)*ROW(Z$12:Z474),ROW($T$12))),MIN(LOOKUP(,-1/($Z$12:Z475=1),$C$12:C475)+LOOKUP(,-1/($Z$12:Z475=1),$H$12:H475)-IF(N474&lt;&gt;0,0,SUM(INDIRECT("T"&amp;(MAX((0&lt;&gt;N$12:N474)*ROW(N$12:N474)+1,ROW($T$12))&amp;":T"&amp;(ROW()-1))))),Первоначальный[[#This Row],[Полученный платеж]]+Y474),
AND(S474=0,Первоначальный[[#This Row],[Дата платежа из графика]]=1),MIN(LOOKUP(,-1/($Z$12:Z475=1),$C$12:C475)+LOOKUP(,-1/($Z$12:Z475=1),$H$12:H475)-IF(Z474=1,0,SUM(INDIRECT("T"&amp;(MAX((1=Z$12:Z474)*ROW(Z$12:Z474)+1,ROW($T$12))&amp;":T"&amp;(ROW()-1))))),Первоначальный[[#This Row],[Полученный платеж]]+Y474),
AND(Z474&gt;0,Первоначальный[[#This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платеж]]+Y474),
AND(S474&gt;0,MAX((0&lt;&gt;S$12:S474)*ROW(S$12:S474),ROW($S$12))&gt;=MAX((1=Z$12:Z474)*ROW(Z$12:Z474),ROW($T$12)),TYPE(VLOOKUP("Да",(INDIRECT("AA"&amp;(MAX((1=Z$12:Z474)*ROW(Z$12:Z474),ROW($T$12))&amp;":AA"&amp;(ROW()-1)))),1,0))=16),MIN(LOOKUP(,-1/($Z$12:Z475=1),$C$12:C475)+LOOKUP(,-1/($Z$12:Z475=1),$H$12:H475)-SUM(INDIRECT("T"&amp;(MAX((1=Z$12:Z474)*ROW(Z$12:Z474),ROW($T$12))&amp;":T"&amp;(ROW()-1)))),Первоначальный[[#This Row],[Полученный платеж]]+Y474),
S474&gt;0,MIN(LOOKUP(,-1/($Z$12:Z475=1),$C$12:C475)+LOOKUP(,-1/($Z$12:Z475=1),$H$12:H475)-IF(Z474=1,0,SUM(INDIRECT("T"&amp;(MAX((1=Z$12:Z474)*ROW(Z$12:Z474)+1,ROW($T$12))&amp;":T"&amp;(ROW()-1))))),Первоначальный[[#This Row],[Полученный платеж]]+Y474)
)
)
)</f>
        <v>0</v>
      </c>
      <c r="U47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платеж]]+Y474-Первоначальный[[#This Row],[Полученный платёж по процентам]])</f>
        <v>0</v>
      </c>
      <c r="V475" s="55">
        <f t="shared" ca="1" si="85"/>
        <v>0</v>
      </c>
      <c r="W475" s="55" cm="1">
        <f t="array" aca="1" ref="W475" ca="1">IF(Первоначальный[[#This Row],[Итого остаток на начало периода]]&lt;1,0,
_xlfn.IFS(
AND(TYPE(VLOOKUP(1,$Z$12:Z475,1,0))=16,Первоначальный[[#This Row],[Досрочное погашение (да/"")]]=""),0,
AND(S474=0,Первоначальный[[#This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платеж]]+Y474-SUM(Первоначальный[[#This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комиссиям]]),VLOOKUP(LOOKUP(,-1/($Z$12:Z475=1),$A$12:A475),График[[Срок конец]:[Возврат основной суммы долга]],3,0)),
AND(S474=0,Первоначальный[[#This Row],[Дата платежа из графика]]="",Первоначальный[[#This Row],[Досрочное погашение (да/"")]]&lt;&gt;"Да"),0,
AND(S474=0,Первоначальный[[#This Row],[Досрочное погашение (да/"")]]=""),MIN(Первоначальный[[#This Row],[Полученный платеж]]+Y474-SUM(Первоначальный[[#This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комиссиям]]),VLOOKUP(LOOKUP(,-1/($Z$12:Z475=1),$A$12:A475),График[[Срок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платеж]]+Y474-SUM(Первоначальный[[#This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S474&gt;0,MIN(Первоначальный[[#This Row],[Полученный платеж]]+Y474-SUM(Первоначальный[[#This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комиссиям]]),SUM(INDIRECT("M"&amp;(MAX((1=S$12:S474)*ROW(S$12:S474),ROW($W$12))&amp;":M"&amp;(ROW()))))-SUM(INDIRECT("W"&amp;(MAX((1=S$12:S474)*ROW(S$12:S474),ROW($W$12))&amp;":W"&amp;(ROW()-1)))))
)
)</f>
        <v>0</v>
      </c>
      <c r="X475" s="55">
        <f t="shared" ca="1" si="86"/>
        <v>0</v>
      </c>
      <c r="Y475" s="101">
        <f t="shared" ca="1" si="93"/>
        <v>0</v>
      </c>
      <c r="Z475" s="133" t="str">
        <f>IF(TYPE((VLOOKUP(Первоначальный[[#This Row],[Дата платежа]],График[Срок конец],1,0)))=16,"",1)</f>
        <v/>
      </c>
      <c r="AA475" s="57"/>
      <c r="AB475" s="134"/>
      <c r="AC47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7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32095.529999999962</v>
      </c>
      <c r="AE47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605.23000000000104</v>
      </c>
      <c r="AF47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7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35651.884716393564</v>
      </c>
      <c r="AH475" s="55"/>
      <c r="AI475" s="55"/>
      <c r="AJ475" s="55"/>
      <c r="AK475" s="101">
        <f t="shared" ca="1" si="94"/>
        <v>217985.98471639355</v>
      </c>
      <c r="AL475" s="129">
        <f t="array" ref="AL475">MAX((УслРестрактов[Характеристика]="Дата реструктуризации")*(УслРестрактов[Значение]=Первоначальный!$A475),0)</f>
        <v>0</v>
      </c>
    </row>
    <row r="476" spans="1:38" x14ac:dyDescent="0.25">
      <c r="A476" s="97">
        <f t="shared" si="87"/>
        <v>44607</v>
      </c>
      <c r="B476" s="100">
        <f t="shared" ca="1" si="88"/>
        <v>149633.34</v>
      </c>
      <c r="C476" s="55">
        <f t="shared" ca="1" si="84"/>
        <v>32095.529999999962</v>
      </c>
      <c r="D476" s="55">
        <f t="shared" ca="1" si="84"/>
        <v>605.23000000000104</v>
      </c>
      <c r="E476" s="55">
        <f t="shared" ca="1" si="89"/>
        <v>0</v>
      </c>
      <c r="F476" s="55">
        <f t="shared" ca="1" si="90"/>
        <v>35651.884716393564</v>
      </c>
      <c r="G476" s="101">
        <f t="shared" ca="1" si="91"/>
        <v>217985.98471639355</v>
      </c>
      <c r="H476" s="100">
        <f ca="1">ROUND($B476*VLOOKUP($A476,$A$1:$B$10,2,1)/(365+IF(MOD(YEAR($A476),4),0,1)*($A476-$A475)),2)-Первоначальный[[#This Row],[Проценты на просроченный платеж по ОД за период]]</f>
        <v>78.34</v>
      </c>
      <c r="I476" s="55">
        <f t="shared" ca="1" si="92"/>
        <v>3.24</v>
      </c>
      <c r="J476" s="55">
        <v>0</v>
      </c>
      <c r="K476" s="55">
        <f t="shared" ca="1" si="95"/>
        <v>188.23850327868848</v>
      </c>
      <c r="L476" s="55">
        <v>0</v>
      </c>
      <c r="M476" s="113">
        <f>SUMIFS(График[Возврат основной суммы долга],График[Дата с учетом нерабочих дней],$A476)</f>
        <v>0</v>
      </c>
      <c r="N476" s="56">
        <f>SUMIFS(График[Возврат начисленных %],График[Дата с учетом нерабочих дней],$A476)</f>
        <v>0</v>
      </c>
      <c r="O476" s="101">
        <v>0</v>
      </c>
      <c r="P476" s="100" cm="1">
        <f t="array" aca="1" ref="P476" ca="1">MAX(IF(AA475="Да",0,SUM(INDIRECT("M"&amp;(MAX(("Да"=AA$12:AA475)*ROW(AA$12:AA475)+1,ROW($P$12))&amp;":M"&amp;(ROW()))))-SUM(INDIRECT("W"&amp;(MAX(("Да"=AA$12:AA475)*ROW(AA$12:AA475)+1,ROW($P$12))&amp;":W"&amp;(ROW()))))),0)</f>
        <v>5945.35</v>
      </c>
      <c r="Q476" s="99">
        <f ca="1">MAX(SUM($N$13:N476)-SUM($T$13:T476),0)</f>
        <v>31702.350655737697</v>
      </c>
      <c r="R476" s="99">
        <f ca="1">Первоначальный[[#This Row],[Просроченный платеж по ОД]]+Первоначальный[[#This Row],[Просроченный платеж по процентам]]</f>
        <v>37647.700655737695</v>
      </c>
      <c r="S476" s="120">
        <f ca="1">IF(Первоначальный[[#This Row],[Просроченный платеж]]&lt;1,0,S475+1)</f>
        <v>372</v>
      </c>
      <c r="T476" s="100" cm="1">
        <f t="array" aca="1" ref="T476" ca="1">IF(Первоначальный[[#This Row],[Итого остаток на начало периода]]&lt;1,0,
IF(
AND(TYPE(VLOOKUP(1,$Z$12:Z476,1,0))=16,Первоначальный[[#This Row],[Досрочное погашение (да/"")]]=""),0,
_xlfn.IFS(AND(S475=0,Первоначальный[[#This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платеж]]&lt;&gt;0),MIN(LOOKUP(,-1/($Z$12:Z476=1),$C$12:C476)+LOOKUP(,-1/($Z$12:Z476=1),$H$12:H476),Первоначальный[[#This Row],[Полученный платеж]]+Y475),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платеж]]+Y475,SUM(Первоначальный[[#This Row],[Остаток процентов на начало периода]],Первоначальный[[#This Row],[Проценты за период]])),
AND(S475=0,Первоначальный[[#This Row],[Дата платежа из графика]]=""),0,
AND(S475=0,Первоначальный[[#This Row],[Дата платежа из графика]]=1,MAX((0&lt;&gt;S$12:S475)*ROW(S$12:S475),ROW($S$12))&gt;=MAX((1=Z$12:Z475)*ROW(Z$12:Z475),ROW($T$12)),TYPE(VLOOKUP("Да",(INDIRECT("AA"&amp;(MAX((1=Z$12:Z475)*ROW(Z$12:Z475),ROW($T$12))&amp;":AA"&amp;(ROW()-1)))),1,0))=16),MIN(LOOKUP(,-1/($Z$12:Z476=1),$C$12:C476)+LOOKUP(,-1/($Z$12:Z476=1),$H$12:H476),Первоначальный[[#This Row],[Полученный платеж]]+Y475),
AND(S475=0,TYPE(VLOOKUP("Да",(INDIRECT("AA"&amp;(MAX((1=Z$12:Z475)*ROW(Z$12:Z475),ROW($T$12))&amp;":AA"&amp;(ROW()-1)))),1,0))&lt;&gt;16),MIN(LOOKUP(,-1/($Z$12:Z476=1),$C$12:C476)+LOOKUP(,-1/($Z$12:Z476=1),$H$12:H476)-IF(AA475="Да",0,SUM(INDIRECT("T"&amp;(MAX(("Да"=AA$12:AA475)*ROW(AA$12:AA475)+1,ROW($T$12))&amp;":T"&amp;(ROW()-1))))),Первоначальный[[#This Row],[Полученный платеж]]+Y475),
AND(S475=0,MAX((0&lt;&gt;N$12:N475)*ROW(N$12:N475),ROW($S$12))&gt;=MAX((1=Z$12:Z475)*ROW(Z$12:Z475),ROW($T$12))),MIN(LOOKUP(,-1/($Z$12:Z476=1),$C$12:C476)+LOOKUP(,-1/($Z$12:Z476=1),$H$12:H476)-IF(N475&lt;&gt;0,0,SUM(INDIRECT("T"&amp;(MAX((0&lt;&gt;N$12:N475)*ROW(N$12:N475)+1,ROW($T$12))&amp;":T"&amp;(ROW()-1))))),Первоначальный[[#This Row],[Полученный платеж]]+Y475),
AND(S475=0,Первоначальный[[#This Row],[Дата платежа из графика]]=1),MIN(LOOKUP(,-1/($Z$12:Z476=1),$C$12:C476)+LOOKUP(,-1/($Z$12:Z476=1),$H$12:H476)-IF(Z475=1,0,SUM(INDIRECT("T"&amp;(MAX((1=Z$12:Z475)*ROW(Z$12:Z475)+1,ROW($T$12))&amp;":T"&amp;(ROW()-1))))),Первоначальный[[#This Row],[Полученный платеж]]+Y475),
AND(Z475&gt;0,Первоначальный[[#This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платеж]]+Y475),
AND(S475&gt;0,MAX((0&lt;&gt;S$12:S475)*ROW(S$12:S475),ROW($S$12))&gt;=MAX((1=Z$12:Z475)*ROW(Z$12:Z475),ROW($T$12)),TYPE(VLOOKUP("Да",(INDIRECT("AA"&amp;(MAX((1=Z$12:Z475)*ROW(Z$12:Z475),ROW($T$12))&amp;":AA"&amp;(ROW()-1)))),1,0))=16),MIN(LOOKUP(,-1/($Z$12:Z476=1),$C$12:C476)+LOOKUP(,-1/($Z$12:Z476=1),$H$12:H476)-SUM(INDIRECT("T"&amp;(MAX((1=Z$12:Z475)*ROW(Z$12:Z475),ROW($T$12))&amp;":T"&amp;(ROW()-1)))),Первоначальный[[#This Row],[Полученный платеж]]+Y475),
S475&gt;0,MIN(LOOKUP(,-1/($Z$12:Z476=1),$C$12:C476)+LOOKUP(,-1/($Z$12:Z476=1),$H$12:H476)-IF(Z475=1,0,SUM(INDIRECT("T"&amp;(MAX((1=Z$12:Z475)*ROW(Z$12:Z475)+1,ROW($T$12))&amp;":T"&amp;(ROW()-1))))),Первоначальный[[#This Row],[Полученный платеж]]+Y475)
)
)
)</f>
        <v>0</v>
      </c>
      <c r="U47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платеж]]+Y475-Первоначальный[[#This Row],[Полученный платёж по процентам]])</f>
        <v>0</v>
      </c>
      <c r="V476" s="55">
        <f t="shared" ca="1" si="85"/>
        <v>0</v>
      </c>
      <c r="W476" s="55" cm="1">
        <f t="array" aca="1" ref="W476" ca="1">IF(Первоначальный[[#This Row],[Итого остаток на начало периода]]&lt;1,0,
_xlfn.IFS(
AND(TYPE(VLOOKUP(1,$Z$12:Z476,1,0))=16,Первоначальный[[#This Row],[Досрочное погашение (да/"")]]=""),0,
AND(S475=0,Первоначальный[[#This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платеж]]+Y475-SUM(Первоначальный[[#This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комиссиям]]),VLOOKUP(LOOKUP(,-1/($Z$12:Z476=1),$A$12:A476),График[[Срок конец]:[Возврат основной суммы долга]],3,0)),
AND(S475=0,Первоначальный[[#This Row],[Дата платежа из графика]]="",Первоначальный[[#This Row],[Досрочное погашение (да/"")]]&lt;&gt;"Да"),0,
AND(S475=0,Первоначальный[[#This Row],[Досрочное погашение (да/"")]]=""),MIN(Первоначальный[[#This Row],[Полученный платеж]]+Y475-SUM(Первоначальный[[#This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комиссиям]]),VLOOKUP(LOOKUP(,-1/($Z$12:Z476=1),$A$12:A476),График[[Срок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платеж]]+Y475-SUM(Первоначальный[[#This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S475&gt;0,MIN(Первоначальный[[#This Row],[Полученный платеж]]+Y475-SUM(Первоначальный[[#This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комиссиям]]),SUM(INDIRECT("M"&amp;(MAX((1=S$12:S475)*ROW(S$12:S475),ROW($W$12))&amp;":M"&amp;(ROW()))))-SUM(INDIRECT("W"&amp;(MAX((1=S$12:S475)*ROW(S$12:S475),ROW($W$12))&amp;":W"&amp;(ROW()-1)))))
)
)</f>
        <v>0</v>
      </c>
      <c r="X476" s="55">
        <f t="shared" ca="1" si="86"/>
        <v>0</v>
      </c>
      <c r="Y476" s="101">
        <f t="shared" ca="1" si="93"/>
        <v>0</v>
      </c>
      <c r="Z476" s="133" t="str">
        <f>IF(TYPE((VLOOKUP(Первоначальный[[#This Row],[Дата платежа]],График[Срок конец],1,0)))=16,"",1)</f>
        <v/>
      </c>
      <c r="AA476" s="57"/>
      <c r="AB476" s="134"/>
      <c r="AC47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7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32173.869999999963</v>
      </c>
      <c r="AE47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608.47000000000105</v>
      </c>
      <c r="AF47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7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35840.123219672256</v>
      </c>
      <c r="AH476" s="55"/>
      <c r="AI476" s="55"/>
      <c r="AJ476" s="55"/>
      <c r="AK476" s="101">
        <f t="shared" ca="1" si="94"/>
        <v>218255.80321967223</v>
      </c>
      <c r="AL476" s="129">
        <f t="array" ref="AL476">MAX((УслРестрактов[Характеристика]="Дата реструктуризации")*(УслРестрактов[Значение]=Первоначальный!$A476),0)</f>
        <v>0</v>
      </c>
    </row>
    <row r="477" spans="1:38" x14ac:dyDescent="0.25">
      <c r="A477" s="97">
        <f t="shared" si="87"/>
        <v>44608</v>
      </c>
      <c r="B477" s="100">
        <f t="shared" ca="1" si="88"/>
        <v>149633.34</v>
      </c>
      <c r="C477" s="55">
        <f t="shared" ref="C477:D540" ca="1" si="96">AD476+AI476</f>
        <v>32173.869999999963</v>
      </c>
      <c r="D477" s="55">
        <f t="shared" ca="1" si="96"/>
        <v>608.47000000000105</v>
      </c>
      <c r="E477" s="55">
        <f t="shared" ca="1" si="89"/>
        <v>0</v>
      </c>
      <c r="F477" s="55">
        <f t="shared" ca="1" si="90"/>
        <v>35840.123219672256</v>
      </c>
      <c r="G477" s="101">
        <f t="shared" ca="1" si="91"/>
        <v>218255.80321967223</v>
      </c>
      <c r="H477" s="100">
        <f ca="1">ROUND($B477*VLOOKUP($A477,$A$1:$B$10,2,1)/(365+IF(MOD(YEAR($A477),4),0,1)*($A477-$A476)),2)-Первоначальный[[#This Row],[Проценты на просроченный платеж по ОД за период]]</f>
        <v>78.34</v>
      </c>
      <c r="I477" s="55">
        <f t="shared" ca="1" si="92"/>
        <v>3.24</v>
      </c>
      <c r="J477" s="55">
        <v>0</v>
      </c>
      <c r="K477" s="55">
        <f t="shared" ca="1" si="95"/>
        <v>188.23850327868848</v>
      </c>
      <c r="L477" s="55">
        <v>0</v>
      </c>
      <c r="M477" s="113">
        <f>SUMIFS(График[Возврат основной суммы долга],График[Дата с учетом нерабочих дней],$A477)</f>
        <v>0</v>
      </c>
      <c r="N477" s="56">
        <f>SUMIFS(График[Возврат начисленных %],График[Дата с учетом нерабочих дней],$A477)</f>
        <v>0</v>
      </c>
      <c r="O477" s="101">
        <v>0</v>
      </c>
      <c r="P477" s="100" cm="1">
        <f t="array" aca="1" ref="P477" ca="1">MAX(IF(AA476="Да",0,SUM(INDIRECT("M"&amp;(MAX(("Да"=AA$12:AA476)*ROW(AA$12:AA476)+1,ROW($P$12))&amp;":M"&amp;(ROW()))))-SUM(INDIRECT("W"&amp;(MAX(("Да"=AA$12:AA476)*ROW(AA$12:AA476)+1,ROW($P$12))&amp;":W"&amp;(ROW()))))),0)</f>
        <v>5945.35</v>
      </c>
      <c r="Q477" s="99">
        <f ca="1">MAX(SUM($N$13:N477)-SUM($T$13:T477),0)</f>
        <v>31702.350655737697</v>
      </c>
      <c r="R477" s="99">
        <f ca="1">Первоначальный[[#This Row],[Просроченный платеж по ОД]]+Первоначальный[[#This Row],[Просроченный платеж по процентам]]</f>
        <v>37647.700655737695</v>
      </c>
      <c r="S477" s="120">
        <f ca="1">IF(Первоначальный[[#This Row],[Просроченный платеж]]&lt;1,0,S476+1)</f>
        <v>373</v>
      </c>
      <c r="T477" s="100" cm="1">
        <f t="array" aca="1" ref="T477" ca="1">IF(Первоначальный[[#This Row],[Итого остаток на начало периода]]&lt;1,0,
IF(
AND(TYPE(VLOOKUP(1,$Z$12:Z477,1,0))=16,Первоначальный[[#This Row],[Досрочное погашение (да/"")]]=""),0,
_xlfn.IFS(AND(S476=0,Первоначальный[[#This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платеж]]&lt;&gt;0),MIN(LOOKUP(,-1/($Z$12:Z477=1),$C$12:C477)+LOOKUP(,-1/($Z$12:Z477=1),$H$12:H477),Первоначальный[[#This Row],[Полученный платеж]]+Y476),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платеж]]+Y476,SUM(Первоначальный[[#This Row],[Остаток процентов на начало периода]],Первоначальный[[#This Row],[Проценты за период]])),
AND(S476=0,Первоначальный[[#This Row],[Дата платежа из графика]]=""),0,
AND(S476=0,Первоначальный[[#This Row],[Дата платежа из графика]]=1,MAX((0&lt;&gt;S$12:S476)*ROW(S$12:S476),ROW($S$12))&gt;=MAX((1=Z$12:Z476)*ROW(Z$12:Z476),ROW($T$12)),TYPE(VLOOKUP("Да",(INDIRECT("AA"&amp;(MAX((1=Z$12:Z476)*ROW(Z$12:Z476),ROW($T$12))&amp;":AA"&amp;(ROW()-1)))),1,0))=16),MIN(LOOKUP(,-1/($Z$12:Z477=1),$C$12:C477)+LOOKUP(,-1/($Z$12:Z477=1),$H$12:H477),Первоначальный[[#This Row],[Полученный платеж]]+Y476),
AND(S476=0,TYPE(VLOOKUP("Да",(INDIRECT("AA"&amp;(MAX((1=Z$12:Z476)*ROW(Z$12:Z476),ROW($T$12))&amp;":AA"&amp;(ROW()-1)))),1,0))&lt;&gt;16),MIN(LOOKUP(,-1/($Z$12:Z477=1),$C$12:C477)+LOOKUP(,-1/($Z$12:Z477=1),$H$12:H477)-IF(AA476="Да",0,SUM(INDIRECT("T"&amp;(MAX(("Да"=AA$12:AA476)*ROW(AA$12:AA476)+1,ROW($T$12))&amp;":T"&amp;(ROW()-1))))),Первоначальный[[#This Row],[Полученный платеж]]+Y476),
AND(S476=0,MAX((0&lt;&gt;N$12:N476)*ROW(N$12:N476),ROW($S$12))&gt;=MAX((1=Z$12:Z476)*ROW(Z$12:Z476),ROW($T$12))),MIN(LOOKUP(,-1/($Z$12:Z477=1),$C$12:C477)+LOOKUP(,-1/($Z$12:Z477=1),$H$12:H477)-IF(N476&lt;&gt;0,0,SUM(INDIRECT("T"&amp;(MAX((0&lt;&gt;N$12:N476)*ROW(N$12:N476)+1,ROW($T$12))&amp;":T"&amp;(ROW()-1))))),Первоначальный[[#This Row],[Полученный платеж]]+Y476),
AND(S476=0,Первоначальный[[#This Row],[Дата платежа из графика]]=1),MIN(LOOKUP(,-1/($Z$12:Z477=1),$C$12:C477)+LOOKUP(,-1/($Z$12:Z477=1),$H$12:H477)-IF(Z476=1,0,SUM(INDIRECT("T"&amp;(MAX((1=Z$12:Z476)*ROW(Z$12:Z476)+1,ROW($T$12))&amp;":T"&amp;(ROW()-1))))),Первоначальный[[#This Row],[Полученный платеж]]+Y476),
AND(Z476&gt;0,Первоначальный[[#This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платеж]]+Y476),
AND(S476&gt;0,MAX((0&lt;&gt;S$12:S476)*ROW(S$12:S476),ROW($S$12))&gt;=MAX((1=Z$12:Z476)*ROW(Z$12:Z476),ROW($T$12)),TYPE(VLOOKUP("Да",(INDIRECT("AA"&amp;(MAX((1=Z$12:Z476)*ROW(Z$12:Z476),ROW($T$12))&amp;":AA"&amp;(ROW()-1)))),1,0))=16),MIN(LOOKUP(,-1/($Z$12:Z477=1),$C$12:C477)+LOOKUP(,-1/($Z$12:Z477=1),$H$12:H477)-SUM(INDIRECT("T"&amp;(MAX((1=Z$12:Z476)*ROW(Z$12:Z476),ROW($T$12))&amp;":T"&amp;(ROW()-1)))),Первоначальный[[#This Row],[Полученный платеж]]+Y476),
S476&gt;0,MIN(LOOKUP(,-1/($Z$12:Z477=1),$C$12:C477)+LOOKUP(,-1/($Z$12:Z477=1),$H$12:H477)-IF(Z476=1,0,SUM(INDIRECT("T"&amp;(MAX((1=Z$12:Z476)*ROW(Z$12:Z476)+1,ROW($T$12))&amp;":T"&amp;(ROW()-1))))),Первоначальный[[#This Row],[Полученный платеж]]+Y476)
)
)
)</f>
        <v>0</v>
      </c>
      <c r="U47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платеж]]+Y476-Первоначальный[[#This Row],[Полученный платёж по процентам]])</f>
        <v>0</v>
      </c>
      <c r="V477" s="55">
        <f t="shared" ca="1" si="85"/>
        <v>0</v>
      </c>
      <c r="W477" s="55" cm="1">
        <f t="array" aca="1" ref="W477" ca="1">IF(Первоначальный[[#This Row],[Итого остаток на начало периода]]&lt;1,0,
_xlfn.IFS(
AND(TYPE(VLOOKUP(1,$Z$12:Z477,1,0))=16,Первоначальный[[#This Row],[Досрочное погашение (да/"")]]=""),0,
AND(S476=0,Первоначальный[[#This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платеж]]+Y476-SUM(Первоначальный[[#This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комиссиям]]),VLOOKUP(LOOKUP(,-1/($Z$12:Z477=1),$A$12:A477),График[[Срок конец]:[Возврат основной суммы долга]],3,0)),
AND(S476=0,Первоначальный[[#This Row],[Дата платежа из графика]]="",Первоначальный[[#This Row],[Досрочное погашение (да/"")]]&lt;&gt;"Да"),0,
AND(S476=0,Первоначальный[[#This Row],[Досрочное погашение (да/"")]]=""),MIN(Первоначальный[[#This Row],[Полученный платеж]]+Y476-SUM(Первоначальный[[#This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комиссиям]]),VLOOKUP(LOOKUP(,-1/($Z$12:Z477=1),$A$12:A477),График[[Срок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платеж]]+Y476-SUM(Первоначальный[[#This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S476&gt;0,MIN(Первоначальный[[#This Row],[Полученный платеж]]+Y476-SUM(Первоначальный[[#This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комиссиям]]),SUM(INDIRECT("M"&amp;(MAX((1=S$12:S476)*ROW(S$12:S476),ROW($W$12))&amp;":M"&amp;(ROW()))))-SUM(INDIRECT("W"&amp;(MAX((1=S$12:S476)*ROW(S$12:S476),ROW($W$12))&amp;":W"&amp;(ROW()-1)))))
)
)</f>
        <v>0</v>
      </c>
      <c r="X477" s="55">
        <f t="shared" ca="1" si="86"/>
        <v>0</v>
      </c>
      <c r="Y477" s="101">
        <f t="shared" ca="1" si="93"/>
        <v>0</v>
      </c>
      <c r="Z477" s="133" t="str">
        <f>IF(TYPE((VLOOKUP(Первоначальный[[#This Row],[Дата платежа]],График[Срок конец],1,0)))=16,"",1)</f>
        <v/>
      </c>
      <c r="AA477" s="57"/>
      <c r="AB477" s="134"/>
      <c r="AC47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7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32252.209999999963</v>
      </c>
      <c r="AE47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611.71000000000106</v>
      </c>
      <c r="AF47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7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36028.361722950947</v>
      </c>
      <c r="AH477" s="55"/>
      <c r="AI477" s="55"/>
      <c r="AJ477" s="55"/>
      <c r="AK477" s="101">
        <f t="shared" ca="1" si="94"/>
        <v>218525.62172295089</v>
      </c>
      <c r="AL477" s="129">
        <f t="array" ref="AL477">MAX((УслРестрактов[Характеристика]="Дата реструктуризации")*(УслРестрактов[Значение]=Первоначальный!$A477),0)</f>
        <v>0</v>
      </c>
    </row>
    <row r="478" spans="1:38" x14ac:dyDescent="0.25">
      <c r="A478" s="97">
        <f t="shared" si="87"/>
        <v>44609</v>
      </c>
      <c r="B478" s="100">
        <f t="shared" ca="1" si="88"/>
        <v>149633.34</v>
      </c>
      <c r="C478" s="55">
        <f t="shared" ca="1" si="96"/>
        <v>32252.209999999963</v>
      </c>
      <c r="D478" s="55">
        <f t="shared" ca="1" si="96"/>
        <v>611.71000000000106</v>
      </c>
      <c r="E478" s="55">
        <f t="shared" ca="1" si="89"/>
        <v>0</v>
      </c>
      <c r="F478" s="55">
        <f t="shared" ca="1" si="90"/>
        <v>36028.361722950947</v>
      </c>
      <c r="G478" s="101">
        <f t="shared" ca="1" si="91"/>
        <v>218525.62172295089</v>
      </c>
      <c r="H478" s="100">
        <f ca="1">ROUND($B478*VLOOKUP($A478,$A$1:$B$10,2,1)/(365+IF(MOD(YEAR($A478),4),0,1)*($A478-$A477)),2)-Первоначальный[[#This Row],[Проценты на просроченный платеж по ОД за период]]</f>
        <v>78.34</v>
      </c>
      <c r="I478" s="55">
        <f t="shared" ca="1" si="92"/>
        <v>3.24</v>
      </c>
      <c r="J478" s="55">
        <v>0</v>
      </c>
      <c r="K478" s="55">
        <f t="shared" ca="1" si="95"/>
        <v>188.23850327868848</v>
      </c>
      <c r="L478" s="55">
        <v>0</v>
      </c>
      <c r="M478" s="113">
        <f>SUMIFS(График[Возврат основной суммы долга],График[Дата с учетом нерабочих дней],$A478)</f>
        <v>0</v>
      </c>
      <c r="N478" s="56">
        <f>SUMIFS(График[Возврат начисленных %],График[Дата с учетом нерабочих дней],$A478)</f>
        <v>0</v>
      </c>
      <c r="O478" s="101">
        <v>0</v>
      </c>
      <c r="P478" s="100" cm="1">
        <f t="array" aca="1" ref="P478" ca="1">MAX(IF(AA477="Да",0,SUM(INDIRECT("M"&amp;(MAX(("Да"=AA$12:AA477)*ROW(AA$12:AA477)+1,ROW($P$12))&amp;":M"&amp;(ROW()))))-SUM(INDIRECT("W"&amp;(MAX(("Да"=AA$12:AA477)*ROW(AA$12:AA477)+1,ROW($P$12))&amp;":W"&amp;(ROW()))))),0)</f>
        <v>5945.35</v>
      </c>
      <c r="Q478" s="99">
        <f ca="1">MAX(SUM($N$13:N478)-SUM($T$13:T478),0)</f>
        <v>31702.350655737697</v>
      </c>
      <c r="R478" s="99">
        <f ca="1">Первоначальный[[#This Row],[Просроченный платеж по ОД]]+Первоначальный[[#This Row],[Просроченный платеж по процентам]]</f>
        <v>37647.700655737695</v>
      </c>
      <c r="S478" s="120">
        <f ca="1">IF(Первоначальный[[#This Row],[Просроченный платеж]]&lt;1,0,S477+1)</f>
        <v>374</v>
      </c>
      <c r="T478" s="100" cm="1">
        <f t="array" aca="1" ref="T478" ca="1">IF(Первоначальный[[#This Row],[Итого остаток на начало периода]]&lt;1,0,
IF(
AND(TYPE(VLOOKUP(1,$Z$12:Z478,1,0))=16,Первоначальный[[#This Row],[Досрочное погашение (да/"")]]=""),0,
_xlfn.IFS(AND(S477=0,Первоначальный[[#This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платеж]]&lt;&gt;0),MIN(LOOKUP(,-1/($Z$12:Z478=1),$C$12:C478)+LOOKUP(,-1/($Z$12:Z478=1),$H$12:H478),Первоначальный[[#This Row],[Полученный платеж]]+Y477),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платеж]]+Y477,SUM(Первоначальный[[#This Row],[Остаток процентов на начало периода]],Первоначальный[[#This Row],[Проценты за период]])),
AND(S477=0,Первоначальный[[#This Row],[Дата платежа из графика]]=""),0,
AND(S477=0,Первоначальный[[#This Row],[Дата платежа из графика]]=1,MAX((0&lt;&gt;S$12:S477)*ROW(S$12:S477),ROW($S$12))&gt;=MAX((1=Z$12:Z477)*ROW(Z$12:Z477),ROW($T$12)),TYPE(VLOOKUP("Да",(INDIRECT("AA"&amp;(MAX((1=Z$12:Z477)*ROW(Z$12:Z477),ROW($T$12))&amp;":AA"&amp;(ROW()-1)))),1,0))=16),MIN(LOOKUP(,-1/($Z$12:Z478=1),$C$12:C478)+LOOKUP(,-1/($Z$12:Z478=1),$H$12:H478),Первоначальный[[#This Row],[Полученный платеж]]+Y477),
AND(S477=0,TYPE(VLOOKUP("Да",(INDIRECT("AA"&amp;(MAX((1=Z$12:Z477)*ROW(Z$12:Z477),ROW($T$12))&amp;":AA"&amp;(ROW()-1)))),1,0))&lt;&gt;16),MIN(LOOKUP(,-1/($Z$12:Z478=1),$C$12:C478)+LOOKUP(,-1/($Z$12:Z478=1),$H$12:H478)-IF(AA477="Да",0,SUM(INDIRECT("T"&amp;(MAX(("Да"=AA$12:AA477)*ROW(AA$12:AA477)+1,ROW($T$12))&amp;":T"&amp;(ROW()-1))))),Первоначальный[[#This Row],[Полученный платеж]]+Y477),
AND(S477=0,MAX((0&lt;&gt;N$12:N477)*ROW(N$12:N477),ROW($S$12))&gt;=MAX((1=Z$12:Z477)*ROW(Z$12:Z477),ROW($T$12))),MIN(LOOKUP(,-1/($Z$12:Z478=1),$C$12:C478)+LOOKUP(,-1/($Z$12:Z478=1),$H$12:H478)-IF(N477&lt;&gt;0,0,SUM(INDIRECT("T"&amp;(MAX((0&lt;&gt;N$12:N477)*ROW(N$12:N477)+1,ROW($T$12))&amp;":T"&amp;(ROW()-1))))),Первоначальный[[#This Row],[Полученный платеж]]+Y477),
AND(S477=0,Первоначальный[[#This Row],[Дата платежа из графика]]=1),MIN(LOOKUP(,-1/($Z$12:Z478=1),$C$12:C478)+LOOKUP(,-1/($Z$12:Z478=1),$H$12:H478)-IF(Z477=1,0,SUM(INDIRECT("T"&amp;(MAX((1=Z$12:Z477)*ROW(Z$12:Z477)+1,ROW($T$12))&amp;":T"&amp;(ROW()-1))))),Первоначальный[[#This Row],[Полученный платеж]]+Y477),
AND(Z477&gt;0,Первоначальный[[#This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платеж]]+Y477),
AND(S477&gt;0,MAX((0&lt;&gt;S$12:S477)*ROW(S$12:S477),ROW($S$12))&gt;=MAX((1=Z$12:Z477)*ROW(Z$12:Z477),ROW($T$12)),TYPE(VLOOKUP("Да",(INDIRECT("AA"&amp;(MAX((1=Z$12:Z477)*ROW(Z$12:Z477),ROW($T$12))&amp;":AA"&amp;(ROW()-1)))),1,0))=16),MIN(LOOKUP(,-1/($Z$12:Z478=1),$C$12:C478)+LOOKUP(,-1/($Z$12:Z478=1),$H$12:H478)-SUM(INDIRECT("T"&amp;(MAX((1=Z$12:Z477)*ROW(Z$12:Z477),ROW($T$12))&amp;":T"&amp;(ROW()-1)))),Первоначальный[[#This Row],[Полученный платеж]]+Y477),
S477&gt;0,MIN(LOOKUP(,-1/($Z$12:Z478=1),$C$12:C478)+LOOKUP(,-1/($Z$12:Z478=1),$H$12:H478)-IF(Z477=1,0,SUM(INDIRECT("T"&amp;(MAX((1=Z$12:Z477)*ROW(Z$12:Z477)+1,ROW($T$12))&amp;":T"&amp;(ROW()-1))))),Первоначальный[[#This Row],[Полученный платеж]]+Y477)
)
)
)</f>
        <v>0</v>
      </c>
      <c r="U47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платеж]]+Y477-Первоначальный[[#This Row],[Полученный платёж по процентам]])</f>
        <v>0</v>
      </c>
      <c r="V478" s="55">
        <f t="shared" ca="1" si="85"/>
        <v>0</v>
      </c>
      <c r="W478" s="55" cm="1">
        <f t="array" aca="1" ref="W478" ca="1">IF(Первоначальный[[#This Row],[Итого остаток на начало периода]]&lt;1,0,
_xlfn.IFS(
AND(TYPE(VLOOKUP(1,$Z$12:Z478,1,0))=16,Первоначальный[[#This Row],[Досрочное погашение (да/"")]]=""),0,
AND(S477=0,Первоначальный[[#This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платеж]]+Y477-SUM(Первоначальный[[#This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комиссиям]]),VLOOKUP(LOOKUP(,-1/($Z$12:Z478=1),$A$12:A478),График[[Срок конец]:[Возврат основной суммы долга]],3,0)),
AND(S477=0,Первоначальный[[#This Row],[Дата платежа из графика]]="",Первоначальный[[#This Row],[Досрочное погашение (да/"")]]&lt;&gt;"Да"),0,
AND(S477=0,Первоначальный[[#This Row],[Досрочное погашение (да/"")]]=""),MIN(Первоначальный[[#This Row],[Полученный платеж]]+Y477-SUM(Первоначальный[[#This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комиссиям]]),VLOOKUP(LOOKUP(,-1/($Z$12:Z478=1),$A$12:A478),График[[Срок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платеж]]+Y477-SUM(Первоначальный[[#This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S477&gt;0,MIN(Первоначальный[[#This Row],[Полученный платеж]]+Y477-SUM(Первоначальный[[#This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комиссиям]]),SUM(INDIRECT("M"&amp;(MAX((1=S$12:S477)*ROW(S$12:S477),ROW($W$12))&amp;":M"&amp;(ROW()))))-SUM(INDIRECT("W"&amp;(MAX((1=S$12:S477)*ROW(S$12:S477),ROW($W$12))&amp;":W"&amp;(ROW()-1)))))
)
)</f>
        <v>0</v>
      </c>
      <c r="X478" s="55">
        <f t="shared" ca="1" si="86"/>
        <v>0</v>
      </c>
      <c r="Y478" s="101">
        <f t="shared" ca="1" si="93"/>
        <v>0</v>
      </c>
      <c r="Z478" s="133" t="str">
        <f>IF(TYPE((VLOOKUP(Первоначальный[[#This Row],[Дата платежа]],График[Срок конец],1,0)))=16,"",1)</f>
        <v/>
      </c>
      <c r="AA478" s="57"/>
      <c r="AB478" s="134"/>
      <c r="AC47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7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32330.549999999963</v>
      </c>
      <c r="AE47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614.95000000000107</v>
      </c>
      <c r="AF47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7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36216.600226229639</v>
      </c>
      <c r="AH478" s="55"/>
      <c r="AI478" s="55"/>
      <c r="AJ478" s="55"/>
      <c r="AK478" s="101">
        <f t="shared" ca="1" si="94"/>
        <v>218795.44022622961</v>
      </c>
      <c r="AL478" s="129">
        <f t="array" ref="AL478">MAX((УслРестрактов[Характеристика]="Дата реструктуризации")*(УслРестрактов[Значение]=Первоначальный!$A478),0)</f>
        <v>0</v>
      </c>
    </row>
    <row r="479" spans="1:38" x14ac:dyDescent="0.25">
      <c r="A479" s="97">
        <f t="shared" si="87"/>
        <v>44610</v>
      </c>
      <c r="B479" s="100">
        <f t="shared" ca="1" si="88"/>
        <v>149633.34</v>
      </c>
      <c r="C479" s="55">
        <f t="shared" ca="1" si="96"/>
        <v>32330.549999999963</v>
      </c>
      <c r="D479" s="55">
        <f t="shared" ca="1" si="96"/>
        <v>614.95000000000107</v>
      </c>
      <c r="E479" s="55">
        <f t="shared" ca="1" si="89"/>
        <v>0</v>
      </c>
      <c r="F479" s="55">
        <f t="shared" ca="1" si="90"/>
        <v>36216.600226229639</v>
      </c>
      <c r="G479" s="101">
        <f t="shared" ca="1" si="91"/>
        <v>218795.44022622961</v>
      </c>
      <c r="H479" s="100">
        <f ca="1">ROUND($B479*VLOOKUP($A479,$A$1:$B$10,2,1)/(365+IF(MOD(YEAR($A479),4),0,1)*($A479-$A478)),2)-Первоначальный[[#This Row],[Проценты на просроченный платеж по ОД за период]]</f>
        <v>78.34</v>
      </c>
      <c r="I479" s="55">
        <f t="shared" ca="1" si="92"/>
        <v>3.24</v>
      </c>
      <c r="J479" s="55">
        <v>0</v>
      </c>
      <c r="K479" s="55">
        <f t="shared" ca="1" si="95"/>
        <v>188.23850327868848</v>
      </c>
      <c r="L479" s="55">
        <v>0</v>
      </c>
      <c r="M479" s="113">
        <f>SUMIFS(График[Возврат основной суммы долга],График[Дата с учетом нерабочих дней],$A479)</f>
        <v>0</v>
      </c>
      <c r="N479" s="56">
        <f>SUMIFS(График[Возврат начисленных %],График[Дата с учетом нерабочих дней],$A479)</f>
        <v>0</v>
      </c>
      <c r="O479" s="101">
        <v>0</v>
      </c>
      <c r="P479" s="100" cm="1">
        <f t="array" aca="1" ref="P479" ca="1">MAX(IF(AA478="Да",0,SUM(INDIRECT("M"&amp;(MAX(("Да"=AA$12:AA478)*ROW(AA$12:AA478)+1,ROW($P$12))&amp;":M"&amp;(ROW()))))-SUM(INDIRECT("W"&amp;(MAX(("Да"=AA$12:AA478)*ROW(AA$12:AA478)+1,ROW($P$12))&amp;":W"&amp;(ROW()))))),0)</f>
        <v>5945.35</v>
      </c>
      <c r="Q479" s="99">
        <f ca="1">MAX(SUM($N$13:N479)-SUM($T$13:T479),0)</f>
        <v>31702.350655737697</v>
      </c>
      <c r="R479" s="99">
        <f ca="1">Первоначальный[[#This Row],[Просроченный платеж по ОД]]+Первоначальный[[#This Row],[Просроченный платеж по процентам]]</f>
        <v>37647.700655737695</v>
      </c>
      <c r="S479" s="120">
        <f ca="1">IF(Первоначальный[[#This Row],[Просроченный платеж]]&lt;1,0,S478+1)</f>
        <v>375</v>
      </c>
      <c r="T479" s="100" cm="1">
        <f t="array" aca="1" ref="T479" ca="1">IF(Первоначальный[[#This Row],[Итого остаток на начало периода]]&lt;1,0,
IF(
AND(TYPE(VLOOKUP(1,$Z$12:Z479,1,0))=16,Первоначальный[[#This Row],[Досрочное погашение (да/"")]]=""),0,
_xlfn.IFS(AND(S478=0,Первоначальный[[#This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платеж]]&lt;&gt;0),MIN(LOOKUP(,-1/($Z$12:Z479=1),$C$12:C479)+LOOKUP(,-1/($Z$12:Z479=1),$H$12:H479),Первоначальный[[#This Row],[Полученный платеж]]+Y478),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платеж]]+Y478,SUM(Первоначальный[[#This Row],[Остаток процентов на начало периода]],Первоначальный[[#This Row],[Проценты за период]])),
AND(S478=0,Первоначальный[[#This Row],[Дата платежа из графика]]=""),0,
AND(S478=0,Первоначальный[[#This Row],[Дата платежа из графика]]=1,MAX((0&lt;&gt;S$12:S478)*ROW(S$12:S478),ROW($S$12))&gt;=MAX((1=Z$12:Z478)*ROW(Z$12:Z478),ROW($T$12)),TYPE(VLOOKUP("Да",(INDIRECT("AA"&amp;(MAX((1=Z$12:Z478)*ROW(Z$12:Z478),ROW($T$12))&amp;":AA"&amp;(ROW()-1)))),1,0))=16),MIN(LOOKUP(,-1/($Z$12:Z479=1),$C$12:C479)+LOOKUP(,-1/($Z$12:Z479=1),$H$12:H479),Первоначальный[[#This Row],[Полученный платеж]]+Y478),
AND(S478=0,TYPE(VLOOKUP("Да",(INDIRECT("AA"&amp;(MAX((1=Z$12:Z478)*ROW(Z$12:Z478),ROW($T$12))&amp;":AA"&amp;(ROW()-1)))),1,0))&lt;&gt;16),MIN(LOOKUP(,-1/($Z$12:Z479=1),$C$12:C479)+LOOKUP(,-1/($Z$12:Z479=1),$H$12:H479)-IF(AA478="Да",0,SUM(INDIRECT("T"&amp;(MAX(("Да"=AA$12:AA478)*ROW(AA$12:AA478)+1,ROW($T$12))&amp;":T"&amp;(ROW()-1))))),Первоначальный[[#This Row],[Полученный платеж]]+Y478),
AND(S478=0,MAX((0&lt;&gt;N$12:N478)*ROW(N$12:N478),ROW($S$12))&gt;=MAX((1=Z$12:Z478)*ROW(Z$12:Z478),ROW($T$12))),MIN(LOOKUP(,-1/($Z$12:Z479=1),$C$12:C479)+LOOKUP(,-1/($Z$12:Z479=1),$H$12:H479)-IF(N478&lt;&gt;0,0,SUM(INDIRECT("T"&amp;(MAX((0&lt;&gt;N$12:N478)*ROW(N$12:N478)+1,ROW($T$12))&amp;":T"&amp;(ROW()-1))))),Первоначальный[[#This Row],[Полученный платеж]]+Y478),
AND(S478=0,Первоначальный[[#This Row],[Дата платежа из графика]]=1),MIN(LOOKUP(,-1/($Z$12:Z479=1),$C$12:C479)+LOOKUP(,-1/($Z$12:Z479=1),$H$12:H479)-IF(Z478=1,0,SUM(INDIRECT("T"&amp;(MAX((1=Z$12:Z478)*ROW(Z$12:Z478)+1,ROW($T$12))&amp;":T"&amp;(ROW()-1))))),Первоначальный[[#This Row],[Полученный платеж]]+Y478),
AND(Z478&gt;0,Первоначальный[[#This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платеж]]+Y478),
AND(S478&gt;0,MAX((0&lt;&gt;S$12:S478)*ROW(S$12:S478),ROW($S$12))&gt;=MAX((1=Z$12:Z478)*ROW(Z$12:Z478),ROW($T$12)),TYPE(VLOOKUP("Да",(INDIRECT("AA"&amp;(MAX((1=Z$12:Z478)*ROW(Z$12:Z478),ROW($T$12))&amp;":AA"&amp;(ROW()-1)))),1,0))=16),MIN(LOOKUP(,-1/($Z$12:Z479=1),$C$12:C479)+LOOKUP(,-1/($Z$12:Z479=1),$H$12:H479)-SUM(INDIRECT("T"&amp;(MAX((1=Z$12:Z478)*ROW(Z$12:Z478),ROW($T$12))&amp;":T"&amp;(ROW()-1)))),Первоначальный[[#This Row],[Полученный платеж]]+Y478),
S478&gt;0,MIN(LOOKUP(,-1/($Z$12:Z479=1),$C$12:C479)+LOOKUP(,-1/($Z$12:Z479=1),$H$12:H479)-IF(Z478=1,0,SUM(INDIRECT("T"&amp;(MAX((1=Z$12:Z478)*ROW(Z$12:Z478)+1,ROW($T$12))&amp;":T"&amp;(ROW()-1))))),Первоначальный[[#This Row],[Полученный платеж]]+Y478)
)
)
)</f>
        <v>0</v>
      </c>
      <c r="U47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платеж]]+Y478-Первоначальный[[#This Row],[Полученный платёж по процентам]])</f>
        <v>0</v>
      </c>
      <c r="V479" s="55">
        <f t="shared" ca="1" si="85"/>
        <v>0</v>
      </c>
      <c r="W479" s="55" cm="1">
        <f t="array" aca="1" ref="W479" ca="1">IF(Первоначальный[[#This Row],[Итого остаток на начало периода]]&lt;1,0,
_xlfn.IFS(
AND(TYPE(VLOOKUP(1,$Z$12:Z479,1,0))=16,Первоначальный[[#This Row],[Досрочное погашение (да/"")]]=""),0,
AND(S478=0,Первоначальный[[#This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платеж]]+Y478-SUM(Первоначальный[[#This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комиссиям]]),VLOOKUP(LOOKUP(,-1/($Z$12:Z479=1),$A$12:A479),График[[Срок конец]:[Возврат основной суммы долга]],3,0)),
AND(S478=0,Первоначальный[[#This Row],[Дата платежа из графика]]="",Первоначальный[[#This Row],[Досрочное погашение (да/"")]]&lt;&gt;"Да"),0,
AND(S478=0,Первоначальный[[#This Row],[Досрочное погашение (да/"")]]=""),MIN(Первоначальный[[#This Row],[Полученный платеж]]+Y478-SUM(Первоначальный[[#This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комиссиям]]),VLOOKUP(LOOKUP(,-1/($Z$12:Z479=1),$A$12:A479),График[[Срок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платеж]]+Y478-SUM(Первоначальный[[#This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S478&gt;0,MIN(Первоначальный[[#This Row],[Полученный платеж]]+Y478-SUM(Первоначальный[[#This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комиссиям]]),SUM(INDIRECT("M"&amp;(MAX((1=S$12:S478)*ROW(S$12:S478),ROW($W$12))&amp;":M"&amp;(ROW()))))-SUM(INDIRECT("W"&amp;(MAX((1=S$12:S478)*ROW(S$12:S478),ROW($W$12))&amp;":W"&amp;(ROW()-1)))))
)
)</f>
        <v>0</v>
      </c>
      <c r="X479" s="55">
        <f t="shared" ca="1" si="86"/>
        <v>0</v>
      </c>
      <c r="Y479" s="101">
        <f t="shared" ca="1" si="93"/>
        <v>0</v>
      </c>
      <c r="Z479" s="133" t="str">
        <f>IF(TYPE((VLOOKUP(Первоначальный[[#This Row],[Дата платежа]],График[Срок конец],1,0)))=16,"",1)</f>
        <v/>
      </c>
      <c r="AA479" s="57"/>
      <c r="AB479" s="134"/>
      <c r="AC47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7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32408.889999999963</v>
      </c>
      <c r="AE47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618.19000000000108</v>
      </c>
      <c r="AF47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7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36404.83872950833</v>
      </c>
      <c r="AH479" s="55"/>
      <c r="AI479" s="55"/>
      <c r="AJ479" s="55"/>
      <c r="AK479" s="101">
        <f t="shared" ca="1" si="94"/>
        <v>219065.25872950829</v>
      </c>
      <c r="AL479" s="129">
        <f t="array" ref="AL479">MAX((УслРестрактов[Характеристика]="Дата реструктуризации")*(УслРестрактов[Значение]=Первоначальный!$A479),0)</f>
        <v>0</v>
      </c>
    </row>
    <row r="480" spans="1:38" x14ac:dyDescent="0.25">
      <c r="A480" s="97">
        <f t="shared" si="87"/>
        <v>44611</v>
      </c>
      <c r="B480" s="100">
        <f t="shared" ca="1" si="88"/>
        <v>149633.34</v>
      </c>
      <c r="C480" s="55">
        <f t="shared" ca="1" si="96"/>
        <v>32408.889999999963</v>
      </c>
      <c r="D480" s="55">
        <f t="shared" ca="1" si="96"/>
        <v>618.19000000000108</v>
      </c>
      <c r="E480" s="55">
        <f t="shared" ca="1" si="89"/>
        <v>0</v>
      </c>
      <c r="F480" s="55">
        <f t="shared" ca="1" si="90"/>
        <v>36404.83872950833</v>
      </c>
      <c r="G480" s="101">
        <f t="shared" ca="1" si="91"/>
        <v>219065.25872950829</v>
      </c>
      <c r="H480" s="100">
        <f ca="1">ROUND($B480*VLOOKUP($A480,$A$1:$B$10,2,1)/(365+IF(MOD(YEAR($A480),4),0,1)*($A480-$A479)),2)-Первоначальный[[#This Row],[Проценты на просроченный платеж по ОД за период]]</f>
        <v>78.34</v>
      </c>
      <c r="I480" s="55">
        <f t="shared" ca="1" si="92"/>
        <v>3.24</v>
      </c>
      <c r="J480" s="55">
        <v>0</v>
      </c>
      <c r="K480" s="55">
        <f t="shared" ca="1" si="95"/>
        <v>188.23850327868848</v>
      </c>
      <c r="L480" s="55">
        <v>0</v>
      </c>
      <c r="M480" s="113">
        <f>SUMIFS(График[Возврат основной суммы долга],График[Дата с учетом нерабочих дней],$A480)</f>
        <v>0</v>
      </c>
      <c r="N480" s="56">
        <f>SUMIFS(График[Возврат начисленных %],График[Дата с учетом нерабочих дней],$A480)</f>
        <v>0</v>
      </c>
      <c r="O480" s="101">
        <v>0</v>
      </c>
      <c r="P480" s="100" cm="1">
        <f t="array" aca="1" ref="P480" ca="1">MAX(IF(AA479="Да",0,SUM(INDIRECT("M"&amp;(MAX(("Да"=AA$12:AA479)*ROW(AA$12:AA479)+1,ROW($P$12))&amp;":M"&amp;(ROW()))))-SUM(INDIRECT("W"&amp;(MAX(("Да"=AA$12:AA479)*ROW(AA$12:AA479)+1,ROW($P$12))&amp;":W"&amp;(ROW()))))),0)</f>
        <v>5945.35</v>
      </c>
      <c r="Q480" s="99">
        <f ca="1">MAX(SUM($N$13:N480)-SUM($T$13:T480),0)</f>
        <v>31702.350655737697</v>
      </c>
      <c r="R480" s="99">
        <f ca="1">Первоначальный[[#This Row],[Просроченный платеж по ОД]]+Первоначальный[[#This Row],[Просроченный платеж по процентам]]</f>
        <v>37647.700655737695</v>
      </c>
      <c r="S480" s="120">
        <f ca="1">IF(Первоначальный[[#This Row],[Просроченный платеж]]&lt;1,0,S479+1)</f>
        <v>376</v>
      </c>
      <c r="T480" s="100" cm="1">
        <f t="array" aca="1" ref="T480" ca="1">IF(Первоначальный[[#This Row],[Итого остаток на начало периода]]&lt;1,0,
IF(
AND(TYPE(VLOOKUP(1,$Z$12:Z480,1,0))=16,Первоначальный[[#This Row],[Досрочное погашение (да/"")]]=""),0,
_xlfn.IFS(AND(S479=0,Первоначальный[[#This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платеж]]&lt;&gt;0),MIN(LOOKUP(,-1/($Z$12:Z480=1),$C$12:C480)+LOOKUP(,-1/($Z$12:Z480=1),$H$12:H480),Первоначальный[[#This Row],[Полученный платеж]]+Y479),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платеж]]+Y479,SUM(Первоначальный[[#This Row],[Остаток процентов на начало периода]],Первоначальный[[#This Row],[Проценты за период]])),
AND(S479=0,Первоначальный[[#This Row],[Дата платежа из графика]]=""),0,
AND(S479=0,Первоначальный[[#This Row],[Дата платежа из графика]]=1,MAX((0&lt;&gt;S$12:S479)*ROW(S$12:S479),ROW($S$12))&gt;=MAX((1=Z$12:Z479)*ROW(Z$12:Z479),ROW($T$12)),TYPE(VLOOKUP("Да",(INDIRECT("AA"&amp;(MAX((1=Z$12:Z479)*ROW(Z$12:Z479),ROW($T$12))&amp;":AA"&amp;(ROW()-1)))),1,0))=16),MIN(LOOKUP(,-1/($Z$12:Z480=1),$C$12:C480)+LOOKUP(,-1/($Z$12:Z480=1),$H$12:H480),Первоначальный[[#This Row],[Полученный платеж]]+Y479),
AND(S479=0,TYPE(VLOOKUP("Да",(INDIRECT("AA"&amp;(MAX((1=Z$12:Z479)*ROW(Z$12:Z479),ROW($T$12))&amp;":AA"&amp;(ROW()-1)))),1,0))&lt;&gt;16),MIN(LOOKUP(,-1/($Z$12:Z480=1),$C$12:C480)+LOOKUP(,-1/($Z$12:Z480=1),$H$12:H480)-IF(AA479="Да",0,SUM(INDIRECT("T"&amp;(MAX(("Да"=AA$12:AA479)*ROW(AA$12:AA479)+1,ROW($T$12))&amp;":T"&amp;(ROW()-1))))),Первоначальный[[#This Row],[Полученный платеж]]+Y479),
AND(S479=0,MAX((0&lt;&gt;N$12:N479)*ROW(N$12:N479),ROW($S$12))&gt;=MAX((1=Z$12:Z479)*ROW(Z$12:Z479),ROW($T$12))),MIN(LOOKUP(,-1/($Z$12:Z480=1),$C$12:C480)+LOOKUP(,-1/($Z$12:Z480=1),$H$12:H480)-IF(N479&lt;&gt;0,0,SUM(INDIRECT("T"&amp;(MAX((0&lt;&gt;N$12:N479)*ROW(N$12:N479)+1,ROW($T$12))&amp;":T"&amp;(ROW()-1))))),Первоначальный[[#This Row],[Полученный платеж]]+Y479),
AND(S479=0,Первоначальный[[#This Row],[Дата платежа из графика]]=1),MIN(LOOKUP(,-1/($Z$12:Z480=1),$C$12:C480)+LOOKUP(,-1/($Z$12:Z480=1),$H$12:H480)-IF(Z479=1,0,SUM(INDIRECT("T"&amp;(MAX((1=Z$12:Z479)*ROW(Z$12:Z479)+1,ROW($T$12))&amp;":T"&amp;(ROW()-1))))),Первоначальный[[#This Row],[Полученный платеж]]+Y479),
AND(Z479&gt;0,Первоначальный[[#This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платеж]]+Y479),
AND(S479&gt;0,MAX((0&lt;&gt;S$12:S479)*ROW(S$12:S479),ROW($S$12))&gt;=MAX((1=Z$12:Z479)*ROW(Z$12:Z479),ROW($T$12)),TYPE(VLOOKUP("Да",(INDIRECT("AA"&amp;(MAX((1=Z$12:Z479)*ROW(Z$12:Z479),ROW($T$12))&amp;":AA"&amp;(ROW()-1)))),1,0))=16),MIN(LOOKUP(,-1/($Z$12:Z480=1),$C$12:C480)+LOOKUP(,-1/($Z$12:Z480=1),$H$12:H480)-SUM(INDIRECT("T"&amp;(MAX((1=Z$12:Z479)*ROW(Z$12:Z479),ROW($T$12))&amp;":T"&amp;(ROW()-1)))),Первоначальный[[#This Row],[Полученный платеж]]+Y479),
S479&gt;0,MIN(LOOKUP(,-1/($Z$12:Z480=1),$C$12:C480)+LOOKUP(,-1/($Z$12:Z480=1),$H$12:H480)-IF(Z479=1,0,SUM(INDIRECT("T"&amp;(MAX((1=Z$12:Z479)*ROW(Z$12:Z479)+1,ROW($T$12))&amp;":T"&amp;(ROW()-1))))),Первоначальный[[#This Row],[Полученный платеж]]+Y479)
)
)
)</f>
        <v>0</v>
      </c>
      <c r="U48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платеж]]+Y479-Первоначальный[[#This Row],[Полученный платёж по процентам]])</f>
        <v>0</v>
      </c>
      <c r="V480" s="55">
        <f t="shared" ca="1" si="85"/>
        <v>0</v>
      </c>
      <c r="W480" s="55" cm="1">
        <f t="array" aca="1" ref="W480" ca="1">IF(Первоначальный[[#This Row],[Итого остаток на начало периода]]&lt;1,0,
_xlfn.IFS(
AND(TYPE(VLOOKUP(1,$Z$12:Z480,1,0))=16,Первоначальный[[#This Row],[Досрочное погашение (да/"")]]=""),0,
AND(S479=0,Первоначальный[[#This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платеж]]+Y479-SUM(Первоначальный[[#This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комиссиям]]),VLOOKUP(LOOKUP(,-1/($Z$12:Z480=1),$A$12:A480),График[[Срок конец]:[Возврат основной суммы долга]],3,0)),
AND(S479=0,Первоначальный[[#This Row],[Дата платежа из графика]]="",Первоначальный[[#This Row],[Досрочное погашение (да/"")]]&lt;&gt;"Да"),0,
AND(S479=0,Первоначальный[[#This Row],[Досрочное погашение (да/"")]]=""),MIN(Первоначальный[[#This Row],[Полученный платеж]]+Y479-SUM(Первоначальный[[#This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комиссиям]]),VLOOKUP(LOOKUP(,-1/($Z$12:Z480=1),$A$12:A480),График[[Срок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платеж]]+Y479-SUM(Первоначальный[[#This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S479&gt;0,MIN(Первоначальный[[#This Row],[Полученный платеж]]+Y479-SUM(Первоначальный[[#This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комиссиям]]),SUM(INDIRECT("M"&amp;(MAX((1=S$12:S479)*ROW(S$12:S479),ROW($W$12))&amp;":M"&amp;(ROW()))))-SUM(INDIRECT("W"&amp;(MAX((1=S$12:S479)*ROW(S$12:S479),ROW($W$12))&amp;":W"&amp;(ROW()-1)))))
)
)</f>
        <v>0</v>
      </c>
      <c r="X480" s="55">
        <f t="shared" ca="1" si="86"/>
        <v>0</v>
      </c>
      <c r="Y480" s="101">
        <f t="shared" ca="1" si="93"/>
        <v>0</v>
      </c>
      <c r="Z480" s="133" t="str">
        <f>IF(TYPE((VLOOKUP(Первоначальный[[#This Row],[Дата платежа]],График[Срок конец],1,0)))=16,"",1)</f>
        <v/>
      </c>
      <c r="AA480" s="57"/>
      <c r="AB480" s="134"/>
      <c r="AC48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8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32487.229999999963</v>
      </c>
      <c r="AE48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621.43000000000109</v>
      </c>
      <c r="AF48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8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36593.077232787022</v>
      </c>
      <c r="AH480" s="55"/>
      <c r="AI480" s="55"/>
      <c r="AJ480" s="55"/>
      <c r="AK480" s="101">
        <f t="shared" ca="1" si="94"/>
        <v>219335.07723278698</v>
      </c>
      <c r="AL480" s="129">
        <f t="array" ref="AL480">MAX((УслРестрактов[Характеристика]="Дата реструктуризации")*(УслРестрактов[Значение]=Первоначальный!$A480),0)</f>
        <v>0</v>
      </c>
    </row>
    <row r="481" spans="1:38" x14ac:dyDescent="0.25">
      <c r="A481" s="97">
        <f t="shared" si="87"/>
        <v>44612</v>
      </c>
      <c r="B481" s="100">
        <f t="shared" ca="1" si="88"/>
        <v>149633.34</v>
      </c>
      <c r="C481" s="55">
        <f t="shared" ca="1" si="96"/>
        <v>32487.229999999963</v>
      </c>
      <c r="D481" s="55">
        <f t="shared" ca="1" si="96"/>
        <v>621.43000000000109</v>
      </c>
      <c r="E481" s="55">
        <f t="shared" ca="1" si="89"/>
        <v>0</v>
      </c>
      <c r="F481" s="55">
        <f t="shared" ca="1" si="90"/>
        <v>36593.077232787022</v>
      </c>
      <c r="G481" s="101">
        <f t="shared" ca="1" si="91"/>
        <v>219335.07723278698</v>
      </c>
      <c r="H481" s="100">
        <f ca="1">ROUND($B481*VLOOKUP($A481,$A$1:$B$10,2,1)/(365+IF(MOD(YEAR($A481),4),0,1)*($A481-$A480)),2)-Первоначальный[[#This Row],[Проценты на просроченный платеж по ОД за период]]</f>
        <v>78.34</v>
      </c>
      <c r="I481" s="55">
        <f t="shared" ca="1" si="92"/>
        <v>3.24</v>
      </c>
      <c r="J481" s="55">
        <v>0</v>
      </c>
      <c r="K481" s="55">
        <f t="shared" ca="1" si="95"/>
        <v>188.23850327868848</v>
      </c>
      <c r="L481" s="55">
        <v>0</v>
      </c>
      <c r="M481" s="113">
        <f>SUMIFS(График[Возврат основной суммы долга],График[Дата с учетом нерабочих дней],$A481)</f>
        <v>0</v>
      </c>
      <c r="N481" s="56">
        <f>SUMIFS(График[Возврат начисленных %],График[Дата с учетом нерабочих дней],$A481)</f>
        <v>0</v>
      </c>
      <c r="O481" s="101">
        <v>0</v>
      </c>
      <c r="P481" s="100" cm="1">
        <f t="array" aca="1" ref="P481" ca="1">MAX(IF(AA480="Да",0,SUM(INDIRECT("M"&amp;(MAX(("Да"=AA$12:AA480)*ROW(AA$12:AA480)+1,ROW($P$12))&amp;":M"&amp;(ROW()))))-SUM(INDIRECT("W"&amp;(MAX(("Да"=AA$12:AA480)*ROW(AA$12:AA480)+1,ROW($P$12))&amp;":W"&amp;(ROW()))))),0)</f>
        <v>5945.35</v>
      </c>
      <c r="Q481" s="99">
        <f ca="1">MAX(SUM($N$13:N481)-SUM($T$13:T481),0)</f>
        <v>31702.350655737697</v>
      </c>
      <c r="R481" s="99">
        <f ca="1">Первоначальный[[#This Row],[Просроченный платеж по ОД]]+Первоначальный[[#This Row],[Просроченный платеж по процентам]]</f>
        <v>37647.700655737695</v>
      </c>
      <c r="S481" s="120">
        <f ca="1">IF(Первоначальный[[#This Row],[Просроченный платеж]]&lt;1,0,S480+1)</f>
        <v>377</v>
      </c>
      <c r="T481" s="100" cm="1">
        <f t="array" aca="1" ref="T481" ca="1">IF(Первоначальный[[#This Row],[Итого остаток на начало периода]]&lt;1,0,
IF(
AND(TYPE(VLOOKUP(1,$Z$12:Z481,1,0))=16,Первоначальный[[#This Row],[Досрочное погашение (да/"")]]=""),0,
_xlfn.IFS(AND(S480=0,Первоначальный[[#This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платеж]]&lt;&gt;0),MIN(LOOKUP(,-1/($Z$12:Z481=1),$C$12:C481)+LOOKUP(,-1/($Z$12:Z481=1),$H$12:H481),Первоначальный[[#This Row],[Полученный платеж]]+Y480),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платеж]]+Y480,SUM(Первоначальный[[#This Row],[Остаток процентов на начало периода]],Первоначальный[[#This Row],[Проценты за период]])),
AND(S480=0,Первоначальный[[#This Row],[Дата платежа из графика]]=""),0,
AND(S480=0,Первоначальный[[#This Row],[Дата платежа из графика]]=1,MAX((0&lt;&gt;S$12:S480)*ROW(S$12:S480),ROW($S$12))&gt;=MAX((1=Z$12:Z480)*ROW(Z$12:Z480),ROW($T$12)),TYPE(VLOOKUP("Да",(INDIRECT("AA"&amp;(MAX((1=Z$12:Z480)*ROW(Z$12:Z480),ROW($T$12))&amp;":AA"&amp;(ROW()-1)))),1,0))=16),MIN(LOOKUP(,-1/($Z$12:Z481=1),$C$12:C481)+LOOKUP(,-1/($Z$12:Z481=1),$H$12:H481),Первоначальный[[#This Row],[Полученный платеж]]+Y480),
AND(S480=0,TYPE(VLOOKUP("Да",(INDIRECT("AA"&amp;(MAX((1=Z$12:Z480)*ROW(Z$12:Z480),ROW($T$12))&amp;":AA"&amp;(ROW()-1)))),1,0))&lt;&gt;16),MIN(LOOKUP(,-1/($Z$12:Z481=1),$C$12:C481)+LOOKUP(,-1/($Z$12:Z481=1),$H$12:H481)-IF(AA480="Да",0,SUM(INDIRECT("T"&amp;(MAX(("Да"=AA$12:AA480)*ROW(AA$12:AA480)+1,ROW($T$12))&amp;":T"&amp;(ROW()-1))))),Первоначальный[[#This Row],[Полученный платеж]]+Y480),
AND(S480=0,MAX((0&lt;&gt;N$12:N480)*ROW(N$12:N480),ROW($S$12))&gt;=MAX((1=Z$12:Z480)*ROW(Z$12:Z480),ROW($T$12))),MIN(LOOKUP(,-1/($Z$12:Z481=1),$C$12:C481)+LOOKUP(,-1/($Z$12:Z481=1),$H$12:H481)-IF(N480&lt;&gt;0,0,SUM(INDIRECT("T"&amp;(MAX((0&lt;&gt;N$12:N480)*ROW(N$12:N480)+1,ROW($T$12))&amp;":T"&amp;(ROW()-1))))),Первоначальный[[#This Row],[Полученный платеж]]+Y480),
AND(S480=0,Первоначальный[[#This Row],[Дата платежа из графика]]=1),MIN(LOOKUP(,-1/($Z$12:Z481=1),$C$12:C481)+LOOKUP(,-1/($Z$12:Z481=1),$H$12:H481)-IF(Z480=1,0,SUM(INDIRECT("T"&amp;(MAX((1=Z$12:Z480)*ROW(Z$12:Z480)+1,ROW($T$12))&amp;":T"&amp;(ROW()-1))))),Первоначальный[[#This Row],[Полученный платеж]]+Y480),
AND(Z480&gt;0,Первоначальный[[#This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платеж]]+Y480),
AND(S480&gt;0,MAX((0&lt;&gt;S$12:S480)*ROW(S$12:S480),ROW($S$12))&gt;=MAX((1=Z$12:Z480)*ROW(Z$12:Z480),ROW($T$12)),TYPE(VLOOKUP("Да",(INDIRECT("AA"&amp;(MAX((1=Z$12:Z480)*ROW(Z$12:Z480),ROW($T$12))&amp;":AA"&amp;(ROW()-1)))),1,0))=16),MIN(LOOKUP(,-1/($Z$12:Z481=1),$C$12:C481)+LOOKUP(,-1/($Z$12:Z481=1),$H$12:H481)-SUM(INDIRECT("T"&amp;(MAX((1=Z$12:Z480)*ROW(Z$12:Z480),ROW($T$12))&amp;":T"&amp;(ROW()-1)))),Первоначальный[[#This Row],[Полученный платеж]]+Y480),
S480&gt;0,MIN(LOOKUP(,-1/($Z$12:Z481=1),$C$12:C481)+LOOKUP(,-1/($Z$12:Z481=1),$H$12:H481)-IF(Z480=1,0,SUM(INDIRECT("T"&amp;(MAX((1=Z$12:Z480)*ROW(Z$12:Z480)+1,ROW($T$12))&amp;":T"&amp;(ROW()-1))))),Первоначальный[[#This Row],[Полученный платеж]]+Y480)
)
)
)</f>
        <v>0</v>
      </c>
      <c r="U48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платеж]]+Y480-Первоначальный[[#This Row],[Полученный платёж по процентам]])</f>
        <v>0</v>
      </c>
      <c r="V481" s="55">
        <f t="shared" ca="1" si="85"/>
        <v>0</v>
      </c>
      <c r="W481" s="55" cm="1">
        <f t="array" aca="1" ref="W481" ca="1">IF(Первоначальный[[#This Row],[Итого остаток на начало периода]]&lt;1,0,
_xlfn.IFS(
AND(TYPE(VLOOKUP(1,$Z$12:Z481,1,0))=16,Первоначальный[[#This Row],[Досрочное погашение (да/"")]]=""),0,
AND(S480=0,Первоначальный[[#This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платеж]]+Y480-SUM(Первоначальный[[#This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комиссиям]]),VLOOKUP(LOOKUP(,-1/($Z$12:Z481=1),$A$12:A481),График[[Срок конец]:[Возврат основной суммы долга]],3,0)),
AND(S480=0,Первоначальный[[#This Row],[Дата платежа из графика]]="",Первоначальный[[#This Row],[Досрочное погашение (да/"")]]&lt;&gt;"Да"),0,
AND(S480=0,Первоначальный[[#This Row],[Досрочное погашение (да/"")]]=""),MIN(Первоначальный[[#This Row],[Полученный платеж]]+Y480-SUM(Первоначальный[[#This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комиссиям]]),VLOOKUP(LOOKUP(,-1/($Z$12:Z481=1),$A$12:A481),График[[Срок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платеж]]+Y480-SUM(Первоначальный[[#This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S480&gt;0,MIN(Первоначальный[[#This Row],[Полученный платеж]]+Y480-SUM(Первоначальный[[#This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комиссиям]]),SUM(INDIRECT("M"&amp;(MAX((1=S$12:S480)*ROW(S$12:S480),ROW($W$12))&amp;":M"&amp;(ROW()))))-SUM(INDIRECT("W"&amp;(MAX((1=S$12:S480)*ROW(S$12:S480),ROW($W$12))&amp;":W"&amp;(ROW()-1)))))
)
)</f>
        <v>0</v>
      </c>
      <c r="X481" s="55">
        <f t="shared" ca="1" si="86"/>
        <v>0</v>
      </c>
      <c r="Y481" s="101">
        <f t="shared" ca="1" si="93"/>
        <v>0</v>
      </c>
      <c r="Z481" s="133" t="str">
        <f>IF(TYPE((VLOOKUP(Первоначальный[[#This Row],[Дата платежа]],График[Срок конец],1,0)))=16,"",1)</f>
        <v/>
      </c>
      <c r="AA481" s="57"/>
      <c r="AB481" s="134"/>
      <c r="AC48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8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32565.569999999963</v>
      </c>
      <c r="AE48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624.6700000000011</v>
      </c>
      <c r="AF48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8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36781.315736065713</v>
      </c>
      <c r="AH481" s="55"/>
      <c r="AI481" s="55"/>
      <c r="AJ481" s="55"/>
      <c r="AK481" s="101">
        <f t="shared" ca="1" si="94"/>
        <v>219604.89573606569</v>
      </c>
      <c r="AL481" s="129">
        <f t="array" ref="AL481">MAX((УслРестрактов[Характеристика]="Дата реструктуризации")*(УслРестрактов[Значение]=Первоначальный!$A481),0)</f>
        <v>0</v>
      </c>
    </row>
    <row r="482" spans="1:38" x14ac:dyDescent="0.25">
      <c r="A482" s="97">
        <f t="shared" si="87"/>
        <v>44613</v>
      </c>
      <c r="B482" s="100">
        <f t="shared" ca="1" si="88"/>
        <v>149633.34</v>
      </c>
      <c r="C482" s="55">
        <f t="shared" ca="1" si="96"/>
        <v>32565.569999999963</v>
      </c>
      <c r="D482" s="55">
        <f t="shared" ca="1" si="96"/>
        <v>624.6700000000011</v>
      </c>
      <c r="E482" s="55">
        <f t="shared" ca="1" si="89"/>
        <v>0</v>
      </c>
      <c r="F482" s="55">
        <f t="shared" ca="1" si="90"/>
        <v>36781.315736065713</v>
      </c>
      <c r="G482" s="101">
        <f t="shared" ca="1" si="91"/>
        <v>219604.89573606569</v>
      </c>
      <c r="H482" s="100">
        <f ca="1">ROUND($B482*VLOOKUP($A482,$A$1:$B$10,2,1)/(365+IF(MOD(YEAR($A482),4),0,1)*($A482-$A481)),2)-Первоначальный[[#This Row],[Проценты на просроченный платеж по ОД за период]]</f>
        <v>78.34</v>
      </c>
      <c r="I482" s="55">
        <f t="shared" ca="1" si="92"/>
        <v>3.24</v>
      </c>
      <c r="J482" s="55">
        <v>0</v>
      </c>
      <c r="K482" s="55">
        <f t="shared" ca="1" si="95"/>
        <v>188.23850327868848</v>
      </c>
      <c r="L482" s="55">
        <v>0</v>
      </c>
      <c r="M482" s="113">
        <f>SUMIFS(График[Возврат основной суммы долга],График[Дата с учетом нерабочих дней],$A482)</f>
        <v>0</v>
      </c>
      <c r="N482" s="56">
        <f>SUMIFS(График[Возврат начисленных %],График[Дата с учетом нерабочих дней],$A482)</f>
        <v>0</v>
      </c>
      <c r="O482" s="101">
        <v>0</v>
      </c>
      <c r="P482" s="100" cm="1">
        <f t="array" aca="1" ref="P482" ca="1">MAX(IF(AA481="Да",0,SUM(INDIRECT("M"&amp;(MAX(("Да"=AA$12:AA481)*ROW(AA$12:AA481)+1,ROW($P$12))&amp;":M"&amp;(ROW()))))-SUM(INDIRECT("W"&amp;(MAX(("Да"=AA$12:AA481)*ROW(AA$12:AA481)+1,ROW($P$12))&amp;":W"&amp;(ROW()))))),0)</f>
        <v>5945.35</v>
      </c>
      <c r="Q482" s="99">
        <f ca="1">MAX(SUM($N$13:N482)-SUM($T$13:T482),0)</f>
        <v>31702.350655737697</v>
      </c>
      <c r="R482" s="99">
        <f ca="1">Первоначальный[[#This Row],[Просроченный платеж по ОД]]+Первоначальный[[#This Row],[Просроченный платеж по процентам]]</f>
        <v>37647.700655737695</v>
      </c>
      <c r="S482" s="120">
        <f ca="1">IF(Первоначальный[[#This Row],[Просроченный платеж]]&lt;1,0,S481+1)</f>
        <v>378</v>
      </c>
      <c r="T482" s="100" cm="1">
        <f t="array" aca="1" ref="T482" ca="1">IF(Первоначальный[[#This Row],[Итого остаток на начало периода]]&lt;1,0,
IF(
AND(TYPE(VLOOKUP(1,$Z$12:Z482,1,0))=16,Первоначальный[[#This Row],[Досрочное погашение (да/"")]]=""),0,
_xlfn.IFS(AND(S481=0,Первоначальный[[#This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платеж]]&lt;&gt;0),MIN(LOOKUP(,-1/($Z$12:Z482=1),$C$12:C482)+LOOKUP(,-1/($Z$12:Z482=1),$H$12:H482),Первоначальный[[#This Row],[Полученный платеж]]+Y481),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платеж]]+Y481,SUM(Первоначальный[[#This Row],[Остаток процентов на начало периода]],Первоначальный[[#This Row],[Проценты за период]])),
AND(S481=0,Первоначальный[[#This Row],[Дата платежа из графика]]=""),0,
AND(S481=0,Первоначальный[[#This Row],[Дата платежа из графика]]=1,MAX((0&lt;&gt;S$12:S481)*ROW(S$12:S481),ROW($S$12))&gt;=MAX((1=Z$12:Z481)*ROW(Z$12:Z481),ROW($T$12)),TYPE(VLOOKUP("Да",(INDIRECT("AA"&amp;(MAX((1=Z$12:Z481)*ROW(Z$12:Z481),ROW($T$12))&amp;":AA"&amp;(ROW()-1)))),1,0))=16),MIN(LOOKUP(,-1/($Z$12:Z482=1),$C$12:C482)+LOOKUP(,-1/($Z$12:Z482=1),$H$12:H482),Первоначальный[[#This Row],[Полученный платеж]]+Y481),
AND(S481=0,TYPE(VLOOKUP("Да",(INDIRECT("AA"&amp;(MAX((1=Z$12:Z481)*ROW(Z$12:Z481),ROW($T$12))&amp;":AA"&amp;(ROW()-1)))),1,0))&lt;&gt;16),MIN(LOOKUP(,-1/($Z$12:Z482=1),$C$12:C482)+LOOKUP(,-1/($Z$12:Z482=1),$H$12:H482)-IF(AA481="Да",0,SUM(INDIRECT("T"&amp;(MAX(("Да"=AA$12:AA481)*ROW(AA$12:AA481)+1,ROW($T$12))&amp;":T"&amp;(ROW()-1))))),Первоначальный[[#This Row],[Полученный платеж]]+Y481),
AND(S481=0,MAX((0&lt;&gt;N$12:N481)*ROW(N$12:N481),ROW($S$12))&gt;=MAX((1=Z$12:Z481)*ROW(Z$12:Z481),ROW($T$12))),MIN(LOOKUP(,-1/($Z$12:Z482=1),$C$12:C482)+LOOKUP(,-1/($Z$12:Z482=1),$H$12:H482)-IF(N481&lt;&gt;0,0,SUM(INDIRECT("T"&amp;(MAX((0&lt;&gt;N$12:N481)*ROW(N$12:N481)+1,ROW($T$12))&amp;":T"&amp;(ROW()-1))))),Первоначальный[[#This Row],[Полученный платеж]]+Y481),
AND(S481=0,Первоначальный[[#This Row],[Дата платежа из графика]]=1),MIN(LOOKUP(,-1/($Z$12:Z482=1),$C$12:C482)+LOOKUP(,-1/($Z$12:Z482=1),$H$12:H482)-IF(Z481=1,0,SUM(INDIRECT("T"&amp;(MAX((1=Z$12:Z481)*ROW(Z$12:Z481)+1,ROW($T$12))&amp;":T"&amp;(ROW()-1))))),Первоначальный[[#This Row],[Полученный платеж]]+Y481),
AND(Z481&gt;0,Первоначальный[[#This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платеж]]+Y481),
AND(S481&gt;0,MAX((0&lt;&gt;S$12:S481)*ROW(S$12:S481),ROW($S$12))&gt;=MAX((1=Z$12:Z481)*ROW(Z$12:Z481),ROW($T$12)),TYPE(VLOOKUP("Да",(INDIRECT("AA"&amp;(MAX((1=Z$12:Z481)*ROW(Z$12:Z481),ROW($T$12))&amp;":AA"&amp;(ROW()-1)))),1,0))=16),MIN(LOOKUP(,-1/($Z$12:Z482=1),$C$12:C482)+LOOKUP(,-1/($Z$12:Z482=1),$H$12:H482)-SUM(INDIRECT("T"&amp;(MAX((1=Z$12:Z481)*ROW(Z$12:Z481),ROW($T$12))&amp;":T"&amp;(ROW()-1)))),Первоначальный[[#This Row],[Полученный платеж]]+Y481),
S481&gt;0,MIN(LOOKUP(,-1/($Z$12:Z482=1),$C$12:C482)+LOOKUP(,-1/($Z$12:Z482=1),$H$12:H482)-IF(Z481=1,0,SUM(INDIRECT("T"&amp;(MAX((1=Z$12:Z481)*ROW(Z$12:Z481)+1,ROW($T$12))&amp;":T"&amp;(ROW()-1))))),Первоначальный[[#This Row],[Полученный платеж]]+Y481)
)
)
)</f>
        <v>0</v>
      </c>
      <c r="U48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платеж]]+Y481-Первоначальный[[#This Row],[Полученный платёж по процентам]])</f>
        <v>0</v>
      </c>
      <c r="V482" s="55">
        <f t="shared" ca="1" si="85"/>
        <v>0</v>
      </c>
      <c r="W482" s="55" cm="1">
        <f t="array" aca="1" ref="W482" ca="1">IF(Первоначальный[[#This Row],[Итого остаток на начало периода]]&lt;1,0,
_xlfn.IFS(
AND(TYPE(VLOOKUP(1,$Z$12:Z482,1,0))=16,Первоначальный[[#This Row],[Досрочное погашение (да/"")]]=""),0,
AND(S481=0,Первоначальный[[#This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платеж]]+Y481-SUM(Первоначальный[[#This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комиссиям]]),VLOOKUP(LOOKUP(,-1/($Z$12:Z482=1),$A$12:A482),График[[Срок конец]:[Возврат основной суммы долга]],3,0)),
AND(S481=0,Первоначальный[[#This Row],[Дата платежа из графика]]="",Первоначальный[[#This Row],[Досрочное погашение (да/"")]]&lt;&gt;"Да"),0,
AND(S481=0,Первоначальный[[#This Row],[Досрочное погашение (да/"")]]=""),MIN(Первоначальный[[#This Row],[Полученный платеж]]+Y481-SUM(Первоначальный[[#This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комиссиям]]),VLOOKUP(LOOKUP(,-1/($Z$12:Z482=1),$A$12:A482),График[[Срок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платеж]]+Y481-SUM(Первоначальный[[#This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S481&gt;0,MIN(Первоначальный[[#This Row],[Полученный платеж]]+Y481-SUM(Первоначальный[[#This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комиссиям]]),SUM(INDIRECT("M"&amp;(MAX((1=S$12:S481)*ROW(S$12:S481),ROW($W$12))&amp;":M"&amp;(ROW()))))-SUM(INDIRECT("W"&amp;(MAX((1=S$12:S481)*ROW(S$12:S481),ROW($W$12))&amp;":W"&amp;(ROW()-1)))))
)
)</f>
        <v>0</v>
      </c>
      <c r="X482" s="55">
        <f t="shared" ca="1" si="86"/>
        <v>0</v>
      </c>
      <c r="Y482" s="101">
        <f t="shared" ca="1" si="93"/>
        <v>0</v>
      </c>
      <c r="Z482" s="133" t="str">
        <f>IF(TYPE((VLOOKUP(Первоначальный[[#This Row],[Дата платежа]],График[Срок конец],1,0)))=16,"",1)</f>
        <v/>
      </c>
      <c r="AA482" s="57"/>
      <c r="AB482" s="134"/>
      <c r="AC48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8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32643.909999999963</v>
      </c>
      <c r="AE48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627.91000000000111</v>
      </c>
      <c r="AF48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8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36969.554239344405</v>
      </c>
      <c r="AH482" s="55"/>
      <c r="AI482" s="55"/>
      <c r="AJ482" s="55"/>
      <c r="AK482" s="101">
        <f t="shared" ca="1" si="94"/>
        <v>219874.71423934438</v>
      </c>
      <c r="AL482" s="129">
        <f t="array" ref="AL482">MAX((УслРестрактов[Характеристика]="Дата реструктуризации")*(УслРестрактов[Значение]=Первоначальный!$A482),0)</f>
        <v>0</v>
      </c>
    </row>
    <row r="483" spans="1:38" x14ac:dyDescent="0.25">
      <c r="A483" s="97">
        <f t="shared" si="87"/>
        <v>44614</v>
      </c>
      <c r="B483" s="100">
        <f t="shared" ca="1" si="88"/>
        <v>149633.34</v>
      </c>
      <c r="C483" s="55">
        <f t="shared" ca="1" si="96"/>
        <v>32643.909999999963</v>
      </c>
      <c r="D483" s="55">
        <f t="shared" ca="1" si="96"/>
        <v>627.91000000000111</v>
      </c>
      <c r="E483" s="55">
        <f t="shared" ca="1" si="89"/>
        <v>0</v>
      </c>
      <c r="F483" s="55">
        <f t="shared" ca="1" si="90"/>
        <v>36969.554239344405</v>
      </c>
      <c r="G483" s="101">
        <f t="shared" ca="1" si="91"/>
        <v>219874.71423934438</v>
      </c>
      <c r="H483" s="100">
        <f ca="1">ROUND($B483*VLOOKUP($A483,$A$1:$B$10,2,1)/(365+IF(MOD(YEAR($A483),4),0,1)*($A483-$A482)),2)-Первоначальный[[#This Row],[Проценты на просроченный платеж по ОД за период]]</f>
        <v>78.34</v>
      </c>
      <c r="I483" s="55">
        <f t="shared" ca="1" si="92"/>
        <v>3.24</v>
      </c>
      <c r="J483" s="55">
        <v>0</v>
      </c>
      <c r="K483" s="55">
        <f t="shared" ca="1" si="95"/>
        <v>188.23850327868848</v>
      </c>
      <c r="L483" s="55">
        <v>0</v>
      </c>
      <c r="M483" s="113">
        <f>SUMIFS(График[Возврат основной суммы долга],График[Дата с учетом нерабочих дней],$A483)</f>
        <v>0</v>
      </c>
      <c r="N483" s="56">
        <f>SUMIFS(График[Возврат начисленных %],График[Дата с учетом нерабочих дней],$A483)</f>
        <v>0</v>
      </c>
      <c r="O483" s="101">
        <v>0</v>
      </c>
      <c r="P483" s="100" cm="1">
        <f t="array" aca="1" ref="P483" ca="1">MAX(IF(AA482="Да",0,SUM(INDIRECT("M"&amp;(MAX(("Да"=AA$12:AA482)*ROW(AA$12:AA482)+1,ROW($P$12))&amp;":M"&amp;(ROW()))))-SUM(INDIRECT("W"&amp;(MAX(("Да"=AA$12:AA482)*ROW(AA$12:AA482)+1,ROW($P$12))&amp;":W"&amp;(ROW()))))),0)</f>
        <v>5945.35</v>
      </c>
      <c r="Q483" s="99">
        <f ca="1">MAX(SUM($N$13:N483)-SUM($T$13:T483),0)</f>
        <v>31702.350655737697</v>
      </c>
      <c r="R483" s="99">
        <f ca="1">Первоначальный[[#This Row],[Просроченный платеж по ОД]]+Первоначальный[[#This Row],[Просроченный платеж по процентам]]</f>
        <v>37647.700655737695</v>
      </c>
      <c r="S483" s="120">
        <f ca="1">IF(Первоначальный[[#This Row],[Просроченный платеж]]&lt;1,0,S482+1)</f>
        <v>379</v>
      </c>
      <c r="T483" s="100" cm="1">
        <f t="array" aca="1" ref="T483" ca="1">IF(Первоначальный[[#This Row],[Итого остаток на начало периода]]&lt;1,0,
IF(
AND(TYPE(VLOOKUP(1,$Z$12:Z483,1,0))=16,Первоначальный[[#This Row],[Досрочное погашение (да/"")]]=""),0,
_xlfn.IFS(AND(S482=0,Первоначальный[[#This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платеж]]&lt;&gt;0),MIN(LOOKUP(,-1/($Z$12:Z483=1),$C$12:C483)+LOOKUP(,-1/($Z$12:Z483=1),$H$12:H483),Первоначальный[[#This Row],[Полученный платеж]]+Y482),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платеж]]+Y482,SUM(Первоначальный[[#This Row],[Остаток процентов на начало периода]],Первоначальный[[#This Row],[Проценты за период]])),
AND(S482=0,Первоначальный[[#This Row],[Дата платежа из графика]]=""),0,
AND(S482=0,Первоначальный[[#This Row],[Дата платежа из графика]]=1,MAX((0&lt;&gt;S$12:S482)*ROW(S$12:S482),ROW($S$12))&gt;=MAX((1=Z$12:Z482)*ROW(Z$12:Z482),ROW($T$12)),TYPE(VLOOKUP("Да",(INDIRECT("AA"&amp;(MAX((1=Z$12:Z482)*ROW(Z$12:Z482),ROW($T$12))&amp;":AA"&amp;(ROW()-1)))),1,0))=16),MIN(LOOKUP(,-1/($Z$12:Z483=1),$C$12:C483)+LOOKUP(,-1/($Z$12:Z483=1),$H$12:H483),Первоначальный[[#This Row],[Полученный платеж]]+Y482),
AND(S482=0,TYPE(VLOOKUP("Да",(INDIRECT("AA"&amp;(MAX((1=Z$12:Z482)*ROW(Z$12:Z482),ROW($T$12))&amp;":AA"&amp;(ROW()-1)))),1,0))&lt;&gt;16),MIN(LOOKUP(,-1/($Z$12:Z483=1),$C$12:C483)+LOOKUP(,-1/($Z$12:Z483=1),$H$12:H483)-IF(AA482="Да",0,SUM(INDIRECT("T"&amp;(MAX(("Да"=AA$12:AA482)*ROW(AA$12:AA482)+1,ROW($T$12))&amp;":T"&amp;(ROW()-1))))),Первоначальный[[#This Row],[Полученный платеж]]+Y482),
AND(S482=0,MAX((0&lt;&gt;N$12:N482)*ROW(N$12:N482),ROW($S$12))&gt;=MAX((1=Z$12:Z482)*ROW(Z$12:Z482),ROW($T$12))),MIN(LOOKUP(,-1/($Z$12:Z483=1),$C$12:C483)+LOOKUP(,-1/($Z$12:Z483=1),$H$12:H483)-IF(N482&lt;&gt;0,0,SUM(INDIRECT("T"&amp;(MAX((0&lt;&gt;N$12:N482)*ROW(N$12:N482)+1,ROW($T$12))&amp;":T"&amp;(ROW()-1))))),Первоначальный[[#This Row],[Полученный платеж]]+Y482),
AND(S482=0,Первоначальный[[#This Row],[Дата платежа из графика]]=1),MIN(LOOKUP(,-1/($Z$12:Z483=1),$C$12:C483)+LOOKUP(,-1/($Z$12:Z483=1),$H$12:H483)-IF(Z482=1,0,SUM(INDIRECT("T"&amp;(MAX((1=Z$12:Z482)*ROW(Z$12:Z482)+1,ROW($T$12))&amp;":T"&amp;(ROW()-1))))),Первоначальный[[#This Row],[Полученный платеж]]+Y482),
AND(Z482&gt;0,Первоначальный[[#This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платеж]]+Y482),
AND(S482&gt;0,MAX((0&lt;&gt;S$12:S482)*ROW(S$12:S482),ROW($S$12))&gt;=MAX((1=Z$12:Z482)*ROW(Z$12:Z482),ROW($T$12)),TYPE(VLOOKUP("Да",(INDIRECT("AA"&amp;(MAX((1=Z$12:Z482)*ROW(Z$12:Z482),ROW($T$12))&amp;":AA"&amp;(ROW()-1)))),1,0))=16),MIN(LOOKUP(,-1/($Z$12:Z483=1),$C$12:C483)+LOOKUP(,-1/($Z$12:Z483=1),$H$12:H483)-SUM(INDIRECT("T"&amp;(MAX((1=Z$12:Z482)*ROW(Z$12:Z482),ROW($T$12))&amp;":T"&amp;(ROW()-1)))),Первоначальный[[#This Row],[Полученный платеж]]+Y482),
S482&gt;0,MIN(LOOKUP(,-1/($Z$12:Z483=1),$C$12:C483)+LOOKUP(,-1/($Z$12:Z483=1),$H$12:H483)-IF(Z482=1,0,SUM(INDIRECT("T"&amp;(MAX((1=Z$12:Z482)*ROW(Z$12:Z482)+1,ROW($T$12))&amp;":T"&amp;(ROW()-1))))),Первоначальный[[#This Row],[Полученный платеж]]+Y482)
)
)
)</f>
        <v>0</v>
      </c>
      <c r="U48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платеж]]+Y482-Первоначальный[[#This Row],[Полученный платёж по процентам]])</f>
        <v>0</v>
      </c>
      <c r="V483" s="55">
        <f t="shared" ca="1" si="85"/>
        <v>0</v>
      </c>
      <c r="W483" s="55" cm="1">
        <f t="array" aca="1" ref="W483" ca="1">IF(Первоначальный[[#This Row],[Итого остаток на начало периода]]&lt;1,0,
_xlfn.IFS(
AND(TYPE(VLOOKUP(1,$Z$12:Z483,1,0))=16,Первоначальный[[#This Row],[Досрочное погашение (да/"")]]=""),0,
AND(S482=0,Первоначальный[[#This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платеж]]+Y482-SUM(Первоначальный[[#This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комиссиям]]),VLOOKUP(LOOKUP(,-1/($Z$12:Z483=1),$A$12:A483),График[[Срок конец]:[Возврат основной суммы долга]],3,0)),
AND(S482=0,Первоначальный[[#This Row],[Дата платежа из графика]]="",Первоначальный[[#This Row],[Досрочное погашение (да/"")]]&lt;&gt;"Да"),0,
AND(S482=0,Первоначальный[[#This Row],[Досрочное погашение (да/"")]]=""),MIN(Первоначальный[[#This Row],[Полученный платеж]]+Y482-SUM(Первоначальный[[#This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комиссиям]]),VLOOKUP(LOOKUP(,-1/($Z$12:Z483=1),$A$12:A483),График[[Срок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платеж]]+Y482-SUM(Первоначальный[[#This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S482&gt;0,MIN(Первоначальный[[#This Row],[Полученный платеж]]+Y482-SUM(Первоначальный[[#This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комиссиям]]),SUM(INDIRECT("M"&amp;(MAX((1=S$12:S482)*ROW(S$12:S482),ROW($W$12))&amp;":M"&amp;(ROW()))))-SUM(INDIRECT("W"&amp;(MAX((1=S$12:S482)*ROW(S$12:S482),ROW($W$12))&amp;":W"&amp;(ROW()-1)))))
)
)</f>
        <v>0</v>
      </c>
      <c r="X483" s="55">
        <f t="shared" ca="1" si="86"/>
        <v>0</v>
      </c>
      <c r="Y483" s="101">
        <f t="shared" ca="1" si="93"/>
        <v>0</v>
      </c>
      <c r="Z483" s="133" t="str">
        <f>IF(TYPE((VLOOKUP(Первоначальный[[#This Row],[Дата платежа]],График[Срок конец],1,0)))=16,"",1)</f>
        <v/>
      </c>
      <c r="AA483" s="57"/>
      <c r="AB483" s="134"/>
      <c r="AC48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8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32722.249999999964</v>
      </c>
      <c r="AE48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631.15000000000111</v>
      </c>
      <c r="AF48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8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37157.792742623096</v>
      </c>
      <c r="AH483" s="55"/>
      <c r="AI483" s="55"/>
      <c r="AJ483" s="55"/>
      <c r="AK483" s="101">
        <f t="shared" ca="1" si="94"/>
        <v>220144.53274262307</v>
      </c>
      <c r="AL483" s="129">
        <f t="array" ref="AL483">MAX((УслРестрактов[Характеристика]="Дата реструктуризации")*(УслРестрактов[Значение]=Первоначальный!$A483),0)</f>
        <v>0</v>
      </c>
    </row>
    <row r="484" spans="1:38" x14ac:dyDescent="0.25">
      <c r="A484" s="97">
        <f t="shared" si="87"/>
        <v>44615</v>
      </c>
      <c r="B484" s="100">
        <f t="shared" ca="1" si="88"/>
        <v>149633.34</v>
      </c>
      <c r="C484" s="55">
        <f t="shared" ca="1" si="96"/>
        <v>32722.249999999964</v>
      </c>
      <c r="D484" s="55">
        <f t="shared" ca="1" si="96"/>
        <v>631.15000000000111</v>
      </c>
      <c r="E484" s="55">
        <f t="shared" ca="1" si="89"/>
        <v>0</v>
      </c>
      <c r="F484" s="55">
        <f t="shared" ca="1" si="90"/>
        <v>37157.792742623096</v>
      </c>
      <c r="G484" s="101">
        <f t="shared" ca="1" si="91"/>
        <v>220144.53274262307</v>
      </c>
      <c r="H484" s="100">
        <f ca="1">ROUND($B484*VLOOKUP($A484,$A$1:$B$10,2,1)/(365+IF(MOD(YEAR($A484),4),0,1)*($A484-$A483)),2)-Первоначальный[[#This Row],[Проценты на просроченный платеж по ОД за период]]</f>
        <v>78.34</v>
      </c>
      <c r="I484" s="55">
        <f t="shared" ca="1" si="92"/>
        <v>3.24</v>
      </c>
      <c r="J484" s="55">
        <v>0</v>
      </c>
      <c r="K484" s="55">
        <f t="shared" ca="1" si="95"/>
        <v>188.23850327868848</v>
      </c>
      <c r="L484" s="55">
        <v>0</v>
      </c>
      <c r="M484" s="113">
        <f>SUMIFS(График[Возврат основной суммы долга],График[Дата с учетом нерабочих дней],$A484)</f>
        <v>0</v>
      </c>
      <c r="N484" s="56">
        <f>SUMIFS(График[Возврат начисленных %],График[Дата с учетом нерабочих дней],$A484)</f>
        <v>0</v>
      </c>
      <c r="O484" s="101">
        <v>0</v>
      </c>
      <c r="P484" s="100" cm="1">
        <f t="array" aca="1" ref="P484" ca="1">MAX(IF(AA483="Да",0,SUM(INDIRECT("M"&amp;(MAX(("Да"=AA$12:AA483)*ROW(AA$12:AA483)+1,ROW($P$12))&amp;":M"&amp;(ROW()))))-SUM(INDIRECT("W"&amp;(MAX(("Да"=AA$12:AA483)*ROW(AA$12:AA483)+1,ROW($P$12))&amp;":W"&amp;(ROW()))))),0)</f>
        <v>5945.35</v>
      </c>
      <c r="Q484" s="99">
        <f ca="1">MAX(SUM($N$13:N484)-SUM($T$13:T484),0)</f>
        <v>31702.350655737697</v>
      </c>
      <c r="R484" s="99">
        <f ca="1">Первоначальный[[#This Row],[Просроченный платеж по ОД]]+Первоначальный[[#This Row],[Просроченный платеж по процентам]]</f>
        <v>37647.700655737695</v>
      </c>
      <c r="S484" s="120">
        <f ca="1">IF(Первоначальный[[#This Row],[Просроченный платеж]]&lt;1,0,S483+1)</f>
        <v>380</v>
      </c>
      <c r="T484" s="100" cm="1">
        <f t="array" aca="1" ref="T484" ca="1">IF(Первоначальный[[#This Row],[Итого остаток на начало периода]]&lt;1,0,
IF(
AND(TYPE(VLOOKUP(1,$Z$12:Z484,1,0))=16,Первоначальный[[#This Row],[Досрочное погашение (да/"")]]=""),0,
_xlfn.IFS(AND(S483=0,Первоначальный[[#This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платеж]]&lt;&gt;0),MIN(LOOKUP(,-1/($Z$12:Z484=1),$C$12:C484)+LOOKUP(,-1/($Z$12:Z484=1),$H$12:H484),Первоначальный[[#This Row],[Полученный платеж]]+Y483),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платеж]]+Y483,SUM(Первоначальный[[#This Row],[Остаток процентов на начало периода]],Первоначальный[[#This Row],[Проценты за период]])),
AND(S483=0,Первоначальный[[#This Row],[Дата платежа из графика]]=""),0,
AND(S483=0,Первоначальный[[#This Row],[Дата платежа из графика]]=1,MAX((0&lt;&gt;S$12:S483)*ROW(S$12:S483),ROW($S$12))&gt;=MAX((1=Z$12:Z483)*ROW(Z$12:Z483),ROW($T$12)),TYPE(VLOOKUP("Да",(INDIRECT("AA"&amp;(MAX((1=Z$12:Z483)*ROW(Z$12:Z483),ROW($T$12))&amp;":AA"&amp;(ROW()-1)))),1,0))=16),MIN(LOOKUP(,-1/($Z$12:Z484=1),$C$12:C484)+LOOKUP(,-1/($Z$12:Z484=1),$H$12:H484),Первоначальный[[#This Row],[Полученный платеж]]+Y483),
AND(S483=0,TYPE(VLOOKUP("Да",(INDIRECT("AA"&amp;(MAX((1=Z$12:Z483)*ROW(Z$12:Z483),ROW($T$12))&amp;":AA"&amp;(ROW()-1)))),1,0))&lt;&gt;16),MIN(LOOKUP(,-1/($Z$12:Z484=1),$C$12:C484)+LOOKUP(,-1/($Z$12:Z484=1),$H$12:H484)-IF(AA483="Да",0,SUM(INDIRECT("T"&amp;(MAX(("Да"=AA$12:AA483)*ROW(AA$12:AA483)+1,ROW($T$12))&amp;":T"&amp;(ROW()-1))))),Первоначальный[[#This Row],[Полученный платеж]]+Y483),
AND(S483=0,MAX((0&lt;&gt;N$12:N483)*ROW(N$12:N483),ROW($S$12))&gt;=MAX((1=Z$12:Z483)*ROW(Z$12:Z483),ROW($T$12))),MIN(LOOKUP(,-1/($Z$12:Z484=1),$C$12:C484)+LOOKUP(,-1/($Z$12:Z484=1),$H$12:H484)-IF(N483&lt;&gt;0,0,SUM(INDIRECT("T"&amp;(MAX((0&lt;&gt;N$12:N483)*ROW(N$12:N483)+1,ROW($T$12))&amp;":T"&amp;(ROW()-1))))),Первоначальный[[#This Row],[Полученный платеж]]+Y483),
AND(S483=0,Первоначальный[[#This Row],[Дата платежа из графика]]=1),MIN(LOOKUP(,-1/($Z$12:Z484=1),$C$12:C484)+LOOKUP(,-1/($Z$12:Z484=1),$H$12:H484)-IF(Z483=1,0,SUM(INDIRECT("T"&amp;(MAX((1=Z$12:Z483)*ROW(Z$12:Z483)+1,ROW($T$12))&amp;":T"&amp;(ROW()-1))))),Первоначальный[[#This Row],[Полученный платеж]]+Y483),
AND(Z483&gt;0,Первоначальный[[#This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платеж]]+Y483),
AND(S483&gt;0,MAX((0&lt;&gt;S$12:S483)*ROW(S$12:S483),ROW($S$12))&gt;=MAX((1=Z$12:Z483)*ROW(Z$12:Z483),ROW($T$12)),TYPE(VLOOKUP("Да",(INDIRECT("AA"&amp;(MAX((1=Z$12:Z483)*ROW(Z$12:Z483),ROW($T$12))&amp;":AA"&amp;(ROW()-1)))),1,0))=16),MIN(LOOKUP(,-1/($Z$12:Z484=1),$C$12:C484)+LOOKUP(,-1/($Z$12:Z484=1),$H$12:H484)-SUM(INDIRECT("T"&amp;(MAX((1=Z$12:Z483)*ROW(Z$12:Z483),ROW($T$12))&amp;":T"&amp;(ROW()-1)))),Первоначальный[[#This Row],[Полученный платеж]]+Y483),
S483&gt;0,MIN(LOOKUP(,-1/($Z$12:Z484=1),$C$12:C484)+LOOKUP(,-1/($Z$12:Z484=1),$H$12:H484)-IF(Z483=1,0,SUM(INDIRECT("T"&amp;(MAX((1=Z$12:Z483)*ROW(Z$12:Z483)+1,ROW($T$12))&amp;":T"&amp;(ROW()-1))))),Первоначальный[[#This Row],[Полученный платеж]]+Y483)
)
)
)</f>
        <v>0</v>
      </c>
      <c r="U48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платеж]]+Y483-Первоначальный[[#This Row],[Полученный платёж по процентам]])</f>
        <v>0</v>
      </c>
      <c r="V484" s="55">
        <f t="shared" ca="1" si="85"/>
        <v>0</v>
      </c>
      <c r="W484" s="55" cm="1">
        <f t="array" aca="1" ref="W484" ca="1">IF(Первоначальный[[#This Row],[Итого остаток на начало периода]]&lt;1,0,
_xlfn.IFS(
AND(TYPE(VLOOKUP(1,$Z$12:Z484,1,0))=16,Первоначальный[[#This Row],[Досрочное погашение (да/"")]]=""),0,
AND(S483=0,Первоначальный[[#This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платеж]]+Y483-SUM(Первоначальный[[#This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комиссиям]]),VLOOKUP(LOOKUP(,-1/($Z$12:Z484=1),$A$12:A484),График[[Срок конец]:[Возврат основной суммы долга]],3,0)),
AND(S483=0,Первоначальный[[#This Row],[Дата платежа из графика]]="",Первоначальный[[#This Row],[Досрочное погашение (да/"")]]&lt;&gt;"Да"),0,
AND(S483=0,Первоначальный[[#This Row],[Досрочное погашение (да/"")]]=""),MIN(Первоначальный[[#This Row],[Полученный платеж]]+Y483-SUM(Первоначальный[[#This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комиссиям]]),VLOOKUP(LOOKUP(,-1/($Z$12:Z484=1),$A$12:A484),График[[Срок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платеж]]+Y483-SUM(Первоначальный[[#This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S483&gt;0,MIN(Первоначальный[[#This Row],[Полученный платеж]]+Y483-SUM(Первоначальный[[#This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комиссиям]]),SUM(INDIRECT("M"&amp;(MAX((1=S$12:S483)*ROW(S$12:S483),ROW($W$12))&amp;":M"&amp;(ROW()))))-SUM(INDIRECT("W"&amp;(MAX((1=S$12:S483)*ROW(S$12:S483),ROW($W$12))&amp;":W"&amp;(ROW()-1)))))
)
)</f>
        <v>0</v>
      </c>
      <c r="X484" s="55">
        <f t="shared" ca="1" si="86"/>
        <v>0</v>
      </c>
      <c r="Y484" s="101">
        <f t="shared" ca="1" si="93"/>
        <v>0</v>
      </c>
      <c r="Z484" s="133" t="str">
        <f>IF(TYPE((VLOOKUP(Первоначальный[[#This Row],[Дата платежа]],График[Срок конец],1,0)))=16,"",1)</f>
        <v/>
      </c>
      <c r="AA484" s="57"/>
      <c r="AB484" s="134"/>
      <c r="AC48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8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32800.58999999996</v>
      </c>
      <c r="AE48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634.39000000000112</v>
      </c>
      <c r="AF48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8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37346.031245901788</v>
      </c>
      <c r="AH484" s="55"/>
      <c r="AI484" s="55"/>
      <c r="AJ484" s="55"/>
      <c r="AK484" s="101">
        <f t="shared" ca="1" si="94"/>
        <v>220414.35124590178</v>
      </c>
      <c r="AL484" s="129">
        <f t="array" ref="AL484">MAX((УслРестрактов[Характеристика]="Дата реструктуризации")*(УслРестрактов[Значение]=Первоначальный!$A484),0)</f>
        <v>0</v>
      </c>
    </row>
    <row r="485" spans="1:38" x14ac:dyDescent="0.25">
      <c r="A485" s="97">
        <f t="shared" si="87"/>
        <v>44616</v>
      </c>
      <c r="B485" s="100">
        <f t="shared" ca="1" si="88"/>
        <v>149633.34</v>
      </c>
      <c r="C485" s="55">
        <f t="shared" ca="1" si="96"/>
        <v>32800.58999999996</v>
      </c>
      <c r="D485" s="55">
        <f t="shared" ca="1" si="96"/>
        <v>634.39000000000112</v>
      </c>
      <c r="E485" s="55">
        <f t="shared" ca="1" si="89"/>
        <v>0</v>
      </c>
      <c r="F485" s="55">
        <f t="shared" ca="1" si="90"/>
        <v>37346.031245901788</v>
      </c>
      <c r="G485" s="101">
        <f t="shared" ca="1" si="91"/>
        <v>220414.35124590178</v>
      </c>
      <c r="H485" s="100">
        <f ca="1">ROUND($B485*VLOOKUP($A485,$A$1:$B$10,2,1)/(365+IF(MOD(YEAR($A485),4),0,1)*($A485-$A484)),2)-Первоначальный[[#This Row],[Проценты на просроченный платеж по ОД за период]]</f>
        <v>78.34</v>
      </c>
      <c r="I485" s="55">
        <f t="shared" ca="1" si="92"/>
        <v>3.24</v>
      </c>
      <c r="J485" s="55">
        <v>0</v>
      </c>
      <c r="K485" s="55">
        <f t="shared" ca="1" si="95"/>
        <v>188.23850327868848</v>
      </c>
      <c r="L485" s="55">
        <v>0</v>
      </c>
      <c r="M485" s="113">
        <f>SUMIFS(График[Возврат основной суммы долга],График[Дата с учетом нерабочих дней],$A485)</f>
        <v>0</v>
      </c>
      <c r="N485" s="56">
        <f>SUMIFS(График[Возврат начисленных %],График[Дата с учетом нерабочих дней],$A485)</f>
        <v>0</v>
      </c>
      <c r="O485" s="101">
        <v>0</v>
      </c>
      <c r="P485" s="100" cm="1">
        <f t="array" aca="1" ref="P485" ca="1">MAX(IF(AA484="Да",0,SUM(INDIRECT("M"&amp;(MAX(("Да"=AA$12:AA484)*ROW(AA$12:AA484)+1,ROW($P$12))&amp;":M"&amp;(ROW()))))-SUM(INDIRECT("W"&amp;(MAX(("Да"=AA$12:AA484)*ROW(AA$12:AA484)+1,ROW($P$12))&amp;":W"&amp;(ROW()))))),0)</f>
        <v>5945.35</v>
      </c>
      <c r="Q485" s="99">
        <f ca="1">MAX(SUM($N$13:N485)-SUM($T$13:T485),0)</f>
        <v>31702.350655737697</v>
      </c>
      <c r="R485" s="99">
        <f ca="1">Первоначальный[[#This Row],[Просроченный платеж по ОД]]+Первоначальный[[#This Row],[Просроченный платеж по процентам]]</f>
        <v>37647.700655737695</v>
      </c>
      <c r="S485" s="120">
        <f ca="1">IF(Первоначальный[[#This Row],[Просроченный платеж]]&lt;1,0,S484+1)</f>
        <v>381</v>
      </c>
      <c r="T485" s="100" cm="1">
        <f t="array" aca="1" ref="T485" ca="1">IF(Первоначальный[[#This Row],[Итого остаток на начало периода]]&lt;1,0,
IF(
AND(TYPE(VLOOKUP(1,$Z$12:Z485,1,0))=16,Первоначальный[[#This Row],[Досрочное погашение (да/"")]]=""),0,
_xlfn.IFS(AND(S484=0,Первоначальный[[#This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платеж]]&lt;&gt;0),MIN(LOOKUP(,-1/($Z$12:Z485=1),$C$12:C485)+LOOKUP(,-1/($Z$12:Z485=1),$H$12:H485),Первоначальный[[#This Row],[Полученный платеж]]+Y484),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платеж]]+Y484,SUM(Первоначальный[[#This Row],[Остаток процентов на начало периода]],Первоначальный[[#This Row],[Проценты за период]])),
AND(S484=0,Первоначальный[[#This Row],[Дата платежа из графика]]=""),0,
AND(S484=0,Первоначальный[[#This Row],[Дата платежа из графика]]=1,MAX((0&lt;&gt;S$12:S484)*ROW(S$12:S484),ROW($S$12))&gt;=MAX((1=Z$12:Z484)*ROW(Z$12:Z484),ROW($T$12)),TYPE(VLOOKUP("Да",(INDIRECT("AA"&amp;(MAX((1=Z$12:Z484)*ROW(Z$12:Z484),ROW($T$12))&amp;":AA"&amp;(ROW()-1)))),1,0))=16),MIN(LOOKUP(,-1/($Z$12:Z485=1),$C$12:C485)+LOOKUP(,-1/($Z$12:Z485=1),$H$12:H485),Первоначальный[[#This Row],[Полученный платеж]]+Y484),
AND(S484=0,TYPE(VLOOKUP("Да",(INDIRECT("AA"&amp;(MAX((1=Z$12:Z484)*ROW(Z$12:Z484),ROW($T$12))&amp;":AA"&amp;(ROW()-1)))),1,0))&lt;&gt;16),MIN(LOOKUP(,-1/($Z$12:Z485=1),$C$12:C485)+LOOKUP(,-1/($Z$12:Z485=1),$H$12:H485)-IF(AA484="Да",0,SUM(INDIRECT("T"&amp;(MAX(("Да"=AA$12:AA484)*ROW(AA$12:AA484)+1,ROW($T$12))&amp;":T"&amp;(ROW()-1))))),Первоначальный[[#This Row],[Полученный платеж]]+Y484),
AND(S484=0,MAX((0&lt;&gt;N$12:N484)*ROW(N$12:N484),ROW($S$12))&gt;=MAX((1=Z$12:Z484)*ROW(Z$12:Z484),ROW($T$12))),MIN(LOOKUP(,-1/($Z$12:Z485=1),$C$12:C485)+LOOKUP(,-1/($Z$12:Z485=1),$H$12:H485)-IF(N484&lt;&gt;0,0,SUM(INDIRECT("T"&amp;(MAX((0&lt;&gt;N$12:N484)*ROW(N$12:N484)+1,ROW($T$12))&amp;":T"&amp;(ROW()-1))))),Первоначальный[[#This Row],[Полученный платеж]]+Y484),
AND(S484=0,Первоначальный[[#This Row],[Дата платежа из графика]]=1),MIN(LOOKUP(,-1/($Z$12:Z485=1),$C$12:C485)+LOOKUP(,-1/($Z$12:Z485=1),$H$12:H485)-IF(Z484=1,0,SUM(INDIRECT("T"&amp;(MAX((1=Z$12:Z484)*ROW(Z$12:Z484)+1,ROW($T$12))&amp;":T"&amp;(ROW()-1))))),Первоначальный[[#This Row],[Полученный платеж]]+Y484),
AND(Z484&gt;0,Первоначальный[[#This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платеж]]+Y484),
AND(S484&gt;0,MAX((0&lt;&gt;S$12:S484)*ROW(S$12:S484),ROW($S$12))&gt;=MAX((1=Z$12:Z484)*ROW(Z$12:Z484),ROW($T$12)),TYPE(VLOOKUP("Да",(INDIRECT("AA"&amp;(MAX((1=Z$12:Z484)*ROW(Z$12:Z484),ROW($T$12))&amp;":AA"&amp;(ROW()-1)))),1,0))=16),MIN(LOOKUP(,-1/($Z$12:Z485=1),$C$12:C485)+LOOKUP(,-1/($Z$12:Z485=1),$H$12:H485)-SUM(INDIRECT("T"&amp;(MAX((1=Z$12:Z484)*ROW(Z$12:Z484),ROW($T$12))&amp;":T"&amp;(ROW()-1)))),Первоначальный[[#This Row],[Полученный платеж]]+Y484),
S484&gt;0,MIN(LOOKUP(,-1/($Z$12:Z485=1),$C$12:C485)+LOOKUP(,-1/($Z$12:Z485=1),$H$12:H485)-IF(Z484=1,0,SUM(INDIRECT("T"&amp;(MAX((1=Z$12:Z484)*ROW(Z$12:Z484)+1,ROW($T$12))&amp;":T"&amp;(ROW()-1))))),Первоначальный[[#This Row],[Полученный платеж]]+Y484)
)
)
)</f>
        <v>0</v>
      </c>
      <c r="U48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платеж]]+Y484-Первоначальный[[#This Row],[Полученный платёж по процентам]])</f>
        <v>0</v>
      </c>
      <c r="V485" s="55">
        <f t="shared" ca="1" si="85"/>
        <v>0</v>
      </c>
      <c r="W485" s="55" cm="1">
        <f t="array" aca="1" ref="W485" ca="1">IF(Первоначальный[[#This Row],[Итого остаток на начало периода]]&lt;1,0,
_xlfn.IFS(
AND(TYPE(VLOOKUP(1,$Z$12:Z485,1,0))=16,Первоначальный[[#This Row],[Досрочное погашение (да/"")]]=""),0,
AND(S484=0,Первоначальный[[#This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платеж]]+Y484-SUM(Первоначальный[[#This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комиссиям]]),VLOOKUP(LOOKUP(,-1/($Z$12:Z485=1),$A$12:A485),График[[Срок конец]:[Возврат основной суммы долга]],3,0)),
AND(S484=0,Первоначальный[[#This Row],[Дата платежа из графика]]="",Первоначальный[[#This Row],[Досрочное погашение (да/"")]]&lt;&gt;"Да"),0,
AND(S484=0,Первоначальный[[#This Row],[Досрочное погашение (да/"")]]=""),MIN(Первоначальный[[#This Row],[Полученный платеж]]+Y484-SUM(Первоначальный[[#This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комиссиям]]),VLOOKUP(LOOKUP(,-1/($Z$12:Z485=1),$A$12:A485),График[[Срок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платеж]]+Y484-SUM(Первоначальный[[#This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S484&gt;0,MIN(Первоначальный[[#This Row],[Полученный платеж]]+Y484-SUM(Первоначальный[[#This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комиссиям]]),SUM(INDIRECT("M"&amp;(MAX((1=S$12:S484)*ROW(S$12:S484),ROW($W$12))&amp;":M"&amp;(ROW()))))-SUM(INDIRECT("W"&amp;(MAX((1=S$12:S484)*ROW(S$12:S484),ROW($W$12))&amp;":W"&amp;(ROW()-1)))))
)
)</f>
        <v>0</v>
      </c>
      <c r="X485" s="55">
        <f t="shared" ca="1" si="86"/>
        <v>0</v>
      </c>
      <c r="Y485" s="101">
        <f t="shared" ca="1" si="93"/>
        <v>0</v>
      </c>
      <c r="Z485" s="133" t="str">
        <f>IF(TYPE((VLOOKUP(Первоначальный[[#This Row],[Дата платежа]],График[Срок конец],1,0)))=16,"",1)</f>
        <v/>
      </c>
      <c r="AA485" s="57"/>
      <c r="AB485" s="134"/>
      <c r="AC48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8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32878.929999999957</v>
      </c>
      <c r="AE48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637.63000000000113</v>
      </c>
      <c r="AF48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8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37534.269749180479</v>
      </c>
      <c r="AH485" s="55"/>
      <c r="AI485" s="55"/>
      <c r="AJ485" s="55"/>
      <c r="AK485" s="101">
        <f t="shared" ca="1" si="94"/>
        <v>220684.16974918044</v>
      </c>
      <c r="AL485" s="129">
        <f t="array" ref="AL485">MAX((УслРестрактов[Характеристика]="Дата реструктуризации")*(УслРестрактов[Значение]=Первоначальный!$A485),0)</f>
        <v>0</v>
      </c>
    </row>
    <row r="486" spans="1:38" x14ac:dyDescent="0.25">
      <c r="A486" s="97">
        <f t="shared" si="87"/>
        <v>44617</v>
      </c>
      <c r="B486" s="100">
        <f t="shared" ca="1" si="88"/>
        <v>149633.34</v>
      </c>
      <c r="C486" s="55">
        <f t="shared" ca="1" si="96"/>
        <v>32878.929999999957</v>
      </c>
      <c r="D486" s="55">
        <f t="shared" ca="1" si="96"/>
        <v>637.63000000000113</v>
      </c>
      <c r="E486" s="55">
        <f t="shared" ca="1" si="89"/>
        <v>0</v>
      </c>
      <c r="F486" s="55">
        <f t="shared" ca="1" si="90"/>
        <v>37534.269749180479</v>
      </c>
      <c r="G486" s="101">
        <f t="shared" ca="1" si="91"/>
        <v>220684.16974918044</v>
      </c>
      <c r="H486" s="100">
        <f ca="1">ROUND($B486*VLOOKUP($A486,$A$1:$B$10,2,1)/(365+IF(MOD(YEAR($A486),4),0,1)*($A486-$A485)),2)-Первоначальный[[#This Row],[Проценты на просроченный платеж по ОД за период]]</f>
        <v>78.34</v>
      </c>
      <c r="I486" s="55">
        <f t="shared" ca="1" si="92"/>
        <v>3.24</v>
      </c>
      <c r="J486" s="55">
        <v>0</v>
      </c>
      <c r="K486" s="55">
        <f t="shared" ca="1" si="95"/>
        <v>188.23850327868848</v>
      </c>
      <c r="L486" s="55">
        <v>0</v>
      </c>
      <c r="M486" s="113">
        <f>SUMIFS(График[Возврат основной суммы долга],График[Дата с учетом нерабочих дней],$A486)</f>
        <v>0</v>
      </c>
      <c r="N486" s="56">
        <f>SUMIFS(График[Возврат начисленных %],График[Дата с учетом нерабочих дней],$A486)</f>
        <v>0</v>
      </c>
      <c r="O486" s="101">
        <v>0</v>
      </c>
      <c r="P486" s="100" cm="1">
        <f t="array" aca="1" ref="P486" ca="1">MAX(IF(AA485="Да",0,SUM(INDIRECT("M"&amp;(MAX(("Да"=AA$12:AA485)*ROW(AA$12:AA485)+1,ROW($P$12))&amp;":M"&amp;(ROW()))))-SUM(INDIRECT("W"&amp;(MAX(("Да"=AA$12:AA485)*ROW(AA$12:AA485)+1,ROW($P$12))&amp;":W"&amp;(ROW()))))),0)</f>
        <v>5945.35</v>
      </c>
      <c r="Q486" s="99">
        <f ca="1">MAX(SUM($N$13:N486)-SUM($T$13:T486),0)</f>
        <v>31702.350655737697</v>
      </c>
      <c r="R486" s="99">
        <f ca="1">Первоначальный[[#This Row],[Просроченный платеж по ОД]]+Первоначальный[[#This Row],[Просроченный платеж по процентам]]</f>
        <v>37647.700655737695</v>
      </c>
      <c r="S486" s="120">
        <f ca="1">IF(Первоначальный[[#This Row],[Просроченный платеж]]&lt;1,0,S485+1)</f>
        <v>382</v>
      </c>
      <c r="T486" s="100" cm="1">
        <f t="array" aca="1" ref="T486" ca="1">IF(Первоначальный[[#This Row],[Итого остаток на начало периода]]&lt;1,0,
IF(
AND(TYPE(VLOOKUP(1,$Z$12:Z486,1,0))=16,Первоначальный[[#This Row],[Досрочное погашение (да/"")]]=""),0,
_xlfn.IFS(AND(S485=0,Первоначальный[[#This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платеж]]&lt;&gt;0),MIN(LOOKUP(,-1/($Z$12:Z486=1),$C$12:C486)+LOOKUP(,-1/($Z$12:Z486=1),$H$12:H486),Первоначальный[[#This Row],[Полученный платеж]]+Y485),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платеж]]+Y485,SUM(Первоначальный[[#This Row],[Остаток процентов на начало периода]],Первоначальный[[#This Row],[Проценты за период]])),
AND(S485=0,Первоначальный[[#This Row],[Дата платежа из графика]]=""),0,
AND(S485=0,Первоначальный[[#This Row],[Дата платежа из графика]]=1,MAX((0&lt;&gt;S$12:S485)*ROW(S$12:S485),ROW($S$12))&gt;=MAX((1=Z$12:Z485)*ROW(Z$12:Z485),ROW($T$12)),TYPE(VLOOKUP("Да",(INDIRECT("AA"&amp;(MAX((1=Z$12:Z485)*ROW(Z$12:Z485),ROW($T$12))&amp;":AA"&amp;(ROW()-1)))),1,0))=16),MIN(LOOKUP(,-1/($Z$12:Z486=1),$C$12:C486)+LOOKUP(,-1/($Z$12:Z486=1),$H$12:H486),Первоначальный[[#This Row],[Полученный платеж]]+Y485),
AND(S485=0,TYPE(VLOOKUP("Да",(INDIRECT("AA"&amp;(MAX((1=Z$12:Z485)*ROW(Z$12:Z485),ROW($T$12))&amp;":AA"&amp;(ROW()-1)))),1,0))&lt;&gt;16),MIN(LOOKUP(,-1/($Z$12:Z486=1),$C$12:C486)+LOOKUP(,-1/($Z$12:Z486=1),$H$12:H486)-IF(AA485="Да",0,SUM(INDIRECT("T"&amp;(MAX(("Да"=AA$12:AA485)*ROW(AA$12:AA485)+1,ROW($T$12))&amp;":T"&amp;(ROW()-1))))),Первоначальный[[#This Row],[Полученный платеж]]+Y485),
AND(S485=0,MAX((0&lt;&gt;N$12:N485)*ROW(N$12:N485),ROW($S$12))&gt;=MAX((1=Z$12:Z485)*ROW(Z$12:Z485),ROW($T$12))),MIN(LOOKUP(,-1/($Z$12:Z486=1),$C$12:C486)+LOOKUP(,-1/($Z$12:Z486=1),$H$12:H486)-IF(N485&lt;&gt;0,0,SUM(INDIRECT("T"&amp;(MAX((0&lt;&gt;N$12:N485)*ROW(N$12:N485)+1,ROW($T$12))&amp;":T"&amp;(ROW()-1))))),Первоначальный[[#This Row],[Полученный платеж]]+Y485),
AND(S485=0,Первоначальный[[#This Row],[Дата платежа из графика]]=1),MIN(LOOKUP(,-1/($Z$12:Z486=1),$C$12:C486)+LOOKUP(,-1/($Z$12:Z486=1),$H$12:H486)-IF(Z485=1,0,SUM(INDIRECT("T"&amp;(MAX((1=Z$12:Z485)*ROW(Z$12:Z485)+1,ROW($T$12))&amp;":T"&amp;(ROW()-1))))),Первоначальный[[#This Row],[Полученный платеж]]+Y485),
AND(Z485&gt;0,Первоначальный[[#This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платеж]]+Y485),
AND(S485&gt;0,MAX((0&lt;&gt;S$12:S485)*ROW(S$12:S485),ROW($S$12))&gt;=MAX((1=Z$12:Z485)*ROW(Z$12:Z485),ROW($T$12)),TYPE(VLOOKUP("Да",(INDIRECT("AA"&amp;(MAX((1=Z$12:Z485)*ROW(Z$12:Z485),ROW($T$12))&amp;":AA"&amp;(ROW()-1)))),1,0))=16),MIN(LOOKUP(,-1/($Z$12:Z486=1),$C$12:C486)+LOOKUP(,-1/($Z$12:Z486=1),$H$12:H486)-SUM(INDIRECT("T"&amp;(MAX((1=Z$12:Z485)*ROW(Z$12:Z485),ROW($T$12))&amp;":T"&amp;(ROW()-1)))),Первоначальный[[#This Row],[Полученный платеж]]+Y485),
S485&gt;0,MIN(LOOKUP(,-1/($Z$12:Z486=1),$C$12:C486)+LOOKUP(,-1/($Z$12:Z486=1),$H$12:H486)-IF(Z485=1,0,SUM(INDIRECT("T"&amp;(MAX((1=Z$12:Z485)*ROW(Z$12:Z485)+1,ROW($T$12))&amp;":T"&amp;(ROW()-1))))),Первоначальный[[#This Row],[Полученный платеж]]+Y485)
)
)
)</f>
        <v>0</v>
      </c>
      <c r="U48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платеж]]+Y485-Первоначальный[[#This Row],[Полученный платёж по процентам]])</f>
        <v>0</v>
      </c>
      <c r="V486" s="55">
        <f t="shared" ca="1" si="85"/>
        <v>0</v>
      </c>
      <c r="W486" s="55" cm="1">
        <f t="array" aca="1" ref="W486" ca="1">IF(Первоначальный[[#This Row],[Итого остаток на начало периода]]&lt;1,0,
_xlfn.IFS(
AND(TYPE(VLOOKUP(1,$Z$12:Z486,1,0))=16,Первоначальный[[#This Row],[Досрочное погашение (да/"")]]=""),0,
AND(S485=0,Первоначальный[[#This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платеж]]+Y485-SUM(Первоначальный[[#This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комиссиям]]),VLOOKUP(LOOKUP(,-1/($Z$12:Z486=1),$A$12:A486),График[[Срок конец]:[Возврат основной суммы долга]],3,0)),
AND(S485=0,Первоначальный[[#This Row],[Дата платежа из графика]]="",Первоначальный[[#This Row],[Досрочное погашение (да/"")]]&lt;&gt;"Да"),0,
AND(S485=0,Первоначальный[[#This Row],[Досрочное погашение (да/"")]]=""),MIN(Первоначальный[[#This Row],[Полученный платеж]]+Y485-SUM(Первоначальный[[#This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комиссиям]]),VLOOKUP(LOOKUP(,-1/($Z$12:Z486=1),$A$12:A486),График[[Срок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платеж]]+Y485-SUM(Первоначальный[[#This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S485&gt;0,MIN(Первоначальный[[#This Row],[Полученный платеж]]+Y485-SUM(Первоначальный[[#This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комиссиям]]),SUM(INDIRECT("M"&amp;(MAX((1=S$12:S485)*ROW(S$12:S485),ROW($W$12))&amp;":M"&amp;(ROW()))))-SUM(INDIRECT("W"&amp;(MAX((1=S$12:S485)*ROW(S$12:S485),ROW($W$12))&amp;":W"&amp;(ROW()-1)))))
)
)</f>
        <v>0</v>
      </c>
      <c r="X486" s="55">
        <f t="shared" ca="1" si="86"/>
        <v>0</v>
      </c>
      <c r="Y486" s="101">
        <f t="shared" ca="1" si="93"/>
        <v>0</v>
      </c>
      <c r="Z486" s="133" t="str">
        <f>IF(TYPE((VLOOKUP(Первоначальный[[#This Row],[Дата платежа]],График[Срок конец],1,0)))=16,"",1)</f>
        <v/>
      </c>
      <c r="AA486" s="57"/>
      <c r="AB486" s="134"/>
      <c r="AC48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8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32957.269999999953</v>
      </c>
      <c r="AE48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640.87000000000114</v>
      </c>
      <c r="AF48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8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37722.508252459171</v>
      </c>
      <c r="AH486" s="55"/>
      <c r="AI486" s="55"/>
      <c r="AJ486" s="55"/>
      <c r="AK486" s="101">
        <f t="shared" ca="1" si="94"/>
        <v>220953.98825245912</v>
      </c>
      <c r="AL486" s="129">
        <f t="array" ref="AL486">MAX((УслРестрактов[Характеристика]="Дата реструктуризации")*(УслРестрактов[Значение]=Первоначальный!$A486),0)</f>
        <v>0</v>
      </c>
    </row>
    <row r="487" spans="1:38" x14ac:dyDescent="0.25">
      <c r="A487" s="97">
        <f t="shared" si="87"/>
        <v>44618</v>
      </c>
      <c r="B487" s="100">
        <f t="shared" ca="1" si="88"/>
        <v>149633.34</v>
      </c>
      <c r="C487" s="55">
        <f t="shared" ca="1" si="96"/>
        <v>32957.269999999953</v>
      </c>
      <c r="D487" s="55">
        <f t="shared" ca="1" si="96"/>
        <v>640.87000000000114</v>
      </c>
      <c r="E487" s="55">
        <f t="shared" ca="1" si="89"/>
        <v>0</v>
      </c>
      <c r="F487" s="55">
        <f t="shared" ca="1" si="90"/>
        <v>37722.508252459171</v>
      </c>
      <c r="G487" s="101">
        <f t="shared" ca="1" si="91"/>
        <v>220953.98825245912</v>
      </c>
      <c r="H487" s="100">
        <f ca="1">ROUND($B487*VLOOKUP($A487,$A$1:$B$10,2,1)/(365+IF(MOD(YEAR($A487),4),0,1)*($A487-$A486)),2)-Первоначальный[[#This Row],[Проценты на просроченный платеж по ОД за период]]</f>
        <v>78.34</v>
      </c>
      <c r="I487" s="55">
        <f t="shared" ca="1" si="92"/>
        <v>3.24</v>
      </c>
      <c r="J487" s="55">
        <v>0</v>
      </c>
      <c r="K487" s="55">
        <f t="shared" ca="1" si="95"/>
        <v>188.23850327868848</v>
      </c>
      <c r="L487" s="55">
        <v>0</v>
      </c>
      <c r="M487" s="113">
        <f>SUMIFS(График[Возврат основной суммы долга],График[Дата с учетом нерабочих дней],$A487)</f>
        <v>0</v>
      </c>
      <c r="N487" s="56">
        <f>SUMIFS(График[Возврат начисленных %],График[Дата с учетом нерабочих дней],$A487)</f>
        <v>0</v>
      </c>
      <c r="O487" s="101">
        <v>0</v>
      </c>
      <c r="P487" s="100" cm="1">
        <f t="array" aca="1" ref="P487" ca="1">MAX(IF(AA486="Да",0,SUM(INDIRECT("M"&amp;(MAX(("Да"=AA$12:AA486)*ROW(AA$12:AA486)+1,ROW($P$12))&amp;":M"&amp;(ROW()))))-SUM(INDIRECT("W"&amp;(MAX(("Да"=AA$12:AA486)*ROW(AA$12:AA486)+1,ROW($P$12))&amp;":W"&amp;(ROW()))))),0)</f>
        <v>5945.35</v>
      </c>
      <c r="Q487" s="99">
        <f ca="1">MAX(SUM($N$13:N487)-SUM($T$13:T487),0)</f>
        <v>31702.350655737697</v>
      </c>
      <c r="R487" s="99">
        <f ca="1">Первоначальный[[#This Row],[Просроченный платеж по ОД]]+Первоначальный[[#This Row],[Просроченный платеж по процентам]]</f>
        <v>37647.700655737695</v>
      </c>
      <c r="S487" s="120">
        <f ca="1">IF(Первоначальный[[#This Row],[Просроченный платеж]]&lt;1,0,S486+1)</f>
        <v>383</v>
      </c>
      <c r="T487" s="100" cm="1">
        <f t="array" aca="1" ref="T487" ca="1">IF(Первоначальный[[#This Row],[Итого остаток на начало периода]]&lt;1,0,
IF(
AND(TYPE(VLOOKUP(1,$Z$12:Z487,1,0))=16,Первоначальный[[#This Row],[Досрочное погашение (да/"")]]=""),0,
_xlfn.IFS(AND(S486=0,Первоначальный[[#This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платеж]]&lt;&gt;0),MIN(LOOKUP(,-1/($Z$12:Z487=1),$C$12:C487)+LOOKUP(,-1/($Z$12:Z487=1),$H$12:H487),Первоначальный[[#This Row],[Полученный платеж]]+Y486),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платеж]]+Y486,SUM(Первоначальный[[#This Row],[Остаток процентов на начало периода]],Первоначальный[[#This Row],[Проценты за период]])),
AND(S486=0,Первоначальный[[#This Row],[Дата платежа из графика]]=""),0,
AND(S486=0,Первоначальный[[#This Row],[Дата платежа из графика]]=1,MAX((0&lt;&gt;S$12:S486)*ROW(S$12:S486),ROW($S$12))&gt;=MAX((1=Z$12:Z486)*ROW(Z$12:Z486),ROW($T$12)),TYPE(VLOOKUP("Да",(INDIRECT("AA"&amp;(MAX((1=Z$12:Z486)*ROW(Z$12:Z486),ROW($T$12))&amp;":AA"&amp;(ROW()-1)))),1,0))=16),MIN(LOOKUP(,-1/($Z$12:Z487=1),$C$12:C487)+LOOKUP(,-1/($Z$12:Z487=1),$H$12:H487),Первоначальный[[#This Row],[Полученный платеж]]+Y486),
AND(S486=0,TYPE(VLOOKUP("Да",(INDIRECT("AA"&amp;(MAX((1=Z$12:Z486)*ROW(Z$12:Z486),ROW($T$12))&amp;":AA"&amp;(ROW()-1)))),1,0))&lt;&gt;16),MIN(LOOKUP(,-1/($Z$12:Z487=1),$C$12:C487)+LOOKUP(,-1/($Z$12:Z487=1),$H$12:H487)-IF(AA486="Да",0,SUM(INDIRECT("T"&amp;(MAX(("Да"=AA$12:AA486)*ROW(AA$12:AA486)+1,ROW($T$12))&amp;":T"&amp;(ROW()-1))))),Первоначальный[[#This Row],[Полученный платеж]]+Y486),
AND(S486=0,MAX((0&lt;&gt;N$12:N486)*ROW(N$12:N486),ROW($S$12))&gt;=MAX((1=Z$12:Z486)*ROW(Z$12:Z486),ROW($T$12))),MIN(LOOKUP(,-1/($Z$12:Z487=1),$C$12:C487)+LOOKUP(,-1/($Z$12:Z487=1),$H$12:H487)-IF(N486&lt;&gt;0,0,SUM(INDIRECT("T"&amp;(MAX((0&lt;&gt;N$12:N486)*ROW(N$12:N486)+1,ROW($T$12))&amp;":T"&amp;(ROW()-1))))),Первоначальный[[#This Row],[Полученный платеж]]+Y486),
AND(S486=0,Первоначальный[[#This Row],[Дата платежа из графика]]=1),MIN(LOOKUP(,-1/($Z$12:Z487=1),$C$12:C487)+LOOKUP(,-1/($Z$12:Z487=1),$H$12:H487)-IF(Z486=1,0,SUM(INDIRECT("T"&amp;(MAX((1=Z$12:Z486)*ROW(Z$12:Z486)+1,ROW($T$12))&amp;":T"&amp;(ROW()-1))))),Первоначальный[[#This Row],[Полученный платеж]]+Y486),
AND(Z486&gt;0,Первоначальный[[#This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платеж]]+Y486),
AND(S486&gt;0,MAX((0&lt;&gt;S$12:S486)*ROW(S$12:S486),ROW($S$12))&gt;=MAX((1=Z$12:Z486)*ROW(Z$12:Z486),ROW($T$12)),TYPE(VLOOKUP("Да",(INDIRECT("AA"&amp;(MAX((1=Z$12:Z486)*ROW(Z$12:Z486),ROW($T$12))&amp;":AA"&amp;(ROW()-1)))),1,0))=16),MIN(LOOKUP(,-1/($Z$12:Z487=1),$C$12:C487)+LOOKUP(,-1/($Z$12:Z487=1),$H$12:H487)-SUM(INDIRECT("T"&amp;(MAX((1=Z$12:Z486)*ROW(Z$12:Z486),ROW($T$12))&amp;":T"&amp;(ROW()-1)))),Первоначальный[[#This Row],[Полученный платеж]]+Y486),
S486&gt;0,MIN(LOOKUP(,-1/($Z$12:Z487=1),$C$12:C487)+LOOKUP(,-1/($Z$12:Z487=1),$H$12:H487)-IF(Z486=1,0,SUM(INDIRECT("T"&amp;(MAX((1=Z$12:Z486)*ROW(Z$12:Z486)+1,ROW($T$12))&amp;":T"&amp;(ROW()-1))))),Первоначальный[[#This Row],[Полученный платеж]]+Y486)
)
)
)</f>
        <v>0</v>
      </c>
      <c r="U48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платеж]]+Y486-Первоначальный[[#This Row],[Полученный платёж по процентам]])</f>
        <v>0</v>
      </c>
      <c r="V487" s="55">
        <f t="shared" ca="1" si="85"/>
        <v>0</v>
      </c>
      <c r="W487" s="55" cm="1">
        <f t="array" aca="1" ref="W487" ca="1">IF(Первоначальный[[#This Row],[Итого остаток на начало периода]]&lt;1,0,
_xlfn.IFS(
AND(TYPE(VLOOKUP(1,$Z$12:Z487,1,0))=16,Первоначальный[[#This Row],[Досрочное погашение (да/"")]]=""),0,
AND(S486=0,Первоначальный[[#This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платеж]]+Y486-SUM(Первоначальный[[#This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комиссиям]]),VLOOKUP(LOOKUP(,-1/($Z$12:Z487=1),$A$12:A487),График[[Срок конец]:[Возврат основной суммы долга]],3,0)),
AND(S486=0,Первоначальный[[#This Row],[Дата платежа из графика]]="",Первоначальный[[#This Row],[Досрочное погашение (да/"")]]&lt;&gt;"Да"),0,
AND(S486=0,Первоначальный[[#This Row],[Досрочное погашение (да/"")]]=""),MIN(Первоначальный[[#This Row],[Полученный платеж]]+Y486-SUM(Первоначальный[[#This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комиссиям]]),VLOOKUP(LOOKUP(,-1/($Z$12:Z487=1),$A$12:A487),График[[Срок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платеж]]+Y486-SUM(Первоначальный[[#This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S486&gt;0,MIN(Первоначальный[[#This Row],[Полученный платеж]]+Y486-SUM(Первоначальный[[#This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комиссиям]]),SUM(INDIRECT("M"&amp;(MAX((1=S$12:S486)*ROW(S$12:S486),ROW($W$12))&amp;":M"&amp;(ROW()))))-SUM(INDIRECT("W"&amp;(MAX((1=S$12:S486)*ROW(S$12:S486),ROW($W$12))&amp;":W"&amp;(ROW()-1)))))
)
)</f>
        <v>0</v>
      </c>
      <c r="X487" s="55">
        <f t="shared" ca="1" si="86"/>
        <v>0</v>
      </c>
      <c r="Y487" s="101">
        <f t="shared" ca="1" si="93"/>
        <v>0</v>
      </c>
      <c r="Z487" s="133" t="str">
        <f>IF(TYPE((VLOOKUP(Первоначальный[[#This Row],[Дата платежа]],График[Срок конец],1,0)))=16,"",1)</f>
        <v/>
      </c>
      <c r="AA487" s="57"/>
      <c r="AB487" s="134"/>
      <c r="AC48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8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33035.60999999995</v>
      </c>
      <c r="AE48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644.11000000000115</v>
      </c>
      <c r="AF48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8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37910.746755737862</v>
      </c>
      <c r="AH487" s="55"/>
      <c r="AI487" s="55"/>
      <c r="AJ487" s="55"/>
      <c r="AK487" s="101">
        <f t="shared" ca="1" si="94"/>
        <v>221223.80675573784</v>
      </c>
      <c r="AL487" s="129">
        <f t="array" ref="AL487">MAX((УслРестрактов[Характеристика]="Дата реструктуризации")*(УслРестрактов[Значение]=Первоначальный!$A487),0)</f>
        <v>0</v>
      </c>
    </row>
    <row r="488" spans="1:38" x14ac:dyDescent="0.25">
      <c r="A488" s="97">
        <f t="shared" si="87"/>
        <v>44619</v>
      </c>
      <c r="B488" s="100">
        <f t="shared" ca="1" si="88"/>
        <v>149633.34</v>
      </c>
      <c r="C488" s="55">
        <f t="shared" ca="1" si="96"/>
        <v>33035.60999999995</v>
      </c>
      <c r="D488" s="55">
        <f t="shared" ca="1" si="96"/>
        <v>644.11000000000115</v>
      </c>
      <c r="E488" s="55">
        <f t="shared" ca="1" si="89"/>
        <v>0</v>
      </c>
      <c r="F488" s="55">
        <f t="shared" ca="1" si="90"/>
        <v>37910.746755737862</v>
      </c>
      <c r="G488" s="101">
        <f t="shared" ca="1" si="91"/>
        <v>221223.80675573784</v>
      </c>
      <c r="H488" s="100">
        <f ca="1">ROUND($B488*VLOOKUP($A488,$A$1:$B$10,2,1)/(365+IF(MOD(YEAR($A488),4),0,1)*($A488-$A487)),2)-Первоначальный[[#This Row],[Проценты на просроченный платеж по ОД за период]]</f>
        <v>78.34</v>
      </c>
      <c r="I488" s="55">
        <f t="shared" ca="1" si="92"/>
        <v>3.24</v>
      </c>
      <c r="J488" s="55">
        <v>0</v>
      </c>
      <c r="K488" s="55">
        <f t="shared" ca="1" si="95"/>
        <v>188.23850327868848</v>
      </c>
      <c r="L488" s="55">
        <v>0</v>
      </c>
      <c r="M488" s="113">
        <f>SUMIFS(График[Возврат основной суммы долга],График[Дата с учетом нерабочих дней],$A488)</f>
        <v>0</v>
      </c>
      <c r="N488" s="56">
        <f>SUMIFS(График[Возврат начисленных %],График[Дата с учетом нерабочих дней],$A488)</f>
        <v>0</v>
      </c>
      <c r="O488" s="101">
        <v>0</v>
      </c>
      <c r="P488" s="100" cm="1">
        <f t="array" aca="1" ref="P488" ca="1">MAX(IF(AA487="Да",0,SUM(INDIRECT("M"&amp;(MAX(("Да"=AA$12:AA487)*ROW(AA$12:AA487)+1,ROW($P$12))&amp;":M"&amp;(ROW()))))-SUM(INDIRECT("W"&amp;(MAX(("Да"=AA$12:AA487)*ROW(AA$12:AA487)+1,ROW($P$12))&amp;":W"&amp;(ROW()))))),0)</f>
        <v>5945.35</v>
      </c>
      <c r="Q488" s="99">
        <f ca="1">MAX(SUM($N$13:N488)-SUM($T$13:T488),0)</f>
        <v>31702.350655737697</v>
      </c>
      <c r="R488" s="99">
        <f ca="1">Первоначальный[[#This Row],[Просроченный платеж по ОД]]+Первоначальный[[#This Row],[Просроченный платеж по процентам]]</f>
        <v>37647.700655737695</v>
      </c>
      <c r="S488" s="120">
        <f ca="1">IF(Первоначальный[[#This Row],[Просроченный платеж]]&lt;1,0,S487+1)</f>
        <v>384</v>
      </c>
      <c r="T488" s="100" cm="1">
        <f t="array" aca="1" ref="T488" ca="1">IF(Первоначальный[[#This Row],[Итого остаток на начало периода]]&lt;1,0,
IF(
AND(TYPE(VLOOKUP(1,$Z$12:Z488,1,0))=16,Первоначальный[[#This Row],[Досрочное погашение (да/"")]]=""),0,
_xlfn.IFS(AND(S487=0,Первоначальный[[#This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платеж]]&lt;&gt;0),MIN(LOOKUP(,-1/($Z$12:Z488=1),$C$12:C488)+LOOKUP(,-1/($Z$12:Z488=1),$H$12:H488),Первоначальный[[#This Row],[Полученный платеж]]+Y487),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платеж]]+Y487,SUM(Первоначальный[[#This Row],[Остаток процентов на начало периода]],Первоначальный[[#This Row],[Проценты за период]])),
AND(S487=0,Первоначальный[[#This Row],[Дата платежа из графика]]=""),0,
AND(S487=0,Первоначальный[[#This Row],[Дата платежа из графика]]=1,MAX((0&lt;&gt;S$12:S487)*ROW(S$12:S487),ROW($S$12))&gt;=MAX((1=Z$12:Z487)*ROW(Z$12:Z487),ROW($T$12)),TYPE(VLOOKUP("Да",(INDIRECT("AA"&amp;(MAX((1=Z$12:Z487)*ROW(Z$12:Z487),ROW($T$12))&amp;":AA"&amp;(ROW()-1)))),1,0))=16),MIN(LOOKUP(,-1/($Z$12:Z488=1),$C$12:C488)+LOOKUP(,-1/($Z$12:Z488=1),$H$12:H488),Первоначальный[[#This Row],[Полученный платеж]]+Y487),
AND(S487=0,TYPE(VLOOKUP("Да",(INDIRECT("AA"&amp;(MAX((1=Z$12:Z487)*ROW(Z$12:Z487),ROW($T$12))&amp;":AA"&amp;(ROW()-1)))),1,0))&lt;&gt;16),MIN(LOOKUP(,-1/($Z$12:Z488=1),$C$12:C488)+LOOKUP(,-1/($Z$12:Z488=1),$H$12:H488)-IF(AA487="Да",0,SUM(INDIRECT("T"&amp;(MAX(("Да"=AA$12:AA487)*ROW(AA$12:AA487)+1,ROW($T$12))&amp;":T"&amp;(ROW()-1))))),Первоначальный[[#This Row],[Полученный платеж]]+Y487),
AND(S487=0,MAX((0&lt;&gt;N$12:N487)*ROW(N$12:N487),ROW($S$12))&gt;=MAX((1=Z$12:Z487)*ROW(Z$12:Z487),ROW($T$12))),MIN(LOOKUP(,-1/($Z$12:Z488=1),$C$12:C488)+LOOKUP(,-1/($Z$12:Z488=1),$H$12:H488)-IF(N487&lt;&gt;0,0,SUM(INDIRECT("T"&amp;(MAX((0&lt;&gt;N$12:N487)*ROW(N$12:N487)+1,ROW($T$12))&amp;":T"&amp;(ROW()-1))))),Первоначальный[[#This Row],[Полученный платеж]]+Y487),
AND(S487=0,Первоначальный[[#This Row],[Дата платежа из графика]]=1),MIN(LOOKUP(,-1/($Z$12:Z488=1),$C$12:C488)+LOOKUP(,-1/($Z$12:Z488=1),$H$12:H488)-IF(Z487=1,0,SUM(INDIRECT("T"&amp;(MAX((1=Z$12:Z487)*ROW(Z$12:Z487)+1,ROW($T$12))&amp;":T"&amp;(ROW()-1))))),Первоначальный[[#This Row],[Полученный платеж]]+Y487),
AND(Z487&gt;0,Первоначальный[[#This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платеж]]+Y487),
AND(S487&gt;0,MAX((0&lt;&gt;S$12:S487)*ROW(S$12:S487),ROW($S$12))&gt;=MAX((1=Z$12:Z487)*ROW(Z$12:Z487),ROW($T$12)),TYPE(VLOOKUP("Да",(INDIRECT("AA"&amp;(MAX((1=Z$12:Z487)*ROW(Z$12:Z487),ROW($T$12))&amp;":AA"&amp;(ROW()-1)))),1,0))=16),MIN(LOOKUP(,-1/($Z$12:Z488=1),$C$12:C488)+LOOKUP(,-1/($Z$12:Z488=1),$H$12:H488)-SUM(INDIRECT("T"&amp;(MAX((1=Z$12:Z487)*ROW(Z$12:Z487),ROW($T$12))&amp;":T"&amp;(ROW()-1)))),Первоначальный[[#This Row],[Полученный платеж]]+Y487),
S487&gt;0,MIN(LOOKUP(,-1/($Z$12:Z488=1),$C$12:C488)+LOOKUP(,-1/($Z$12:Z488=1),$H$12:H488)-IF(Z487=1,0,SUM(INDIRECT("T"&amp;(MAX((1=Z$12:Z487)*ROW(Z$12:Z487)+1,ROW($T$12))&amp;":T"&amp;(ROW()-1))))),Первоначальный[[#This Row],[Полученный платеж]]+Y487)
)
)
)</f>
        <v>0</v>
      </c>
      <c r="U48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платеж]]+Y487-Первоначальный[[#This Row],[Полученный платёж по процентам]])</f>
        <v>0</v>
      </c>
      <c r="V488" s="55">
        <f t="shared" ca="1" si="85"/>
        <v>0</v>
      </c>
      <c r="W488" s="55" cm="1">
        <f t="array" aca="1" ref="W488" ca="1">IF(Первоначальный[[#This Row],[Итого остаток на начало периода]]&lt;1,0,
_xlfn.IFS(
AND(TYPE(VLOOKUP(1,$Z$12:Z488,1,0))=16,Первоначальный[[#This Row],[Досрочное погашение (да/"")]]=""),0,
AND(S487=0,Первоначальный[[#This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платеж]]+Y487-SUM(Первоначальный[[#This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комиссиям]]),VLOOKUP(LOOKUP(,-1/($Z$12:Z488=1),$A$12:A488),График[[Срок конец]:[Возврат основной суммы долга]],3,0)),
AND(S487=0,Первоначальный[[#This Row],[Дата платежа из графика]]="",Первоначальный[[#This Row],[Досрочное погашение (да/"")]]&lt;&gt;"Да"),0,
AND(S487=0,Первоначальный[[#This Row],[Досрочное погашение (да/"")]]=""),MIN(Первоначальный[[#This Row],[Полученный платеж]]+Y487-SUM(Первоначальный[[#This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комиссиям]]),VLOOKUP(LOOKUP(,-1/($Z$12:Z488=1),$A$12:A488),График[[Срок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платеж]]+Y487-SUM(Первоначальный[[#This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S487&gt;0,MIN(Первоначальный[[#This Row],[Полученный платеж]]+Y487-SUM(Первоначальный[[#This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комиссиям]]),SUM(INDIRECT("M"&amp;(MAX((1=S$12:S487)*ROW(S$12:S487),ROW($W$12))&amp;":M"&amp;(ROW()))))-SUM(INDIRECT("W"&amp;(MAX((1=S$12:S487)*ROW(S$12:S487),ROW($W$12))&amp;":W"&amp;(ROW()-1)))))
)
)</f>
        <v>0</v>
      </c>
      <c r="X488" s="55">
        <f t="shared" ca="1" si="86"/>
        <v>0</v>
      </c>
      <c r="Y488" s="101">
        <f t="shared" ca="1" si="93"/>
        <v>0</v>
      </c>
      <c r="Z488" s="133" t="str">
        <f>IF(TYPE((VLOOKUP(Первоначальный[[#This Row],[Дата платежа]],График[Срок конец],1,0)))=16,"",1)</f>
        <v/>
      </c>
      <c r="AA488" s="57"/>
      <c r="AB488" s="134"/>
      <c r="AC48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8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33113.949999999946</v>
      </c>
      <c r="AE48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647.35000000000116</v>
      </c>
      <c r="AF48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8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38098.985259016554</v>
      </c>
      <c r="AH488" s="55"/>
      <c r="AI488" s="55"/>
      <c r="AJ488" s="55"/>
      <c r="AK488" s="101">
        <f t="shared" ca="1" si="94"/>
        <v>221493.62525901652</v>
      </c>
      <c r="AL488" s="129">
        <f t="array" ref="AL488">MAX((УслРестрактов[Характеристика]="Дата реструктуризации")*(УслРестрактов[Значение]=Первоначальный!$A488),0)</f>
        <v>0</v>
      </c>
    </row>
    <row r="489" spans="1:38" x14ac:dyDescent="0.25">
      <c r="A489" s="97">
        <f t="shared" si="87"/>
        <v>44620</v>
      </c>
      <c r="B489" s="100">
        <f t="shared" ca="1" si="88"/>
        <v>149633.34</v>
      </c>
      <c r="C489" s="55">
        <f t="shared" ca="1" si="96"/>
        <v>33113.949999999946</v>
      </c>
      <c r="D489" s="55">
        <f t="shared" ca="1" si="96"/>
        <v>647.35000000000116</v>
      </c>
      <c r="E489" s="55">
        <f t="shared" ca="1" si="89"/>
        <v>0</v>
      </c>
      <c r="F489" s="55">
        <f t="shared" ca="1" si="90"/>
        <v>38098.985259016554</v>
      </c>
      <c r="G489" s="101">
        <f t="shared" ca="1" si="91"/>
        <v>221493.62525901652</v>
      </c>
      <c r="H489" s="100">
        <f ca="1">ROUND($B489*VLOOKUP($A489,$A$1:$B$10,2,1)/(365+IF(MOD(YEAR($A489),4),0,1)*($A489-$A488)),2)-Первоначальный[[#This Row],[Проценты на просроченный платеж по ОД за период]]</f>
        <v>78.34</v>
      </c>
      <c r="I489" s="55">
        <f t="shared" ca="1" si="92"/>
        <v>3.24</v>
      </c>
      <c r="J489" s="55">
        <v>0</v>
      </c>
      <c r="K489" s="55">
        <f t="shared" ca="1" si="95"/>
        <v>188.23850327868848</v>
      </c>
      <c r="L489" s="55">
        <v>0</v>
      </c>
      <c r="M489" s="113">
        <f>SUMIFS(График[Возврат основной суммы долга],График[Дата с учетом нерабочих дней],$A489)</f>
        <v>0</v>
      </c>
      <c r="N489" s="56">
        <f>SUMIFS(График[Возврат начисленных %],График[Дата с учетом нерабочих дней],$A489)</f>
        <v>0</v>
      </c>
      <c r="O489" s="101">
        <v>0</v>
      </c>
      <c r="P489" s="100" cm="1">
        <f t="array" aca="1" ref="P489" ca="1">MAX(IF(AA488="Да",0,SUM(INDIRECT("M"&amp;(MAX(("Да"=AA$12:AA488)*ROW(AA$12:AA488)+1,ROW($P$12))&amp;":M"&amp;(ROW()))))-SUM(INDIRECT("W"&amp;(MAX(("Да"=AA$12:AA488)*ROW(AA$12:AA488)+1,ROW($P$12))&amp;":W"&amp;(ROW()))))),0)</f>
        <v>5945.35</v>
      </c>
      <c r="Q489" s="99">
        <f ca="1">MAX(SUM($N$13:N489)-SUM($T$13:T489),0)</f>
        <v>31702.350655737697</v>
      </c>
      <c r="R489" s="99">
        <f ca="1">Первоначальный[[#This Row],[Просроченный платеж по ОД]]+Первоначальный[[#This Row],[Просроченный платеж по процентам]]</f>
        <v>37647.700655737695</v>
      </c>
      <c r="S489" s="120">
        <f ca="1">IF(Первоначальный[[#This Row],[Просроченный платеж]]&lt;1,0,S488+1)</f>
        <v>385</v>
      </c>
      <c r="T489" s="100" cm="1">
        <f t="array" aca="1" ref="T489" ca="1">IF(Первоначальный[[#This Row],[Итого остаток на начало периода]]&lt;1,0,
IF(
AND(TYPE(VLOOKUP(1,$Z$12:Z489,1,0))=16,Первоначальный[[#This Row],[Досрочное погашение (да/"")]]=""),0,
_xlfn.IFS(AND(S488=0,Первоначальный[[#This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платеж]]&lt;&gt;0),MIN(LOOKUP(,-1/($Z$12:Z489=1),$C$12:C489)+LOOKUP(,-1/($Z$12:Z489=1),$H$12:H489),Первоначальный[[#This Row],[Полученный платеж]]+Y488),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платеж]]+Y488,SUM(Первоначальный[[#This Row],[Остаток процентов на начало периода]],Первоначальный[[#This Row],[Проценты за период]])),
AND(S488=0,Первоначальный[[#This Row],[Дата платежа из графика]]=""),0,
AND(S488=0,Первоначальный[[#This Row],[Дата платежа из графика]]=1,MAX((0&lt;&gt;S$12:S488)*ROW(S$12:S488),ROW($S$12))&gt;=MAX((1=Z$12:Z488)*ROW(Z$12:Z488),ROW($T$12)),TYPE(VLOOKUP("Да",(INDIRECT("AA"&amp;(MAX((1=Z$12:Z488)*ROW(Z$12:Z488),ROW($T$12))&amp;":AA"&amp;(ROW()-1)))),1,0))=16),MIN(LOOKUP(,-1/($Z$12:Z489=1),$C$12:C489)+LOOKUP(,-1/($Z$12:Z489=1),$H$12:H489),Первоначальный[[#This Row],[Полученный платеж]]+Y488),
AND(S488=0,TYPE(VLOOKUP("Да",(INDIRECT("AA"&amp;(MAX((1=Z$12:Z488)*ROW(Z$12:Z488),ROW($T$12))&amp;":AA"&amp;(ROW()-1)))),1,0))&lt;&gt;16),MIN(LOOKUP(,-1/($Z$12:Z489=1),$C$12:C489)+LOOKUP(,-1/($Z$12:Z489=1),$H$12:H489)-IF(AA488="Да",0,SUM(INDIRECT("T"&amp;(MAX(("Да"=AA$12:AA488)*ROW(AA$12:AA488)+1,ROW($T$12))&amp;":T"&amp;(ROW()-1))))),Первоначальный[[#This Row],[Полученный платеж]]+Y488),
AND(S488=0,MAX((0&lt;&gt;N$12:N488)*ROW(N$12:N488),ROW($S$12))&gt;=MAX((1=Z$12:Z488)*ROW(Z$12:Z488),ROW($T$12))),MIN(LOOKUP(,-1/($Z$12:Z489=1),$C$12:C489)+LOOKUP(,-1/($Z$12:Z489=1),$H$12:H489)-IF(N488&lt;&gt;0,0,SUM(INDIRECT("T"&amp;(MAX((0&lt;&gt;N$12:N488)*ROW(N$12:N488)+1,ROW($T$12))&amp;":T"&amp;(ROW()-1))))),Первоначальный[[#This Row],[Полученный платеж]]+Y488),
AND(S488=0,Первоначальный[[#This Row],[Дата платежа из графика]]=1),MIN(LOOKUP(,-1/($Z$12:Z489=1),$C$12:C489)+LOOKUP(,-1/($Z$12:Z489=1),$H$12:H489)-IF(Z488=1,0,SUM(INDIRECT("T"&amp;(MAX((1=Z$12:Z488)*ROW(Z$12:Z488)+1,ROW($T$12))&amp;":T"&amp;(ROW()-1))))),Первоначальный[[#This Row],[Полученный платеж]]+Y488),
AND(Z488&gt;0,Первоначальный[[#This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платеж]]+Y488),
AND(S488&gt;0,MAX((0&lt;&gt;S$12:S488)*ROW(S$12:S488),ROW($S$12))&gt;=MAX((1=Z$12:Z488)*ROW(Z$12:Z488),ROW($T$12)),TYPE(VLOOKUP("Да",(INDIRECT("AA"&amp;(MAX((1=Z$12:Z488)*ROW(Z$12:Z488),ROW($T$12))&amp;":AA"&amp;(ROW()-1)))),1,0))=16),MIN(LOOKUP(,-1/($Z$12:Z489=1),$C$12:C489)+LOOKUP(,-1/($Z$12:Z489=1),$H$12:H489)-SUM(INDIRECT("T"&amp;(MAX((1=Z$12:Z488)*ROW(Z$12:Z488),ROW($T$12))&amp;":T"&amp;(ROW()-1)))),Первоначальный[[#This Row],[Полученный платеж]]+Y488),
S488&gt;0,MIN(LOOKUP(,-1/($Z$12:Z489=1),$C$12:C489)+LOOKUP(,-1/($Z$12:Z489=1),$H$12:H489)-IF(Z488=1,0,SUM(INDIRECT("T"&amp;(MAX((1=Z$12:Z488)*ROW(Z$12:Z488)+1,ROW($T$12))&amp;":T"&amp;(ROW()-1))))),Первоначальный[[#This Row],[Полученный платеж]]+Y488)
)
)
)</f>
        <v>0</v>
      </c>
      <c r="U48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платеж]]+Y488-Первоначальный[[#This Row],[Полученный платёж по процентам]])</f>
        <v>0</v>
      </c>
      <c r="V489" s="55">
        <f t="shared" ca="1" si="85"/>
        <v>0</v>
      </c>
      <c r="W489" s="55" cm="1">
        <f t="array" aca="1" ref="W489" ca="1">IF(Первоначальный[[#This Row],[Итого остаток на начало периода]]&lt;1,0,
_xlfn.IFS(
AND(TYPE(VLOOKUP(1,$Z$12:Z489,1,0))=16,Первоначальный[[#This Row],[Досрочное погашение (да/"")]]=""),0,
AND(S488=0,Первоначальный[[#This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платеж]]+Y488-SUM(Первоначальный[[#This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комиссиям]]),VLOOKUP(LOOKUP(,-1/($Z$12:Z489=1),$A$12:A489),График[[Срок конец]:[Возврат основной суммы долга]],3,0)),
AND(S488=0,Первоначальный[[#This Row],[Дата платежа из графика]]="",Первоначальный[[#This Row],[Досрочное погашение (да/"")]]&lt;&gt;"Да"),0,
AND(S488=0,Первоначальный[[#This Row],[Досрочное погашение (да/"")]]=""),MIN(Первоначальный[[#This Row],[Полученный платеж]]+Y488-SUM(Первоначальный[[#This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комиссиям]]),VLOOKUP(LOOKUP(,-1/($Z$12:Z489=1),$A$12:A489),График[[Срок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платеж]]+Y488-SUM(Первоначальный[[#This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S488&gt;0,MIN(Первоначальный[[#This Row],[Полученный платеж]]+Y488-SUM(Первоначальный[[#This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комиссиям]]),SUM(INDIRECT("M"&amp;(MAX((1=S$12:S488)*ROW(S$12:S488),ROW($W$12))&amp;":M"&amp;(ROW()))))-SUM(INDIRECT("W"&amp;(MAX((1=S$12:S488)*ROW(S$12:S488),ROW($W$12))&amp;":W"&amp;(ROW()-1)))))
)
)</f>
        <v>0</v>
      </c>
      <c r="X489" s="55">
        <f t="shared" ca="1" si="86"/>
        <v>0</v>
      </c>
      <c r="Y489" s="101">
        <f t="shared" ca="1" si="93"/>
        <v>0</v>
      </c>
      <c r="Z489" s="133" t="str">
        <f>IF(TYPE((VLOOKUP(Первоначальный[[#This Row],[Дата платежа]],График[Срок конец],1,0)))=16,"",1)</f>
        <v/>
      </c>
      <c r="AA489" s="57"/>
      <c r="AB489" s="134"/>
      <c r="AC48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8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33192.289999999943</v>
      </c>
      <c r="AE48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650.59000000000117</v>
      </c>
      <c r="AF48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8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38287.223762295245</v>
      </c>
      <c r="AH489" s="55"/>
      <c r="AI489" s="55"/>
      <c r="AJ489" s="55"/>
      <c r="AK489" s="101">
        <f t="shared" ca="1" si="94"/>
        <v>221763.44376229518</v>
      </c>
      <c r="AL489" s="129">
        <f t="array" ref="AL489">MAX((УслРестрактов[Характеристика]="Дата реструктуризации")*(УслРестрактов[Значение]=Первоначальный!$A489),0)</f>
        <v>0</v>
      </c>
    </row>
    <row r="490" spans="1:38" x14ac:dyDescent="0.25">
      <c r="A490" s="97">
        <f t="shared" si="87"/>
        <v>44621</v>
      </c>
      <c r="B490" s="100">
        <f t="shared" ca="1" si="88"/>
        <v>149633.34</v>
      </c>
      <c r="C490" s="55">
        <f t="shared" ca="1" si="96"/>
        <v>33192.289999999943</v>
      </c>
      <c r="D490" s="55">
        <f t="shared" ca="1" si="96"/>
        <v>650.59000000000117</v>
      </c>
      <c r="E490" s="55">
        <f t="shared" ca="1" si="89"/>
        <v>0</v>
      </c>
      <c r="F490" s="55">
        <f t="shared" ca="1" si="90"/>
        <v>38287.223762295245</v>
      </c>
      <c r="G490" s="101">
        <f t="shared" ca="1" si="91"/>
        <v>221763.44376229518</v>
      </c>
      <c r="H490" s="100">
        <f ca="1">ROUND($B490*VLOOKUP($A490,$A$1:$B$10,2,1)/(365+IF(MOD(YEAR($A490),4),0,1)*($A490-$A489)),2)-Первоначальный[[#This Row],[Проценты на просроченный платеж по ОД за период]]</f>
        <v>78.34</v>
      </c>
      <c r="I490" s="55">
        <f t="shared" ca="1" si="92"/>
        <v>3.24</v>
      </c>
      <c r="J490" s="55">
        <v>0</v>
      </c>
      <c r="K490" s="55">
        <f t="shared" ca="1" si="95"/>
        <v>188.23850327868848</v>
      </c>
      <c r="L490" s="55">
        <v>0</v>
      </c>
      <c r="M490" s="113">
        <f>SUMIFS(График[Возврат основной суммы долга],График[Дата с учетом нерабочих дней],$A490)</f>
        <v>0</v>
      </c>
      <c r="N490" s="56">
        <f>SUMIFS(График[Возврат начисленных %],График[Дата с учетом нерабочих дней],$A490)</f>
        <v>0</v>
      </c>
      <c r="O490" s="101">
        <v>0</v>
      </c>
      <c r="P490" s="100" cm="1">
        <f t="array" aca="1" ref="P490" ca="1">MAX(IF(AA489="Да",0,SUM(INDIRECT("M"&amp;(MAX(("Да"=AA$12:AA489)*ROW(AA$12:AA489)+1,ROW($P$12))&amp;":M"&amp;(ROW()))))-SUM(INDIRECT("W"&amp;(MAX(("Да"=AA$12:AA489)*ROW(AA$12:AA489)+1,ROW($P$12))&amp;":W"&amp;(ROW()))))),0)</f>
        <v>5945.35</v>
      </c>
      <c r="Q490" s="99">
        <f ca="1">MAX(SUM($N$13:N490)-SUM($T$13:T490),0)</f>
        <v>31702.350655737697</v>
      </c>
      <c r="R490" s="99">
        <f ca="1">Первоначальный[[#This Row],[Просроченный платеж по ОД]]+Первоначальный[[#This Row],[Просроченный платеж по процентам]]</f>
        <v>37647.700655737695</v>
      </c>
      <c r="S490" s="120">
        <f ca="1">IF(Первоначальный[[#This Row],[Просроченный платеж]]&lt;1,0,S489+1)</f>
        <v>386</v>
      </c>
      <c r="T490" s="100" cm="1">
        <f t="array" aca="1" ref="T490" ca="1">IF(Первоначальный[[#This Row],[Итого остаток на начало периода]]&lt;1,0,
IF(
AND(TYPE(VLOOKUP(1,$Z$12:Z490,1,0))=16,Первоначальный[[#This Row],[Досрочное погашение (да/"")]]=""),0,
_xlfn.IFS(AND(S489=0,Первоначальный[[#This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платеж]]&lt;&gt;0),MIN(LOOKUP(,-1/($Z$12:Z490=1),$C$12:C490)+LOOKUP(,-1/($Z$12:Z490=1),$H$12:H490),Первоначальный[[#This Row],[Полученный платеж]]+Y489),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платеж]]+Y489,SUM(Первоначальный[[#This Row],[Остаток процентов на начало периода]],Первоначальный[[#This Row],[Проценты за период]])),
AND(S489=0,Первоначальный[[#This Row],[Дата платежа из графика]]=""),0,
AND(S489=0,Первоначальный[[#This Row],[Дата платежа из графика]]=1,MAX((0&lt;&gt;S$12:S489)*ROW(S$12:S489),ROW($S$12))&gt;=MAX((1=Z$12:Z489)*ROW(Z$12:Z489),ROW($T$12)),TYPE(VLOOKUP("Да",(INDIRECT("AA"&amp;(MAX((1=Z$12:Z489)*ROW(Z$12:Z489),ROW($T$12))&amp;":AA"&amp;(ROW()-1)))),1,0))=16),MIN(LOOKUP(,-1/($Z$12:Z490=1),$C$12:C490)+LOOKUP(,-1/($Z$12:Z490=1),$H$12:H490),Первоначальный[[#This Row],[Полученный платеж]]+Y489),
AND(S489=0,TYPE(VLOOKUP("Да",(INDIRECT("AA"&amp;(MAX((1=Z$12:Z489)*ROW(Z$12:Z489),ROW($T$12))&amp;":AA"&amp;(ROW()-1)))),1,0))&lt;&gt;16),MIN(LOOKUP(,-1/($Z$12:Z490=1),$C$12:C490)+LOOKUP(,-1/($Z$12:Z490=1),$H$12:H490)-IF(AA489="Да",0,SUM(INDIRECT("T"&amp;(MAX(("Да"=AA$12:AA489)*ROW(AA$12:AA489)+1,ROW($T$12))&amp;":T"&amp;(ROW()-1))))),Первоначальный[[#This Row],[Полученный платеж]]+Y489),
AND(S489=0,MAX((0&lt;&gt;N$12:N489)*ROW(N$12:N489),ROW($S$12))&gt;=MAX((1=Z$12:Z489)*ROW(Z$12:Z489),ROW($T$12))),MIN(LOOKUP(,-1/($Z$12:Z490=1),$C$12:C490)+LOOKUP(,-1/($Z$12:Z490=1),$H$12:H490)-IF(N489&lt;&gt;0,0,SUM(INDIRECT("T"&amp;(MAX((0&lt;&gt;N$12:N489)*ROW(N$12:N489)+1,ROW($T$12))&amp;":T"&amp;(ROW()-1))))),Первоначальный[[#This Row],[Полученный платеж]]+Y489),
AND(S489=0,Первоначальный[[#This Row],[Дата платежа из графика]]=1),MIN(LOOKUP(,-1/($Z$12:Z490=1),$C$12:C490)+LOOKUP(,-1/($Z$12:Z490=1),$H$12:H490)-IF(Z489=1,0,SUM(INDIRECT("T"&amp;(MAX((1=Z$12:Z489)*ROW(Z$12:Z489)+1,ROW($T$12))&amp;":T"&amp;(ROW()-1))))),Первоначальный[[#This Row],[Полученный платеж]]+Y489),
AND(Z489&gt;0,Первоначальный[[#This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платеж]]+Y489),
AND(S489&gt;0,MAX((0&lt;&gt;S$12:S489)*ROW(S$12:S489),ROW($S$12))&gt;=MAX((1=Z$12:Z489)*ROW(Z$12:Z489),ROW($T$12)),TYPE(VLOOKUP("Да",(INDIRECT("AA"&amp;(MAX((1=Z$12:Z489)*ROW(Z$12:Z489),ROW($T$12))&amp;":AA"&amp;(ROW()-1)))),1,0))=16),MIN(LOOKUP(,-1/($Z$12:Z490=1),$C$12:C490)+LOOKUP(,-1/($Z$12:Z490=1),$H$12:H490)-SUM(INDIRECT("T"&amp;(MAX((1=Z$12:Z489)*ROW(Z$12:Z489),ROW($T$12))&amp;":T"&amp;(ROW()-1)))),Первоначальный[[#This Row],[Полученный платеж]]+Y489),
S489&gt;0,MIN(LOOKUP(,-1/($Z$12:Z490=1),$C$12:C490)+LOOKUP(,-1/($Z$12:Z490=1),$H$12:H490)-IF(Z489=1,0,SUM(INDIRECT("T"&amp;(MAX((1=Z$12:Z489)*ROW(Z$12:Z489)+1,ROW($T$12))&amp;":T"&amp;(ROW()-1))))),Первоначальный[[#This Row],[Полученный платеж]]+Y489)
)
)
)</f>
        <v>0</v>
      </c>
      <c r="U49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платеж]]+Y489-Первоначальный[[#This Row],[Полученный платёж по процентам]])</f>
        <v>0</v>
      </c>
      <c r="V490" s="55">
        <f t="shared" ca="1" si="85"/>
        <v>0</v>
      </c>
      <c r="W490" s="55" cm="1">
        <f t="array" aca="1" ref="W490" ca="1">IF(Первоначальный[[#This Row],[Итого остаток на начало периода]]&lt;1,0,
_xlfn.IFS(
AND(TYPE(VLOOKUP(1,$Z$12:Z490,1,0))=16,Первоначальный[[#This Row],[Досрочное погашение (да/"")]]=""),0,
AND(S489=0,Первоначальный[[#This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платеж]]+Y489-SUM(Первоначальный[[#This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комиссиям]]),VLOOKUP(LOOKUP(,-1/($Z$12:Z490=1),$A$12:A490),График[[Срок конец]:[Возврат основной суммы долга]],3,0)),
AND(S489=0,Первоначальный[[#This Row],[Дата платежа из графика]]="",Первоначальный[[#This Row],[Досрочное погашение (да/"")]]&lt;&gt;"Да"),0,
AND(S489=0,Первоначальный[[#This Row],[Досрочное погашение (да/"")]]=""),MIN(Первоначальный[[#This Row],[Полученный платеж]]+Y489-SUM(Первоначальный[[#This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комиссиям]]),VLOOKUP(LOOKUP(,-1/($Z$12:Z490=1),$A$12:A490),График[[Срок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платеж]]+Y489-SUM(Первоначальный[[#This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S489&gt;0,MIN(Первоначальный[[#This Row],[Полученный платеж]]+Y489-SUM(Первоначальный[[#This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комиссиям]]),SUM(INDIRECT("M"&amp;(MAX((1=S$12:S489)*ROW(S$12:S489),ROW($W$12))&amp;":M"&amp;(ROW()))))-SUM(INDIRECT("W"&amp;(MAX((1=S$12:S489)*ROW(S$12:S489),ROW($W$12))&amp;":W"&amp;(ROW()-1)))))
)
)</f>
        <v>0</v>
      </c>
      <c r="X490" s="55">
        <f t="shared" ca="1" si="86"/>
        <v>0</v>
      </c>
      <c r="Y490" s="101">
        <f t="shared" ca="1" si="93"/>
        <v>0</v>
      </c>
      <c r="Z490" s="133" t="str">
        <f>IF(TYPE((VLOOKUP(Первоначальный[[#This Row],[Дата платежа]],График[Срок конец],1,0)))=16,"",1)</f>
        <v/>
      </c>
      <c r="AA490" s="57"/>
      <c r="AB490" s="134"/>
      <c r="AC49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9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33270.629999999939</v>
      </c>
      <c r="AE49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653.83000000000118</v>
      </c>
      <c r="AF49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9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38475.462265573937</v>
      </c>
      <c r="AH490" s="55"/>
      <c r="AI490" s="55"/>
      <c r="AJ490" s="55"/>
      <c r="AK490" s="101">
        <f t="shared" ca="1" si="94"/>
        <v>222033.26226557387</v>
      </c>
      <c r="AL490" s="129">
        <f t="array" ref="AL490">MAX((УслРестрактов[Характеристика]="Дата реструктуризации")*(УслРестрактов[Значение]=Первоначальный!$A490),0)</f>
        <v>0</v>
      </c>
    </row>
    <row r="491" spans="1:38" x14ac:dyDescent="0.25">
      <c r="A491" s="97">
        <f t="shared" si="87"/>
        <v>44622</v>
      </c>
      <c r="B491" s="100">
        <f t="shared" ca="1" si="88"/>
        <v>149633.34</v>
      </c>
      <c r="C491" s="55">
        <f t="shared" ca="1" si="96"/>
        <v>33270.629999999939</v>
      </c>
      <c r="D491" s="55">
        <f t="shared" ca="1" si="96"/>
        <v>653.83000000000118</v>
      </c>
      <c r="E491" s="55">
        <f t="shared" ca="1" si="89"/>
        <v>0</v>
      </c>
      <c r="F491" s="55">
        <f t="shared" ca="1" si="90"/>
        <v>38475.462265573937</v>
      </c>
      <c r="G491" s="101">
        <f t="shared" ca="1" si="91"/>
        <v>222033.26226557387</v>
      </c>
      <c r="H491" s="100">
        <f ca="1">ROUND($B491*VLOOKUP($A491,$A$1:$B$10,2,1)/(365+IF(MOD(YEAR($A491),4),0,1)*($A491-$A490)),2)-Первоначальный[[#This Row],[Проценты на просроченный платеж по ОД за период]]</f>
        <v>78.34</v>
      </c>
      <c r="I491" s="55">
        <f t="shared" ca="1" si="92"/>
        <v>3.24</v>
      </c>
      <c r="J491" s="55">
        <v>0</v>
      </c>
      <c r="K491" s="55">
        <f t="shared" ca="1" si="95"/>
        <v>188.23850327868848</v>
      </c>
      <c r="L491" s="55">
        <v>0</v>
      </c>
      <c r="M491" s="113">
        <f>SUMIFS(График[Возврат основной суммы долга],График[Дата с учетом нерабочих дней],$A491)</f>
        <v>0</v>
      </c>
      <c r="N491" s="56">
        <f>SUMIFS(График[Возврат начисленных %],График[Дата с учетом нерабочих дней],$A491)</f>
        <v>0</v>
      </c>
      <c r="O491" s="101">
        <v>0</v>
      </c>
      <c r="P491" s="100" cm="1">
        <f t="array" aca="1" ref="P491" ca="1">MAX(IF(AA490="Да",0,SUM(INDIRECT("M"&amp;(MAX(("Да"=AA$12:AA490)*ROW(AA$12:AA490)+1,ROW($P$12))&amp;":M"&amp;(ROW()))))-SUM(INDIRECT("W"&amp;(MAX(("Да"=AA$12:AA490)*ROW(AA$12:AA490)+1,ROW($P$12))&amp;":W"&amp;(ROW()))))),0)</f>
        <v>5945.35</v>
      </c>
      <c r="Q491" s="99">
        <f ca="1">MAX(SUM($N$13:N491)-SUM($T$13:T491),0)</f>
        <v>31702.350655737697</v>
      </c>
      <c r="R491" s="99">
        <f ca="1">Первоначальный[[#This Row],[Просроченный платеж по ОД]]+Первоначальный[[#This Row],[Просроченный платеж по процентам]]</f>
        <v>37647.700655737695</v>
      </c>
      <c r="S491" s="120">
        <f ca="1">IF(Первоначальный[[#This Row],[Просроченный платеж]]&lt;1,0,S490+1)</f>
        <v>387</v>
      </c>
      <c r="T491" s="100" cm="1">
        <f t="array" aca="1" ref="T491" ca="1">IF(Первоначальный[[#This Row],[Итого остаток на начало периода]]&lt;1,0,
IF(
AND(TYPE(VLOOKUP(1,$Z$12:Z491,1,0))=16,Первоначальный[[#This Row],[Досрочное погашение (да/"")]]=""),0,
_xlfn.IFS(AND(S490=0,Первоначальный[[#This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платеж]]&lt;&gt;0),MIN(LOOKUP(,-1/($Z$12:Z491=1),$C$12:C491)+LOOKUP(,-1/($Z$12:Z491=1),$H$12:H491),Первоначальный[[#This Row],[Полученный платеж]]+Y490),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платеж]]+Y490,SUM(Первоначальный[[#This Row],[Остаток процентов на начало периода]],Первоначальный[[#This Row],[Проценты за период]])),
AND(S490=0,Первоначальный[[#This Row],[Дата платежа из графика]]=""),0,
AND(S490=0,Первоначальный[[#This Row],[Дата платежа из графика]]=1,MAX((0&lt;&gt;S$12:S490)*ROW(S$12:S490),ROW($S$12))&gt;=MAX((1=Z$12:Z490)*ROW(Z$12:Z490),ROW($T$12)),TYPE(VLOOKUP("Да",(INDIRECT("AA"&amp;(MAX((1=Z$12:Z490)*ROW(Z$12:Z490),ROW($T$12))&amp;":AA"&amp;(ROW()-1)))),1,0))=16),MIN(LOOKUP(,-1/($Z$12:Z491=1),$C$12:C491)+LOOKUP(,-1/($Z$12:Z491=1),$H$12:H491),Первоначальный[[#This Row],[Полученный платеж]]+Y490),
AND(S490=0,TYPE(VLOOKUP("Да",(INDIRECT("AA"&amp;(MAX((1=Z$12:Z490)*ROW(Z$12:Z490),ROW($T$12))&amp;":AA"&amp;(ROW()-1)))),1,0))&lt;&gt;16),MIN(LOOKUP(,-1/($Z$12:Z491=1),$C$12:C491)+LOOKUP(,-1/($Z$12:Z491=1),$H$12:H491)-IF(AA490="Да",0,SUM(INDIRECT("T"&amp;(MAX(("Да"=AA$12:AA490)*ROW(AA$12:AA490)+1,ROW($T$12))&amp;":T"&amp;(ROW()-1))))),Первоначальный[[#This Row],[Полученный платеж]]+Y490),
AND(S490=0,MAX((0&lt;&gt;N$12:N490)*ROW(N$12:N490),ROW($S$12))&gt;=MAX((1=Z$12:Z490)*ROW(Z$12:Z490),ROW($T$12))),MIN(LOOKUP(,-1/($Z$12:Z491=1),$C$12:C491)+LOOKUP(,-1/($Z$12:Z491=1),$H$12:H491)-IF(N490&lt;&gt;0,0,SUM(INDIRECT("T"&amp;(MAX((0&lt;&gt;N$12:N490)*ROW(N$12:N490)+1,ROW($T$12))&amp;":T"&amp;(ROW()-1))))),Первоначальный[[#This Row],[Полученный платеж]]+Y490),
AND(S490=0,Первоначальный[[#This Row],[Дата платежа из графика]]=1),MIN(LOOKUP(,-1/($Z$12:Z491=1),$C$12:C491)+LOOKUP(,-1/($Z$12:Z491=1),$H$12:H491)-IF(Z490=1,0,SUM(INDIRECT("T"&amp;(MAX((1=Z$12:Z490)*ROW(Z$12:Z490)+1,ROW($T$12))&amp;":T"&amp;(ROW()-1))))),Первоначальный[[#This Row],[Полученный платеж]]+Y490),
AND(Z490&gt;0,Первоначальный[[#This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платеж]]+Y490),
AND(S490&gt;0,MAX((0&lt;&gt;S$12:S490)*ROW(S$12:S490),ROW($S$12))&gt;=MAX((1=Z$12:Z490)*ROW(Z$12:Z490),ROW($T$12)),TYPE(VLOOKUP("Да",(INDIRECT("AA"&amp;(MAX((1=Z$12:Z490)*ROW(Z$12:Z490),ROW($T$12))&amp;":AA"&amp;(ROW()-1)))),1,0))=16),MIN(LOOKUP(,-1/($Z$12:Z491=1),$C$12:C491)+LOOKUP(,-1/($Z$12:Z491=1),$H$12:H491)-SUM(INDIRECT("T"&amp;(MAX((1=Z$12:Z490)*ROW(Z$12:Z490),ROW($T$12))&amp;":T"&amp;(ROW()-1)))),Первоначальный[[#This Row],[Полученный платеж]]+Y490),
S490&gt;0,MIN(LOOKUP(,-1/($Z$12:Z491=1),$C$12:C491)+LOOKUP(,-1/($Z$12:Z491=1),$H$12:H491)-IF(Z490=1,0,SUM(INDIRECT("T"&amp;(MAX((1=Z$12:Z490)*ROW(Z$12:Z490)+1,ROW($T$12))&amp;":T"&amp;(ROW()-1))))),Первоначальный[[#This Row],[Полученный платеж]]+Y490)
)
)
)</f>
        <v>0</v>
      </c>
      <c r="U49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платеж]]+Y490-Первоначальный[[#This Row],[Полученный платёж по процентам]])</f>
        <v>0</v>
      </c>
      <c r="V491" s="55">
        <f t="shared" ca="1" si="85"/>
        <v>0</v>
      </c>
      <c r="W491" s="55" cm="1">
        <f t="array" aca="1" ref="W491" ca="1">IF(Первоначальный[[#This Row],[Итого остаток на начало периода]]&lt;1,0,
_xlfn.IFS(
AND(TYPE(VLOOKUP(1,$Z$12:Z491,1,0))=16,Первоначальный[[#This Row],[Досрочное погашение (да/"")]]=""),0,
AND(S490=0,Первоначальный[[#This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платеж]]+Y490-SUM(Первоначальный[[#This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комиссиям]]),VLOOKUP(LOOKUP(,-1/($Z$12:Z491=1),$A$12:A491),График[[Срок конец]:[Возврат основной суммы долга]],3,0)),
AND(S490=0,Первоначальный[[#This Row],[Дата платежа из графика]]="",Первоначальный[[#This Row],[Досрочное погашение (да/"")]]&lt;&gt;"Да"),0,
AND(S490=0,Первоначальный[[#This Row],[Досрочное погашение (да/"")]]=""),MIN(Первоначальный[[#This Row],[Полученный платеж]]+Y490-SUM(Первоначальный[[#This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комиссиям]]),VLOOKUP(LOOKUP(,-1/($Z$12:Z491=1),$A$12:A491),График[[Срок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платеж]]+Y490-SUM(Первоначальный[[#This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S490&gt;0,MIN(Первоначальный[[#This Row],[Полученный платеж]]+Y490-SUM(Первоначальный[[#This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комиссиям]]),SUM(INDIRECT("M"&amp;(MAX((1=S$12:S490)*ROW(S$12:S490),ROW($W$12))&amp;":M"&amp;(ROW()))))-SUM(INDIRECT("W"&amp;(MAX((1=S$12:S490)*ROW(S$12:S490),ROW($W$12))&amp;":W"&amp;(ROW()-1)))))
)
)</f>
        <v>0</v>
      </c>
      <c r="X491" s="55">
        <f t="shared" ca="1" si="86"/>
        <v>0</v>
      </c>
      <c r="Y491" s="101">
        <f t="shared" ca="1" si="93"/>
        <v>0</v>
      </c>
      <c r="Z491" s="133" t="str">
        <f>IF(TYPE((VLOOKUP(Первоначальный[[#This Row],[Дата платежа]],График[Срок конец],1,0)))=16,"",1)</f>
        <v/>
      </c>
      <c r="AA491" s="57"/>
      <c r="AB491" s="134"/>
      <c r="AC49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9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33348.969999999936</v>
      </c>
      <c r="AE49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657.07000000000119</v>
      </c>
      <c r="AF49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9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38663.700768852628</v>
      </c>
      <c r="AH491" s="55"/>
      <c r="AI491" s="55"/>
      <c r="AJ491" s="55"/>
      <c r="AK491" s="101">
        <f t="shared" ca="1" si="94"/>
        <v>222303.08076885258</v>
      </c>
      <c r="AL491" s="129">
        <f t="array" ref="AL491">MAX((УслРестрактов[Характеристика]="Дата реструктуризации")*(УслРестрактов[Значение]=Первоначальный!$A491),0)</f>
        <v>0</v>
      </c>
    </row>
    <row r="492" spans="1:38" x14ac:dyDescent="0.25">
      <c r="A492" s="97">
        <f t="shared" si="87"/>
        <v>44623</v>
      </c>
      <c r="B492" s="100">
        <f t="shared" ca="1" si="88"/>
        <v>149633.34</v>
      </c>
      <c r="C492" s="55">
        <f t="shared" ca="1" si="96"/>
        <v>33348.969999999936</v>
      </c>
      <c r="D492" s="55">
        <f t="shared" ca="1" si="96"/>
        <v>657.07000000000119</v>
      </c>
      <c r="E492" s="55">
        <f t="shared" ca="1" si="89"/>
        <v>0</v>
      </c>
      <c r="F492" s="55">
        <f t="shared" ca="1" si="90"/>
        <v>38663.700768852628</v>
      </c>
      <c r="G492" s="101">
        <f t="shared" ca="1" si="91"/>
        <v>222303.08076885258</v>
      </c>
      <c r="H492" s="100">
        <f ca="1">ROUND($B492*VLOOKUP($A492,$A$1:$B$10,2,1)/(365+IF(MOD(YEAR($A492),4),0,1)*($A492-$A491)),2)-Первоначальный[[#This Row],[Проценты на просроченный платеж по ОД за период]]</f>
        <v>78.34</v>
      </c>
      <c r="I492" s="55">
        <f t="shared" ca="1" si="92"/>
        <v>3.24</v>
      </c>
      <c r="J492" s="55">
        <v>0</v>
      </c>
      <c r="K492" s="55">
        <f t="shared" ca="1" si="95"/>
        <v>188.23850327868848</v>
      </c>
      <c r="L492" s="55">
        <v>0</v>
      </c>
      <c r="M492" s="113">
        <f>SUMIFS(График[Возврат основной суммы долга],График[Дата с учетом нерабочих дней],$A492)</f>
        <v>0</v>
      </c>
      <c r="N492" s="56">
        <f>SUMIFS(График[Возврат начисленных %],График[Дата с учетом нерабочих дней],$A492)</f>
        <v>0</v>
      </c>
      <c r="O492" s="101">
        <v>0</v>
      </c>
      <c r="P492" s="100" cm="1">
        <f t="array" aca="1" ref="P492" ca="1">MAX(IF(AA491="Да",0,SUM(INDIRECT("M"&amp;(MAX(("Да"=AA$12:AA491)*ROW(AA$12:AA491)+1,ROW($P$12))&amp;":M"&amp;(ROW()))))-SUM(INDIRECT("W"&amp;(MAX(("Да"=AA$12:AA491)*ROW(AA$12:AA491)+1,ROW($P$12))&amp;":W"&amp;(ROW()))))),0)</f>
        <v>5945.35</v>
      </c>
      <c r="Q492" s="99">
        <f ca="1">MAX(SUM($N$13:N492)-SUM($T$13:T492),0)</f>
        <v>31702.350655737697</v>
      </c>
      <c r="R492" s="99">
        <f ca="1">Первоначальный[[#This Row],[Просроченный платеж по ОД]]+Первоначальный[[#This Row],[Просроченный платеж по процентам]]</f>
        <v>37647.700655737695</v>
      </c>
      <c r="S492" s="120">
        <f ca="1">IF(Первоначальный[[#This Row],[Просроченный платеж]]&lt;1,0,S491+1)</f>
        <v>388</v>
      </c>
      <c r="T492" s="100" cm="1">
        <f t="array" aca="1" ref="T492" ca="1">IF(Первоначальный[[#This Row],[Итого остаток на начало периода]]&lt;1,0,
IF(
AND(TYPE(VLOOKUP(1,$Z$12:Z492,1,0))=16,Первоначальный[[#This Row],[Досрочное погашение (да/"")]]=""),0,
_xlfn.IFS(AND(S491=0,Первоначальный[[#This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платеж]]&lt;&gt;0),MIN(LOOKUP(,-1/($Z$12:Z492=1),$C$12:C492)+LOOKUP(,-1/($Z$12:Z492=1),$H$12:H492),Первоначальный[[#This Row],[Полученный платеж]]+Y491),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платеж]]+Y491,SUM(Первоначальный[[#This Row],[Остаток процентов на начало периода]],Первоначальный[[#This Row],[Проценты за период]])),
AND(S491=0,Первоначальный[[#This Row],[Дата платежа из графика]]=""),0,
AND(S491=0,Первоначальный[[#This Row],[Дата платежа из графика]]=1,MAX((0&lt;&gt;S$12:S491)*ROW(S$12:S491),ROW($S$12))&gt;=MAX((1=Z$12:Z491)*ROW(Z$12:Z491),ROW($T$12)),TYPE(VLOOKUP("Да",(INDIRECT("AA"&amp;(MAX((1=Z$12:Z491)*ROW(Z$12:Z491),ROW($T$12))&amp;":AA"&amp;(ROW()-1)))),1,0))=16),MIN(LOOKUP(,-1/($Z$12:Z492=1),$C$12:C492)+LOOKUP(,-1/($Z$12:Z492=1),$H$12:H492),Первоначальный[[#This Row],[Полученный платеж]]+Y491),
AND(S491=0,TYPE(VLOOKUP("Да",(INDIRECT("AA"&amp;(MAX((1=Z$12:Z491)*ROW(Z$12:Z491),ROW($T$12))&amp;":AA"&amp;(ROW()-1)))),1,0))&lt;&gt;16),MIN(LOOKUP(,-1/($Z$12:Z492=1),$C$12:C492)+LOOKUP(,-1/($Z$12:Z492=1),$H$12:H492)-IF(AA491="Да",0,SUM(INDIRECT("T"&amp;(MAX(("Да"=AA$12:AA491)*ROW(AA$12:AA491)+1,ROW($T$12))&amp;":T"&amp;(ROW()-1))))),Первоначальный[[#This Row],[Полученный платеж]]+Y491),
AND(S491=0,MAX((0&lt;&gt;N$12:N491)*ROW(N$12:N491),ROW($S$12))&gt;=MAX((1=Z$12:Z491)*ROW(Z$12:Z491),ROW($T$12))),MIN(LOOKUP(,-1/($Z$12:Z492=1),$C$12:C492)+LOOKUP(,-1/($Z$12:Z492=1),$H$12:H492)-IF(N491&lt;&gt;0,0,SUM(INDIRECT("T"&amp;(MAX((0&lt;&gt;N$12:N491)*ROW(N$12:N491)+1,ROW($T$12))&amp;":T"&amp;(ROW()-1))))),Первоначальный[[#This Row],[Полученный платеж]]+Y491),
AND(S491=0,Первоначальный[[#This Row],[Дата платежа из графика]]=1),MIN(LOOKUP(,-1/($Z$12:Z492=1),$C$12:C492)+LOOKUP(,-1/($Z$12:Z492=1),$H$12:H492)-IF(Z491=1,0,SUM(INDIRECT("T"&amp;(MAX((1=Z$12:Z491)*ROW(Z$12:Z491)+1,ROW($T$12))&amp;":T"&amp;(ROW()-1))))),Первоначальный[[#This Row],[Полученный платеж]]+Y491),
AND(Z491&gt;0,Первоначальный[[#This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платеж]]+Y491),
AND(S491&gt;0,MAX((0&lt;&gt;S$12:S491)*ROW(S$12:S491),ROW($S$12))&gt;=MAX((1=Z$12:Z491)*ROW(Z$12:Z491),ROW($T$12)),TYPE(VLOOKUP("Да",(INDIRECT("AA"&amp;(MAX((1=Z$12:Z491)*ROW(Z$12:Z491),ROW($T$12))&amp;":AA"&amp;(ROW()-1)))),1,0))=16),MIN(LOOKUP(,-1/($Z$12:Z492=1),$C$12:C492)+LOOKUP(,-1/($Z$12:Z492=1),$H$12:H492)-SUM(INDIRECT("T"&amp;(MAX((1=Z$12:Z491)*ROW(Z$12:Z491),ROW($T$12))&amp;":T"&amp;(ROW()-1)))),Первоначальный[[#This Row],[Полученный платеж]]+Y491),
S491&gt;0,MIN(LOOKUP(,-1/($Z$12:Z492=1),$C$12:C492)+LOOKUP(,-1/($Z$12:Z492=1),$H$12:H492)-IF(Z491=1,0,SUM(INDIRECT("T"&amp;(MAX((1=Z$12:Z491)*ROW(Z$12:Z491)+1,ROW($T$12))&amp;":T"&amp;(ROW()-1))))),Первоначальный[[#This Row],[Полученный платеж]]+Y491)
)
)
)</f>
        <v>0</v>
      </c>
      <c r="U49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платеж]]+Y491-Первоначальный[[#This Row],[Полученный платёж по процентам]])</f>
        <v>0</v>
      </c>
      <c r="V492" s="55">
        <f t="shared" ca="1" si="85"/>
        <v>0</v>
      </c>
      <c r="W492" s="55" cm="1">
        <f t="array" aca="1" ref="W492" ca="1">IF(Первоначальный[[#This Row],[Итого остаток на начало периода]]&lt;1,0,
_xlfn.IFS(
AND(TYPE(VLOOKUP(1,$Z$12:Z492,1,0))=16,Первоначальный[[#This Row],[Досрочное погашение (да/"")]]=""),0,
AND(S491=0,Первоначальный[[#This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платеж]]+Y491-SUM(Первоначальный[[#This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комиссиям]]),VLOOKUP(LOOKUP(,-1/($Z$12:Z492=1),$A$12:A492),График[[Срок конец]:[Возврат основной суммы долга]],3,0)),
AND(S491=0,Первоначальный[[#This Row],[Дата платежа из графика]]="",Первоначальный[[#This Row],[Досрочное погашение (да/"")]]&lt;&gt;"Да"),0,
AND(S491=0,Первоначальный[[#This Row],[Досрочное погашение (да/"")]]=""),MIN(Первоначальный[[#This Row],[Полученный платеж]]+Y491-SUM(Первоначальный[[#This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комиссиям]]),VLOOKUP(LOOKUP(,-1/($Z$12:Z492=1),$A$12:A492),График[[Срок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платеж]]+Y491-SUM(Первоначальный[[#This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S491&gt;0,MIN(Первоначальный[[#This Row],[Полученный платеж]]+Y491-SUM(Первоначальный[[#This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комиссиям]]),SUM(INDIRECT("M"&amp;(MAX((1=S$12:S491)*ROW(S$12:S491),ROW($W$12))&amp;":M"&amp;(ROW()))))-SUM(INDIRECT("W"&amp;(MAX((1=S$12:S491)*ROW(S$12:S491),ROW($W$12))&amp;":W"&amp;(ROW()-1)))))
)
)</f>
        <v>0</v>
      </c>
      <c r="X492" s="55">
        <f t="shared" ca="1" si="86"/>
        <v>0</v>
      </c>
      <c r="Y492" s="101">
        <f t="shared" ca="1" si="93"/>
        <v>0</v>
      </c>
      <c r="Z492" s="133" t="str">
        <f>IF(TYPE((VLOOKUP(Первоначальный[[#This Row],[Дата платежа]],График[Срок конец],1,0)))=16,"",1)</f>
        <v/>
      </c>
      <c r="AA492" s="57"/>
      <c r="AB492" s="134"/>
      <c r="AC49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9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33427.309999999932</v>
      </c>
      <c r="AE49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660.3100000000012</v>
      </c>
      <c r="AF49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9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38851.93927213132</v>
      </c>
      <c r="AH492" s="55"/>
      <c r="AI492" s="55"/>
      <c r="AJ492" s="55"/>
      <c r="AK492" s="101">
        <f t="shared" ca="1" si="94"/>
        <v>222572.89927213127</v>
      </c>
      <c r="AL492" s="129">
        <f t="array" ref="AL492">MAX((УслРестрактов[Характеристика]="Дата реструктуризации")*(УслРестрактов[Значение]=Первоначальный!$A492),0)</f>
        <v>0</v>
      </c>
    </row>
    <row r="493" spans="1:38" x14ac:dyDescent="0.25">
      <c r="A493" s="97">
        <f t="shared" si="87"/>
        <v>44624</v>
      </c>
      <c r="B493" s="100">
        <f t="shared" ca="1" si="88"/>
        <v>149633.34</v>
      </c>
      <c r="C493" s="55">
        <f t="shared" ca="1" si="96"/>
        <v>33427.309999999932</v>
      </c>
      <c r="D493" s="55">
        <f t="shared" ca="1" si="96"/>
        <v>660.3100000000012</v>
      </c>
      <c r="E493" s="55">
        <f t="shared" ca="1" si="89"/>
        <v>0</v>
      </c>
      <c r="F493" s="55">
        <f t="shared" ca="1" si="90"/>
        <v>38851.93927213132</v>
      </c>
      <c r="G493" s="101">
        <f t="shared" ca="1" si="91"/>
        <v>222572.89927213127</v>
      </c>
      <c r="H493" s="100">
        <f ca="1">ROUND($B493*VLOOKUP($A493,$A$1:$B$10,2,1)/(365+IF(MOD(YEAR($A493),4),0,1)*($A493-$A492)),2)-Первоначальный[[#This Row],[Проценты на просроченный платеж по ОД за период]]</f>
        <v>78.34</v>
      </c>
      <c r="I493" s="55">
        <f t="shared" ca="1" si="92"/>
        <v>3.24</v>
      </c>
      <c r="J493" s="55">
        <v>0</v>
      </c>
      <c r="K493" s="55">
        <f t="shared" ca="1" si="95"/>
        <v>188.23850327868848</v>
      </c>
      <c r="L493" s="55">
        <v>0</v>
      </c>
      <c r="M493" s="113">
        <f>SUMIFS(График[Возврат основной суммы долга],График[Дата с учетом нерабочих дней],$A493)</f>
        <v>0</v>
      </c>
      <c r="N493" s="56">
        <f>SUMIFS(График[Возврат начисленных %],График[Дата с учетом нерабочих дней],$A493)</f>
        <v>0</v>
      </c>
      <c r="O493" s="101">
        <v>0</v>
      </c>
      <c r="P493" s="100" cm="1">
        <f t="array" aca="1" ref="P493" ca="1">MAX(IF(AA492="Да",0,SUM(INDIRECT("M"&amp;(MAX(("Да"=AA$12:AA492)*ROW(AA$12:AA492)+1,ROW($P$12))&amp;":M"&amp;(ROW()))))-SUM(INDIRECT("W"&amp;(MAX(("Да"=AA$12:AA492)*ROW(AA$12:AA492)+1,ROW($P$12))&amp;":W"&amp;(ROW()))))),0)</f>
        <v>5945.35</v>
      </c>
      <c r="Q493" s="99">
        <f ca="1">MAX(SUM($N$13:N493)-SUM($T$13:T493),0)</f>
        <v>31702.350655737697</v>
      </c>
      <c r="R493" s="99">
        <f ca="1">Первоначальный[[#This Row],[Просроченный платеж по ОД]]+Первоначальный[[#This Row],[Просроченный платеж по процентам]]</f>
        <v>37647.700655737695</v>
      </c>
      <c r="S493" s="120">
        <f ca="1">IF(Первоначальный[[#This Row],[Просроченный платеж]]&lt;1,0,S492+1)</f>
        <v>389</v>
      </c>
      <c r="T493" s="100" cm="1">
        <f t="array" aca="1" ref="T493" ca="1">IF(Первоначальный[[#This Row],[Итого остаток на начало периода]]&lt;1,0,
IF(
AND(TYPE(VLOOKUP(1,$Z$12:Z493,1,0))=16,Первоначальный[[#This Row],[Досрочное погашение (да/"")]]=""),0,
_xlfn.IFS(AND(S492=0,Первоначальный[[#This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платеж]]&lt;&gt;0),MIN(LOOKUP(,-1/($Z$12:Z493=1),$C$12:C493)+LOOKUP(,-1/($Z$12:Z493=1),$H$12:H493),Первоначальный[[#This Row],[Полученный платеж]]+Y492),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платеж]]+Y492,SUM(Первоначальный[[#This Row],[Остаток процентов на начало периода]],Первоначальный[[#This Row],[Проценты за период]])),
AND(S492=0,Первоначальный[[#This Row],[Дата платежа из графика]]=""),0,
AND(S492=0,Первоначальный[[#This Row],[Дата платежа из графика]]=1,MAX((0&lt;&gt;S$12:S492)*ROW(S$12:S492),ROW($S$12))&gt;=MAX((1=Z$12:Z492)*ROW(Z$12:Z492),ROW($T$12)),TYPE(VLOOKUP("Да",(INDIRECT("AA"&amp;(MAX((1=Z$12:Z492)*ROW(Z$12:Z492),ROW($T$12))&amp;":AA"&amp;(ROW()-1)))),1,0))=16),MIN(LOOKUP(,-1/($Z$12:Z493=1),$C$12:C493)+LOOKUP(,-1/($Z$12:Z493=1),$H$12:H493),Первоначальный[[#This Row],[Полученный платеж]]+Y492),
AND(S492=0,TYPE(VLOOKUP("Да",(INDIRECT("AA"&amp;(MAX((1=Z$12:Z492)*ROW(Z$12:Z492),ROW($T$12))&amp;":AA"&amp;(ROW()-1)))),1,0))&lt;&gt;16),MIN(LOOKUP(,-1/($Z$12:Z493=1),$C$12:C493)+LOOKUP(,-1/($Z$12:Z493=1),$H$12:H493)-IF(AA492="Да",0,SUM(INDIRECT("T"&amp;(MAX(("Да"=AA$12:AA492)*ROW(AA$12:AA492)+1,ROW($T$12))&amp;":T"&amp;(ROW()-1))))),Первоначальный[[#This Row],[Полученный платеж]]+Y492),
AND(S492=0,MAX((0&lt;&gt;N$12:N492)*ROW(N$12:N492),ROW($S$12))&gt;=MAX((1=Z$12:Z492)*ROW(Z$12:Z492),ROW($T$12))),MIN(LOOKUP(,-1/($Z$12:Z493=1),$C$12:C493)+LOOKUP(,-1/($Z$12:Z493=1),$H$12:H493)-IF(N492&lt;&gt;0,0,SUM(INDIRECT("T"&amp;(MAX((0&lt;&gt;N$12:N492)*ROW(N$12:N492)+1,ROW($T$12))&amp;":T"&amp;(ROW()-1))))),Первоначальный[[#This Row],[Полученный платеж]]+Y492),
AND(S492=0,Первоначальный[[#This Row],[Дата платежа из графика]]=1),MIN(LOOKUP(,-1/($Z$12:Z493=1),$C$12:C493)+LOOKUP(,-1/($Z$12:Z493=1),$H$12:H493)-IF(Z492=1,0,SUM(INDIRECT("T"&amp;(MAX((1=Z$12:Z492)*ROW(Z$12:Z492)+1,ROW($T$12))&amp;":T"&amp;(ROW()-1))))),Первоначальный[[#This Row],[Полученный платеж]]+Y492),
AND(Z492&gt;0,Первоначальный[[#This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платеж]]+Y492),
AND(S492&gt;0,MAX((0&lt;&gt;S$12:S492)*ROW(S$12:S492),ROW($S$12))&gt;=MAX((1=Z$12:Z492)*ROW(Z$12:Z492),ROW($T$12)),TYPE(VLOOKUP("Да",(INDIRECT("AA"&amp;(MAX((1=Z$12:Z492)*ROW(Z$12:Z492),ROW($T$12))&amp;":AA"&amp;(ROW()-1)))),1,0))=16),MIN(LOOKUP(,-1/($Z$12:Z493=1),$C$12:C493)+LOOKUP(,-1/($Z$12:Z493=1),$H$12:H493)-SUM(INDIRECT("T"&amp;(MAX((1=Z$12:Z492)*ROW(Z$12:Z492),ROW($T$12))&amp;":T"&amp;(ROW()-1)))),Первоначальный[[#This Row],[Полученный платеж]]+Y492),
S492&gt;0,MIN(LOOKUP(,-1/($Z$12:Z493=1),$C$12:C493)+LOOKUP(,-1/($Z$12:Z493=1),$H$12:H493)-IF(Z492=1,0,SUM(INDIRECT("T"&amp;(MAX((1=Z$12:Z492)*ROW(Z$12:Z492)+1,ROW($T$12))&amp;":T"&amp;(ROW()-1))))),Первоначальный[[#This Row],[Полученный платеж]]+Y492)
)
)
)</f>
        <v>0</v>
      </c>
      <c r="U49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платеж]]+Y492-Первоначальный[[#This Row],[Полученный платёж по процентам]])</f>
        <v>0</v>
      </c>
      <c r="V493" s="55">
        <f t="shared" ca="1" si="85"/>
        <v>0</v>
      </c>
      <c r="W493" s="55" cm="1">
        <f t="array" aca="1" ref="W493" ca="1">IF(Первоначальный[[#This Row],[Итого остаток на начало периода]]&lt;1,0,
_xlfn.IFS(
AND(TYPE(VLOOKUP(1,$Z$12:Z493,1,0))=16,Первоначальный[[#This Row],[Досрочное погашение (да/"")]]=""),0,
AND(S492=0,Первоначальный[[#This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платеж]]+Y492-SUM(Первоначальный[[#This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комиссиям]]),VLOOKUP(LOOKUP(,-1/($Z$12:Z493=1),$A$12:A493),График[[Срок конец]:[Возврат основной суммы долга]],3,0)),
AND(S492=0,Первоначальный[[#This Row],[Дата платежа из графика]]="",Первоначальный[[#This Row],[Досрочное погашение (да/"")]]&lt;&gt;"Да"),0,
AND(S492=0,Первоначальный[[#This Row],[Досрочное погашение (да/"")]]=""),MIN(Первоначальный[[#This Row],[Полученный платеж]]+Y492-SUM(Первоначальный[[#This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комиссиям]]),VLOOKUP(LOOKUP(,-1/($Z$12:Z493=1),$A$12:A493),График[[Срок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платеж]]+Y492-SUM(Первоначальный[[#This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S492&gt;0,MIN(Первоначальный[[#This Row],[Полученный платеж]]+Y492-SUM(Первоначальный[[#This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комиссиям]]),SUM(INDIRECT("M"&amp;(MAX((1=S$12:S492)*ROW(S$12:S492),ROW($W$12))&amp;":M"&amp;(ROW()))))-SUM(INDIRECT("W"&amp;(MAX((1=S$12:S492)*ROW(S$12:S492),ROW($W$12))&amp;":W"&amp;(ROW()-1)))))
)
)</f>
        <v>0</v>
      </c>
      <c r="X493" s="55">
        <f t="shared" ca="1" si="86"/>
        <v>0</v>
      </c>
      <c r="Y493" s="101">
        <f t="shared" ca="1" si="93"/>
        <v>0</v>
      </c>
      <c r="Z493" s="133" t="str">
        <f>IF(TYPE((VLOOKUP(Первоначальный[[#This Row],[Дата платежа]],График[Срок конец],1,0)))=16,"",1)</f>
        <v/>
      </c>
      <c r="AA493" s="57"/>
      <c r="AB493" s="134"/>
      <c r="AC49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9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33505.649999999929</v>
      </c>
      <c r="AE49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663.55000000000121</v>
      </c>
      <c r="AF49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9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39040.177775410011</v>
      </c>
      <c r="AH493" s="55"/>
      <c r="AI493" s="55"/>
      <c r="AJ493" s="55"/>
      <c r="AK493" s="101">
        <f t="shared" ca="1" si="94"/>
        <v>222842.71777540992</v>
      </c>
      <c r="AL493" s="129">
        <f t="array" ref="AL493">MAX((УслРестрактов[Характеристика]="Дата реструктуризации")*(УслРестрактов[Значение]=Первоначальный!$A493),0)</f>
        <v>0</v>
      </c>
    </row>
    <row r="494" spans="1:38" x14ac:dyDescent="0.25">
      <c r="A494" s="97">
        <f t="shared" si="87"/>
        <v>44625</v>
      </c>
      <c r="B494" s="100">
        <f t="shared" ca="1" si="88"/>
        <v>149633.34</v>
      </c>
      <c r="C494" s="55">
        <f t="shared" ca="1" si="96"/>
        <v>33505.649999999929</v>
      </c>
      <c r="D494" s="55">
        <f t="shared" ca="1" si="96"/>
        <v>663.55000000000121</v>
      </c>
      <c r="E494" s="55">
        <f t="shared" ca="1" si="89"/>
        <v>0</v>
      </c>
      <c r="F494" s="55">
        <f t="shared" ca="1" si="90"/>
        <v>39040.177775410011</v>
      </c>
      <c r="G494" s="101">
        <f t="shared" ca="1" si="91"/>
        <v>222842.71777540992</v>
      </c>
      <c r="H494" s="100">
        <f ca="1">ROUND($B494*VLOOKUP($A494,$A$1:$B$10,2,1)/(365+IF(MOD(YEAR($A494),4),0,1)*($A494-$A493)),2)-Первоначальный[[#This Row],[Проценты на просроченный платеж по ОД за период]]</f>
        <v>78.34</v>
      </c>
      <c r="I494" s="55">
        <f t="shared" ca="1" si="92"/>
        <v>3.24</v>
      </c>
      <c r="J494" s="55">
        <v>0</v>
      </c>
      <c r="K494" s="55">
        <f t="shared" ca="1" si="95"/>
        <v>188.23850327868848</v>
      </c>
      <c r="L494" s="55">
        <v>0</v>
      </c>
      <c r="M494" s="113">
        <f>SUMIFS(График[Возврат основной суммы долга],График[Дата с учетом нерабочих дней],$A494)</f>
        <v>0</v>
      </c>
      <c r="N494" s="56">
        <f>SUMIFS(График[Возврат начисленных %],График[Дата с учетом нерабочих дней],$A494)</f>
        <v>0</v>
      </c>
      <c r="O494" s="101">
        <v>0</v>
      </c>
      <c r="P494" s="100" cm="1">
        <f t="array" aca="1" ref="P494" ca="1">MAX(IF(AA493="Да",0,SUM(INDIRECT("M"&amp;(MAX(("Да"=AA$12:AA493)*ROW(AA$12:AA493)+1,ROW($P$12))&amp;":M"&amp;(ROW()))))-SUM(INDIRECT("W"&amp;(MAX(("Да"=AA$12:AA493)*ROW(AA$12:AA493)+1,ROW($P$12))&amp;":W"&amp;(ROW()))))),0)</f>
        <v>5945.35</v>
      </c>
      <c r="Q494" s="99">
        <f ca="1">MAX(SUM($N$13:N494)-SUM($T$13:T494),0)</f>
        <v>31702.350655737697</v>
      </c>
      <c r="R494" s="99">
        <f ca="1">Первоначальный[[#This Row],[Просроченный платеж по ОД]]+Первоначальный[[#This Row],[Просроченный платеж по процентам]]</f>
        <v>37647.700655737695</v>
      </c>
      <c r="S494" s="120">
        <f ca="1">IF(Первоначальный[[#This Row],[Просроченный платеж]]&lt;1,0,S493+1)</f>
        <v>390</v>
      </c>
      <c r="T494" s="100" cm="1">
        <f t="array" aca="1" ref="T494" ca="1">IF(Первоначальный[[#This Row],[Итого остаток на начало периода]]&lt;1,0,
IF(
AND(TYPE(VLOOKUP(1,$Z$12:Z494,1,0))=16,Первоначальный[[#This Row],[Досрочное погашение (да/"")]]=""),0,
_xlfn.IFS(AND(S493=0,Первоначальный[[#This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платеж]]&lt;&gt;0),MIN(LOOKUP(,-1/($Z$12:Z494=1),$C$12:C494)+LOOKUP(,-1/($Z$12:Z494=1),$H$12:H494),Первоначальный[[#This Row],[Полученный платеж]]+Y493),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платеж]]+Y493,SUM(Первоначальный[[#This Row],[Остаток процентов на начало периода]],Первоначальный[[#This Row],[Проценты за период]])),
AND(S493=0,Первоначальный[[#This Row],[Дата платежа из графика]]=""),0,
AND(S493=0,Первоначальный[[#This Row],[Дата платежа из графика]]=1,MAX((0&lt;&gt;S$12:S493)*ROW(S$12:S493),ROW($S$12))&gt;=MAX((1=Z$12:Z493)*ROW(Z$12:Z493),ROW($T$12)),TYPE(VLOOKUP("Да",(INDIRECT("AA"&amp;(MAX((1=Z$12:Z493)*ROW(Z$12:Z493),ROW($T$12))&amp;":AA"&amp;(ROW()-1)))),1,0))=16),MIN(LOOKUP(,-1/($Z$12:Z494=1),$C$12:C494)+LOOKUP(,-1/($Z$12:Z494=1),$H$12:H494),Первоначальный[[#This Row],[Полученный платеж]]+Y493),
AND(S493=0,TYPE(VLOOKUP("Да",(INDIRECT("AA"&amp;(MAX((1=Z$12:Z493)*ROW(Z$12:Z493),ROW($T$12))&amp;":AA"&amp;(ROW()-1)))),1,0))&lt;&gt;16),MIN(LOOKUP(,-1/($Z$12:Z494=1),$C$12:C494)+LOOKUP(,-1/($Z$12:Z494=1),$H$12:H494)-IF(AA493="Да",0,SUM(INDIRECT("T"&amp;(MAX(("Да"=AA$12:AA493)*ROW(AA$12:AA493)+1,ROW($T$12))&amp;":T"&amp;(ROW()-1))))),Первоначальный[[#This Row],[Полученный платеж]]+Y493),
AND(S493=0,MAX((0&lt;&gt;N$12:N493)*ROW(N$12:N493),ROW($S$12))&gt;=MAX((1=Z$12:Z493)*ROW(Z$12:Z493),ROW($T$12))),MIN(LOOKUP(,-1/($Z$12:Z494=1),$C$12:C494)+LOOKUP(,-1/($Z$12:Z494=1),$H$12:H494)-IF(N493&lt;&gt;0,0,SUM(INDIRECT("T"&amp;(MAX((0&lt;&gt;N$12:N493)*ROW(N$12:N493)+1,ROW($T$12))&amp;":T"&amp;(ROW()-1))))),Первоначальный[[#This Row],[Полученный платеж]]+Y493),
AND(S493=0,Первоначальный[[#This Row],[Дата платежа из графика]]=1),MIN(LOOKUP(,-1/($Z$12:Z494=1),$C$12:C494)+LOOKUP(,-1/($Z$12:Z494=1),$H$12:H494)-IF(Z493=1,0,SUM(INDIRECT("T"&amp;(MAX((1=Z$12:Z493)*ROW(Z$12:Z493)+1,ROW($T$12))&amp;":T"&amp;(ROW()-1))))),Первоначальный[[#This Row],[Полученный платеж]]+Y493),
AND(Z493&gt;0,Первоначальный[[#This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платеж]]+Y493),
AND(S493&gt;0,MAX((0&lt;&gt;S$12:S493)*ROW(S$12:S493),ROW($S$12))&gt;=MAX((1=Z$12:Z493)*ROW(Z$12:Z493),ROW($T$12)),TYPE(VLOOKUP("Да",(INDIRECT("AA"&amp;(MAX((1=Z$12:Z493)*ROW(Z$12:Z493),ROW($T$12))&amp;":AA"&amp;(ROW()-1)))),1,0))=16),MIN(LOOKUP(,-1/($Z$12:Z494=1),$C$12:C494)+LOOKUP(,-1/($Z$12:Z494=1),$H$12:H494)-SUM(INDIRECT("T"&amp;(MAX((1=Z$12:Z493)*ROW(Z$12:Z493),ROW($T$12))&amp;":T"&amp;(ROW()-1)))),Первоначальный[[#This Row],[Полученный платеж]]+Y493),
S493&gt;0,MIN(LOOKUP(,-1/($Z$12:Z494=1),$C$12:C494)+LOOKUP(,-1/($Z$12:Z494=1),$H$12:H494)-IF(Z493=1,0,SUM(INDIRECT("T"&amp;(MAX((1=Z$12:Z493)*ROW(Z$12:Z493)+1,ROW($T$12))&amp;":T"&amp;(ROW()-1))))),Первоначальный[[#This Row],[Полученный платеж]]+Y493)
)
)
)</f>
        <v>0</v>
      </c>
      <c r="U49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платеж]]+Y493-Первоначальный[[#This Row],[Полученный платёж по процентам]])</f>
        <v>0</v>
      </c>
      <c r="V494" s="55">
        <f t="shared" ca="1" si="85"/>
        <v>0</v>
      </c>
      <c r="W494" s="55" cm="1">
        <f t="array" aca="1" ref="W494" ca="1">IF(Первоначальный[[#This Row],[Итого остаток на начало периода]]&lt;1,0,
_xlfn.IFS(
AND(TYPE(VLOOKUP(1,$Z$12:Z494,1,0))=16,Первоначальный[[#This Row],[Досрочное погашение (да/"")]]=""),0,
AND(S493=0,Первоначальный[[#This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платеж]]+Y493-SUM(Первоначальный[[#This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комиссиям]]),VLOOKUP(LOOKUP(,-1/($Z$12:Z494=1),$A$12:A494),График[[Срок конец]:[Возврат основной суммы долга]],3,0)),
AND(S493=0,Первоначальный[[#This Row],[Дата платежа из графика]]="",Первоначальный[[#This Row],[Досрочное погашение (да/"")]]&lt;&gt;"Да"),0,
AND(S493=0,Первоначальный[[#This Row],[Досрочное погашение (да/"")]]=""),MIN(Первоначальный[[#This Row],[Полученный платеж]]+Y493-SUM(Первоначальный[[#This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комиссиям]]),VLOOKUP(LOOKUP(,-1/($Z$12:Z494=1),$A$12:A494),График[[Срок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платеж]]+Y493-SUM(Первоначальный[[#This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S493&gt;0,MIN(Первоначальный[[#This Row],[Полученный платеж]]+Y493-SUM(Первоначальный[[#This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комиссиям]]),SUM(INDIRECT("M"&amp;(MAX((1=S$12:S493)*ROW(S$12:S493),ROW($W$12))&amp;":M"&amp;(ROW()))))-SUM(INDIRECT("W"&amp;(MAX((1=S$12:S493)*ROW(S$12:S493),ROW($W$12))&amp;":W"&amp;(ROW()-1)))))
)
)</f>
        <v>0</v>
      </c>
      <c r="X494" s="55">
        <f t="shared" ca="1" si="86"/>
        <v>0</v>
      </c>
      <c r="Y494" s="101">
        <f t="shared" ca="1" si="93"/>
        <v>0</v>
      </c>
      <c r="Z494" s="133" t="str">
        <f>IF(TYPE((VLOOKUP(Первоначальный[[#This Row],[Дата платежа]],График[Срок конец],1,0)))=16,"",1)</f>
        <v/>
      </c>
      <c r="AA494" s="57"/>
      <c r="AB494" s="134"/>
      <c r="AC49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9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33583.989999999925</v>
      </c>
      <c r="AE49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666.79000000000121</v>
      </c>
      <c r="AF49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9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39228.416278688703</v>
      </c>
      <c r="AH494" s="55"/>
      <c r="AI494" s="55"/>
      <c r="AJ494" s="55"/>
      <c r="AK494" s="101">
        <f t="shared" ca="1" si="94"/>
        <v>223112.53627868864</v>
      </c>
      <c r="AL494" s="129">
        <f t="array" ref="AL494">MAX((УслРестрактов[Характеристика]="Дата реструктуризации")*(УслРестрактов[Значение]=Первоначальный!$A494),0)</f>
        <v>0</v>
      </c>
    </row>
    <row r="495" spans="1:38" x14ac:dyDescent="0.25">
      <c r="A495" s="97">
        <f t="shared" si="87"/>
        <v>44626</v>
      </c>
      <c r="B495" s="100">
        <f t="shared" ca="1" si="88"/>
        <v>149633.34</v>
      </c>
      <c r="C495" s="55">
        <f t="shared" ca="1" si="96"/>
        <v>33583.989999999925</v>
      </c>
      <c r="D495" s="55">
        <f t="shared" ca="1" si="96"/>
        <v>666.79000000000121</v>
      </c>
      <c r="E495" s="55">
        <f t="shared" ca="1" si="89"/>
        <v>0</v>
      </c>
      <c r="F495" s="55">
        <f t="shared" ca="1" si="90"/>
        <v>39228.416278688703</v>
      </c>
      <c r="G495" s="101">
        <f t="shared" ca="1" si="91"/>
        <v>223112.53627868864</v>
      </c>
      <c r="H495" s="100">
        <f ca="1">ROUND($B495*VLOOKUP($A495,$A$1:$B$10,2,1)/(365+IF(MOD(YEAR($A495),4),0,1)*($A495-$A494)),2)-Первоначальный[[#This Row],[Проценты на просроченный платеж по ОД за период]]</f>
        <v>78.34</v>
      </c>
      <c r="I495" s="55">
        <f t="shared" ca="1" si="92"/>
        <v>3.24</v>
      </c>
      <c r="J495" s="55">
        <v>0</v>
      </c>
      <c r="K495" s="55">
        <f t="shared" ca="1" si="95"/>
        <v>188.23850327868848</v>
      </c>
      <c r="L495" s="55">
        <v>0</v>
      </c>
      <c r="M495" s="113">
        <f>SUMIFS(График[Возврат основной суммы долга],График[Дата с учетом нерабочих дней],$A495)</f>
        <v>0</v>
      </c>
      <c r="N495" s="56">
        <f>SUMIFS(График[Возврат начисленных %],График[Дата с учетом нерабочих дней],$A495)</f>
        <v>0</v>
      </c>
      <c r="O495" s="101">
        <v>0</v>
      </c>
      <c r="P495" s="100" cm="1">
        <f t="array" aca="1" ref="P495" ca="1">MAX(IF(AA494="Да",0,SUM(INDIRECT("M"&amp;(MAX(("Да"=AA$12:AA494)*ROW(AA$12:AA494)+1,ROW($P$12))&amp;":M"&amp;(ROW()))))-SUM(INDIRECT("W"&amp;(MAX(("Да"=AA$12:AA494)*ROW(AA$12:AA494)+1,ROW($P$12))&amp;":W"&amp;(ROW()))))),0)</f>
        <v>5945.35</v>
      </c>
      <c r="Q495" s="99">
        <f ca="1">MAX(SUM($N$13:N495)-SUM($T$13:T495),0)</f>
        <v>31702.350655737697</v>
      </c>
      <c r="R495" s="99">
        <f ca="1">Первоначальный[[#This Row],[Просроченный платеж по ОД]]+Первоначальный[[#This Row],[Просроченный платеж по процентам]]</f>
        <v>37647.700655737695</v>
      </c>
      <c r="S495" s="120">
        <f ca="1">IF(Первоначальный[[#This Row],[Просроченный платеж]]&lt;1,0,S494+1)</f>
        <v>391</v>
      </c>
      <c r="T495" s="100" cm="1">
        <f t="array" aca="1" ref="T495" ca="1">IF(Первоначальный[[#This Row],[Итого остаток на начало периода]]&lt;1,0,
IF(
AND(TYPE(VLOOKUP(1,$Z$12:Z495,1,0))=16,Первоначальный[[#This Row],[Досрочное погашение (да/"")]]=""),0,
_xlfn.IFS(AND(S494=0,Первоначальный[[#This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платеж]]&lt;&gt;0),MIN(LOOKUP(,-1/($Z$12:Z495=1),$C$12:C495)+LOOKUP(,-1/($Z$12:Z495=1),$H$12:H495),Первоначальный[[#This Row],[Полученный платеж]]+Y494),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платеж]]+Y494,SUM(Первоначальный[[#This Row],[Остаток процентов на начало периода]],Первоначальный[[#This Row],[Проценты за период]])),
AND(S494=0,Первоначальный[[#This Row],[Дата платежа из графика]]=""),0,
AND(S494=0,Первоначальный[[#This Row],[Дата платежа из графика]]=1,MAX((0&lt;&gt;S$12:S494)*ROW(S$12:S494),ROW($S$12))&gt;=MAX((1=Z$12:Z494)*ROW(Z$12:Z494),ROW($T$12)),TYPE(VLOOKUP("Да",(INDIRECT("AA"&amp;(MAX((1=Z$12:Z494)*ROW(Z$12:Z494),ROW($T$12))&amp;":AA"&amp;(ROW()-1)))),1,0))=16),MIN(LOOKUP(,-1/($Z$12:Z495=1),$C$12:C495)+LOOKUP(,-1/($Z$12:Z495=1),$H$12:H495),Первоначальный[[#This Row],[Полученный платеж]]+Y494),
AND(S494=0,TYPE(VLOOKUP("Да",(INDIRECT("AA"&amp;(MAX((1=Z$12:Z494)*ROW(Z$12:Z494),ROW($T$12))&amp;":AA"&amp;(ROW()-1)))),1,0))&lt;&gt;16),MIN(LOOKUP(,-1/($Z$12:Z495=1),$C$12:C495)+LOOKUP(,-1/($Z$12:Z495=1),$H$12:H495)-IF(AA494="Да",0,SUM(INDIRECT("T"&amp;(MAX(("Да"=AA$12:AA494)*ROW(AA$12:AA494)+1,ROW($T$12))&amp;":T"&amp;(ROW()-1))))),Первоначальный[[#This Row],[Полученный платеж]]+Y494),
AND(S494=0,MAX((0&lt;&gt;N$12:N494)*ROW(N$12:N494),ROW($S$12))&gt;=MAX((1=Z$12:Z494)*ROW(Z$12:Z494),ROW($T$12))),MIN(LOOKUP(,-1/($Z$12:Z495=1),$C$12:C495)+LOOKUP(,-1/($Z$12:Z495=1),$H$12:H495)-IF(N494&lt;&gt;0,0,SUM(INDIRECT("T"&amp;(MAX((0&lt;&gt;N$12:N494)*ROW(N$12:N494)+1,ROW($T$12))&amp;":T"&amp;(ROW()-1))))),Первоначальный[[#This Row],[Полученный платеж]]+Y494),
AND(S494=0,Первоначальный[[#This Row],[Дата платежа из графика]]=1),MIN(LOOKUP(,-1/($Z$12:Z495=1),$C$12:C495)+LOOKUP(,-1/($Z$12:Z495=1),$H$12:H495)-IF(Z494=1,0,SUM(INDIRECT("T"&amp;(MAX((1=Z$12:Z494)*ROW(Z$12:Z494)+1,ROW($T$12))&amp;":T"&amp;(ROW()-1))))),Первоначальный[[#This Row],[Полученный платеж]]+Y494),
AND(Z494&gt;0,Первоначальный[[#This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платеж]]+Y494),
AND(S494&gt;0,MAX((0&lt;&gt;S$12:S494)*ROW(S$12:S494),ROW($S$12))&gt;=MAX((1=Z$12:Z494)*ROW(Z$12:Z494),ROW($T$12)),TYPE(VLOOKUP("Да",(INDIRECT("AA"&amp;(MAX((1=Z$12:Z494)*ROW(Z$12:Z494),ROW($T$12))&amp;":AA"&amp;(ROW()-1)))),1,0))=16),MIN(LOOKUP(,-1/($Z$12:Z495=1),$C$12:C495)+LOOKUP(,-1/($Z$12:Z495=1),$H$12:H495)-SUM(INDIRECT("T"&amp;(MAX((1=Z$12:Z494)*ROW(Z$12:Z494),ROW($T$12))&amp;":T"&amp;(ROW()-1)))),Первоначальный[[#This Row],[Полученный платеж]]+Y494),
S494&gt;0,MIN(LOOKUP(,-1/($Z$12:Z495=1),$C$12:C495)+LOOKUP(,-1/($Z$12:Z495=1),$H$12:H495)-IF(Z494=1,0,SUM(INDIRECT("T"&amp;(MAX((1=Z$12:Z494)*ROW(Z$12:Z494)+1,ROW($T$12))&amp;":T"&amp;(ROW()-1))))),Первоначальный[[#This Row],[Полученный платеж]]+Y494)
)
)
)</f>
        <v>0</v>
      </c>
      <c r="U49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платеж]]+Y494-Первоначальный[[#This Row],[Полученный платёж по процентам]])</f>
        <v>0</v>
      </c>
      <c r="V495" s="55">
        <f t="shared" ca="1" si="85"/>
        <v>0</v>
      </c>
      <c r="W495" s="55" cm="1">
        <f t="array" aca="1" ref="W495" ca="1">IF(Первоначальный[[#This Row],[Итого остаток на начало периода]]&lt;1,0,
_xlfn.IFS(
AND(TYPE(VLOOKUP(1,$Z$12:Z495,1,0))=16,Первоначальный[[#This Row],[Досрочное погашение (да/"")]]=""),0,
AND(S494=0,Первоначальный[[#This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платеж]]+Y494-SUM(Первоначальный[[#This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комиссиям]]),VLOOKUP(LOOKUP(,-1/($Z$12:Z495=1),$A$12:A495),График[[Срок конец]:[Возврат основной суммы долга]],3,0)),
AND(S494=0,Первоначальный[[#This Row],[Дата платежа из графика]]="",Первоначальный[[#This Row],[Досрочное погашение (да/"")]]&lt;&gt;"Да"),0,
AND(S494=0,Первоначальный[[#This Row],[Досрочное погашение (да/"")]]=""),MIN(Первоначальный[[#This Row],[Полученный платеж]]+Y494-SUM(Первоначальный[[#This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комиссиям]]),VLOOKUP(LOOKUP(,-1/($Z$12:Z495=1),$A$12:A495),График[[Срок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платеж]]+Y494-SUM(Первоначальный[[#This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S494&gt;0,MIN(Первоначальный[[#This Row],[Полученный платеж]]+Y494-SUM(Первоначальный[[#This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комиссиям]]),SUM(INDIRECT("M"&amp;(MAX((1=S$12:S494)*ROW(S$12:S494),ROW($W$12))&amp;":M"&amp;(ROW()))))-SUM(INDIRECT("W"&amp;(MAX((1=S$12:S494)*ROW(S$12:S494),ROW($W$12))&amp;":W"&amp;(ROW()-1)))))
)
)</f>
        <v>0</v>
      </c>
      <c r="X495" s="55">
        <f t="shared" ca="1" si="86"/>
        <v>0</v>
      </c>
      <c r="Y495" s="101">
        <f t="shared" ca="1" si="93"/>
        <v>0</v>
      </c>
      <c r="Z495" s="133" t="str">
        <f>IF(TYPE((VLOOKUP(Первоначальный[[#This Row],[Дата платежа]],График[Срок конец],1,0)))=16,"",1)</f>
        <v/>
      </c>
      <c r="AA495" s="57"/>
      <c r="AB495" s="134"/>
      <c r="AC49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9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33662.329999999922</v>
      </c>
      <c r="AE49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670.03000000000122</v>
      </c>
      <c r="AF49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9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39416.654781967394</v>
      </c>
      <c r="AH495" s="55"/>
      <c r="AI495" s="55"/>
      <c r="AJ495" s="55"/>
      <c r="AK495" s="101">
        <f t="shared" ca="1" si="94"/>
        <v>223382.35478196733</v>
      </c>
      <c r="AL495" s="129">
        <f t="array" ref="AL495">MAX((УслРестрактов[Характеристика]="Дата реструктуризации")*(УслРестрактов[Значение]=Первоначальный!$A495),0)</f>
        <v>0</v>
      </c>
    </row>
    <row r="496" spans="1:38" x14ac:dyDescent="0.25">
      <c r="A496" s="97">
        <f t="shared" si="87"/>
        <v>44627</v>
      </c>
      <c r="B496" s="100">
        <f t="shared" ca="1" si="88"/>
        <v>149633.34</v>
      </c>
      <c r="C496" s="55">
        <f t="shared" ca="1" si="96"/>
        <v>33662.329999999922</v>
      </c>
      <c r="D496" s="55">
        <f t="shared" ca="1" si="96"/>
        <v>670.03000000000122</v>
      </c>
      <c r="E496" s="55">
        <f t="shared" ca="1" si="89"/>
        <v>0</v>
      </c>
      <c r="F496" s="55">
        <f t="shared" ca="1" si="90"/>
        <v>39416.654781967394</v>
      </c>
      <c r="G496" s="101">
        <f t="shared" ca="1" si="91"/>
        <v>223382.35478196733</v>
      </c>
      <c r="H496" s="100">
        <f ca="1">ROUND($B496*VLOOKUP($A496,$A$1:$B$10,2,1)/(365+IF(MOD(YEAR($A496),4),0,1)*($A496-$A495)),2)-Первоначальный[[#This Row],[Проценты на просроченный платеж по ОД за период]]</f>
        <v>78.34</v>
      </c>
      <c r="I496" s="55">
        <f t="shared" ca="1" si="92"/>
        <v>3.24</v>
      </c>
      <c r="J496" s="55">
        <v>0</v>
      </c>
      <c r="K496" s="55">
        <f t="shared" ca="1" si="95"/>
        <v>188.23850327868848</v>
      </c>
      <c r="L496" s="55">
        <v>0</v>
      </c>
      <c r="M496" s="113">
        <f>SUMIFS(График[Возврат основной суммы долга],График[Дата с учетом нерабочих дней],$A496)</f>
        <v>0</v>
      </c>
      <c r="N496" s="56">
        <f>SUMIFS(График[Возврат начисленных %],График[Дата с учетом нерабочих дней],$A496)</f>
        <v>0</v>
      </c>
      <c r="O496" s="101">
        <v>0</v>
      </c>
      <c r="P496" s="100" cm="1">
        <f t="array" aca="1" ref="P496" ca="1">MAX(IF(AA495="Да",0,SUM(INDIRECT("M"&amp;(MAX(("Да"=AA$12:AA495)*ROW(AA$12:AA495)+1,ROW($P$12))&amp;":M"&amp;(ROW()))))-SUM(INDIRECT("W"&amp;(MAX(("Да"=AA$12:AA495)*ROW(AA$12:AA495)+1,ROW($P$12))&amp;":W"&amp;(ROW()))))),0)</f>
        <v>5945.35</v>
      </c>
      <c r="Q496" s="99">
        <f ca="1">MAX(SUM($N$13:N496)-SUM($T$13:T496),0)</f>
        <v>31702.350655737697</v>
      </c>
      <c r="R496" s="99">
        <f ca="1">Первоначальный[[#This Row],[Просроченный платеж по ОД]]+Первоначальный[[#This Row],[Просроченный платеж по процентам]]</f>
        <v>37647.700655737695</v>
      </c>
      <c r="S496" s="120">
        <f ca="1">IF(Первоначальный[[#This Row],[Просроченный платеж]]&lt;1,0,S495+1)</f>
        <v>392</v>
      </c>
      <c r="T496" s="100" cm="1">
        <f t="array" aca="1" ref="T496" ca="1">IF(Первоначальный[[#This Row],[Итого остаток на начало периода]]&lt;1,0,
IF(
AND(TYPE(VLOOKUP(1,$Z$12:Z496,1,0))=16,Первоначальный[[#This Row],[Досрочное погашение (да/"")]]=""),0,
_xlfn.IFS(AND(S495=0,Первоначальный[[#This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платеж]]&lt;&gt;0),MIN(LOOKUP(,-1/($Z$12:Z496=1),$C$12:C496)+LOOKUP(,-1/($Z$12:Z496=1),$H$12:H496),Первоначальный[[#This Row],[Полученный платеж]]+Y495),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платеж]]+Y495,SUM(Первоначальный[[#This Row],[Остаток процентов на начало периода]],Первоначальный[[#This Row],[Проценты за период]])),
AND(S495=0,Первоначальный[[#This Row],[Дата платежа из графика]]=""),0,
AND(S495=0,Первоначальный[[#This Row],[Дата платежа из графика]]=1,MAX((0&lt;&gt;S$12:S495)*ROW(S$12:S495),ROW($S$12))&gt;=MAX((1=Z$12:Z495)*ROW(Z$12:Z495),ROW($T$12)),TYPE(VLOOKUP("Да",(INDIRECT("AA"&amp;(MAX((1=Z$12:Z495)*ROW(Z$12:Z495),ROW($T$12))&amp;":AA"&amp;(ROW()-1)))),1,0))=16),MIN(LOOKUP(,-1/($Z$12:Z496=1),$C$12:C496)+LOOKUP(,-1/($Z$12:Z496=1),$H$12:H496),Первоначальный[[#This Row],[Полученный платеж]]+Y495),
AND(S495=0,TYPE(VLOOKUP("Да",(INDIRECT("AA"&amp;(MAX((1=Z$12:Z495)*ROW(Z$12:Z495),ROW($T$12))&amp;":AA"&amp;(ROW()-1)))),1,0))&lt;&gt;16),MIN(LOOKUP(,-1/($Z$12:Z496=1),$C$12:C496)+LOOKUP(,-1/($Z$12:Z496=1),$H$12:H496)-IF(AA495="Да",0,SUM(INDIRECT("T"&amp;(MAX(("Да"=AA$12:AA495)*ROW(AA$12:AA495)+1,ROW($T$12))&amp;":T"&amp;(ROW()-1))))),Первоначальный[[#This Row],[Полученный платеж]]+Y495),
AND(S495=0,MAX((0&lt;&gt;N$12:N495)*ROW(N$12:N495),ROW($S$12))&gt;=MAX((1=Z$12:Z495)*ROW(Z$12:Z495),ROW($T$12))),MIN(LOOKUP(,-1/($Z$12:Z496=1),$C$12:C496)+LOOKUP(,-1/($Z$12:Z496=1),$H$12:H496)-IF(N495&lt;&gt;0,0,SUM(INDIRECT("T"&amp;(MAX((0&lt;&gt;N$12:N495)*ROW(N$12:N495)+1,ROW($T$12))&amp;":T"&amp;(ROW()-1))))),Первоначальный[[#This Row],[Полученный платеж]]+Y495),
AND(S495=0,Первоначальный[[#This Row],[Дата платежа из графика]]=1),MIN(LOOKUP(,-1/($Z$12:Z496=1),$C$12:C496)+LOOKUP(,-1/($Z$12:Z496=1),$H$12:H496)-IF(Z495=1,0,SUM(INDIRECT("T"&amp;(MAX((1=Z$12:Z495)*ROW(Z$12:Z495)+1,ROW($T$12))&amp;":T"&amp;(ROW()-1))))),Первоначальный[[#This Row],[Полученный платеж]]+Y495),
AND(Z495&gt;0,Первоначальный[[#This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платеж]]+Y495),
AND(S495&gt;0,MAX((0&lt;&gt;S$12:S495)*ROW(S$12:S495),ROW($S$12))&gt;=MAX((1=Z$12:Z495)*ROW(Z$12:Z495),ROW($T$12)),TYPE(VLOOKUP("Да",(INDIRECT("AA"&amp;(MAX((1=Z$12:Z495)*ROW(Z$12:Z495),ROW($T$12))&amp;":AA"&amp;(ROW()-1)))),1,0))=16),MIN(LOOKUP(,-1/($Z$12:Z496=1),$C$12:C496)+LOOKUP(,-1/($Z$12:Z496=1),$H$12:H496)-SUM(INDIRECT("T"&amp;(MAX((1=Z$12:Z495)*ROW(Z$12:Z495),ROW($T$12))&amp;":T"&amp;(ROW()-1)))),Первоначальный[[#This Row],[Полученный платеж]]+Y495),
S495&gt;0,MIN(LOOKUP(,-1/($Z$12:Z496=1),$C$12:C496)+LOOKUP(,-1/($Z$12:Z496=1),$H$12:H496)-IF(Z495=1,0,SUM(INDIRECT("T"&amp;(MAX((1=Z$12:Z495)*ROW(Z$12:Z495)+1,ROW($T$12))&amp;":T"&amp;(ROW()-1))))),Первоначальный[[#This Row],[Полученный платеж]]+Y495)
)
)
)</f>
        <v>0</v>
      </c>
      <c r="U49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платеж]]+Y495-Первоначальный[[#This Row],[Полученный платёж по процентам]])</f>
        <v>0</v>
      </c>
      <c r="V496" s="55">
        <f t="shared" ca="1" si="85"/>
        <v>0</v>
      </c>
      <c r="W496" s="55" cm="1">
        <f t="array" aca="1" ref="W496" ca="1">IF(Первоначальный[[#This Row],[Итого остаток на начало периода]]&lt;1,0,
_xlfn.IFS(
AND(TYPE(VLOOKUP(1,$Z$12:Z496,1,0))=16,Первоначальный[[#This Row],[Досрочное погашение (да/"")]]=""),0,
AND(S495=0,Первоначальный[[#This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платеж]]+Y495-SUM(Первоначальный[[#This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комиссиям]]),VLOOKUP(LOOKUP(,-1/($Z$12:Z496=1),$A$12:A496),График[[Срок конец]:[Возврат основной суммы долга]],3,0)),
AND(S495=0,Первоначальный[[#This Row],[Дата платежа из графика]]="",Первоначальный[[#This Row],[Досрочное погашение (да/"")]]&lt;&gt;"Да"),0,
AND(S495=0,Первоначальный[[#This Row],[Досрочное погашение (да/"")]]=""),MIN(Первоначальный[[#This Row],[Полученный платеж]]+Y495-SUM(Первоначальный[[#This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комиссиям]]),VLOOKUP(LOOKUP(,-1/($Z$12:Z496=1),$A$12:A496),График[[Срок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платеж]]+Y495-SUM(Первоначальный[[#This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S495&gt;0,MIN(Первоначальный[[#This Row],[Полученный платеж]]+Y495-SUM(Первоначальный[[#This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комиссиям]]),SUM(INDIRECT("M"&amp;(MAX((1=S$12:S495)*ROW(S$12:S495),ROW($W$12))&amp;":M"&amp;(ROW()))))-SUM(INDIRECT("W"&amp;(MAX((1=S$12:S495)*ROW(S$12:S495),ROW($W$12))&amp;":W"&amp;(ROW()-1)))))
)
)</f>
        <v>0</v>
      </c>
      <c r="X496" s="55">
        <f t="shared" ca="1" si="86"/>
        <v>0</v>
      </c>
      <c r="Y496" s="101">
        <f t="shared" ca="1" si="93"/>
        <v>0</v>
      </c>
      <c r="Z496" s="133" t="str">
        <f>IF(TYPE((VLOOKUP(Первоначальный[[#This Row],[Дата платежа]],График[Срок конец],1,0)))=16,"",1)</f>
        <v/>
      </c>
      <c r="AA496" s="57"/>
      <c r="AB496" s="134"/>
      <c r="AC49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9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33740.669999999918</v>
      </c>
      <c r="AE49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673.27000000000123</v>
      </c>
      <c r="AF49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9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39604.893285246086</v>
      </c>
      <c r="AH496" s="55"/>
      <c r="AI496" s="55"/>
      <c r="AJ496" s="55"/>
      <c r="AK496" s="101">
        <f t="shared" ca="1" si="94"/>
        <v>223652.17328524601</v>
      </c>
      <c r="AL496" s="129">
        <f t="array" ref="AL496">MAX((УслРестрактов[Характеристика]="Дата реструктуризации")*(УслРестрактов[Значение]=Первоначальный!$A496),0)</f>
        <v>0</v>
      </c>
    </row>
    <row r="497" spans="1:38" x14ac:dyDescent="0.25">
      <c r="A497" s="97">
        <f t="shared" si="87"/>
        <v>44628</v>
      </c>
      <c r="B497" s="100">
        <f t="shared" ca="1" si="88"/>
        <v>149633.34</v>
      </c>
      <c r="C497" s="55">
        <f t="shared" ca="1" si="96"/>
        <v>33740.669999999918</v>
      </c>
      <c r="D497" s="55">
        <f t="shared" ca="1" si="96"/>
        <v>673.27000000000123</v>
      </c>
      <c r="E497" s="55">
        <f t="shared" ca="1" si="89"/>
        <v>0</v>
      </c>
      <c r="F497" s="55">
        <f t="shared" ca="1" si="90"/>
        <v>39604.893285246086</v>
      </c>
      <c r="G497" s="101">
        <f t="shared" ca="1" si="91"/>
        <v>223652.17328524601</v>
      </c>
      <c r="H497" s="100">
        <f ca="1">ROUND($B497*VLOOKUP($A497,$A$1:$B$10,2,1)/(365+IF(MOD(YEAR($A497),4),0,1)*($A497-$A496)),2)-Первоначальный[[#This Row],[Проценты на просроченный платеж по ОД за период]]</f>
        <v>78.34</v>
      </c>
      <c r="I497" s="55">
        <f t="shared" ca="1" si="92"/>
        <v>3.24</v>
      </c>
      <c r="J497" s="55">
        <v>0</v>
      </c>
      <c r="K497" s="55">
        <f t="shared" ca="1" si="95"/>
        <v>188.23850327868848</v>
      </c>
      <c r="L497" s="55">
        <v>0</v>
      </c>
      <c r="M497" s="113">
        <f>SUMIFS(График[Возврат основной суммы долга],График[Дата с учетом нерабочих дней],$A497)</f>
        <v>0</v>
      </c>
      <c r="N497" s="56">
        <f>SUMIFS(График[Возврат начисленных %],График[Дата с учетом нерабочих дней],$A497)</f>
        <v>0</v>
      </c>
      <c r="O497" s="101">
        <v>0</v>
      </c>
      <c r="P497" s="100" cm="1">
        <f t="array" aca="1" ref="P497" ca="1">MAX(IF(AA496="Да",0,SUM(INDIRECT("M"&amp;(MAX(("Да"=AA$12:AA496)*ROW(AA$12:AA496)+1,ROW($P$12))&amp;":M"&amp;(ROW()))))-SUM(INDIRECT("W"&amp;(MAX(("Да"=AA$12:AA496)*ROW(AA$12:AA496)+1,ROW($P$12))&amp;":W"&amp;(ROW()))))),0)</f>
        <v>5945.35</v>
      </c>
      <c r="Q497" s="99">
        <f ca="1">MAX(SUM($N$13:N497)-SUM($T$13:T497),0)</f>
        <v>31702.350655737697</v>
      </c>
      <c r="R497" s="99">
        <f ca="1">Первоначальный[[#This Row],[Просроченный платеж по ОД]]+Первоначальный[[#This Row],[Просроченный платеж по процентам]]</f>
        <v>37647.700655737695</v>
      </c>
      <c r="S497" s="120">
        <f ca="1">IF(Первоначальный[[#This Row],[Просроченный платеж]]&lt;1,0,S496+1)</f>
        <v>393</v>
      </c>
      <c r="T497" s="100" cm="1">
        <f t="array" aca="1" ref="T497" ca="1">IF(Первоначальный[[#This Row],[Итого остаток на начало периода]]&lt;1,0,
IF(
AND(TYPE(VLOOKUP(1,$Z$12:Z497,1,0))=16,Первоначальный[[#This Row],[Досрочное погашение (да/"")]]=""),0,
_xlfn.IFS(AND(S496=0,Первоначальный[[#This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платеж]]&lt;&gt;0),MIN(LOOKUP(,-1/($Z$12:Z497=1),$C$12:C497)+LOOKUP(,-1/($Z$12:Z497=1),$H$12:H497),Первоначальный[[#This Row],[Полученный платеж]]+Y496),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платеж]]+Y496,SUM(Первоначальный[[#This Row],[Остаток процентов на начало периода]],Первоначальный[[#This Row],[Проценты за период]])),
AND(S496=0,Первоначальный[[#This Row],[Дата платежа из графика]]=""),0,
AND(S496=0,Первоначальный[[#This Row],[Дата платежа из графика]]=1,MAX((0&lt;&gt;S$12:S496)*ROW(S$12:S496),ROW($S$12))&gt;=MAX((1=Z$12:Z496)*ROW(Z$12:Z496),ROW($T$12)),TYPE(VLOOKUP("Да",(INDIRECT("AA"&amp;(MAX((1=Z$12:Z496)*ROW(Z$12:Z496),ROW($T$12))&amp;":AA"&amp;(ROW()-1)))),1,0))=16),MIN(LOOKUP(,-1/($Z$12:Z497=1),$C$12:C497)+LOOKUP(,-1/($Z$12:Z497=1),$H$12:H497),Первоначальный[[#This Row],[Полученный платеж]]+Y496),
AND(S496=0,TYPE(VLOOKUP("Да",(INDIRECT("AA"&amp;(MAX((1=Z$12:Z496)*ROW(Z$12:Z496),ROW($T$12))&amp;":AA"&amp;(ROW()-1)))),1,0))&lt;&gt;16),MIN(LOOKUP(,-1/($Z$12:Z497=1),$C$12:C497)+LOOKUP(,-1/($Z$12:Z497=1),$H$12:H497)-IF(AA496="Да",0,SUM(INDIRECT("T"&amp;(MAX(("Да"=AA$12:AA496)*ROW(AA$12:AA496)+1,ROW($T$12))&amp;":T"&amp;(ROW()-1))))),Первоначальный[[#This Row],[Полученный платеж]]+Y496),
AND(S496=0,MAX((0&lt;&gt;N$12:N496)*ROW(N$12:N496),ROW($S$12))&gt;=MAX((1=Z$12:Z496)*ROW(Z$12:Z496),ROW($T$12))),MIN(LOOKUP(,-1/($Z$12:Z497=1),$C$12:C497)+LOOKUP(,-1/($Z$12:Z497=1),$H$12:H497)-IF(N496&lt;&gt;0,0,SUM(INDIRECT("T"&amp;(MAX((0&lt;&gt;N$12:N496)*ROW(N$12:N496)+1,ROW($T$12))&amp;":T"&amp;(ROW()-1))))),Первоначальный[[#This Row],[Полученный платеж]]+Y496),
AND(S496=0,Первоначальный[[#This Row],[Дата платежа из графика]]=1),MIN(LOOKUP(,-1/($Z$12:Z497=1),$C$12:C497)+LOOKUP(,-1/($Z$12:Z497=1),$H$12:H497)-IF(Z496=1,0,SUM(INDIRECT("T"&amp;(MAX((1=Z$12:Z496)*ROW(Z$12:Z496)+1,ROW($T$12))&amp;":T"&amp;(ROW()-1))))),Первоначальный[[#This Row],[Полученный платеж]]+Y496),
AND(Z496&gt;0,Первоначальный[[#This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платеж]]+Y496),
AND(S496&gt;0,MAX((0&lt;&gt;S$12:S496)*ROW(S$12:S496),ROW($S$12))&gt;=MAX((1=Z$12:Z496)*ROW(Z$12:Z496),ROW($T$12)),TYPE(VLOOKUP("Да",(INDIRECT("AA"&amp;(MAX((1=Z$12:Z496)*ROW(Z$12:Z496),ROW($T$12))&amp;":AA"&amp;(ROW()-1)))),1,0))=16),MIN(LOOKUP(,-1/($Z$12:Z497=1),$C$12:C497)+LOOKUP(,-1/($Z$12:Z497=1),$H$12:H497)-SUM(INDIRECT("T"&amp;(MAX((1=Z$12:Z496)*ROW(Z$12:Z496),ROW($T$12))&amp;":T"&amp;(ROW()-1)))),Первоначальный[[#This Row],[Полученный платеж]]+Y496),
S496&gt;0,MIN(LOOKUP(,-1/($Z$12:Z497=1),$C$12:C497)+LOOKUP(,-1/($Z$12:Z497=1),$H$12:H497)-IF(Z496=1,0,SUM(INDIRECT("T"&amp;(MAX((1=Z$12:Z496)*ROW(Z$12:Z496)+1,ROW($T$12))&amp;":T"&amp;(ROW()-1))))),Первоначальный[[#This Row],[Полученный платеж]]+Y496)
)
)
)</f>
        <v>0</v>
      </c>
      <c r="U49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платеж]]+Y496-Первоначальный[[#This Row],[Полученный платёж по процентам]])</f>
        <v>0</v>
      </c>
      <c r="V497" s="55">
        <f t="shared" ca="1" si="85"/>
        <v>0</v>
      </c>
      <c r="W497" s="55" cm="1">
        <f t="array" aca="1" ref="W497" ca="1">IF(Первоначальный[[#This Row],[Итого остаток на начало периода]]&lt;1,0,
_xlfn.IFS(
AND(TYPE(VLOOKUP(1,$Z$12:Z497,1,0))=16,Первоначальный[[#This Row],[Досрочное погашение (да/"")]]=""),0,
AND(S496=0,Первоначальный[[#This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платеж]]+Y496-SUM(Первоначальный[[#This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комиссиям]]),VLOOKUP(LOOKUP(,-1/($Z$12:Z497=1),$A$12:A497),График[[Срок конец]:[Возврат основной суммы долга]],3,0)),
AND(S496=0,Первоначальный[[#This Row],[Дата платежа из графика]]="",Первоначальный[[#This Row],[Досрочное погашение (да/"")]]&lt;&gt;"Да"),0,
AND(S496=0,Первоначальный[[#This Row],[Досрочное погашение (да/"")]]=""),MIN(Первоначальный[[#This Row],[Полученный платеж]]+Y496-SUM(Первоначальный[[#This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комиссиям]]),VLOOKUP(LOOKUP(,-1/($Z$12:Z497=1),$A$12:A497),График[[Срок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платеж]]+Y496-SUM(Первоначальный[[#This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S496&gt;0,MIN(Первоначальный[[#This Row],[Полученный платеж]]+Y496-SUM(Первоначальный[[#This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комиссиям]]),SUM(INDIRECT("M"&amp;(MAX((1=S$12:S496)*ROW(S$12:S496),ROW($W$12))&amp;":M"&amp;(ROW()))))-SUM(INDIRECT("W"&amp;(MAX((1=S$12:S496)*ROW(S$12:S496),ROW($W$12))&amp;":W"&amp;(ROW()-1)))))
)
)</f>
        <v>0</v>
      </c>
      <c r="X497" s="55">
        <f t="shared" ca="1" si="86"/>
        <v>0</v>
      </c>
      <c r="Y497" s="101">
        <f t="shared" ca="1" si="93"/>
        <v>0</v>
      </c>
      <c r="Z497" s="133" t="str">
        <f>IF(TYPE((VLOOKUP(Первоначальный[[#This Row],[Дата платежа]],График[Срок конец],1,0)))=16,"",1)</f>
        <v/>
      </c>
      <c r="AA497" s="57"/>
      <c r="AB497" s="134"/>
      <c r="AC49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9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33819.009999999915</v>
      </c>
      <c r="AE49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676.51000000000124</v>
      </c>
      <c r="AF49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9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39793.131788524777</v>
      </c>
      <c r="AH497" s="55"/>
      <c r="AI497" s="55"/>
      <c r="AJ497" s="55"/>
      <c r="AK497" s="101">
        <f t="shared" ca="1" si="94"/>
        <v>223921.9917885247</v>
      </c>
      <c r="AL497" s="129">
        <f t="array" ref="AL497">MAX((УслРестрактов[Характеристика]="Дата реструктуризации")*(УслРестрактов[Значение]=Первоначальный!$A497),0)</f>
        <v>0</v>
      </c>
    </row>
    <row r="498" spans="1:38" x14ac:dyDescent="0.25">
      <c r="A498" s="97">
        <f t="shared" si="87"/>
        <v>44629</v>
      </c>
      <c r="B498" s="100">
        <f t="shared" ca="1" si="88"/>
        <v>149633.34</v>
      </c>
      <c r="C498" s="55">
        <f t="shared" ca="1" si="96"/>
        <v>33819.009999999915</v>
      </c>
      <c r="D498" s="55">
        <f t="shared" ca="1" si="96"/>
        <v>676.51000000000124</v>
      </c>
      <c r="E498" s="55">
        <f t="shared" ca="1" si="89"/>
        <v>0</v>
      </c>
      <c r="F498" s="55">
        <f t="shared" ca="1" si="90"/>
        <v>39793.131788524777</v>
      </c>
      <c r="G498" s="101">
        <f t="shared" ca="1" si="91"/>
        <v>223921.9917885247</v>
      </c>
      <c r="H498" s="100">
        <f ca="1">ROUND($B498*VLOOKUP($A498,$A$1:$B$10,2,1)/(365+IF(MOD(YEAR($A498),4),0,1)*($A498-$A497)),2)-Первоначальный[[#This Row],[Проценты на просроченный платеж по ОД за период]]</f>
        <v>78.34</v>
      </c>
      <c r="I498" s="55">
        <f t="shared" ca="1" si="92"/>
        <v>3.24</v>
      </c>
      <c r="J498" s="55">
        <v>0</v>
      </c>
      <c r="K498" s="55">
        <f t="shared" ca="1" si="95"/>
        <v>202.72350327868853</v>
      </c>
      <c r="L498" s="55">
        <v>0</v>
      </c>
      <c r="M498" s="113">
        <f>SUMIFS(График[Возврат основной суммы долга],График[Дата с учетом нерабочих дней],$A498)</f>
        <v>703.48999999999978</v>
      </c>
      <c r="N498" s="56">
        <f>SUMIFS(График[Возврат начисленных %],График[Дата с учетом нерабочих дней],$A498)</f>
        <v>2193.5100000000002</v>
      </c>
      <c r="O498" s="101">
        <v>0</v>
      </c>
      <c r="P498" s="100" cm="1">
        <f t="array" aca="1" ref="P498" ca="1">MAX(IF(AA497="Да",0,SUM(INDIRECT("M"&amp;(MAX(("Да"=AA$12:AA497)*ROW(AA$12:AA497)+1,ROW($P$12))&amp;":M"&amp;(ROW()))))-SUM(INDIRECT("W"&amp;(MAX(("Да"=AA$12:AA497)*ROW(AA$12:AA497)+1,ROW($P$12))&amp;":W"&amp;(ROW()))))),0)</f>
        <v>6648.84</v>
      </c>
      <c r="Q498" s="99">
        <f ca="1">MAX(SUM($N$13:N498)-SUM($T$13:T498),0)</f>
        <v>33895.860655737699</v>
      </c>
      <c r="R498" s="99">
        <f ca="1">Первоначальный[[#This Row],[Просроченный платеж по ОД]]+Первоначальный[[#This Row],[Просроченный платеж по процентам]]</f>
        <v>40544.700655737703</v>
      </c>
      <c r="S498" s="120">
        <f ca="1">IF(Первоначальный[[#This Row],[Просроченный платеж]]&lt;1,0,S497+1)</f>
        <v>394</v>
      </c>
      <c r="T498" s="100" cm="1">
        <f t="array" aca="1" ref="T498" ca="1">IF(Первоначальный[[#This Row],[Итого остаток на начало периода]]&lt;1,0,
IF(
AND(TYPE(VLOOKUP(1,$Z$12:Z498,1,0))=16,Первоначальный[[#This Row],[Досрочное погашение (да/"")]]=""),0,
_xlfn.IFS(AND(S497=0,Первоначальный[[#This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платеж]]&lt;&gt;0),MIN(LOOKUP(,-1/($Z$12:Z498=1),$C$12:C498)+LOOKUP(,-1/($Z$12:Z498=1),$H$12:H498),Первоначальный[[#This Row],[Полученный платеж]]+Y497),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платеж]]+Y497,SUM(Первоначальный[[#This Row],[Остаток процентов на начало периода]],Первоначальный[[#This Row],[Проценты за период]])),
AND(S497=0,Первоначальный[[#This Row],[Дата платежа из графика]]=""),0,
AND(S497=0,Первоначальный[[#This Row],[Дата платежа из графика]]=1,MAX((0&lt;&gt;S$12:S497)*ROW(S$12:S497),ROW($S$12))&gt;=MAX((1=Z$12:Z497)*ROW(Z$12:Z497),ROW($T$12)),TYPE(VLOOKUP("Да",(INDIRECT("AA"&amp;(MAX((1=Z$12:Z497)*ROW(Z$12:Z497),ROW($T$12))&amp;":AA"&amp;(ROW()-1)))),1,0))=16),MIN(LOOKUP(,-1/($Z$12:Z498=1),$C$12:C498)+LOOKUP(,-1/($Z$12:Z498=1),$H$12:H498),Первоначальный[[#This Row],[Полученный платеж]]+Y497),
AND(S497=0,TYPE(VLOOKUP("Да",(INDIRECT("AA"&amp;(MAX((1=Z$12:Z497)*ROW(Z$12:Z497),ROW($T$12))&amp;":AA"&amp;(ROW()-1)))),1,0))&lt;&gt;16),MIN(LOOKUP(,-1/($Z$12:Z498=1),$C$12:C498)+LOOKUP(,-1/($Z$12:Z498=1),$H$12:H498)-IF(AA497="Да",0,SUM(INDIRECT("T"&amp;(MAX(("Да"=AA$12:AA497)*ROW(AA$12:AA497)+1,ROW($T$12))&amp;":T"&amp;(ROW()-1))))),Первоначальный[[#This Row],[Полученный платеж]]+Y497),
AND(S497=0,MAX((0&lt;&gt;N$12:N497)*ROW(N$12:N497),ROW($S$12))&gt;=MAX((1=Z$12:Z497)*ROW(Z$12:Z497),ROW($T$12))),MIN(LOOKUP(,-1/($Z$12:Z498=1),$C$12:C498)+LOOKUP(,-1/($Z$12:Z498=1),$H$12:H498)-IF(N497&lt;&gt;0,0,SUM(INDIRECT("T"&amp;(MAX((0&lt;&gt;N$12:N497)*ROW(N$12:N497)+1,ROW($T$12))&amp;":T"&amp;(ROW()-1))))),Первоначальный[[#This Row],[Полученный платеж]]+Y497),
AND(S497=0,Первоначальный[[#This Row],[Дата платежа из графика]]=1),MIN(LOOKUP(,-1/($Z$12:Z498=1),$C$12:C498)+LOOKUP(,-1/($Z$12:Z498=1),$H$12:H498)-IF(Z497=1,0,SUM(INDIRECT("T"&amp;(MAX((1=Z$12:Z497)*ROW(Z$12:Z497)+1,ROW($T$12))&amp;":T"&amp;(ROW()-1))))),Первоначальный[[#This Row],[Полученный платеж]]+Y497),
AND(Z497&gt;0,Первоначальный[[#This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платеж]]+Y497),
AND(S497&gt;0,MAX((0&lt;&gt;S$12:S497)*ROW(S$12:S497),ROW($S$12))&gt;=MAX((1=Z$12:Z497)*ROW(Z$12:Z497),ROW($T$12)),TYPE(VLOOKUP("Да",(INDIRECT("AA"&amp;(MAX((1=Z$12:Z497)*ROW(Z$12:Z497),ROW($T$12))&amp;":AA"&amp;(ROW()-1)))),1,0))=16),MIN(LOOKUP(,-1/($Z$12:Z498=1),$C$12:C498)+LOOKUP(,-1/($Z$12:Z498=1),$H$12:H498)-SUM(INDIRECT("T"&amp;(MAX((1=Z$12:Z497)*ROW(Z$12:Z497),ROW($T$12))&amp;":T"&amp;(ROW()-1)))),Первоначальный[[#This Row],[Полученный платеж]]+Y497),
S497&gt;0,MIN(LOOKUP(,-1/($Z$12:Z498=1),$C$12:C498)+LOOKUP(,-1/($Z$12:Z498=1),$H$12:H498)-IF(Z497=1,0,SUM(INDIRECT("T"&amp;(MAX((1=Z$12:Z497)*ROW(Z$12:Z497)+1,ROW($T$12))&amp;":T"&amp;(ROW()-1))))),Первоначальный[[#This Row],[Полученный платеж]]+Y497)
)
)
)</f>
        <v>0</v>
      </c>
      <c r="U49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платеж]]+Y497-Первоначальный[[#This Row],[Полученный платёж по процентам]])</f>
        <v>0</v>
      </c>
      <c r="V498" s="55">
        <f t="shared" ca="1" si="85"/>
        <v>0</v>
      </c>
      <c r="W498" s="55" cm="1">
        <f t="array" aca="1" ref="W498" ca="1">IF(Первоначальный[[#This Row],[Итого остаток на начало периода]]&lt;1,0,
_xlfn.IFS(
AND(TYPE(VLOOKUP(1,$Z$12:Z498,1,0))=16,Первоначальный[[#This Row],[Досрочное погашение (да/"")]]=""),0,
AND(S497=0,Первоначальный[[#This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платеж]]+Y497-SUM(Первоначальный[[#This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комиссиям]]),VLOOKUP(LOOKUP(,-1/($Z$12:Z498=1),$A$12:A498),График[[Срок конец]:[Возврат основной суммы долга]],3,0)),
AND(S497=0,Первоначальный[[#This Row],[Дата платежа из графика]]="",Первоначальный[[#This Row],[Досрочное погашение (да/"")]]&lt;&gt;"Да"),0,
AND(S497=0,Первоначальный[[#This Row],[Досрочное погашение (да/"")]]=""),MIN(Первоначальный[[#This Row],[Полученный платеж]]+Y497-SUM(Первоначальный[[#This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комиссиям]]),VLOOKUP(LOOKUP(,-1/($Z$12:Z498=1),$A$12:A498),График[[Срок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платеж]]+Y497-SUM(Первоначальный[[#This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S497&gt;0,MIN(Первоначальный[[#This Row],[Полученный платеж]]+Y497-SUM(Первоначальный[[#This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комиссиям]]),SUM(INDIRECT("M"&amp;(MAX((1=S$12:S497)*ROW(S$12:S497),ROW($W$12))&amp;":M"&amp;(ROW()))))-SUM(INDIRECT("W"&amp;(MAX((1=S$12:S497)*ROW(S$12:S497),ROW($W$12))&amp;":W"&amp;(ROW()-1)))))
)
)</f>
        <v>0</v>
      </c>
      <c r="X498" s="55">
        <f t="shared" ca="1" si="86"/>
        <v>0</v>
      </c>
      <c r="Y498" s="101">
        <f t="shared" ca="1" si="93"/>
        <v>0</v>
      </c>
      <c r="Z498" s="133">
        <f>IF(TYPE((VLOOKUP(Первоначальный[[#This Row],[Дата платежа]],График[Срок конец],1,0)))=16,"",1)</f>
        <v>1</v>
      </c>
      <c r="AA498" s="57"/>
      <c r="AB498" s="134"/>
      <c r="AC49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9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33897.349999999911</v>
      </c>
      <c r="AE49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679.75000000000125</v>
      </c>
      <c r="AF49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9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39995.855291803469</v>
      </c>
      <c r="AH498" s="55"/>
      <c r="AI498" s="55"/>
      <c r="AJ498" s="55"/>
      <c r="AK498" s="101">
        <f t="shared" ca="1" si="94"/>
        <v>224206.29529180337</v>
      </c>
      <c r="AL498" s="129">
        <f t="array" ref="AL498">MAX((УслРестрактов[Характеристика]="Дата реструктуризации")*(УслРестрактов[Значение]=Первоначальный!$A498),0)</f>
        <v>0</v>
      </c>
    </row>
    <row r="499" spans="1:38" x14ac:dyDescent="0.25">
      <c r="A499" s="97">
        <f t="shared" si="87"/>
        <v>44630</v>
      </c>
      <c r="B499" s="100">
        <f t="shared" ca="1" si="88"/>
        <v>149633.34</v>
      </c>
      <c r="C499" s="55">
        <f t="shared" ca="1" si="96"/>
        <v>33897.349999999911</v>
      </c>
      <c r="D499" s="55">
        <f t="shared" ca="1" si="96"/>
        <v>679.75000000000125</v>
      </c>
      <c r="E499" s="55">
        <f t="shared" ca="1" si="89"/>
        <v>0</v>
      </c>
      <c r="F499" s="55">
        <f t="shared" ca="1" si="90"/>
        <v>39995.855291803469</v>
      </c>
      <c r="G499" s="101">
        <f t="shared" ca="1" si="91"/>
        <v>224206.29529180337</v>
      </c>
      <c r="H499" s="100">
        <f ca="1">ROUND($B499*VLOOKUP($A499,$A$1:$B$10,2,1)/(365+IF(MOD(YEAR($A499),4),0,1)*($A499-$A498)),2)-Первоначальный[[#This Row],[Проценты на просроченный платеж по ОД за период]]</f>
        <v>77.959999999999994</v>
      </c>
      <c r="I499" s="55">
        <f t="shared" ca="1" si="92"/>
        <v>3.62</v>
      </c>
      <c r="J499" s="55">
        <v>0</v>
      </c>
      <c r="K499" s="55">
        <f t="shared" ca="1" si="95"/>
        <v>202.72350327868853</v>
      </c>
      <c r="L499" s="55">
        <v>0</v>
      </c>
      <c r="M499" s="113">
        <f>SUMIFS(График[Возврат основной суммы долга],График[Дата с учетом нерабочих дней],$A499)</f>
        <v>0</v>
      </c>
      <c r="N499" s="56">
        <f>SUMIFS(График[Возврат начисленных %],График[Дата с учетом нерабочих дней],$A499)</f>
        <v>0</v>
      </c>
      <c r="O499" s="101">
        <v>0</v>
      </c>
      <c r="P499" s="100" cm="1">
        <f t="array" aca="1" ref="P499" ca="1">MAX(IF(AA498="Да",0,SUM(INDIRECT("M"&amp;(MAX(("Да"=AA$12:AA498)*ROW(AA$12:AA498)+1,ROW($P$12))&amp;":M"&amp;(ROW()))))-SUM(INDIRECT("W"&amp;(MAX(("Да"=AA$12:AA498)*ROW(AA$12:AA498)+1,ROW($P$12))&amp;":W"&amp;(ROW()))))),0)</f>
        <v>6648.84</v>
      </c>
      <c r="Q499" s="99">
        <f ca="1">MAX(SUM($N$13:N499)-SUM($T$13:T499),0)</f>
        <v>33895.860655737699</v>
      </c>
      <c r="R499" s="99">
        <f ca="1">Первоначальный[[#This Row],[Просроченный платеж по ОД]]+Первоначальный[[#This Row],[Просроченный платеж по процентам]]</f>
        <v>40544.700655737703</v>
      </c>
      <c r="S499" s="120">
        <f ca="1">IF(Первоначальный[[#This Row],[Просроченный платеж]]&lt;1,0,S498+1)</f>
        <v>395</v>
      </c>
      <c r="T499" s="100" cm="1">
        <f t="array" aca="1" ref="T499" ca="1">IF(Первоначальный[[#This Row],[Итого остаток на начало периода]]&lt;1,0,
IF(
AND(TYPE(VLOOKUP(1,$Z$12:Z499,1,0))=16,Первоначальный[[#This Row],[Досрочное погашение (да/"")]]=""),0,
_xlfn.IFS(AND(S498=0,Первоначальный[[#This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платеж]]&lt;&gt;0),MIN(LOOKUP(,-1/($Z$12:Z499=1),$C$12:C499)+LOOKUP(,-1/($Z$12:Z499=1),$H$12:H499),Первоначальный[[#This Row],[Полученный платеж]]+Y498),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платеж]]+Y498,SUM(Первоначальный[[#This Row],[Остаток процентов на начало периода]],Первоначальный[[#This Row],[Проценты за период]])),
AND(S498=0,Первоначальный[[#This Row],[Дата платежа из графика]]=""),0,
AND(S498=0,Первоначальный[[#This Row],[Дата платежа из графика]]=1,MAX((0&lt;&gt;S$12:S498)*ROW(S$12:S498),ROW($S$12))&gt;=MAX((1=Z$12:Z498)*ROW(Z$12:Z498),ROW($T$12)),TYPE(VLOOKUP("Да",(INDIRECT("AA"&amp;(MAX((1=Z$12:Z498)*ROW(Z$12:Z498),ROW($T$12))&amp;":AA"&amp;(ROW()-1)))),1,0))=16),MIN(LOOKUP(,-1/($Z$12:Z499=1),$C$12:C499)+LOOKUP(,-1/($Z$12:Z499=1),$H$12:H499),Первоначальный[[#This Row],[Полученный платеж]]+Y498),
AND(S498=0,TYPE(VLOOKUP("Да",(INDIRECT("AA"&amp;(MAX((1=Z$12:Z498)*ROW(Z$12:Z498),ROW($T$12))&amp;":AA"&amp;(ROW()-1)))),1,0))&lt;&gt;16),MIN(LOOKUP(,-1/($Z$12:Z499=1),$C$12:C499)+LOOKUP(,-1/($Z$12:Z499=1),$H$12:H499)-IF(AA498="Да",0,SUM(INDIRECT("T"&amp;(MAX(("Да"=AA$12:AA498)*ROW(AA$12:AA498)+1,ROW($T$12))&amp;":T"&amp;(ROW()-1))))),Первоначальный[[#This Row],[Полученный платеж]]+Y498),
AND(S498=0,MAX((0&lt;&gt;N$12:N498)*ROW(N$12:N498),ROW($S$12))&gt;=MAX((1=Z$12:Z498)*ROW(Z$12:Z498),ROW($T$12))),MIN(LOOKUP(,-1/($Z$12:Z499=1),$C$12:C499)+LOOKUP(,-1/($Z$12:Z499=1),$H$12:H499)-IF(N498&lt;&gt;0,0,SUM(INDIRECT("T"&amp;(MAX((0&lt;&gt;N$12:N498)*ROW(N$12:N498)+1,ROW($T$12))&amp;":T"&amp;(ROW()-1))))),Первоначальный[[#This Row],[Полученный платеж]]+Y498),
AND(S498=0,Первоначальный[[#This Row],[Дата платежа из графика]]=1),MIN(LOOKUP(,-1/($Z$12:Z499=1),$C$12:C499)+LOOKUP(,-1/($Z$12:Z499=1),$H$12:H499)-IF(Z498=1,0,SUM(INDIRECT("T"&amp;(MAX((1=Z$12:Z498)*ROW(Z$12:Z498)+1,ROW($T$12))&amp;":T"&amp;(ROW()-1))))),Первоначальный[[#This Row],[Полученный платеж]]+Y498),
AND(Z498&gt;0,Первоначальный[[#This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платеж]]+Y498),
AND(S498&gt;0,MAX((0&lt;&gt;S$12:S498)*ROW(S$12:S498),ROW($S$12))&gt;=MAX((1=Z$12:Z498)*ROW(Z$12:Z498),ROW($T$12)),TYPE(VLOOKUP("Да",(INDIRECT("AA"&amp;(MAX((1=Z$12:Z498)*ROW(Z$12:Z498),ROW($T$12))&amp;":AA"&amp;(ROW()-1)))),1,0))=16),MIN(LOOKUP(,-1/($Z$12:Z499=1),$C$12:C499)+LOOKUP(,-1/($Z$12:Z499=1),$H$12:H499)-SUM(INDIRECT("T"&amp;(MAX((1=Z$12:Z498)*ROW(Z$12:Z498),ROW($T$12))&amp;":T"&amp;(ROW()-1)))),Первоначальный[[#This Row],[Полученный платеж]]+Y498),
S498&gt;0,MIN(LOOKUP(,-1/($Z$12:Z499=1),$C$12:C499)+LOOKUP(,-1/($Z$12:Z499=1),$H$12:H499)-IF(Z498=1,0,SUM(INDIRECT("T"&amp;(MAX((1=Z$12:Z498)*ROW(Z$12:Z498)+1,ROW($T$12))&amp;":T"&amp;(ROW()-1))))),Первоначальный[[#This Row],[Полученный платеж]]+Y498)
)
)
)</f>
        <v>0</v>
      </c>
      <c r="U49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платеж]]+Y498-Первоначальный[[#This Row],[Полученный платёж по процентам]])</f>
        <v>0</v>
      </c>
      <c r="V499" s="55">
        <f t="shared" ca="1" si="85"/>
        <v>0</v>
      </c>
      <c r="W499" s="55" cm="1">
        <f t="array" aca="1" ref="W499" ca="1">IF(Первоначальный[[#This Row],[Итого остаток на начало периода]]&lt;1,0,
_xlfn.IFS(
AND(TYPE(VLOOKUP(1,$Z$12:Z499,1,0))=16,Первоначальный[[#This Row],[Досрочное погашение (да/"")]]=""),0,
AND(S498=0,Первоначальный[[#This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платеж]]+Y498-SUM(Первоначальный[[#This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комиссиям]]),VLOOKUP(LOOKUP(,-1/($Z$12:Z499=1),$A$12:A499),График[[Срок конец]:[Возврат основной суммы долга]],3,0)),
AND(S498=0,Первоначальный[[#This Row],[Дата платежа из графика]]="",Первоначальный[[#This Row],[Досрочное погашение (да/"")]]&lt;&gt;"Да"),0,
AND(S498=0,Первоначальный[[#This Row],[Досрочное погашение (да/"")]]=""),MIN(Первоначальный[[#This Row],[Полученный платеж]]+Y498-SUM(Первоначальный[[#This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комиссиям]]),VLOOKUP(LOOKUP(,-1/($Z$12:Z499=1),$A$12:A499),График[[Срок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платеж]]+Y498-SUM(Первоначальный[[#This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S498&gt;0,MIN(Первоначальный[[#This Row],[Полученный платеж]]+Y498-SUM(Первоначальный[[#This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комиссиям]]),SUM(INDIRECT("M"&amp;(MAX((1=S$12:S498)*ROW(S$12:S498),ROW($W$12))&amp;":M"&amp;(ROW()))))-SUM(INDIRECT("W"&amp;(MAX((1=S$12:S498)*ROW(S$12:S498),ROW($W$12))&amp;":W"&amp;(ROW()-1)))))
)
)</f>
        <v>0</v>
      </c>
      <c r="X499" s="55">
        <f t="shared" ca="1" si="86"/>
        <v>0</v>
      </c>
      <c r="Y499" s="101">
        <f t="shared" ca="1" si="93"/>
        <v>0</v>
      </c>
      <c r="Z499" s="133" t="str">
        <f>IF(TYPE((VLOOKUP(Первоначальный[[#This Row],[Дата платежа]],График[Срок конец],1,0)))=16,"",1)</f>
        <v/>
      </c>
      <c r="AA499" s="57"/>
      <c r="AB499" s="134"/>
      <c r="AC49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49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33975.30999999991</v>
      </c>
      <c r="AE49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683.37000000000126</v>
      </c>
      <c r="AF49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49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40198.578795082161</v>
      </c>
      <c r="AH499" s="55"/>
      <c r="AI499" s="55"/>
      <c r="AJ499" s="55"/>
      <c r="AK499" s="101">
        <f t="shared" ca="1" si="94"/>
        <v>224490.59879508207</v>
      </c>
      <c r="AL499" s="129">
        <f t="array" ref="AL499">MAX((УслРестрактов[Характеристика]="Дата реструктуризации")*(УслРестрактов[Значение]=Первоначальный!$A499),0)</f>
        <v>0</v>
      </c>
    </row>
    <row r="500" spans="1:38" x14ac:dyDescent="0.25">
      <c r="A500" s="97">
        <f t="shared" si="87"/>
        <v>44631</v>
      </c>
      <c r="B500" s="100">
        <f t="shared" ca="1" si="88"/>
        <v>149633.34</v>
      </c>
      <c r="C500" s="55">
        <f t="shared" ca="1" si="96"/>
        <v>33975.30999999991</v>
      </c>
      <c r="D500" s="55">
        <f t="shared" ca="1" si="96"/>
        <v>683.37000000000126</v>
      </c>
      <c r="E500" s="55">
        <f t="shared" ca="1" si="89"/>
        <v>0</v>
      </c>
      <c r="F500" s="55">
        <f t="shared" ca="1" si="90"/>
        <v>40198.578795082161</v>
      </c>
      <c r="G500" s="101">
        <f t="shared" ca="1" si="91"/>
        <v>224490.59879508207</v>
      </c>
      <c r="H500" s="100">
        <f ca="1">ROUND($B500*VLOOKUP($A500,$A$1:$B$10,2,1)/(365+IF(MOD(YEAR($A500),4),0,1)*($A500-$A499)),2)-Первоначальный[[#This Row],[Проценты на просроченный платеж по ОД за период]]</f>
        <v>77.959999999999994</v>
      </c>
      <c r="I500" s="55">
        <f t="shared" ca="1" si="92"/>
        <v>3.62</v>
      </c>
      <c r="J500" s="55">
        <v>0</v>
      </c>
      <c r="K500" s="55">
        <f t="shared" ca="1" si="95"/>
        <v>202.72350327868853</v>
      </c>
      <c r="L500" s="55">
        <v>0</v>
      </c>
      <c r="M500" s="113">
        <f>SUMIFS(График[Возврат основной суммы долга],График[Дата с учетом нерабочих дней],$A500)</f>
        <v>0</v>
      </c>
      <c r="N500" s="56">
        <f>SUMIFS(График[Возврат начисленных %],График[Дата с учетом нерабочих дней],$A500)</f>
        <v>0</v>
      </c>
      <c r="O500" s="101">
        <v>0</v>
      </c>
      <c r="P500" s="100" cm="1">
        <f t="array" aca="1" ref="P500" ca="1">MAX(IF(AA499="Да",0,SUM(INDIRECT("M"&amp;(MAX(("Да"=AA$12:AA499)*ROW(AA$12:AA499)+1,ROW($P$12))&amp;":M"&amp;(ROW()))))-SUM(INDIRECT("W"&amp;(MAX(("Да"=AA$12:AA499)*ROW(AA$12:AA499)+1,ROW($P$12))&amp;":W"&amp;(ROW()))))),0)</f>
        <v>6648.84</v>
      </c>
      <c r="Q500" s="99">
        <f ca="1">MAX(SUM($N$13:N500)-SUM($T$13:T500),0)</f>
        <v>33895.860655737699</v>
      </c>
      <c r="R500" s="99">
        <f ca="1">Первоначальный[[#This Row],[Просроченный платеж по ОД]]+Первоначальный[[#This Row],[Просроченный платеж по процентам]]</f>
        <v>40544.700655737703</v>
      </c>
      <c r="S500" s="120">
        <f ca="1">IF(Первоначальный[[#This Row],[Просроченный платеж]]&lt;1,0,S499+1)</f>
        <v>396</v>
      </c>
      <c r="T500" s="100" cm="1">
        <f t="array" aca="1" ref="T500" ca="1">IF(Первоначальный[[#This Row],[Итого остаток на начало периода]]&lt;1,0,
IF(
AND(TYPE(VLOOKUP(1,$Z$12:Z500,1,0))=16,Первоначальный[[#This Row],[Досрочное погашение (да/"")]]=""),0,
_xlfn.IFS(AND(S499=0,Первоначальный[[#This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платеж]]&lt;&gt;0),MIN(LOOKUP(,-1/($Z$12:Z500=1),$C$12:C500)+LOOKUP(,-1/($Z$12:Z500=1),$H$12:H500),Первоначальный[[#This Row],[Полученный платеж]]+Y499),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платеж]]+Y499,SUM(Первоначальный[[#This Row],[Остаток процентов на начало периода]],Первоначальный[[#This Row],[Проценты за период]])),
AND(S499=0,Первоначальный[[#This Row],[Дата платежа из графика]]=""),0,
AND(S499=0,Первоначальный[[#This Row],[Дата платежа из графика]]=1,MAX((0&lt;&gt;S$12:S499)*ROW(S$12:S499),ROW($S$12))&gt;=MAX((1=Z$12:Z499)*ROW(Z$12:Z499),ROW($T$12)),TYPE(VLOOKUP("Да",(INDIRECT("AA"&amp;(MAX((1=Z$12:Z499)*ROW(Z$12:Z499),ROW($T$12))&amp;":AA"&amp;(ROW()-1)))),1,0))=16),MIN(LOOKUP(,-1/($Z$12:Z500=1),$C$12:C500)+LOOKUP(,-1/($Z$12:Z500=1),$H$12:H500),Первоначальный[[#This Row],[Полученный платеж]]+Y499),
AND(S499=0,TYPE(VLOOKUP("Да",(INDIRECT("AA"&amp;(MAX((1=Z$12:Z499)*ROW(Z$12:Z499),ROW($T$12))&amp;":AA"&amp;(ROW()-1)))),1,0))&lt;&gt;16),MIN(LOOKUP(,-1/($Z$12:Z500=1),$C$12:C500)+LOOKUP(,-1/($Z$12:Z500=1),$H$12:H500)-IF(AA499="Да",0,SUM(INDIRECT("T"&amp;(MAX(("Да"=AA$12:AA499)*ROW(AA$12:AA499)+1,ROW($T$12))&amp;":T"&amp;(ROW()-1))))),Первоначальный[[#This Row],[Полученный платеж]]+Y499),
AND(S499=0,MAX((0&lt;&gt;N$12:N499)*ROW(N$12:N499),ROW($S$12))&gt;=MAX((1=Z$12:Z499)*ROW(Z$12:Z499),ROW($T$12))),MIN(LOOKUP(,-1/($Z$12:Z500=1),$C$12:C500)+LOOKUP(,-1/($Z$12:Z500=1),$H$12:H500)-IF(N499&lt;&gt;0,0,SUM(INDIRECT("T"&amp;(MAX((0&lt;&gt;N$12:N499)*ROW(N$12:N499)+1,ROW($T$12))&amp;":T"&amp;(ROW()-1))))),Первоначальный[[#This Row],[Полученный платеж]]+Y499),
AND(S499=0,Первоначальный[[#This Row],[Дата платежа из графика]]=1),MIN(LOOKUP(,-1/($Z$12:Z500=1),$C$12:C500)+LOOKUP(,-1/($Z$12:Z500=1),$H$12:H500)-IF(Z499=1,0,SUM(INDIRECT("T"&amp;(MAX((1=Z$12:Z499)*ROW(Z$12:Z499)+1,ROW($T$12))&amp;":T"&amp;(ROW()-1))))),Первоначальный[[#This Row],[Полученный платеж]]+Y499),
AND(Z499&gt;0,Первоначальный[[#This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платеж]]+Y499),
AND(S499&gt;0,MAX((0&lt;&gt;S$12:S499)*ROW(S$12:S499),ROW($S$12))&gt;=MAX((1=Z$12:Z499)*ROW(Z$12:Z499),ROW($T$12)),TYPE(VLOOKUP("Да",(INDIRECT("AA"&amp;(MAX((1=Z$12:Z499)*ROW(Z$12:Z499),ROW($T$12))&amp;":AA"&amp;(ROW()-1)))),1,0))=16),MIN(LOOKUP(,-1/($Z$12:Z500=1),$C$12:C500)+LOOKUP(,-1/($Z$12:Z500=1),$H$12:H500)-SUM(INDIRECT("T"&amp;(MAX((1=Z$12:Z499)*ROW(Z$12:Z499),ROW($T$12))&amp;":T"&amp;(ROW()-1)))),Первоначальный[[#This Row],[Полученный платеж]]+Y499),
S499&gt;0,MIN(LOOKUP(,-1/($Z$12:Z500=1),$C$12:C500)+LOOKUP(,-1/($Z$12:Z500=1),$H$12:H500)-IF(Z499=1,0,SUM(INDIRECT("T"&amp;(MAX((1=Z$12:Z499)*ROW(Z$12:Z499)+1,ROW($T$12))&amp;":T"&amp;(ROW()-1))))),Первоначальный[[#This Row],[Полученный платеж]]+Y499)
)
)
)</f>
        <v>0</v>
      </c>
      <c r="U50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платеж]]+Y499-Первоначальный[[#This Row],[Полученный платёж по процентам]])</f>
        <v>0</v>
      </c>
      <c r="V500" s="55">
        <f t="shared" ca="1" si="85"/>
        <v>0</v>
      </c>
      <c r="W500" s="55" cm="1">
        <f t="array" aca="1" ref="W500" ca="1">IF(Первоначальный[[#This Row],[Итого остаток на начало периода]]&lt;1,0,
_xlfn.IFS(
AND(TYPE(VLOOKUP(1,$Z$12:Z500,1,0))=16,Первоначальный[[#This Row],[Досрочное погашение (да/"")]]=""),0,
AND(S499=0,Первоначальный[[#This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платеж]]+Y499-SUM(Первоначальный[[#This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комиссиям]]),VLOOKUP(LOOKUP(,-1/($Z$12:Z500=1),$A$12:A500),График[[Срок конец]:[Возврат основной суммы долга]],3,0)),
AND(S499=0,Первоначальный[[#This Row],[Дата платежа из графика]]="",Первоначальный[[#This Row],[Досрочное погашение (да/"")]]&lt;&gt;"Да"),0,
AND(S499=0,Первоначальный[[#This Row],[Досрочное погашение (да/"")]]=""),MIN(Первоначальный[[#This Row],[Полученный платеж]]+Y499-SUM(Первоначальный[[#This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комиссиям]]),VLOOKUP(LOOKUP(,-1/($Z$12:Z500=1),$A$12:A500),График[[Срок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платеж]]+Y499-SUM(Первоначальный[[#This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S499&gt;0,MIN(Первоначальный[[#This Row],[Полученный платеж]]+Y499-SUM(Первоначальный[[#This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комиссиям]]),SUM(INDIRECT("M"&amp;(MAX((1=S$12:S499)*ROW(S$12:S499),ROW($W$12))&amp;":M"&amp;(ROW()))))-SUM(INDIRECT("W"&amp;(MAX((1=S$12:S499)*ROW(S$12:S499),ROW($W$12))&amp;":W"&amp;(ROW()-1)))))
)
)</f>
        <v>0</v>
      </c>
      <c r="X500" s="55">
        <f t="shared" ca="1" si="86"/>
        <v>0</v>
      </c>
      <c r="Y500" s="101">
        <f t="shared" ca="1" si="93"/>
        <v>0</v>
      </c>
      <c r="Z500" s="133" t="str">
        <f>IF(TYPE((VLOOKUP(Первоначальный[[#This Row],[Дата платежа]],График[Срок конец],1,0)))=16,"",1)</f>
        <v/>
      </c>
      <c r="AA500" s="57"/>
      <c r="AB500" s="134"/>
      <c r="AC50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0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34053.269999999909</v>
      </c>
      <c r="AE50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686.99000000000126</v>
      </c>
      <c r="AF50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0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40401.302298360853</v>
      </c>
      <c r="AH500" s="55"/>
      <c r="AI500" s="55"/>
      <c r="AJ500" s="55"/>
      <c r="AK500" s="101">
        <f t="shared" ca="1" si="94"/>
        <v>224774.90229836074</v>
      </c>
      <c r="AL500" s="129">
        <f t="array" ref="AL500">MAX((УслРестрактов[Характеристика]="Дата реструктуризации")*(УслРестрактов[Значение]=Первоначальный!$A500),0)</f>
        <v>0</v>
      </c>
    </row>
    <row r="501" spans="1:38" x14ac:dyDescent="0.25">
      <c r="A501" s="97">
        <f t="shared" si="87"/>
        <v>44632</v>
      </c>
      <c r="B501" s="100">
        <f t="shared" ca="1" si="88"/>
        <v>149633.34</v>
      </c>
      <c r="C501" s="55">
        <f t="shared" ca="1" si="96"/>
        <v>34053.269999999909</v>
      </c>
      <c r="D501" s="55">
        <f t="shared" ca="1" si="96"/>
        <v>686.99000000000126</v>
      </c>
      <c r="E501" s="55">
        <f t="shared" ca="1" si="89"/>
        <v>0</v>
      </c>
      <c r="F501" s="55">
        <f t="shared" ca="1" si="90"/>
        <v>40401.302298360853</v>
      </c>
      <c r="G501" s="101">
        <f t="shared" ca="1" si="91"/>
        <v>224774.90229836074</v>
      </c>
      <c r="H501" s="100">
        <f ca="1">ROUND($B501*VLOOKUP($A501,$A$1:$B$10,2,1)/(365+IF(MOD(YEAR($A501),4),0,1)*($A501-$A500)),2)-Первоначальный[[#This Row],[Проценты на просроченный платеж по ОД за период]]</f>
        <v>77.959999999999994</v>
      </c>
      <c r="I501" s="55">
        <f t="shared" ca="1" si="92"/>
        <v>3.62</v>
      </c>
      <c r="J501" s="55">
        <v>0</v>
      </c>
      <c r="K501" s="55">
        <f t="shared" ca="1" si="95"/>
        <v>202.72350327868853</v>
      </c>
      <c r="L501" s="55">
        <v>0</v>
      </c>
      <c r="M501" s="113">
        <f>SUMIFS(График[Возврат основной суммы долга],График[Дата с учетом нерабочих дней],$A501)</f>
        <v>0</v>
      </c>
      <c r="N501" s="56">
        <f>SUMIFS(График[Возврат начисленных %],График[Дата с учетом нерабочих дней],$A501)</f>
        <v>0</v>
      </c>
      <c r="O501" s="101">
        <v>0</v>
      </c>
      <c r="P501" s="100" cm="1">
        <f t="array" aca="1" ref="P501" ca="1">MAX(IF(AA500="Да",0,SUM(INDIRECT("M"&amp;(MAX(("Да"=AA$12:AA500)*ROW(AA$12:AA500)+1,ROW($P$12))&amp;":M"&amp;(ROW()))))-SUM(INDIRECT("W"&amp;(MAX(("Да"=AA$12:AA500)*ROW(AA$12:AA500)+1,ROW($P$12))&amp;":W"&amp;(ROW()))))),0)</f>
        <v>6648.84</v>
      </c>
      <c r="Q501" s="99">
        <f ca="1">MAX(SUM($N$13:N501)-SUM($T$13:T501),0)</f>
        <v>33895.860655737699</v>
      </c>
      <c r="R501" s="99">
        <f ca="1">Первоначальный[[#This Row],[Просроченный платеж по ОД]]+Первоначальный[[#This Row],[Просроченный платеж по процентам]]</f>
        <v>40544.700655737703</v>
      </c>
      <c r="S501" s="120">
        <f ca="1">IF(Первоначальный[[#This Row],[Просроченный платеж]]&lt;1,0,S500+1)</f>
        <v>397</v>
      </c>
      <c r="T501" s="100" cm="1">
        <f t="array" aca="1" ref="T501" ca="1">IF(Первоначальный[[#This Row],[Итого остаток на начало периода]]&lt;1,0,
IF(
AND(TYPE(VLOOKUP(1,$Z$12:Z501,1,0))=16,Первоначальный[[#This Row],[Досрочное погашение (да/"")]]=""),0,
_xlfn.IFS(AND(S500=0,Первоначальный[[#This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платеж]]&lt;&gt;0),MIN(LOOKUP(,-1/($Z$12:Z501=1),$C$12:C501)+LOOKUP(,-1/($Z$12:Z501=1),$H$12:H501),Первоначальный[[#This Row],[Полученный платеж]]+Y500),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платеж]]+Y500,SUM(Первоначальный[[#This Row],[Остаток процентов на начало периода]],Первоначальный[[#This Row],[Проценты за период]])),
AND(S500=0,Первоначальный[[#This Row],[Дата платежа из графика]]=""),0,
AND(S500=0,Первоначальный[[#This Row],[Дата платежа из графика]]=1,MAX((0&lt;&gt;S$12:S500)*ROW(S$12:S500),ROW($S$12))&gt;=MAX((1=Z$12:Z500)*ROW(Z$12:Z500),ROW($T$12)),TYPE(VLOOKUP("Да",(INDIRECT("AA"&amp;(MAX((1=Z$12:Z500)*ROW(Z$12:Z500),ROW($T$12))&amp;":AA"&amp;(ROW()-1)))),1,0))=16),MIN(LOOKUP(,-1/($Z$12:Z501=1),$C$12:C501)+LOOKUP(,-1/($Z$12:Z501=1),$H$12:H501),Первоначальный[[#This Row],[Полученный платеж]]+Y500),
AND(S500=0,TYPE(VLOOKUP("Да",(INDIRECT("AA"&amp;(MAX((1=Z$12:Z500)*ROW(Z$12:Z500),ROW($T$12))&amp;":AA"&amp;(ROW()-1)))),1,0))&lt;&gt;16),MIN(LOOKUP(,-1/($Z$12:Z501=1),$C$12:C501)+LOOKUP(,-1/($Z$12:Z501=1),$H$12:H501)-IF(AA500="Да",0,SUM(INDIRECT("T"&amp;(MAX(("Да"=AA$12:AA500)*ROW(AA$12:AA500)+1,ROW($T$12))&amp;":T"&amp;(ROW()-1))))),Первоначальный[[#This Row],[Полученный платеж]]+Y500),
AND(S500=0,MAX((0&lt;&gt;N$12:N500)*ROW(N$12:N500),ROW($S$12))&gt;=MAX((1=Z$12:Z500)*ROW(Z$12:Z500),ROW($T$12))),MIN(LOOKUP(,-1/($Z$12:Z501=1),$C$12:C501)+LOOKUP(,-1/($Z$12:Z501=1),$H$12:H501)-IF(N500&lt;&gt;0,0,SUM(INDIRECT("T"&amp;(MAX((0&lt;&gt;N$12:N500)*ROW(N$12:N500)+1,ROW($T$12))&amp;":T"&amp;(ROW()-1))))),Первоначальный[[#This Row],[Полученный платеж]]+Y500),
AND(S500=0,Первоначальный[[#This Row],[Дата платежа из графика]]=1),MIN(LOOKUP(,-1/($Z$12:Z501=1),$C$12:C501)+LOOKUP(,-1/($Z$12:Z501=1),$H$12:H501)-IF(Z500=1,0,SUM(INDIRECT("T"&amp;(MAX((1=Z$12:Z500)*ROW(Z$12:Z500)+1,ROW($T$12))&amp;":T"&amp;(ROW()-1))))),Первоначальный[[#This Row],[Полученный платеж]]+Y500),
AND(Z500&gt;0,Первоначальный[[#This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платеж]]+Y500),
AND(S500&gt;0,MAX((0&lt;&gt;S$12:S500)*ROW(S$12:S500),ROW($S$12))&gt;=MAX((1=Z$12:Z500)*ROW(Z$12:Z500),ROW($T$12)),TYPE(VLOOKUP("Да",(INDIRECT("AA"&amp;(MAX((1=Z$12:Z500)*ROW(Z$12:Z500),ROW($T$12))&amp;":AA"&amp;(ROW()-1)))),1,0))=16),MIN(LOOKUP(,-1/($Z$12:Z501=1),$C$12:C501)+LOOKUP(,-1/($Z$12:Z501=1),$H$12:H501)-SUM(INDIRECT("T"&amp;(MAX((1=Z$12:Z500)*ROW(Z$12:Z500),ROW($T$12))&amp;":T"&amp;(ROW()-1)))),Первоначальный[[#This Row],[Полученный платеж]]+Y500),
S500&gt;0,MIN(LOOKUP(,-1/($Z$12:Z501=1),$C$12:C501)+LOOKUP(,-1/($Z$12:Z501=1),$H$12:H501)-IF(Z500=1,0,SUM(INDIRECT("T"&amp;(MAX((1=Z$12:Z500)*ROW(Z$12:Z500)+1,ROW($T$12))&amp;":T"&amp;(ROW()-1))))),Первоначальный[[#This Row],[Полученный платеж]]+Y500)
)
)
)</f>
        <v>0</v>
      </c>
      <c r="U50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платеж]]+Y500-Первоначальный[[#This Row],[Полученный платёж по процентам]])</f>
        <v>0</v>
      </c>
      <c r="V501" s="55">
        <f t="shared" ca="1" si="85"/>
        <v>0</v>
      </c>
      <c r="W501" s="55" cm="1">
        <f t="array" aca="1" ref="W501" ca="1">IF(Первоначальный[[#This Row],[Итого остаток на начало периода]]&lt;1,0,
_xlfn.IFS(
AND(TYPE(VLOOKUP(1,$Z$12:Z501,1,0))=16,Первоначальный[[#This Row],[Досрочное погашение (да/"")]]=""),0,
AND(S500=0,Первоначальный[[#This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платеж]]+Y500-SUM(Первоначальный[[#This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комиссиям]]),VLOOKUP(LOOKUP(,-1/($Z$12:Z501=1),$A$12:A501),График[[Срок конец]:[Возврат основной суммы долга]],3,0)),
AND(S500=0,Первоначальный[[#This Row],[Дата платежа из графика]]="",Первоначальный[[#This Row],[Досрочное погашение (да/"")]]&lt;&gt;"Да"),0,
AND(S500=0,Первоначальный[[#This Row],[Досрочное погашение (да/"")]]=""),MIN(Первоначальный[[#This Row],[Полученный платеж]]+Y500-SUM(Первоначальный[[#This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комиссиям]]),VLOOKUP(LOOKUP(,-1/($Z$12:Z501=1),$A$12:A501),График[[Срок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платеж]]+Y500-SUM(Первоначальный[[#This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S500&gt;0,MIN(Первоначальный[[#This Row],[Полученный платеж]]+Y500-SUM(Первоначальный[[#This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комиссиям]]),SUM(INDIRECT("M"&amp;(MAX((1=S$12:S500)*ROW(S$12:S500),ROW($W$12))&amp;":M"&amp;(ROW()))))-SUM(INDIRECT("W"&amp;(MAX((1=S$12:S500)*ROW(S$12:S500),ROW($W$12))&amp;":W"&amp;(ROW()-1)))))
)
)</f>
        <v>0</v>
      </c>
      <c r="X501" s="55">
        <f t="shared" ca="1" si="86"/>
        <v>0</v>
      </c>
      <c r="Y501" s="101">
        <f t="shared" ca="1" si="93"/>
        <v>0</v>
      </c>
      <c r="Z501" s="133" t="str">
        <f>IF(TYPE((VLOOKUP(Первоначальный[[#This Row],[Дата платежа]],График[Срок конец],1,0)))=16,"",1)</f>
        <v/>
      </c>
      <c r="AA501" s="57"/>
      <c r="AB501" s="134"/>
      <c r="AC50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0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34131.229999999909</v>
      </c>
      <c r="AE50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690.61000000000126</v>
      </c>
      <c r="AF50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0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40604.025801639546</v>
      </c>
      <c r="AH501" s="55"/>
      <c r="AI501" s="55"/>
      <c r="AJ501" s="55"/>
      <c r="AK501" s="101">
        <f t="shared" ca="1" si="94"/>
        <v>225059.20580163944</v>
      </c>
      <c r="AL501" s="129">
        <f t="array" ref="AL501">MAX((УслРестрактов[Характеристика]="Дата реструктуризации")*(УслРестрактов[Значение]=Первоначальный!$A501),0)</f>
        <v>0</v>
      </c>
    </row>
    <row r="502" spans="1:38" x14ac:dyDescent="0.25">
      <c r="A502" s="97">
        <f t="shared" si="87"/>
        <v>44633</v>
      </c>
      <c r="B502" s="100">
        <f t="shared" ca="1" si="88"/>
        <v>149633.34</v>
      </c>
      <c r="C502" s="55">
        <f t="shared" ca="1" si="96"/>
        <v>34131.229999999909</v>
      </c>
      <c r="D502" s="55">
        <f t="shared" ca="1" si="96"/>
        <v>690.61000000000126</v>
      </c>
      <c r="E502" s="55">
        <f t="shared" ca="1" si="89"/>
        <v>0</v>
      </c>
      <c r="F502" s="55">
        <f t="shared" ca="1" si="90"/>
        <v>40604.025801639546</v>
      </c>
      <c r="G502" s="101">
        <f t="shared" ca="1" si="91"/>
        <v>225059.20580163944</v>
      </c>
      <c r="H502" s="100">
        <f ca="1">ROUND($B502*VLOOKUP($A502,$A$1:$B$10,2,1)/(365+IF(MOD(YEAR($A502),4),0,1)*($A502-$A501)),2)-Первоначальный[[#This Row],[Проценты на просроченный платеж по ОД за период]]</f>
        <v>77.959999999999994</v>
      </c>
      <c r="I502" s="55">
        <f t="shared" ca="1" si="92"/>
        <v>3.62</v>
      </c>
      <c r="J502" s="55">
        <v>0</v>
      </c>
      <c r="K502" s="55">
        <f t="shared" ca="1" si="95"/>
        <v>202.72350327868853</v>
      </c>
      <c r="L502" s="55">
        <v>0</v>
      </c>
      <c r="M502" s="113">
        <f>SUMIFS(График[Возврат основной суммы долга],График[Дата с учетом нерабочих дней],$A502)</f>
        <v>0</v>
      </c>
      <c r="N502" s="56">
        <f>SUMIFS(График[Возврат начисленных %],График[Дата с учетом нерабочих дней],$A502)</f>
        <v>0</v>
      </c>
      <c r="O502" s="101">
        <v>0</v>
      </c>
      <c r="P502" s="100" cm="1">
        <f t="array" aca="1" ref="P502" ca="1">MAX(IF(AA501="Да",0,SUM(INDIRECT("M"&amp;(MAX(("Да"=AA$12:AA501)*ROW(AA$12:AA501)+1,ROW($P$12))&amp;":M"&amp;(ROW()))))-SUM(INDIRECT("W"&amp;(MAX(("Да"=AA$12:AA501)*ROW(AA$12:AA501)+1,ROW($P$12))&amp;":W"&amp;(ROW()))))),0)</f>
        <v>6648.84</v>
      </c>
      <c r="Q502" s="99">
        <f ca="1">MAX(SUM($N$13:N502)-SUM($T$13:T502),0)</f>
        <v>33895.860655737699</v>
      </c>
      <c r="R502" s="99">
        <f ca="1">Первоначальный[[#This Row],[Просроченный платеж по ОД]]+Первоначальный[[#This Row],[Просроченный платеж по процентам]]</f>
        <v>40544.700655737703</v>
      </c>
      <c r="S502" s="120">
        <f ca="1">IF(Первоначальный[[#This Row],[Просроченный платеж]]&lt;1,0,S501+1)</f>
        <v>398</v>
      </c>
      <c r="T502" s="100" cm="1">
        <f t="array" aca="1" ref="T502" ca="1">IF(Первоначальный[[#This Row],[Итого остаток на начало периода]]&lt;1,0,
IF(
AND(TYPE(VLOOKUP(1,$Z$12:Z502,1,0))=16,Первоначальный[[#This Row],[Досрочное погашение (да/"")]]=""),0,
_xlfn.IFS(AND(S501=0,Первоначальный[[#This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платеж]]&lt;&gt;0),MIN(LOOKUP(,-1/($Z$12:Z502=1),$C$12:C502)+LOOKUP(,-1/($Z$12:Z502=1),$H$12:H502),Первоначальный[[#This Row],[Полученный платеж]]+Y501),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платеж]]+Y501,SUM(Первоначальный[[#This Row],[Остаток процентов на начало периода]],Первоначальный[[#This Row],[Проценты за период]])),
AND(S501=0,Первоначальный[[#This Row],[Дата платежа из графика]]=""),0,
AND(S501=0,Первоначальный[[#This Row],[Дата платежа из графика]]=1,MAX((0&lt;&gt;S$12:S501)*ROW(S$12:S501),ROW($S$12))&gt;=MAX((1=Z$12:Z501)*ROW(Z$12:Z501),ROW($T$12)),TYPE(VLOOKUP("Да",(INDIRECT("AA"&amp;(MAX((1=Z$12:Z501)*ROW(Z$12:Z501),ROW($T$12))&amp;":AA"&amp;(ROW()-1)))),1,0))=16),MIN(LOOKUP(,-1/($Z$12:Z502=1),$C$12:C502)+LOOKUP(,-1/($Z$12:Z502=1),$H$12:H502),Первоначальный[[#This Row],[Полученный платеж]]+Y501),
AND(S501=0,TYPE(VLOOKUP("Да",(INDIRECT("AA"&amp;(MAX((1=Z$12:Z501)*ROW(Z$12:Z501),ROW($T$12))&amp;":AA"&amp;(ROW()-1)))),1,0))&lt;&gt;16),MIN(LOOKUP(,-1/($Z$12:Z502=1),$C$12:C502)+LOOKUP(,-1/($Z$12:Z502=1),$H$12:H502)-IF(AA501="Да",0,SUM(INDIRECT("T"&amp;(MAX(("Да"=AA$12:AA501)*ROW(AA$12:AA501)+1,ROW($T$12))&amp;":T"&amp;(ROW()-1))))),Первоначальный[[#This Row],[Полученный платеж]]+Y501),
AND(S501=0,MAX((0&lt;&gt;N$12:N501)*ROW(N$12:N501),ROW($S$12))&gt;=MAX((1=Z$12:Z501)*ROW(Z$12:Z501),ROW($T$12))),MIN(LOOKUP(,-1/($Z$12:Z502=1),$C$12:C502)+LOOKUP(,-1/($Z$12:Z502=1),$H$12:H502)-IF(N501&lt;&gt;0,0,SUM(INDIRECT("T"&amp;(MAX((0&lt;&gt;N$12:N501)*ROW(N$12:N501)+1,ROW($T$12))&amp;":T"&amp;(ROW()-1))))),Первоначальный[[#This Row],[Полученный платеж]]+Y501),
AND(S501=0,Первоначальный[[#This Row],[Дата платежа из графика]]=1),MIN(LOOKUP(,-1/($Z$12:Z502=1),$C$12:C502)+LOOKUP(,-1/($Z$12:Z502=1),$H$12:H502)-IF(Z501=1,0,SUM(INDIRECT("T"&amp;(MAX((1=Z$12:Z501)*ROW(Z$12:Z501)+1,ROW($T$12))&amp;":T"&amp;(ROW()-1))))),Первоначальный[[#This Row],[Полученный платеж]]+Y501),
AND(Z501&gt;0,Первоначальный[[#This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платеж]]+Y501),
AND(S501&gt;0,MAX((0&lt;&gt;S$12:S501)*ROW(S$12:S501),ROW($S$12))&gt;=MAX((1=Z$12:Z501)*ROW(Z$12:Z501),ROW($T$12)),TYPE(VLOOKUP("Да",(INDIRECT("AA"&amp;(MAX((1=Z$12:Z501)*ROW(Z$12:Z501),ROW($T$12))&amp;":AA"&amp;(ROW()-1)))),1,0))=16),MIN(LOOKUP(,-1/($Z$12:Z502=1),$C$12:C502)+LOOKUP(,-1/($Z$12:Z502=1),$H$12:H502)-SUM(INDIRECT("T"&amp;(MAX((1=Z$12:Z501)*ROW(Z$12:Z501),ROW($T$12))&amp;":T"&amp;(ROW()-1)))),Первоначальный[[#This Row],[Полученный платеж]]+Y501),
S501&gt;0,MIN(LOOKUP(,-1/($Z$12:Z502=1),$C$12:C502)+LOOKUP(,-1/($Z$12:Z502=1),$H$12:H502)-IF(Z501=1,0,SUM(INDIRECT("T"&amp;(MAX((1=Z$12:Z501)*ROW(Z$12:Z501)+1,ROW($T$12))&amp;":T"&amp;(ROW()-1))))),Первоначальный[[#This Row],[Полученный платеж]]+Y501)
)
)
)</f>
        <v>0</v>
      </c>
      <c r="U50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платеж]]+Y501-Первоначальный[[#This Row],[Полученный платёж по процентам]])</f>
        <v>0</v>
      </c>
      <c r="V502" s="55">
        <f t="shared" ca="1" si="85"/>
        <v>0</v>
      </c>
      <c r="W502" s="55" cm="1">
        <f t="array" aca="1" ref="W502" ca="1">IF(Первоначальный[[#This Row],[Итого остаток на начало периода]]&lt;1,0,
_xlfn.IFS(
AND(TYPE(VLOOKUP(1,$Z$12:Z502,1,0))=16,Первоначальный[[#This Row],[Досрочное погашение (да/"")]]=""),0,
AND(S501=0,Первоначальный[[#This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платеж]]+Y501-SUM(Первоначальный[[#This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комиссиям]]),VLOOKUP(LOOKUP(,-1/($Z$12:Z502=1),$A$12:A502),График[[Срок конец]:[Возврат основной суммы долга]],3,0)),
AND(S501=0,Первоначальный[[#This Row],[Дата платежа из графика]]="",Первоначальный[[#This Row],[Досрочное погашение (да/"")]]&lt;&gt;"Да"),0,
AND(S501=0,Первоначальный[[#This Row],[Досрочное погашение (да/"")]]=""),MIN(Первоначальный[[#This Row],[Полученный платеж]]+Y501-SUM(Первоначальный[[#This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комиссиям]]),VLOOKUP(LOOKUP(,-1/($Z$12:Z502=1),$A$12:A502),График[[Срок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платеж]]+Y501-SUM(Первоначальный[[#This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S501&gt;0,MIN(Первоначальный[[#This Row],[Полученный платеж]]+Y501-SUM(Первоначальный[[#This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комиссиям]]),SUM(INDIRECT("M"&amp;(MAX((1=S$12:S501)*ROW(S$12:S501),ROW($W$12))&amp;":M"&amp;(ROW()))))-SUM(INDIRECT("W"&amp;(MAX((1=S$12:S501)*ROW(S$12:S501),ROW($W$12))&amp;":W"&amp;(ROW()-1)))))
)
)</f>
        <v>0</v>
      </c>
      <c r="X502" s="55">
        <f t="shared" ca="1" si="86"/>
        <v>0</v>
      </c>
      <c r="Y502" s="101">
        <f t="shared" ca="1" si="93"/>
        <v>0</v>
      </c>
      <c r="Z502" s="133" t="str">
        <f>IF(TYPE((VLOOKUP(Первоначальный[[#This Row],[Дата платежа]],График[Срок конец],1,0)))=16,"",1)</f>
        <v/>
      </c>
      <c r="AA502" s="57"/>
      <c r="AB502" s="134"/>
      <c r="AC50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0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34209.189999999908</v>
      </c>
      <c r="AE50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694.23000000000127</v>
      </c>
      <c r="AF50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0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40806.749304918238</v>
      </c>
      <c r="AH502" s="55"/>
      <c r="AI502" s="55"/>
      <c r="AJ502" s="55"/>
      <c r="AK502" s="101">
        <f t="shared" ca="1" si="94"/>
        <v>225343.50930491817</v>
      </c>
      <c r="AL502" s="129">
        <f t="array" ref="AL502">MAX((УслРестрактов[Характеристика]="Дата реструктуризации")*(УслРестрактов[Значение]=Первоначальный!$A502),0)</f>
        <v>0</v>
      </c>
    </row>
    <row r="503" spans="1:38" x14ac:dyDescent="0.25">
      <c r="A503" s="97">
        <f t="shared" si="87"/>
        <v>44634</v>
      </c>
      <c r="B503" s="100">
        <f t="shared" ca="1" si="88"/>
        <v>149633.34</v>
      </c>
      <c r="C503" s="55">
        <f t="shared" ca="1" si="96"/>
        <v>34209.189999999908</v>
      </c>
      <c r="D503" s="55">
        <f t="shared" ca="1" si="96"/>
        <v>694.23000000000127</v>
      </c>
      <c r="E503" s="55">
        <f t="shared" ca="1" si="89"/>
        <v>0</v>
      </c>
      <c r="F503" s="55">
        <f t="shared" ca="1" si="90"/>
        <v>40806.749304918238</v>
      </c>
      <c r="G503" s="101">
        <f t="shared" ca="1" si="91"/>
        <v>225343.50930491817</v>
      </c>
      <c r="H503" s="100">
        <f ca="1">ROUND($B503*VLOOKUP($A503,$A$1:$B$10,2,1)/(365+IF(MOD(YEAR($A503),4),0,1)*($A503-$A502)),2)-Первоначальный[[#This Row],[Проценты на просроченный платеж по ОД за период]]</f>
        <v>77.959999999999994</v>
      </c>
      <c r="I503" s="55">
        <f t="shared" ca="1" si="92"/>
        <v>3.62</v>
      </c>
      <c r="J503" s="55">
        <v>0</v>
      </c>
      <c r="K503" s="55">
        <f t="shared" ca="1" si="95"/>
        <v>202.72350327868853</v>
      </c>
      <c r="L503" s="55">
        <v>0</v>
      </c>
      <c r="M503" s="113">
        <f>SUMIFS(График[Возврат основной суммы долга],График[Дата с учетом нерабочих дней],$A503)</f>
        <v>0</v>
      </c>
      <c r="N503" s="56">
        <f>SUMIFS(График[Возврат начисленных %],График[Дата с учетом нерабочих дней],$A503)</f>
        <v>0</v>
      </c>
      <c r="O503" s="101">
        <v>0</v>
      </c>
      <c r="P503" s="100" cm="1">
        <f t="array" aca="1" ref="P503" ca="1">MAX(IF(AA502="Да",0,SUM(INDIRECT("M"&amp;(MAX(("Да"=AA$12:AA502)*ROW(AA$12:AA502)+1,ROW($P$12))&amp;":M"&amp;(ROW()))))-SUM(INDIRECT("W"&amp;(MAX(("Да"=AA$12:AA502)*ROW(AA$12:AA502)+1,ROW($P$12))&amp;":W"&amp;(ROW()))))),0)</f>
        <v>6648.84</v>
      </c>
      <c r="Q503" s="99">
        <f ca="1">MAX(SUM($N$13:N503)-SUM($T$13:T503),0)</f>
        <v>33895.860655737699</v>
      </c>
      <c r="R503" s="99">
        <f ca="1">Первоначальный[[#This Row],[Просроченный платеж по ОД]]+Первоначальный[[#This Row],[Просроченный платеж по процентам]]</f>
        <v>40544.700655737703</v>
      </c>
      <c r="S503" s="120">
        <f ca="1">IF(Первоначальный[[#This Row],[Просроченный платеж]]&lt;1,0,S502+1)</f>
        <v>399</v>
      </c>
      <c r="T503" s="100" cm="1">
        <f t="array" aca="1" ref="T503" ca="1">IF(Первоначальный[[#This Row],[Итого остаток на начало периода]]&lt;1,0,
IF(
AND(TYPE(VLOOKUP(1,$Z$12:Z503,1,0))=16,Первоначальный[[#This Row],[Досрочное погашение (да/"")]]=""),0,
_xlfn.IFS(AND(S502=0,Первоначальный[[#This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платеж]]&lt;&gt;0),MIN(LOOKUP(,-1/($Z$12:Z503=1),$C$12:C503)+LOOKUP(,-1/($Z$12:Z503=1),$H$12:H503),Первоначальный[[#This Row],[Полученный платеж]]+Y502),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платеж]]+Y502,SUM(Первоначальный[[#This Row],[Остаток процентов на начало периода]],Первоначальный[[#This Row],[Проценты за период]])),
AND(S502=0,Первоначальный[[#This Row],[Дата платежа из графика]]=""),0,
AND(S502=0,Первоначальный[[#This Row],[Дата платежа из графика]]=1,MAX((0&lt;&gt;S$12:S502)*ROW(S$12:S502),ROW($S$12))&gt;=MAX((1=Z$12:Z502)*ROW(Z$12:Z502),ROW($T$12)),TYPE(VLOOKUP("Да",(INDIRECT("AA"&amp;(MAX((1=Z$12:Z502)*ROW(Z$12:Z502),ROW($T$12))&amp;":AA"&amp;(ROW()-1)))),1,0))=16),MIN(LOOKUP(,-1/($Z$12:Z503=1),$C$12:C503)+LOOKUP(,-1/($Z$12:Z503=1),$H$12:H503),Первоначальный[[#This Row],[Полученный платеж]]+Y502),
AND(S502=0,TYPE(VLOOKUP("Да",(INDIRECT("AA"&amp;(MAX((1=Z$12:Z502)*ROW(Z$12:Z502),ROW($T$12))&amp;":AA"&amp;(ROW()-1)))),1,0))&lt;&gt;16),MIN(LOOKUP(,-1/($Z$12:Z503=1),$C$12:C503)+LOOKUP(,-1/($Z$12:Z503=1),$H$12:H503)-IF(AA502="Да",0,SUM(INDIRECT("T"&amp;(MAX(("Да"=AA$12:AA502)*ROW(AA$12:AA502)+1,ROW($T$12))&amp;":T"&amp;(ROW()-1))))),Первоначальный[[#This Row],[Полученный платеж]]+Y502),
AND(S502=0,MAX((0&lt;&gt;N$12:N502)*ROW(N$12:N502),ROW($S$12))&gt;=MAX((1=Z$12:Z502)*ROW(Z$12:Z502),ROW($T$12))),MIN(LOOKUP(,-1/($Z$12:Z503=1),$C$12:C503)+LOOKUP(,-1/($Z$12:Z503=1),$H$12:H503)-IF(N502&lt;&gt;0,0,SUM(INDIRECT("T"&amp;(MAX((0&lt;&gt;N$12:N502)*ROW(N$12:N502)+1,ROW($T$12))&amp;":T"&amp;(ROW()-1))))),Первоначальный[[#This Row],[Полученный платеж]]+Y502),
AND(S502=0,Первоначальный[[#This Row],[Дата платежа из графика]]=1),MIN(LOOKUP(,-1/($Z$12:Z503=1),$C$12:C503)+LOOKUP(,-1/($Z$12:Z503=1),$H$12:H503)-IF(Z502=1,0,SUM(INDIRECT("T"&amp;(MAX((1=Z$12:Z502)*ROW(Z$12:Z502)+1,ROW($T$12))&amp;":T"&amp;(ROW()-1))))),Первоначальный[[#This Row],[Полученный платеж]]+Y502),
AND(Z502&gt;0,Первоначальный[[#This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платеж]]+Y502),
AND(S502&gt;0,MAX((0&lt;&gt;S$12:S502)*ROW(S$12:S502),ROW($S$12))&gt;=MAX((1=Z$12:Z502)*ROW(Z$12:Z502),ROW($T$12)),TYPE(VLOOKUP("Да",(INDIRECT("AA"&amp;(MAX((1=Z$12:Z502)*ROW(Z$12:Z502),ROW($T$12))&amp;":AA"&amp;(ROW()-1)))),1,0))=16),MIN(LOOKUP(,-1/($Z$12:Z503=1),$C$12:C503)+LOOKUP(,-1/($Z$12:Z503=1),$H$12:H503)-SUM(INDIRECT("T"&amp;(MAX((1=Z$12:Z502)*ROW(Z$12:Z502),ROW($T$12))&amp;":T"&amp;(ROW()-1)))),Первоначальный[[#This Row],[Полученный платеж]]+Y502),
S502&gt;0,MIN(LOOKUP(,-1/($Z$12:Z503=1),$C$12:C503)+LOOKUP(,-1/($Z$12:Z503=1),$H$12:H503)-IF(Z502=1,0,SUM(INDIRECT("T"&amp;(MAX((1=Z$12:Z502)*ROW(Z$12:Z502)+1,ROW($T$12))&amp;":T"&amp;(ROW()-1))))),Первоначальный[[#This Row],[Полученный платеж]]+Y502)
)
)
)</f>
        <v>0</v>
      </c>
      <c r="U50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платеж]]+Y502-Первоначальный[[#This Row],[Полученный платёж по процентам]])</f>
        <v>0</v>
      </c>
      <c r="V503" s="55">
        <f t="shared" ca="1" si="85"/>
        <v>0</v>
      </c>
      <c r="W503" s="55" cm="1">
        <f t="array" aca="1" ref="W503" ca="1">IF(Первоначальный[[#This Row],[Итого остаток на начало периода]]&lt;1,0,
_xlfn.IFS(
AND(TYPE(VLOOKUP(1,$Z$12:Z503,1,0))=16,Первоначальный[[#This Row],[Досрочное погашение (да/"")]]=""),0,
AND(S502=0,Первоначальный[[#This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платеж]]+Y502-SUM(Первоначальный[[#This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комиссиям]]),VLOOKUP(LOOKUP(,-1/($Z$12:Z503=1),$A$12:A503),График[[Срок конец]:[Возврат основной суммы долга]],3,0)),
AND(S502=0,Первоначальный[[#This Row],[Дата платежа из графика]]="",Первоначальный[[#This Row],[Досрочное погашение (да/"")]]&lt;&gt;"Да"),0,
AND(S502=0,Первоначальный[[#This Row],[Досрочное погашение (да/"")]]=""),MIN(Первоначальный[[#This Row],[Полученный платеж]]+Y502-SUM(Первоначальный[[#This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комиссиям]]),VLOOKUP(LOOKUP(,-1/($Z$12:Z503=1),$A$12:A503),График[[Срок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платеж]]+Y502-SUM(Первоначальный[[#This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S502&gt;0,MIN(Первоначальный[[#This Row],[Полученный платеж]]+Y502-SUM(Первоначальный[[#This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комиссиям]]),SUM(INDIRECT("M"&amp;(MAX((1=S$12:S502)*ROW(S$12:S502),ROW($W$12))&amp;":M"&amp;(ROW()))))-SUM(INDIRECT("W"&amp;(MAX((1=S$12:S502)*ROW(S$12:S502),ROW($W$12))&amp;":W"&amp;(ROW()-1)))))
)
)</f>
        <v>0</v>
      </c>
      <c r="X503" s="55">
        <f t="shared" ca="1" si="86"/>
        <v>0</v>
      </c>
      <c r="Y503" s="101">
        <f t="shared" ca="1" si="93"/>
        <v>0</v>
      </c>
      <c r="Z503" s="133" t="str">
        <f>IF(TYPE((VLOOKUP(Первоначальный[[#This Row],[Дата платежа]],График[Срок конец],1,0)))=16,"",1)</f>
        <v/>
      </c>
      <c r="AA503" s="57"/>
      <c r="AB503" s="134"/>
      <c r="AC50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0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34287.149999999907</v>
      </c>
      <c r="AE50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697.85000000000127</v>
      </c>
      <c r="AF50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0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41009.47280819693</v>
      </c>
      <c r="AH503" s="55"/>
      <c r="AI503" s="55"/>
      <c r="AJ503" s="55"/>
      <c r="AK503" s="101">
        <f t="shared" ca="1" si="94"/>
        <v>225627.81280819685</v>
      </c>
      <c r="AL503" s="129">
        <f t="array" ref="AL503">MAX((УслРестрактов[Характеристика]="Дата реструктуризации")*(УслРестрактов[Значение]=Первоначальный!$A503),0)</f>
        <v>0</v>
      </c>
    </row>
    <row r="504" spans="1:38" x14ac:dyDescent="0.25">
      <c r="A504" s="97">
        <f t="shared" si="87"/>
        <v>44635</v>
      </c>
      <c r="B504" s="100">
        <f t="shared" ca="1" si="88"/>
        <v>149633.34</v>
      </c>
      <c r="C504" s="55">
        <f t="shared" ca="1" si="96"/>
        <v>34287.149999999907</v>
      </c>
      <c r="D504" s="55">
        <f t="shared" ca="1" si="96"/>
        <v>697.85000000000127</v>
      </c>
      <c r="E504" s="55">
        <f t="shared" ca="1" si="89"/>
        <v>0</v>
      </c>
      <c r="F504" s="55">
        <f t="shared" ca="1" si="90"/>
        <v>41009.47280819693</v>
      </c>
      <c r="G504" s="101">
        <f t="shared" ca="1" si="91"/>
        <v>225627.81280819685</v>
      </c>
      <c r="H504" s="100">
        <f ca="1">ROUND($B504*VLOOKUP($A504,$A$1:$B$10,2,1)/(365+IF(MOD(YEAR($A504),4),0,1)*($A504-$A503)),2)-Первоначальный[[#This Row],[Проценты на просроченный платеж по ОД за период]]</f>
        <v>77.959999999999994</v>
      </c>
      <c r="I504" s="55">
        <f t="shared" ca="1" si="92"/>
        <v>3.62</v>
      </c>
      <c r="J504" s="55">
        <v>0</v>
      </c>
      <c r="K504" s="55">
        <f t="shared" ca="1" si="95"/>
        <v>202.72350327868853</v>
      </c>
      <c r="L504" s="55">
        <v>0</v>
      </c>
      <c r="M504" s="113">
        <f>SUMIFS(График[Возврат основной суммы долга],График[Дата с учетом нерабочих дней],$A504)</f>
        <v>0</v>
      </c>
      <c r="N504" s="56">
        <f>SUMIFS(График[Возврат начисленных %],График[Дата с учетом нерабочих дней],$A504)</f>
        <v>0</v>
      </c>
      <c r="O504" s="101">
        <v>0</v>
      </c>
      <c r="P504" s="100" cm="1">
        <f t="array" aca="1" ref="P504" ca="1">MAX(IF(AA503="Да",0,SUM(INDIRECT("M"&amp;(MAX(("Да"=AA$12:AA503)*ROW(AA$12:AA503)+1,ROW($P$12))&amp;":M"&amp;(ROW()))))-SUM(INDIRECT("W"&amp;(MAX(("Да"=AA$12:AA503)*ROW(AA$12:AA503)+1,ROW($P$12))&amp;":W"&amp;(ROW()))))),0)</f>
        <v>6648.84</v>
      </c>
      <c r="Q504" s="99">
        <f ca="1">MAX(SUM($N$13:N504)-SUM($T$13:T504),0)</f>
        <v>33895.860655737699</v>
      </c>
      <c r="R504" s="99">
        <f ca="1">Первоначальный[[#This Row],[Просроченный платеж по ОД]]+Первоначальный[[#This Row],[Просроченный платеж по процентам]]</f>
        <v>40544.700655737703</v>
      </c>
      <c r="S504" s="120">
        <f ca="1">IF(Первоначальный[[#This Row],[Просроченный платеж]]&lt;1,0,S503+1)</f>
        <v>400</v>
      </c>
      <c r="T504" s="100" cm="1">
        <f t="array" aca="1" ref="T504" ca="1">IF(Первоначальный[[#This Row],[Итого остаток на начало периода]]&lt;1,0,
IF(
AND(TYPE(VLOOKUP(1,$Z$12:Z504,1,0))=16,Первоначальный[[#This Row],[Досрочное погашение (да/"")]]=""),0,
_xlfn.IFS(AND(S503=0,Первоначальный[[#This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платеж]]&lt;&gt;0),MIN(LOOKUP(,-1/($Z$12:Z504=1),$C$12:C504)+LOOKUP(,-1/($Z$12:Z504=1),$H$12:H504),Первоначальный[[#This Row],[Полученный платеж]]+Y503),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платеж]]+Y503,SUM(Первоначальный[[#This Row],[Остаток процентов на начало периода]],Первоначальный[[#This Row],[Проценты за период]])),
AND(S503=0,Первоначальный[[#This Row],[Дата платежа из графика]]=""),0,
AND(S503=0,Первоначальный[[#This Row],[Дата платежа из графика]]=1,MAX((0&lt;&gt;S$12:S503)*ROW(S$12:S503),ROW($S$12))&gt;=MAX((1=Z$12:Z503)*ROW(Z$12:Z503),ROW($T$12)),TYPE(VLOOKUP("Да",(INDIRECT("AA"&amp;(MAX((1=Z$12:Z503)*ROW(Z$12:Z503),ROW($T$12))&amp;":AA"&amp;(ROW()-1)))),1,0))=16),MIN(LOOKUP(,-1/($Z$12:Z504=1),$C$12:C504)+LOOKUP(,-1/($Z$12:Z504=1),$H$12:H504),Первоначальный[[#This Row],[Полученный платеж]]+Y503),
AND(S503=0,TYPE(VLOOKUP("Да",(INDIRECT("AA"&amp;(MAX((1=Z$12:Z503)*ROW(Z$12:Z503),ROW($T$12))&amp;":AA"&amp;(ROW()-1)))),1,0))&lt;&gt;16),MIN(LOOKUP(,-1/($Z$12:Z504=1),$C$12:C504)+LOOKUP(,-1/($Z$12:Z504=1),$H$12:H504)-IF(AA503="Да",0,SUM(INDIRECT("T"&amp;(MAX(("Да"=AA$12:AA503)*ROW(AA$12:AA503)+1,ROW($T$12))&amp;":T"&amp;(ROW()-1))))),Первоначальный[[#This Row],[Полученный платеж]]+Y503),
AND(S503=0,MAX((0&lt;&gt;N$12:N503)*ROW(N$12:N503),ROW($S$12))&gt;=MAX((1=Z$12:Z503)*ROW(Z$12:Z503),ROW($T$12))),MIN(LOOKUP(,-1/($Z$12:Z504=1),$C$12:C504)+LOOKUP(,-1/($Z$12:Z504=1),$H$12:H504)-IF(N503&lt;&gt;0,0,SUM(INDIRECT("T"&amp;(MAX((0&lt;&gt;N$12:N503)*ROW(N$12:N503)+1,ROW($T$12))&amp;":T"&amp;(ROW()-1))))),Первоначальный[[#This Row],[Полученный платеж]]+Y503),
AND(S503=0,Первоначальный[[#This Row],[Дата платежа из графика]]=1),MIN(LOOKUP(,-1/($Z$12:Z504=1),$C$12:C504)+LOOKUP(,-1/($Z$12:Z504=1),$H$12:H504)-IF(Z503=1,0,SUM(INDIRECT("T"&amp;(MAX((1=Z$12:Z503)*ROW(Z$12:Z503)+1,ROW($T$12))&amp;":T"&amp;(ROW()-1))))),Первоначальный[[#This Row],[Полученный платеж]]+Y503),
AND(Z503&gt;0,Первоначальный[[#This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платеж]]+Y503),
AND(S503&gt;0,MAX((0&lt;&gt;S$12:S503)*ROW(S$12:S503),ROW($S$12))&gt;=MAX((1=Z$12:Z503)*ROW(Z$12:Z503),ROW($T$12)),TYPE(VLOOKUP("Да",(INDIRECT("AA"&amp;(MAX((1=Z$12:Z503)*ROW(Z$12:Z503),ROW($T$12))&amp;":AA"&amp;(ROW()-1)))),1,0))=16),MIN(LOOKUP(,-1/($Z$12:Z504=1),$C$12:C504)+LOOKUP(,-1/($Z$12:Z504=1),$H$12:H504)-SUM(INDIRECT("T"&amp;(MAX((1=Z$12:Z503)*ROW(Z$12:Z503),ROW($T$12))&amp;":T"&amp;(ROW()-1)))),Первоначальный[[#This Row],[Полученный платеж]]+Y503),
S503&gt;0,MIN(LOOKUP(,-1/($Z$12:Z504=1),$C$12:C504)+LOOKUP(,-1/($Z$12:Z504=1),$H$12:H504)-IF(Z503=1,0,SUM(INDIRECT("T"&amp;(MAX((1=Z$12:Z503)*ROW(Z$12:Z503)+1,ROW($T$12))&amp;":T"&amp;(ROW()-1))))),Первоначальный[[#This Row],[Полученный платеж]]+Y503)
)
)
)</f>
        <v>0</v>
      </c>
      <c r="U50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платеж]]+Y503-Первоначальный[[#This Row],[Полученный платёж по процентам]])</f>
        <v>0</v>
      </c>
      <c r="V504" s="55">
        <f t="shared" ca="1" si="85"/>
        <v>0</v>
      </c>
      <c r="W504" s="55" cm="1">
        <f t="array" aca="1" ref="W504" ca="1">IF(Первоначальный[[#This Row],[Итого остаток на начало периода]]&lt;1,0,
_xlfn.IFS(
AND(TYPE(VLOOKUP(1,$Z$12:Z504,1,0))=16,Первоначальный[[#This Row],[Досрочное погашение (да/"")]]=""),0,
AND(S503=0,Первоначальный[[#This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платеж]]+Y503-SUM(Первоначальный[[#This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комиссиям]]),VLOOKUP(LOOKUP(,-1/($Z$12:Z504=1),$A$12:A504),График[[Срок конец]:[Возврат основной суммы долга]],3,0)),
AND(S503=0,Первоначальный[[#This Row],[Дата платежа из графика]]="",Первоначальный[[#This Row],[Досрочное погашение (да/"")]]&lt;&gt;"Да"),0,
AND(S503=0,Первоначальный[[#This Row],[Досрочное погашение (да/"")]]=""),MIN(Первоначальный[[#This Row],[Полученный платеж]]+Y503-SUM(Первоначальный[[#This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комиссиям]]),VLOOKUP(LOOKUP(,-1/($Z$12:Z504=1),$A$12:A504),График[[Срок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платеж]]+Y503-SUM(Первоначальный[[#This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S503&gt;0,MIN(Первоначальный[[#This Row],[Полученный платеж]]+Y503-SUM(Первоначальный[[#This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комиссиям]]),SUM(INDIRECT("M"&amp;(MAX((1=S$12:S503)*ROW(S$12:S503),ROW($W$12))&amp;":M"&amp;(ROW()))))-SUM(INDIRECT("W"&amp;(MAX((1=S$12:S503)*ROW(S$12:S503),ROW($W$12))&amp;":W"&amp;(ROW()-1)))))
)
)</f>
        <v>0</v>
      </c>
      <c r="X504" s="55">
        <f t="shared" ca="1" si="86"/>
        <v>0</v>
      </c>
      <c r="Y504" s="101">
        <f t="shared" ca="1" si="93"/>
        <v>0</v>
      </c>
      <c r="Z504" s="133" t="str">
        <f>IF(TYPE((VLOOKUP(Первоначальный[[#This Row],[Дата платежа]],График[Срок конец],1,0)))=16,"",1)</f>
        <v/>
      </c>
      <c r="AA504" s="57"/>
      <c r="AB504" s="134"/>
      <c r="AC50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0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34365.109999999906</v>
      </c>
      <c r="AE50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701.47000000000128</v>
      </c>
      <c r="AF50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0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41212.196311475622</v>
      </c>
      <c r="AH504" s="55"/>
      <c r="AI504" s="55"/>
      <c r="AJ504" s="55"/>
      <c r="AK504" s="101">
        <f t="shared" ca="1" si="94"/>
        <v>225912.11631147552</v>
      </c>
      <c r="AL504" s="129">
        <f t="array" ref="AL504">MAX((УслРестрактов[Характеристика]="Дата реструктуризации")*(УслРестрактов[Значение]=Первоначальный!$A504),0)</f>
        <v>0</v>
      </c>
    </row>
    <row r="505" spans="1:38" x14ac:dyDescent="0.25">
      <c r="A505" s="97">
        <f t="shared" si="87"/>
        <v>44636</v>
      </c>
      <c r="B505" s="100">
        <f t="shared" ca="1" si="88"/>
        <v>149633.34</v>
      </c>
      <c r="C505" s="55">
        <f t="shared" ca="1" si="96"/>
        <v>34365.109999999906</v>
      </c>
      <c r="D505" s="55">
        <f t="shared" ca="1" si="96"/>
        <v>701.47000000000128</v>
      </c>
      <c r="E505" s="55">
        <f t="shared" ca="1" si="89"/>
        <v>0</v>
      </c>
      <c r="F505" s="55">
        <f t="shared" ca="1" si="90"/>
        <v>41212.196311475622</v>
      </c>
      <c r="G505" s="101">
        <f t="shared" ca="1" si="91"/>
        <v>225912.11631147552</v>
      </c>
      <c r="H505" s="100">
        <f ca="1">ROUND($B505*VLOOKUP($A505,$A$1:$B$10,2,1)/(365+IF(MOD(YEAR($A505),4),0,1)*($A505-$A504)),2)-Первоначальный[[#This Row],[Проценты на просроченный платеж по ОД за период]]</f>
        <v>77.959999999999994</v>
      </c>
      <c r="I505" s="55">
        <f t="shared" ca="1" si="92"/>
        <v>3.62</v>
      </c>
      <c r="J505" s="55">
        <v>0</v>
      </c>
      <c r="K505" s="55">
        <f t="shared" ca="1" si="95"/>
        <v>202.72350327868853</v>
      </c>
      <c r="L505" s="55">
        <v>0</v>
      </c>
      <c r="M505" s="113">
        <f>SUMIFS(График[Возврат основной суммы долга],График[Дата с учетом нерабочих дней],$A505)</f>
        <v>0</v>
      </c>
      <c r="N505" s="56">
        <f>SUMIFS(График[Возврат начисленных %],График[Дата с учетом нерабочих дней],$A505)</f>
        <v>0</v>
      </c>
      <c r="O505" s="101">
        <v>0</v>
      </c>
      <c r="P505" s="100" cm="1">
        <f t="array" aca="1" ref="P505" ca="1">MAX(IF(AA504="Да",0,SUM(INDIRECT("M"&amp;(MAX(("Да"=AA$12:AA504)*ROW(AA$12:AA504)+1,ROW($P$12))&amp;":M"&amp;(ROW()))))-SUM(INDIRECT("W"&amp;(MAX(("Да"=AA$12:AA504)*ROW(AA$12:AA504)+1,ROW($P$12))&amp;":W"&amp;(ROW()))))),0)</f>
        <v>6648.84</v>
      </c>
      <c r="Q505" s="99">
        <f ca="1">MAX(SUM($N$13:N505)-SUM($T$13:T505),0)</f>
        <v>33895.860655737699</v>
      </c>
      <c r="R505" s="99">
        <f ca="1">Первоначальный[[#This Row],[Просроченный платеж по ОД]]+Первоначальный[[#This Row],[Просроченный платеж по процентам]]</f>
        <v>40544.700655737703</v>
      </c>
      <c r="S505" s="120">
        <f ca="1">IF(Первоначальный[[#This Row],[Просроченный платеж]]&lt;1,0,S504+1)</f>
        <v>401</v>
      </c>
      <c r="T505" s="100" cm="1">
        <f t="array" aca="1" ref="T505" ca="1">IF(Первоначальный[[#This Row],[Итого остаток на начало периода]]&lt;1,0,
IF(
AND(TYPE(VLOOKUP(1,$Z$12:Z505,1,0))=16,Первоначальный[[#This Row],[Досрочное погашение (да/"")]]=""),0,
_xlfn.IFS(AND(S504=0,Первоначальный[[#This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платеж]]&lt;&gt;0),MIN(LOOKUP(,-1/($Z$12:Z505=1),$C$12:C505)+LOOKUP(,-1/($Z$12:Z505=1),$H$12:H505),Первоначальный[[#This Row],[Полученный платеж]]+Y504),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платеж]]+Y504,SUM(Первоначальный[[#This Row],[Остаток процентов на начало периода]],Первоначальный[[#This Row],[Проценты за период]])),
AND(S504=0,Первоначальный[[#This Row],[Дата платежа из графика]]=""),0,
AND(S504=0,Первоначальный[[#This Row],[Дата платежа из графика]]=1,MAX((0&lt;&gt;S$12:S504)*ROW(S$12:S504),ROW($S$12))&gt;=MAX((1=Z$12:Z504)*ROW(Z$12:Z504),ROW($T$12)),TYPE(VLOOKUP("Да",(INDIRECT("AA"&amp;(MAX((1=Z$12:Z504)*ROW(Z$12:Z504),ROW($T$12))&amp;":AA"&amp;(ROW()-1)))),1,0))=16),MIN(LOOKUP(,-1/($Z$12:Z505=1),$C$12:C505)+LOOKUP(,-1/($Z$12:Z505=1),$H$12:H505),Первоначальный[[#This Row],[Полученный платеж]]+Y504),
AND(S504=0,TYPE(VLOOKUP("Да",(INDIRECT("AA"&amp;(MAX((1=Z$12:Z504)*ROW(Z$12:Z504),ROW($T$12))&amp;":AA"&amp;(ROW()-1)))),1,0))&lt;&gt;16),MIN(LOOKUP(,-1/($Z$12:Z505=1),$C$12:C505)+LOOKUP(,-1/($Z$12:Z505=1),$H$12:H505)-IF(AA504="Да",0,SUM(INDIRECT("T"&amp;(MAX(("Да"=AA$12:AA504)*ROW(AA$12:AA504)+1,ROW($T$12))&amp;":T"&amp;(ROW()-1))))),Первоначальный[[#This Row],[Полученный платеж]]+Y504),
AND(S504=0,MAX((0&lt;&gt;N$12:N504)*ROW(N$12:N504),ROW($S$12))&gt;=MAX((1=Z$12:Z504)*ROW(Z$12:Z504),ROW($T$12))),MIN(LOOKUP(,-1/($Z$12:Z505=1),$C$12:C505)+LOOKUP(,-1/($Z$12:Z505=1),$H$12:H505)-IF(N504&lt;&gt;0,0,SUM(INDIRECT("T"&amp;(MAX((0&lt;&gt;N$12:N504)*ROW(N$12:N504)+1,ROW($T$12))&amp;":T"&amp;(ROW()-1))))),Первоначальный[[#This Row],[Полученный платеж]]+Y504),
AND(S504=0,Первоначальный[[#This Row],[Дата платежа из графика]]=1),MIN(LOOKUP(,-1/($Z$12:Z505=1),$C$12:C505)+LOOKUP(,-1/($Z$12:Z505=1),$H$12:H505)-IF(Z504=1,0,SUM(INDIRECT("T"&amp;(MAX((1=Z$12:Z504)*ROW(Z$12:Z504)+1,ROW($T$12))&amp;":T"&amp;(ROW()-1))))),Первоначальный[[#This Row],[Полученный платеж]]+Y504),
AND(Z504&gt;0,Первоначальный[[#This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платеж]]+Y504),
AND(S504&gt;0,MAX((0&lt;&gt;S$12:S504)*ROW(S$12:S504),ROW($S$12))&gt;=MAX((1=Z$12:Z504)*ROW(Z$12:Z504),ROW($T$12)),TYPE(VLOOKUP("Да",(INDIRECT("AA"&amp;(MAX((1=Z$12:Z504)*ROW(Z$12:Z504),ROW($T$12))&amp;":AA"&amp;(ROW()-1)))),1,0))=16),MIN(LOOKUP(,-1/($Z$12:Z505=1),$C$12:C505)+LOOKUP(,-1/($Z$12:Z505=1),$H$12:H505)-SUM(INDIRECT("T"&amp;(MAX((1=Z$12:Z504)*ROW(Z$12:Z504),ROW($T$12))&amp;":T"&amp;(ROW()-1)))),Первоначальный[[#This Row],[Полученный платеж]]+Y504),
S504&gt;0,MIN(LOOKUP(,-1/($Z$12:Z505=1),$C$12:C505)+LOOKUP(,-1/($Z$12:Z505=1),$H$12:H505)-IF(Z504=1,0,SUM(INDIRECT("T"&amp;(MAX((1=Z$12:Z504)*ROW(Z$12:Z504)+1,ROW($T$12))&amp;":T"&amp;(ROW()-1))))),Первоначальный[[#This Row],[Полученный платеж]]+Y504)
)
)
)</f>
        <v>0</v>
      </c>
      <c r="U50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платеж]]+Y504-Первоначальный[[#This Row],[Полученный платёж по процентам]])</f>
        <v>0</v>
      </c>
      <c r="V505" s="55">
        <f t="shared" ca="1" si="85"/>
        <v>0</v>
      </c>
      <c r="W505" s="55" cm="1">
        <f t="array" aca="1" ref="W505" ca="1">IF(Первоначальный[[#This Row],[Итого остаток на начало периода]]&lt;1,0,
_xlfn.IFS(
AND(TYPE(VLOOKUP(1,$Z$12:Z505,1,0))=16,Первоначальный[[#This Row],[Досрочное погашение (да/"")]]=""),0,
AND(S504=0,Первоначальный[[#This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платеж]]+Y504-SUM(Первоначальный[[#This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комиссиям]]),VLOOKUP(LOOKUP(,-1/($Z$12:Z505=1),$A$12:A505),График[[Срок конец]:[Возврат основной суммы долга]],3,0)),
AND(S504=0,Первоначальный[[#This Row],[Дата платежа из графика]]="",Первоначальный[[#This Row],[Досрочное погашение (да/"")]]&lt;&gt;"Да"),0,
AND(S504=0,Первоначальный[[#This Row],[Досрочное погашение (да/"")]]=""),MIN(Первоначальный[[#This Row],[Полученный платеж]]+Y504-SUM(Первоначальный[[#This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комиссиям]]),VLOOKUP(LOOKUP(,-1/($Z$12:Z505=1),$A$12:A505),График[[Срок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платеж]]+Y504-SUM(Первоначальный[[#This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S504&gt;0,MIN(Первоначальный[[#This Row],[Полученный платеж]]+Y504-SUM(Первоначальный[[#This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комиссиям]]),SUM(INDIRECT("M"&amp;(MAX((1=S$12:S504)*ROW(S$12:S504),ROW($W$12))&amp;":M"&amp;(ROW()))))-SUM(INDIRECT("W"&amp;(MAX((1=S$12:S504)*ROW(S$12:S504),ROW($W$12))&amp;":W"&amp;(ROW()-1)))))
)
)</f>
        <v>0</v>
      </c>
      <c r="X505" s="55">
        <f t="shared" ca="1" si="86"/>
        <v>0</v>
      </c>
      <c r="Y505" s="101">
        <f t="shared" ca="1" si="93"/>
        <v>0</v>
      </c>
      <c r="Z505" s="133" t="str">
        <f>IF(TYPE((VLOOKUP(Первоначальный[[#This Row],[Дата платежа]],График[Срок конец],1,0)))=16,"",1)</f>
        <v/>
      </c>
      <c r="AA505" s="57"/>
      <c r="AB505" s="134"/>
      <c r="AC50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0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34443.069999999905</v>
      </c>
      <c r="AE50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705.09000000000128</v>
      </c>
      <c r="AF50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0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41414.919814754314</v>
      </c>
      <c r="AH505" s="55"/>
      <c r="AI505" s="55"/>
      <c r="AJ505" s="55"/>
      <c r="AK505" s="101">
        <f t="shared" ca="1" si="94"/>
        <v>226196.41981475422</v>
      </c>
      <c r="AL505" s="129">
        <f t="array" ref="AL505">MAX((УслРестрактов[Характеристика]="Дата реструктуризации")*(УслРестрактов[Значение]=Первоначальный!$A505),0)</f>
        <v>0</v>
      </c>
    </row>
    <row r="506" spans="1:38" x14ac:dyDescent="0.25">
      <c r="A506" s="97">
        <f t="shared" si="87"/>
        <v>44637</v>
      </c>
      <c r="B506" s="100">
        <f t="shared" ca="1" si="88"/>
        <v>149633.34</v>
      </c>
      <c r="C506" s="55">
        <f t="shared" ca="1" si="96"/>
        <v>34443.069999999905</v>
      </c>
      <c r="D506" s="55">
        <f t="shared" ca="1" si="96"/>
        <v>705.09000000000128</v>
      </c>
      <c r="E506" s="55">
        <f t="shared" ca="1" si="89"/>
        <v>0</v>
      </c>
      <c r="F506" s="55">
        <f t="shared" ca="1" si="90"/>
        <v>41414.919814754314</v>
      </c>
      <c r="G506" s="101">
        <f t="shared" ca="1" si="91"/>
        <v>226196.41981475422</v>
      </c>
      <c r="H506" s="100">
        <f ca="1">ROUND($B506*VLOOKUP($A506,$A$1:$B$10,2,1)/(365+IF(MOD(YEAR($A506),4),0,1)*($A506-$A505)),2)-Первоначальный[[#This Row],[Проценты на просроченный платеж по ОД за период]]</f>
        <v>77.959999999999994</v>
      </c>
      <c r="I506" s="55">
        <f t="shared" ca="1" si="92"/>
        <v>3.62</v>
      </c>
      <c r="J506" s="55">
        <v>0</v>
      </c>
      <c r="K506" s="55">
        <f t="shared" ca="1" si="95"/>
        <v>202.72350327868853</v>
      </c>
      <c r="L506" s="55">
        <v>0</v>
      </c>
      <c r="M506" s="113">
        <f>SUMIFS(График[Возврат основной суммы долга],График[Дата с учетом нерабочих дней],$A506)</f>
        <v>0</v>
      </c>
      <c r="N506" s="56">
        <f>SUMIFS(График[Возврат начисленных %],График[Дата с учетом нерабочих дней],$A506)</f>
        <v>0</v>
      </c>
      <c r="O506" s="101">
        <v>0</v>
      </c>
      <c r="P506" s="100" cm="1">
        <f t="array" aca="1" ref="P506" ca="1">MAX(IF(AA505="Да",0,SUM(INDIRECT("M"&amp;(MAX(("Да"=AA$12:AA505)*ROW(AA$12:AA505)+1,ROW($P$12))&amp;":M"&amp;(ROW()))))-SUM(INDIRECT("W"&amp;(MAX(("Да"=AA$12:AA505)*ROW(AA$12:AA505)+1,ROW($P$12))&amp;":W"&amp;(ROW()))))),0)</f>
        <v>6648.84</v>
      </c>
      <c r="Q506" s="99">
        <f ca="1">MAX(SUM($N$13:N506)-SUM($T$13:T506),0)</f>
        <v>33895.860655737699</v>
      </c>
      <c r="R506" s="99">
        <f ca="1">Первоначальный[[#This Row],[Просроченный платеж по ОД]]+Первоначальный[[#This Row],[Просроченный платеж по процентам]]</f>
        <v>40544.700655737703</v>
      </c>
      <c r="S506" s="120">
        <f ca="1">IF(Первоначальный[[#This Row],[Просроченный платеж]]&lt;1,0,S505+1)</f>
        <v>402</v>
      </c>
      <c r="T506" s="100" cm="1">
        <f t="array" aca="1" ref="T506" ca="1">IF(Первоначальный[[#This Row],[Итого остаток на начало периода]]&lt;1,0,
IF(
AND(TYPE(VLOOKUP(1,$Z$12:Z506,1,0))=16,Первоначальный[[#This Row],[Досрочное погашение (да/"")]]=""),0,
_xlfn.IFS(AND(S505=0,Первоначальный[[#This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платеж]]&lt;&gt;0),MIN(LOOKUP(,-1/($Z$12:Z506=1),$C$12:C506)+LOOKUP(,-1/($Z$12:Z506=1),$H$12:H506),Первоначальный[[#This Row],[Полученный платеж]]+Y505),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платеж]]+Y505,SUM(Первоначальный[[#This Row],[Остаток процентов на начало периода]],Первоначальный[[#This Row],[Проценты за период]])),
AND(S505=0,Первоначальный[[#This Row],[Дата платежа из графика]]=""),0,
AND(S505=0,Первоначальный[[#This Row],[Дата платежа из графика]]=1,MAX((0&lt;&gt;S$12:S505)*ROW(S$12:S505),ROW($S$12))&gt;=MAX((1=Z$12:Z505)*ROW(Z$12:Z505),ROW($T$12)),TYPE(VLOOKUP("Да",(INDIRECT("AA"&amp;(MAX((1=Z$12:Z505)*ROW(Z$12:Z505),ROW($T$12))&amp;":AA"&amp;(ROW()-1)))),1,0))=16),MIN(LOOKUP(,-1/($Z$12:Z506=1),$C$12:C506)+LOOKUP(,-1/($Z$12:Z506=1),$H$12:H506),Первоначальный[[#This Row],[Полученный платеж]]+Y505),
AND(S505=0,TYPE(VLOOKUP("Да",(INDIRECT("AA"&amp;(MAX((1=Z$12:Z505)*ROW(Z$12:Z505),ROW($T$12))&amp;":AA"&amp;(ROW()-1)))),1,0))&lt;&gt;16),MIN(LOOKUP(,-1/($Z$12:Z506=1),$C$12:C506)+LOOKUP(,-1/($Z$12:Z506=1),$H$12:H506)-IF(AA505="Да",0,SUM(INDIRECT("T"&amp;(MAX(("Да"=AA$12:AA505)*ROW(AA$12:AA505)+1,ROW($T$12))&amp;":T"&amp;(ROW()-1))))),Первоначальный[[#This Row],[Полученный платеж]]+Y505),
AND(S505=0,MAX((0&lt;&gt;N$12:N505)*ROW(N$12:N505),ROW($S$12))&gt;=MAX((1=Z$12:Z505)*ROW(Z$12:Z505),ROW($T$12))),MIN(LOOKUP(,-1/($Z$12:Z506=1),$C$12:C506)+LOOKUP(,-1/($Z$12:Z506=1),$H$12:H506)-IF(N505&lt;&gt;0,0,SUM(INDIRECT("T"&amp;(MAX((0&lt;&gt;N$12:N505)*ROW(N$12:N505)+1,ROW($T$12))&amp;":T"&amp;(ROW()-1))))),Первоначальный[[#This Row],[Полученный платеж]]+Y505),
AND(S505=0,Первоначальный[[#This Row],[Дата платежа из графика]]=1),MIN(LOOKUP(,-1/($Z$12:Z506=1),$C$12:C506)+LOOKUP(,-1/($Z$12:Z506=1),$H$12:H506)-IF(Z505=1,0,SUM(INDIRECT("T"&amp;(MAX((1=Z$12:Z505)*ROW(Z$12:Z505)+1,ROW($T$12))&amp;":T"&amp;(ROW()-1))))),Первоначальный[[#This Row],[Полученный платеж]]+Y505),
AND(Z505&gt;0,Первоначальный[[#This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платеж]]+Y505),
AND(S505&gt;0,MAX((0&lt;&gt;S$12:S505)*ROW(S$12:S505),ROW($S$12))&gt;=MAX((1=Z$12:Z505)*ROW(Z$12:Z505),ROW($T$12)),TYPE(VLOOKUP("Да",(INDIRECT("AA"&amp;(MAX((1=Z$12:Z505)*ROW(Z$12:Z505),ROW($T$12))&amp;":AA"&amp;(ROW()-1)))),1,0))=16),MIN(LOOKUP(,-1/($Z$12:Z506=1),$C$12:C506)+LOOKUP(,-1/($Z$12:Z506=1),$H$12:H506)-SUM(INDIRECT("T"&amp;(MAX((1=Z$12:Z505)*ROW(Z$12:Z505),ROW($T$12))&amp;":T"&amp;(ROW()-1)))),Первоначальный[[#This Row],[Полученный платеж]]+Y505),
S505&gt;0,MIN(LOOKUP(,-1/($Z$12:Z506=1),$C$12:C506)+LOOKUP(,-1/($Z$12:Z506=1),$H$12:H506)-IF(Z505=1,0,SUM(INDIRECT("T"&amp;(MAX((1=Z$12:Z505)*ROW(Z$12:Z505)+1,ROW($T$12))&amp;":T"&amp;(ROW()-1))))),Первоначальный[[#This Row],[Полученный платеж]]+Y505)
)
)
)</f>
        <v>0</v>
      </c>
      <c r="U50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платеж]]+Y505-Первоначальный[[#This Row],[Полученный платёж по процентам]])</f>
        <v>0</v>
      </c>
      <c r="V506" s="55">
        <f t="shared" ca="1" si="85"/>
        <v>0</v>
      </c>
      <c r="W506" s="55" cm="1">
        <f t="array" aca="1" ref="W506" ca="1">IF(Первоначальный[[#This Row],[Итого остаток на начало периода]]&lt;1,0,
_xlfn.IFS(
AND(TYPE(VLOOKUP(1,$Z$12:Z506,1,0))=16,Первоначальный[[#This Row],[Досрочное погашение (да/"")]]=""),0,
AND(S505=0,Первоначальный[[#This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платеж]]+Y505-SUM(Первоначальный[[#This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комиссиям]]),VLOOKUP(LOOKUP(,-1/($Z$12:Z506=1),$A$12:A506),График[[Срок конец]:[Возврат основной суммы долга]],3,0)),
AND(S505=0,Первоначальный[[#This Row],[Дата платежа из графика]]="",Первоначальный[[#This Row],[Досрочное погашение (да/"")]]&lt;&gt;"Да"),0,
AND(S505=0,Первоначальный[[#This Row],[Досрочное погашение (да/"")]]=""),MIN(Первоначальный[[#This Row],[Полученный платеж]]+Y505-SUM(Первоначальный[[#This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комиссиям]]),VLOOKUP(LOOKUP(,-1/($Z$12:Z506=1),$A$12:A506),График[[Срок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платеж]]+Y505-SUM(Первоначальный[[#This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S505&gt;0,MIN(Первоначальный[[#This Row],[Полученный платеж]]+Y505-SUM(Первоначальный[[#This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комиссиям]]),SUM(INDIRECT("M"&amp;(MAX((1=S$12:S505)*ROW(S$12:S505),ROW($W$12))&amp;":M"&amp;(ROW()))))-SUM(INDIRECT("W"&amp;(MAX((1=S$12:S505)*ROW(S$12:S505),ROW($W$12))&amp;":W"&amp;(ROW()-1)))))
)
)</f>
        <v>0</v>
      </c>
      <c r="X506" s="55">
        <f t="shared" ca="1" si="86"/>
        <v>0</v>
      </c>
      <c r="Y506" s="101">
        <f t="shared" ca="1" si="93"/>
        <v>0</v>
      </c>
      <c r="Z506" s="133" t="str">
        <f>IF(TYPE((VLOOKUP(Первоначальный[[#This Row],[Дата платежа]],График[Срок конец],1,0)))=16,"",1)</f>
        <v/>
      </c>
      <c r="AA506" s="57"/>
      <c r="AB506" s="134"/>
      <c r="AC50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0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34521.029999999904</v>
      </c>
      <c r="AE50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708.71000000000129</v>
      </c>
      <c r="AF50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0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41617.643318033006</v>
      </c>
      <c r="AH506" s="55"/>
      <c r="AI506" s="55"/>
      <c r="AJ506" s="55"/>
      <c r="AK506" s="101">
        <f t="shared" ca="1" si="94"/>
        <v>226480.72331803292</v>
      </c>
      <c r="AL506" s="129">
        <f t="array" ref="AL506">MAX((УслРестрактов[Характеристика]="Дата реструктуризации")*(УслРестрактов[Значение]=Первоначальный!$A506),0)</f>
        <v>0</v>
      </c>
    </row>
    <row r="507" spans="1:38" x14ac:dyDescent="0.25">
      <c r="A507" s="97">
        <f t="shared" si="87"/>
        <v>44638</v>
      </c>
      <c r="B507" s="100">
        <f t="shared" ca="1" si="88"/>
        <v>149633.34</v>
      </c>
      <c r="C507" s="55">
        <f t="shared" ca="1" si="96"/>
        <v>34521.029999999904</v>
      </c>
      <c r="D507" s="55">
        <f t="shared" ca="1" si="96"/>
        <v>708.71000000000129</v>
      </c>
      <c r="E507" s="55">
        <f t="shared" ca="1" si="89"/>
        <v>0</v>
      </c>
      <c r="F507" s="55">
        <f t="shared" ca="1" si="90"/>
        <v>41617.643318033006</v>
      </c>
      <c r="G507" s="101">
        <f t="shared" ca="1" si="91"/>
        <v>226480.72331803292</v>
      </c>
      <c r="H507" s="100">
        <f ca="1">ROUND($B507*VLOOKUP($A507,$A$1:$B$10,2,1)/(365+IF(MOD(YEAR($A507),4),0,1)*($A507-$A506)),2)-Первоначальный[[#This Row],[Проценты на просроченный платеж по ОД за период]]</f>
        <v>77.959999999999994</v>
      </c>
      <c r="I507" s="55">
        <f t="shared" ca="1" si="92"/>
        <v>3.62</v>
      </c>
      <c r="J507" s="55">
        <v>0</v>
      </c>
      <c r="K507" s="55">
        <f t="shared" ca="1" si="95"/>
        <v>202.72350327868853</v>
      </c>
      <c r="L507" s="55">
        <v>0</v>
      </c>
      <c r="M507" s="113">
        <f>SUMIFS(График[Возврат основной суммы долга],График[Дата с учетом нерабочих дней],$A507)</f>
        <v>0</v>
      </c>
      <c r="N507" s="56">
        <f>SUMIFS(График[Возврат начисленных %],График[Дата с учетом нерабочих дней],$A507)</f>
        <v>0</v>
      </c>
      <c r="O507" s="101">
        <v>0</v>
      </c>
      <c r="P507" s="100" cm="1">
        <f t="array" aca="1" ref="P507" ca="1">MAX(IF(AA506="Да",0,SUM(INDIRECT("M"&amp;(MAX(("Да"=AA$12:AA506)*ROW(AA$12:AA506)+1,ROW($P$12))&amp;":M"&amp;(ROW()))))-SUM(INDIRECT("W"&amp;(MAX(("Да"=AA$12:AA506)*ROW(AA$12:AA506)+1,ROW($P$12))&amp;":W"&amp;(ROW()))))),0)</f>
        <v>6648.84</v>
      </c>
      <c r="Q507" s="99">
        <f ca="1">MAX(SUM($N$13:N507)-SUM($T$13:T507),0)</f>
        <v>33895.860655737699</v>
      </c>
      <c r="R507" s="99">
        <f ca="1">Первоначальный[[#This Row],[Просроченный платеж по ОД]]+Первоначальный[[#This Row],[Просроченный платеж по процентам]]</f>
        <v>40544.700655737703</v>
      </c>
      <c r="S507" s="120">
        <f ca="1">IF(Первоначальный[[#This Row],[Просроченный платеж]]&lt;1,0,S506+1)</f>
        <v>403</v>
      </c>
      <c r="T507" s="100" cm="1">
        <f t="array" aca="1" ref="T507" ca="1">IF(Первоначальный[[#This Row],[Итого остаток на начало периода]]&lt;1,0,
IF(
AND(TYPE(VLOOKUP(1,$Z$12:Z507,1,0))=16,Первоначальный[[#This Row],[Досрочное погашение (да/"")]]=""),0,
_xlfn.IFS(AND(S506=0,Первоначальный[[#This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платеж]]&lt;&gt;0),MIN(LOOKUP(,-1/($Z$12:Z507=1),$C$12:C507)+LOOKUP(,-1/($Z$12:Z507=1),$H$12:H507),Первоначальный[[#This Row],[Полученный платеж]]+Y506),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платеж]]+Y506,SUM(Первоначальный[[#This Row],[Остаток процентов на начало периода]],Первоначальный[[#This Row],[Проценты за период]])),
AND(S506=0,Первоначальный[[#This Row],[Дата платежа из графика]]=""),0,
AND(S506=0,Первоначальный[[#This Row],[Дата платежа из графика]]=1,MAX((0&lt;&gt;S$12:S506)*ROW(S$12:S506),ROW($S$12))&gt;=MAX((1=Z$12:Z506)*ROW(Z$12:Z506),ROW($T$12)),TYPE(VLOOKUP("Да",(INDIRECT("AA"&amp;(MAX((1=Z$12:Z506)*ROW(Z$12:Z506),ROW($T$12))&amp;":AA"&amp;(ROW()-1)))),1,0))=16),MIN(LOOKUP(,-1/($Z$12:Z507=1),$C$12:C507)+LOOKUP(,-1/($Z$12:Z507=1),$H$12:H507),Первоначальный[[#This Row],[Полученный платеж]]+Y506),
AND(S506=0,TYPE(VLOOKUP("Да",(INDIRECT("AA"&amp;(MAX((1=Z$12:Z506)*ROW(Z$12:Z506),ROW($T$12))&amp;":AA"&amp;(ROW()-1)))),1,0))&lt;&gt;16),MIN(LOOKUP(,-1/($Z$12:Z507=1),$C$12:C507)+LOOKUP(,-1/($Z$12:Z507=1),$H$12:H507)-IF(AA506="Да",0,SUM(INDIRECT("T"&amp;(MAX(("Да"=AA$12:AA506)*ROW(AA$12:AA506)+1,ROW($T$12))&amp;":T"&amp;(ROW()-1))))),Первоначальный[[#This Row],[Полученный платеж]]+Y506),
AND(S506=0,MAX((0&lt;&gt;N$12:N506)*ROW(N$12:N506),ROW($S$12))&gt;=MAX((1=Z$12:Z506)*ROW(Z$12:Z506),ROW($T$12))),MIN(LOOKUP(,-1/($Z$12:Z507=1),$C$12:C507)+LOOKUP(,-1/($Z$12:Z507=1),$H$12:H507)-IF(N506&lt;&gt;0,0,SUM(INDIRECT("T"&amp;(MAX((0&lt;&gt;N$12:N506)*ROW(N$12:N506)+1,ROW($T$12))&amp;":T"&amp;(ROW()-1))))),Первоначальный[[#This Row],[Полученный платеж]]+Y506),
AND(S506=0,Первоначальный[[#This Row],[Дата платежа из графика]]=1),MIN(LOOKUP(,-1/($Z$12:Z507=1),$C$12:C507)+LOOKUP(,-1/($Z$12:Z507=1),$H$12:H507)-IF(Z506=1,0,SUM(INDIRECT("T"&amp;(MAX((1=Z$12:Z506)*ROW(Z$12:Z506)+1,ROW($T$12))&amp;":T"&amp;(ROW()-1))))),Первоначальный[[#This Row],[Полученный платеж]]+Y506),
AND(Z506&gt;0,Первоначальный[[#This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платеж]]+Y506),
AND(S506&gt;0,MAX((0&lt;&gt;S$12:S506)*ROW(S$12:S506),ROW($S$12))&gt;=MAX((1=Z$12:Z506)*ROW(Z$12:Z506),ROW($T$12)),TYPE(VLOOKUP("Да",(INDIRECT("AA"&amp;(MAX((1=Z$12:Z506)*ROW(Z$12:Z506),ROW($T$12))&amp;":AA"&amp;(ROW()-1)))),1,0))=16),MIN(LOOKUP(,-1/($Z$12:Z507=1),$C$12:C507)+LOOKUP(,-1/($Z$12:Z507=1),$H$12:H507)-SUM(INDIRECT("T"&amp;(MAX((1=Z$12:Z506)*ROW(Z$12:Z506),ROW($T$12))&amp;":T"&amp;(ROW()-1)))),Первоначальный[[#This Row],[Полученный платеж]]+Y506),
S506&gt;0,MIN(LOOKUP(,-1/($Z$12:Z507=1),$C$12:C507)+LOOKUP(,-1/($Z$12:Z507=1),$H$12:H507)-IF(Z506=1,0,SUM(INDIRECT("T"&amp;(MAX((1=Z$12:Z506)*ROW(Z$12:Z506)+1,ROW($T$12))&amp;":T"&amp;(ROW()-1))))),Первоначальный[[#This Row],[Полученный платеж]]+Y506)
)
)
)</f>
        <v>0</v>
      </c>
      <c r="U50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платеж]]+Y506-Первоначальный[[#This Row],[Полученный платёж по процентам]])</f>
        <v>0</v>
      </c>
      <c r="V507" s="55">
        <f t="shared" ca="1" si="85"/>
        <v>0</v>
      </c>
      <c r="W507" s="55" cm="1">
        <f t="array" aca="1" ref="W507" ca="1">IF(Первоначальный[[#This Row],[Итого остаток на начало периода]]&lt;1,0,
_xlfn.IFS(
AND(TYPE(VLOOKUP(1,$Z$12:Z507,1,0))=16,Первоначальный[[#This Row],[Досрочное погашение (да/"")]]=""),0,
AND(S506=0,Первоначальный[[#This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платеж]]+Y506-SUM(Первоначальный[[#This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комиссиям]]),VLOOKUP(LOOKUP(,-1/($Z$12:Z507=1),$A$12:A507),График[[Срок конец]:[Возврат основной суммы долга]],3,0)),
AND(S506=0,Первоначальный[[#This Row],[Дата платежа из графика]]="",Первоначальный[[#This Row],[Досрочное погашение (да/"")]]&lt;&gt;"Да"),0,
AND(S506=0,Первоначальный[[#This Row],[Досрочное погашение (да/"")]]=""),MIN(Первоначальный[[#This Row],[Полученный платеж]]+Y506-SUM(Первоначальный[[#This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комиссиям]]),VLOOKUP(LOOKUP(,-1/($Z$12:Z507=1),$A$12:A507),График[[Срок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платеж]]+Y506-SUM(Первоначальный[[#This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S506&gt;0,MIN(Первоначальный[[#This Row],[Полученный платеж]]+Y506-SUM(Первоначальный[[#This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комиссиям]]),SUM(INDIRECT("M"&amp;(MAX((1=S$12:S506)*ROW(S$12:S506),ROW($W$12))&amp;":M"&amp;(ROW()))))-SUM(INDIRECT("W"&amp;(MAX((1=S$12:S506)*ROW(S$12:S506),ROW($W$12))&amp;":W"&amp;(ROW()-1)))))
)
)</f>
        <v>0</v>
      </c>
      <c r="X507" s="55">
        <f t="shared" ca="1" si="86"/>
        <v>0</v>
      </c>
      <c r="Y507" s="101">
        <f t="shared" ca="1" si="93"/>
        <v>0</v>
      </c>
      <c r="Z507" s="133" t="str">
        <f>IF(TYPE((VLOOKUP(Первоначальный[[#This Row],[Дата платежа]],График[Срок конец],1,0)))=16,"",1)</f>
        <v/>
      </c>
      <c r="AA507" s="57"/>
      <c r="AB507" s="134"/>
      <c r="AC50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0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34598.989999999903</v>
      </c>
      <c r="AE50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712.33000000000129</v>
      </c>
      <c r="AF50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0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41820.366821311698</v>
      </c>
      <c r="AH507" s="55"/>
      <c r="AI507" s="55"/>
      <c r="AJ507" s="55"/>
      <c r="AK507" s="101">
        <f t="shared" ca="1" si="94"/>
        <v>226765.02682131159</v>
      </c>
      <c r="AL507" s="129">
        <f t="array" ref="AL507">MAX((УслРестрактов[Характеристика]="Дата реструктуризации")*(УслРестрактов[Значение]=Первоначальный!$A507),0)</f>
        <v>0</v>
      </c>
    </row>
    <row r="508" spans="1:38" x14ac:dyDescent="0.25">
      <c r="A508" s="97">
        <f t="shared" si="87"/>
        <v>44639</v>
      </c>
      <c r="B508" s="100">
        <f t="shared" ca="1" si="88"/>
        <v>149633.34</v>
      </c>
      <c r="C508" s="55">
        <f t="shared" ca="1" si="96"/>
        <v>34598.989999999903</v>
      </c>
      <c r="D508" s="55">
        <f t="shared" ca="1" si="96"/>
        <v>712.33000000000129</v>
      </c>
      <c r="E508" s="55">
        <f t="shared" ca="1" si="89"/>
        <v>0</v>
      </c>
      <c r="F508" s="55">
        <f t="shared" ca="1" si="90"/>
        <v>41820.366821311698</v>
      </c>
      <c r="G508" s="101">
        <f t="shared" ca="1" si="91"/>
        <v>226765.02682131159</v>
      </c>
      <c r="H508" s="100">
        <f ca="1">ROUND($B508*VLOOKUP($A508,$A$1:$B$10,2,1)/(365+IF(MOD(YEAR($A508),4),0,1)*($A508-$A507)),2)-Первоначальный[[#This Row],[Проценты на просроченный платеж по ОД за период]]</f>
        <v>77.959999999999994</v>
      </c>
      <c r="I508" s="55">
        <f t="shared" ca="1" si="92"/>
        <v>3.62</v>
      </c>
      <c r="J508" s="55">
        <v>0</v>
      </c>
      <c r="K508" s="55">
        <f t="shared" ca="1" si="95"/>
        <v>202.72350327868853</v>
      </c>
      <c r="L508" s="55">
        <v>0</v>
      </c>
      <c r="M508" s="113">
        <f>SUMIFS(График[Возврат основной суммы долга],График[Дата с учетом нерабочих дней],$A508)</f>
        <v>0</v>
      </c>
      <c r="N508" s="56">
        <f>SUMIFS(График[Возврат начисленных %],График[Дата с учетом нерабочих дней],$A508)</f>
        <v>0</v>
      </c>
      <c r="O508" s="101">
        <v>0</v>
      </c>
      <c r="P508" s="100" cm="1">
        <f t="array" aca="1" ref="P508" ca="1">MAX(IF(AA507="Да",0,SUM(INDIRECT("M"&amp;(MAX(("Да"=AA$12:AA507)*ROW(AA$12:AA507)+1,ROW($P$12))&amp;":M"&amp;(ROW()))))-SUM(INDIRECT("W"&amp;(MAX(("Да"=AA$12:AA507)*ROW(AA$12:AA507)+1,ROW($P$12))&amp;":W"&amp;(ROW()))))),0)</f>
        <v>6648.84</v>
      </c>
      <c r="Q508" s="99">
        <f ca="1">MAX(SUM($N$13:N508)-SUM($T$13:T508),0)</f>
        <v>33895.860655737699</v>
      </c>
      <c r="R508" s="99">
        <f ca="1">Первоначальный[[#This Row],[Просроченный платеж по ОД]]+Первоначальный[[#This Row],[Просроченный платеж по процентам]]</f>
        <v>40544.700655737703</v>
      </c>
      <c r="S508" s="120">
        <f ca="1">IF(Первоначальный[[#This Row],[Просроченный платеж]]&lt;1,0,S507+1)</f>
        <v>404</v>
      </c>
      <c r="T508" s="100" cm="1">
        <f t="array" aca="1" ref="T508" ca="1">IF(Первоначальный[[#This Row],[Итого остаток на начало периода]]&lt;1,0,
IF(
AND(TYPE(VLOOKUP(1,$Z$12:Z508,1,0))=16,Первоначальный[[#This Row],[Досрочное погашение (да/"")]]=""),0,
_xlfn.IFS(AND(S507=0,Первоначальный[[#This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платеж]]&lt;&gt;0),MIN(LOOKUP(,-1/($Z$12:Z508=1),$C$12:C508)+LOOKUP(,-1/($Z$12:Z508=1),$H$12:H508),Первоначальный[[#This Row],[Полученный платеж]]+Y507),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платеж]]+Y507,SUM(Первоначальный[[#This Row],[Остаток процентов на начало периода]],Первоначальный[[#This Row],[Проценты за период]])),
AND(S507=0,Первоначальный[[#This Row],[Дата платежа из графика]]=""),0,
AND(S507=0,Первоначальный[[#This Row],[Дата платежа из графика]]=1,MAX((0&lt;&gt;S$12:S507)*ROW(S$12:S507),ROW($S$12))&gt;=MAX((1=Z$12:Z507)*ROW(Z$12:Z507),ROW($T$12)),TYPE(VLOOKUP("Да",(INDIRECT("AA"&amp;(MAX((1=Z$12:Z507)*ROW(Z$12:Z507),ROW($T$12))&amp;":AA"&amp;(ROW()-1)))),1,0))=16),MIN(LOOKUP(,-1/($Z$12:Z508=1),$C$12:C508)+LOOKUP(,-1/($Z$12:Z508=1),$H$12:H508),Первоначальный[[#This Row],[Полученный платеж]]+Y507),
AND(S507=0,TYPE(VLOOKUP("Да",(INDIRECT("AA"&amp;(MAX((1=Z$12:Z507)*ROW(Z$12:Z507),ROW($T$12))&amp;":AA"&amp;(ROW()-1)))),1,0))&lt;&gt;16),MIN(LOOKUP(,-1/($Z$12:Z508=1),$C$12:C508)+LOOKUP(,-1/($Z$12:Z508=1),$H$12:H508)-IF(AA507="Да",0,SUM(INDIRECT("T"&amp;(MAX(("Да"=AA$12:AA507)*ROW(AA$12:AA507)+1,ROW($T$12))&amp;":T"&amp;(ROW()-1))))),Первоначальный[[#This Row],[Полученный платеж]]+Y507),
AND(S507=0,MAX((0&lt;&gt;N$12:N507)*ROW(N$12:N507),ROW($S$12))&gt;=MAX((1=Z$12:Z507)*ROW(Z$12:Z507),ROW($T$12))),MIN(LOOKUP(,-1/($Z$12:Z508=1),$C$12:C508)+LOOKUP(,-1/($Z$12:Z508=1),$H$12:H508)-IF(N507&lt;&gt;0,0,SUM(INDIRECT("T"&amp;(MAX((0&lt;&gt;N$12:N507)*ROW(N$12:N507)+1,ROW($T$12))&amp;":T"&amp;(ROW()-1))))),Первоначальный[[#This Row],[Полученный платеж]]+Y507),
AND(S507=0,Первоначальный[[#This Row],[Дата платежа из графика]]=1),MIN(LOOKUP(,-1/($Z$12:Z508=1),$C$12:C508)+LOOKUP(,-1/($Z$12:Z508=1),$H$12:H508)-IF(Z507=1,0,SUM(INDIRECT("T"&amp;(MAX((1=Z$12:Z507)*ROW(Z$12:Z507)+1,ROW($T$12))&amp;":T"&amp;(ROW()-1))))),Первоначальный[[#This Row],[Полученный платеж]]+Y507),
AND(Z507&gt;0,Первоначальный[[#This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платеж]]+Y507),
AND(S507&gt;0,MAX((0&lt;&gt;S$12:S507)*ROW(S$12:S507),ROW($S$12))&gt;=MAX((1=Z$12:Z507)*ROW(Z$12:Z507),ROW($T$12)),TYPE(VLOOKUP("Да",(INDIRECT("AA"&amp;(MAX((1=Z$12:Z507)*ROW(Z$12:Z507),ROW($T$12))&amp;":AA"&amp;(ROW()-1)))),1,0))=16),MIN(LOOKUP(,-1/($Z$12:Z508=1),$C$12:C508)+LOOKUP(,-1/($Z$12:Z508=1),$H$12:H508)-SUM(INDIRECT("T"&amp;(MAX((1=Z$12:Z507)*ROW(Z$12:Z507),ROW($T$12))&amp;":T"&amp;(ROW()-1)))),Первоначальный[[#This Row],[Полученный платеж]]+Y507),
S507&gt;0,MIN(LOOKUP(,-1/($Z$12:Z508=1),$C$12:C508)+LOOKUP(,-1/($Z$12:Z508=1),$H$12:H508)-IF(Z507=1,0,SUM(INDIRECT("T"&amp;(MAX((1=Z$12:Z507)*ROW(Z$12:Z507)+1,ROW($T$12))&amp;":T"&amp;(ROW()-1))))),Первоначальный[[#This Row],[Полученный платеж]]+Y507)
)
)
)</f>
        <v>0</v>
      </c>
      <c r="U50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платеж]]+Y507-Первоначальный[[#This Row],[Полученный платёж по процентам]])</f>
        <v>0</v>
      </c>
      <c r="V508" s="55">
        <f t="shared" ca="1" si="85"/>
        <v>0</v>
      </c>
      <c r="W508" s="55" cm="1">
        <f t="array" aca="1" ref="W508" ca="1">IF(Первоначальный[[#This Row],[Итого остаток на начало периода]]&lt;1,0,
_xlfn.IFS(
AND(TYPE(VLOOKUP(1,$Z$12:Z508,1,0))=16,Первоначальный[[#This Row],[Досрочное погашение (да/"")]]=""),0,
AND(S507=0,Первоначальный[[#This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платеж]]+Y507-SUM(Первоначальный[[#This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комиссиям]]),VLOOKUP(LOOKUP(,-1/($Z$12:Z508=1),$A$12:A508),График[[Срок конец]:[Возврат основной суммы долга]],3,0)),
AND(S507=0,Первоначальный[[#This Row],[Дата платежа из графика]]="",Первоначальный[[#This Row],[Досрочное погашение (да/"")]]&lt;&gt;"Да"),0,
AND(S507=0,Первоначальный[[#This Row],[Досрочное погашение (да/"")]]=""),MIN(Первоначальный[[#This Row],[Полученный платеж]]+Y507-SUM(Первоначальный[[#This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комиссиям]]),VLOOKUP(LOOKUP(,-1/($Z$12:Z508=1),$A$12:A508),График[[Срок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платеж]]+Y507-SUM(Первоначальный[[#This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S507&gt;0,MIN(Первоначальный[[#This Row],[Полученный платеж]]+Y507-SUM(Первоначальный[[#This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комиссиям]]),SUM(INDIRECT("M"&amp;(MAX((1=S$12:S507)*ROW(S$12:S507),ROW($W$12))&amp;":M"&amp;(ROW()))))-SUM(INDIRECT("W"&amp;(MAX((1=S$12:S507)*ROW(S$12:S507),ROW($W$12))&amp;":W"&amp;(ROW()-1)))))
)
)</f>
        <v>0</v>
      </c>
      <c r="X508" s="55">
        <f t="shared" ca="1" si="86"/>
        <v>0</v>
      </c>
      <c r="Y508" s="101">
        <f t="shared" ca="1" si="93"/>
        <v>0</v>
      </c>
      <c r="Z508" s="133" t="str">
        <f>IF(TYPE((VLOOKUP(Первоначальный[[#This Row],[Дата платежа]],График[Срок конец],1,0)))=16,"",1)</f>
        <v/>
      </c>
      <c r="AA508" s="57"/>
      <c r="AB508" s="134"/>
      <c r="AC50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0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34676.949999999903</v>
      </c>
      <c r="AE50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715.9500000000013</v>
      </c>
      <c r="AF50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0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42023.09032459039</v>
      </c>
      <c r="AH508" s="55"/>
      <c r="AI508" s="55"/>
      <c r="AJ508" s="55"/>
      <c r="AK508" s="101">
        <f t="shared" ca="1" si="94"/>
        <v>227049.33032459029</v>
      </c>
      <c r="AL508" s="129">
        <f t="array" ref="AL508">MAX((УслРестрактов[Характеристика]="Дата реструктуризации")*(УслРестрактов[Значение]=Первоначальный!$A508),0)</f>
        <v>0</v>
      </c>
    </row>
    <row r="509" spans="1:38" x14ac:dyDescent="0.25">
      <c r="A509" s="97">
        <f t="shared" si="87"/>
        <v>44640</v>
      </c>
      <c r="B509" s="100">
        <f t="shared" ca="1" si="88"/>
        <v>149633.34</v>
      </c>
      <c r="C509" s="55">
        <f t="shared" ca="1" si="96"/>
        <v>34676.949999999903</v>
      </c>
      <c r="D509" s="55">
        <f t="shared" ca="1" si="96"/>
        <v>715.9500000000013</v>
      </c>
      <c r="E509" s="55">
        <f t="shared" ca="1" si="89"/>
        <v>0</v>
      </c>
      <c r="F509" s="55">
        <f t="shared" ca="1" si="90"/>
        <v>42023.09032459039</v>
      </c>
      <c r="G509" s="101">
        <f t="shared" ca="1" si="91"/>
        <v>227049.33032459029</v>
      </c>
      <c r="H509" s="100">
        <f ca="1">ROUND($B509*VLOOKUP($A509,$A$1:$B$10,2,1)/(365+IF(MOD(YEAR($A509),4),0,1)*($A509-$A508)),2)-Первоначальный[[#This Row],[Проценты на просроченный платеж по ОД за период]]</f>
        <v>77.959999999999994</v>
      </c>
      <c r="I509" s="55">
        <f t="shared" ca="1" si="92"/>
        <v>3.62</v>
      </c>
      <c r="J509" s="55">
        <v>0</v>
      </c>
      <c r="K509" s="55">
        <f t="shared" ca="1" si="95"/>
        <v>202.72350327868853</v>
      </c>
      <c r="L509" s="55">
        <v>0</v>
      </c>
      <c r="M509" s="113">
        <f>SUMIFS(График[Возврат основной суммы долга],График[Дата с учетом нерабочих дней],$A509)</f>
        <v>0</v>
      </c>
      <c r="N509" s="56">
        <f>SUMIFS(График[Возврат начисленных %],График[Дата с учетом нерабочих дней],$A509)</f>
        <v>0</v>
      </c>
      <c r="O509" s="101">
        <v>0</v>
      </c>
      <c r="P509" s="100" cm="1">
        <f t="array" aca="1" ref="P509" ca="1">MAX(IF(AA508="Да",0,SUM(INDIRECT("M"&amp;(MAX(("Да"=AA$12:AA508)*ROW(AA$12:AA508)+1,ROW($P$12))&amp;":M"&amp;(ROW()))))-SUM(INDIRECT("W"&amp;(MAX(("Да"=AA$12:AA508)*ROW(AA$12:AA508)+1,ROW($P$12))&amp;":W"&amp;(ROW()))))),0)</f>
        <v>6648.84</v>
      </c>
      <c r="Q509" s="99">
        <f ca="1">MAX(SUM($N$13:N509)-SUM($T$13:T509),0)</f>
        <v>33895.860655737699</v>
      </c>
      <c r="R509" s="99">
        <f ca="1">Первоначальный[[#This Row],[Просроченный платеж по ОД]]+Первоначальный[[#This Row],[Просроченный платеж по процентам]]</f>
        <v>40544.700655737703</v>
      </c>
      <c r="S509" s="120">
        <f ca="1">IF(Первоначальный[[#This Row],[Просроченный платеж]]&lt;1,0,S508+1)</f>
        <v>405</v>
      </c>
      <c r="T509" s="100" cm="1">
        <f t="array" aca="1" ref="T509" ca="1">IF(Первоначальный[[#This Row],[Итого остаток на начало периода]]&lt;1,0,
IF(
AND(TYPE(VLOOKUP(1,$Z$12:Z509,1,0))=16,Первоначальный[[#This Row],[Досрочное погашение (да/"")]]=""),0,
_xlfn.IFS(AND(S508=0,Первоначальный[[#This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платеж]]&lt;&gt;0),MIN(LOOKUP(,-1/($Z$12:Z509=1),$C$12:C509)+LOOKUP(,-1/($Z$12:Z509=1),$H$12:H509),Первоначальный[[#This Row],[Полученный платеж]]+Y508),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платеж]]+Y508,SUM(Первоначальный[[#This Row],[Остаток процентов на начало периода]],Первоначальный[[#This Row],[Проценты за период]])),
AND(S508=0,Первоначальный[[#This Row],[Дата платежа из графика]]=""),0,
AND(S508=0,Первоначальный[[#This Row],[Дата платежа из графика]]=1,MAX((0&lt;&gt;S$12:S508)*ROW(S$12:S508),ROW($S$12))&gt;=MAX((1=Z$12:Z508)*ROW(Z$12:Z508),ROW($T$12)),TYPE(VLOOKUP("Да",(INDIRECT("AA"&amp;(MAX((1=Z$12:Z508)*ROW(Z$12:Z508),ROW($T$12))&amp;":AA"&amp;(ROW()-1)))),1,0))=16),MIN(LOOKUP(,-1/($Z$12:Z509=1),$C$12:C509)+LOOKUP(,-1/($Z$12:Z509=1),$H$12:H509),Первоначальный[[#This Row],[Полученный платеж]]+Y508),
AND(S508=0,TYPE(VLOOKUP("Да",(INDIRECT("AA"&amp;(MAX((1=Z$12:Z508)*ROW(Z$12:Z508),ROW($T$12))&amp;":AA"&amp;(ROW()-1)))),1,0))&lt;&gt;16),MIN(LOOKUP(,-1/($Z$12:Z509=1),$C$12:C509)+LOOKUP(,-1/($Z$12:Z509=1),$H$12:H509)-IF(AA508="Да",0,SUM(INDIRECT("T"&amp;(MAX(("Да"=AA$12:AA508)*ROW(AA$12:AA508)+1,ROW($T$12))&amp;":T"&amp;(ROW()-1))))),Первоначальный[[#This Row],[Полученный платеж]]+Y508),
AND(S508=0,MAX((0&lt;&gt;N$12:N508)*ROW(N$12:N508),ROW($S$12))&gt;=MAX((1=Z$12:Z508)*ROW(Z$12:Z508),ROW($T$12))),MIN(LOOKUP(,-1/($Z$12:Z509=1),$C$12:C509)+LOOKUP(,-1/($Z$12:Z509=1),$H$12:H509)-IF(N508&lt;&gt;0,0,SUM(INDIRECT("T"&amp;(MAX((0&lt;&gt;N$12:N508)*ROW(N$12:N508)+1,ROW($T$12))&amp;":T"&amp;(ROW()-1))))),Первоначальный[[#This Row],[Полученный платеж]]+Y508),
AND(S508=0,Первоначальный[[#This Row],[Дата платежа из графика]]=1),MIN(LOOKUP(,-1/($Z$12:Z509=1),$C$12:C509)+LOOKUP(,-1/($Z$12:Z509=1),$H$12:H509)-IF(Z508=1,0,SUM(INDIRECT("T"&amp;(MAX((1=Z$12:Z508)*ROW(Z$12:Z508)+1,ROW($T$12))&amp;":T"&amp;(ROW()-1))))),Первоначальный[[#This Row],[Полученный платеж]]+Y508),
AND(Z508&gt;0,Первоначальный[[#This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платеж]]+Y508),
AND(S508&gt;0,MAX((0&lt;&gt;S$12:S508)*ROW(S$12:S508),ROW($S$12))&gt;=MAX((1=Z$12:Z508)*ROW(Z$12:Z508),ROW($T$12)),TYPE(VLOOKUP("Да",(INDIRECT("AA"&amp;(MAX((1=Z$12:Z508)*ROW(Z$12:Z508),ROW($T$12))&amp;":AA"&amp;(ROW()-1)))),1,0))=16),MIN(LOOKUP(,-1/($Z$12:Z509=1),$C$12:C509)+LOOKUP(,-1/($Z$12:Z509=1),$H$12:H509)-SUM(INDIRECT("T"&amp;(MAX((1=Z$12:Z508)*ROW(Z$12:Z508),ROW($T$12))&amp;":T"&amp;(ROW()-1)))),Первоначальный[[#This Row],[Полученный платеж]]+Y508),
S508&gt;0,MIN(LOOKUP(,-1/($Z$12:Z509=1),$C$12:C509)+LOOKUP(,-1/($Z$12:Z509=1),$H$12:H509)-IF(Z508=1,0,SUM(INDIRECT("T"&amp;(MAX((1=Z$12:Z508)*ROW(Z$12:Z508)+1,ROW($T$12))&amp;":T"&amp;(ROW()-1))))),Первоначальный[[#This Row],[Полученный платеж]]+Y508)
)
)
)</f>
        <v>0</v>
      </c>
      <c r="U50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платеж]]+Y508-Первоначальный[[#This Row],[Полученный платёж по процентам]])</f>
        <v>0</v>
      </c>
      <c r="V509" s="55">
        <f t="shared" ca="1" si="85"/>
        <v>0</v>
      </c>
      <c r="W509" s="55" cm="1">
        <f t="array" aca="1" ref="W509" ca="1">IF(Первоначальный[[#This Row],[Итого остаток на начало периода]]&lt;1,0,
_xlfn.IFS(
AND(TYPE(VLOOKUP(1,$Z$12:Z509,1,0))=16,Первоначальный[[#This Row],[Досрочное погашение (да/"")]]=""),0,
AND(S508=0,Первоначальный[[#This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платеж]]+Y508-SUM(Первоначальный[[#This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комиссиям]]),VLOOKUP(LOOKUP(,-1/($Z$12:Z509=1),$A$12:A509),График[[Срок конец]:[Возврат основной суммы долга]],3,0)),
AND(S508=0,Первоначальный[[#This Row],[Дата платежа из графика]]="",Первоначальный[[#This Row],[Досрочное погашение (да/"")]]&lt;&gt;"Да"),0,
AND(S508=0,Первоначальный[[#This Row],[Досрочное погашение (да/"")]]=""),MIN(Первоначальный[[#This Row],[Полученный платеж]]+Y508-SUM(Первоначальный[[#This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комиссиям]]),VLOOKUP(LOOKUP(,-1/($Z$12:Z509=1),$A$12:A509),График[[Срок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платеж]]+Y508-SUM(Первоначальный[[#This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S508&gt;0,MIN(Первоначальный[[#This Row],[Полученный платеж]]+Y508-SUM(Первоначальный[[#This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комиссиям]]),SUM(INDIRECT("M"&amp;(MAX((1=S$12:S508)*ROW(S$12:S508),ROW($W$12))&amp;":M"&amp;(ROW()))))-SUM(INDIRECT("W"&amp;(MAX((1=S$12:S508)*ROW(S$12:S508),ROW($W$12))&amp;":W"&amp;(ROW()-1)))))
)
)</f>
        <v>0</v>
      </c>
      <c r="X509" s="55">
        <f t="shared" ca="1" si="86"/>
        <v>0</v>
      </c>
      <c r="Y509" s="101">
        <f t="shared" ca="1" si="93"/>
        <v>0</v>
      </c>
      <c r="Z509" s="133" t="str">
        <f>IF(TYPE((VLOOKUP(Первоначальный[[#This Row],[Дата платежа]],График[Срок конец],1,0)))=16,"",1)</f>
        <v/>
      </c>
      <c r="AA509" s="57"/>
      <c r="AB509" s="134"/>
      <c r="AC50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0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34754.909999999902</v>
      </c>
      <c r="AE50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719.5700000000013</v>
      </c>
      <c r="AF50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0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42225.813827869082</v>
      </c>
      <c r="AH509" s="55"/>
      <c r="AI509" s="55"/>
      <c r="AJ509" s="55"/>
      <c r="AK509" s="101">
        <f t="shared" ca="1" si="94"/>
        <v>227333.63382786897</v>
      </c>
      <c r="AL509" s="129">
        <f t="array" ref="AL509">MAX((УслРестрактов[Характеристика]="Дата реструктуризации")*(УслРестрактов[Значение]=Первоначальный!$A509),0)</f>
        <v>0</v>
      </c>
    </row>
    <row r="510" spans="1:38" x14ac:dyDescent="0.25">
      <c r="A510" s="97">
        <f t="shared" si="87"/>
        <v>44641</v>
      </c>
      <c r="B510" s="100">
        <f t="shared" ca="1" si="88"/>
        <v>149633.34</v>
      </c>
      <c r="C510" s="55">
        <f t="shared" ca="1" si="96"/>
        <v>34754.909999999902</v>
      </c>
      <c r="D510" s="55">
        <f t="shared" ca="1" si="96"/>
        <v>719.5700000000013</v>
      </c>
      <c r="E510" s="55">
        <f t="shared" ca="1" si="89"/>
        <v>0</v>
      </c>
      <c r="F510" s="55">
        <f t="shared" ca="1" si="90"/>
        <v>42225.813827869082</v>
      </c>
      <c r="G510" s="101">
        <f t="shared" ca="1" si="91"/>
        <v>227333.63382786897</v>
      </c>
      <c r="H510" s="100">
        <f ca="1">ROUND($B510*VLOOKUP($A510,$A$1:$B$10,2,1)/(365+IF(MOD(YEAR($A510),4),0,1)*($A510-$A509)),2)-Первоначальный[[#This Row],[Проценты на просроченный платеж по ОД за период]]</f>
        <v>77.959999999999994</v>
      </c>
      <c r="I510" s="55">
        <f t="shared" ca="1" si="92"/>
        <v>3.62</v>
      </c>
      <c r="J510" s="55">
        <v>0</v>
      </c>
      <c r="K510" s="55">
        <f t="shared" ca="1" si="95"/>
        <v>202.72350327868853</v>
      </c>
      <c r="L510" s="55">
        <v>0</v>
      </c>
      <c r="M510" s="113">
        <f>SUMIFS(График[Возврат основной суммы долга],График[Дата с учетом нерабочих дней],$A510)</f>
        <v>0</v>
      </c>
      <c r="N510" s="56">
        <f>SUMIFS(График[Возврат начисленных %],График[Дата с учетом нерабочих дней],$A510)</f>
        <v>0</v>
      </c>
      <c r="O510" s="101">
        <v>0</v>
      </c>
      <c r="P510" s="100" cm="1">
        <f t="array" aca="1" ref="P510" ca="1">MAX(IF(AA509="Да",0,SUM(INDIRECT("M"&amp;(MAX(("Да"=AA$12:AA509)*ROW(AA$12:AA509)+1,ROW($P$12))&amp;":M"&amp;(ROW()))))-SUM(INDIRECT("W"&amp;(MAX(("Да"=AA$12:AA509)*ROW(AA$12:AA509)+1,ROW($P$12))&amp;":W"&amp;(ROW()))))),0)</f>
        <v>6648.84</v>
      </c>
      <c r="Q510" s="99">
        <f ca="1">MAX(SUM($N$13:N510)-SUM($T$13:T510),0)</f>
        <v>33895.860655737699</v>
      </c>
      <c r="R510" s="99">
        <f ca="1">Первоначальный[[#This Row],[Просроченный платеж по ОД]]+Первоначальный[[#This Row],[Просроченный платеж по процентам]]</f>
        <v>40544.700655737703</v>
      </c>
      <c r="S510" s="120">
        <f ca="1">IF(Первоначальный[[#This Row],[Просроченный платеж]]&lt;1,0,S509+1)</f>
        <v>406</v>
      </c>
      <c r="T510" s="100" cm="1">
        <f t="array" aca="1" ref="T510" ca="1">IF(Первоначальный[[#This Row],[Итого остаток на начало периода]]&lt;1,0,
IF(
AND(TYPE(VLOOKUP(1,$Z$12:Z510,1,0))=16,Первоначальный[[#This Row],[Досрочное погашение (да/"")]]=""),0,
_xlfn.IFS(AND(S509=0,Первоначальный[[#This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платеж]]&lt;&gt;0),MIN(LOOKUP(,-1/($Z$12:Z510=1),$C$12:C510)+LOOKUP(,-1/($Z$12:Z510=1),$H$12:H510),Первоначальный[[#This Row],[Полученный платеж]]+Y509),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платеж]]+Y509,SUM(Первоначальный[[#This Row],[Остаток процентов на начало периода]],Первоначальный[[#This Row],[Проценты за период]])),
AND(S509=0,Первоначальный[[#This Row],[Дата платежа из графика]]=""),0,
AND(S509=0,Первоначальный[[#This Row],[Дата платежа из графика]]=1,MAX((0&lt;&gt;S$12:S509)*ROW(S$12:S509),ROW($S$12))&gt;=MAX((1=Z$12:Z509)*ROW(Z$12:Z509),ROW($T$12)),TYPE(VLOOKUP("Да",(INDIRECT("AA"&amp;(MAX((1=Z$12:Z509)*ROW(Z$12:Z509),ROW($T$12))&amp;":AA"&amp;(ROW()-1)))),1,0))=16),MIN(LOOKUP(,-1/($Z$12:Z510=1),$C$12:C510)+LOOKUP(,-1/($Z$12:Z510=1),$H$12:H510),Первоначальный[[#This Row],[Полученный платеж]]+Y509),
AND(S509=0,TYPE(VLOOKUP("Да",(INDIRECT("AA"&amp;(MAX((1=Z$12:Z509)*ROW(Z$12:Z509),ROW($T$12))&amp;":AA"&amp;(ROW()-1)))),1,0))&lt;&gt;16),MIN(LOOKUP(,-1/($Z$12:Z510=1),$C$12:C510)+LOOKUP(,-1/($Z$12:Z510=1),$H$12:H510)-IF(AA509="Да",0,SUM(INDIRECT("T"&amp;(MAX(("Да"=AA$12:AA509)*ROW(AA$12:AA509)+1,ROW($T$12))&amp;":T"&amp;(ROW()-1))))),Первоначальный[[#This Row],[Полученный платеж]]+Y509),
AND(S509=0,MAX((0&lt;&gt;N$12:N509)*ROW(N$12:N509),ROW($S$12))&gt;=MAX((1=Z$12:Z509)*ROW(Z$12:Z509),ROW($T$12))),MIN(LOOKUP(,-1/($Z$12:Z510=1),$C$12:C510)+LOOKUP(,-1/($Z$12:Z510=1),$H$12:H510)-IF(N509&lt;&gt;0,0,SUM(INDIRECT("T"&amp;(MAX((0&lt;&gt;N$12:N509)*ROW(N$12:N509)+1,ROW($T$12))&amp;":T"&amp;(ROW()-1))))),Первоначальный[[#This Row],[Полученный платеж]]+Y509),
AND(S509=0,Первоначальный[[#This Row],[Дата платежа из графика]]=1),MIN(LOOKUP(,-1/($Z$12:Z510=1),$C$12:C510)+LOOKUP(,-1/($Z$12:Z510=1),$H$12:H510)-IF(Z509=1,0,SUM(INDIRECT("T"&amp;(MAX((1=Z$12:Z509)*ROW(Z$12:Z509)+1,ROW($T$12))&amp;":T"&amp;(ROW()-1))))),Первоначальный[[#This Row],[Полученный платеж]]+Y509),
AND(Z509&gt;0,Первоначальный[[#This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платеж]]+Y509),
AND(S509&gt;0,MAX((0&lt;&gt;S$12:S509)*ROW(S$12:S509),ROW($S$12))&gt;=MAX((1=Z$12:Z509)*ROW(Z$12:Z509),ROW($T$12)),TYPE(VLOOKUP("Да",(INDIRECT("AA"&amp;(MAX((1=Z$12:Z509)*ROW(Z$12:Z509),ROW($T$12))&amp;":AA"&amp;(ROW()-1)))),1,0))=16),MIN(LOOKUP(,-1/($Z$12:Z510=1),$C$12:C510)+LOOKUP(,-1/($Z$12:Z510=1),$H$12:H510)-SUM(INDIRECT("T"&amp;(MAX((1=Z$12:Z509)*ROW(Z$12:Z509),ROW($T$12))&amp;":T"&amp;(ROW()-1)))),Первоначальный[[#This Row],[Полученный платеж]]+Y509),
S509&gt;0,MIN(LOOKUP(,-1/($Z$12:Z510=1),$C$12:C510)+LOOKUP(,-1/($Z$12:Z510=1),$H$12:H510)-IF(Z509=1,0,SUM(INDIRECT("T"&amp;(MAX((1=Z$12:Z509)*ROW(Z$12:Z509)+1,ROW($T$12))&amp;":T"&amp;(ROW()-1))))),Первоначальный[[#This Row],[Полученный платеж]]+Y509)
)
)
)</f>
        <v>0</v>
      </c>
      <c r="U51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платеж]]+Y509-Первоначальный[[#This Row],[Полученный платёж по процентам]])</f>
        <v>0</v>
      </c>
      <c r="V510" s="55">
        <f t="shared" ca="1" si="85"/>
        <v>0</v>
      </c>
      <c r="W510" s="55" cm="1">
        <f t="array" aca="1" ref="W510" ca="1">IF(Первоначальный[[#This Row],[Итого остаток на начало периода]]&lt;1,0,
_xlfn.IFS(
AND(TYPE(VLOOKUP(1,$Z$12:Z510,1,0))=16,Первоначальный[[#This Row],[Досрочное погашение (да/"")]]=""),0,
AND(S509=0,Первоначальный[[#This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платеж]]+Y509-SUM(Первоначальный[[#This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комиссиям]]),VLOOKUP(LOOKUP(,-1/($Z$12:Z510=1),$A$12:A510),График[[Срок конец]:[Возврат основной суммы долга]],3,0)),
AND(S509=0,Первоначальный[[#This Row],[Дата платежа из графика]]="",Первоначальный[[#This Row],[Досрочное погашение (да/"")]]&lt;&gt;"Да"),0,
AND(S509=0,Первоначальный[[#This Row],[Досрочное погашение (да/"")]]=""),MIN(Первоначальный[[#This Row],[Полученный платеж]]+Y509-SUM(Первоначальный[[#This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комиссиям]]),VLOOKUP(LOOKUP(,-1/($Z$12:Z510=1),$A$12:A510),График[[Срок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платеж]]+Y509-SUM(Первоначальный[[#This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S509&gt;0,MIN(Первоначальный[[#This Row],[Полученный платеж]]+Y509-SUM(Первоначальный[[#This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комиссиям]]),SUM(INDIRECT("M"&amp;(MAX((1=S$12:S509)*ROW(S$12:S509),ROW($W$12))&amp;":M"&amp;(ROW()))))-SUM(INDIRECT("W"&amp;(MAX((1=S$12:S509)*ROW(S$12:S509),ROW($W$12))&amp;":W"&amp;(ROW()-1)))))
)
)</f>
        <v>0</v>
      </c>
      <c r="X510" s="55">
        <f t="shared" ca="1" si="86"/>
        <v>0</v>
      </c>
      <c r="Y510" s="101">
        <f t="shared" ca="1" si="93"/>
        <v>0</v>
      </c>
      <c r="Z510" s="133" t="str">
        <f>IF(TYPE((VLOOKUP(Первоначальный[[#This Row],[Дата платежа]],График[Срок конец],1,0)))=16,"",1)</f>
        <v/>
      </c>
      <c r="AA510" s="57"/>
      <c r="AB510" s="134"/>
      <c r="AC51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1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34832.869999999901</v>
      </c>
      <c r="AE51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723.19000000000131</v>
      </c>
      <c r="AF51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1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42428.537331147774</v>
      </c>
      <c r="AH510" s="55"/>
      <c r="AI510" s="55"/>
      <c r="AJ510" s="55"/>
      <c r="AK510" s="101">
        <f t="shared" ca="1" si="94"/>
        <v>227617.93733114767</v>
      </c>
      <c r="AL510" s="129">
        <f t="array" ref="AL510">MAX((УслРестрактов[Характеристика]="Дата реструктуризации")*(УслРестрактов[Значение]=Первоначальный!$A510),0)</f>
        <v>0</v>
      </c>
    </row>
    <row r="511" spans="1:38" x14ac:dyDescent="0.25">
      <c r="A511" s="97">
        <f t="shared" si="87"/>
        <v>44642</v>
      </c>
      <c r="B511" s="100">
        <f t="shared" ca="1" si="88"/>
        <v>149633.34</v>
      </c>
      <c r="C511" s="55">
        <f t="shared" ca="1" si="96"/>
        <v>34832.869999999901</v>
      </c>
      <c r="D511" s="55">
        <f t="shared" ca="1" si="96"/>
        <v>723.19000000000131</v>
      </c>
      <c r="E511" s="55">
        <f t="shared" ca="1" si="89"/>
        <v>0</v>
      </c>
      <c r="F511" s="55">
        <f t="shared" ca="1" si="90"/>
        <v>42428.537331147774</v>
      </c>
      <c r="G511" s="101">
        <f t="shared" ca="1" si="91"/>
        <v>227617.93733114767</v>
      </c>
      <c r="H511" s="100">
        <f ca="1">ROUND($B511*VLOOKUP($A511,$A$1:$B$10,2,1)/(365+IF(MOD(YEAR($A511),4),0,1)*($A511-$A510)),2)-Первоначальный[[#This Row],[Проценты на просроченный платеж по ОД за период]]</f>
        <v>77.959999999999994</v>
      </c>
      <c r="I511" s="55">
        <f t="shared" ca="1" si="92"/>
        <v>3.62</v>
      </c>
      <c r="J511" s="55">
        <v>0</v>
      </c>
      <c r="K511" s="55">
        <f t="shared" ca="1" si="95"/>
        <v>202.72350327868853</v>
      </c>
      <c r="L511" s="55">
        <v>0</v>
      </c>
      <c r="M511" s="113">
        <f>SUMIFS(График[Возврат основной суммы долга],График[Дата с учетом нерабочих дней],$A511)</f>
        <v>0</v>
      </c>
      <c r="N511" s="56">
        <f>SUMIFS(График[Возврат начисленных %],График[Дата с учетом нерабочих дней],$A511)</f>
        <v>0</v>
      </c>
      <c r="O511" s="101">
        <v>0</v>
      </c>
      <c r="P511" s="100" cm="1">
        <f t="array" aca="1" ref="P511" ca="1">MAX(IF(AA510="Да",0,SUM(INDIRECT("M"&amp;(MAX(("Да"=AA$12:AA510)*ROW(AA$12:AA510)+1,ROW($P$12))&amp;":M"&amp;(ROW()))))-SUM(INDIRECT("W"&amp;(MAX(("Да"=AA$12:AA510)*ROW(AA$12:AA510)+1,ROW($P$12))&amp;":W"&amp;(ROW()))))),0)</f>
        <v>6648.84</v>
      </c>
      <c r="Q511" s="99">
        <f ca="1">MAX(SUM($N$13:N511)-SUM($T$13:T511),0)</f>
        <v>33895.860655737699</v>
      </c>
      <c r="R511" s="99">
        <f ca="1">Первоначальный[[#This Row],[Просроченный платеж по ОД]]+Первоначальный[[#This Row],[Просроченный платеж по процентам]]</f>
        <v>40544.700655737703</v>
      </c>
      <c r="S511" s="120">
        <f ca="1">IF(Первоначальный[[#This Row],[Просроченный платеж]]&lt;1,0,S510+1)</f>
        <v>407</v>
      </c>
      <c r="T511" s="100" cm="1">
        <f t="array" aca="1" ref="T511" ca="1">IF(Первоначальный[[#This Row],[Итого остаток на начало периода]]&lt;1,0,
IF(
AND(TYPE(VLOOKUP(1,$Z$12:Z511,1,0))=16,Первоначальный[[#This Row],[Досрочное погашение (да/"")]]=""),0,
_xlfn.IFS(AND(S510=0,Первоначальный[[#This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платеж]]&lt;&gt;0),MIN(LOOKUP(,-1/($Z$12:Z511=1),$C$12:C511)+LOOKUP(,-1/($Z$12:Z511=1),$H$12:H511),Первоначальный[[#This Row],[Полученный платеж]]+Y510),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платеж]]+Y510,SUM(Первоначальный[[#This Row],[Остаток процентов на начало периода]],Первоначальный[[#This Row],[Проценты за период]])),
AND(S510=0,Первоначальный[[#This Row],[Дата платежа из графика]]=""),0,
AND(S510=0,Первоначальный[[#This Row],[Дата платежа из графика]]=1,MAX((0&lt;&gt;S$12:S510)*ROW(S$12:S510),ROW($S$12))&gt;=MAX((1=Z$12:Z510)*ROW(Z$12:Z510),ROW($T$12)),TYPE(VLOOKUP("Да",(INDIRECT("AA"&amp;(MAX((1=Z$12:Z510)*ROW(Z$12:Z510),ROW($T$12))&amp;":AA"&amp;(ROW()-1)))),1,0))=16),MIN(LOOKUP(,-1/($Z$12:Z511=1),$C$12:C511)+LOOKUP(,-1/($Z$12:Z511=1),$H$12:H511),Первоначальный[[#This Row],[Полученный платеж]]+Y510),
AND(S510=0,TYPE(VLOOKUP("Да",(INDIRECT("AA"&amp;(MAX((1=Z$12:Z510)*ROW(Z$12:Z510),ROW($T$12))&amp;":AA"&amp;(ROW()-1)))),1,0))&lt;&gt;16),MIN(LOOKUP(,-1/($Z$12:Z511=1),$C$12:C511)+LOOKUP(,-1/($Z$12:Z511=1),$H$12:H511)-IF(AA510="Да",0,SUM(INDIRECT("T"&amp;(MAX(("Да"=AA$12:AA510)*ROW(AA$12:AA510)+1,ROW($T$12))&amp;":T"&amp;(ROW()-1))))),Первоначальный[[#This Row],[Полученный платеж]]+Y510),
AND(S510=0,MAX((0&lt;&gt;N$12:N510)*ROW(N$12:N510),ROW($S$12))&gt;=MAX((1=Z$12:Z510)*ROW(Z$12:Z510),ROW($T$12))),MIN(LOOKUP(,-1/($Z$12:Z511=1),$C$12:C511)+LOOKUP(,-1/($Z$12:Z511=1),$H$12:H511)-IF(N510&lt;&gt;0,0,SUM(INDIRECT("T"&amp;(MAX((0&lt;&gt;N$12:N510)*ROW(N$12:N510)+1,ROW($T$12))&amp;":T"&amp;(ROW()-1))))),Первоначальный[[#This Row],[Полученный платеж]]+Y510),
AND(S510=0,Первоначальный[[#This Row],[Дата платежа из графика]]=1),MIN(LOOKUP(,-1/($Z$12:Z511=1),$C$12:C511)+LOOKUP(,-1/($Z$12:Z511=1),$H$12:H511)-IF(Z510=1,0,SUM(INDIRECT("T"&amp;(MAX((1=Z$12:Z510)*ROW(Z$12:Z510)+1,ROW($T$12))&amp;":T"&amp;(ROW()-1))))),Первоначальный[[#This Row],[Полученный платеж]]+Y510),
AND(Z510&gt;0,Первоначальный[[#This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платеж]]+Y510),
AND(S510&gt;0,MAX((0&lt;&gt;S$12:S510)*ROW(S$12:S510),ROW($S$12))&gt;=MAX((1=Z$12:Z510)*ROW(Z$12:Z510),ROW($T$12)),TYPE(VLOOKUP("Да",(INDIRECT("AA"&amp;(MAX((1=Z$12:Z510)*ROW(Z$12:Z510),ROW($T$12))&amp;":AA"&amp;(ROW()-1)))),1,0))=16),MIN(LOOKUP(,-1/($Z$12:Z511=1),$C$12:C511)+LOOKUP(,-1/($Z$12:Z511=1),$H$12:H511)-SUM(INDIRECT("T"&amp;(MAX((1=Z$12:Z510)*ROW(Z$12:Z510),ROW($T$12))&amp;":T"&amp;(ROW()-1)))),Первоначальный[[#This Row],[Полученный платеж]]+Y510),
S510&gt;0,MIN(LOOKUP(,-1/($Z$12:Z511=1),$C$12:C511)+LOOKUP(,-1/($Z$12:Z511=1),$H$12:H511)-IF(Z510=1,0,SUM(INDIRECT("T"&amp;(MAX((1=Z$12:Z510)*ROW(Z$12:Z510)+1,ROW($T$12))&amp;":T"&amp;(ROW()-1))))),Первоначальный[[#This Row],[Полученный платеж]]+Y510)
)
)
)</f>
        <v>0</v>
      </c>
      <c r="U51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платеж]]+Y510-Первоначальный[[#This Row],[Полученный платёж по процентам]])</f>
        <v>0</v>
      </c>
      <c r="V511" s="55">
        <f t="shared" ca="1" si="85"/>
        <v>0</v>
      </c>
      <c r="W511" s="55" cm="1">
        <f t="array" aca="1" ref="W511" ca="1">IF(Первоначальный[[#This Row],[Итого остаток на начало периода]]&lt;1,0,
_xlfn.IFS(
AND(TYPE(VLOOKUP(1,$Z$12:Z511,1,0))=16,Первоначальный[[#This Row],[Досрочное погашение (да/"")]]=""),0,
AND(S510=0,Первоначальный[[#This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платеж]]+Y510-SUM(Первоначальный[[#This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комиссиям]]),VLOOKUP(LOOKUP(,-1/($Z$12:Z511=1),$A$12:A511),График[[Срок конец]:[Возврат основной суммы долга]],3,0)),
AND(S510=0,Первоначальный[[#This Row],[Дата платежа из графика]]="",Первоначальный[[#This Row],[Досрочное погашение (да/"")]]&lt;&gt;"Да"),0,
AND(S510=0,Первоначальный[[#This Row],[Досрочное погашение (да/"")]]=""),MIN(Первоначальный[[#This Row],[Полученный платеж]]+Y510-SUM(Первоначальный[[#This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комиссиям]]),VLOOKUP(LOOKUP(,-1/($Z$12:Z511=1),$A$12:A511),График[[Срок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платеж]]+Y510-SUM(Первоначальный[[#This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S510&gt;0,MIN(Первоначальный[[#This Row],[Полученный платеж]]+Y510-SUM(Первоначальный[[#This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комиссиям]]),SUM(INDIRECT("M"&amp;(MAX((1=S$12:S510)*ROW(S$12:S510),ROW($W$12))&amp;":M"&amp;(ROW()))))-SUM(INDIRECT("W"&amp;(MAX((1=S$12:S510)*ROW(S$12:S510),ROW($W$12))&amp;":W"&amp;(ROW()-1)))))
)
)</f>
        <v>0</v>
      </c>
      <c r="X511" s="55">
        <f t="shared" ca="1" si="86"/>
        <v>0</v>
      </c>
      <c r="Y511" s="101">
        <f t="shared" ca="1" si="93"/>
        <v>0</v>
      </c>
      <c r="Z511" s="133" t="str">
        <f>IF(TYPE((VLOOKUP(Первоначальный[[#This Row],[Дата платежа]],График[Срок конец],1,0)))=16,"",1)</f>
        <v/>
      </c>
      <c r="AA511" s="57"/>
      <c r="AB511" s="134"/>
      <c r="AC51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1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34910.8299999999</v>
      </c>
      <c r="AE51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726.81000000000131</v>
      </c>
      <c r="AF51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1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42631.260834426466</v>
      </c>
      <c r="AH511" s="55"/>
      <c r="AI511" s="55"/>
      <c r="AJ511" s="55"/>
      <c r="AK511" s="101">
        <f t="shared" ca="1" si="94"/>
        <v>227902.24083442637</v>
      </c>
      <c r="AL511" s="129">
        <f t="array" ref="AL511">MAX((УслРестрактов[Характеристика]="Дата реструктуризации")*(УслРестрактов[Значение]=Первоначальный!$A511),0)</f>
        <v>0</v>
      </c>
    </row>
    <row r="512" spans="1:38" x14ac:dyDescent="0.25">
      <c r="A512" s="97">
        <f t="shared" si="87"/>
        <v>44643</v>
      </c>
      <c r="B512" s="100">
        <f t="shared" ca="1" si="88"/>
        <v>149633.34</v>
      </c>
      <c r="C512" s="55">
        <f t="shared" ca="1" si="96"/>
        <v>34910.8299999999</v>
      </c>
      <c r="D512" s="55">
        <f t="shared" ca="1" si="96"/>
        <v>726.81000000000131</v>
      </c>
      <c r="E512" s="55">
        <f t="shared" ca="1" si="89"/>
        <v>0</v>
      </c>
      <c r="F512" s="55">
        <f t="shared" ca="1" si="90"/>
        <v>42631.260834426466</v>
      </c>
      <c r="G512" s="101">
        <f t="shared" ca="1" si="91"/>
        <v>227902.24083442637</v>
      </c>
      <c r="H512" s="100">
        <f ca="1">ROUND($B512*VLOOKUP($A512,$A$1:$B$10,2,1)/(365+IF(MOD(YEAR($A512),4),0,1)*($A512-$A511)),2)-Первоначальный[[#This Row],[Проценты на просроченный платеж по ОД за период]]</f>
        <v>77.959999999999994</v>
      </c>
      <c r="I512" s="55">
        <f t="shared" ca="1" si="92"/>
        <v>3.62</v>
      </c>
      <c r="J512" s="55">
        <v>0</v>
      </c>
      <c r="K512" s="55">
        <f t="shared" ca="1" si="95"/>
        <v>202.72350327868853</v>
      </c>
      <c r="L512" s="55">
        <v>0</v>
      </c>
      <c r="M512" s="113">
        <f>SUMIFS(График[Возврат основной суммы долга],График[Дата с учетом нерабочих дней],$A512)</f>
        <v>0</v>
      </c>
      <c r="N512" s="56">
        <f>SUMIFS(График[Возврат начисленных %],График[Дата с учетом нерабочих дней],$A512)</f>
        <v>0</v>
      </c>
      <c r="O512" s="101">
        <v>0</v>
      </c>
      <c r="P512" s="100" cm="1">
        <f t="array" aca="1" ref="P512" ca="1">MAX(IF(AA511="Да",0,SUM(INDIRECT("M"&amp;(MAX(("Да"=AA$12:AA511)*ROW(AA$12:AA511)+1,ROW($P$12))&amp;":M"&amp;(ROW()))))-SUM(INDIRECT("W"&amp;(MAX(("Да"=AA$12:AA511)*ROW(AA$12:AA511)+1,ROW($P$12))&amp;":W"&amp;(ROW()))))),0)</f>
        <v>6648.84</v>
      </c>
      <c r="Q512" s="99">
        <f ca="1">MAX(SUM($N$13:N512)-SUM($T$13:T512),0)</f>
        <v>33895.860655737699</v>
      </c>
      <c r="R512" s="99">
        <f ca="1">Первоначальный[[#This Row],[Просроченный платеж по ОД]]+Первоначальный[[#This Row],[Просроченный платеж по процентам]]</f>
        <v>40544.700655737703</v>
      </c>
      <c r="S512" s="120">
        <f ca="1">IF(Первоначальный[[#This Row],[Просроченный платеж]]&lt;1,0,S511+1)</f>
        <v>408</v>
      </c>
      <c r="T512" s="100" cm="1">
        <f t="array" aca="1" ref="T512" ca="1">IF(Первоначальный[[#This Row],[Итого остаток на начало периода]]&lt;1,0,
IF(
AND(TYPE(VLOOKUP(1,$Z$12:Z512,1,0))=16,Первоначальный[[#This Row],[Досрочное погашение (да/"")]]=""),0,
_xlfn.IFS(AND(S511=0,Первоначальный[[#This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платеж]]&lt;&gt;0),MIN(LOOKUP(,-1/($Z$12:Z512=1),$C$12:C512)+LOOKUP(,-1/($Z$12:Z512=1),$H$12:H512),Первоначальный[[#This Row],[Полученный платеж]]+Y511),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платеж]]+Y511,SUM(Первоначальный[[#This Row],[Остаток процентов на начало периода]],Первоначальный[[#This Row],[Проценты за период]])),
AND(S511=0,Первоначальный[[#This Row],[Дата платежа из графика]]=""),0,
AND(S511=0,Первоначальный[[#This Row],[Дата платежа из графика]]=1,MAX((0&lt;&gt;S$12:S511)*ROW(S$12:S511),ROW($S$12))&gt;=MAX((1=Z$12:Z511)*ROW(Z$12:Z511),ROW($T$12)),TYPE(VLOOKUP("Да",(INDIRECT("AA"&amp;(MAX((1=Z$12:Z511)*ROW(Z$12:Z511),ROW($T$12))&amp;":AA"&amp;(ROW()-1)))),1,0))=16),MIN(LOOKUP(,-1/($Z$12:Z512=1),$C$12:C512)+LOOKUP(,-1/($Z$12:Z512=1),$H$12:H512),Первоначальный[[#This Row],[Полученный платеж]]+Y511),
AND(S511=0,TYPE(VLOOKUP("Да",(INDIRECT("AA"&amp;(MAX((1=Z$12:Z511)*ROW(Z$12:Z511),ROW($T$12))&amp;":AA"&amp;(ROW()-1)))),1,0))&lt;&gt;16),MIN(LOOKUP(,-1/($Z$12:Z512=1),$C$12:C512)+LOOKUP(,-1/($Z$12:Z512=1),$H$12:H512)-IF(AA511="Да",0,SUM(INDIRECT("T"&amp;(MAX(("Да"=AA$12:AA511)*ROW(AA$12:AA511)+1,ROW($T$12))&amp;":T"&amp;(ROW()-1))))),Первоначальный[[#This Row],[Полученный платеж]]+Y511),
AND(S511=0,MAX((0&lt;&gt;N$12:N511)*ROW(N$12:N511),ROW($S$12))&gt;=MAX((1=Z$12:Z511)*ROW(Z$12:Z511),ROW($T$12))),MIN(LOOKUP(,-1/($Z$12:Z512=1),$C$12:C512)+LOOKUP(,-1/($Z$12:Z512=1),$H$12:H512)-IF(N511&lt;&gt;0,0,SUM(INDIRECT("T"&amp;(MAX((0&lt;&gt;N$12:N511)*ROW(N$12:N511)+1,ROW($T$12))&amp;":T"&amp;(ROW()-1))))),Первоначальный[[#This Row],[Полученный платеж]]+Y511),
AND(S511=0,Первоначальный[[#This Row],[Дата платежа из графика]]=1),MIN(LOOKUP(,-1/($Z$12:Z512=1),$C$12:C512)+LOOKUP(,-1/($Z$12:Z512=1),$H$12:H512)-IF(Z511=1,0,SUM(INDIRECT("T"&amp;(MAX((1=Z$12:Z511)*ROW(Z$12:Z511)+1,ROW($T$12))&amp;":T"&amp;(ROW()-1))))),Первоначальный[[#This Row],[Полученный платеж]]+Y511),
AND(Z511&gt;0,Первоначальный[[#This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платеж]]+Y511),
AND(S511&gt;0,MAX((0&lt;&gt;S$12:S511)*ROW(S$12:S511),ROW($S$12))&gt;=MAX((1=Z$12:Z511)*ROW(Z$12:Z511),ROW($T$12)),TYPE(VLOOKUP("Да",(INDIRECT("AA"&amp;(MAX((1=Z$12:Z511)*ROW(Z$12:Z511),ROW($T$12))&amp;":AA"&amp;(ROW()-1)))),1,0))=16),MIN(LOOKUP(,-1/($Z$12:Z512=1),$C$12:C512)+LOOKUP(,-1/($Z$12:Z512=1),$H$12:H512)-SUM(INDIRECT("T"&amp;(MAX((1=Z$12:Z511)*ROW(Z$12:Z511),ROW($T$12))&amp;":T"&amp;(ROW()-1)))),Первоначальный[[#This Row],[Полученный платеж]]+Y511),
S511&gt;0,MIN(LOOKUP(,-1/($Z$12:Z512=1),$C$12:C512)+LOOKUP(,-1/($Z$12:Z512=1),$H$12:H512)-IF(Z511=1,0,SUM(INDIRECT("T"&amp;(MAX((1=Z$12:Z511)*ROW(Z$12:Z511)+1,ROW($T$12))&amp;":T"&amp;(ROW()-1))))),Первоначальный[[#This Row],[Полученный платеж]]+Y511)
)
)
)</f>
        <v>0</v>
      </c>
      <c r="U51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платеж]]+Y511-Первоначальный[[#This Row],[Полученный платёж по процентам]])</f>
        <v>0</v>
      </c>
      <c r="V512" s="55">
        <f t="shared" ca="1" si="85"/>
        <v>0</v>
      </c>
      <c r="W512" s="55" cm="1">
        <f t="array" aca="1" ref="W512" ca="1">IF(Первоначальный[[#This Row],[Итого остаток на начало периода]]&lt;1,0,
_xlfn.IFS(
AND(TYPE(VLOOKUP(1,$Z$12:Z512,1,0))=16,Первоначальный[[#This Row],[Досрочное погашение (да/"")]]=""),0,
AND(S511=0,Первоначальный[[#This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платеж]]+Y511-SUM(Первоначальный[[#This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комиссиям]]),VLOOKUP(LOOKUP(,-1/($Z$12:Z512=1),$A$12:A512),График[[Срок конец]:[Возврат основной суммы долга]],3,0)),
AND(S511=0,Первоначальный[[#This Row],[Дата платежа из графика]]="",Первоначальный[[#This Row],[Досрочное погашение (да/"")]]&lt;&gt;"Да"),0,
AND(S511=0,Первоначальный[[#This Row],[Досрочное погашение (да/"")]]=""),MIN(Первоначальный[[#This Row],[Полученный платеж]]+Y511-SUM(Первоначальный[[#This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комиссиям]]),VLOOKUP(LOOKUP(,-1/($Z$12:Z512=1),$A$12:A512),График[[Срок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платеж]]+Y511-SUM(Первоначальный[[#This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S511&gt;0,MIN(Первоначальный[[#This Row],[Полученный платеж]]+Y511-SUM(Первоначальный[[#This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комиссиям]]),SUM(INDIRECT("M"&amp;(MAX((1=S$12:S511)*ROW(S$12:S511),ROW($W$12))&amp;":M"&amp;(ROW()))))-SUM(INDIRECT("W"&amp;(MAX((1=S$12:S511)*ROW(S$12:S511),ROW($W$12))&amp;":W"&amp;(ROW()-1)))))
)
)</f>
        <v>0</v>
      </c>
      <c r="X512" s="55">
        <f t="shared" ca="1" si="86"/>
        <v>0</v>
      </c>
      <c r="Y512" s="101">
        <f t="shared" ca="1" si="93"/>
        <v>0</v>
      </c>
      <c r="Z512" s="133" t="str">
        <f>IF(TYPE((VLOOKUP(Первоначальный[[#This Row],[Дата платежа]],График[Срок конец],1,0)))=16,"",1)</f>
        <v/>
      </c>
      <c r="AA512" s="57"/>
      <c r="AB512" s="134"/>
      <c r="AC51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1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34988.789999999899</v>
      </c>
      <c r="AE51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730.43000000000131</v>
      </c>
      <c r="AF51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1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42833.984337705158</v>
      </c>
      <c r="AH512" s="55"/>
      <c r="AI512" s="55"/>
      <c r="AJ512" s="55"/>
      <c r="AK512" s="101">
        <f t="shared" ca="1" si="94"/>
        <v>228186.54433770504</v>
      </c>
      <c r="AL512" s="129">
        <f t="array" ref="AL512">MAX((УслРестрактов[Характеристика]="Дата реструктуризации")*(УслРестрактов[Значение]=Первоначальный!$A512),0)</f>
        <v>0</v>
      </c>
    </row>
    <row r="513" spans="1:38" x14ac:dyDescent="0.25">
      <c r="A513" s="97">
        <f t="shared" si="87"/>
        <v>44644</v>
      </c>
      <c r="B513" s="100">
        <f t="shared" ca="1" si="88"/>
        <v>149633.34</v>
      </c>
      <c r="C513" s="55">
        <f t="shared" ca="1" si="96"/>
        <v>34988.789999999899</v>
      </c>
      <c r="D513" s="55">
        <f t="shared" ca="1" si="96"/>
        <v>730.43000000000131</v>
      </c>
      <c r="E513" s="55">
        <f t="shared" ca="1" si="89"/>
        <v>0</v>
      </c>
      <c r="F513" s="55">
        <f t="shared" ca="1" si="90"/>
        <v>42833.984337705158</v>
      </c>
      <c r="G513" s="101">
        <f t="shared" ca="1" si="91"/>
        <v>228186.54433770504</v>
      </c>
      <c r="H513" s="100">
        <f ca="1">ROUND($B513*VLOOKUP($A513,$A$1:$B$10,2,1)/(365+IF(MOD(YEAR($A513),4),0,1)*($A513-$A512)),2)-Первоначальный[[#This Row],[Проценты на просроченный платеж по ОД за период]]</f>
        <v>77.959999999999994</v>
      </c>
      <c r="I513" s="55">
        <f t="shared" ca="1" si="92"/>
        <v>3.62</v>
      </c>
      <c r="J513" s="55">
        <v>0</v>
      </c>
      <c r="K513" s="55">
        <f t="shared" ca="1" si="95"/>
        <v>202.72350327868853</v>
      </c>
      <c r="L513" s="55">
        <v>0</v>
      </c>
      <c r="M513" s="113">
        <f>SUMIFS(График[Возврат основной суммы долга],График[Дата с учетом нерабочих дней],$A513)</f>
        <v>0</v>
      </c>
      <c r="N513" s="56">
        <f>SUMIFS(График[Возврат начисленных %],График[Дата с учетом нерабочих дней],$A513)</f>
        <v>0</v>
      </c>
      <c r="O513" s="101">
        <v>0</v>
      </c>
      <c r="P513" s="100" cm="1">
        <f t="array" aca="1" ref="P513" ca="1">MAX(IF(AA512="Да",0,SUM(INDIRECT("M"&amp;(MAX(("Да"=AA$12:AA512)*ROW(AA$12:AA512)+1,ROW($P$12))&amp;":M"&amp;(ROW()))))-SUM(INDIRECT("W"&amp;(MAX(("Да"=AA$12:AA512)*ROW(AA$12:AA512)+1,ROW($P$12))&amp;":W"&amp;(ROW()))))),0)</f>
        <v>6648.84</v>
      </c>
      <c r="Q513" s="99">
        <f ca="1">MAX(SUM($N$13:N513)-SUM($T$13:T513),0)</f>
        <v>33895.860655737699</v>
      </c>
      <c r="R513" s="99">
        <f ca="1">Первоначальный[[#This Row],[Просроченный платеж по ОД]]+Первоначальный[[#This Row],[Просроченный платеж по процентам]]</f>
        <v>40544.700655737703</v>
      </c>
      <c r="S513" s="120">
        <f ca="1">IF(Первоначальный[[#This Row],[Просроченный платеж]]&lt;1,0,S512+1)</f>
        <v>409</v>
      </c>
      <c r="T513" s="100" cm="1">
        <f t="array" aca="1" ref="T513" ca="1">IF(Первоначальный[[#This Row],[Итого остаток на начало периода]]&lt;1,0,
IF(
AND(TYPE(VLOOKUP(1,$Z$12:Z513,1,0))=16,Первоначальный[[#This Row],[Досрочное погашение (да/"")]]=""),0,
_xlfn.IFS(AND(S512=0,Первоначальный[[#This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платеж]]&lt;&gt;0),MIN(LOOKUP(,-1/($Z$12:Z513=1),$C$12:C513)+LOOKUP(,-1/($Z$12:Z513=1),$H$12:H513),Первоначальный[[#This Row],[Полученный платеж]]+Y512),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платеж]]+Y512,SUM(Первоначальный[[#This Row],[Остаток процентов на начало периода]],Первоначальный[[#This Row],[Проценты за период]])),
AND(S512=0,Первоначальный[[#This Row],[Дата платежа из графика]]=""),0,
AND(S512=0,Первоначальный[[#This Row],[Дата платежа из графика]]=1,MAX((0&lt;&gt;S$12:S512)*ROW(S$12:S512),ROW($S$12))&gt;=MAX((1=Z$12:Z512)*ROW(Z$12:Z512),ROW($T$12)),TYPE(VLOOKUP("Да",(INDIRECT("AA"&amp;(MAX((1=Z$12:Z512)*ROW(Z$12:Z512),ROW($T$12))&amp;":AA"&amp;(ROW()-1)))),1,0))=16),MIN(LOOKUP(,-1/($Z$12:Z513=1),$C$12:C513)+LOOKUP(,-1/($Z$12:Z513=1),$H$12:H513),Первоначальный[[#This Row],[Полученный платеж]]+Y512),
AND(S512=0,TYPE(VLOOKUP("Да",(INDIRECT("AA"&amp;(MAX((1=Z$12:Z512)*ROW(Z$12:Z512),ROW($T$12))&amp;":AA"&amp;(ROW()-1)))),1,0))&lt;&gt;16),MIN(LOOKUP(,-1/($Z$12:Z513=1),$C$12:C513)+LOOKUP(,-1/($Z$12:Z513=1),$H$12:H513)-IF(AA512="Да",0,SUM(INDIRECT("T"&amp;(MAX(("Да"=AA$12:AA512)*ROW(AA$12:AA512)+1,ROW($T$12))&amp;":T"&amp;(ROW()-1))))),Первоначальный[[#This Row],[Полученный платеж]]+Y512),
AND(S512=0,MAX((0&lt;&gt;N$12:N512)*ROW(N$12:N512),ROW($S$12))&gt;=MAX((1=Z$12:Z512)*ROW(Z$12:Z512),ROW($T$12))),MIN(LOOKUP(,-1/($Z$12:Z513=1),$C$12:C513)+LOOKUP(,-1/($Z$12:Z513=1),$H$12:H513)-IF(N512&lt;&gt;0,0,SUM(INDIRECT("T"&amp;(MAX((0&lt;&gt;N$12:N512)*ROW(N$12:N512)+1,ROW($T$12))&amp;":T"&amp;(ROW()-1))))),Первоначальный[[#This Row],[Полученный платеж]]+Y512),
AND(S512=0,Первоначальный[[#This Row],[Дата платежа из графика]]=1),MIN(LOOKUP(,-1/($Z$12:Z513=1),$C$12:C513)+LOOKUP(,-1/($Z$12:Z513=1),$H$12:H513)-IF(Z512=1,0,SUM(INDIRECT("T"&amp;(MAX((1=Z$12:Z512)*ROW(Z$12:Z512)+1,ROW($T$12))&amp;":T"&amp;(ROW()-1))))),Первоначальный[[#This Row],[Полученный платеж]]+Y512),
AND(Z512&gt;0,Первоначальный[[#This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платеж]]+Y512),
AND(S512&gt;0,MAX((0&lt;&gt;S$12:S512)*ROW(S$12:S512),ROW($S$12))&gt;=MAX((1=Z$12:Z512)*ROW(Z$12:Z512),ROW($T$12)),TYPE(VLOOKUP("Да",(INDIRECT("AA"&amp;(MAX((1=Z$12:Z512)*ROW(Z$12:Z512),ROW($T$12))&amp;":AA"&amp;(ROW()-1)))),1,0))=16),MIN(LOOKUP(,-1/($Z$12:Z513=1),$C$12:C513)+LOOKUP(,-1/($Z$12:Z513=1),$H$12:H513)-SUM(INDIRECT("T"&amp;(MAX((1=Z$12:Z512)*ROW(Z$12:Z512),ROW($T$12))&amp;":T"&amp;(ROW()-1)))),Первоначальный[[#This Row],[Полученный платеж]]+Y512),
S512&gt;0,MIN(LOOKUP(,-1/($Z$12:Z513=1),$C$12:C513)+LOOKUP(,-1/($Z$12:Z513=1),$H$12:H513)-IF(Z512=1,0,SUM(INDIRECT("T"&amp;(MAX((1=Z$12:Z512)*ROW(Z$12:Z512)+1,ROW($T$12))&amp;":T"&amp;(ROW()-1))))),Первоначальный[[#This Row],[Полученный платеж]]+Y512)
)
)
)</f>
        <v>0</v>
      </c>
      <c r="U51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платеж]]+Y512-Первоначальный[[#This Row],[Полученный платёж по процентам]])</f>
        <v>0</v>
      </c>
      <c r="V513" s="55">
        <f t="shared" ca="1" si="85"/>
        <v>0</v>
      </c>
      <c r="W513" s="55" cm="1">
        <f t="array" aca="1" ref="W513" ca="1">IF(Первоначальный[[#This Row],[Итого остаток на начало периода]]&lt;1,0,
_xlfn.IFS(
AND(TYPE(VLOOKUP(1,$Z$12:Z513,1,0))=16,Первоначальный[[#This Row],[Досрочное погашение (да/"")]]=""),0,
AND(S512=0,Первоначальный[[#This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платеж]]+Y512-SUM(Первоначальный[[#This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комиссиям]]),VLOOKUP(LOOKUP(,-1/($Z$12:Z513=1),$A$12:A513),График[[Срок конец]:[Возврат основной суммы долга]],3,0)),
AND(S512=0,Первоначальный[[#This Row],[Дата платежа из графика]]="",Первоначальный[[#This Row],[Досрочное погашение (да/"")]]&lt;&gt;"Да"),0,
AND(S512=0,Первоначальный[[#This Row],[Досрочное погашение (да/"")]]=""),MIN(Первоначальный[[#This Row],[Полученный платеж]]+Y512-SUM(Первоначальный[[#This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комиссиям]]),VLOOKUP(LOOKUP(,-1/($Z$12:Z513=1),$A$12:A513),График[[Срок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платеж]]+Y512-SUM(Первоначальный[[#This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S512&gt;0,MIN(Первоначальный[[#This Row],[Полученный платеж]]+Y512-SUM(Первоначальный[[#This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комиссиям]]),SUM(INDIRECT("M"&amp;(MAX((1=S$12:S512)*ROW(S$12:S512),ROW($W$12))&amp;":M"&amp;(ROW()))))-SUM(INDIRECT("W"&amp;(MAX((1=S$12:S512)*ROW(S$12:S512),ROW($W$12))&amp;":W"&amp;(ROW()-1)))))
)
)</f>
        <v>0</v>
      </c>
      <c r="X513" s="55">
        <f t="shared" ca="1" si="86"/>
        <v>0</v>
      </c>
      <c r="Y513" s="101">
        <f t="shared" ca="1" si="93"/>
        <v>0</v>
      </c>
      <c r="Z513" s="133" t="str">
        <f>IF(TYPE((VLOOKUP(Первоначальный[[#This Row],[Дата платежа]],График[Срок конец],1,0)))=16,"",1)</f>
        <v/>
      </c>
      <c r="AA513" s="57"/>
      <c r="AB513" s="134"/>
      <c r="AC51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1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35066.749999999898</v>
      </c>
      <c r="AE51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734.05000000000132</v>
      </c>
      <c r="AF51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1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43036.70784098385</v>
      </c>
      <c r="AH513" s="55"/>
      <c r="AI513" s="55"/>
      <c r="AJ513" s="55"/>
      <c r="AK513" s="101">
        <f t="shared" ca="1" si="94"/>
        <v>228470.84784098374</v>
      </c>
      <c r="AL513" s="129">
        <f t="array" ref="AL513">MAX((УслРестрактов[Характеристика]="Дата реструктуризации")*(УслРестрактов[Значение]=Первоначальный!$A513),0)</f>
        <v>0</v>
      </c>
    </row>
    <row r="514" spans="1:38" x14ac:dyDescent="0.25">
      <c r="A514" s="97">
        <f t="shared" si="87"/>
        <v>44645</v>
      </c>
      <c r="B514" s="100">
        <f t="shared" ca="1" si="88"/>
        <v>149633.34</v>
      </c>
      <c r="C514" s="55">
        <f t="shared" ca="1" si="96"/>
        <v>35066.749999999898</v>
      </c>
      <c r="D514" s="55">
        <f t="shared" ca="1" si="96"/>
        <v>734.05000000000132</v>
      </c>
      <c r="E514" s="55">
        <f t="shared" ca="1" si="89"/>
        <v>0</v>
      </c>
      <c r="F514" s="55">
        <f t="shared" ca="1" si="90"/>
        <v>43036.70784098385</v>
      </c>
      <c r="G514" s="101">
        <f t="shared" ca="1" si="91"/>
        <v>228470.84784098374</v>
      </c>
      <c r="H514" s="100">
        <f ca="1">ROUND($B514*VLOOKUP($A514,$A$1:$B$10,2,1)/(365+IF(MOD(YEAR($A514),4),0,1)*($A514-$A513)),2)-Первоначальный[[#This Row],[Проценты на просроченный платеж по ОД за период]]</f>
        <v>77.959999999999994</v>
      </c>
      <c r="I514" s="55">
        <f t="shared" ca="1" si="92"/>
        <v>3.62</v>
      </c>
      <c r="J514" s="55">
        <v>0</v>
      </c>
      <c r="K514" s="55">
        <f t="shared" ca="1" si="95"/>
        <v>202.72350327868853</v>
      </c>
      <c r="L514" s="55">
        <v>0</v>
      </c>
      <c r="M514" s="113">
        <f>SUMIFS(График[Возврат основной суммы долга],График[Дата с учетом нерабочих дней],$A514)</f>
        <v>0</v>
      </c>
      <c r="N514" s="56">
        <f>SUMIFS(График[Возврат начисленных %],График[Дата с учетом нерабочих дней],$A514)</f>
        <v>0</v>
      </c>
      <c r="O514" s="101">
        <v>0</v>
      </c>
      <c r="P514" s="100" cm="1">
        <f t="array" aca="1" ref="P514" ca="1">MAX(IF(AA513="Да",0,SUM(INDIRECT("M"&amp;(MAX(("Да"=AA$12:AA513)*ROW(AA$12:AA513)+1,ROW($P$12))&amp;":M"&amp;(ROW()))))-SUM(INDIRECT("W"&amp;(MAX(("Да"=AA$12:AA513)*ROW(AA$12:AA513)+1,ROW($P$12))&amp;":W"&amp;(ROW()))))),0)</f>
        <v>6648.84</v>
      </c>
      <c r="Q514" s="99">
        <f ca="1">MAX(SUM($N$13:N514)-SUM($T$13:T514),0)</f>
        <v>33895.860655737699</v>
      </c>
      <c r="R514" s="99">
        <f ca="1">Первоначальный[[#This Row],[Просроченный платеж по ОД]]+Первоначальный[[#This Row],[Просроченный платеж по процентам]]</f>
        <v>40544.700655737703</v>
      </c>
      <c r="S514" s="120">
        <f ca="1">IF(Первоначальный[[#This Row],[Просроченный платеж]]&lt;1,0,S513+1)</f>
        <v>410</v>
      </c>
      <c r="T514" s="100" cm="1">
        <f t="array" aca="1" ref="T514" ca="1">IF(Первоначальный[[#This Row],[Итого остаток на начало периода]]&lt;1,0,
IF(
AND(TYPE(VLOOKUP(1,$Z$12:Z514,1,0))=16,Первоначальный[[#This Row],[Досрочное погашение (да/"")]]=""),0,
_xlfn.IFS(AND(S513=0,Первоначальный[[#This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платеж]]&lt;&gt;0),MIN(LOOKUP(,-1/($Z$12:Z514=1),$C$12:C514)+LOOKUP(,-1/($Z$12:Z514=1),$H$12:H514),Первоначальный[[#This Row],[Полученный платеж]]+Y513),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платеж]]+Y513,SUM(Первоначальный[[#This Row],[Остаток процентов на начало периода]],Первоначальный[[#This Row],[Проценты за период]])),
AND(S513=0,Первоначальный[[#This Row],[Дата платежа из графика]]=""),0,
AND(S513=0,Первоначальный[[#This Row],[Дата платежа из графика]]=1,MAX((0&lt;&gt;S$12:S513)*ROW(S$12:S513),ROW($S$12))&gt;=MAX((1=Z$12:Z513)*ROW(Z$12:Z513),ROW($T$12)),TYPE(VLOOKUP("Да",(INDIRECT("AA"&amp;(MAX((1=Z$12:Z513)*ROW(Z$12:Z513),ROW($T$12))&amp;":AA"&amp;(ROW()-1)))),1,0))=16),MIN(LOOKUP(,-1/($Z$12:Z514=1),$C$12:C514)+LOOKUP(,-1/($Z$12:Z514=1),$H$12:H514),Первоначальный[[#This Row],[Полученный платеж]]+Y513),
AND(S513=0,TYPE(VLOOKUP("Да",(INDIRECT("AA"&amp;(MAX((1=Z$12:Z513)*ROW(Z$12:Z513),ROW($T$12))&amp;":AA"&amp;(ROW()-1)))),1,0))&lt;&gt;16),MIN(LOOKUP(,-1/($Z$12:Z514=1),$C$12:C514)+LOOKUP(,-1/($Z$12:Z514=1),$H$12:H514)-IF(AA513="Да",0,SUM(INDIRECT("T"&amp;(MAX(("Да"=AA$12:AA513)*ROW(AA$12:AA513)+1,ROW($T$12))&amp;":T"&amp;(ROW()-1))))),Первоначальный[[#This Row],[Полученный платеж]]+Y513),
AND(S513=0,MAX((0&lt;&gt;N$12:N513)*ROW(N$12:N513),ROW($S$12))&gt;=MAX((1=Z$12:Z513)*ROW(Z$12:Z513),ROW($T$12))),MIN(LOOKUP(,-1/($Z$12:Z514=1),$C$12:C514)+LOOKUP(,-1/($Z$12:Z514=1),$H$12:H514)-IF(N513&lt;&gt;0,0,SUM(INDIRECT("T"&amp;(MAX((0&lt;&gt;N$12:N513)*ROW(N$12:N513)+1,ROW($T$12))&amp;":T"&amp;(ROW()-1))))),Первоначальный[[#This Row],[Полученный платеж]]+Y513),
AND(S513=0,Первоначальный[[#This Row],[Дата платежа из графика]]=1),MIN(LOOKUP(,-1/($Z$12:Z514=1),$C$12:C514)+LOOKUP(,-1/($Z$12:Z514=1),$H$12:H514)-IF(Z513=1,0,SUM(INDIRECT("T"&amp;(MAX((1=Z$12:Z513)*ROW(Z$12:Z513)+1,ROW($T$12))&amp;":T"&amp;(ROW()-1))))),Первоначальный[[#This Row],[Полученный платеж]]+Y513),
AND(Z513&gt;0,Первоначальный[[#This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платеж]]+Y513),
AND(S513&gt;0,MAX((0&lt;&gt;S$12:S513)*ROW(S$12:S513),ROW($S$12))&gt;=MAX((1=Z$12:Z513)*ROW(Z$12:Z513),ROW($T$12)),TYPE(VLOOKUP("Да",(INDIRECT("AA"&amp;(MAX((1=Z$12:Z513)*ROW(Z$12:Z513),ROW($T$12))&amp;":AA"&amp;(ROW()-1)))),1,0))=16),MIN(LOOKUP(,-1/($Z$12:Z514=1),$C$12:C514)+LOOKUP(,-1/($Z$12:Z514=1),$H$12:H514)-SUM(INDIRECT("T"&amp;(MAX((1=Z$12:Z513)*ROW(Z$12:Z513),ROW($T$12))&amp;":T"&amp;(ROW()-1)))),Первоначальный[[#This Row],[Полученный платеж]]+Y513),
S513&gt;0,MIN(LOOKUP(,-1/($Z$12:Z514=1),$C$12:C514)+LOOKUP(,-1/($Z$12:Z514=1),$H$12:H514)-IF(Z513=1,0,SUM(INDIRECT("T"&amp;(MAX((1=Z$12:Z513)*ROW(Z$12:Z513)+1,ROW($T$12))&amp;":T"&amp;(ROW()-1))))),Первоначальный[[#This Row],[Полученный платеж]]+Y513)
)
)
)</f>
        <v>0</v>
      </c>
      <c r="U51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платеж]]+Y513-Первоначальный[[#This Row],[Полученный платёж по процентам]])</f>
        <v>0</v>
      </c>
      <c r="V514" s="55">
        <f t="shared" ca="1" si="85"/>
        <v>0</v>
      </c>
      <c r="W514" s="55" cm="1">
        <f t="array" aca="1" ref="W514" ca="1">IF(Первоначальный[[#This Row],[Итого остаток на начало периода]]&lt;1,0,
_xlfn.IFS(
AND(TYPE(VLOOKUP(1,$Z$12:Z514,1,0))=16,Первоначальный[[#This Row],[Досрочное погашение (да/"")]]=""),0,
AND(S513=0,Первоначальный[[#This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платеж]]+Y513-SUM(Первоначальный[[#This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комиссиям]]),VLOOKUP(LOOKUP(,-1/($Z$12:Z514=1),$A$12:A514),График[[Срок конец]:[Возврат основной суммы долга]],3,0)),
AND(S513=0,Первоначальный[[#This Row],[Дата платежа из графика]]="",Первоначальный[[#This Row],[Досрочное погашение (да/"")]]&lt;&gt;"Да"),0,
AND(S513=0,Первоначальный[[#This Row],[Досрочное погашение (да/"")]]=""),MIN(Первоначальный[[#This Row],[Полученный платеж]]+Y513-SUM(Первоначальный[[#This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комиссиям]]),VLOOKUP(LOOKUP(,-1/($Z$12:Z514=1),$A$12:A514),График[[Срок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платеж]]+Y513-SUM(Первоначальный[[#This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S513&gt;0,MIN(Первоначальный[[#This Row],[Полученный платеж]]+Y513-SUM(Первоначальный[[#This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комиссиям]]),SUM(INDIRECT("M"&amp;(MAX((1=S$12:S513)*ROW(S$12:S513),ROW($W$12))&amp;":M"&amp;(ROW()))))-SUM(INDIRECT("W"&amp;(MAX((1=S$12:S513)*ROW(S$12:S513),ROW($W$12))&amp;":W"&amp;(ROW()-1)))))
)
)</f>
        <v>0</v>
      </c>
      <c r="X514" s="55">
        <f t="shared" ca="1" si="86"/>
        <v>0</v>
      </c>
      <c r="Y514" s="101">
        <f t="shared" ca="1" si="93"/>
        <v>0</v>
      </c>
      <c r="Z514" s="133" t="str">
        <f>IF(TYPE((VLOOKUP(Первоначальный[[#This Row],[Дата платежа]],График[Срок конец],1,0)))=16,"",1)</f>
        <v/>
      </c>
      <c r="AA514" s="57"/>
      <c r="AB514" s="134"/>
      <c r="AC51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1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35144.709999999897</v>
      </c>
      <c r="AE51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737.67000000000132</v>
      </c>
      <c r="AF51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1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43239.431344262543</v>
      </c>
      <c r="AH514" s="55"/>
      <c r="AI514" s="55"/>
      <c r="AJ514" s="55"/>
      <c r="AK514" s="101">
        <f t="shared" ca="1" si="94"/>
        <v>228755.15134426247</v>
      </c>
      <c r="AL514" s="129">
        <f t="array" ref="AL514">MAX((УслРестрактов[Характеристика]="Дата реструктуризации")*(УслРестрактов[Значение]=Первоначальный!$A514),0)</f>
        <v>0</v>
      </c>
    </row>
    <row r="515" spans="1:38" x14ac:dyDescent="0.25">
      <c r="A515" s="97">
        <f t="shared" si="87"/>
        <v>44646</v>
      </c>
      <c r="B515" s="100">
        <f t="shared" ca="1" si="88"/>
        <v>149633.34</v>
      </c>
      <c r="C515" s="55">
        <f t="shared" ca="1" si="96"/>
        <v>35144.709999999897</v>
      </c>
      <c r="D515" s="55">
        <f t="shared" ca="1" si="96"/>
        <v>737.67000000000132</v>
      </c>
      <c r="E515" s="55">
        <f t="shared" ca="1" si="89"/>
        <v>0</v>
      </c>
      <c r="F515" s="55">
        <f t="shared" ca="1" si="90"/>
        <v>43239.431344262543</v>
      </c>
      <c r="G515" s="101">
        <f t="shared" ca="1" si="91"/>
        <v>228755.15134426247</v>
      </c>
      <c r="H515" s="100">
        <f ca="1">ROUND($B515*VLOOKUP($A515,$A$1:$B$10,2,1)/(365+IF(MOD(YEAR($A515),4),0,1)*($A515-$A514)),2)-Первоначальный[[#This Row],[Проценты на просроченный платеж по ОД за период]]</f>
        <v>77.959999999999994</v>
      </c>
      <c r="I515" s="55">
        <f t="shared" ca="1" si="92"/>
        <v>3.62</v>
      </c>
      <c r="J515" s="55">
        <v>0</v>
      </c>
      <c r="K515" s="55">
        <f t="shared" ca="1" si="95"/>
        <v>202.72350327868853</v>
      </c>
      <c r="L515" s="55">
        <v>0</v>
      </c>
      <c r="M515" s="113">
        <f>SUMIFS(График[Возврат основной суммы долга],График[Дата с учетом нерабочих дней],$A515)</f>
        <v>0</v>
      </c>
      <c r="N515" s="56">
        <f>SUMIFS(График[Возврат начисленных %],График[Дата с учетом нерабочих дней],$A515)</f>
        <v>0</v>
      </c>
      <c r="O515" s="101">
        <v>0</v>
      </c>
      <c r="P515" s="100" cm="1">
        <f t="array" aca="1" ref="P515" ca="1">MAX(IF(AA514="Да",0,SUM(INDIRECT("M"&amp;(MAX(("Да"=AA$12:AA514)*ROW(AA$12:AA514)+1,ROW($P$12))&amp;":M"&amp;(ROW()))))-SUM(INDIRECT("W"&amp;(MAX(("Да"=AA$12:AA514)*ROW(AA$12:AA514)+1,ROW($P$12))&amp;":W"&amp;(ROW()))))),0)</f>
        <v>6648.84</v>
      </c>
      <c r="Q515" s="99">
        <f ca="1">MAX(SUM($N$13:N515)-SUM($T$13:T515),0)</f>
        <v>33895.860655737699</v>
      </c>
      <c r="R515" s="99">
        <f ca="1">Первоначальный[[#This Row],[Просроченный платеж по ОД]]+Первоначальный[[#This Row],[Просроченный платеж по процентам]]</f>
        <v>40544.700655737703</v>
      </c>
      <c r="S515" s="120">
        <f ca="1">IF(Первоначальный[[#This Row],[Просроченный платеж]]&lt;1,0,S514+1)</f>
        <v>411</v>
      </c>
      <c r="T515" s="100" cm="1">
        <f t="array" aca="1" ref="T515" ca="1">IF(Первоначальный[[#This Row],[Итого остаток на начало периода]]&lt;1,0,
IF(
AND(TYPE(VLOOKUP(1,$Z$12:Z515,1,0))=16,Первоначальный[[#This Row],[Досрочное погашение (да/"")]]=""),0,
_xlfn.IFS(AND(S514=0,Первоначальный[[#This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платеж]]&lt;&gt;0),MIN(LOOKUP(,-1/($Z$12:Z515=1),$C$12:C515)+LOOKUP(,-1/($Z$12:Z515=1),$H$12:H515),Первоначальный[[#This Row],[Полученный платеж]]+Y514),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платеж]]+Y514,SUM(Первоначальный[[#This Row],[Остаток процентов на начало периода]],Первоначальный[[#This Row],[Проценты за период]])),
AND(S514=0,Первоначальный[[#This Row],[Дата платежа из графика]]=""),0,
AND(S514=0,Первоначальный[[#This Row],[Дата платежа из графика]]=1,MAX((0&lt;&gt;S$12:S514)*ROW(S$12:S514),ROW($S$12))&gt;=MAX((1=Z$12:Z514)*ROW(Z$12:Z514),ROW($T$12)),TYPE(VLOOKUP("Да",(INDIRECT("AA"&amp;(MAX((1=Z$12:Z514)*ROW(Z$12:Z514),ROW($T$12))&amp;":AA"&amp;(ROW()-1)))),1,0))=16),MIN(LOOKUP(,-1/($Z$12:Z515=1),$C$12:C515)+LOOKUP(,-1/($Z$12:Z515=1),$H$12:H515),Первоначальный[[#This Row],[Полученный платеж]]+Y514),
AND(S514=0,TYPE(VLOOKUP("Да",(INDIRECT("AA"&amp;(MAX((1=Z$12:Z514)*ROW(Z$12:Z514),ROW($T$12))&amp;":AA"&amp;(ROW()-1)))),1,0))&lt;&gt;16),MIN(LOOKUP(,-1/($Z$12:Z515=1),$C$12:C515)+LOOKUP(,-1/($Z$12:Z515=1),$H$12:H515)-IF(AA514="Да",0,SUM(INDIRECT("T"&amp;(MAX(("Да"=AA$12:AA514)*ROW(AA$12:AA514)+1,ROW($T$12))&amp;":T"&amp;(ROW()-1))))),Первоначальный[[#This Row],[Полученный платеж]]+Y514),
AND(S514=0,MAX((0&lt;&gt;N$12:N514)*ROW(N$12:N514),ROW($S$12))&gt;=MAX((1=Z$12:Z514)*ROW(Z$12:Z514),ROW($T$12))),MIN(LOOKUP(,-1/($Z$12:Z515=1),$C$12:C515)+LOOKUP(,-1/($Z$12:Z515=1),$H$12:H515)-IF(N514&lt;&gt;0,0,SUM(INDIRECT("T"&amp;(MAX((0&lt;&gt;N$12:N514)*ROW(N$12:N514)+1,ROW($T$12))&amp;":T"&amp;(ROW()-1))))),Первоначальный[[#This Row],[Полученный платеж]]+Y514),
AND(S514=0,Первоначальный[[#This Row],[Дата платежа из графика]]=1),MIN(LOOKUP(,-1/($Z$12:Z515=1),$C$12:C515)+LOOKUP(,-1/($Z$12:Z515=1),$H$12:H515)-IF(Z514=1,0,SUM(INDIRECT("T"&amp;(MAX((1=Z$12:Z514)*ROW(Z$12:Z514)+1,ROW($T$12))&amp;":T"&amp;(ROW()-1))))),Первоначальный[[#This Row],[Полученный платеж]]+Y514),
AND(Z514&gt;0,Первоначальный[[#This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платеж]]+Y514),
AND(S514&gt;0,MAX((0&lt;&gt;S$12:S514)*ROW(S$12:S514),ROW($S$12))&gt;=MAX((1=Z$12:Z514)*ROW(Z$12:Z514),ROW($T$12)),TYPE(VLOOKUP("Да",(INDIRECT("AA"&amp;(MAX((1=Z$12:Z514)*ROW(Z$12:Z514),ROW($T$12))&amp;":AA"&amp;(ROW()-1)))),1,0))=16),MIN(LOOKUP(,-1/($Z$12:Z515=1),$C$12:C515)+LOOKUP(,-1/($Z$12:Z515=1),$H$12:H515)-SUM(INDIRECT("T"&amp;(MAX((1=Z$12:Z514)*ROW(Z$12:Z514),ROW($T$12))&amp;":T"&amp;(ROW()-1)))),Первоначальный[[#This Row],[Полученный платеж]]+Y514),
S514&gt;0,MIN(LOOKUP(,-1/($Z$12:Z515=1),$C$12:C515)+LOOKUP(,-1/($Z$12:Z515=1),$H$12:H515)-IF(Z514=1,0,SUM(INDIRECT("T"&amp;(MAX((1=Z$12:Z514)*ROW(Z$12:Z514)+1,ROW($T$12))&amp;":T"&amp;(ROW()-1))))),Первоначальный[[#This Row],[Полученный платеж]]+Y514)
)
)
)</f>
        <v>0</v>
      </c>
      <c r="U51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платеж]]+Y514-Первоначальный[[#This Row],[Полученный платёж по процентам]])</f>
        <v>0</v>
      </c>
      <c r="V515" s="55">
        <f t="shared" ca="1" si="85"/>
        <v>0</v>
      </c>
      <c r="W515" s="55" cm="1">
        <f t="array" aca="1" ref="W515" ca="1">IF(Первоначальный[[#This Row],[Итого остаток на начало периода]]&lt;1,0,
_xlfn.IFS(
AND(TYPE(VLOOKUP(1,$Z$12:Z515,1,0))=16,Первоначальный[[#This Row],[Досрочное погашение (да/"")]]=""),0,
AND(S514=0,Первоначальный[[#This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платеж]]+Y514-SUM(Первоначальный[[#This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комиссиям]]),VLOOKUP(LOOKUP(,-1/($Z$12:Z515=1),$A$12:A515),График[[Срок конец]:[Возврат основной суммы долга]],3,0)),
AND(S514=0,Первоначальный[[#This Row],[Дата платежа из графика]]="",Первоначальный[[#This Row],[Досрочное погашение (да/"")]]&lt;&gt;"Да"),0,
AND(S514=0,Первоначальный[[#This Row],[Досрочное погашение (да/"")]]=""),MIN(Первоначальный[[#This Row],[Полученный платеж]]+Y514-SUM(Первоначальный[[#This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комиссиям]]),VLOOKUP(LOOKUP(,-1/($Z$12:Z515=1),$A$12:A515),График[[Срок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платеж]]+Y514-SUM(Первоначальный[[#This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S514&gt;0,MIN(Первоначальный[[#This Row],[Полученный платеж]]+Y514-SUM(Первоначальный[[#This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комиссиям]]),SUM(INDIRECT("M"&amp;(MAX((1=S$12:S514)*ROW(S$12:S514),ROW($W$12))&amp;":M"&amp;(ROW()))))-SUM(INDIRECT("W"&amp;(MAX((1=S$12:S514)*ROW(S$12:S514),ROW($W$12))&amp;":W"&amp;(ROW()-1)))))
)
)</f>
        <v>0</v>
      </c>
      <c r="X515" s="55">
        <f t="shared" ca="1" si="86"/>
        <v>0</v>
      </c>
      <c r="Y515" s="101">
        <f t="shared" ca="1" si="93"/>
        <v>0</v>
      </c>
      <c r="Z515" s="133" t="str">
        <f>IF(TYPE((VLOOKUP(Первоначальный[[#This Row],[Дата платежа]],График[Срок конец],1,0)))=16,"",1)</f>
        <v/>
      </c>
      <c r="AA515" s="57"/>
      <c r="AB515" s="134"/>
      <c r="AC51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1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35222.669999999896</v>
      </c>
      <c r="AE51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741.29000000000133</v>
      </c>
      <c r="AF51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1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43442.154847541235</v>
      </c>
      <c r="AH515" s="55"/>
      <c r="AI515" s="55"/>
      <c r="AJ515" s="55"/>
      <c r="AK515" s="101">
        <f t="shared" ca="1" si="94"/>
        <v>229039.45484754114</v>
      </c>
      <c r="AL515" s="129">
        <f t="array" ref="AL515">MAX((УслРестрактов[Характеристика]="Дата реструктуризации")*(УслРестрактов[Значение]=Первоначальный!$A515),0)</f>
        <v>0</v>
      </c>
    </row>
    <row r="516" spans="1:38" x14ac:dyDescent="0.25">
      <c r="A516" s="97">
        <f t="shared" si="87"/>
        <v>44647</v>
      </c>
      <c r="B516" s="100">
        <f t="shared" ca="1" si="88"/>
        <v>149633.34</v>
      </c>
      <c r="C516" s="55">
        <f t="shared" ca="1" si="96"/>
        <v>35222.669999999896</v>
      </c>
      <c r="D516" s="55">
        <f t="shared" ca="1" si="96"/>
        <v>741.29000000000133</v>
      </c>
      <c r="E516" s="55">
        <f t="shared" ca="1" si="89"/>
        <v>0</v>
      </c>
      <c r="F516" s="55">
        <f t="shared" ca="1" si="90"/>
        <v>43442.154847541235</v>
      </c>
      <c r="G516" s="101">
        <f t="shared" ca="1" si="91"/>
        <v>229039.45484754114</v>
      </c>
      <c r="H516" s="100">
        <f ca="1">ROUND($B516*VLOOKUP($A516,$A$1:$B$10,2,1)/(365+IF(MOD(YEAR($A516),4),0,1)*($A516-$A515)),2)-Первоначальный[[#This Row],[Проценты на просроченный платеж по ОД за период]]</f>
        <v>77.959999999999994</v>
      </c>
      <c r="I516" s="55">
        <f t="shared" ca="1" si="92"/>
        <v>3.62</v>
      </c>
      <c r="J516" s="55">
        <v>0</v>
      </c>
      <c r="K516" s="55">
        <f t="shared" ca="1" si="95"/>
        <v>202.72350327868853</v>
      </c>
      <c r="L516" s="55">
        <v>0</v>
      </c>
      <c r="M516" s="113">
        <f>SUMIFS(График[Возврат основной суммы долга],График[Дата с учетом нерабочих дней],$A516)</f>
        <v>0</v>
      </c>
      <c r="N516" s="56">
        <f>SUMIFS(График[Возврат начисленных %],График[Дата с учетом нерабочих дней],$A516)</f>
        <v>0</v>
      </c>
      <c r="O516" s="101">
        <v>0</v>
      </c>
      <c r="P516" s="100" cm="1">
        <f t="array" aca="1" ref="P516" ca="1">MAX(IF(AA515="Да",0,SUM(INDIRECT("M"&amp;(MAX(("Да"=AA$12:AA515)*ROW(AA$12:AA515)+1,ROW($P$12))&amp;":M"&amp;(ROW()))))-SUM(INDIRECT("W"&amp;(MAX(("Да"=AA$12:AA515)*ROW(AA$12:AA515)+1,ROW($P$12))&amp;":W"&amp;(ROW()))))),0)</f>
        <v>6648.84</v>
      </c>
      <c r="Q516" s="99">
        <f ca="1">MAX(SUM($N$13:N516)-SUM($T$13:T516),0)</f>
        <v>33895.860655737699</v>
      </c>
      <c r="R516" s="99">
        <f ca="1">Первоначальный[[#This Row],[Просроченный платеж по ОД]]+Первоначальный[[#This Row],[Просроченный платеж по процентам]]</f>
        <v>40544.700655737703</v>
      </c>
      <c r="S516" s="120">
        <f ca="1">IF(Первоначальный[[#This Row],[Просроченный платеж]]&lt;1,0,S515+1)</f>
        <v>412</v>
      </c>
      <c r="T516" s="100" cm="1">
        <f t="array" aca="1" ref="T516" ca="1">IF(Первоначальный[[#This Row],[Итого остаток на начало периода]]&lt;1,0,
IF(
AND(TYPE(VLOOKUP(1,$Z$12:Z516,1,0))=16,Первоначальный[[#This Row],[Досрочное погашение (да/"")]]=""),0,
_xlfn.IFS(AND(S515=0,Первоначальный[[#This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платеж]]&lt;&gt;0),MIN(LOOKUP(,-1/($Z$12:Z516=1),$C$12:C516)+LOOKUP(,-1/($Z$12:Z516=1),$H$12:H516),Первоначальный[[#This Row],[Полученный платеж]]+Y515),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платеж]]+Y515,SUM(Первоначальный[[#This Row],[Остаток процентов на начало периода]],Первоначальный[[#This Row],[Проценты за период]])),
AND(S515=0,Первоначальный[[#This Row],[Дата платежа из графика]]=""),0,
AND(S515=0,Первоначальный[[#This Row],[Дата платежа из графика]]=1,MAX((0&lt;&gt;S$12:S515)*ROW(S$12:S515),ROW($S$12))&gt;=MAX((1=Z$12:Z515)*ROW(Z$12:Z515),ROW($T$12)),TYPE(VLOOKUP("Да",(INDIRECT("AA"&amp;(MAX((1=Z$12:Z515)*ROW(Z$12:Z515),ROW($T$12))&amp;":AA"&amp;(ROW()-1)))),1,0))=16),MIN(LOOKUP(,-1/($Z$12:Z516=1),$C$12:C516)+LOOKUP(,-1/($Z$12:Z516=1),$H$12:H516),Первоначальный[[#This Row],[Полученный платеж]]+Y515),
AND(S515=0,TYPE(VLOOKUP("Да",(INDIRECT("AA"&amp;(MAX((1=Z$12:Z515)*ROW(Z$12:Z515),ROW($T$12))&amp;":AA"&amp;(ROW()-1)))),1,0))&lt;&gt;16),MIN(LOOKUP(,-1/($Z$12:Z516=1),$C$12:C516)+LOOKUP(,-1/($Z$12:Z516=1),$H$12:H516)-IF(AA515="Да",0,SUM(INDIRECT("T"&amp;(MAX(("Да"=AA$12:AA515)*ROW(AA$12:AA515)+1,ROW($T$12))&amp;":T"&amp;(ROW()-1))))),Первоначальный[[#This Row],[Полученный платеж]]+Y515),
AND(S515=0,MAX((0&lt;&gt;N$12:N515)*ROW(N$12:N515),ROW($S$12))&gt;=MAX((1=Z$12:Z515)*ROW(Z$12:Z515),ROW($T$12))),MIN(LOOKUP(,-1/($Z$12:Z516=1),$C$12:C516)+LOOKUP(,-1/($Z$12:Z516=1),$H$12:H516)-IF(N515&lt;&gt;0,0,SUM(INDIRECT("T"&amp;(MAX((0&lt;&gt;N$12:N515)*ROW(N$12:N515)+1,ROW($T$12))&amp;":T"&amp;(ROW()-1))))),Первоначальный[[#This Row],[Полученный платеж]]+Y515),
AND(S515=0,Первоначальный[[#This Row],[Дата платежа из графика]]=1),MIN(LOOKUP(,-1/($Z$12:Z516=1),$C$12:C516)+LOOKUP(,-1/($Z$12:Z516=1),$H$12:H516)-IF(Z515=1,0,SUM(INDIRECT("T"&amp;(MAX((1=Z$12:Z515)*ROW(Z$12:Z515)+1,ROW($T$12))&amp;":T"&amp;(ROW()-1))))),Первоначальный[[#This Row],[Полученный платеж]]+Y515),
AND(Z515&gt;0,Первоначальный[[#This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платеж]]+Y515),
AND(S515&gt;0,MAX((0&lt;&gt;S$12:S515)*ROW(S$12:S515),ROW($S$12))&gt;=MAX((1=Z$12:Z515)*ROW(Z$12:Z515),ROW($T$12)),TYPE(VLOOKUP("Да",(INDIRECT("AA"&amp;(MAX((1=Z$12:Z515)*ROW(Z$12:Z515),ROW($T$12))&amp;":AA"&amp;(ROW()-1)))),1,0))=16),MIN(LOOKUP(,-1/($Z$12:Z516=1),$C$12:C516)+LOOKUP(,-1/($Z$12:Z516=1),$H$12:H516)-SUM(INDIRECT("T"&amp;(MAX((1=Z$12:Z515)*ROW(Z$12:Z515),ROW($T$12))&amp;":T"&amp;(ROW()-1)))),Первоначальный[[#This Row],[Полученный платеж]]+Y515),
S515&gt;0,MIN(LOOKUP(,-1/($Z$12:Z516=1),$C$12:C516)+LOOKUP(,-1/($Z$12:Z516=1),$H$12:H516)-IF(Z515=1,0,SUM(INDIRECT("T"&amp;(MAX((1=Z$12:Z515)*ROW(Z$12:Z515)+1,ROW($T$12))&amp;":T"&amp;(ROW()-1))))),Первоначальный[[#This Row],[Полученный платеж]]+Y515)
)
)
)</f>
        <v>0</v>
      </c>
      <c r="U51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платеж]]+Y515-Первоначальный[[#This Row],[Полученный платёж по процентам]])</f>
        <v>0</v>
      </c>
      <c r="V516" s="55">
        <f t="shared" ca="1" si="85"/>
        <v>0</v>
      </c>
      <c r="W516" s="55" cm="1">
        <f t="array" aca="1" ref="W516" ca="1">IF(Первоначальный[[#This Row],[Итого остаток на начало периода]]&lt;1,0,
_xlfn.IFS(
AND(TYPE(VLOOKUP(1,$Z$12:Z516,1,0))=16,Первоначальный[[#This Row],[Досрочное погашение (да/"")]]=""),0,
AND(S515=0,Первоначальный[[#This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платеж]]+Y515-SUM(Первоначальный[[#This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комиссиям]]),VLOOKUP(LOOKUP(,-1/($Z$12:Z516=1),$A$12:A516),График[[Срок конец]:[Возврат основной суммы долга]],3,0)),
AND(S515=0,Первоначальный[[#This Row],[Дата платежа из графика]]="",Первоначальный[[#This Row],[Досрочное погашение (да/"")]]&lt;&gt;"Да"),0,
AND(S515=0,Первоначальный[[#This Row],[Досрочное погашение (да/"")]]=""),MIN(Первоначальный[[#This Row],[Полученный платеж]]+Y515-SUM(Первоначальный[[#This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комиссиям]]),VLOOKUP(LOOKUP(,-1/($Z$12:Z516=1),$A$12:A516),График[[Срок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платеж]]+Y515-SUM(Первоначальный[[#This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S515&gt;0,MIN(Первоначальный[[#This Row],[Полученный платеж]]+Y515-SUM(Первоначальный[[#This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комиссиям]]),SUM(INDIRECT("M"&amp;(MAX((1=S$12:S515)*ROW(S$12:S515),ROW($W$12))&amp;":M"&amp;(ROW()))))-SUM(INDIRECT("W"&amp;(MAX((1=S$12:S515)*ROW(S$12:S515),ROW($W$12))&amp;":W"&amp;(ROW()-1)))))
)
)</f>
        <v>0</v>
      </c>
      <c r="X516" s="55">
        <f t="shared" ca="1" si="86"/>
        <v>0</v>
      </c>
      <c r="Y516" s="101">
        <f t="shared" ca="1" si="93"/>
        <v>0</v>
      </c>
      <c r="Z516" s="133" t="str">
        <f>IF(TYPE((VLOOKUP(Первоначальный[[#This Row],[Дата платежа]],График[Срок конец],1,0)))=16,"",1)</f>
        <v/>
      </c>
      <c r="AA516" s="57"/>
      <c r="AB516" s="134"/>
      <c r="AC51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1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35300.629999999896</v>
      </c>
      <c r="AE51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744.91000000000133</v>
      </c>
      <c r="AF51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1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43644.878350819927</v>
      </c>
      <c r="AH516" s="55"/>
      <c r="AI516" s="55"/>
      <c r="AJ516" s="55"/>
      <c r="AK516" s="101">
        <f t="shared" ca="1" si="94"/>
        <v>229323.75835081981</v>
      </c>
      <c r="AL516" s="129">
        <f t="array" ref="AL516">MAX((УслРестрактов[Характеристика]="Дата реструктуризации")*(УслРестрактов[Значение]=Первоначальный!$A516),0)</f>
        <v>0</v>
      </c>
    </row>
    <row r="517" spans="1:38" x14ac:dyDescent="0.25">
      <c r="A517" s="97">
        <f t="shared" si="87"/>
        <v>44648</v>
      </c>
      <c r="B517" s="100">
        <f t="shared" ca="1" si="88"/>
        <v>149633.34</v>
      </c>
      <c r="C517" s="55">
        <f t="shared" ca="1" si="96"/>
        <v>35300.629999999896</v>
      </c>
      <c r="D517" s="55">
        <f t="shared" ca="1" si="96"/>
        <v>744.91000000000133</v>
      </c>
      <c r="E517" s="55">
        <f t="shared" ca="1" si="89"/>
        <v>0</v>
      </c>
      <c r="F517" s="55">
        <f t="shared" ca="1" si="90"/>
        <v>43644.878350819927</v>
      </c>
      <c r="G517" s="101">
        <f t="shared" ca="1" si="91"/>
        <v>229323.75835081981</v>
      </c>
      <c r="H517" s="100">
        <f ca="1">ROUND($B517*VLOOKUP($A517,$A$1:$B$10,2,1)/(365+IF(MOD(YEAR($A517),4),0,1)*($A517-$A516)),2)-Первоначальный[[#This Row],[Проценты на просроченный платеж по ОД за период]]</f>
        <v>77.959999999999994</v>
      </c>
      <c r="I517" s="55">
        <f t="shared" ca="1" si="92"/>
        <v>3.62</v>
      </c>
      <c r="J517" s="55">
        <v>0</v>
      </c>
      <c r="K517" s="55">
        <f t="shared" ca="1" si="95"/>
        <v>202.72350327868853</v>
      </c>
      <c r="L517" s="55">
        <v>0</v>
      </c>
      <c r="M517" s="113">
        <f>SUMIFS(График[Возврат основной суммы долга],График[Дата с учетом нерабочих дней],$A517)</f>
        <v>0</v>
      </c>
      <c r="N517" s="56">
        <f>SUMIFS(График[Возврат начисленных %],График[Дата с учетом нерабочих дней],$A517)</f>
        <v>0</v>
      </c>
      <c r="O517" s="101">
        <v>0</v>
      </c>
      <c r="P517" s="100" cm="1">
        <f t="array" aca="1" ref="P517" ca="1">MAX(IF(AA516="Да",0,SUM(INDIRECT("M"&amp;(MAX(("Да"=AA$12:AA516)*ROW(AA$12:AA516)+1,ROW($P$12))&amp;":M"&amp;(ROW()))))-SUM(INDIRECT("W"&amp;(MAX(("Да"=AA$12:AA516)*ROW(AA$12:AA516)+1,ROW($P$12))&amp;":W"&amp;(ROW()))))),0)</f>
        <v>6648.84</v>
      </c>
      <c r="Q517" s="99">
        <f ca="1">MAX(SUM($N$13:N517)-SUM($T$13:T517),0)</f>
        <v>33895.860655737699</v>
      </c>
      <c r="R517" s="99">
        <f ca="1">Первоначальный[[#This Row],[Просроченный платеж по ОД]]+Первоначальный[[#This Row],[Просроченный платеж по процентам]]</f>
        <v>40544.700655737703</v>
      </c>
      <c r="S517" s="120">
        <f ca="1">IF(Первоначальный[[#This Row],[Просроченный платеж]]&lt;1,0,S516+1)</f>
        <v>413</v>
      </c>
      <c r="T517" s="100" cm="1">
        <f t="array" aca="1" ref="T517" ca="1">IF(Первоначальный[[#This Row],[Итого остаток на начало периода]]&lt;1,0,
IF(
AND(TYPE(VLOOKUP(1,$Z$12:Z517,1,0))=16,Первоначальный[[#This Row],[Досрочное погашение (да/"")]]=""),0,
_xlfn.IFS(AND(S516=0,Первоначальный[[#This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платеж]]&lt;&gt;0),MIN(LOOKUP(,-1/($Z$12:Z517=1),$C$12:C517)+LOOKUP(,-1/($Z$12:Z517=1),$H$12:H517),Первоначальный[[#This Row],[Полученный платеж]]+Y516),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платеж]]+Y516,SUM(Первоначальный[[#This Row],[Остаток процентов на начало периода]],Первоначальный[[#This Row],[Проценты за период]])),
AND(S516=0,Первоначальный[[#This Row],[Дата платежа из графика]]=""),0,
AND(S516=0,Первоначальный[[#This Row],[Дата платежа из графика]]=1,MAX((0&lt;&gt;S$12:S516)*ROW(S$12:S516),ROW($S$12))&gt;=MAX((1=Z$12:Z516)*ROW(Z$12:Z516),ROW($T$12)),TYPE(VLOOKUP("Да",(INDIRECT("AA"&amp;(MAX((1=Z$12:Z516)*ROW(Z$12:Z516),ROW($T$12))&amp;":AA"&amp;(ROW()-1)))),1,0))=16),MIN(LOOKUP(,-1/($Z$12:Z517=1),$C$12:C517)+LOOKUP(,-1/($Z$12:Z517=1),$H$12:H517),Первоначальный[[#This Row],[Полученный платеж]]+Y516),
AND(S516=0,TYPE(VLOOKUP("Да",(INDIRECT("AA"&amp;(MAX((1=Z$12:Z516)*ROW(Z$12:Z516),ROW($T$12))&amp;":AA"&amp;(ROW()-1)))),1,0))&lt;&gt;16),MIN(LOOKUP(,-1/($Z$12:Z517=1),$C$12:C517)+LOOKUP(,-1/($Z$12:Z517=1),$H$12:H517)-IF(AA516="Да",0,SUM(INDIRECT("T"&amp;(MAX(("Да"=AA$12:AA516)*ROW(AA$12:AA516)+1,ROW($T$12))&amp;":T"&amp;(ROW()-1))))),Первоначальный[[#This Row],[Полученный платеж]]+Y516),
AND(S516=0,MAX((0&lt;&gt;N$12:N516)*ROW(N$12:N516),ROW($S$12))&gt;=MAX((1=Z$12:Z516)*ROW(Z$12:Z516),ROW($T$12))),MIN(LOOKUP(,-1/($Z$12:Z517=1),$C$12:C517)+LOOKUP(,-1/($Z$12:Z517=1),$H$12:H517)-IF(N516&lt;&gt;0,0,SUM(INDIRECT("T"&amp;(MAX((0&lt;&gt;N$12:N516)*ROW(N$12:N516)+1,ROW($T$12))&amp;":T"&amp;(ROW()-1))))),Первоначальный[[#This Row],[Полученный платеж]]+Y516),
AND(S516=0,Первоначальный[[#This Row],[Дата платежа из графика]]=1),MIN(LOOKUP(,-1/($Z$12:Z517=1),$C$12:C517)+LOOKUP(,-1/($Z$12:Z517=1),$H$12:H517)-IF(Z516=1,0,SUM(INDIRECT("T"&amp;(MAX((1=Z$12:Z516)*ROW(Z$12:Z516)+1,ROW($T$12))&amp;":T"&amp;(ROW()-1))))),Первоначальный[[#This Row],[Полученный платеж]]+Y516),
AND(Z516&gt;0,Первоначальный[[#This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платеж]]+Y516),
AND(S516&gt;0,MAX((0&lt;&gt;S$12:S516)*ROW(S$12:S516),ROW($S$12))&gt;=MAX((1=Z$12:Z516)*ROW(Z$12:Z516),ROW($T$12)),TYPE(VLOOKUP("Да",(INDIRECT("AA"&amp;(MAX((1=Z$12:Z516)*ROW(Z$12:Z516),ROW($T$12))&amp;":AA"&amp;(ROW()-1)))),1,0))=16),MIN(LOOKUP(,-1/($Z$12:Z517=1),$C$12:C517)+LOOKUP(,-1/($Z$12:Z517=1),$H$12:H517)-SUM(INDIRECT("T"&amp;(MAX((1=Z$12:Z516)*ROW(Z$12:Z516),ROW($T$12))&amp;":T"&amp;(ROW()-1)))),Первоначальный[[#This Row],[Полученный платеж]]+Y516),
S516&gt;0,MIN(LOOKUP(,-1/($Z$12:Z517=1),$C$12:C517)+LOOKUP(,-1/($Z$12:Z517=1),$H$12:H517)-IF(Z516=1,0,SUM(INDIRECT("T"&amp;(MAX((1=Z$12:Z516)*ROW(Z$12:Z516)+1,ROW($T$12))&amp;":T"&amp;(ROW()-1))))),Первоначальный[[#This Row],[Полученный платеж]]+Y516)
)
)
)</f>
        <v>0</v>
      </c>
      <c r="U51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платеж]]+Y516-Первоначальный[[#This Row],[Полученный платёж по процентам]])</f>
        <v>0</v>
      </c>
      <c r="V517" s="55">
        <f t="shared" ca="1" si="85"/>
        <v>0</v>
      </c>
      <c r="W517" s="55" cm="1">
        <f t="array" aca="1" ref="W517" ca="1">IF(Первоначальный[[#This Row],[Итого остаток на начало периода]]&lt;1,0,
_xlfn.IFS(
AND(TYPE(VLOOKUP(1,$Z$12:Z517,1,0))=16,Первоначальный[[#This Row],[Досрочное погашение (да/"")]]=""),0,
AND(S516=0,Первоначальный[[#This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платеж]]+Y516-SUM(Первоначальный[[#This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комиссиям]]),VLOOKUP(LOOKUP(,-1/($Z$12:Z517=1),$A$12:A517),График[[Срок конец]:[Возврат основной суммы долга]],3,0)),
AND(S516=0,Первоначальный[[#This Row],[Дата платежа из графика]]="",Первоначальный[[#This Row],[Досрочное погашение (да/"")]]&lt;&gt;"Да"),0,
AND(S516=0,Первоначальный[[#This Row],[Досрочное погашение (да/"")]]=""),MIN(Первоначальный[[#This Row],[Полученный платеж]]+Y516-SUM(Первоначальный[[#This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комиссиям]]),VLOOKUP(LOOKUP(,-1/($Z$12:Z517=1),$A$12:A517),График[[Срок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платеж]]+Y516-SUM(Первоначальный[[#This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S516&gt;0,MIN(Первоначальный[[#This Row],[Полученный платеж]]+Y516-SUM(Первоначальный[[#This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комиссиям]]),SUM(INDIRECT("M"&amp;(MAX((1=S$12:S516)*ROW(S$12:S516),ROW($W$12))&amp;":M"&amp;(ROW()))))-SUM(INDIRECT("W"&amp;(MAX((1=S$12:S516)*ROW(S$12:S516),ROW($W$12))&amp;":W"&amp;(ROW()-1)))))
)
)</f>
        <v>0</v>
      </c>
      <c r="X517" s="55">
        <f t="shared" ca="1" si="86"/>
        <v>0</v>
      </c>
      <c r="Y517" s="101">
        <f t="shared" ca="1" si="93"/>
        <v>0</v>
      </c>
      <c r="Z517" s="133" t="str">
        <f>IF(TYPE((VLOOKUP(Первоначальный[[#This Row],[Дата платежа]],График[Срок конец],1,0)))=16,"",1)</f>
        <v/>
      </c>
      <c r="AA517" s="57"/>
      <c r="AB517" s="134"/>
      <c r="AC51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1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35378.589999999895</v>
      </c>
      <c r="AE51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748.53000000000134</v>
      </c>
      <c r="AF51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1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43847.601854098619</v>
      </c>
      <c r="AH517" s="55"/>
      <c r="AI517" s="55"/>
      <c r="AJ517" s="55"/>
      <c r="AK517" s="101">
        <f t="shared" ca="1" si="94"/>
        <v>229608.06185409849</v>
      </c>
      <c r="AL517" s="129">
        <f t="array" ref="AL517">MAX((УслРестрактов[Характеристика]="Дата реструктуризации")*(УслРестрактов[Значение]=Первоначальный!$A517),0)</f>
        <v>0</v>
      </c>
    </row>
    <row r="518" spans="1:38" x14ac:dyDescent="0.25">
      <c r="A518" s="97">
        <f t="shared" si="87"/>
        <v>44649</v>
      </c>
      <c r="B518" s="100">
        <f t="shared" ca="1" si="88"/>
        <v>149633.34</v>
      </c>
      <c r="C518" s="55">
        <f t="shared" ca="1" si="96"/>
        <v>35378.589999999895</v>
      </c>
      <c r="D518" s="55">
        <f t="shared" ca="1" si="96"/>
        <v>748.53000000000134</v>
      </c>
      <c r="E518" s="55">
        <f t="shared" ca="1" si="89"/>
        <v>0</v>
      </c>
      <c r="F518" s="55">
        <f t="shared" ca="1" si="90"/>
        <v>43847.601854098619</v>
      </c>
      <c r="G518" s="101">
        <f t="shared" ca="1" si="91"/>
        <v>229608.06185409849</v>
      </c>
      <c r="H518" s="100">
        <f ca="1">ROUND($B518*VLOOKUP($A518,$A$1:$B$10,2,1)/(365+IF(MOD(YEAR($A518),4),0,1)*($A518-$A517)),2)-Первоначальный[[#This Row],[Проценты на просроченный платеж по ОД за период]]</f>
        <v>77.959999999999994</v>
      </c>
      <c r="I518" s="55">
        <f t="shared" ca="1" si="92"/>
        <v>3.62</v>
      </c>
      <c r="J518" s="55">
        <v>0</v>
      </c>
      <c r="K518" s="55">
        <f t="shared" ca="1" si="95"/>
        <v>202.72350327868853</v>
      </c>
      <c r="L518" s="55">
        <v>0</v>
      </c>
      <c r="M518" s="113">
        <f>SUMIFS(График[Возврат основной суммы долга],График[Дата с учетом нерабочих дней],$A518)</f>
        <v>0</v>
      </c>
      <c r="N518" s="56">
        <f>SUMIFS(График[Возврат начисленных %],График[Дата с учетом нерабочих дней],$A518)</f>
        <v>0</v>
      </c>
      <c r="O518" s="101">
        <v>0</v>
      </c>
      <c r="P518" s="100" cm="1">
        <f t="array" aca="1" ref="P518" ca="1">MAX(IF(AA517="Да",0,SUM(INDIRECT("M"&amp;(MAX(("Да"=AA$12:AA517)*ROW(AA$12:AA517)+1,ROW($P$12))&amp;":M"&amp;(ROW()))))-SUM(INDIRECT("W"&amp;(MAX(("Да"=AA$12:AA517)*ROW(AA$12:AA517)+1,ROW($P$12))&amp;":W"&amp;(ROW()))))),0)</f>
        <v>6648.84</v>
      </c>
      <c r="Q518" s="99">
        <f ca="1">MAX(SUM($N$13:N518)-SUM($T$13:T518),0)</f>
        <v>33895.860655737699</v>
      </c>
      <c r="R518" s="99">
        <f ca="1">Первоначальный[[#This Row],[Просроченный платеж по ОД]]+Первоначальный[[#This Row],[Просроченный платеж по процентам]]</f>
        <v>40544.700655737703</v>
      </c>
      <c r="S518" s="120">
        <f ca="1">IF(Первоначальный[[#This Row],[Просроченный платеж]]&lt;1,0,S517+1)</f>
        <v>414</v>
      </c>
      <c r="T518" s="100" cm="1">
        <f t="array" aca="1" ref="T518" ca="1">IF(Первоначальный[[#This Row],[Итого остаток на начало периода]]&lt;1,0,
IF(
AND(TYPE(VLOOKUP(1,$Z$12:Z518,1,0))=16,Первоначальный[[#This Row],[Досрочное погашение (да/"")]]=""),0,
_xlfn.IFS(AND(S517=0,Первоначальный[[#This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платеж]]&lt;&gt;0),MIN(LOOKUP(,-1/($Z$12:Z518=1),$C$12:C518)+LOOKUP(,-1/($Z$12:Z518=1),$H$12:H518),Первоначальный[[#This Row],[Полученный платеж]]+Y517),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платеж]]+Y517,SUM(Первоначальный[[#This Row],[Остаток процентов на начало периода]],Первоначальный[[#This Row],[Проценты за период]])),
AND(S517=0,Первоначальный[[#This Row],[Дата платежа из графика]]=""),0,
AND(S517=0,Первоначальный[[#This Row],[Дата платежа из графика]]=1,MAX((0&lt;&gt;S$12:S517)*ROW(S$12:S517),ROW($S$12))&gt;=MAX((1=Z$12:Z517)*ROW(Z$12:Z517),ROW($T$12)),TYPE(VLOOKUP("Да",(INDIRECT("AA"&amp;(MAX((1=Z$12:Z517)*ROW(Z$12:Z517),ROW($T$12))&amp;":AA"&amp;(ROW()-1)))),1,0))=16),MIN(LOOKUP(,-1/($Z$12:Z518=1),$C$12:C518)+LOOKUP(,-1/($Z$12:Z518=1),$H$12:H518),Первоначальный[[#This Row],[Полученный платеж]]+Y517),
AND(S517=0,TYPE(VLOOKUP("Да",(INDIRECT("AA"&amp;(MAX((1=Z$12:Z517)*ROW(Z$12:Z517),ROW($T$12))&amp;":AA"&amp;(ROW()-1)))),1,0))&lt;&gt;16),MIN(LOOKUP(,-1/($Z$12:Z518=1),$C$12:C518)+LOOKUP(,-1/($Z$12:Z518=1),$H$12:H518)-IF(AA517="Да",0,SUM(INDIRECT("T"&amp;(MAX(("Да"=AA$12:AA517)*ROW(AA$12:AA517)+1,ROW($T$12))&amp;":T"&amp;(ROW()-1))))),Первоначальный[[#This Row],[Полученный платеж]]+Y517),
AND(S517=0,MAX((0&lt;&gt;N$12:N517)*ROW(N$12:N517),ROW($S$12))&gt;=MAX((1=Z$12:Z517)*ROW(Z$12:Z517),ROW($T$12))),MIN(LOOKUP(,-1/($Z$12:Z518=1),$C$12:C518)+LOOKUP(,-1/($Z$12:Z518=1),$H$12:H518)-IF(N517&lt;&gt;0,0,SUM(INDIRECT("T"&amp;(MAX((0&lt;&gt;N$12:N517)*ROW(N$12:N517)+1,ROW($T$12))&amp;":T"&amp;(ROW()-1))))),Первоначальный[[#This Row],[Полученный платеж]]+Y517),
AND(S517=0,Первоначальный[[#This Row],[Дата платежа из графика]]=1),MIN(LOOKUP(,-1/($Z$12:Z518=1),$C$12:C518)+LOOKUP(,-1/($Z$12:Z518=1),$H$12:H518)-IF(Z517=1,0,SUM(INDIRECT("T"&amp;(MAX((1=Z$12:Z517)*ROW(Z$12:Z517)+1,ROW($T$12))&amp;":T"&amp;(ROW()-1))))),Первоначальный[[#This Row],[Полученный платеж]]+Y517),
AND(Z517&gt;0,Первоначальный[[#This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платеж]]+Y517),
AND(S517&gt;0,MAX((0&lt;&gt;S$12:S517)*ROW(S$12:S517),ROW($S$12))&gt;=MAX((1=Z$12:Z517)*ROW(Z$12:Z517),ROW($T$12)),TYPE(VLOOKUP("Да",(INDIRECT("AA"&amp;(MAX((1=Z$12:Z517)*ROW(Z$12:Z517),ROW($T$12))&amp;":AA"&amp;(ROW()-1)))),1,0))=16),MIN(LOOKUP(,-1/($Z$12:Z518=1),$C$12:C518)+LOOKUP(,-1/($Z$12:Z518=1),$H$12:H518)-SUM(INDIRECT("T"&amp;(MAX((1=Z$12:Z517)*ROW(Z$12:Z517),ROW($T$12))&amp;":T"&amp;(ROW()-1)))),Первоначальный[[#This Row],[Полученный платеж]]+Y517),
S517&gt;0,MIN(LOOKUP(,-1/($Z$12:Z518=1),$C$12:C518)+LOOKUP(,-1/($Z$12:Z518=1),$H$12:H518)-IF(Z517=1,0,SUM(INDIRECT("T"&amp;(MAX((1=Z$12:Z517)*ROW(Z$12:Z517)+1,ROW($T$12))&amp;":T"&amp;(ROW()-1))))),Первоначальный[[#This Row],[Полученный платеж]]+Y517)
)
)
)</f>
        <v>0</v>
      </c>
      <c r="U51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платеж]]+Y517-Первоначальный[[#This Row],[Полученный платёж по процентам]])</f>
        <v>0</v>
      </c>
      <c r="V518" s="55">
        <f t="shared" ca="1" si="85"/>
        <v>0</v>
      </c>
      <c r="W518" s="55" cm="1">
        <f t="array" aca="1" ref="W518" ca="1">IF(Первоначальный[[#This Row],[Итого остаток на начало периода]]&lt;1,0,
_xlfn.IFS(
AND(TYPE(VLOOKUP(1,$Z$12:Z518,1,0))=16,Первоначальный[[#This Row],[Досрочное погашение (да/"")]]=""),0,
AND(S517=0,Первоначальный[[#This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платеж]]+Y517-SUM(Первоначальный[[#This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комиссиям]]),VLOOKUP(LOOKUP(,-1/($Z$12:Z518=1),$A$12:A518),График[[Срок конец]:[Возврат основной суммы долга]],3,0)),
AND(S517=0,Первоначальный[[#This Row],[Дата платежа из графика]]="",Первоначальный[[#This Row],[Досрочное погашение (да/"")]]&lt;&gt;"Да"),0,
AND(S517=0,Первоначальный[[#This Row],[Досрочное погашение (да/"")]]=""),MIN(Первоначальный[[#This Row],[Полученный платеж]]+Y517-SUM(Первоначальный[[#This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комиссиям]]),VLOOKUP(LOOKUP(,-1/($Z$12:Z518=1),$A$12:A518),График[[Срок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платеж]]+Y517-SUM(Первоначальный[[#This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S517&gt;0,MIN(Первоначальный[[#This Row],[Полученный платеж]]+Y517-SUM(Первоначальный[[#This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комиссиям]]),SUM(INDIRECT("M"&amp;(MAX((1=S$12:S517)*ROW(S$12:S517),ROW($W$12))&amp;":M"&amp;(ROW()))))-SUM(INDIRECT("W"&amp;(MAX((1=S$12:S517)*ROW(S$12:S517),ROW($W$12))&amp;":W"&amp;(ROW()-1)))))
)
)</f>
        <v>0</v>
      </c>
      <c r="X518" s="55">
        <f t="shared" ca="1" si="86"/>
        <v>0</v>
      </c>
      <c r="Y518" s="101">
        <f t="shared" ca="1" si="93"/>
        <v>0</v>
      </c>
      <c r="Z518" s="133" t="str">
        <f>IF(TYPE((VLOOKUP(Первоначальный[[#This Row],[Дата платежа]],График[Срок конец],1,0)))=16,"",1)</f>
        <v/>
      </c>
      <c r="AA518" s="57"/>
      <c r="AB518" s="134"/>
      <c r="AC51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1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35456.549999999894</v>
      </c>
      <c r="AE51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752.15000000000134</v>
      </c>
      <c r="AF51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1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44050.325357377311</v>
      </c>
      <c r="AH518" s="55"/>
      <c r="AI518" s="55"/>
      <c r="AJ518" s="55"/>
      <c r="AK518" s="101">
        <f t="shared" ca="1" si="94"/>
        <v>229892.36535737722</v>
      </c>
      <c r="AL518" s="129">
        <f t="array" ref="AL518">MAX((УслРестрактов[Характеристика]="Дата реструктуризации")*(УслРестрактов[Значение]=Первоначальный!$A518),0)</f>
        <v>0</v>
      </c>
    </row>
    <row r="519" spans="1:38" x14ac:dyDescent="0.25">
      <c r="A519" s="97">
        <f t="shared" si="87"/>
        <v>44650</v>
      </c>
      <c r="B519" s="100">
        <f t="shared" ca="1" si="88"/>
        <v>149633.34</v>
      </c>
      <c r="C519" s="55">
        <f t="shared" ca="1" si="96"/>
        <v>35456.549999999894</v>
      </c>
      <c r="D519" s="55">
        <f t="shared" ca="1" si="96"/>
        <v>752.15000000000134</v>
      </c>
      <c r="E519" s="55">
        <f t="shared" ca="1" si="89"/>
        <v>0</v>
      </c>
      <c r="F519" s="55">
        <f t="shared" ca="1" si="90"/>
        <v>44050.325357377311</v>
      </c>
      <c r="G519" s="101">
        <f t="shared" ca="1" si="91"/>
        <v>229892.36535737722</v>
      </c>
      <c r="H519" s="100">
        <f ca="1">ROUND($B519*VLOOKUP($A519,$A$1:$B$10,2,1)/(365+IF(MOD(YEAR($A519),4),0,1)*($A519-$A518)),2)-Первоначальный[[#This Row],[Проценты на просроченный платеж по ОД за период]]</f>
        <v>77.959999999999994</v>
      </c>
      <c r="I519" s="55">
        <f t="shared" ca="1" si="92"/>
        <v>3.62</v>
      </c>
      <c r="J519" s="55">
        <v>0</v>
      </c>
      <c r="K519" s="55">
        <f t="shared" ca="1" si="95"/>
        <v>202.72350327868853</v>
      </c>
      <c r="L519" s="55">
        <v>0</v>
      </c>
      <c r="M519" s="113">
        <f>SUMIFS(График[Возврат основной суммы долга],График[Дата с учетом нерабочих дней],$A519)</f>
        <v>0</v>
      </c>
      <c r="N519" s="56">
        <f>SUMIFS(График[Возврат начисленных %],График[Дата с учетом нерабочих дней],$A519)</f>
        <v>0</v>
      </c>
      <c r="O519" s="101">
        <v>0</v>
      </c>
      <c r="P519" s="100" cm="1">
        <f t="array" aca="1" ref="P519" ca="1">MAX(IF(AA518="Да",0,SUM(INDIRECT("M"&amp;(MAX(("Да"=AA$12:AA518)*ROW(AA$12:AA518)+1,ROW($P$12))&amp;":M"&amp;(ROW()))))-SUM(INDIRECT("W"&amp;(MAX(("Да"=AA$12:AA518)*ROW(AA$12:AA518)+1,ROW($P$12))&amp;":W"&amp;(ROW()))))),0)</f>
        <v>6648.84</v>
      </c>
      <c r="Q519" s="99">
        <f ca="1">MAX(SUM($N$13:N519)-SUM($T$13:T519),0)</f>
        <v>33895.860655737699</v>
      </c>
      <c r="R519" s="99">
        <f ca="1">Первоначальный[[#This Row],[Просроченный платеж по ОД]]+Первоначальный[[#This Row],[Просроченный платеж по процентам]]</f>
        <v>40544.700655737703</v>
      </c>
      <c r="S519" s="120">
        <f ca="1">IF(Первоначальный[[#This Row],[Просроченный платеж]]&lt;1,0,S518+1)</f>
        <v>415</v>
      </c>
      <c r="T519" s="100" cm="1">
        <f t="array" aca="1" ref="T519" ca="1">IF(Первоначальный[[#This Row],[Итого остаток на начало периода]]&lt;1,0,
IF(
AND(TYPE(VLOOKUP(1,$Z$12:Z519,1,0))=16,Первоначальный[[#This Row],[Досрочное погашение (да/"")]]=""),0,
_xlfn.IFS(AND(S518=0,Первоначальный[[#This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платеж]]&lt;&gt;0),MIN(LOOKUP(,-1/($Z$12:Z519=1),$C$12:C519)+LOOKUP(,-1/($Z$12:Z519=1),$H$12:H519),Первоначальный[[#This Row],[Полученный платеж]]+Y518),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платеж]]+Y518,SUM(Первоначальный[[#This Row],[Остаток процентов на начало периода]],Первоначальный[[#This Row],[Проценты за период]])),
AND(S518=0,Первоначальный[[#This Row],[Дата платежа из графика]]=""),0,
AND(S518=0,Первоначальный[[#This Row],[Дата платежа из графика]]=1,MAX((0&lt;&gt;S$12:S518)*ROW(S$12:S518),ROW($S$12))&gt;=MAX((1=Z$12:Z518)*ROW(Z$12:Z518),ROW($T$12)),TYPE(VLOOKUP("Да",(INDIRECT("AA"&amp;(MAX((1=Z$12:Z518)*ROW(Z$12:Z518),ROW($T$12))&amp;":AA"&amp;(ROW()-1)))),1,0))=16),MIN(LOOKUP(,-1/($Z$12:Z519=1),$C$12:C519)+LOOKUP(,-1/($Z$12:Z519=1),$H$12:H519),Первоначальный[[#This Row],[Полученный платеж]]+Y518),
AND(S518=0,TYPE(VLOOKUP("Да",(INDIRECT("AA"&amp;(MAX((1=Z$12:Z518)*ROW(Z$12:Z518),ROW($T$12))&amp;":AA"&amp;(ROW()-1)))),1,0))&lt;&gt;16),MIN(LOOKUP(,-1/($Z$12:Z519=1),$C$12:C519)+LOOKUP(,-1/($Z$12:Z519=1),$H$12:H519)-IF(AA518="Да",0,SUM(INDIRECT("T"&amp;(MAX(("Да"=AA$12:AA518)*ROW(AA$12:AA518)+1,ROW($T$12))&amp;":T"&amp;(ROW()-1))))),Первоначальный[[#This Row],[Полученный платеж]]+Y518),
AND(S518=0,MAX((0&lt;&gt;N$12:N518)*ROW(N$12:N518),ROW($S$12))&gt;=MAX((1=Z$12:Z518)*ROW(Z$12:Z518),ROW($T$12))),MIN(LOOKUP(,-1/($Z$12:Z519=1),$C$12:C519)+LOOKUP(,-1/($Z$12:Z519=1),$H$12:H519)-IF(N518&lt;&gt;0,0,SUM(INDIRECT("T"&amp;(MAX((0&lt;&gt;N$12:N518)*ROW(N$12:N518)+1,ROW($T$12))&amp;":T"&amp;(ROW()-1))))),Первоначальный[[#This Row],[Полученный платеж]]+Y518),
AND(S518=0,Первоначальный[[#This Row],[Дата платежа из графика]]=1),MIN(LOOKUP(,-1/($Z$12:Z519=1),$C$12:C519)+LOOKUP(,-1/($Z$12:Z519=1),$H$12:H519)-IF(Z518=1,0,SUM(INDIRECT("T"&amp;(MAX((1=Z$12:Z518)*ROW(Z$12:Z518)+1,ROW($T$12))&amp;":T"&amp;(ROW()-1))))),Первоначальный[[#This Row],[Полученный платеж]]+Y518),
AND(Z518&gt;0,Первоначальный[[#This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платеж]]+Y518),
AND(S518&gt;0,MAX((0&lt;&gt;S$12:S518)*ROW(S$12:S518),ROW($S$12))&gt;=MAX((1=Z$12:Z518)*ROW(Z$12:Z518),ROW($T$12)),TYPE(VLOOKUP("Да",(INDIRECT("AA"&amp;(MAX((1=Z$12:Z518)*ROW(Z$12:Z518),ROW($T$12))&amp;":AA"&amp;(ROW()-1)))),1,0))=16),MIN(LOOKUP(,-1/($Z$12:Z519=1),$C$12:C519)+LOOKUP(,-1/($Z$12:Z519=1),$H$12:H519)-SUM(INDIRECT("T"&amp;(MAX((1=Z$12:Z518)*ROW(Z$12:Z518),ROW($T$12))&amp;":T"&amp;(ROW()-1)))),Первоначальный[[#This Row],[Полученный платеж]]+Y518),
S518&gt;0,MIN(LOOKUP(,-1/($Z$12:Z519=1),$C$12:C519)+LOOKUP(,-1/($Z$12:Z519=1),$H$12:H519)-IF(Z518=1,0,SUM(INDIRECT("T"&amp;(MAX((1=Z$12:Z518)*ROW(Z$12:Z518)+1,ROW($T$12))&amp;":T"&amp;(ROW()-1))))),Первоначальный[[#This Row],[Полученный платеж]]+Y518)
)
)
)</f>
        <v>0</v>
      </c>
      <c r="U51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платеж]]+Y518-Первоначальный[[#This Row],[Полученный платёж по процентам]])</f>
        <v>0</v>
      </c>
      <c r="V519" s="55">
        <f t="shared" ca="1" si="85"/>
        <v>0</v>
      </c>
      <c r="W519" s="55" cm="1">
        <f t="array" aca="1" ref="W519" ca="1">IF(Первоначальный[[#This Row],[Итого остаток на начало периода]]&lt;1,0,
_xlfn.IFS(
AND(TYPE(VLOOKUP(1,$Z$12:Z519,1,0))=16,Первоначальный[[#This Row],[Досрочное погашение (да/"")]]=""),0,
AND(S518=0,Первоначальный[[#This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платеж]]+Y518-SUM(Первоначальный[[#This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комиссиям]]),VLOOKUP(LOOKUP(,-1/($Z$12:Z519=1),$A$12:A519),График[[Срок конец]:[Возврат основной суммы долга]],3,0)),
AND(S518=0,Первоначальный[[#This Row],[Дата платежа из графика]]="",Первоначальный[[#This Row],[Досрочное погашение (да/"")]]&lt;&gt;"Да"),0,
AND(S518=0,Первоначальный[[#This Row],[Досрочное погашение (да/"")]]=""),MIN(Первоначальный[[#This Row],[Полученный платеж]]+Y518-SUM(Первоначальный[[#This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комиссиям]]),VLOOKUP(LOOKUP(,-1/($Z$12:Z519=1),$A$12:A519),График[[Срок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платеж]]+Y518-SUM(Первоначальный[[#This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S518&gt;0,MIN(Первоначальный[[#This Row],[Полученный платеж]]+Y518-SUM(Первоначальный[[#This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комиссиям]]),SUM(INDIRECT("M"&amp;(MAX((1=S$12:S518)*ROW(S$12:S518),ROW($W$12))&amp;":M"&amp;(ROW()))))-SUM(INDIRECT("W"&amp;(MAX((1=S$12:S518)*ROW(S$12:S518),ROW($W$12))&amp;":W"&amp;(ROW()-1)))))
)
)</f>
        <v>0</v>
      </c>
      <c r="X519" s="55">
        <f t="shared" ca="1" si="86"/>
        <v>0</v>
      </c>
      <c r="Y519" s="101">
        <f t="shared" ca="1" si="93"/>
        <v>0</v>
      </c>
      <c r="Z519" s="133" t="str">
        <f>IF(TYPE((VLOOKUP(Первоначальный[[#This Row],[Дата платежа]],График[Срок конец],1,0)))=16,"",1)</f>
        <v/>
      </c>
      <c r="AA519" s="57"/>
      <c r="AB519" s="134"/>
      <c r="AC51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1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35534.509999999893</v>
      </c>
      <c r="AE51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755.77000000000135</v>
      </c>
      <c r="AF51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1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44253.048860656003</v>
      </c>
      <c r="AH519" s="55"/>
      <c r="AI519" s="55"/>
      <c r="AJ519" s="55"/>
      <c r="AK519" s="101">
        <f t="shared" ca="1" si="94"/>
        <v>230176.66886065589</v>
      </c>
      <c r="AL519" s="129">
        <f t="array" ref="AL519">MAX((УслРестрактов[Характеристика]="Дата реструктуризации")*(УслРестрактов[Значение]=Первоначальный!$A519),0)</f>
        <v>0</v>
      </c>
    </row>
    <row r="520" spans="1:38" x14ac:dyDescent="0.25">
      <c r="A520" s="97">
        <f t="shared" si="87"/>
        <v>44651</v>
      </c>
      <c r="B520" s="100">
        <f t="shared" ca="1" si="88"/>
        <v>149633.34</v>
      </c>
      <c r="C520" s="55">
        <f t="shared" ca="1" si="96"/>
        <v>35534.509999999893</v>
      </c>
      <c r="D520" s="55">
        <f t="shared" ca="1" si="96"/>
        <v>755.77000000000135</v>
      </c>
      <c r="E520" s="55">
        <f t="shared" ca="1" si="89"/>
        <v>0</v>
      </c>
      <c r="F520" s="55">
        <f t="shared" ca="1" si="90"/>
        <v>44253.048860656003</v>
      </c>
      <c r="G520" s="101">
        <f t="shared" ca="1" si="91"/>
        <v>230176.66886065589</v>
      </c>
      <c r="H520" s="100">
        <f ca="1">ROUND($B520*VLOOKUP($A520,$A$1:$B$10,2,1)/(365+IF(MOD(YEAR($A520),4),0,1)*($A520-$A519)),2)-Первоначальный[[#This Row],[Проценты на просроченный платеж по ОД за период]]</f>
        <v>77.959999999999994</v>
      </c>
      <c r="I520" s="55">
        <f t="shared" ca="1" si="92"/>
        <v>3.62</v>
      </c>
      <c r="J520" s="55">
        <v>0</v>
      </c>
      <c r="K520" s="55">
        <f t="shared" ca="1" si="95"/>
        <v>202.72350327868853</v>
      </c>
      <c r="L520" s="55">
        <v>0</v>
      </c>
      <c r="M520" s="113">
        <f>SUMIFS(График[Возврат основной суммы долга],График[Дата с учетом нерабочих дней],$A520)</f>
        <v>0</v>
      </c>
      <c r="N520" s="56">
        <f>SUMIFS(График[Возврат начисленных %],График[Дата с учетом нерабочих дней],$A520)</f>
        <v>0</v>
      </c>
      <c r="O520" s="101">
        <v>0</v>
      </c>
      <c r="P520" s="100" cm="1">
        <f t="array" aca="1" ref="P520" ca="1">MAX(IF(AA519="Да",0,SUM(INDIRECT("M"&amp;(MAX(("Да"=AA$12:AA519)*ROW(AA$12:AA519)+1,ROW($P$12))&amp;":M"&amp;(ROW()))))-SUM(INDIRECT("W"&amp;(MAX(("Да"=AA$12:AA519)*ROW(AA$12:AA519)+1,ROW($P$12))&amp;":W"&amp;(ROW()))))),0)</f>
        <v>6648.84</v>
      </c>
      <c r="Q520" s="99">
        <f ca="1">MAX(SUM($N$13:N520)-SUM($T$13:T520),0)</f>
        <v>33895.860655737699</v>
      </c>
      <c r="R520" s="99">
        <f ca="1">Первоначальный[[#This Row],[Просроченный платеж по ОД]]+Первоначальный[[#This Row],[Просроченный платеж по процентам]]</f>
        <v>40544.700655737703</v>
      </c>
      <c r="S520" s="120">
        <f ca="1">IF(Первоначальный[[#This Row],[Просроченный платеж]]&lt;1,0,S519+1)</f>
        <v>416</v>
      </c>
      <c r="T520" s="100" cm="1">
        <f t="array" aca="1" ref="T520" ca="1">IF(Первоначальный[[#This Row],[Итого остаток на начало периода]]&lt;1,0,
IF(
AND(TYPE(VLOOKUP(1,$Z$12:Z520,1,0))=16,Первоначальный[[#This Row],[Досрочное погашение (да/"")]]=""),0,
_xlfn.IFS(AND(S519=0,Первоначальный[[#This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платеж]]&lt;&gt;0),MIN(LOOKUP(,-1/($Z$12:Z520=1),$C$12:C520)+LOOKUP(,-1/($Z$12:Z520=1),$H$12:H520),Первоначальный[[#This Row],[Полученный платеж]]+Y519),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платеж]]+Y519,SUM(Первоначальный[[#This Row],[Остаток процентов на начало периода]],Первоначальный[[#This Row],[Проценты за период]])),
AND(S519=0,Первоначальный[[#This Row],[Дата платежа из графика]]=""),0,
AND(S519=0,Первоначальный[[#This Row],[Дата платежа из графика]]=1,MAX((0&lt;&gt;S$12:S519)*ROW(S$12:S519),ROW($S$12))&gt;=MAX((1=Z$12:Z519)*ROW(Z$12:Z519),ROW($T$12)),TYPE(VLOOKUP("Да",(INDIRECT("AA"&amp;(MAX((1=Z$12:Z519)*ROW(Z$12:Z519),ROW($T$12))&amp;":AA"&amp;(ROW()-1)))),1,0))=16),MIN(LOOKUP(,-1/($Z$12:Z520=1),$C$12:C520)+LOOKUP(,-1/($Z$12:Z520=1),$H$12:H520),Первоначальный[[#This Row],[Полученный платеж]]+Y519),
AND(S519=0,TYPE(VLOOKUP("Да",(INDIRECT("AA"&amp;(MAX((1=Z$12:Z519)*ROW(Z$12:Z519),ROW($T$12))&amp;":AA"&amp;(ROW()-1)))),1,0))&lt;&gt;16),MIN(LOOKUP(,-1/($Z$12:Z520=1),$C$12:C520)+LOOKUP(,-1/($Z$12:Z520=1),$H$12:H520)-IF(AA519="Да",0,SUM(INDIRECT("T"&amp;(MAX(("Да"=AA$12:AA519)*ROW(AA$12:AA519)+1,ROW($T$12))&amp;":T"&amp;(ROW()-1))))),Первоначальный[[#This Row],[Полученный платеж]]+Y519),
AND(S519=0,MAX((0&lt;&gt;N$12:N519)*ROW(N$12:N519),ROW($S$12))&gt;=MAX((1=Z$12:Z519)*ROW(Z$12:Z519),ROW($T$12))),MIN(LOOKUP(,-1/($Z$12:Z520=1),$C$12:C520)+LOOKUP(,-1/($Z$12:Z520=1),$H$12:H520)-IF(N519&lt;&gt;0,0,SUM(INDIRECT("T"&amp;(MAX((0&lt;&gt;N$12:N519)*ROW(N$12:N519)+1,ROW($T$12))&amp;":T"&amp;(ROW()-1))))),Первоначальный[[#This Row],[Полученный платеж]]+Y519),
AND(S519=0,Первоначальный[[#This Row],[Дата платежа из графика]]=1),MIN(LOOKUP(,-1/($Z$12:Z520=1),$C$12:C520)+LOOKUP(,-1/($Z$12:Z520=1),$H$12:H520)-IF(Z519=1,0,SUM(INDIRECT("T"&amp;(MAX((1=Z$12:Z519)*ROW(Z$12:Z519)+1,ROW($T$12))&amp;":T"&amp;(ROW()-1))))),Первоначальный[[#This Row],[Полученный платеж]]+Y519),
AND(Z519&gt;0,Первоначальный[[#This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платеж]]+Y519),
AND(S519&gt;0,MAX((0&lt;&gt;S$12:S519)*ROW(S$12:S519),ROW($S$12))&gt;=MAX((1=Z$12:Z519)*ROW(Z$12:Z519),ROW($T$12)),TYPE(VLOOKUP("Да",(INDIRECT("AA"&amp;(MAX((1=Z$12:Z519)*ROW(Z$12:Z519),ROW($T$12))&amp;":AA"&amp;(ROW()-1)))),1,0))=16),MIN(LOOKUP(,-1/($Z$12:Z520=1),$C$12:C520)+LOOKUP(,-1/($Z$12:Z520=1),$H$12:H520)-SUM(INDIRECT("T"&amp;(MAX((1=Z$12:Z519)*ROW(Z$12:Z519),ROW($T$12))&amp;":T"&amp;(ROW()-1)))),Первоначальный[[#This Row],[Полученный платеж]]+Y519),
S519&gt;0,MIN(LOOKUP(,-1/($Z$12:Z520=1),$C$12:C520)+LOOKUP(,-1/($Z$12:Z520=1),$H$12:H520)-IF(Z519=1,0,SUM(INDIRECT("T"&amp;(MAX((1=Z$12:Z519)*ROW(Z$12:Z519)+1,ROW($T$12))&amp;":T"&amp;(ROW()-1))))),Первоначальный[[#This Row],[Полученный платеж]]+Y519)
)
)
)</f>
        <v>0</v>
      </c>
      <c r="U52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платеж]]+Y519-Первоначальный[[#This Row],[Полученный платёж по процентам]])</f>
        <v>0</v>
      </c>
      <c r="V520" s="55">
        <f t="shared" ca="1" si="85"/>
        <v>0</v>
      </c>
      <c r="W520" s="55" cm="1">
        <f t="array" aca="1" ref="W520" ca="1">IF(Первоначальный[[#This Row],[Итого остаток на начало периода]]&lt;1,0,
_xlfn.IFS(
AND(TYPE(VLOOKUP(1,$Z$12:Z520,1,0))=16,Первоначальный[[#This Row],[Досрочное погашение (да/"")]]=""),0,
AND(S519=0,Первоначальный[[#This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платеж]]+Y519-SUM(Первоначальный[[#This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комиссиям]]),VLOOKUP(LOOKUP(,-1/($Z$12:Z520=1),$A$12:A520),График[[Срок конец]:[Возврат основной суммы долга]],3,0)),
AND(S519=0,Первоначальный[[#This Row],[Дата платежа из графика]]="",Первоначальный[[#This Row],[Досрочное погашение (да/"")]]&lt;&gt;"Да"),0,
AND(S519=0,Первоначальный[[#This Row],[Досрочное погашение (да/"")]]=""),MIN(Первоначальный[[#This Row],[Полученный платеж]]+Y519-SUM(Первоначальный[[#This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комиссиям]]),VLOOKUP(LOOKUP(,-1/($Z$12:Z520=1),$A$12:A520),График[[Срок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платеж]]+Y519-SUM(Первоначальный[[#This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S519&gt;0,MIN(Первоначальный[[#This Row],[Полученный платеж]]+Y519-SUM(Первоначальный[[#This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комиссиям]]),SUM(INDIRECT("M"&amp;(MAX((1=S$12:S519)*ROW(S$12:S519),ROW($W$12))&amp;":M"&amp;(ROW()))))-SUM(INDIRECT("W"&amp;(MAX((1=S$12:S519)*ROW(S$12:S519),ROW($W$12))&amp;":W"&amp;(ROW()-1)))))
)
)</f>
        <v>0</v>
      </c>
      <c r="X520" s="55">
        <f t="shared" ca="1" si="86"/>
        <v>0</v>
      </c>
      <c r="Y520" s="101">
        <f t="shared" ca="1" si="93"/>
        <v>0</v>
      </c>
      <c r="Z520" s="133" t="str">
        <f>IF(TYPE((VLOOKUP(Первоначальный[[#This Row],[Дата платежа]],График[Срок конец],1,0)))=16,"",1)</f>
        <v/>
      </c>
      <c r="AA520" s="57"/>
      <c r="AB520" s="134"/>
      <c r="AC52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2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35612.469999999892</v>
      </c>
      <c r="AE52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759.39000000000135</v>
      </c>
      <c r="AF52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2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44455.772363934695</v>
      </c>
      <c r="AH520" s="55"/>
      <c r="AI520" s="55"/>
      <c r="AJ520" s="55"/>
      <c r="AK520" s="101">
        <f t="shared" ca="1" si="94"/>
        <v>230460.97236393459</v>
      </c>
      <c r="AL520" s="129">
        <f t="array" ref="AL520">MAX((УслРестрактов[Характеристика]="Дата реструктуризации")*(УслРестрактов[Значение]=Первоначальный!$A520),0)</f>
        <v>0</v>
      </c>
    </row>
    <row r="521" spans="1:38" x14ac:dyDescent="0.25">
      <c r="A521" s="97">
        <f t="shared" si="87"/>
        <v>44652</v>
      </c>
      <c r="B521" s="100">
        <f t="shared" ca="1" si="88"/>
        <v>149633.34</v>
      </c>
      <c r="C521" s="55">
        <f t="shared" ca="1" si="96"/>
        <v>35612.469999999892</v>
      </c>
      <c r="D521" s="55">
        <f t="shared" ca="1" si="96"/>
        <v>759.39000000000135</v>
      </c>
      <c r="E521" s="55">
        <f t="shared" ca="1" si="89"/>
        <v>0</v>
      </c>
      <c r="F521" s="55">
        <f t="shared" ca="1" si="90"/>
        <v>44455.772363934695</v>
      </c>
      <c r="G521" s="101">
        <f t="shared" ca="1" si="91"/>
        <v>230460.97236393459</v>
      </c>
      <c r="H521" s="100">
        <f ca="1">ROUND($B521*VLOOKUP($A521,$A$1:$B$10,2,1)/(365+IF(MOD(YEAR($A521),4),0,1)*($A521-$A520)),2)-Первоначальный[[#This Row],[Проценты на просроченный платеж по ОД за период]]</f>
        <v>77.959999999999994</v>
      </c>
      <c r="I521" s="55">
        <f t="shared" ca="1" si="92"/>
        <v>3.62</v>
      </c>
      <c r="J521" s="55">
        <v>0</v>
      </c>
      <c r="K521" s="55">
        <f t="shared" ca="1" si="95"/>
        <v>202.72350327868853</v>
      </c>
      <c r="L521" s="55">
        <v>0</v>
      </c>
      <c r="M521" s="113">
        <f>SUMIFS(График[Возврат основной суммы долга],График[Дата с учетом нерабочих дней],$A521)</f>
        <v>0</v>
      </c>
      <c r="N521" s="56">
        <f>SUMIFS(График[Возврат начисленных %],График[Дата с учетом нерабочих дней],$A521)</f>
        <v>0</v>
      </c>
      <c r="O521" s="101">
        <v>0</v>
      </c>
      <c r="P521" s="100" cm="1">
        <f t="array" aca="1" ref="P521" ca="1">MAX(IF(AA520="Да",0,SUM(INDIRECT("M"&amp;(MAX(("Да"=AA$12:AA520)*ROW(AA$12:AA520)+1,ROW($P$12))&amp;":M"&amp;(ROW()))))-SUM(INDIRECT("W"&amp;(MAX(("Да"=AA$12:AA520)*ROW(AA$12:AA520)+1,ROW($P$12))&amp;":W"&amp;(ROW()))))),0)</f>
        <v>6648.84</v>
      </c>
      <c r="Q521" s="99">
        <f ca="1">MAX(SUM($N$13:N521)-SUM($T$13:T521),0)</f>
        <v>33895.860655737699</v>
      </c>
      <c r="R521" s="99">
        <f ca="1">Первоначальный[[#This Row],[Просроченный платеж по ОД]]+Первоначальный[[#This Row],[Просроченный платеж по процентам]]</f>
        <v>40544.700655737703</v>
      </c>
      <c r="S521" s="120">
        <f ca="1">IF(Первоначальный[[#This Row],[Просроченный платеж]]&lt;1,0,S520+1)</f>
        <v>417</v>
      </c>
      <c r="T521" s="100" cm="1">
        <f t="array" aca="1" ref="T521" ca="1">IF(Первоначальный[[#This Row],[Итого остаток на начало периода]]&lt;1,0,
IF(
AND(TYPE(VLOOKUP(1,$Z$12:Z521,1,0))=16,Первоначальный[[#This Row],[Досрочное погашение (да/"")]]=""),0,
_xlfn.IFS(AND(S520=0,Первоначальный[[#This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платеж]]&lt;&gt;0),MIN(LOOKUP(,-1/($Z$12:Z521=1),$C$12:C521)+LOOKUP(,-1/($Z$12:Z521=1),$H$12:H521),Первоначальный[[#This Row],[Полученный платеж]]+Y520),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платеж]]+Y520,SUM(Первоначальный[[#This Row],[Остаток процентов на начало периода]],Первоначальный[[#This Row],[Проценты за период]])),
AND(S520=0,Первоначальный[[#This Row],[Дата платежа из графика]]=""),0,
AND(S520=0,Первоначальный[[#This Row],[Дата платежа из графика]]=1,MAX((0&lt;&gt;S$12:S520)*ROW(S$12:S520),ROW($S$12))&gt;=MAX((1=Z$12:Z520)*ROW(Z$12:Z520),ROW($T$12)),TYPE(VLOOKUP("Да",(INDIRECT("AA"&amp;(MAX((1=Z$12:Z520)*ROW(Z$12:Z520),ROW($T$12))&amp;":AA"&amp;(ROW()-1)))),1,0))=16),MIN(LOOKUP(,-1/($Z$12:Z521=1),$C$12:C521)+LOOKUP(,-1/($Z$12:Z521=1),$H$12:H521),Первоначальный[[#This Row],[Полученный платеж]]+Y520),
AND(S520=0,TYPE(VLOOKUP("Да",(INDIRECT("AA"&amp;(MAX((1=Z$12:Z520)*ROW(Z$12:Z520),ROW($T$12))&amp;":AA"&amp;(ROW()-1)))),1,0))&lt;&gt;16),MIN(LOOKUP(,-1/($Z$12:Z521=1),$C$12:C521)+LOOKUP(,-1/($Z$12:Z521=1),$H$12:H521)-IF(AA520="Да",0,SUM(INDIRECT("T"&amp;(MAX(("Да"=AA$12:AA520)*ROW(AA$12:AA520)+1,ROW($T$12))&amp;":T"&amp;(ROW()-1))))),Первоначальный[[#This Row],[Полученный платеж]]+Y520),
AND(S520=0,MAX((0&lt;&gt;N$12:N520)*ROW(N$12:N520),ROW($S$12))&gt;=MAX((1=Z$12:Z520)*ROW(Z$12:Z520),ROW($T$12))),MIN(LOOKUP(,-1/($Z$12:Z521=1),$C$12:C521)+LOOKUP(,-1/($Z$12:Z521=1),$H$12:H521)-IF(N520&lt;&gt;0,0,SUM(INDIRECT("T"&amp;(MAX((0&lt;&gt;N$12:N520)*ROW(N$12:N520)+1,ROW($T$12))&amp;":T"&amp;(ROW()-1))))),Первоначальный[[#This Row],[Полученный платеж]]+Y520),
AND(S520=0,Первоначальный[[#This Row],[Дата платежа из графика]]=1),MIN(LOOKUP(,-1/($Z$12:Z521=1),$C$12:C521)+LOOKUP(,-1/($Z$12:Z521=1),$H$12:H521)-IF(Z520=1,0,SUM(INDIRECT("T"&amp;(MAX((1=Z$12:Z520)*ROW(Z$12:Z520)+1,ROW($T$12))&amp;":T"&amp;(ROW()-1))))),Первоначальный[[#This Row],[Полученный платеж]]+Y520),
AND(Z520&gt;0,Первоначальный[[#This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платеж]]+Y520),
AND(S520&gt;0,MAX((0&lt;&gt;S$12:S520)*ROW(S$12:S520),ROW($S$12))&gt;=MAX((1=Z$12:Z520)*ROW(Z$12:Z520),ROW($T$12)),TYPE(VLOOKUP("Да",(INDIRECT("AA"&amp;(MAX((1=Z$12:Z520)*ROW(Z$12:Z520),ROW($T$12))&amp;":AA"&amp;(ROW()-1)))),1,0))=16),MIN(LOOKUP(,-1/($Z$12:Z521=1),$C$12:C521)+LOOKUP(,-1/($Z$12:Z521=1),$H$12:H521)-SUM(INDIRECT("T"&amp;(MAX((1=Z$12:Z520)*ROW(Z$12:Z520),ROW($T$12))&amp;":T"&amp;(ROW()-1)))),Первоначальный[[#This Row],[Полученный платеж]]+Y520),
S520&gt;0,MIN(LOOKUP(,-1/($Z$12:Z521=1),$C$12:C521)+LOOKUP(,-1/($Z$12:Z521=1),$H$12:H521)-IF(Z520=1,0,SUM(INDIRECT("T"&amp;(MAX((1=Z$12:Z520)*ROW(Z$12:Z520)+1,ROW($T$12))&amp;":T"&amp;(ROW()-1))))),Первоначальный[[#This Row],[Полученный платеж]]+Y520)
)
)
)</f>
        <v>0</v>
      </c>
      <c r="U52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платеж]]+Y520-Первоначальный[[#This Row],[Полученный платёж по процентам]])</f>
        <v>0</v>
      </c>
      <c r="V521" s="55">
        <f t="shared" ca="1" si="85"/>
        <v>0</v>
      </c>
      <c r="W521" s="55" cm="1">
        <f t="array" aca="1" ref="W521" ca="1">IF(Первоначальный[[#This Row],[Итого остаток на начало периода]]&lt;1,0,
_xlfn.IFS(
AND(TYPE(VLOOKUP(1,$Z$12:Z521,1,0))=16,Первоначальный[[#This Row],[Досрочное погашение (да/"")]]=""),0,
AND(S520=0,Первоначальный[[#This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платеж]]+Y520-SUM(Первоначальный[[#This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комиссиям]]),VLOOKUP(LOOKUP(,-1/($Z$12:Z521=1),$A$12:A521),График[[Срок конец]:[Возврат основной суммы долга]],3,0)),
AND(S520=0,Первоначальный[[#This Row],[Дата платежа из графика]]="",Первоначальный[[#This Row],[Досрочное погашение (да/"")]]&lt;&gt;"Да"),0,
AND(S520=0,Первоначальный[[#This Row],[Досрочное погашение (да/"")]]=""),MIN(Первоначальный[[#This Row],[Полученный платеж]]+Y520-SUM(Первоначальный[[#This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комиссиям]]),VLOOKUP(LOOKUP(,-1/($Z$12:Z521=1),$A$12:A521),График[[Срок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платеж]]+Y520-SUM(Первоначальный[[#This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S520&gt;0,MIN(Первоначальный[[#This Row],[Полученный платеж]]+Y520-SUM(Первоначальный[[#This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комиссиям]]),SUM(INDIRECT("M"&amp;(MAX((1=S$12:S520)*ROW(S$12:S520),ROW($W$12))&amp;":M"&amp;(ROW()))))-SUM(INDIRECT("W"&amp;(MAX((1=S$12:S520)*ROW(S$12:S520),ROW($W$12))&amp;":W"&amp;(ROW()-1)))))
)
)</f>
        <v>0</v>
      </c>
      <c r="X521" s="55">
        <f t="shared" ca="1" si="86"/>
        <v>0</v>
      </c>
      <c r="Y521" s="101">
        <f t="shared" ca="1" si="93"/>
        <v>0</v>
      </c>
      <c r="Z521" s="133" t="str">
        <f>IF(TYPE((VLOOKUP(Первоначальный[[#This Row],[Дата платежа]],График[Срок конец],1,0)))=16,"",1)</f>
        <v/>
      </c>
      <c r="AA521" s="57"/>
      <c r="AB521" s="134"/>
      <c r="AC52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2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35690.429999999891</v>
      </c>
      <c r="AE52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763.01000000000136</v>
      </c>
      <c r="AF52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2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44658.495867213387</v>
      </c>
      <c r="AH521" s="55"/>
      <c r="AI521" s="55"/>
      <c r="AJ521" s="55"/>
      <c r="AK521" s="101">
        <f t="shared" ca="1" si="94"/>
        <v>230745.27586721329</v>
      </c>
      <c r="AL521" s="129">
        <f t="array" ref="AL521">MAX((УслРестрактов[Характеристика]="Дата реструктуризации")*(УслРестрактов[Значение]=Первоначальный!$A521),0)</f>
        <v>0</v>
      </c>
    </row>
    <row r="522" spans="1:38" x14ac:dyDescent="0.25">
      <c r="A522" s="97">
        <f t="shared" si="87"/>
        <v>44653</v>
      </c>
      <c r="B522" s="100">
        <f t="shared" ca="1" si="88"/>
        <v>149633.34</v>
      </c>
      <c r="C522" s="55">
        <f t="shared" ca="1" si="96"/>
        <v>35690.429999999891</v>
      </c>
      <c r="D522" s="55">
        <f t="shared" ca="1" si="96"/>
        <v>763.01000000000136</v>
      </c>
      <c r="E522" s="55">
        <f t="shared" ca="1" si="89"/>
        <v>0</v>
      </c>
      <c r="F522" s="55">
        <f t="shared" ca="1" si="90"/>
        <v>44658.495867213387</v>
      </c>
      <c r="G522" s="101">
        <f t="shared" ca="1" si="91"/>
        <v>230745.27586721329</v>
      </c>
      <c r="H522" s="100">
        <f ca="1">ROUND($B522*VLOOKUP($A522,$A$1:$B$10,2,1)/(365+IF(MOD(YEAR($A522),4),0,1)*($A522-$A521)),2)-Первоначальный[[#This Row],[Проценты на просроченный платеж по ОД за период]]</f>
        <v>77.959999999999994</v>
      </c>
      <c r="I522" s="55">
        <f t="shared" ca="1" si="92"/>
        <v>3.62</v>
      </c>
      <c r="J522" s="55">
        <v>0</v>
      </c>
      <c r="K522" s="55">
        <f t="shared" ca="1" si="95"/>
        <v>202.72350327868853</v>
      </c>
      <c r="L522" s="55">
        <v>0</v>
      </c>
      <c r="M522" s="113">
        <f>SUMIFS(График[Возврат основной суммы долга],График[Дата с учетом нерабочих дней],$A522)</f>
        <v>0</v>
      </c>
      <c r="N522" s="56">
        <f>SUMIFS(График[Возврат начисленных %],График[Дата с учетом нерабочих дней],$A522)</f>
        <v>0</v>
      </c>
      <c r="O522" s="101">
        <v>0</v>
      </c>
      <c r="P522" s="100" cm="1">
        <f t="array" aca="1" ref="P522" ca="1">MAX(IF(AA521="Да",0,SUM(INDIRECT("M"&amp;(MAX(("Да"=AA$12:AA521)*ROW(AA$12:AA521)+1,ROW($P$12))&amp;":M"&amp;(ROW()))))-SUM(INDIRECT("W"&amp;(MAX(("Да"=AA$12:AA521)*ROW(AA$12:AA521)+1,ROW($P$12))&amp;":W"&amp;(ROW()))))),0)</f>
        <v>6648.84</v>
      </c>
      <c r="Q522" s="99">
        <f ca="1">MAX(SUM($N$13:N522)-SUM($T$13:T522),0)</f>
        <v>33895.860655737699</v>
      </c>
      <c r="R522" s="99">
        <f ca="1">Первоначальный[[#This Row],[Просроченный платеж по ОД]]+Первоначальный[[#This Row],[Просроченный платеж по процентам]]</f>
        <v>40544.700655737703</v>
      </c>
      <c r="S522" s="120">
        <f ca="1">IF(Первоначальный[[#This Row],[Просроченный платеж]]&lt;1,0,S521+1)</f>
        <v>418</v>
      </c>
      <c r="T522" s="100" cm="1">
        <f t="array" aca="1" ref="T522" ca="1">IF(Первоначальный[[#This Row],[Итого остаток на начало периода]]&lt;1,0,
IF(
AND(TYPE(VLOOKUP(1,$Z$12:Z522,1,0))=16,Первоначальный[[#This Row],[Досрочное погашение (да/"")]]=""),0,
_xlfn.IFS(AND(S521=0,Первоначальный[[#This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платеж]]&lt;&gt;0),MIN(LOOKUP(,-1/($Z$12:Z522=1),$C$12:C522)+LOOKUP(,-1/($Z$12:Z522=1),$H$12:H522),Первоначальный[[#This Row],[Полученный платеж]]+Y521),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платеж]]+Y521,SUM(Первоначальный[[#This Row],[Остаток процентов на начало периода]],Первоначальный[[#This Row],[Проценты за период]])),
AND(S521=0,Первоначальный[[#This Row],[Дата платежа из графика]]=""),0,
AND(S521=0,Первоначальный[[#This Row],[Дата платежа из графика]]=1,MAX((0&lt;&gt;S$12:S521)*ROW(S$12:S521),ROW($S$12))&gt;=MAX((1=Z$12:Z521)*ROW(Z$12:Z521),ROW($T$12)),TYPE(VLOOKUP("Да",(INDIRECT("AA"&amp;(MAX((1=Z$12:Z521)*ROW(Z$12:Z521),ROW($T$12))&amp;":AA"&amp;(ROW()-1)))),1,0))=16),MIN(LOOKUP(,-1/($Z$12:Z522=1),$C$12:C522)+LOOKUP(,-1/($Z$12:Z522=1),$H$12:H522),Первоначальный[[#This Row],[Полученный платеж]]+Y521),
AND(S521=0,TYPE(VLOOKUP("Да",(INDIRECT("AA"&amp;(MAX((1=Z$12:Z521)*ROW(Z$12:Z521),ROW($T$12))&amp;":AA"&amp;(ROW()-1)))),1,0))&lt;&gt;16),MIN(LOOKUP(,-1/($Z$12:Z522=1),$C$12:C522)+LOOKUP(,-1/($Z$12:Z522=1),$H$12:H522)-IF(AA521="Да",0,SUM(INDIRECT("T"&amp;(MAX(("Да"=AA$12:AA521)*ROW(AA$12:AA521)+1,ROW($T$12))&amp;":T"&amp;(ROW()-1))))),Первоначальный[[#This Row],[Полученный платеж]]+Y521),
AND(S521=0,MAX((0&lt;&gt;N$12:N521)*ROW(N$12:N521),ROW($S$12))&gt;=MAX((1=Z$12:Z521)*ROW(Z$12:Z521),ROW($T$12))),MIN(LOOKUP(,-1/($Z$12:Z522=1),$C$12:C522)+LOOKUP(,-1/($Z$12:Z522=1),$H$12:H522)-IF(N521&lt;&gt;0,0,SUM(INDIRECT("T"&amp;(MAX((0&lt;&gt;N$12:N521)*ROW(N$12:N521)+1,ROW($T$12))&amp;":T"&amp;(ROW()-1))))),Первоначальный[[#This Row],[Полученный платеж]]+Y521),
AND(S521=0,Первоначальный[[#This Row],[Дата платежа из графика]]=1),MIN(LOOKUP(,-1/($Z$12:Z522=1),$C$12:C522)+LOOKUP(,-1/($Z$12:Z522=1),$H$12:H522)-IF(Z521=1,0,SUM(INDIRECT("T"&amp;(MAX((1=Z$12:Z521)*ROW(Z$12:Z521)+1,ROW($T$12))&amp;":T"&amp;(ROW()-1))))),Первоначальный[[#This Row],[Полученный платеж]]+Y521),
AND(Z521&gt;0,Первоначальный[[#This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платеж]]+Y521),
AND(S521&gt;0,MAX((0&lt;&gt;S$12:S521)*ROW(S$12:S521),ROW($S$12))&gt;=MAX((1=Z$12:Z521)*ROW(Z$12:Z521),ROW($T$12)),TYPE(VLOOKUP("Да",(INDIRECT("AA"&amp;(MAX((1=Z$12:Z521)*ROW(Z$12:Z521),ROW($T$12))&amp;":AA"&amp;(ROW()-1)))),1,0))=16),MIN(LOOKUP(,-1/($Z$12:Z522=1),$C$12:C522)+LOOKUP(,-1/($Z$12:Z522=1),$H$12:H522)-SUM(INDIRECT("T"&amp;(MAX((1=Z$12:Z521)*ROW(Z$12:Z521),ROW($T$12))&amp;":T"&amp;(ROW()-1)))),Первоначальный[[#This Row],[Полученный платеж]]+Y521),
S521&gt;0,MIN(LOOKUP(,-1/($Z$12:Z522=1),$C$12:C522)+LOOKUP(,-1/($Z$12:Z522=1),$H$12:H522)-IF(Z521=1,0,SUM(INDIRECT("T"&amp;(MAX((1=Z$12:Z521)*ROW(Z$12:Z521)+1,ROW($T$12))&amp;":T"&amp;(ROW()-1))))),Первоначальный[[#This Row],[Полученный платеж]]+Y521)
)
)
)</f>
        <v>0</v>
      </c>
      <c r="U52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платеж]]+Y521-Первоначальный[[#This Row],[Полученный платёж по процентам]])</f>
        <v>0</v>
      </c>
      <c r="V522" s="55">
        <f t="shared" ca="1" si="85"/>
        <v>0</v>
      </c>
      <c r="W522" s="55" cm="1">
        <f t="array" aca="1" ref="W522" ca="1">IF(Первоначальный[[#This Row],[Итого остаток на начало периода]]&lt;1,0,
_xlfn.IFS(
AND(TYPE(VLOOKUP(1,$Z$12:Z522,1,0))=16,Первоначальный[[#This Row],[Досрочное погашение (да/"")]]=""),0,
AND(S521=0,Первоначальный[[#This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платеж]]+Y521-SUM(Первоначальный[[#This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комиссиям]]),VLOOKUP(LOOKUP(,-1/($Z$12:Z522=1),$A$12:A522),График[[Срок конец]:[Возврат основной суммы долга]],3,0)),
AND(S521=0,Первоначальный[[#This Row],[Дата платежа из графика]]="",Первоначальный[[#This Row],[Досрочное погашение (да/"")]]&lt;&gt;"Да"),0,
AND(S521=0,Первоначальный[[#This Row],[Досрочное погашение (да/"")]]=""),MIN(Первоначальный[[#This Row],[Полученный платеж]]+Y521-SUM(Первоначальный[[#This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комиссиям]]),VLOOKUP(LOOKUP(,-1/($Z$12:Z522=1),$A$12:A522),График[[Срок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платеж]]+Y521-SUM(Первоначальный[[#This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S521&gt;0,MIN(Первоначальный[[#This Row],[Полученный платеж]]+Y521-SUM(Первоначальный[[#This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комиссиям]]),SUM(INDIRECT("M"&amp;(MAX((1=S$12:S521)*ROW(S$12:S521),ROW($W$12))&amp;":M"&amp;(ROW()))))-SUM(INDIRECT("W"&amp;(MAX((1=S$12:S521)*ROW(S$12:S521),ROW($W$12))&amp;":W"&amp;(ROW()-1)))))
)
)</f>
        <v>0</v>
      </c>
      <c r="X522" s="55">
        <f t="shared" ca="1" si="86"/>
        <v>0</v>
      </c>
      <c r="Y522" s="101">
        <f t="shared" ca="1" si="93"/>
        <v>0</v>
      </c>
      <c r="Z522" s="133" t="str">
        <f>IF(TYPE((VLOOKUP(Первоначальный[[#This Row],[Дата платежа]],График[Срок конец],1,0)))=16,"",1)</f>
        <v/>
      </c>
      <c r="AA522" s="57"/>
      <c r="AB522" s="134"/>
      <c r="AC52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2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35768.38999999989</v>
      </c>
      <c r="AE52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766.63000000000136</v>
      </c>
      <c r="AF52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2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44861.219370492079</v>
      </c>
      <c r="AH522" s="55"/>
      <c r="AI522" s="55"/>
      <c r="AJ522" s="55"/>
      <c r="AK522" s="101">
        <f t="shared" ca="1" si="94"/>
        <v>231029.57937049196</v>
      </c>
      <c r="AL522" s="129">
        <f t="array" ref="AL522">MAX((УслРестрактов[Характеристика]="Дата реструктуризации")*(УслРестрактов[Значение]=Первоначальный!$A522),0)</f>
        <v>0</v>
      </c>
    </row>
    <row r="523" spans="1:38" x14ac:dyDescent="0.25">
      <c r="A523" s="97">
        <f t="shared" si="87"/>
        <v>44654</v>
      </c>
      <c r="B523" s="100">
        <f t="shared" ca="1" si="88"/>
        <v>149633.34</v>
      </c>
      <c r="C523" s="55">
        <f t="shared" ca="1" si="96"/>
        <v>35768.38999999989</v>
      </c>
      <c r="D523" s="55">
        <f t="shared" ca="1" si="96"/>
        <v>766.63000000000136</v>
      </c>
      <c r="E523" s="55">
        <f t="shared" ca="1" si="89"/>
        <v>0</v>
      </c>
      <c r="F523" s="55">
        <f t="shared" ca="1" si="90"/>
        <v>44861.219370492079</v>
      </c>
      <c r="G523" s="101">
        <f t="shared" ca="1" si="91"/>
        <v>231029.57937049196</v>
      </c>
      <c r="H523" s="100">
        <f ca="1">ROUND($B523*VLOOKUP($A523,$A$1:$B$10,2,1)/(365+IF(MOD(YEAR($A523),4),0,1)*($A523-$A522)),2)-Первоначальный[[#This Row],[Проценты на просроченный платеж по ОД за период]]</f>
        <v>77.959999999999994</v>
      </c>
      <c r="I523" s="55">
        <f t="shared" ca="1" si="92"/>
        <v>3.62</v>
      </c>
      <c r="J523" s="55">
        <v>0</v>
      </c>
      <c r="K523" s="55">
        <f t="shared" ca="1" si="95"/>
        <v>202.72350327868853</v>
      </c>
      <c r="L523" s="55">
        <v>0</v>
      </c>
      <c r="M523" s="113">
        <f>SUMIFS(График[Возврат основной суммы долга],График[Дата с учетом нерабочих дней],$A523)</f>
        <v>0</v>
      </c>
      <c r="N523" s="56">
        <f>SUMIFS(График[Возврат начисленных %],График[Дата с учетом нерабочих дней],$A523)</f>
        <v>0</v>
      </c>
      <c r="O523" s="101">
        <v>0</v>
      </c>
      <c r="P523" s="100" cm="1">
        <f t="array" aca="1" ref="P523" ca="1">MAX(IF(AA522="Да",0,SUM(INDIRECT("M"&amp;(MAX(("Да"=AA$12:AA522)*ROW(AA$12:AA522)+1,ROW($P$12))&amp;":M"&amp;(ROW()))))-SUM(INDIRECT("W"&amp;(MAX(("Да"=AA$12:AA522)*ROW(AA$12:AA522)+1,ROW($P$12))&amp;":W"&amp;(ROW()))))),0)</f>
        <v>6648.84</v>
      </c>
      <c r="Q523" s="99">
        <f ca="1">MAX(SUM($N$13:N523)-SUM($T$13:T523),0)</f>
        <v>33895.860655737699</v>
      </c>
      <c r="R523" s="99">
        <f ca="1">Первоначальный[[#This Row],[Просроченный платеж по ОД]]+Первоначальный[[#This Row],[Просроченный платеж по процентам]]</f>
        <v>40544.700655737703</v>
      </c>
      <c r="S523" s="120">
        <f ca="1">IF(Первоначальный[[#This Row],[Просроченный платеж]]&lt;1,0,S522+1)</f>
        <v>419</v>
      </c>
      <c r="T523" s="100" cm="1">
        <f t="array" aca="1" ref="T523" ca="1">IF(Первоначальный[[#This Row],[Итого остаток на начало периода]]&lt;1,0,
IF(
AND(TYPE(VLOOKUP(1,$Z$12:Z523,1,0))=16,Первоначальный[[#This Row],[Досрочное погашение (да/"")]]=""),0,
_xlfn.IFS(AND(S522=0,Первоначальный[[#This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платеж]]&lt;&gt;0),MIN(LOOKUP(,-1/($Z$12:Z523=1),$C$12:C523)+LOOKUP(,-1/($Z$12:Z523=1),$H$12:H523),Первоначальный[[#This Row],[Полученный платеж]]+Y522),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платеж]]+Y522,SUM(Первоначальный[[#This Row],[Остаток процентов на начало периода]],Первоначальный[[#This Row],[Проценты за период]])),
AND(S522=0,Первоначальный[[#This Row],[Дата платежа из графика]]=""),0,
AND(S522=0,Первоначальный[[#This Row],[Дата платежа из графика]]=1,MAX((0&lt;&gt;S$12:S522)*ROW(S$12:S522),ROW($S$12))&gt;=MAX((1=Z$12:Z522)*ROW(Z$12:Z522),ROW($T$12)),TYPE(VLOOKUP("Да",(INDIRECT("AA"&amp;(MAX((1=Z$12:Z522)*ROW(Z$12:Z522),ROW($T$12))&amp;":AA"&amp;(ROW()-1)))),1,0))=16),MIN(LOOKUP(,-1/($Z$12:Z523=1),$C$12:C523)+LOOKUP(,-1/($Z$12:Z523=1),$H$12:H523),Первоначальный[[#This Row],[Полученный платеж]]+Y522),
AND(S522=0,TYPE(VLOOKUP("Да",(INDIRECT("AA"&amp;(MAX((1=Z$12:Z522)*ROW(Z$12:Z522),ROW($T$12))&amp;":AA"&amp;(ROW()-1)))),1,0))&lt;&gt;16),MIN(LOOKUP(,-1/($Z$12:Z523=1),$C$12:C523)+LOOKUP(,-1/($Z$12:Z523=1),$H$12:H523)-IF(AA522="Да",0,SUM(INDIRECT("T"&amp;(MAX(("Да"=AA$12:AA522)*ROW(AA$12:AA522)+1,ROW($T$12))&amp;":T"&amp;(ROW()-1))))),Первоначальный[[#This Row],[Полученный платеж]]+Y522),
AND(S522=0,MAX((0&lt;&gt;N$12:N522)*ROW(N$12:N522),ROW($S$12))&gt;=MAX((1=Z$12:Z522)*ROW(Z$12:Z522),ROW($T$12))),MIN(LOOKUP(,-1/($Z$12:Z523=1),$C$12:C523)+LOOKUP(,-1/($Z$12:Z523=1),$H$12:H523)-IF(N522&lt;&gt;0,0,SUM(INDIRECT("T"&amp;(MAX((0&lt;&gt;N$12:N522)*ROW(N$12:N522)+1,ROW($T$12))&amp;":T"&amp;(ROW()-1))))),Первоначальный[[#This Row],[Полученный платеж]]+Y522),
AND(S522=0,Первоначальный[[#This Row],[Дата платежа из графика]]=1),MIN(LOOKUP(,-1/($Z$12:Z523=1),$C$12:C523)+LOOKUP(,-1/($Z$12:Z523=1),$H$12:H523)-IF(Z522=1,0,SUM(INDIRECT("T"&amp;(MAX((1=Z$12:Z522)*ROW(Z$12:Z522)+1,ROW($T$12))&amp;":T"&amp;(ROW()-1))))),Первоначальный[[#This Row],[Полученный платеж]]+Y522),
AND(Z522&gt;0,Первоначальный[[#This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платеж]]+Y522),
AND(S522&gt;0,MAX((0&lt;&gt;S$12:S522)*ROW(S$12:S522),ROW($S$12))&gt;=MAX((1=Z$12:Z522)*ROW(Z$12:Z522),ROW($T$12)),TYPE(VLOOKUP("Да",(INDIRECT("AA"&amp;(MAX((1=Z$12:Z522)*ROW(Z$12:Z522),ROW($T$12))&amp;":AA"&amp;(ROW()-1)))),1,0))=16),MIN(LOOKUP(,-1/($Z$12:Z523=1),$C$12:C523)+LOOKUP(,-1/($Z$12:Z523=1),$H$12:H523)-SUM(INDIRECT("T"&amp;(MAX((1=Z$12:Z522)*ROW(Z$12:Z522),ROW($T$12))&amp;":T"&amp;(ROW()-1)))),Первоначальный[[#This Row],[Полученный платеж]]+Y522),
S522&gt;0,MIN(LOOKUP(,-1/($Z$12:Z523=1),$C$12:C523)+LOOKUP(,-1/($Z$12:Z523=1),$H$12:H523)-IF(Z522=1,0,SUM(INDIRECT("T"&amp;(MAX((1=Z$12:Z522)*ROW(Z$12:Z522)+1,ROW($T$12))&amp;":T"&amp;(ROW()-1))))),Первоначальный[[#This Row],[Полученный платеж]]+Y522)
)
)
)</f>
        <v>0</v>
      </c>
      <c r="U52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платеж]]+Y522-Первоначальный[[#This Row],[Полученный платёж по процентам]])</f>
        <v>0</v>
      </c>
      <c r="V523" s="55">
        <f t="shared" ca="1" si="85"/>
        <v>0</v>
      </c>
      <c r="W523" s="55" cm="1">
        <f t="array" aca="1" ref="W523" ca="1">IF(Первоначальный[[#This Row],[Итого остаток на начало периода]]&lt;1,0,
_xlfn.IFS(
AND(TYPE(VLOOKUP(1,$Z$12:Z523,1,0))=16,Первоначальный[[#This Row],[Досрочное погашение (да/"")]]=""),0,
AND(S522=0,Первоначальный[[#This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платеж]]+Y522-SUM(Первоначальный[[#This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комиссиям]]),VLOOKUP(LOOKUP(,-1/($Z$12:Z523=1),$A$12:A523),График[[Срок конец]:[Возврат основной суммы долга]],3,0)),
AND(S522=0,Первоначальный[[#This Row],[Дата платежа из графика]]="",Первоначальный[[#This Row],[Досрочное погашение (да/"")]]&lt;&gt;"Да"),0,
AND(S522=0,Первоначальный[[#This Row],[Досрочное погашение (да/"")]]=""),MIN(Первоначальный[[#This Row],[Полученный платеж]]+Y522-SUM(Первоначальный[[#This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комиссиям]]),VLOOKUP(LOOKUP(,-1/($Z$12:Z523=1),$A$12:A523),График[[Срок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платеж]]+Y522-SUM(Первоначальный[[#This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S522&gt;0,MIN(Первоначальный[[#This Row],[Полученный платеж]]+Y522-SUM(Первоначальный[[#This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комиссиям]]),SUM(INDIRECT("M"&amp;(MAX((1=S$12:S522)*ROW(S$12:S522),ROW($W$12))&amp;":M"&amp;(ROW()))))-SUM(INDIRECT("W"&amp;(MAX((1=S$12:S522)*ROW(S$12:S522),ROW($W$12))&amp;":W"&amp;(ROW()-1)))))
)
)</f>
        <v>0</v>
      </c>
      <c r="X523" s="55">
        <f t="shared" ca="1" si="86"/>
        <v>0</v>
      </c>
      <c r="Y523" s="101">
        <f t="shared" ca="1" si="93"/>
        <v>0</v>
      </c>
      <c r="Z523" s="133" t="str">
        <f>IF(TYPE((VLOOKUP(Первоначальный[[#This Row],[Дата платежа]],График[Срок конец],1,0)))=16,"",1)</f>
        <v/>
      </c>
      <c r="AA523" s="57"/>
      <c r="AB523" s="134"/>
      <c r="AC52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2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35846.349999999889</v>
      </c>
      <c r="AE52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770.25000000000136</v>
      </c>
      <c r="AF52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2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45063.942873770771</v>
      </c>
      <c r="AH523" s="55"/>
      <c r="AI523" s="55"/>
      <c r="AJ523" s="55"/>
      <c r="AK523" s="101">
        <f t="shared" ca="1" si="94"/>
        <v>231313.88287377066</v>
      </c>
      <c r="AL523" s="129">
        <f t="array" ref="AL523">MAX((УслРестрактов[Характеристика]="Дата реструктуризации")*(УслРестрактов[Значение]=Первоначальный!$A523),0)</f>
        <v>0</v>
      </c>
    </row>
    <row r="524" spans="1:38" x14ac:dyDescent="0.25">
      <c r="A524" s="97">
        <f t="shared" si="87"/>
        <v>44655</v>
      </c>
      <c r="B524" s="100">
        <f t="shared" ca="1" si="88"/>
        <v>149633.34</v>
      </c>
      <c r="C524" s="55">
        <f t="shared" ca="1" si="96"/>
        <v>35846.349999999889</v>
      </c>
      <c r="D524" s="55">
        <f t="shared" ca="1" si="96"/>
        <v>770.25000000000136</v>
      </c>
      <c r="E524" s="55">
        <f t="shared" ca="1" si="89"/>
        <v>0</v>
      </c>
      <c r="F524" s="55">
        <f t="shared" ca="1" si="90"/>
        <v>45063.942873770771</v>
      </c>
      <c r="G524" s="101">
        <f t="shared" ca="1" si="91"/>
        <v>231313.88287377066</v>
      </c>
      <c r="H524" s="100">
        <f ca="1">ROUND($B524*VLOOKUP($A524,$A$1:$B$10,2,1)/(365+IF(MOD(YEAR($A524),4),0,1)*($A524-$A523)),2)-Первоначальный[[#This Row],[Проценты на просроченный платеж по ОД за период]]</f>
        <v>77.959999999999994</v>
      </c>
      <c r="I524" s="55">
        <f t="shared" ca="1" si="92"/>
        <v>3.62</v>
      </c>
      <c r="J524" s="55">
        <v>0</v>
      </c>
      <c r="K524" s="55">
        <f t="shared" ca="1" si="95"/>
        <v>202.72350327868853</v>
      </c>
      <c r="L524" s="55">
        <v>0</v>
      </c>
      <c r="M524" s="113">
        <f>SUMIFS(График[Возврат основной суммы долга],График[Дата с учетом нерабочих дней],$A524)</f>
        <v>0</v>
      </c>
      <c r="N524" s="56">
        <f>SUMIFS(График[Возврат начисленных %],График[Дата с учетом нерабочих дней],$A524)</f>
        <v>0</v>
      </c>
      <c r="O524" s="101">
        <v>0</v>
      </c>
      <c r="P524" s="100" cm="1">
        <f t="array" aca="1" ref="P524" ca="1">MAX(IF(AA523="Да",0,SUM(INDIRECT("M"&amp;(MAX(("Да"=AA$12:AA523)*ROW(AA$12:AA523)+1,ROW($P$12))&amp;":M"&amp;(ROW()))))-SUM(INDIRECT("W"&amp;(MAX(("Да"=AA$12:AA523)*ROW(AA$12:AA523)+1,ROW($P$12))&amp;":W"&amp;(ROW()))))),0)</f>
        <v>6648.84</v>
      </c>
      <c r="Q524" s="99">
        <f ca="1">MAX(SUM($N$13:N524)-SUM($T$13:T524),0)</f>
        <v>33895.860655737699</v>
      </c>
      <c r="R524" s="99">
        <f ca="1">Первоначальный[[#This Row],[Просроченный платеж по ОД]]+Первоначальный[[#This Row],[Просроченный платеж по процентам]]</f>
        <v>40544.700655737703</v>
      </c>
      <c r="S524" s="120">
        <f ca="1">IF(Первоначальный[[#This Row],[Просроченный платеж]]&lt;1,0,S523+1)</f>
        <v>420</v>
      </c>
      <c r="T524" s="100" cm="1">
        <f t="array" aca="1" ref="T524" ca="1">IF(Первоначальный[[#This Row],[Итого остаток на начало периода]]&lt;1,0,
IF(
AND(TYPE(VLOOKUP(1,$Z$12:Z524,1,0))=16,Первоначальный[[#This Row],[Досрочное погашение (да/"")]]=""),0,
_xlfn.IFS(AND(S523=0,Первоначальный[[#This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платеж]]&lt;&gt;0),MIN(LOOKUP(,-1/($Z$12:Z524=1),$C$12:C524)+LOOKUP(,-1/($Z$12:Z524=1),$H$12:H524),Первоначальный[[#This Row],[Полученный платеж]]+Y523),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платеж]]+Y523,SUM(Первоначальный[[#This Row],[Остаток процентов на начало периода]],Первоначальный[[#This Row],[Проценты за период]])),
AND(S523=0,Первоначальный[[#This Row],[Дата платежа из графика]]=""),0,
AND(S523=0,Первоначальный[[#This Row],[Дата платежа из графика]]=1,MAX((0&lt;&gt;S$12:S523)*ROW(S$12:S523),ROW($S$12))&gt;=MAX((1=Z$12:Z523)*ROW(Z$12:Z523),ROW($T$12)),TYPE(VLOOKUP("Да",(INDIRECT("AA"&amp;(MAX((1=Z$12:Z523)*ROW(Z$12:Z523),ROW($T$12))&amp;":AA"&amp;(ROW()-1)))),1,0))=16),MIN(LOOKUP(,-1/($Z$12:Z524=1),$C$12:C524)+LOOKUP(,-1/($Z$12:Z524=1),$H$12:H524),Первоначальный[[#This Row],[Полученный платеж]]+Y523),
AND(S523=0,TYPE(VLOOKUP("Да",(INDIRECT("AA"&amp;(MAX((1=Z$12:Z523)*ROW(Z$12:Z523),ROW($T$12))&amp;":AA"&amp;(ROW()-1)))),1,0))&lt;&gt;16),MIN(LOOKUP(,-1/($Z$12:Z524=1),$C$12:C524)+LOOKUP(,-1/($Z$12:Z524=1),$H$12:H524)-IF(AA523="Да",0,SUM(INDIRECT("T"&amp;(MAX(("Да"=AA$12:AA523)*ROW(AA$12:AA523)+1,ROW($T$12))&amp;":T"&amp;(ROW()-1))))),Первоначальный[[#This Row],[Полученный платеж]]+Y523),
AND(S523=0,MAX((0&lt;&gt;N$12:N523)*ROW(N$12:N523),ROW($S$12))&gt;=MAX((1=Z$12:Z523)*ROW(Z$12:Z523),ROW($T$12))),MIN(LOOKUP(,-1/($Z$12:Z524=1),$C$12:C524)+LOOKUP(,-1/($Z$12:Z524=1),$H$12:H524)-IF(N523&lt;&gt;0,0,SUM(INDIRECT("T"&amp;(MAX((0&lt;&gt;N$12:N523)*ROW(N$12:N523)+1,ROW($T$12))&amp;":T"&amp;(ROW()-1))))),Первоначальный[[#This Row],[Полученный платеж]]+Y523),
AND(S523=0,Первоначальный[[#This Row],[Дата платежа из графика]]=1),MIN(LOOKUP(,-1/($Z$12:Z524=1),$C$12:C524)+LOOKUP(,-1/($Z$12:Z524=1),$H$12:H524)-IF(Z523=1,0,SUM(INDIRECT("T"&amp;(MAX((1=Z$12:Z523)*ROW(Z$12:Z523)+1,ROW($T$12))&amp;":T"&amp;(ROW()-1))))),Первоначальный[[#This Row],[Полученный платеж]]+Y523),
AND(Z523&gt;0,Первоначальный[[#This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платеж]]+Y523),
AND(S523&gt;0,MAX((0&lt;&gt;S$12:S523)*ROW(S$12:S523),ROW($S$12))&gt;=MAX((1=Z$12:Z523)*ROW(Z$12:Z523),ROW($T$12)),TYPE(VLOOKUP("Да",(INDIRECT("AA"&amp;(MAX((1=Z$12:Z523)*ROW(Z$12:Z523),ROW($T$12))&amp;":AA"&amp;(ROW()-1)))),1,0))=16),MIN(LOOKUP(,-1/($Z$12:Z524=1),$C$12:C524)+LOOKUP(,-1/($Z$12:Z524=1),$H$12:H524)-SUM(INDIRECT("T"&amp;(MAX((1=Z$12:Z523)*ROW(Z$12:Z523),ROW($T$12))&amp;":T"&amp;(ROW()-1)))),Первоначальный[[#This Row],[Полученный платеж]]+Y523),
S523&gt;0,MIN(LOOKUP(,-1/($Z$12:Z524=1),$C$12:C524)+LOOKUP(,-1/($Z$12:Z524=1),$H$12:H524)-IF(Z523=1,0,SUM(INDIRECT("T"&amp;(MAX((1=Z$12:Z523)*ROW(Z$12:Z523)+1,ROW($T$12))&amp;":T"&amp;(ROW()-1))))),Первоначальный[[#This Row],[Полученный платеж]]+Y523)
)
)
)</f>
        <v>0</v>
      </c>
      <c r="U52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платеж]]+Y523-Первоначальный[[#This Row],[Полученный платёж по процентам]])</f>
        <v>0</v>
      </c>
      <c r="V524" s="55">
        <f t="shared" ca="1" si="85"/>
        <v>0</v>
      </c>
      <c r="W524" s="55" cm="1">
        <f t="array" aca="1" ref="W524" ca="1">IF(Первоначальный[[#This Row],[Итого остаток на начало периода]]&lt;1,0,
_xlfn.IFS(
AND(TYPE(VLOOKUP(1,$Z$12:Z524,1,0))=16,Первоначальный[[#This Row],[Досрочное погашение (да/"")]]=""),0,
AND(S523=0,Первоначальный[[#This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платеж]]+Y523-SUM(Первоначальный[[#This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комиссиям]]),VLOOKUP(LOOKUP(,-1/($Z$12:Z524=1),$A$12:A524),График[[Срок конец]:[Возврат основной суммы долга]],3,0)),
AND(S523=0,Первоначальный[[#This Row],[Дата платежа из графика]]="",Первоначальный[[#This Row],[Досрочное погашение (да/"")]]&lt;&gt;"Да"),0,
AND(S523=0,Первоначальный[[#This Row],[Досрочное погашение (да/"")]]=""),MIN(Первоначальный[[#This Row],[Полученный платеж]]+Y523-SUM(Первоначальный[[#This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комиссиям]]),VLOOKUP(LOOKUP(,-1/($Z$12:Z524=1),$A$12:A524),График[[Срок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платеж]]+Y523-SUM(Первоначальный[[#This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S523&gt;0,MIN(Первоначальный[[#This Row],[Полученный платеж]]+Y523-SUM(Первоначальный[[#This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комиссиям]]),SUM(INDIRECT("M"&amp;(MAX((1=S$12:S523)*ROW(S$12:S523),ROW($W$12))&amp;":M"&amp;(ROW()))))-SUM(INDIRECT("W"&amp;(MAX((1=S$12:S523)*ROW(S$12:S523),ROW($W$12))&amp;":W"&amp;(ROW()-1)))))
)
)</f>
        <v>0</v>
      </c>
      <c r="X524" s="55">
        <f t="shared" ca="1" si="86"/>
        <v>0</v>
      </c>
      <c r="Y524" s="101">
        <f t="shared" ca="1" si="93"/>
        <v>0</v>
      </c>
      <c r="Z524" s="133" t="str">
        <f>IF(TYPE((VLOOKUP(Первоначальный[[#This Row],[Дата платежа]],График[Срок конец],1,0)))=16,"",1)</f>
        <v/>
      </c>
      <c r="AA524" s="57"/>
      <c r="AB524" s="134"/>
      <c r="AC52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2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35924.309999999889</v>
      </c>
      <c r="AE52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773.87000000000137</v>
      </c>
      <c r="AF52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2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45266.666377049463</v>
      </c>
      <c r="AH524" s="55"/>
      <c r="AI524" s="55"/>
      <c r="AJ524" s="55"/>
      <c r="AK524" s="101">
        <f t="shared" ca="1" si="94"/>
        <v>231598.18637704934</v>
      </c>
      <c r="AL524" s="129">
        <f t="array" ref="AL524">MAX((УслРестрактов[Характеристика]="Дата реструктуризации")*(УслРестрактов[Значение]=Первоначальный!$A524),0)</f>
        <v>0</v>
      </c>
    </row>
    <row r="525" spans="1:38" x14ac:dyDescent="0.25">
      <c r="A525" s="97">
        <f t="shared" si="87"/>
        <v>44656</v>
      </c>
      <c r="B525" s="100">
        <f t="shared" ca="1" si="88"/>
        <v>149633.34</v>
      </c>
      <c r="C525" s="55">
        <f t="shared" ca="1" si="96"/>
        <v>35924.309999999889</v>
      </c>
      <c r="D525" s="55">
        <f t="shared" ca="1" si="96"/>
        <v>773.87000000000137</v>
      </c>
      <c r="E525" s="55">
        <f t="shared" ca="1" si="89"/>
        <v>0</v>
      </c>
      <c r="F525" s="55">
        <f t="shared" ca="1" si="90"/>
        <v>45266.666377049463</v>
      </c>
      <c r="G525" s="101">
        <f t="shared" ca="1" si="91"/>
        <v>231598.18637704934</v>
      </c>
      <c r="H525" s="100">
        <f ca="1">ROUND($B525*VLOOKUP($A525,$A$1:$B$10,2,1)/(365+IF(MOD(YEAR($A525),4),0,1)*($A525-$A524)),2)-Первоначальный[[#This Row],[Проценты на просроченный платеж по ОД за период]]</f>
        <v>77.959999999999994</v>
      </c>
      <c r="I525" s="55">
        <f t="shared" ca="1" si="92"/>
        <v>3.62</v>
      </c>
      <c r="J525" s="55">
        <v>0</v>
      </c>
      <c r="K525" s="55">
        <f t="shared" ca="1" si="95"/>
        <v>202.72350327868853</v>
      </c>
      <c r="L525" s="55">
        <v>0</v>
      </c>
      <c r="M525" s="113">
        <f>SUMIFS(График[Возврат основной суммы долга],График[Дата с учетом нерабочих дней],$A525)</f>
        <v>0</v>
      </c>
      <c r="N525" s="56">
        <f>SUMIFS(График[Возврат начисленных %],График[Дата с учетом нерабочих дней],$A525)</f>
        <v>0</v>
      </c>
      <c r="O525" s="101">
        <v>0</v>
      </c>
      <c r="P525" s="100" cm="1">
        <f t="array" aca="1" ref="P525" ca="1">MAX(IF(AA524="Да",0,SUM(INDIRECT("M"&amp;(MAX(("Да"=AA$12:AA524)*ROW(AA$12:AA524)+1,ROW($P$12))&amp;":M"&amp;(ROW()))))-SUM(INDIRECT("W"&amp;(MAX(("Да"=AA$12:AA524)*ROW(AA$12:AA524)+1,ROW($P$12))&amp;":W"&amp;(ROW()))))),0)</f>
        <v>6648.84</v>
      </c>
      <c r="Q525" s="99">
        <f ca="1">MAX(SUM($N$13:N525)-SUM($T$13:T525),0)</f>
        <v>33895.860655737699</v>
      </c>
      <c r="R525" s="99">
        <f ca="1">Первоначальный[[#This Row],[Просроченный платеж по ОД]]+Первоначальный[[#This Row],[Просроченный платеж по процентам]]</f>
        <v>40544.700655737703</v>
      </c>
      <c r="S525" s="120">
        <f ca="1">IF(Первоначальный[[#This Row],[Просроченный платеж]]&lt;1,0,S524+1)</f>
        <v>421</v>
      </c>
      <c r="T525" s="100" cm="1">
        <f t="array" aca="1" ref="T525" ca="1">IF(Первоначальный[[#This Row],[Итого остаток на начало периода]]&lt;1,0,
IF(
AND(TYPE(VLOOKUP(1,$Z$12:Z525,1,0))=16,Первоначальный[[#This Row],[Досрочное погашение (да/"")]]=""),0,
_xlfn.IFS(AND(S524=0,Первоначальный[[#This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платеж]]&lt;&gt;0),MIN(LOOKUP(,-1/($Z$12:Z525=1),$C$12:C525)+LOOKUP(,-1/($Z$12:Z525=1),$H$12:H525),Первоначальный[[#This Row],[Полученный платеж]]+Y524),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платеж]]+Y524,SUM(Первоначальный[[#This Row],[Остаток процентов на начало периода]],Первоначальный[[#This Row],[Проценты за период]])),
AND(S524=0,Первоначальный[[#This Row],[Дата платежа из графика]]=""),0,
AND(S524=0,Первоначальный[[#This Row],[Дата платежа из графика]]=1,MAX((0&lt;&gt;S$12:S524)*ROW(S$12:S524),ROW($S$12))&gt;=MAX((1=Z$12:Z524)*ROW(Z$12:Z524),ROW($T$12)),TYPE(VLOOKUP("Да",(INDIRECT("AA"&amp;(MAX((1=Z$12:Z524)*ROW(Z$12:Z524),ROW($T$12))&amp;":AA"&amp;(ROW()-1)))),1,0))=16),MIN(LOOKUP(,-1/($Z$12:Z525=1),$C$12:C525)+LOOKUP(,-1/($Z$12:Z525=1),$H$12:H525),Первоначальный[[#This Row],[Полученный платеж]]+Y524),
AND(S524=0,TYPE(VLOOKUP("Да",(INDIRECT("AA"&amp;(MAX((1=Z$12:Z524)*ROW(Z$12:Z524),ROW($T$12))&amp;":AA"&amp;(ROW()-1)))),1,0))&lt;&gt;16),MIN(LOOKUP(,-1/($Z$12:Z525=1),$C$12:C525)+LOOKUP(,-1/($Z$12:Z525=1),$H$12:H525)-IF(AA524="Да",0,SUM(INDIRECT("T"&amp;(MAX(("Да"=AA$12:AA524)*ROW(AA$12:AA524)+1,ROW($T$12))&amp;":T"&amp;(ROW()-1))))),Первоначальный[[#This Row],[Полученный платеж]]+Y524),
AND(S524=0,MAX((0&lt;&gt;N$12:N524)*ROW(N$12:N524),ROW($S$12))&gt;=MAX((1=Z$12:Z524)*ROW(Z$12:Z524),ROW($T$12))),MIN(LOOKUP(,-1/($Z$12:Z525=1),$C$12:C525)+LOOKUP(,-1/($Z$12:Z525=1),$H$12:H525)-IF(N524&lt;&gt;0,0,SUM(INDIRECT("T"&amp;(MAX((0&lt;&gt;N$12:N524)*ROW(N$12:N524)+1,ROW($T$12))&amp;":T"&amp;(ROW()-1))))),Первоначальный[[#This Row],[Полученный платеж]]+Y524),
AND(S524=0,Первоначальный[[#This Row],[Дата платежа из графика]]=1),MIN(LOOKUP(,-1/($Z$12:Z525=1),$C$12:C525)+LOOKUP(,-1/($Z$12:Z525=1),$H$12:H525)-IF(Z524=1,0,SUM(INDIRECT("T"&amp;(MAX((1=Z$12:Z524)*ROW(Z$12:Z524)+1,ROW($T$12))&amp;":T"&amp;(ROW()-1))))),Первоначальный[[#This Row],[Полученный платеж]]+Y524),
AND(Z524&gt;0,Первоначальный[[#This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платеж]]+Y524),
AND(S524&gt;0,MAX((0&lt;&gt;S$12:S524)*ROW(S$12:S524),ROW($S$12))&gt;=MAX((1=Z$12:Z524)*ROW(Z$12:Z524),ROW($T$12)),TYPE(VLOOKUP("Да",(INDIRECT("AA"&amp;(MAX((1=Z$12:Z524)*ROW(Z$12:Z524),ROW($T$12))&amp;":AA"&amp;(ROW()-1)))),1,0))=16),MIN(LOOKUP(,-1/($Z$12:Z525=1),$C$12:C525)+LOOKUP(,-1/($Z$12:Z525=1),$H$12:H525)-SUM(INDIRECT("T"&amp;(MAX((1=Z$12:Z524)*ROW(Z$12:Z524),ROW($T$12))&amp;":T"&amp;(ROW()-1)))),Первоначальный[[#This Row],[Полученный платеж]]+Y524),
S524&gt;0,MIN(LOOKUP(,-1/($Z$12:Z525=1),$C$12:C525)+LOOKUP(,-1/($Z$12:Z525=1),$H$12:H525)-IF(Z524=1,0,SUM(INDIRECT("T"&amp;(MAX((1=Z$12:Z524)*ROW(Z$12:Z524)+1,ROW($T$12))&amp;":T"&amp;(ROW()-1))))),Первоначальный[[#This Row],[Полученный платеж]]+Y524)
)
)
)</f>
        <v>0</v>
      </c>
      <c r="U52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платеж]]+Y524-Первоначальный[[#This Row],[Полученный платёж по процентам]])</f>
        <v>0</v>
      </c>
      <c r="V525" s="55">
        <f t="shared" ref="V525:V588" ca="1" si="97">MAX(MIN(SUM(O525,Y524)-SUM(T525:T525),SUM(E525,J525)),0)</f>
        <v>0</v>
      </c>
      <c r="W525" s="55" cm="1">
        <f t="array" aca="1" ref="W525" ca="1">IF(Первоначальный[[#This Row],[Итого остаток на начало периода]]&lt;1,0,
_xlfn.IFS(
AND(TYPE(VLOOKUP(1,$Z$12:Z525,1,0))=16,Первоначальный[[#This Row],[Досрочное погашение (да/"")]]=""),0,
AND(S524=0,Первоначальный[[#This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платеж]]+Y524-SUM(Первоначальный[[#This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комиссиям]]),VLOOKUP(LOOKUP(,-1/($Z$12:Z525=1),$A$12:A525),График[[Срок конец]:[Возврат основной суммы долга]],3,0)),
AND(S524=0,Первоначальный[[#This Row],[Дата платежа из графика]]="",Первоначальный[[#This Row],[Досрочное погашение (да/"")]]&lt;&gt;"Да"),0,
AND(S524=0,Первоначальный[[#This Row],[Досрочное погашение (да/"")]]=""),MIN(Первоначальный[[#This Row],[Полученный платеж]]+Y524-SUM(Первоначальный[[#This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комиссиям]]),VLOOKUP(LOOKUP(,-1/($Z$12:Z525=1),$A$12:A525),График[[Срок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платеж]]+Y524-SUM(Первоначальный[[#This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S524&gt;0,MIN(Первоначальный[[#This Row],[Полученный платеж]]+Y524-SUM(Первоначальный[[#This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комиссиям]]),SUM(INDIRECT("M"&amp;(MAX((1=S$12:S524)*ROW(S$12:S524),ROW($W$12))&amp;":M"&amp;(ROW()))))-SUM(INDIRECT("W"&amp;(MAX((1=S$12:S524)*ROW(S$12:S524),ROW($W$12))&amp;":W"&amp;(ROW()-1)))))
)
)</f>
        <v>0</v>
      </c>
      <c r="X525" s="55">
        <f t="shared" ref="X525:X588" ca="1" si="98">MAX(MIN(SUM(O525,Y524)-SUM(T525:W525),SUM(F525,K525)),0)</f>
        <v>0</v>
      </c>
      <c r="Y525" s="101">
        <f t="shared" ca="1" si="93"/>
        <v>0</v>
      </c>
      <c r="Z525" s="133" t="str">
        <f>IF(TYPE((VLOOKUP(Первоначальный[[#This Row],[Дата платежа]],График[Срок конец],1,0)))=16,"",1)</f>
        <v/>
      </c>
      <c r="AA525" s="57"/>
      <c r="AB525" s="134"/>
      <c r="AC52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2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36002.269999999888</v>
      </c>
      <c r="AE52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777.49000000000137</v>
      </c>
      <c r="AF52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2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45469.389880328155</v>
      </c>
      <c r="AH525" s="55"/>
      <c r="AI525" s="55"/>
      <c r="AJ525" s="55"/>
      <c r="AK525" s="101">
        <f t="shared" ca="1" si="94"/>
        <v>231882.48988032801</v>
      </c>
      <c r="AL525" s="129">
        <f t="array" ref="AL525">MAX((УслРестрактов[Характеристика]="Дата реструктуризации")*(УслРестрактов[Значение]=Первоначальный!$A525),0)</f>
        <v>0</v>
      </c>
    </row>
    <row r="526" spans="1:38" x14ac:dyDescent="0.25">
      <c r="A526" s="97">
        <f t="shared" ref="A526:A589" si="99">A525+1</f>
        <v>44657</v>
      </c>
      <c r="B526" s="100">
        <f t="shared" ref="B526:B589" ca="1" si="100">AC525</f>
        <v>149633.34</v>
      </c>
      <c r="C526" s="55">
        <f t="shared" ca="1" si="96"/>
        <v>36002.269999999888</v>
      </c>
      <c r="D526" s="55">
        <f t="shared" ca="1" si="96"/>
        <v>777.49000000000137</v>
      </c>
      <c r="E526" s="55">
        <f t="shared" ref="E526:E589" ca="1" si="101">AF525</f>
        <v>0</v>
      </c>
      <c r="F526" s="55">
        <f t="shared" ref="F526:F589" ca="1" si="102">AG525+AH525</f>
        <v>45469.389880328155</v>
      </c>
      <c r="G526" s="101">
        <f t="shared" ref="G526:G589" ca="1" si="103">AK525</f>
        <v>231882.48988032801</v>
      </c>
      <c r="H526" s="100">
        <f ca="1">ROUND($B526*VLOOKUP($A526,$A$1:$B$10,2,1)/(365+IF(MOD(YEAR($A526),4),0,1)*($A526-$A525)),2)-Первоначальный[[#This Row],[Проценты на просроченный платеж по ОД за период]]</f>
        <v>77.959999999999994</v>
      </c>
      <c r="I526" s="55">
        <f t="shared" ref="I526:I589" ca="1" si="104">ROUND(P525*VLOOKUP($A526,$A$1:$B$10,2,1)/(365+IF(MOD(YEAR($A526),4),0,1)*($A526-$A525)),2)</f>
        <v>3.62</v>
      </c>
      <c r="J526" s="55">
        <v>0</v>
      </c>
      <c r="K526" s="55">
        <f t="shared" ca="1" si="95"/>
        <v>202.72350327868853</v>
      </c>
      <c r="L526" s="55">
        <v>0</v>
      </c>
      <c r="M526" s="113">
        <f>SUMIFS(График[Возврат основной суммы долга],График[Дата с учетом нерабочих дней],$A526)</f>
        <v>0</v>
      </c>
      <c r="N526" s="56">
        <f>SUMIFS(График[Возврат начисленных %],График[Дата с учетом нерабочих дней],$A526)</f>
        <v>0</v>
      </c>
      <c r="O526" s="101">
        <v>0</v>
      </c>
      <c r="P526" s="100" cm="1">
        <f t="array" aca="1" ref="P526" ca="1">MAX(IF(AA525="Да",0,SUM(INDIRECT("M"&amp;(MAX(("Да"=AA$12:AA525)*ROW(AA$12:AA525)+1,ROW($P$12))&amp;":M"&amp;(ROW()))))-SUM(INDIRECT("W"&amp;(MAX(("Да"=AA$12:AA525)*ROW(AA$12:AA525)+1,ROW($P$12))&amp;":W"&amp;(ROW()))))),0)</f>
        <v>6648.84</v>
      </c>
      <c r="Q526" s="99">
        <f ca="1">MAX(SUM($N$13:N526)-SUM($T$13:T526),0)</f>
        <v>33895.860655737699</v>
      </c>
      <c r="R526" s="99">
        <f ca="1">Первоначальный[[#This Row],[Просроченный платеж по ОД]]+Первоначальный[[#This Row],[Просроченный платеж по процентам]]</f>
        <v>40544.700655737703</v>
      </c>
      <c r="S526" s="120">
        <f ca="1">IF(Первоначальный[[#This Row],[Просроченный платеж]]&lt;1,0,S525+1)</f>
        <v>422</v>
      </c>
      <c r="T526" s="100" cm="1">
        <f t="array" aca="1" ref="T526" ca="1">IF(Первоначальный[[#This Row],[Итого остаток на начало периода]]&lt;1,0,
IF(
AND(TYPE(VLOOKUP(1,$Z$12:Z526,1,0))=16,Первоначальный[[#This Row],[Досрочное погашение (да/"")]]=""),0,
_xlfn.IFS(AND(S525=0,Первоначальный[[#This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платеж]]&lt;&gt;0),MIN(LOOKUP(,-1/($Z$12:Z526=1),$C$12:C526)+LOOKUP(,-1/($Z$12:Z526=1),$H$12:H526),Первоначальный[[#This Row],[Полученный платеж]]+Y525),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платеж]]+Y525,SUM(Первоначальный[[#This Row],[Остаток процентов на начало периода]],Первоначальный[[#This Row],[Проценты за период]])),
AND(S525=0,Первоначальный[[#This Row],[Дата платежа из графика]]=""),0,
AND(S525=0,Первоначальный[[#This Row],[Дата платежа из графика]]=1,MAX((0&lt;&gt;S$12:S525)*ROW(S$12:S525),ROW($S$12))&gt;=MAX((1=Z$12:Z525)*ROW(Z$12:Z525),ROW($T$12)),TYPE(VLOOKUP("Да",(INDIRECT("AA"&amp;(MAX((1=Z$12:Z525)*ROW(Z$12:Z525),ROW($T$12))&amp;":AA"&amp;(ROW()-1)))),1,0))=16),MIN(LOOKUP(,-1/($Z$12:Z526=1),$C$12:C526)+LOOKUP(,-1/($Z$12:Z526=1),$H$12:H526),Первоначальный[[#This Row],[Полученный платеж]]+Y525),
AND(S525=0,TYPE(VLOOKUP("Да",(INDIRECT("AA"&amp;(MAX((1=Z$12:Z525)*ROW(Z$12:Z525),ROW($T$12))&amp;":AA"&amp;(ROW()-1)))),1,0))&lt;&gt;16),MIN(LOOKUP(,-1/($Z$12:Z526=1),$C$12:C526)+LOOKUP(,-1/($Z$12:Z526=1),$H$12:H526)-IF(AA525="Да",0,SUM(INDIRECT("T"&amp;(MAX(("Да"=AA$12:AA525)*ROW(AA$12:AA525)+1,ROW($T$12))&amp;":T"&amp;(ROW()-1))))),Первоначальный[[#This Row],[Полученный платеж]]+Y525),
AND(S525=0,MAX((0&lt;&gt;N$12:N525)*ROW(N$12:N525),ROW($S$12))&gt;=MAX((1=Z$12:Z525)*ROW(Z$12:Z525),ROW($T$12))),MIN(LOOKUP(,-1/($Z$12:Z526=1),$C$12:C526)+LOOKUP(,-1/($Z$12:Z526=1),$H$12:H526)-IF(N525&lt;&gt;0,0,SUM(INDIRECT("T"&amp;(MAX((0&lt;&gt;N$12:N525)*ROW(N$12:N525)+1,ROW($T$12))&amp;":T"&amp;(ROW()-1))))),Первоначальный[[#This Row],[Полученный платеж]]+Y525),
AND(S525=0,Первоначальный[[#This Row],[Дата платежа из графика]]=1),MIN(LOOKUP(,-1/($Z$12:Z526=1),$C$12:C526)+LOOKUP(,-1/($Z$12:Z526=1),$H$12:H526)-IF(Z525=1,0,SUM(INDIRECT("T"&amp;(MAX((1=Z$12:Z525)*ROW(Z$12:Z525)+1,ROW($T$12))&amp;":T"&amp;(ROW()-1))))),Первоначальный[[#This Row],[Полученный платеж]]+Y525),
AND(Z525&gt;0,Первоначальный[[#This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платеж]]+Y525),
AND(S525&gt;0,MAX((0&lt;&gt;S$12:S525)*ROW(S$12:S525),ROW($S$12))&gt;=MAX((1=Z$12:Z525)*ROW(Z$12:Z525),ROW($T$12)),TYPE(VLOOKUP("Да",(INDIRECT("AA"&amp;(MAX((1=Z$12:Z525)*ROW(Z$12:Z525),ROW($T$12))&amp;":AA"&amp;(ROW()-1)))),1,0))=16),MIN(LOOKUP(,-1/($Z$12:Z526=1),$C$12:C526)+LOOKUP(,-1/($Z$12:Z526=1),$H$12:H526)-SUM(INDIRECT("T"&amp;(MAX((1=Z$12:Z525)*ROW(Z$12:Z525),ROW($T$12))&amp;":T"&amp;(ROW()-1)))),Первоначальный[[#This Row],[Полученный платеж]]+Y525),
S525&gt;0,MIN(LOOKUP(,-1/($Z$12:Z526=1),$C$12:C526)+LOOKUP(,-1/($Z$12:Z526=1),$H$12:H526)-IF(Z525=1,0,SUM(INDIRECT("T"&amp;(MAX((1=Z$12:Z525)*ROW(Z$12:Z525)+1,ROW($T$12))&amp;":T"&amp;(ROW()-1))))),Первоначальный[[#This Row],[Полученный платеж]]+Y525)
)
)
)</f>
        <v>0</v>
      </c>
      <c r="U52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платеж]]+Y525-Первоначальный[[#This Row],[Полученный платёж по процентам]])</f>
        <v>0</v>
      </c>
      <c r="V526" s="55">
        <f t="shared" ca="1" si="97"/>
        <v>0</v>
      </c>
      <c r="W526" s="55" cm="1">
        <f t="array" aca="1" ref="W526" ca="1">IF(Первоначальный[[#This Row],[Итого остаток на начало периода]]&lt;1,0,
_xlfn.IFS(
AND(TYPE(VLOOKUP(1,$Z$12:Z526,1,0))=16,Первоначальный[[#This Row],[Досрочное погашение (да/"")]]=""),0,
AND(S525=0,Первоначальный[[#This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платеж]]+Y525-SUM(Первоначальный[[#This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комиссиям]]),VLOOKUP(LOOKUP(,-1/($Z$12:Z526=1),$A$12:A526),График[[Срок конец]:[Возврат основной суммы долга]],3,0)),
AND(S525=0,Первоначальный[[#This Row],[Дата платежа из графика]]="",Первоначальный[[#This Row],[Досрочное погашение (да/"")]]&lt;&gt;"Да"),0,
AND(S525=0,Первоначальный[[#This Row],[Досрочное погашение (да/"")]]=""),MIN(Первоначальный[[#This Row],[Полученный платеж]]+Y525-SUM(Первоначальный[[#This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комиссиям]]),VLOOKUP(LOOKUP(,-1/($Z$12:Z526=1),$A$12:A526),График[[Срок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платеж]]+Y525-SUM(Первоначальный[[#This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S525&gt;0,MIN(Первоначальный[[#This Row],[Полученный платеж]]+Y525-SUM(Первоначальный[[#This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комиссиям]]),SUM(INDIRECT("M"&amp;(MAX((1=S$12:S525)*ROW(S$12:S525),ROW($W$12))&amp;":M"&amp;(ROW()))))-SUM(INDIRECT("W"&amp;(MAX((1=S$12:S525)*ROW(S$12:S525),ROW($W$12))&amp;":W"&amp;(ROW()-1)))))
)
)</f>
        <v>0</v>
      </c>
      <c r="X526" s="55">
        <f t="shared" ca="1" si="98"/>
        <v>0</v>
      </c>
      <c r="Y526" s="101">
        <f t="shared" ref="Y526:Y589" ca="1" si="105">ROUND(Y525+O526-SUM(T526:X526),2)</f>
        <v>0</v>
      </c>
      <c r="Z526" s="133" t="str">
        <f>IF(TYPE((VLOOKUP(Первоначальный[[#This Row],[Дата платежа]],График[Срок конец],1,0)))=16,"",1)</f>
        <v/>
      </c>
      <c r="AA526" s="57"/>
      <c r="AB526" s="134"/>
      <c r="AC52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2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36080.229999999887</v>
      </c>
      <c r="AE52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781.11000000000138</v>
      </c>
      <c r="AF52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2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45672.113383606847</v>
      </c>
      <c r="AH526" s="55"/>
      <c r="AI526" s="55"/>
      <c r="AJ526" s="55"/>
      <c r="AK526" s="101">
        <f t="shared" ref="AK526:AK589" ca="1" si="106">SUM(AC526:AJ526)</f>
        <v>232166.79338360677</v>
      </c>
      <c r="AL526" s="129">
        <f t="array" ref="AL526">MAX((УслРестрактов[Характеристика]="Дата реструктуризации")*(УслРестрактов[Значение]=Первоначальный!$A526),0)</f>
        <v>0</v>
      </c>
    </row>
    <row r="527" spans="1:38" x14ac:dyDescent="0.25">
      <c r="A527" s="97">
        <f t="shared" si="99"/>
        <v>44658</v>
      </c>
      <c r="B527" s="100">
        <f t="shared" ca="1" si="100"/>
        <v>149633.34</v>
      </c>
      <c r="C527" s="55">
        <f t="shared" ca="1" si="96"/>
        <v>36080.229999999887</v>
      </c>
      <c r="D527" s="55">
        <f t="shared" ca="1" si="96"/>
        <v>781.11000000000138</v>
      </c>
      <c r="E527" s="55">
        <f t="shared" ca="1" si="101"/>
        <v>0</v>
      </c>
      <c r="F527" s="55">
        <f t="shared" ca="1" si="102"/>
        <v>45672.113383606847</v>
      </c>
      <c r="G527" s="101">
        <f t="shared" ca="1" si="103"/>
        <v>232166.79338360677</v>
      </c>
      <c r="H527" s="100">
        <f ca="1">ROUND($B527*VLOOKUP($A527,$A$1:$B$10,2,1)/(365+IF(MOD(YEAR($A527),4),0,1)*($A527-$A526)),2)-Первоначальный[[#This Row],[Проценты на просроченный платеж по ОД за период]]</f>
        <v>77.959999999999994</v>
      </c>
      <c r="I527" s="55">
        <f t="shared" ca="1" si="104"/>
        <v>3.62</v>
      </c>
      <c r="J527" s="55">
        <v>0</v>
      </c>
      <c r="K527" s="55">
        <f t="shared" ref="K527:K590" ca="1" si="107">IF(S527&lt;&gt;0,R527*$B$7,0)</f>
        <v>202.72350327868853</v>
      </c>
      <c r="L527" s="55">
        <v>0</v>
      </c>
      <c r="M527" s="113">
        <f>SUMIFS(График[Возврат основной суммы долга],График[Дата с учетом нерабочих дней],$A527)</f>
        <v>0</v>
      </c>
      <c r="N527" s="56">
        <f>SUMIFS(График[Возврат начисленных %],График[Дата с учетом нерабочих дней],$A527)</f>
        <v>0</v>
      </c>
      <c r="O527" s="101">
        <v>0</v>
      </c>
      <c r="P527" s="100" cm="1">
        <f t="array" aca="1" ref="P527" ca="1">MAX(IF(AA526="Да",0,SUM(INDIRECT("M"&amp;(MAX(("Да"=AA$12:AA526)*ROW(AA$12:AA526)+1,ROW($P$12))&amp;":M"&amp;(ROW()))))-SUM(INDIRECT("W"&amp;(MAX(("Да"=AA$12:AA526)*ROW(AA$12:AA526)+1,ROW($P$12))&amp;":W"&amp;(ROW()))))),0)</f>
        <v>6648.84</v>
      </c>
      <c r="Q527" s="99">
        <f ca="1">MAX(SUM($N$13:N527)-SUM($T$13:T527),0)</f>
        <v>33895.860655737699</v>
      </c>
      <c r="R527" s="99">
        <f ca="1">Первоначальный[[#This Row],[Просроченный платеж по ОД]]+Первоначальный[[#This Row],[Просроченный платеж по процентам]]</f>
        <v>40544.700655737703</v>
      </c>
      <c r="S527" s="120">
        <f ca="1">IF(Первоначальный[[#This Row],[Просроченный платеж]]&lt;1,0,S526+1)</f>
        <v>423</v>
      </c>
      <c r="T527" s="100" cm="1">
        <f t="array" aca="1" ref="T527" ca="1">IF(Первоначальный[[#This Row],[Итого остаток на начало периода]]&lt;1,0,
IF(
AND(TYPE(VLOOKUP(1,$Z$12:Z527,1,0))=16,Первоначальный[[#This Row],[Досрочное погашение (да/"")]]=""),0,
_xlfn.IFS(AND(S526=0,Первоначальный[[#This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платеж]]&lt;&gt;0),MIN(LOOKUP(,-1/($Z$12:Z527=1),$C$12:C527)+LOOKUP(,-1/($Z$12:Z527=1),$H$12:H527),Первоначальный[[#This Row],[Полученный платеж]]+Y526),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платеж]]+Y526,SUM(Первоначальный[[#This Row],[Остаток процентов на начало периода]],Первоначальный[[#This Row],[Проценты за период]])),
AND(S526=0,Первоначальный[[#This Row],[Дата платежа из графика]]=""),0,
AND(S526=0,Первоначальный[[#This Row],[Дата платежа из графика]]=1,MAX((0&lt;&gt;S$12:S526)*ROW(S$12:S526),ROW($S$12))&gt;=MAX((1=Z$12:Z526)*ROW(Z$12:Z526),ROW($T$12)),TYPE(VLOOKUP("Да",(INDIRECT("AA"&amp;(MAX((1=Z$12:Z526)*ROW(Z$12:Z526),ROW($T$12))&amp;":AA"&amp;(ROW()-1)))),1,0))=16),MIN(LOOKUP(,-1/($Z$12:Z527=1),$C$12:C527)+LOOKUP(,-1/($Z$12:Z527=1),$H$12:H527),Первоначальный[[#This Row],[Полученный платеж]]+Y526),
AND(S526=0,TYPE(VLOOKUP("Да",(INDIRECT("AA"&amp;(MAX((1=Z$12:Z526)*ROW(Z$12:Z526),ROW($T$12))&amp;":AA"&amp;(ROW()-1)))),1,0))&lt;&gt;16),MIN(LOOKUP(,-1/($Z$12:Z527=1),$C$12:C527)+LOOKUP(,-1/($Z$12:Z527=1),$H$12:H527)-IF(AA526="Да",0,SUM(INDIRECT("T"&amp;(MAX(("Да"=AA$12:AA526)*ROW(AA$12:AA526)+1,ROW($T$12))&amp;":T"&amp;(ROW()-1))))),Первоначальный[[#This Row],[Полученный платеж]]+Y526),
AND(S526=0,MAX((0&lt;&gt;N$12:N526)*ROW(N$12:N526),ROW($S$12))&gt;=MAX((1=Z$12:Z526)*ROW(Z$12:Z526),ROW($T$12))),MIN(LOOKUP(,-1/($Z$12:Z527=1),$C$12:C527)+LOOKUP(,-1/($Z$12:Z527=1),$H$12:H527)-IF(N526&lt;&gt;0,0,SUM(INDIRECT("T"&amp;(MAX((0&lt;&gt;N$12:N526)*ROW(N$12:N526)+1,ROW($T$12))&amp;":T"&amp;(ROW()-1))))),Первоначальный[[#This Row],[Полученный платеж]]+Y526),
AND(S526=0,Первоначальный[[#This Row],[Дата платежа из графика]]=1),MIN(LOOKUP(,-1/($Z$12:Z527=1),$C$12:C527)+LOOKUP(,-1/($Z$12:Z527=1),$H$12:H527)-IF(Z526=1,0,SUM(INDIRECT("T"&amp;(MAX((1=Z$12:Z526)*ROW(Z$12:Z526)+1,ROW($T$12))&amp;":T"&amp;(ROW()-1))))),Первоначальный[[#This Row],[Полученный платеж]]+Y526),
AND(Z526&gt;0,Первоначальный[[#This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платеж]]+Y526),
AND(S526&gt;0,MAX((0&lt;&gt;S$12:S526)*ROW(S$12:S526),ROW($S$12))&gt;=MAX((1=Z$12:Z526)*ROW(Z$12:Z526),ROW($T$12)),TYPE(VLOOKUP("Да",(INDIRECT("AA"&amp;(MAX((1=Z$12:Z526)*ROW(Z$12:Z526),ROW($T$12))&amp;":AA"&amp;(ROW()-1)))),1,0))=16),MIN(LOOKUP(,-1/($Z$12:Z527=1),$C$12:C527)+LOOKUP(,-1/($Z$12:Z527=1),$H$12:H527)-SUM(INDIRECT("T"&amp;(MAX((1=Z$12:Z526)*ROW(Z$12:Z526),ROW($T$12))&amp;":T"&amp;(ROW()-1)))),Первоначальный[[#This Row],[Полученный платеж]]+Y526),
S526&gt;0,MIN(LOOKUP(,-1/($Z$12:Z527=1),$C$12:C527)+LOOKUP(,-1/($Z$12:Z527=1),$H$12:H527)-IF(Z526=1,0,SUM(INDIRECT("T"&amp;(MAX((1=Z$12:Z526)*ROW(Z$12:Z526)+1,ROW($T$12))&amp;":T"&amp;(ROW()-1))))),Первоначальный[[#This Row],[Полученный платеж]]+Y526)
)
)
)</f>
        <v>0</v>
      </c>
      <c r="U52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платеж]]+Y526-Первоначальный[[#This Row],[Полученный платёж по процентам]])</f>
        <v>0</v>
      </c>
      <c r="V527" s="55">
        <f t="shared" ca="1" si="97"/>
        <v>0</v>
      </c>
      <c r="W527" s="55" cm="1">
        <f t="array" aca="1" ref="W527" ca="1">IF(Первоначальный[[#This Row],[Итого остаток на начало периода]]&lt;1,0,
_xlfn.IFS(
AND(TYPE(VLOOKUP(1,$Z$12:Z527,1,0))=16,Первоначальный[[#This Row],[Досрочное погашение (да/"")]]=""),0,
AND(S526=0,Первоначальный[[#This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платеж]]+Y526-SUM(Первоначальный[[#This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комиссиям]]),VLOOKUP(LOOKUP(,-1/($Z$12:Z527=1),$A$12:A527),График[[Срок конец]:[Возврат основной суммы долга]],3,0)),
AND(S526=0,Первоначальный[[#This Row],[Дата платежа из графика]]="",Первоначальный[[#This Row],[Досрочное погашение (да/"")]]&lt;&gt;"Да"),0,
AND(S526=0,Первоначальный[[#This Row],[Досрочное погашение (да/"")]]=""),MIN(Первоначальный[[#This Row],[Полученный платеж]]+Y526-SUM(Первоначальный[[#This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комиссиям]]),VLOOKUP(LOOKUP(,-1/($Z$12:Z527=1),$A$12:A527),График[[Срок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платеж]]+Y526-SUM(Первоначальный[[#This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S526&gt;0,MIN(Первоначальный[[#This Row],[Полученный платеж]]+Y526-SUM(Первоначальный[[#This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комиссиям]]),SUM(INDIRECT("M"&amp;(MAX((1=S$12:S526)*ROW(S$12:S526),ROW($W$12))&amp;":M"&amp;(ROW()))))-SUM(INDIRECT("W"&amp;(MAX((1=S$12:S526)*ROW(S$12:S526),ROW($W$12))&amp;":W"&amp;(ROW()-1)))))
)
)</f>
        <v>0</v>
      </c>
      <c r="X527" s="55">
        <f t="shared" ca="1" si="98"/>
        <v>0</v>
      </c>
      <c r="Y527" s="101">
        <f t="shared" ca="1" si="105"/>
        <v>0</v>
      </c>
      <c r="Z527" s="133" t="str">
        <f>IF(TYPE((VLOOKUP(Первоначальный[[#This Row],[Дата платежа]],График[Срок конец],1,0)))=16,"",1)</f>
        <v/>
      </c>
      <c r="AA527" s="57"/>
      <c r="AB527" s="134"/>
      <c r="AC52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2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36158.189999999886</v>
      </c>
      <c r="AE52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784.73000000000138</v>
      </c>
      <c r="AF52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2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45874.83688688554</v>
      </c>
      <c r="AH527" s="55"/>
      <c r="AI527" s="55"/>
      <c r="AJ527" s="55"/>
      <c r="AK527" s="101">
        <f t="shared" ca="1" si="106"/>
        <v>232451.09688688544</v>
      </c>
      <c r="AL527" s="129">
        <f t="array" ref="AL527">MAX((УслРестрактов[Характеристика]="Дата реструктуризации")*(УслРестрактов[Значение]=Первоначальный!$A527),0)</f>
        <v>0</v>
      </c>
    </row>
    <row r="528" spans="1:38" x14ac:dyDescent="0.25">
      <c r="A528" s="97">
        <f t="shared" si="99"/>
        <v>44659</v>
      </c>
      <c r="B528" s="100">
        <f t="shared" ca="1" si="100"/>
        <v>149633.34</v>
      </c>
      <c r="C528" s="55">
        <f t="shared" ca="1" si="96"/>
        <v>36158.189999999886</v>
      </c>
      <c r="D528" s="55">
        <f t="shared" ca="1" si="96"/>
        <v>784.73000000000138</v>
      </c>
      <c r="E528" s="55">
        <f t="shared" ca="1" si="101"/>
        <v>0</v>
      </c>
      <c r="F528" s="55">
        <f t="shared" ca="1" si="102"/>
        <v>45874.83688688554</v>
      </c>
      <c r="G528" s="101">
        <f t="shared" ca="1" si="103"/>
        <v>232451.09688688544</v>
      </c>
      <c r="H528" s="100">
        <f ca="1">ROUND($B528*VLOOKUP($A528,$A$1:$B$10,2,1)/(365+IF(MOD(YEAR($A528),4),0,1)*($A528-$A527)),2)-Первоначальный[[#This Row],[Проценты на просроченный платеж по ОД за период]]</f>
        <v>77.959999999999994</v>
      </c>
      <c r="I528" s="55">
        <f t="shared" ca="1" si="104"/>
        <v>3.62</v>
      </c>
      <c r="J528" s="55">
        <v>0</v>
      </c>
      <c r="K528" s="55">
        <f t="shared" ca="1" si="107"/>
        <v>202.72350327868853</v>
      </c>
      <c r="L528" s="55">
        <v>0</v>
      </c>
      <c r="M528" s="113">
        <f>SUMIFS(График[Возврат основной суммы долга],График[Дата с учетом нерабочих дней],$A528)</f>
        <v>0</v>
      </c>
      <c r="N528" s="56">
        <f>SUMIFS(График[Возврат начисленных %],График[Дата с учетом нерабочих дней],$A528)</f>
        <v>0</v>
      </c>
      <c r="O528" s="101">
        <v>0</v>
      </c>
      <c r="P528" s="100" cm="1">
        <f t="array" aca="1" ref="P528" ca="1">MAX(IF(AA527="Да",0,SUM(INDIRECT("M"&amp;(MAX(("Да"=AA$12:AA527)*ROW(AA$12:AA527)+1,ROW($P$12))&amp;":M"&amp;(ROW()))))-SUM(INDIRECT("W"&amp;(MAX(("Да"=AA$12:AA527)*ROW(AA$12:AA527)+1,ROW($P$12))&amp;":W"&amp;(ROW()))))),0)</f>
        <v>6648.84</v>
      </c>
      <c r="Q528" s="99">
        <f ca="1">MAX(SUM($N$13:N528)-SUM($T$13:T528),0)</f>
        <v>33895.860655737699</v>
      </c>
      <c r="R528" s="99">
        <f ca="1">Первоначальный[[#This Row],[Просроченный платеж по ОД]]+Первоначальный[[#This Row],[Просроченный платеж по процентам]]</f>
        <v>40544.700655737703</v>
      </c>
      <c r="S528" s="120">
        <f ca="1">IF(Первоначальный[[#This Row],[Просроченный платеж]]&lt;1,0,S527+1)</f>
        <v>424</v>
      </c>
      <c r="T528" s="100" cm="1">
        <f t="array" aca="1" ref="T528" ca="1">IF(Первоначальный[[#This Row],[Итого остаток на начало периода]]&lt;1,0,
IF(
AND(TYPE(VLOOKUP(1,$Z$12:Z528,1,0))=16,Первоначальный[[#This Row],[Досрочное погашение (да/"")]]=""),0,
_xlfn.IFS(AND(S527=0,Первоначальный[[#This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платеж]]&lt;&gt;0),MIN(LOOKUP(,-1/($Z$12:Z528=1),$C$12:C528)+LOOKUP(,-1/($Z$12:Z528=1),$H$12:H528),Первоначальный[[#This Row],[Полученный платеж]]+Y527),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платеж]]+Y527,SUM(Первоначальный[[#This Row],[Остаток процентов на начало периода]],Первоначальный[[#This Row],[Проценты за период]])),
AND(S527=0,Первоначальный[[#This Row],[Дата платежа из графика]]=""),0,
AND(S527=0,Первоначальный[[#This Row],[Дата платежа из графика]]=1,MAX((0&lt;&gt;S$12:S527)*ROW(S$12:S527),ROW($S$12))&gt;=MAX((1=Z$12:Z527)*ROW(Z$12:Z527),ROW($T$12)),TYPE(VLOOKUP("Да",(INDIRECT("AA"&amp;(MAX((1=Z$12:Z527)*ROW(Z$12:Z527),ROW($T$12))&amp;":AA"&amp;(ROW()-1)))),1,0))=16),MIN(LOOKUP(,-1/($Z$12:Z528=1),$C$12:C528)+LOOKUP(,-1/($Z$12:Z528=1),$H$12:H528),Первоначальный[[#This Row],[Полученный платеж]]+Y527),
AND(S527=0,TYPE(VLOOKUP("Да",(INDIRECT("AA"&amp;(MAX((1=Z$12:Z527)*ROW(Z$12:Z527),ROW($T$12))&amp;":AA"&amp;(ROW()-1)))),1,0))&lt;&gt;16),MIN(LOOKUP(,-1/($Z$12:Z528=1),$C$12:C528)+LOOKUP(,-1/($Z$12:Z528=1),$H$12:H528)-IF(AA527="Да",0,SUM(INDIRECT("T"&amp;(MAX(("Да"=AA$12:AA527)*ROW(AA$12:AA527)+1,ROW($T$12))&amp;":T"&amp;(ROW()-1))))),Первоначальный[[#This Row],[Полученный платеж]]+Y527),
AND(S527=0,MAX((0&lt;&gt;N$12:N527)*ROW(N$12:N527),ROW($S$12))&gt;=MAX((1=Z$12:Z527)*ROW(Z$12:Z527),ROW($T$12))),MIN(LOOKUP(,-1/($Z$12:Z528=1),$C$12:C528)+LOOKUP(,-1/($Z$12:Z528=1),$H$12:H528)-IF(N527&lt;&gt;0,0,SUM(INDIRECT("T"&amp;(MAX((0&lt;&gt;N$12:N527)*ROW(N$12:N527)+1,ROW($T$12))&amp;":T"&amp;(ROW()-1))))),Первоначальный[[#This Row],[Полученный платеж]]+Y527),
AND(S527=0,Первоначальный[[#This Row],[Дата платежа из графика]]=1),MIN(LOOKUP(,-1/($Z$12:Z528=1),$C$12:C528)+LOOKUP(,-1/($Z$12:Z528=1),$H$12:H528)-IF(Z527=1,0,SUM(INDIRECT("T"&amp;(MAX((1=Z$12:Z527)*ROW(Z$12:Z527)+1,ROW($T$12))&amp;":T"&amp;(ROW()-1))))),Первоначальный[[#This Row],[Полученный платеж]]+Y527),
AND(Z527&gt;0,Первоначальный[[#This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платеж]]+Y527),
AND(S527&gt;0,MAX((0&lt;&gt;S$12:S527)*ROW(S$12:S527),ROW($S$12))&gt;=MAX((1=Z$12:Z527)*ROW(Z$12:Z527),ROW($T$12)),TYPE(VLOOKUP("Да",(INDIRECT("AA"&amp;(MAX((1=Z$12:Z527)*ROW(Z$12:Z527),ROW($T$12))&amp;":AA"&amp;(ROW()-1)))),1,0))=16),MIN(LOOKUP(,-1/($Z$12:Z528=1),$C$12:C528)+LOOKUP(,-1/($Z$12:Z528=1),$H$12:H528)-SUM(INDIRECT("T"&amp;(MAX((1=Z$12:Z527)*ROW(Z$12:Z527),ROW($T$12))&amp;":T"&amp;(ROW()-1)))),Первоначальный[[#This Row],[Полученный платеж]]+Y527),
S527&gt;0,MIN(LOOKUP(,-1/($Z$12:Z528=1),$C$12:C528)+LOOKUP(,-1/($Z$12:Z528=1),$H$12:H528)-IF(Z527=1,0,SUM(INDIRECT("T"&amp;(MAX((1=Z$12:Z527)*ROW(Z$12:Z527)+1,ROW($T$12))&amp;":T"&amp;(ROW()-1))))),Первоначальный[[#This Row],[Полученный платеж]]+Y527)
)
)
)</f>
        <v>0</v>
      </c>
      <c r="U52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платеж]]+Y527-Первоначальный[[#This Row],[Полученный платёж по процентам]])</f>
        <v>0</v>
      </c>
      <c r="V528" s="55">
        <f t="shared" ca="1" si="97"/>
        <v>0</v>
      </c>
      <c r="W528" s="55" cm="1">
        <f t="array" aca="1" ref="W528" ca="1">IF(Первоначальный[[#This Row],[Итого остаток на начало периода]]&lt;1,0,
_xlfn.IFS(
AND(TYPE(VLOOKUP(1,$Z$12:Z528,1,0))=16,Первоначальный[[#This Row],[Досрочное погашение (да/"")]]=""),0,
AND(S527=0,Первоначальный[[#This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платеж]]+Y527-SUM(Первоначальный[[#This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комиссиям]]),VLOOKUP(LOOKUP(,-1/($Z$12:Z528=1),$A$12:A528),График[[Срок конец]:[Возврат основной суммы долга]],3,0)),
AND(S527=0,Первоначальный[[#This Row],[Дата платежа из графика]]="",Первоначальный[[#This Row],[Досрочное погашение (да/"")]]&lt;&gt;"Да"),0,
AND(S527=0,Первоначальный[[#This Row],[Досрочное погашение (да/"")]]=""),MIN(Первоначальный[[#This Row],[Полученный платеж]]+Y527-SUM(Первоначальный[[#This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комиссиям]]),VLOOKUP(LOOKUP(,-1/($Z$12:Z528=1),$A$12:A528),График[[Срок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платеж]]+Y527-SUM(Первоначальный[[#This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S527&gt;0,MIN(Первоначальный[[#This Row],[Полученный платеж]]+Y527-SUM(Первоначальный[[#This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комиссиям]]),SUM(INDIRECT("M"&amp;(MAX((1=S$12:S527)*ROW(S$12:S527),ROW($W$12))&amp;":M"&amp;(ROW()))))-SUM(INDIRECT("W"&amp;(MAX((1=S$12:S527)*ROW(S$12:S527),ROW($W$12))&amp;":W"&amp;(ROW()-1)))))
)
)</f>
        <v>0</v>
      </c>
      <c r="X528" s="55">
        <f t="shared" ca="1" si="98"/>
        <v>0</v>
      </c>
      <c r="Y528" s="101">
        <f t="shared" ca="1" si="105"/>
        <v>0</v>
      </c>
      <c r="Z528" s="133" t="str">
        <f>IF(TYPE((VLOOKUP(Первоначальный[[#This Row],[Дата платежа]],График[Срок конец],1,0)))=16,"",1)</f>
        <v/>
      </c>
      <c r="AA528" s="57"/>
      <c r="AB528" s="134"/>
      <c r="AC52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2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36236.149999999885</v>
      </c>
      <c r="AE52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788.35000000000139</v>
      </c>
      <c r="AF52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2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46077.560390164232</v>
      </c>
      <c r="AH528" s="55"/>
      <c r="AI528" s="55"/>
      <c r="AJ528" s="55"/>
      <c r="AK528" s="101">
        <f t="shared" ca="1" si="106"/>
        <v>232735.40039016411</v>
      </c>
      <c r="AL528" s="129">
        <f t="array" ref="AL528">MAX((УслРестрактов[Характеристика]="Дата реструктуризации")*(УслРестрактов[Значение]=Первоначальный!$A528),0)</f>
        <v>0</v>
      </c>
    </row>
    <row r="529" spans="1:38" x14ac:dyDescent="0.25">
      <c r="A529" s="97">
        <f t="shared" si="99"/>
        <v>44660</v>
      </c>
      <c r="B529" s="100">
        <f t="shared" ca="1" si="100"/>
        <v>149633.34</v>
      </c>
      <c r="C529" s="55">
        <f t="shared" ca="1" si="96"/>
        <v>36236.149999999885</v>
      </c>
      <c r="D529" s="55">
        <f t="shared" ca="1" si="96"/>
        <v>788.35000000000139</v>
      </c>
      <c r="E529" s="55">
        <f t="shared" ca="1" si="101"/>
        <v>0</v>
      </c>
      <c r="F529" s="55">
        <f t="shared" ca="1" si="102"/>
        <v>46077.560390164232</v>
      </c>
      <c r="G529" s="101">
        <f t="shared" ca="1" si="103"/>
        <v>232735.40039016411</v>
      </c>
      <c r="H529" s="100">
        <f ca="1">ROUND($B529*VLOOKUP($A529,$A$1:$B$10,2,1)/(365+IF(MOD(YEAR($A529),4),0,1)*($A529-$A528)),2)-Первоначальный[[#This Row],[Проценты на просроченный платеж по ОД за период]]</f>
        <v>77.959999999999994</v>
      </c>
      <c r="I529" s="55">
        <f t="shared" ca="1" si="104"/>
        <v>3.62</v>
      </c>
      <c r="J529" s="55">
        <v>0</v>
      </c>
      <c r="K529" s="55">
        <f t="shared" ca="1" si="107"/>
        <v>202.72350327868853</v>
      </c>
      <c r="L529" s="55">
        <v>0</v>
      </c>
      <c r="M529" s="113">
        <f>SUMIFS(График[Возврат основной суммы долга],График[Дата с учетом нерабочих дней],$A529)</f>
        <v>0</v>
      </c>
      <c r="N529" s="56">
        <f>SUMIFS(График[Возврат начисленных %],График[Дата с учетом нерабочих дней],$A529)</f>
        <v>0</v>
      </c>
      <c r="O529" s="101">
        <v>0</v>
      </c>
      <c r="P529" s="100" cm="1">
        <f t="array" aca="1" ref="P529" ca="1">MAX(IF(AA528="Да",0,SUM(INDIRECT("M"&amp;(MAX(("Да"=AA$12:AA528)*ROW(AA$12:AA528)+1,ROW($P$12))&amp;":M"&amp;(ROW()))))-SUM(INDIRECT("W"&amp;(MAX(("Да"=AA$12:AA528)*ROW(AA$12:AA528)+1,ROW($P$12))&amp;":W"&amp;(ROW()))))),0)</f>
        <v>6648.84</v>
      </c>
      <c r="Q529" s="99">
        <f ca="1">MAX(SUM($N$13:N529)-SUM($T$13:T529),0)</f>
        <v>33895.860655737699</v>
      </c>
      <c r="R529" s="99">
        <f ca="1">Первоначальный[[#This Row],[Просроченный платеж по ОД]]+Первоначальный[[#This Row],[Просроченный платеж по процентам]]</f>
        <v>40544.700655737703</v>
      </c>
      <c r="S529" s="120">
        <f ca="1">IF(Первоначальный[[#This Row],[Просроченный платеж]]&lt;1,0,S528+1)</f>
        <v>425</v>
      </c>
      <c r="T529" s="100" cm="1">
        <f t="array" aca="1" ref="T529" ca="1">IF(Первоначальный[[#This Row],[Итого остаток на начало периода]]&lt;1,0,
IF(
AND(TYPE(VLOOKUP(1,$Z$12:Z529,1,0))=16,Первоначальный[[#This Row],[Досрочное погашение (да/"")]]=""),0,
_xlfn.IFS(AND(S528=0,Первоначальный[[#This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платеж]]&lt;&gt;0),MIN(LOOKUP(,-1/($Z$12:Z529=1),$C$12:C529)+LOOKUP(,-1/($Z$12:Z529=1),$H$12:H529),Первоначальный[[#This Row],[Полученный платеж]]+Y528),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платеж]]+Y528,SUM(Первоначальный[[#This Row],[Остаток процентов на начало периода]],Первоначальный[[#This Row],[Проценты за период]])),
AND(S528=0,Первоначальный[[#This Row],[Дата платежа из графика]]=""),0,
AND(S528=0,Первоначальный[[#This Row],[Дата платежа из графика]]=1,MAX((0&lt;&gt;S$12:S528)*ROW(S$12:S528),ROW($S$12))&gt;=MAX((1=Z$12:Z528)*ROW(Z$12:Z528),ROW($T$12)),TYPE(VLOOKUP("Да",(INDIRECT("AA"&amp;(MAX((1=Z$12:Z528)*ROW(Z$12:Z528),ROW($T$12))&amp;":AA"&amp;(ROW()-1)))),1,0))=16),MIN(LOOKUP(,-1/($Z$12:Z529=1),$C$12:C529)+LOOKUP(,-1/($Z$12:Z529=1),$H$12:H529),Первоначальный[[#This Row],[Полученный платеж]]+Y528),
AND(S528=0,TYPE(VLOOKUP("Да",(INDIRECT("AA"&amp;(MAX((1=Z$12:Z528)*ROW(Z$12:Z528),ROW($T$12))&amp;":AA"&amp;(ROW()-1)))),1,0))&lt;&gt;16),MIN(LOOKUP(,-1/($Z$12:Z529=1),$C$12:C529)+LOOKUP(,-1/($Z$12:Z529=1),$H$12:H529)-IF(AA528="Да",0,SUM(INDIRECT("T"&amp;(MAX(("Да"=AA$12:AA528)*ROW(AA$12:AA528)+1,ROW($T$12))&amp;":T"&amp;(ROW()-1))))),Первоначальный[[#This Row],[Полученный платеж]]+Y528),
AND(S528=0,MAX((0&lt;&gt;N$12:N528)*ROW(N$12:N528),ROW($S$12))&gt;=MAX((1=Z$12:Z528)*ROW(Z$12:Z528),ROW($T$12))),MIN(LOOKUP(,-1/($Z$12:Z529=1),$C$12:C529)+LOOKUP(,-1/($Z$12:Z529=1),$H$12:H529)-IF(N528&lt;&gt;0,0,SUM(INDIRECT("T"&amp;(MAX((0&lt;&gt;N$12:N528)*ROW(N$12:N528)+1,ROW($T$12))&amp;":T"&amp;(ROW()-1))))),Первоначальный[[#This Row],[Полученный платеж]]+Y528),
AND(S528=0,Первоначальный[[#This Row],[Дата платежа из графика]]=1),MIN(LOOKUP(,-1/($Z$12:Z529=1),$C$12:C529)+LOOKUP(,-1/($Z$12:Z529=1),$H$12:H529)-IF(Z528=1,0,SUM(INDIRECT("T"&amp;(MAX((1=Z$12:Z528)*ROW(Z$12:Z528)+1,ROW($T$12))&amp;":T"&amp;(ROW()-1))))),Первоначальный[[#This Row],[Полученный платеж]]+Y528),
AND(Z528&gt;0,Первоначальный[[#This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платеж]]+Y528),
AND(S528&gt;0,MAX((0&lt;&gt;S$12:S528)*ROW(S$12:S528),ROW($S$12))&gt;=MAX((1=Z$12:Z528)*ROW(Z$12:Z528),ROW($T$12)),TYPE(VLOOKUP("Да",(INDIRECT("AA"&amp;(MAX((1=Z$12:Z528)*ROW(Z$12:Z528),ROW($T$12))&amp;":AA"&amp;(ROW()-1)))),1,0))=16),MIN(LOOKUP(,-1/($Z$12:Z529=1),$C$12:C529)+LOOKUP(,-1/($Z$12:Z529=1),$H$12:H529)-SUM(INDIRECT("T"&amp;(MAX((1=Z$12:Z528)*ROW(Z$12:Z528),ROW($T$12))&amp;":T"&amp;(ROW()-1)))),Первоначальный[[#This Row],[Полученный платеж]]+Y528),
S528&gt;0,MIN(LOOKUP(,-1/($Z$12:Z529=1),$C$12:C529)+LOOKUP(,-1/($Z$12:Z529=1),$H$12:H529)-IF(Z528=1,0,SUM(INDIRECT("T"&amp;(MAX((1=Z$12:Z528)*ROW(Z$12:Z528)+1,ROW($T$12))&amp;":T"&amp;(ROW()-1))))),Первоначальный[[#This Row],[Полученный платеж]]+Y528)
)
)
)</f>
        <v>0</v>
      </c>
      <c r="U52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платеж]]+Y528-Первоначальный[[#This Row],[Полученный платёж по процентам]])</f>
        <v>0</v>
      </c>
      <c r="V529" s="55">
        <f t="shared" ca="1" si="97"/>
        <v>0</v>
      </c>
      <c r="W529" s="55" cm="1">
        <f t="array" aca="1" ref="W529" ca="1">IF(Первоначальный[[#This Row],[Итого остаток на начало периода]]&lt;1,0,
_xlfn.IFS(
AND(TYPE(VLOOKUP(1,$Z$12:Z529,1,0))=16,Первоначальный[[#This Row],[Досрочное погашение (да/"")]]=""),0,
AND(S528=0,Первоначальный[[#This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платеж]]+Y528-SUM(Первоначальный[[#This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комиссиям]]),VLOOKUP(LOOKUP(,-1/($Z$12:Z529=1),$A$12:A529),График[[Срок конец]:[Возврат основной суммы долга]],3,0)),
AND(S528=0,Первоначальный[[#This Row],[Дата платежа из графика]]="",Первоначальный[[#This Row],[Досрочное погашение (да/"")]]&lt;&gt;"Да"),0,
AND(S528=0,Первоначальный[[#This Row],[Досрочное погашение (да/"")]]=""),MIN(Первоначальный[[#This Row],[Полученный платеж]]+Y528-SUM(Первоначальный[[#This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комиссиям]]),VLOOKUP(LOOKUP(,-1/($Z$12:Z529=1),$A$12:A529),График[[Срок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платеж]]+Y528-SUM(Первоначальный[[#This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S528&gt;0,MIN(Первоначальный[[#This Row],[Полученный платеж]]+Y528-SUM(Первоначальный[[#This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комиссиям]]),SUM(INDIRECT("M"&amp;(MAX((1=S$12:S528)*ROW(S$12:S528),ROW($W$12))&amp;":M"&amp;(ROW()))))-SUM(INDIRECT("W"&amp;(MAX((1=S$12:S528)*ROW(S$12:S528),ROW($W$12))&amp;":W"&amp;(ROW()-1)))))
)
)</f>
        <v>0</v>
      </c>
      <c r="X529" s="55">
        <f t="shared" ca="1" si="98"/>
        <v>0</v>
      </c>
      <c r="Y529" s="101">
        <f t="shared" ca="1" si="105"/>
        <v>0</v>
      </c>
      <c r="Z529" s="133">
        <f>IF(TYPE((VLOOKUP(Первоначальный[[#This Row],[Дата платежа]],График[Срок конец],1,0)))=16,"",1)</f>
        <v>1</v>
      </c>
      <c r="AA529" s="57"/>
      <c r="AB529" s="134"/>
      <c r="AC52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2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36314.109999999884</v>
      </c>
      <c r="AE52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791.97000000000139</v>
      </c>
      <c r="AF52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2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46280.283893442924</v>
      </c>
      <c r="AH529" s="55"/>
      <c r="AI529" s="55"/>
      <c r="AJ529" s="55"/>
      <c r="AK529" s="101">
        <f t="shared" ca="1" si="106"/>
        <v>233019.70389344281</v>
      </c>
      <c r="AL529" s="129">
        <f t="array" ref="AL529">MAX((УслРестрактов[Характеристика]="Дата реструктуризации")*(УслРестрактов[Значение]=Первоначальный!$A529),0)</f>
        <v>0</v>
      </c>
    </row>
    <row r="530" spans="1:38" x14ac:dyDescent="0.25">
      <c r="A530" s="97">
        <f t="shared" si="99"/>
        <v>44661</v>
      </c>
      <c r="B530" s="100">
        <f t="shared" ca="1" si="100"/>
        <v>149633.34</v>
      </c>
      <c r="C530" s="55">
        <f t="shared" ca="1" si="96"/>
        <v>36314.109999999884</v>
      </c>
      <c r="D530" s="55">
        <f t="shared" ca="1" si="96"/>
        <v>791.97000000000139</v>
      </c>
      <c r="E530" s="55">
        <f t="shared" ca="1" si="101"/>
        <v>0</v>
      </c>
      <c r="F530" s="55">
        <f t="shared" ca="1" si="102"/>
        <v>46280.283893442924</v>
      </c>
      <c r="G530" s="101">
        <f t="shared" ca="1" si="103"/>
        <v>233019.70389344281</v>
      </c>
      <c r="H530" s="100">
        <f ca="1">ROUND($B530*VLOOKUP($A530,$A$1:$B$10,2,1)/(365+IF(MOD(YEAR($A530),4),0,1)*($A530-$A529)),2)-Первоначальный[[#This Row],[Проценты на просроченный платеж по ОД за период]]</f>
        <v>77.959999999999994</v>
      </c>
      <c r="I530" s="55">
        <f t="shared" ca="1" si="104"/>
        <v>3.62</v>
      </c>
      <c r="J530" s="55">
        <v>0</v>
      </c>
      <c r="K530" s="55">
        <f t="shared" ca="1" si="107"/>
        <v>202.72350327868853</v>
      </c>
      <c r="L530" s="55">
        <v>0</v>
      </c>
      <c r="M530" s="113">
        <f>SUMIFS(График[Возврат основной суммы долга],График[Дата с учетом нерабочих дней],$A530)</f>
        <v>0</v>
      </c>
      <c r="N530" s="56">
        <f>SUMIFS(График[Возврат начисленных %],График[Дата с учетом нерабочих дней],$A530)</f>
        <v>0</v>
      </c>
      <c r="O530" s="101">
        <v>0</v>
      </c>
      <c r="P530" s="100" cm="1">
        <f t="array" aca="1" ref="P530" ca="1">MAX(IF(AA529="Да",0,SUM(INDIRECT("M"&amp;(MAX(("Да"=AA$12:AA529)*ROW(AA$12:AA529)+1,ROW($P$12))&amp;":M"&amp;(ROW()))))-SUM(INDIRECT("W"&amp;(MAX(("Да"=AA$12:AA529)*ROW(AA$12:AA529)+1,ROW($P$12))&amp;":W"&amp;(ROW()))))),0)</f>
        <v>6648.84</v>
      </c>
      <c r="Q530" s="99">
        <f ca="1">MAX(SUM($N$13:N530)-SUM($T$13:T530),0)</f>
        <v>33895.860655737699</v>
      </c>
      <c r="R530" s="99">
        <f ca="1">Первоначальный[[#This Row],[Просроченный платеж по ОД]]+Первоначальный[[#This Row],[Просроченный платеж по процентам]]</f>
        <v>40544.700655737703</v>
      </c>
      <c r="S530" s="120">
        <f ca="1">IF(Первоначальный[[#This Row],[Просроченный платеж]]&lt;1,0,S529+1)</f>
        <v>426</v>
      </c>
      <c r="T530" s="100" cm="1">
        <f t="array" aca="1" ref="T530" ca="1">IF(Первоначальный[[#This Row],[Итого остаток на начало периода]]&lt;1,0,
IF(
AND(TYPE(VLOOKUP(1,$Z$12:Z530,1,0))=16,Первоначальный[[#This Row],[Досрочное погашение (да/"")]]=""),0,
_xlfn.IFS(AND(S529=0,Первоначальный[[#This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платеж]]&lt;&gt;0),MIN(LOOKUP(,-1/($Z$12:Z530=1),$C$12:C530)+LOOKUP(,-1/($Z$12:Z530=1),$H$12:H530),Первоначальный[[#This Row],[Полученный платеж]]+Y529),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платеж]]+Y529,SUM(Первоначальный[[#This Row],[Остаток процентов на начало периода]],Первоначальный[[#This Row],[Проценты за период]])),
AND(S529=0,Первоначальный[[#This Row],[Дата платежа из графика]]=""),0,
AND(S529=0,Первоначальный[[#This Row],[Дата платежа из графика]]=1,MAX((0&lt;&gt;S$12:S529)*ROW(S$12:S529),ROW($S$12))&gt;=MAX((1=Z$12:Z529)*ROW(Z$12:Z529),ROW($T$12)),TYPE(VLOOKUP("Да",(INDIRECT("AA"&amp;(MAX((1=Z$12:Z529)*ROW(Z$12:Z529),ROW($T$12))&amp;":AA"&amp;(ROW()-1)))),1,0))=16),MIN(LOOKUP(,-1/($Z$12:Z530=1),$C$12:C530)+LOOKUP(,-1/($Z$12:Z530=1),$H$12:H530),Первоначальный[[#This Row],[Полученный платеж]]+Y529),
AND(S529=0,TYPE(VLOOKUP("Да",(INDIRECT("AA"&amp;(MAX((1=Z$12:Z529)*ROW(Z$12:Z529),ROW($T$12))&amp;":AA"&amp;(ROW()-1)))),1,0))&lt;&gt;16),MIN(LOOKUP(,-1/($Z$12:Z530=1),$C$12:C530)+LOOKUP(,-1/($Z$12:Z530=1),$H$12:H530)-IF(AA529="Да",0,SUM(INDIRECT("T"&amp;(MAX(("Да"=AA$12:AA529)*ROW(AA$12:AA529)+1,ROW($T$12))&amp;":T"&amp;(ROW()-1))))),Первоначальный[[#This Row],[Полученный платеж]]+Y529),
AND(S529=0,MAX((0&lt;&gt;N$12:N529)*ROW(N$12:N529),ROW($S$12))&gt;=MAX((1=Z$12:Z529)*ROW(Z$12:Z529),ROW($T$12))),MIN(LOOKUP(,-1/($Z$12:Z530=1),$C$12:C530)+LOOKUP(,-1/($Z$12:Z530=1),$H$12:H530)-IF(N529&lt;&gt;0,0,SUM(INDIRECT("T"&amp;(MAX((0&lt;&gt;N$12:N529)*ROW(N$12:N529)+1,ROW($T$12))&amp;":T"&amp;(ROW()-1))))),Первоначальный[[#This Row],[Полученный платеж]]+Y529),
AND(S529=0,Первоначальный[[#This Row],[Дата платежа из графика]]=1),MIN(LOOKUP(,-1/($Z$12:Z530=1),$C$12:C530)+LOOKUP(,-1/($Z$12:Z530=1),$H$12:H530)-IF(Z529=1,0,SUM(INDIRECT("T"&amp;(MAX((1=Z$12:Z529)*ROW(Z$12:Z529)+1,ROW($T$12))&amp;":T"&amp;(ROW()-1))))),Первоначальный[[#This Row],[Полученный платеж]]+Y529),
AND(Z529&gt;0,Первоначальный[[#This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платеж]]+Y529),
AND(S529&gt;0,MAX((0&lt;&gt;S$12:S529)*ROW(S$12:S529),ROW($S$12))&gt;=MAX((1=Z$12:Z529)*ROW(Z$12:Z529),ROW($T$12)),TYPE(VLOOKUP("Да",(INDIRECT("AA"&amp;(MAX((1=Z$12:Z529)*ROW(Z$12:Z529),ROW($T$12))&amp;":AA"&amp;(ROW()-1)))),1,0))=16),MIN(LOOKUP(,-1/($Z$12:Z530=1),$C$12:C530)+LOOKUP(,-1/($Z$12:Z530=1),$H$12:H530)-SUM(INDIRECT("T"&amp;(MAX((1=Z$12:Z529)*ROW(Z$12:Z529),ROW($T$12))&amp;":T"&amp;(ROW()-1)))),Первоначальный[[#This Row],[Полученный платеж]]+Y529),
S529&gt;0,MIN(LOOKUP(,-1/($Z$12:Z530=1),$C$12:C530)+LOOKUP(,-1/($Z$12:Z530=1),$H$12:H530)-IF(Z529=1,0,SUM(INDIRECT("T"&amp;(MAX((1=Z$12:Z529)*ROW(Z$12:Z529)+1,ROW($T$12))&amp;":T"&amp;(ROW()-1))))),Первоначальный[[#This Row],[Полученный платеж]]+Y529)
)
)
)</f>
        <v>0</v>
      </c>
      <c r="U53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платеж]]+Y529-Первоначальный[[#This Row],[Полученный платёж по процентам]])</f>
        <v>0</v>
      </c>
      <c r="V530" s="55">
        <f t="shared" ca="1" si="97"/>
        <v>0</v>
      </c>
      <c r="W530" s="55" cm="1">
        <f t="array" aca="1" ref="W530" ca="1">IF(Первоначальный[[#This Row],[Итого остаток на начало периода]]&lt;1,0,
_xlfn.IFS(
AND(TYPE(VLOOKUP(1,$Z$12:Z530,1,0))=16,Первоначальный[[#This Row],[Досрочное погашение (да/"")]]=""),0,
AND(S529=0,Первоначальный[[#This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платеж]]+Y529-SUM(Первоначальный[[#This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комиссиям]]),VLOOKUP(LOOKUP(,-1/($Z$12:Z530=1),$A$12:A530),График[[Срок конец]:[Возврат основной суммы долга]],3,0)),
AND(S529=0,Первоначальный[[#This Row],[Дата платежа из графика]]="",Первоначальный[[#This Row],[Досрочное погашение (да/"")]]&lt;&gt;"Да"),0,
AND(S529=0,Первоначальный[[#This Row],[Досрочное погашение (да/"")]]=""),MIN(Первоначальный[[#This Row],[Полученный платеж]]+Y529-SUM(Первоначальный[[#This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комиссиям]]),VLOOKUP(LOOKUP(,-1/($Z$12:Z530=1),$A$12:A530),График[[Срок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платеж]]+Y529-SUM(Первоначальный[[#This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S529&gt;0,MIN(Первоначальный[[#This Row],[Полученный платеж]]+Y529-SUM(Первоначальный[[#This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комиссиям]]),SUM(INDIRECT("M"&amp;(MAX((1=S$12:S529)*ROW(S$12:S529),ROW($W$12))&amp;":M"&amp;(ROW()))))-SUM(INDIRECT("W"&amp;(MAX((1=S$12:S529)*ROW(S$12:S529),ROW($W$12))&amp;":W"&amp;(ROW()-1)))))
)
)</f>
        <v>0</v>
      </c>
      <c r="X530" s="55">
        <f t="shared" ca="1" si="98"/>
        <v>0</v>
      </c>
      <c r="Y530" s="101">
        <f t="shared" ca="1" si="105"/>
        <v>0</v>
      </c>
      <c r="Z530" s="133" t="str">
        <f>IF(TYPE((VLOOKUP(Первоначальный[[#This Row],[Дата платежа]],График[Срок конец],1,0)))=16,"",1)</f>
        <v/>
      </c>
      <c r="AA530" s="57"/>
      <c r="AB530" s="134"/>
      <c r="AC53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3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36392.069999999883</v>
      </c>
      <c r="AE53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795.5900000000014</v>
      </c>
      <c r="AF53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3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46483.007396721616</v>
      </c>
      <c r="AH530" s="55"/>
      <c r="AI530" s="55"/>
      <c r="AJ530" s="55"/>
      <c r="AK530" s="101">
        <f t="shared" ca="1" si="106"/>
        <v>233304.00739672151</v>
      </c>
      <c r="AL530" s="129">
        <f t="array" ref="AL530">MAX((УслРестрактов[Характеристика]="Дата реструктуризации")*(УслРестрактов[Значение]=Первоначальный!$A530),0)</f>
        <v>0</v>
      </c>
    </row>
    <row r="531" spans="1:38" x14ac:dyDescent="0.25">
      <c r="A531" s="97">
        <f t="shared" si="99"/>
        <v>44662</v>
      </c>
      <c r="B531" s="100">
        <f t="shared" ca="1" si="100"/>
        <v>149633.34</v>
      </c>
      <c r="C531" s="55">
        <f t="shared" ca="1" si="96"/>
        <v>36392.069999999883</v>
      </c>
      <c r="D531" s="55">
        <f t="shared" ca="1" si="96"/>
        <v>795.5900000000014</v>
      </c>
      <c r="E531" s="55">
        <f t="shared" ca="1" si="101"/>
        <v>0</v>
      </c>
      <c r="F531" s="55">
        <f t="shared" ca="1" si="102"/>
        <v>46483.007396721616</v>
      </c>
      <c r="G531" s="101">
        <f t="shared" ca="1" si="103"/>
        <v>233304.00739672151</v>
      </c>
      <c r="H531" s="100">
        <f ca="1">ROUND($B531*VLOOKUP($A531,$A$1:$B$10,2,1)/(365+IF(MOD(YEAR($A531),4),0,1)*($A531-$A530)),2)-Первоначальный[[#This Row],[Проценты на просроченный платеж по ОД за период]]</f>
        <v>77.959999999999994</v>
      </c>
      <c r="I531" s="55">
        <f t="shared" ca="1" si="104"/>
        <v>3.62</v>
      </c>
      <c r="J531" s="55">
        <v>0</v>
      </c>
      <c r="K531" s="55">
        <f t="shared" ca="1" si="107"/>
        <v>217.20850327868848</v>
      </c>
      <c r="L531" s="55">
        <v>0</v>
      </c>
      <c r="M531" s="113">
        <f>SUMIFS(График[Возврат основной суммы долга],График[Дата с учетом нерабочих дней],$A531)</f>
        <v>480.36999999999989</v>
      </c>
      <c r="N531" s="56">
        <f>SUMIFS(График[Возврат начисленных %],График[Дата с учетом нерабочих дней],$A531)</f>
        <v>2416.63</v>
      </c>
      <c r="O531" s="101">
        <v>0</v>
      </c>
      <c r="P531" s="100" cm="1">
        <f t="array" aca="1" ref="P531" ca="1">MAX(IF(AA530="Да",0,SUM(INDIRECT("M"&amp;(MAX(("Да"=AA$12:AA530)*ROW(AA$12:AA530)+1,ROW($P$12))&amp;":M"&amp;(ROW()))))-SUM(INDIRECT("W"&amp;(MAX(("Да"=AA$12:AA530)*ROW(AA$12:AA530)+1,ROW($P$12))&amp;":W"&amp;(ROW()))))),0)</f>
        <v>7129.2099999999991</v>
      </c>
      <c r="Q531" s="99">
        <f ca="1">MAX(SUM($N$13:N531)-SUM($T$13:T531),0)</f>
        <v>36312.490655737696</v>
      </c>
      <c r="R531" s="99">
        <f ca="1">Первоначальный[[#This Row],[Просроченный платеж по ОД]]+Первоначальный[[#This Row],[Просроченный платеж по процентам]]</f>
        <v>43441.700655737695</v>
      </c>
      <c r="S531" s="120">
        <f ca="1">IF(Первоначальный[[#This Row],[Просроченный платеж]]&lt;1,0,S530+1)</f>
        <v>427</v>
      </c>
      <c r="T531" s="100" cm="1">
        <f t="array" aca="1" ref="T531" ca="1">IF(Первоначальный[[#This Row],[Итого остаток на начало периода]]&lt;1,0,
IF(
AND(TYPE(VLOOKUP(1,$Z$12:Z531,1,0))=16,Первоначальный[[#This Row],[Досрочное погашение (да/"")]]=""),0,
_xlfn.IFS(AND(S530=0,Первоначальный[[#This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платеж]]&lt;&gt;0),MIN(LOOKUP(,-1/($Z$12:Z531=1),$C$12:C531)+LOOKUP(,-1/($Z$12:Z531=1),$H$12:H531),Первоначальный[[#This Row],[Полученный платеж]]+Y530),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платеж]]+Y530,SUM(Первоначальный[[#This Row],[Остаток процентов на начало периода]],Первоначальный[[#This Row],[Проценты за период]])),
AND(S530=0,Первоначальный[[#This Row],[Дата платежа из графика]]=""),0,
AND(S530=0,Первоначальный[[#This Row],[Дата платежа из графика]]=1,MAX((0&lt;&gt;S$12:S530)*ROW(S$12:S530),ROW($S$12))&gt;=MAX((1=Z$12:Z530)*ROW(Z$12:Z530),ROW($T$12)),TYPE(VLOOKUP("Да",(INDIRECT("AA"&amp;(MAX((1=Z$12:Z530)*ROW(Z$12:Z530),ROW($T$12))&amp;":AA"&amp;(ROW()-1)))),1,0))=16),MIN(LOOKUP(,-1/($Z$12:Z531=1),$C$12:C531)+LOOKUP(,-1/($Z$12:Z531=1),$H$12:H531),Первоначальный[[#This Row],[Полученный платеж]]+Y530),
AND(S530=0,TYPE(VLOOKUP("Да",(INDIRECT("AA"&amp;(MAX((1=Z$12:Z530)*ROW(Z$12:Z530),ROW($T$12))&amp;":AA"&amp;(ROW()-1)))),1,0))&lt;&gt;16),MIN(LOOKUP(,-1/($Z$12:Z531=1),$C$12:C531)+LOOKUP(,-1/($Z$12:Z531=1),$H$12:H531)-IF(AA530="Да",0,SUM(INDIRECT("T"&amp;(MAX(("Да"=AA$12:AA530)*ROW(AA$12:AA530)+1,ROW($T$12))&amp;":T"&amp;(ROW()-1))))),Первоначальный[[#This Row],[Полученный платеж]]+Y530),
AND(S530=0,MAX((0&lt;&gt;N$12:N530)*ROW(N$12:N530),ROW($S$12))&gt;=MAX((1=Z$12:Z530)*ROW(Z$12:Z530),ROW($T$12))),MIN(LOOKUP(,-1/($Z$12:Z531=1),$C$12:C531)+LOOKUP(,-1/($Z$12:Z531=1),$H$12:H531)-IF(N530&lt;&gt;0,0,SUM(INDIRECT("T"&amp;(MAX((0&lt;&gt;N$12:N530)*ROW(N$12:N530)+1,ROW($T$12))&amp;":T"&amp;(ROW()-1))))),Первоначальный[[#This Row],[Полученный платеж]]+Y530),
AND(S530=0,Первоначальный[[#This Row],[Дата платежа из графика]]=1),MIN(LOOKUP(,-1/($Z$12:Z531=1),$C$12:C531)+LOOKUP(,-1/($Z$12:Z531=1),$H$12:H531)-IF(Z530=1,0,SUM(INDIRECT("T"&amp;(MAX((1=Z$12:Z530)*ROW(Z$12:Z530)+1,ROW($T$12))&amp;":T"&amp;(ROW()-1))))),Первоначальный[[#This Row],[Полученный платеж]]+Y530),
AND(Z530&gt;0,Первоначальный[[#This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платеж]]+Y530),
AND(S530&gt;0,MAX((0&lt;&gt;S$12:S530)*ROW(S$12:S530),ROW($S$12))&gt;=MAX((1=Z$12:Z530)*ROW(Z$12:Z530),ROW($T$12)),TYPE(VLOOKUP("Да",(INDIRECT("AA"&amp;(MAX((1=Z$12:Z530)*ROW(Z$12:Z530),ROW($T$12))&amp;":AA"&amp;(ROW()-1)))),1,0))=16),MIN(LOOKUP(,-1/($Z$12:Z531=1),$C$12:C531)+LOOKUP(,-1/($Z$12:Z531=1),$H$12:H531)-SUM(INDIRECT("T"&amp;(MAX((1=Z$12:Z530)*ROW(Z$12:Z530),ROW($T$12))&amp;":T"&amp;(ROW()-1)))),Первоначальный[[#This Row],[Полученный платеж]]+Y530),
S530&gt;0,MIN(LOOKUP(,-1/($Z$12:Z531=1),$C$12:C531)+LOOKUP(,-1/($Z$12:Z531=1),$H$12:H531)-IF(Z530=1,0,SUM(INDIRECT("T"&amp;(MAX((1=Z$12:Z530)*ROW(Z$12:Z530)+1,ROW($T$12))&amp;":T"&amp;(ROW()-1))))),Первоначальный[[#This Row],[Полученный платеж]]+Y530)
)
)
)</f>
        <v>0</v>
      </c>
      <c r="U53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платеж]]+Y530-Первоначальный[[#This Row],[Полученный платёж по процентам]])</f>
        <v>0</v>
      </c>
      <c r="V531" s="55">
        <f t="shared" ca="1" si="97"/>
        <v>0</v>
      </c>
      <c r="W531" s="55" cm="1">
        <f t="array" aca="1" ref="W531" ca="1">IF(Первоначальный[[#This Row],[Итого остаток на начало периода]]&lt;1,0,
_xlfn.IFS(
AND(TYPE(VLOOKUP(1,$Z$12:Z531,1,0))=16,Первоначальный[[#This Row],[Досрочное погашение (да/"")]]=""),0,
AND(S530=0,Первоначальный[[#This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платеж]]+Y530-SUM(Первоначальный[[#This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комиссиям]]),VLOOKUP(LOOKUP(,-1/($Z$12:Z531=1),$A$12:A531),График[[Срок конец]:[Возврат основной суммы долга]],3,0)),
AND(S530=0,Первоначальный[[#This Row],[Дата платежа из графика]]="",Первоначальный[[#This Row],[Досрочное погашение (да/"")]]&lt;&gt;"Да"),0,
AND(S530=0,Первоначальный[[#This Row],[Досрочное погашение (да/"")]]=""),MIN(Первоначальный[[#This Row],[Полученный платеж]]+Y530-SUM(Первоначальный[[#This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комиссиям]]),VLOOKUP(LOOKUP(,-1/($Z$12:Z531=1),$A$12:A531),График[[Срок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платеж]]+Y530-SUM(Первоначальный[[#This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S530&gt;0,MIN(Первоначальный[[#This Row],[Полученный платеж]]+Y530-SUM(Первоначальный[[#This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комиссиям]]),SUM(INDIRECT("M"&amp;(MAX((1=S$12:S530)*ROW(S$12:S530),ROW($W$12))&amp;":M"&amp;(ROW()))))-SUM(INDIRECT("W"&amp;(MAX((1=S$12:S530)*ROW(S$12:S530),ROW($W$12))&amp;":W"&amp;(ROW()-1)))))
)
)</f>
        <v>0</v>
      </c>
      <c r="X531" s="55">
        <f t="shared" ca="1" si="98"/>
        <v>0</v>
      </c>
      <c r="Y531" s="101">
        <f t="shared" ca="1" si="105"/>
        <v>0</v>
      </c>
      <c r="Z531" s="133" t="str">
        <f>IF(TYPE((VLOOKUP(Первоначальный[[#This Row],[Дата платежа]],График[Срок конец],1,0)))=16,"",1)</f>
        <v/>
      </c>
      <c r="AA531" s="57"/>
      <c r="AB531" s="134"/>
      <c r="AC53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3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36470.029999999882</v>
      </c>
      <c r="AE53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799.2100000000014</v>
      </c>
      <c r="AF53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3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46700.215900000301</v>
      </c>
      <c r="AH531" s="55"/>
      <c r="AI531" s="55"/>
      <c r="AJ531" s="55"/>
      <c r="AK531" s="101">
        <f t="shared" ca="1" si="106"/>
        <v>233602.79590000017</v>
      </c>
      <c r="AL531" s="129">
        <f t="array" ref="AL531">MAX((УслРестрактов[Характеристика]="Дата реструктуризации")*(УслРестрактов[Значение]=Первоначальный!$A531),0)</f>
        <v>0</v>
      </c>
    </row>
    <row r="532" spans="1:38" x14ac:dyDescent="0.25">
      <c r="A532" s="97">
        <f t="shared" si="99"/>
        <v>44663</v>
      </c>
      <c r="B532" s="100">
        <f t="shared" ca="1" si="100"/>
        <v>149633.34</v>
      </c>
      <c r="C532" s="55">
        <f t="shared" ca="1" si="96"/>
        <v>36470.029999999882</v>
      </c>
      <c r="D532" s="55">
        <f t="shared" ca="1" si="96"/>
        <v>799.2100000000014</v>
      </c>
      <c r="E532" s="55">
        <f t="shared" ca="1" si="101"/>
        <v>0</v>
      </c>
      <c r="F532" s="55">
        <f t="shared" ca="1" si="102"/>
        <v>46700.215900000301</v>
      </c>
      <c r="G532" s="101">
        <f t="shared" ca="1" si="103"/>
        <v>233602.79590000017</v>
      </c>
      <c r="H532" s="100">
        <f ca="1">ROUND($B532*VLOOKUP($A532,$A$1:$B$10,2,1)/(365+IF(MOD(YEAR($A532),4),0,1)*($A532-$A531)),2)-Первоначальный[[#This Row],[Проценты на просроченный платеж по ОД за период]]</f>
        <v>77.69</v>
      </c>
      <c r="I532" s="55">
        <f t="shared" ca="1" si="104"/>
        <v>3.89</v>
      </c>
      <c r="J532" s="55">
        <v>0</v>
      </c>
      <c r="K532" s="55">
        <f t="shared" ca="1" si="107"/>
        <v>217.20850327868848</v>
      </c>
      <c r="L532" s="55">
        <v>0</v>
      </c>
      <c r="M532" s="113">
        <f>SUMIFS(График[Возврат основной суммы долга],График[Дата с учетом нерабочих дней],$A532)</f>
        <v>0</v>
      </c>
      <c r="N532" s="56">
        <f>SUMIFS(График[Возврат начисленных %],График[Дата с учетом нерабочих дней],$A532)</f>
        <v>0</v>
      </c>
      <c r="O532" s="101">
        <v>0</v>
      </c>
      <c r="P532" s="100" cm="1">
        <f t="array" aca="1" ref="P532" ca="1">MAX(IF(AA531="Да",0,SUM(INDIRECT("M"&amp;(MAX(("Да"=AA$12:AA531)*ROW(AA$12:AA531)+1,ROW($P$12))&amp;":M"&amp;(ROW()))))-SUM(INDIRECT("W"&amp;(MAX(("Да"=AA$12:AA531)*ROW(AA$12:AA531)+1,ROW($P$12))&amp;":W"&amp;(ROW()))))),0)</f>
        <v>7129.2099999999991</v>
      </c>
      <c r="Q532" s="99">
        <f ca="1">MAX(SUM($N$13:N532)-SUM($T$13:T532),0)</f>
        <v>36312.490655737696</v>
      </c>
      <c r="R532" s="99">
        <f ca="1">Первоначальный[[#This Row],[Просроченный платеж по ОД]]+Первоначальный[[#This Row],[Просроченный платеж по процентам]]</f>
        <v>43441.700655737695</v>
      </c>
      <c r="S532" s="120">
        <f ca="1">IF(Первоначальный[[#This Row],[Просроченный платеж]]&lt;1,0,S531+1)</f>
        <v>428</v>
      </c>
      <c r="T532" s="100" cm="1">
        <f t="array" aca="1" ref="T532" ca="1">IF(Первоначальный[[#This Row],[Итого остаток на начало периода]]&lt;1,0,
IF(
AND(TYPE(VLOOKUP(1,$Z$12:Z532,1,0))=16,Первоначальный[[#This Row],[Досрочное погашение (да/"")]]=""),0,
_xlfn.IFS(AND(S531=0,Первоначальный[[#This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платеж]]&lt;&gt;0),MIN(LOOKUP(,-1/($Z$12:Z532=1),$C$12:C532)+LOOKUP(,-1/($Z$12:Z532=1),$H$12:H532),Первоначальный[[#This Row],[Полученный платеж]]+Y531),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платеж]]+Y531,SUM(Первоначальный[[#This Row],[Остаток процентов на начало периода]],Первоначальный[[#This Row],[Проценты за период]])),
AND(S531=0,Первоначальный[[#This Row],[Дата платежа из графика]]=""),0,
AND(S531=0,Первоначальный[[#This Row],[Дата платежа из графика]]=1,MAX((0&lt;&gt;S$12:S531)*ROW(S$12:S531),ROW($S$12))&gt;=MAX((1=Z$12:Z531)*ROW(Z$12:Z531),ROW($T$12)),TYPE(VLOOKUP("Да",(INDIRECT("AA"&amp;(MAX((1=Z$12:Z531)*ROW(Z$12:Z531),ROW($T$12))&amp;":AA"&amp;(ROW()-1)))),1,0))=16),MIN(LOOKUP(,-1/($Z$12:Z532=1),$C$12:C532)+LOOKUP(,-1/($Z$12:Z532=1),$H$12:H532),Первоначальный[[#This Row],[Полученный платеж]]+Y531),
AND(S531=0,TYPE(VLOOKUP("Да",(INDIRECT("AA"&amp;(MAX((1=Z$12:Z531)*ROW(Z$12:Z531),ROW($T$12))&amp;":AA"&amp;(ROW()-1)))),1,0))&lt;&gt;16),MIN(LOOKUP(,-1/($Z$12:Z532=1),$C$12:C532)+LOOKUP(,-1/($Z$12:Z532=1),$H$12:H532)-IF(AA531="Да",0,SUM(INDIRECT("T"&amp;(MAX(("Да"=AA$12:AA531)*ROW(AA$12:AA531)+1,ROW($T$12))&amp;":T"&amp;(ROW()-1))))),Первоначальный[[#This Row],[Полученный платеж]]+Y531),
AND(S531=0,MAX((0&lt;&gt;N$12:N531)*ROW(N$12:N531),ROW($S$12))&gt;=MAX((1=Z$12:Z531)*ROW(Z$12:Z531),ROW($T$12))),MIN(LOOKUP(,-1/($Z$12:Z532=1),$C$12:C532)+LOOKUP(,-1/($Z$12:Z532=1),$H$12:H532)-IF(N531&lt;&gt;0,0,SUM(INDIRECT("T"&amp;(MAX((0&lt;&gt;N$12:N531)*ROW(N$12:N531)+1,ROW($T$12))&amp;":T"&amp;(ROW()-1))))),Первоначальный[[#This Row],[Полученный платеж]]+Y531),
AND(S531=0,Первоначальный[[#This Row],[Дата платежа из графика]]=1),MIN(LOOKUP(,-1/($Z$12:Z532=1),$C$12:C532)+LOOKUP(,-1/($Z$12:Z532=1),$H$12:H532)-IF(Z531=1,0,SUM(INDIRECT("T"&amp;(MAX((1=Z$12:Z531)*ROW(Z$12:Z531)+1,ROW($T$12))&amp;":T"&amp;(ROW()-1))))),Первоначальный[[#This Row],[Полученный платеж]]+Y531),
AND(Z531&gt;0,Первоначальный[[#This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платеж]]+Y531),
AND(S531&gt;0,MAX((0&lt;&gt;S$12:S531)*ROW(S$12:S531),ROW($S$12))&gt;=MAX((1=Z$12:Z531)*ROW(Z$12:Z531),ROW($T$12)),TYPE(VLOOKUP("Да",(INDIRECT("AA"&amp;(MAX((1=Z$12:Z531)*ROW(Z$12:Z531),ROW($T$12))&amp;":AA"&amp;(ROW()-1)))),1,0))=16),MIN(LOOKUP(,-1/($Z$12:Z532=1),$C$12:C532)+LOOKUP(,-1/($Z$12:Z532=1),$H$12:H532)-SUM(INDIRECT("T"&amp;(MAX((1=Z$12:Z531)*ROW(Z$12:Z531),ROW($T$12))&amp;":T"&amp;(ROW()-1)))),Первоначальный[[#This Row],[Полученный платеж]]+Y531),
S531&gt;0,MIN(LOOKUP(,-1/($Z$12:Z532=1),$C$12:C532)+LOOKUP(,-1/($Z$12:Z532=1),$H$12:H532)-IF(Z531=1,0,SUM(INDIRECT("T"&amp;(MAX((1=Z$12:Z531)*ROW(Z$12:Z531)+1,ROW($T$12))&amp;":T"&amp;(ROW()-1))))),Первоначальный[[#This Row],[Полученный платеж]]+Y531)
)
)
)</f>
        <v>0</v>
      </c>
      <c r="U53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платеж]]+Y531-Первоначальный[[#This Row],[Полученный платёж по процентам]])</f>
        <v>0</v>
      </c>
      <c r="V532" s="55">
        <f t="shared" ca="1" si="97"/>
        <v>0</v>
      </c>
      <c r="W532" s="55" cm="1">
        <f t="array" aca="1" ref="W532" ca="1">IF(Первоначальный[[#This Row],[Итого остаток на начало периода]]&lt;1,0,
_xlfn.IFS(
AND(TYPE(VLOOKUP(1,$Z$12:Z532,1,0))=16,Первоначальный[[#This Row],[Досрочное погашение (да/"")]]=""),0,
AND(S531=0,Первоначальный[[#This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платеж]]+Y531-SUM(Первоначальный[[#This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комиссиям]]),VLOOKUP(LOOKUP(,-1/($Z$12:Z532=1),$A$12:A532),График[[Срок конец]:[Возврат основной суммы долга]],3,0)),
AND(S531=0,Первоначальный[[#This Row],[Дата платежа из графика]]="",Первоначальный[[#This Row],[Досрочное погашение (да/"")]]&lt;&gt;"Да"),0,
AND(S531=0,Первоначальный[[#This Row],[Досрочное погашение (да/"")]]=""),MIN(Первоначальный[[#This Row],[Полученный платеж]]+Y531-SUM(Первоначальный[[#This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комиссиям]]),VLOOKUP(LOOKUP(,-1/($Z$12:Z532=1),$A$12:A532),График[[Срок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платеж]]+Y531-SUM(Первоначальный[[#This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S531&gt;0,MIN(Первоначальный[[#This Row],[Полученный платеж]]+Y531-SUM(Первоначальный[[#This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комиссиям]]),SUM(INDIRECT("M"&amp;(MAX((1=S$12:S531)*ROW(S$12:S531),ROW($W$12))&amp;":M"&amp;(ROW()))))-SUM(INDIRECT("W"&amp;(MAX((1=S$12:S531)*ROW(S$12:S531),ROW($W$12))&amp;":W"&amp;(ROW()-1)))))
)
)</f>
        <v>0</v>
      </c>
      <c r="X532" s="55">
        <f t="shared" ca="1" si="98"/>
        <v>0</v>
      </c>
      <c r="Y532" s="101">
        <f t="shared" ca="1" si="105"/>
        <v>0</v>
      </c>
      <c r="Z532" s="133" t="str">
        <f>IF(TYPE((VLOOKUP(Первоначальный[[#This Row],[Дата платежа]],График[Срок конец],1,0)))=16,"",1)</f>
        <v/>
      </c>
      <c r="AA532" s="57"/>
      <c r="AB532" s="134"/>
      <c r="AC53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3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36547.719999999885</v>
      </c>
      <c r="AE53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803.10000000000139</v>
      </c>
      <c r="AF53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3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46917.424403278987</v>
      </c>
      <c r="AH532" s="55"/>
      <c r="AI532" s="55"/>
      <c r="AJ532" s="55"/>
      <c r="AK532" s="101">
        <f t="shared" ca="1" si="106"/>
        <v>233901.58440327889</v>
      </c>
      <c r="AL532" s="129">
        <f t="array" ref="AL532">MAX((УслРестрактов[Характеристика]="Дата реструктуризации")*(УслРестрактов[Значение]=Первоначальный!$A532),0)</f>
        <v>0</v>
      </c>
    </row>
    <row r="533" spans="1:38" x14ac:dyDescent="0.25">
      <c r="A533" s="97">
        <f t="shared" si="99"/>
        <v>44664</v>
      </c>
      <c r="B533" s="100">
        <f t="shared" ca="1" si="100"/>
        <v>149633.34</v>
      </c>
      <c r="C533" s="55">
        <f t="shared" ca="1" si="96"/>
        <v>36547.719999999885</v>
      </c>
      <c r="D533" s="55">
        <f t="shared" ca="1" si="96"/>
        <v>803.10000000000139</v>
      </c>
      <c r="E533" s="55">
        <f t="shared" ca="1" si="101"/>
        <v>0</v>
      </c>
      <c r="F533" s="55">
        <f t="shared" ca="1" si="102"/>
        <v>46917.424403278987</v>
      </c>
      <c r="G533" s="101">
        <f t="shared" ca="1" si="103"/>
        <v>233901.58440327889</v>
      </c>
      <c r="H533" s="100">
        <f ca="1">ROUND($B533*VLOOKUP($A533,$A$1:$B$10,2,1)/(365+IF(MOD(YEAR($A533),4),0,1)*($A533-$A532)),2)-Первоначальный[[#This Row],[Проценты на просроченный платеж по ОД за период]]</f>
        <v>77.69</v>
      </c>
      <c r="I533" s="55">
        <f t="shared" ca="1" si="104"/>
        <v>3.89</v>
      </c>
      <c r="J533" s="55">
        <v>0</v>
      </c>
      <c r="K533" s="55">
        <f t="shared" ca="1" si="107"/>
        <v>217.20850327868848</v>
      </c>
      <c r="L533" s="55">
        <v>0</v>
      </c>
      <c r="M533" s="113">
        <f>SUMIFS(График[Возврат основной суммы долга],График[Дата с учетом нерабочих дней],$A533)</f>
        <v>0</v>
      </c>
      <c r="N533" s="56">
        <f>SUMIFS(График[Возврат начисленных %],График[Дата с учетом нерабочих дней],$A533)</f>
        <v>0</v>
      </c>
      <c r="O533" s="101">
        <v>0</v>
      </c>
      <c r="P533" s="100" cm="1">
        <f t="array" aca="1" ref="P533" ca="1">MAX(IF(AA532="Да",0,SUM(INDIRECT("M"&amp;(MAX(("Да"=AA$12:AA532)*ROW(AA$12:AA532)+1,ROW($P$12))&amp;":M"&amp;(ROW()))))-SUM(INDIRECT("W"&amp;(MAX(("Да"=AA$12:AA532)*ROW(AA$12:AA532)+1,ROW($P$12))&amp;":W"&amp;(ROW()))))),0)</f>
        <v>7129.2099999999991</v>
      </c>
      <c r="Q533" s="99">
        <f ca="1">MAX(SUM($N$13:N533)-SUM($T$13:T533),0)</f>
        <v>36312.490655737696</v>
      </c>
      <c r="R533" s="99">
        <f ca="1">Первоначальный[[#This Row],[Просроченный платеж по ОД]]+Первоначальный[[#This Row],[Просроченный платеж по процентам]]</f>
        <v>43441.700655737695</v>
      </c>
      <c r="S533" s="120">
        <f ca="1">IF(Первоначальный[[#This Row],[Просроченный платеж]]&lt;1,0,S532+1)</f>
        <v>429</v>
      </c>
      <c r="T533" s="100" cm="1">
        <f t="array" aca="1" ref="T533" ca="1">IF(Первоначальный[[#This Row],[Итого остаток на начало периода]]&lt;1,0,
IF(
AND(TYPE(VLOOKUP(1,$Z$12:Z533,1,0))=16,Первоначальный[[#This Row],[Досрочное погашение (да/"")]]=""),0,
_xlfn.IFS(AND(S532=0,Первоначальный[[#This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платеж]]&lt;&gt;0),MIN(LOOKUP(,-1/($Z$12:Z533=1),$C$12:C533)+LOOKUP(,-1/($Z$12:Z533=1),$H$12:H533),Первоначальный[[#This Row],[Полученный платеж]]+Y532),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платеж]]+Y532,SUM(Первоначальный[[#This Row],[Остаток процентов на начало периода]],Первоначальный[[#This Row],[Проценты за период]])),
AND(S532=0,Первоначальный[[#This Row],[Дата платежа из графика]]=""),0,
AND(S532=0,Первоначальный[[#This Row],[Дата платежа из графика]]=1,MAX((0&lt;&gt;S$12:S532)*ROW(S$12:S532),ROW($S$12))&gt;=MAX((1=Z$12:Z532)*ROW(Z$12:Z532),ROW($T$12)),TYPE(VLOOKUP("Да",(INDIRECT("AA"&amp;(MAX((1=Z$12:Z532)*ROW(Z$12:Z532),ROW($T$12))&amp;":AA"&amp;(ROW()-1)))),1,0))=16),MIN(LOOKUP(,-1/($Z$12:Z533=1),$C$12:C533)+LOOKUP(,-1/($Z$12:Z533=1),$H$12:H533),Первоначальный[[#This Row],[Полученный платеж]]+Y532),
AND(S532=0,TYPE(VLOOKUP("Да",(INDIRECT("AA"&amp;(MAX((1=Z$12:Z532)*ROW(Z$12:Z532),ROW($T$12))&amp;":AA"&amp;(ROW()-1)))),1,0))&lt;&gt;16),MIN(LOOKUP(,-1/($Z$12:Z533=1),$C$12:C533)+LOOKUP(,-1/($Z$12:Z533=1),$H$12:H533)-IF(AA532="Да",0,SUM(INDIRECT("T"&amp;(MAX(("Да"=AA$12:AA532)*ROW(AA$12:AA532)+1,ROW($T$12))&amp;":T"&amp;(ROW()-1))))),Первоначальный[[#This Row],[Полученный платеж]]+Y532),
AND(S532=0,MAX((0&lt;&gt;N$12:N532)*ROW(N$12:N532),ROW($S$12))&gt;=MAX((1=Z$12:Z532)*ROW(Z$12:Z532),ROW($T$12))),MIN(LOOKUP(,-1/($Z$12:Z533=1),$C$12:C533)+LOOKUP(,-1/($Z$12:Z533=1),$H$12:H533)-IF(N532&lt;&gt;0,0,SUM(INDIRECT("T"&amp;(MAX((0&lt;&gt;N$12:N532)*ROW(N$12:N532)+1,ROW($T$12))&amp;":T"&amp;(ROW()-1))))),Первоначальный[[#This Row],[Полученный платеж]]+Y532),
AND(S532=0,Первоначальный[[#This Row],[Дата платежа из графика]]=1),MIN(LOOKUP(,-1/($Z$12:Z533=1),$C$12:C533)+LOOKUP(,-1/($Z$12:Z533=1),$H$12:H533)-IF(Z532=1,0,SUM(INDIRECT("T"&amp;(MAX((1=Z$12:Z532)*ROW(Z$12:Z532)+1,ROW($T$12))&amp;":T"&amp;(ROW()-1))))),Первоначальный[[#This Row],[Полученный платеж]]+Y532),
AND(Z532&gt;0,Первоначальный[[#This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платеж]]+Y532),
AND(S532&gt;0,MAX((0&lt;&gt;S$12:S532)*ROW(S$12:S532),ROW($S$12))&gt;=MAX((1=Z$12:Z532)*ROW(Z$12:Z532),ROW($T$12)),TYPE(VLOOKUP("Да",(INDIRECT("AA"&amp;(MAX((1=Z$12:Z532)*ROW(Z$12:Z532),ROW($T$12))&amp;":AA"&amp;(ROW()-1)))),1,0))=16),MIN(LOOKUP(,-1/($Z$12:Z533=1),$C$12:C533)+LOOKUP(,-1/($Z$12:Z533=1),$H$12:H533)-SUM(INDIRECT("T"&amp;(MAX((1=Z$12:Z532)*ROW(Z$12:Z532),ROW($T$12))&amp;":T"&amp;(ROW()-1)))),Первоначальный[[#This Row],[Полученный платеж]]+Y532),
S532&gt;0,MIN(LOOKUP(,-1/($Z$12:Z533=1),$C$12:C533)+LOOKUP(,-1/($Z$12:Z533=1),$H$12:H533)-IF(Z532=1,0,SUM(INDIRECT("T"&amp;(MAX((1=Z$12:Z532)*ROW(Z$12:Z532)+1,ROW($T$12))&amp;":T"&amp;(ROW()-1))))),Первоначальный[[#This Row],[Полученный платеж]]+Y532)
)
)
)</f>
        <v>0</v>
      </c>
      <c r="U53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платеж]]+Y532-Первоначальный[[#This Row],[Полученный платёж по процентам]])</f>
        <v>0</v>
      </c>
      <c r="V533" s="55">
        <f t="shared" ca="1" si="97"/>
        <v>0</v>
      </c>
      <c r="W533" s="55" cm="1">
        <f t="array" aca="1" ref="W533" ca="1">IF(Первоначальный[[#This Row],[Итого остаток на начало периода]]&lt;1,0,
_xlfn.IFS(
AND(TYPE(VLOOKUP(1,$Z$12:Z533,1,0))=16,Первоначальный[[#This Row],[Досрочное погашение (да/"")]]=""),0,
AND(S532=0,Первоначальный[[#This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платеж]]+Y532-SUM(Первоначальный[[#This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комиссиям]]),VLOOKUP(LOOKUP(,-1/($Z$12:Z533=1),$A$12:A533),График[[Срок конец]:[Возврат основной суммы долга]],3,0)),
AND(S532=0,Первоначальный[[#This Row],[Дата платежа из графика]]="",Первоначальный[[#This Row],[Досрочное погашение (да/"")]]&lt;&gt;"Да"),0,
AND(S532=0,Первоначальный[[#This Row],[Досрочное погашение (да/"")]]=""),MIN(Первоначальный[[#This Row],[Полученный платеж]]+Y532-SUM(Первоначальный[[#This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комиссиям]]),VLOOKUP(LOOKUP(,-1/($Z$12:Z533=1),$A$12:A533),График[[Срок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платеж]]+Y532-SUM(Первоначальный[[#This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S532&gt;0,MIN(Первоначальный[[#This Row],[Полученный платеж]]+Y532-SUM(Первоначальный[[#This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комиссиям]]),SUM(INDIRECT("M"&amp;(MAX((1=S$12:S532)*ROW(S$12:S532),ROW($W$12))&amp;":M"&amp;(ROW()))))-SUM(INDIRECT("W"&amp;(MAX((1=S$12:S532)*ROW(S$12:S532),ROW($W$12))&amp;":W"&amp;(ROW()-1)))))
)
)</f>
        <v>0</v>
      </c>
      <c r="X533" s="55">
        <f t="shared" ca="1" si="98"/>
        <v>0</v>
      </c>
      <c r="Y533" s="101">
        <f t="shared" ca="1" si="105"/>
        <v>0</v>
      </c>
      <c r="Z533" s="133" t="str">
        <f>IF(TYPE((VLOOKUP(Первоначальный[[#This Row],[Дата платежа]],График[Срок конец],1,0)))=16,"",1)</f>
        <v/>
      </c>
      <c r="AA533" s="57"/>
      <c r="AB533" s="134"/>
      <c r="AC53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3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36625.409999999887</v>
      </c>
      <c r="AE53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806.99000000000137</v>
      </c>
      <c r="AF53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3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47134.632906557672</v>
      </c>
      <c r="AH533" s="55"/>
      <c r="AI533" s="55"/>
      <c r="AJ533" s="55"/>
      <c r="AK533" s="101">
        <f t="shared" ca="1" si="106"/>
        <v>234200.37290655755</v>
      </c>
      <c r="AL533" s="129">
        <f t="array" ref="AL533">MAX((УслРестрактов[Характеристика]="Дата реструктуризации")*(УслРестрактов[Значение]=Первоначальный!$A533),0)</f>
        <v>0</v>
      </c>
    </row>
    <row r="534" spans="1:38" x14ac:dyDescent="0.25">
      <c r="A534" s="97">
        <f t="shared" si="99"/>
        <v>44665</v>
      </c>
      <c r="B534" s="100">
        <f t="shared" ca="1" si="100"/>
        <v>149633.34</v>
      </c>
      <c r="C534" s="55">
        <f t="shared" ca="1" si="96"/>
        <v>36625.409999999887</v>
      </c>
      <c r="D534" s="55">
        <f t="shared" ca="1" si="96"/>
        <v>806.99000000000137</v>
      </c>
      <c r="E534" s="55">
        <f t="shared" ca="1" si="101"/>
        <v>0</v>
      </c>
      <c r="F534" s="55">
        <f t="shared" ca="1" si="102"/>
        <v>47134.632906557672</v>
      </c>
      <c r="G534" s="101">
        <f t="shared" ca="1" si="103"/>
        <v>234200.37290655755</v>
      </c>
      <c r="H534" s="100">
        <f ca="1">ROUND($B534*VLOOKUP($A534,$A$1:$B$10,2,1)/(365+IF(MOD(YEAR($A534),4),0,1)*($A534-$A533)),2)-Первоначальный[[#This Row],[Проценты на просроченный платеж по ОД за период]]</f>
        <v>77.69</v>
      </c>
      <c r="I534" s="55">
        <f t="shared" ca="1" si="104"/>
        <v>3.89</v>
      </c>
      <c r="J534" s="55">
        <v>0</v>
      </c>
      <c r="K534" s="55">
        <f t="shared" ca="1" si="107"/>
        <v>217.20850327868848</v>
      </c>
      <c r="L534" s="55">
        <v>0</v>
      </c>
      <c r="M534" s="113">
        <f>SUMIFS(График[Возврат основной суммы долга],График[Дата с учетом нерабочих дней],$A534)</f>
        <v>0</v>
      </c>
      <c r="N534" s="56">
        <f>SUMIFS(График[Возврат начисленных %],График[Дата с учетом нерабочих дней],$A534)</f>
        <v>0</v>
      </c>
      <c r="O534" s="101">
        <v>0</v>
      </c>
      <c r="P534" s="100" cm="1">
        <f t="array" aca="1" ref="P534" ca="1">MAX(IF(AA533="Да",0,SUM(INDIRECT("M"&amp;(MAX(("Да"=AA$12:AA533)*ROW(AA$12:AA533)+1,ROW($P$12))&amp;":M"&amp;(ROW()))))-SUM(INDIRECT("W"&amp;(MAX(("Да"=AA$12:AA533)*ROW(AA$12:AA533)+1,ROW($P$12))&amp;":W"&amp;(ROW()))))),0)</f>
        <v>7129.2099999999991</v>
      </c>
      <c r="Q534" s="99">
        <f ca="1">MAX(SUM($N$13:N534)-SUM($T$13:T534),0)</f>
        <v>36312.490655737696</v>
      </c>
      <c r="R534" s="99">
        <f ca="1">Первоначальный[[#This Row],[Просроченный платеж по ОД]]+Первоначальный[[#This Row],[Просроченный платеж по процентам]]</f>
        <v>43441.700655737695</v>
      </c>
      <c r="S534" s="120">
        <f ca="1">IF(Первоначальный[[#This Row],[Просроченный платеж]]&lt;1,0,S533+1)</f>
        <v>430</v>
      </c>
      <c r="T534" s="100" cm="1">
        <f t="array" aca="1" ref="T534" ca="1">IF(Первоначальный[[#This Row],[Итого остаток на начало периода]]&lt;1,0,
IF(
AND(TYPE(VLOOKUP(1,$Z$12:Z534,1,0))=16,Первоначальный[[#This Row],[Досрочное погашение (да/"")]]=""),0,
_xlfn.IFS(AND(S533=0,Первоначальный[[#This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платеж]]&lt;&gt;0),MIN(LOOKUP(,-1/($Z$12:Z534=1),$C$12:C534)+LOOKUP(,-1/($Z$12:Z534=1),$H$12:H534),Первоначальный[[#This Row],[Полученный платеж]]+Y533),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платеж]]+Y533,SUM(Первоначальный[[#This Row],[Остаток процентов на начало периода]],Первоначальный[[#This Row],[Проценты за период]])),
AND(S533=0,Первоначальный[[#This Row],[Дата платежа из графика]]=""),0,
AND(S533=0,Первоначальный[[#This Row],[Дата платежа из графика]]=1,MAX((0&lt;&gt;S$12:S533)*ROW(S$12:S533),ROW($S$12))&gt;=MAX((1=Z$12:Z533)*ROW(Z$12:Z533),ROW($T$12)),TYPE(VLOOKUP("Да",(INDIRECT("AA"&amp;(MAX((1=Z$12:Z533)*ROW(Z$12:Z533),ROW($T$12))&amp;":AA"&amp;(ROW()-1)))),1,0))=16),MIN(LOOKUP(,-1/($Z$12:Z534=1),$C$12:C534)+LOOKUP(,-1/($Z$12:Z534=1),$H$12:H534),Первоначальный[[#This Row],[Полученный платеж]]+Y533),
AND(S533=0,TYPE(VLOOKUP("Да",(INDIRECT("AA"&amp;(MAX((1=Z$12:Z533)*ROW(Z$12:Z533),ROW($T$12))&amp;":AA"&amp;(ROW()-1)))),1,0))&lt;&gt;16),MIN(LOOKUP(,-1/($Z$12:Z534=1),$C$12:C534)+LOOKUP(,-1/($Z$12:Z534=1),$H$12:H534)-IF(AA533="Да",0,SUM(INDIRECT("T"&amp;(MAX(("Да"=AA$12:AA533)*ROW(AA$12:AA533)+1,ROW($T$12))&amp;":T"&amp;(ROW()-1))))),Первоначальный[[#This Row],[Полученный платеж]]+Y533),
AND(S533=0,MAX((0&lt;&gt;N$12:N533)*ROW(N$12:N533),ROW($S$12))&gt;=MAX((1=Z$12:Z533)*ROW(Z$12:Z533),ROW($T$12))),MIN(LOOKUP(,-1/($Z$12:Z534=1),$C$12:C534)+LOOKUP(,-1/($Z$12:Z534=1),$H$12:H534)-IF(N533&lt;&gt;0,0,SUM(INDIRECT("T"&amp;(MAX((0&lt;&gt;N$12:N533)*ROW(N$12:N533)+1,ROW($T$12))&amp;":T"&amp;(ROW()-1))))),Первоначальный[[#This Row],[Полученный платеж]]+Y533),
AND(S533=0,Первоначальный[[#This Row],[Дата платежа из графика]]=1),MIN(LOOKUP(,-1/($Z$12:Z534=1),$C$12:C534)+LOOKUP(,-1/($Z$12:Z534=1),$H$12:H534)-IF(Z533=1,0,SUM(INDIRECT("T"&amp;(MAX((1=Z$12:Z533)*ROW(Z$12:Z533)+1,ROW($T$12))&amp;":T"&amp;(ROW()-1))))),Первоначальный[[#This Row],[Полученный платеж]]+Y533),
AND(Z533&gt;0,Первоначальный[[#This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платеж]]+Y533),
AND(S533&gt;0,MAX((0&lt;&gt;S$12:S533)*ROW(S$12:S533),ROW($S$12))&gt;=MAX((1=Z$12:Z533)*ROW(Z$12:Z533),ROW($T$12)),TYPE(VLOOKUP("Да",(INDIRECT("AA"&amp;(MAX((1=Z$12:Z533)*ROW(Z$12:Z533),ROW($T$12))&amp;":AA"&amp;(ROW()-1)))),1,0))=16),MIN(LOOKUP(,-1/($Z$12:Z534=1),$C$12:C534)+LOOKUP(,-1/($Z$12:Z534=1),$H$12:H534)-SUM(INDIRECT("T"&amp;(MAX((1=Z$12:Z533)*ROW(Z$12:Z533),ROW($T$12))&amp;":T"&amp;(ROW()-1)))),Первоначальный[[#This Row],[Полученный платеж]]+Y533),
S533&gt;0,MIN(LOOKUP(,-1/($Z$12:Z534=1),$C$12:C534)+LOOKUP(,-1/($Z$12:Z534=1),$H$12:H534)-IF(Z533=1,0,SUM(INDIRECT("T"&amp;(MAX((1=Z$12:Z533)*ROW(Z$12:Z533)+1,ROW($T$12))&amp;":T"&amp;(ROW()-1))))),Первоначальный[[#This Row],[Полученный платеж]]+Y533)
)
)
)</f>
        <v>0</v>
      </c>
      <c r="U53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платеж]]+Y533-Первоначальный[[#This Row],[Полученный платёж по процентам]])</f>
        <v>0</v>
      </c>
      <c r="V534" s="55">
        <f t="shared" ca="1" si="97"/>
        <v>0</v>
      </c>
      <c r="W534" s="55" cm="1">
        <f t="array" aca="1" ref="W534" ca="1">IF(Первоначальный[[#This Row],[Итого остаток на начало периода]]&lt;1,0,
_xlfn.IFS(
AND(TYPE(VLOOKUP(1,$Z$12:Z534,1,0))=16,Первоначальный[[#This Row],[Досрочное погашение (да/"")]]=""),0,
AND(S533=0,Первоначальный[[#This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платеж]]+Y533-SUM(Первоначальный[[#This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комиссиям]]),VLOOKUP(LOOKUP(,-1/($Z$12:Z534=1),$A$12:A534),График[[Срок конец]:[Возврат основной суммы долга]],3,0)),
AND(S533=0,Первоначальный[[#This Row],[Дата платежа из графика]]="",Первоначальный[[#This Row],[Досрочное погашение (да/"")]]&lt;&gt;"Да"),0,
AND(S533=0,Первоначальный[[#This Row],[Досрочное погашение (да/"")]]=""),MIN(Первоначальный[[#This Row],[Полученный платеж]]+Y533-SUM(Первоначальный[[#This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комиссиям]]),VLOOKUP(LOOKUP(,-1/($Z$12:Z534=1),$A$12:A534),График[[Срок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платеж]]+Y533-SUM(Первоначальный[[#This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S533&gt;0,MIN(Первоначальный[[#This Row],[Полученный платеж]]+Y533-SUM(Первоначальный[[#This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комиссиям]]),SUM(INDIRECT("M"&amp;(MAX((1=S$12:S533)*ROW(S$12:S533),ROW($W$12))&amp;":M"&amp;(ROW()))))-SUM(INDIRECT("W"&amp;(MAX((1=S$12:S533)*ROW(S$12:S533),ROW($W$12))&amp;":W"&amp;(ROW()-1)))))
)
)</f>
        <v>0</v>
      </c>
      <c r="X534" s="55">
        <f t="shared" ca="1" si="98"/>
        <v>0</v>
      </c>
      <c r="Y534" s="101">
        <f t="shared" ca="1" si="105"/>
        <v>0</v>
      </c>
      <c r="Z534" s="133" t="str">
        <f>IF(TYPE((VLOOKUP(Первоначальный[[#This Row],[Дата платежа]],График[Срок конец],1,0)))=16,"",1)</f>
        <v/>
      </c>
      <c r="AA534" s="57"/>
      <c r="AB534" s="134"/>
      <c r="AC53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3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36703.099999999889</v>
      </c>
      <c r="AE53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810.88000000000136</v>
      </c>
      <c r="AF53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3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47351.841409836357</v>
      </c>
      <c r="AH534" s="55"/>
      <c r="AI534" s="55"/>
      <c r="AJ534" s="55"/>
      <c r="AK534" s="101">
        <f t="shared" ca="1" si="106"/>
        <v>234499.16140983626</v>
      </c>
      <c r="AL534" s="129">
        <f t="array" ref="AL534">MAX((УслРестрактов[Характеристика]="Дата реструктуризации")*(УслРестрактов[Значение]=Первоначальный!$A534),0)</f>
        <v>0</v>
      </c>
    </row>
    <row r="535" spans="1:38" x14ac:dyDescent="0.25">
      <c r="A535" s="97">
        <f t="shared" si="99"/>
        <v>44666</v>
      </c>
      <c r="B535" s="100">
        <f t="shared" ca="1" si="100"/>
        <v>149633.34</v>
      </c>
      <c r="C535" s="55">
        <f t="shared" ca="1" si="96"/>
        <v>36703.099999999889</v>
      </c>
      <c r="D535" s="55">
        <f t="shared" ca="1" si="96"/>
        <v>810.88000000000136</v>
      </c>
      <c r="E535" s="55">
        <f t="shared" ca="1" si="101"/>
        <v>0</v>
      </c>
      <c r="F535" s="55">
        <f t="shared" ca="1" si="102"/>
        <v>47351.841409836357</v>
      </c>
      <c r="G535" s="101">
        <f t="shared" ca="1" si="103"/>
        <v>234499.16140983626</v>
      </c>
      <c r="H535" s="100">
        <f ca="1">ROUND($B535*VLOOKUP($A535,$A$1:$B$10,2,1)/(365+IF(MOD(YEAR($A535),4),0,1)*($A535-$A534)),2)-Первоначальный[[#This Row],[Проценты на просроченный платеж по ОД за период]]</f>
        <v>77.69</v>
      </c>
      <c r="I535" s="55">
        <f t="shared" ca="1" si="104"/>
        <v>3.89</v>
      </c>
      <c r="J535" s="55">
        <v>0</v>
      </c>
      <c r="K535" s="55">
        <f t="shared" ca="1" si="107"/>
        <v>217.20850327868848</v>
      </c>
      <c r="L535" s="55">
        <v>0</v>
      </c>
      <c r="M535" s="113">
        <f>SUMIFS(График[Возврат основной суммы долга],График[Дата с учетом нерабочих дней],$A535)</f>
        <v>0</v>
      </c>
      <c r="N535" s="56">
        <f>SUMIFS(График[Возврат начисленных %],График[Дата с учетом нерабочих дней],$A535)</f>
        <v>0</v>
      </c>
      <c r="O535" s="101">
        <v>0</v>
      </c>
      <c r="P535" s="100" cm="1">
        <f t="array" aca="1" ref="P535" ca="1">MAX(IF(AA534="Да",0,SUM(INDIRECT("M"&amp;(MAX(("Да"=AA$12:AA534)*ROW(AA$12:AA534)+1,ROW($P$12))&amp;":M"&amp;(ROW()))))-SUM(INDIRECT("W"&amp;(MAX(("Да"=AA$12:AA534)*ROW(AA$12:AA534)+1,ROW($P$12))&amp;":W"&amp;(ROW()))))),0)</f>
        <v>7129.2099999999991</v>
      </c>
      <c r="Q535" s="99">
        <f ca="1">MAX(SUM($N$13:N535)-SUM($T$13:T535),0)</f>
        <v>36312.490655737696</v>
      </c>
      <c r="R535" s="99">
        <f ca="1">Первоначальный[[#This Row],[Просроченный платеж по ОД]]+Первоначальный[[#This Row],[Просроченный платеж по процентам]]</f>
        <v>43441.700655737695</v>
      </c>
      <c r="S535" s="120">
        <f ca="1">IF(Первоначальный[[#This Row],[Просроченный платеж]]&lt;1,0,S534+1)</f>
        <v>431</v>
      </c>
      <c r="T535" s="100" cm="1">
        <f t="array" aca="1" ref="T535" ca="1">IF(Первоначальный[[#This Row],[Итого остаток на начало периода]]&lt;1,0,
IF(
AND(TYPE(VLOOKUP(1,$Z$12:Z535,1,0))=16,Первоначальный[[#This Row],[Досрочное погашение (да/"")]]=""),0,
_xlfn.IFS(AND(S534=0,Первоначальный[[#This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платеж]]&lt;&gt;0),MIN(LOOKUP(,-1/($Z$12:Z535=1),$C$12:C535)+LOOKUP(,-1/($Z$12:Z535=1),$H$12:H535),Первоначальный[[#This Row],[Полученный платеж]]+Y534),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платеж]]+Y534,SUM(Первоначальный[[#This Row],[Остаток процентов на начало периода]],Первоначальный[[#This Row],[Проценты за период]])),
AND(S534=0,Первоначальный[[#This Row],[Дата платежа из графика]]=""),0,
AND(S534=0,Первоначальный[[#This Row],[Дата платежа из графика]]=1,MAX((0&lt;&gt;S$12:S534)*ROW(S$12:S534),ROW($S$12))&gt;=MAX((1=Z$12:Z534)*ROW(Z$12:Z534),ROW($T$12)),TYPE(VLOOKUP("Да",(INDIRECT("AA"&amp;(MAX((1=Z$12:Z534)*ROW(Z$12:Z534),ROW($T$12))&amp;":AA"&amp;(ROW()-1)))),1,0))=16),MIN(LOOKUP(,-1/($Z$12:Z535=1),$C$12:C535)+LOOKUP(,-1/($Z$12:Z535=1),$H$12:H535),Первоначальный[[#This Row],[Полученный платеж]]+Y534),
AND(S534=0,TYPE(VLOOKUP("Да",(INDIRECT("AA"&amp;(MAX((1=Z$12:Z534)*ROW(Z$12:Z534),ROW($T$12))&amp;":AA"&amp;(ROW()-1)))),1,0))&lt;&gt;16),MIN(LOOKUP(,-1/($Z$12:Z535=1),$C$12:C535)+LOOKUP(,-1/($Z$12:Z535=1),$H$12:H535)-IF(AA534="Да",0,SUM(INDIRECT("T"&amp;(MAX(("Да"=AA$12:AA534)*ROW(AA$12:AA534)+1,ROW($T$12))&amp;":T"&amp;(ROW()-1))))),Первоначальный[[#This Row],[Полученный платеж]]+Y534),
AND(S534=0,MAX((0&lt;&gt;N$12:N534)*ROW(N$12:N534),ROW($S$12))&gt;=MAX((1=Z$12:Z534)*ROW(Z$12:Z534),ROW($T$12))),MIN(LOOKUP(,-1/($Z$12:Z535=1),$C$12:C535)+LOOKUP(,-1/($Z$12:Z535=1),$H$12:H535)-IF(N534&lt;&gt;0,0,SUM(INDIRECT("T"&amp;(MAX((0&lt;&gt;N$12:N534)*ROW(N$12:N534)+1,ROW($T$12))&amp;":T"&amp;(ROW()-1))))),Первоначальный[[#This Row],[Полученный платеж]]+Y534),
AND(S534=0,Первоначальный[[#This Row],[Дата платежа из графика]]=1),MIN(LOOKUP(,-1/($Z$12:Z535=1),$C$12:C535)+LOOKUP(,-1/($Z$12:Z535=1),$H$12:H535)-IF(Z534=1,0,SUM(INDIRECT("T"&amp;(MAX((1=Z$12:Z534)*ROW(Z$12:Z534)+1,ROW($T$12))&amp;":T"&amp;(ROW()-1))))),Первоначальный[[#This Row],[Полученный платеж]]+Y534),
AND(Z534&gt;0,Первоначальный[[#This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платеж]]+Y534),
AND(S534&gt;0,MAX((0&lt;&gt;S$12:S534)*ROW(S$12:S534),ROW($S$12))&gt;=MAX((1=Z$12:Z534)*ROW(Z$12:Z534),ROW($T$12)),TYPE(VLOOKUP("Да",(INDIRECT("AA"&amp;(MAX((1=Z$12:Z534)*ROW(Z$12:Z534),ROW($T$12))&amp;":AA"&amp;(ROW()-1)))),1,0))=16),MIN(LOOKUP(,-1/($Z$12:Z535=1),$C$12:C535)+LOOKUP(,-1/($Z$12:Z535=1),$H$12:H535)-SUM(INDIRECT("T"&amp;(MAX((1=Z$12:Z534)*ROW(Z$12:Z534),ROW($T$12))&amp;":T"&amp;(ROW()-1)))),Первоначальный[[#This Row],[Полученный платеж]]+Y534),
S534&gt;0,MIN(LOOKUP(,-1/($Z$12:Z535=1),$C$12:C535)+LOOKUP(,-1/($Z$12:Z535=1),$H$12:H535)-IF(Z534=1,0,SUM(INDIRECT("T"&amp;(MAX((1=Z$12:Z534)*ROW(Z$12:Z534)+1,ROW($T$12))&amp;":T"&amp;(ROW()-1))))),Первоначальный[[#This Row],[Полученный платеж]]+Y534)
)
)
)</f>
        <v>0</v>
      </c>
      <c r="U53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платеж]]+Y534-Первоначальный[[#This Row],[Полученный платёж по процентам]])</f>
        <v>0</v>
      </c>
      <c r="V535" s="55">
        <f t="shared" ca="1" si="97"/>
        <v>0</v>
      </c>
      <c r="W535" s="55" cm="1">
        <f t="array" aca="1" ref="W535" ca="1">IF(Первоначальный[[#This Row],[Итого остаток на начало периода]]&lt;1,0,
_xlfn.IFS(
AND(TYPE(VLOOKUP(1,$Z$12:Z535,1,0))=16,Первоначальный[[#This Row],[Досрочное погашение (да/"")]]=""),0,
AND(S534=0,Первоначальный[[#This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платеж]]+Y534-SUM(Первоначальный[[#This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комиссиям]]),VLOOKUP(LOOKUP(,-1/($Z$12:Z535=1),$A$12:A535),График[[Срок конец]:[Возврат основной суммы долга]],3,0)),
AND(S534=0,Первоначальный[[#This Row],[Дата платежа из графика]]="",Первоначальный[[#This Row],[Досрочное погашение (да/"")]]&lt;&gt;"Да"),0,
AND(S534=0,Первоначальный[[#This Row],[Досрочное погашение (да/"")]]=""),MIN(Первоначальный[[#This Row],[Полученный платеж]]+Y534-SUM(Первоначальный[[#This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комиссиям]]),VLOOKUP(LOOKUP(,-1/($Z$12:Z535=1),$A$12:A535),График[[Срок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платеж]]+Y534-SUM(Первоначальный[[#This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S534&gt;0,MIN(Первоначальный[[#This Row],[Полученный платеж]]+Y534-SUM(Первоначальный[[#This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комиссиям]]),SUM(INDIRECT("M"&amp;(MAX((1=S$12:S534)*ROW(S$12:S534),ROW($W$12))&amp;":M"&amp;(ROW()))))-SUM(INDIRECT("W"&amp;(MAX((1=S$12:S534)*ROW(S$12:S534),ROW($W$12))&amp;":W"&amp;(ROW()-1)))))
)
)</f>
        <v>0</v>
      </c>
      <c r="X535" s="55">
        <f t="shared" ca="1" si="98"/>
        <v>0</v>
      </c>
      <c r="Y535" s="101">
        <f t="shared" ca="1" si="105"/>
        <v>0</v>
      </c>
      <c r="Z535" s="133" t="str">
        <f>IF(TYPE((VLOOKUP(Первоначальный[[#This Row],[Дата платежа]],График[Срок конец],1,0)))=16,"",1)</f>
        <v/>
      </c>
      <c r="AA535" s="57"/>
      <c r="AB535" s="134"/>
      <c r="AC53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3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36780.789999999892</v>
      </c>
      <c r="AE53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814.77000000000135</v>
      </c>
      <c r="AF53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3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47569.049913115043</v>
      </c>
      <c r="AH535" s="55"/>
      <c r="AI535" s="55"/>
      <c r="AJ535" s="55"/>
      <c r="AK535" s="101">
        <f t="shared" ca="1" si="106"/>
        <v>234797.94991311492</v>
      </c>
      <c r="AL535" s="129">
        <f t="array" ref="AL535">MAX((УслРестрактов[Характеристика]="Дата реструктуризации")*(УслРестрактов[Значение]=Первоначальный!$A535),0)</f>
        <v>0</v>
      </c>
    </row>
    <row r="536" spans="1:38" x14ac:dyDescent="0.25">
      <c r="A536" s="97">
        <f t="shared" si="99"/>
        <v>44667</v>
      </c>
      <c r="B536" s="100">
        <f t="shared" ca="1" si="100"/>
        <v>149633.34</v>
      </c>
      <c r="C536" s="55">
        <f t="shared" ca="1" si="96"/>
        <v>36780.789999999892</v>
      </c>
      <c r="D536" s="55">
        <f t="shared" ca="1" si="96"/>
        <v>814.77000000000135</v>
      </c>
      <c r="E536" s="55">
        <f t="shared" ca="1" si="101"/>
        <v>0</v>
      </c>
      <c r="F536" s="55">
        <f t="shared" ca="1" si="102"/>
        <v>47569.049913115043</v>
      </c>
      <c r="G536" s="101">
        <f t="shared" ca="1" si="103"/>
        <v>234797.94991311492</v>
      </c>
      <c r="H536" s="100">
        <f ca="1">ROUND($B536*VLOOKUP($A536,$A$1:$B$10,2,1)/(365+IF(MOD(YEAR($A536),4),0,1)*($A536-$A535)),2)-Первоначальный[[#This Row],[Проценты на просроченный платеж по ОД за период]]</f>
        <v>77.69</v>
      </c>
      <c r="I536" s="55">
        <f t="shared" ca="1" si="104"/>
        <v>3.89</v>
      </c>
      <c r="J536" s="55">
        <v>0</v>
      </c>
      <c r="K536" s="55">
        <f t="shared" ca="1" si="107"/>
        <v>217.20850327868848</v>
      </c>
      <c r="L536" s="55">
        <v>0</v>
      </c>
      <c r="M536" s="113">
        <f>SUMIFS(График[Возврат основной суммы долга],График[Дата с учетом нерабочих дней],$A536)</f>
        <v>0</v>
      </c>
      <c r="N536" s="56">
        <f>SUMIFS(График[Возврат начисленных %],График[Дата с учетом нерабочих дней],$A536)</f>
        <v>0</v>
      </c>
      <c r="O536" s="101">
        <v>0</v>
      </c>
      <c r="P536" s="100" cm="1">
        <f t="array" aca="1" ref="P536" ca="1">MAX(IF(AA535="Да",0,SUM(INDIRECT("M"&amp;(MAX(("Да"=AA$12:AA535)*ROW(AA$12:AA535)+1,ROW($P$12))&amp;":M"&amp;(ROW()))))-SUM(INDIRECT("W"&amp;(MAX(("Да"=AA$12:AA535)*ROW(AA$12:AA535)+1,ROW($P$12))&amp;":W"&amp;(ROW()))))),0)</f>
        <v>7129.2099999999991</v>
      </c>
      <c r="Q536" s="99">
        <f ca="1">MAX(SUM($N$13:N536)-SUM($T$13:T536),0)</f>
        <v>36312.490655737696</v>
      </c>
      <c r="R536" s="99">
        <f ca="1">Первоначальный[[#This Row],[Просроченный платеж по ОД]]+Первоначальный[[#This Row],[Просроченный платеж по процентам]]</f>
        <v>43441.700655737695</v>
      </c>
      <c r="S536" s="120">
        <f ca="1">IF(Первоначальный[[#This Row],[Просроченный платеж]]&lt;1,0,S535+1)</f>
        <v>432</v>
      </c>
      <c r="T536" s="100" cm="1">
        <f t="array" aca="1" ref="T536" ca="1">IF(Первоначальный[[#This Row],[Итого остаток на начало периода]]&lt;1,0,
IF(
AND(TYPE(VLOOKUP(1,$Z$12:Z536,1,0))=16,Первоначальный[[#This Row],[Досрочное погашение (да/"")]]=""),0,
_xlfn.IFS(AND(S535=0,Первоначальный[[#This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платеж]]&lt;&gt;0),MIN(LOOKUP(,-1/($Z$12:Z536=1),$C$12:C536)+LOOKUP(,-1/($Z$12:Z536=1),$H$12:H536),Первоначальный[[#This Row],[Полученный платеж]]+Y535),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платеж]]+Y535,SUM(Первоначальный[[#This Row],[Остаток процентов на начало периода]],Первоначальный[[#This Row],[Проценты за период]])),
AND(S535=0,Первоначальный[[#This Row],[Дата платежа из графика]]=""),0,
AND(S535=0,Первоначальный[[#This Row],[Дата платежа из графика]]=1,MAX((0&lt;&gt;S$12:S535)*ROW(S$12:S535),ROW($S$12))&gt;=MAX((1=Z$12:Z535)*ROW(Z$12:Z535),ROW($T$12)),TYPE(VLOOKUP("Да",(INDIRECT("AA"&amp;(MAX((1=Z$12:Z535)*ROW(Z$12:Z535),ROW($T$12))&amp;":AA"&amp;(ROW()-1)))),1,0))=16),MIN(LOOKUP(,-1/($Z$12:Z536=1),$C$12:C536)+LOOKUP(,-1/($Z$12:Z536=1),$H$12:H536),Первоначальный[[#This Row],[Полученный платеж]]+Y535),
AND(S535=0,TYPE(VLOOKUP("Да",(INDIRECT("AA"&amp;(MAX((1=Z$12:Z535)*ROW(Z$12:Z535),ROW($T$12))&amp;":AA"&amp;(ROW()-1)))),1,0))&lt;&gt;16),MIN(LOOKUP(,-1/($Z$12:Z536=1),$C$12:C536)+LOOKUP(,-1/($Z$12:Z536=1),$H$12:H536)-IF(AA535="Да",0,SUM(INDIRECT("T"&amp;(MAX(("Да"=AA$12:AA535)*ROW(AA$12:AA535)+1,ROW($T$12))&amp;":T"&amp;(ROW()-1))))),Первоначальный[[#This Row],[Полученный платеж]]+Y535),
AND(S535=0,MAX((0&lt;&gt;N$12:N535)*ROW(N$12:N535),ROW($S$12))&gt;=MAX((1=Z$12:Z535)*ROW(Z$12:Z535),ROW($T$12))),MIN(LOOKUP(,-1/($Z$12:Z536=1),$C$12:C536)+LOOKUP(,-1/($Z$12:Z536=1),$H$12:H536)-IF(N535&lt;&gt;0,0,SUM(INDIRECT("T"&amp;(MAX((0&lt;&gt;N$12:N535)*ROW(N$12:N535)+1,ROW($T$12))&amp;":T"&amp;(ROW()-1))))),Первоначальный[[#This Row],[Полученный платеж]]+Y535),
AND(S535=0,Первоначальный[[#This Row],[Дата платежа из графика]]=1),MIN(LOOKUP(,-1/($Z$12:Z536=1),$C$12:C536)+LOOKUP(,-1/($Z$12:Z536=1),$H$12:H536)-IF(Z535=1,0,SUM(INDIRECT("T"&amp;(MAX((1=Z$12:Z535)*ROW(Z$12:Z535)+1,ROW($T$12))&amp;":T"&amp;(ROW()-1))))),Первоначальный[[#This Row],[Полученный платеж]]+Y535),
AND(Z535&gt;0,Первоначальный[[#This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платеж]]+Y535),
AND(S535&gt;0,MAX((0&lt;&gt;S$12:S535)*ROW(S$12:S535),ROW($S$12))&gt;=MAX((1=Z$12:Z535)*ROW(Z$12:Z535),ROW($T$12)),TYPE(VLOOKUP("Да",(INDIRECT("AA"&amp;(MAX((1=Z$12:Z535)*ROW(Z$12:Z535),ROW($T$12))&amp;":AA"&amp;(ROW()-1)))),1,0))=16),MIN(LOOKUP(,-1/($Z$12:Z536=1),$C$12:C536)+LOOKUP(,-1/($Z$12:Z536=1),$H$12:H536)-SUM(INDIRECT("T"&amp;(MAX((1=Z$12:Z535)*ROW(Z$12:Z535),ROW($T$12))&amp;":T"&amp;(ROW()-1)))),Первоначальный[[#This Row],[Полученный платеж]]+Y535),
S535&gt;0,MIN(LOOKUP(,-1/($Z$12:Z536=1),$C$12:C536)+LOOKUP(,-1/($Z$12:Z536=1),$H$12:H536)-IF(Z535=1,0,SUM(INDIRECT("T"&amp;(MAX((1=Z$12:Z535)*ROW(Z$12:Z535)+1,ROW($T$12))&amp;":T"&amp;(ROW()-1))))),Первоначальный[[#This Row],[Полученный платеж]]+Y535)
)
)
)</f>
        <v>0</v>
      </c>
      <c r="U53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платеж]]+Y535-Первоначальный[[#This Row],[Полученный платёж по процентам]])</f>
        <v>0</v>
      </c>
      <c r="V536" s="55">
        <f t="shared" ca="1" si="97"/>
        <v>0</v>
      </c>
      <c r="W536" s="55" cm="1">
        <f t="array" aca="1" ref="W536" ca="1">IF(Первоначальный[[#This Row],[Итого остаток на начало периода]]&lt;1,0,
_xlfn.IFS(
AND(TYPE(VLOOKUP(1,$Z$12:Z536,1,0))=16,Первоначальный[[#This Row],[Досрочное погашение (да/"")]]=""),0,
AND(S535=0,Первоначальный[[#This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платеж]]+Y535-SUM(Первоначальный[[#This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комиссиям]]),VLOOKUP(LOOKUP(,-1/($Z$12:Z536=1),$A$12:A536),График[[Срок конец]:[Возврат основной суммы долга]],3,0)),
AND(S535=0,Первоначальный[[#This Row],[Дата платежа из графика]]="",Первоначальный[[#This Row],[Досрочное погашение (да/"")]]&lt;&gt;"Да"),0,
AND(S535=0,Первоначальный[[#This Row],[Досрочное погашение (да/"")]]=""),MIN(Первоначальный[[#This Row],[Полученный платеж]]+Y535-SUM(Первоначальный[[#This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комиссиям]]),VLOOKUP(LOOKUP(,-1/($Z$12:Z536=1),$A$12:A536),График[[Срок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платеж]]+Y535-SUM(Первоначальный[[#This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S535&gt;0,MIN(Первоначальный[[#This Row],[Полученный платеж]]+Y535-SUM(Первоначальный[[#This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комиссиям]]),SUM(INDIRECT("M"&amp;(MAX((1=S$12:S535)*ROW(S$12:S535),ROW($W$12))&amp;":M"&amp;(ROW()))))-SUM(INDIRECT("W"&amp;(MAX((1=S$12:S535)*ROW(S$12:S535),ROW($W$12))&amp;":W"&amp;(ROW()-1)))))
)
)</f>
        <v>0</v>
      </c>
      <c r="X536" s="55">
        <f t="shared" ca="1" si="98"/>
        <v>0</v>
      </c>
      <c r="Y536" s="101">
        <f t="shared" ca="1" si="105"/>
        <v>0</v>
      </c>
      <c r="Z536" s="133" t="str">
        <f>IF(TYPE((VLOOKUP(Первоначальный[[#This Row],[Дата платежа]],График[Срок конец],1,0)))=16,"",1)</f>
        <v/>
      </c>
      <c r="AA536" s="57"/>
      <c r="AB536" s="134"/>
      <c r="AC53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3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36858.479999999894</v>
      </c>
      <c r="AE53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818.66000000000133</v>
      </c>
      <c r="AF53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3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47786.258416393728</v>
      </c>
      <c r="AH536" s="55"/>
      <c r="AI536" s="55"/>
      <c r="AJ536" s="55"/>
      <c r="AK536" s="101">
        <f t="shared" ca="1" si="106"/>
        <v>235096.73841639364</v>
      </c>
      <c r="AL536" s="129">
        <f t="array" ref="AL536">MAX((УслРестрактов[Характеристика]="Дата реструктуризации")*(УслРестрактов[Значение]=Первоначальный!$A536),0)</f>
        <v>0</v>
      </c>
    </row>
    <row r="537" spans="1:38" x14ac:dyDescent="0.25">
      <c r="A537" s="97">
        <f t="shared" si="99"/>
        <v>44668</v>
      </c>
      <c r="B537" s="100">
        <f t="shared" ca="1" si="100"/>
        <v>149633.34</v>
      </c>
      <c r="C537" s="55">
        <f t="shared" ca="1" si="96"/>
        <v>36858.479999999894</v>
      </c>
      <c r="D537" s="55">
        <f t="shared" ca="1" si="96"/>
        <v>818.66000000000133</v>
      </c>
      <c r="E537" s="55">
        <f t="shared" ca="1" si="101"/>
        <v>0</v>
      </c>
      <c r="F537" s="55">
        <f t="shared" ca="1" si="102"/>
        <v>47786.258416393728</v>
      </c>
      <c r="G537" s="101">
        <f t="shared" ca="1" si="103"/>
        <v>235096.73841639364</v>
      </c>
      <c r="H537" s="100">
        <f ca="1">ROUND($B537*VLOOKUP($A537,$A$1:$B$10,2,1)/(365+IF(MOD(YEAR($A537),4),0,1)*($A537-$A536)),2)-Первоначальный[[#This Row],[Проценты на просроченный платеж по ОД за период]]</f>
        <v>77.69</v>
      </c>
      <c r="I537" s="55">
        <f t="shared" ca="1" si="104"/>
        <v>3.89</v>
      </c>
      <c r="J537" s="55">
        <v>0</v>
      </c>
      <c r="K537" s="55">
        <f t="shared" ca="1" si="107"/>
        <v>217.20850327868848</v>
      </c>
      <c r="L537" s="55">
        <v>0</v>
      </c>
      <c r="M537" s="113">
        <f>SUMIFS(График[Возврат основной суммы долга],График[Дата с учетом нерабочих дней],$A537)</f>
        <v>0</v>
      </c>
      <c r="N537" s="56">
        <f>SUMIFS(График[Возврат начисленных %],График[Дата с учетом нерабочих дней],$A537)</f>
        <v>0</v>
      </c>
      <c r="O537" s="101">
        <v>0</v>
      </c>
      <c r="P537" s="100" cm="1">
        <f t="array" aca="1" ref="P537" ca="1">MAX(IF(AA536="Да",0,SUM(INDIRECT("M"&amp;(MAX(("Да"=AA$12:AA536)*ROW(AA$12:AA536)+1,ROW($P$12))&amp;":M"&amp;(ROW()))))-SUM(INDIRECT("W"&amp;(MAX(("Да"=AA$12:AA536)*ROW(AA$12:AA536)+1,ROW($P$12))&amp;":W"&amp;(ROW()))))),0)</f>
        <v>7129.2099999999991</v>
      </c>
      <c r="Q537" s="99">
        <f ca="1">MAX(SUM($N$13:N537)-SUM($T$13:T537),0)</f>
        <v>36312.490655737696</v>
      </c>
      <c r="R537" s="99">
        <f ca="1">Первоначальный[[#This Row],[Просроченный платеж по ОД]]+Первоначальный[[#This Row],[Просроченный платеж по процентам]]</f>
        <v>43441.700655737695</v>
      </c>
      <c r="S537" s="120">
        <f ca="1">IF(Первоначальный[[#This Row],[Просроченный платеж]]&lt;1,0,S536+1)</f>
        <v>433</v>
      </c>
      <c r="T537" s="100" cm="1">
        <f t="array" aca="1" ref="T537" ca="1">IF(Первоначальный[[#This Row],[Итого остаток на начало периода]]&lt;1,0,
IF(
AND(TYPE(VLOOKUP(1,$Z$12:Z537,1,0))=16,Первоначальный[[#This Row],[Досрочное погашение (да/"")]]=""),0,
_xlfn.IFS(AND(S536=0,Первоначальный[[#This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платеж]]&lt;&gt;0),MIN(LOOKUP(,-1/($Z$12:Z537=1),$C$12:C537)+LOOKUP(,-1/($Z$12:Z537=1),$H$12:H537),Первоначальный[[#This Row],[Полученный платеж]]+Y536),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платеж]]+Y536,SUM(Первоначальный[[#This Row],[Остаток процентов на начало периода]],Первоначальный[[#This Row],[Проценты за период]])),
AND(S536=0,Первоначальный[[#This Row],[Дата платежа из графика]]=""),0,
AND(S536=0,Первоначальный[[#This Row],[Дата платежа из графика]]=1,MAX((0&lt;&gt;S$12:S536)*ROW(S$12:S536),ROW($S$12))&gt;=MAX((1=Z$12:Z536)*ROW(Z$12:Z536),ROW($T$12)),TYPE(VLOOKUP("Да",(INDIRECT("AA"&amp;(MAX((1=Z$12:Z536)*ROW(Z$12:Z536),ROW($T$12))&amp;":AA"&amp;(ROW()-1)))),1,0))=16),MIN(LOOKUP(,-1/($Z$12:Z537=1),$C$12:C537)+LOOKUP(,-1/($Z$12:Z537=1),$H$12:H537),Первоначальный[[#This Row],[Полученный платеж]]+Y536),
AND(S536=0,TYPE(VLOOKUP("Да",(INDIRECT("AA"&amp;(MAX((1=Z$12:Z536)*ROW(Z$12:Z536),ROW($T$12))&amp;":AA"&amp;(ROW()-1)))),1,0))&lt;&gt;16),MIN(LOOKUP(,-1/($Z$12:Z537=1),$C$12:C537)+LOOKUP(,-1/($Z$12:Z537=1),$H$12:H537)-IF(AA536="Да",0,SUM(INDIRECT("T"&amp;(MAX(("Да"=AA$12:AA536)*ROW(AA$12:AA536)+1,ROW($T$12))&amp;":T"&amp;(ROW()-1))))),Первоначальный[[#This Row],[Полученный платеж]]+Y536),
AND(S536=0,MAX((0&lt;&gt;N$12:N536)*ROW(N$12:N536),ROW($S$12))&gt;=MAX((1=Z$12:Z536)*ROW(Z$12:Z536),ROW($T$12))),MIN(LOOKUP(,-1/($Z$12:Z537=1),$C$12:C537)+LOOKUP(,-1/($Z$12:Z537=1),$H$12:H537)-IF(N536&lt;&gt;0,0,SUM(INDIRECT("T"&amp;(MAX((0&lt;&gt;N$12:N536)*ROW(N$12:N536)+1,ROW($T$12))&amp;":T"&amp;(ROW()-1))))),Первоначальный[[#This Row],[Полученный платеж]]+Y536),
AND(S536=0,Первоначальный[[#This Row],[Дата платежа из графика]]=1),MIN(LOOKUP(,-1/($Z$12:Z537=1),$C$12:C537)+LOOKUP(,-1/($Z$12:Z537=1),$H$12:H537)-IF(Z536=1,0,SUM(INDIRECT("T"&amp;(MAX((1=Z$12:Z536)*ROW(Z$12:Z536)+1,ROW($T$12))&amp;":T"&amp;(ROW()-1))))),Первоначальный[[#This Row],[Полученный платеж]]+Y536),
AND(Z536&gt;0,Первоначальный[[#This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платеж]]+Y536),
AND(S536&gt;0,MAX((0&lt;&gt;S$12:S536)*ROW(S$12:S536),ROW($S$12))&gt;=MAX((1=Z$12:Z536)*ROW(Z$12:Z536),ROW($T$12)),TYPE(VLOOKUP("Да",(INDIRECT("AA"&amp;(MAX((1=Z$12:Z536)*ROW(Z$12:Z536),ROW($T$12))&amp;":AA"&amp;(ROW()-1)))),1,0))=16),MIN(LOOKUP(,-1/($Z$12:Z537=1),$C$12:C537)+LOOKUP(,-1/($Z$12:Z537=1),$H$12:H537)-SUM(INDIRECT("T"&amp;(MAX((1=Z$12:Z536)*ROW(Z$12:Z536),ROW($T$12))&amp;":T"&amp;(ROW()-1)))),Первоначальный[[#This Row],[Полученный платеж]]+Y536),
S536&gt;0,MIN(LOOKUP(,-1/($Z$12:Z537=1),$C$12:C537)+LOOKUP(,-1/($Z$12:Z537=1),$H$12:H537)-IF(Z536=1,0,SUM(INDIRECT("T"&amp;(MAX((1=Z$12:Z536)*ROW(Z$12:Z536)+1,ROW($T$12))&amp;":T"&amp;(ROW()-1))))),Первоначальный[[#This Row],[Полученный платеж]]+Y536)
)
)
)</f>
        <v>0</v>
      </c>
      <c r="U53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платеж]]+Y536-Первоначальный[[#This Row],[Полученный платёж по процентам]])</f>
        <v>0</v>
      </c>
      <c r="V537" s="55">
        <f t="shared" ca="1" si="97"/>
        <v>0</v>
      </c>
      <c r="W537" s="55" cm="1">
        <f t="array" aca="1" ref="W537" ca="1">IF(Первоначальный[[#This Row],[Итого остаток на начало периода]]&lt;1,0,
_xlfn.IFS(
AND(TYPE(VLOOKUP(1,$Z$12:Z537,1,0))=16,Первоначальный[[#This Row],[Досрочное погашение (да/"")]]=""),0,
AND(S536=0,Первоначальный[[#This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платеж]]+Y536-SUM(Первоначальный[[#This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комиссиям]]),VLOOKUP(LOOKUP(,-1/($Z$12:Z537=1),$A$12:A537),График[[Срок конец]:[Возврат основной суммы долга]],3,0)),
AND(S536=0,Первоначальный[[#This Row],[Дата платежа из графика]]="",Первоначальный[[#This Row],[Досрочное погашение (да/"")]]&lt;&gt;"Да"),0,
AND(S536=0,Первоначальный[[#This Row],[Досрочное погашение (да/"")]]=""),MIN(Первоначальный[[#This Row],[Полученный платеж]]+Y536-SUM(Первоначальный[[#This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комиссиям]]),VLOOKUP(LOOKUP(,-1/($Z$12:Z537=1),$A$12:A537),График[[Срок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платеж]]+Y536-SUM(Первоначальный[[#This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S536&gt;0,MIN(Первоначальный[[#This Row],[Полученный платеж]]+Y536-SUM(Первоначальный[[#This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комиссиям]]),SUM(INDIRECT("M"&amp;(MAX((1=S$12:S536)*ROW(S$12:S536),ROW($W$12))&amp;":M"&amp;(ROW()))))-SUM(INDIRECT("W"&amp;(MAX((1=S$12:S536)*ROW(S$12:S536),ROW($W$12))&amp;":W"&amp;(ROW()-1)))))
)
)</f>
        <v>0</v>
      </c>
      <c r="X537" s="55">
        <f t="shared" ca="1" si="98"/>
        <v>0</v>
      </c>
      <c r="Y537" s="101">
        <f t="shared" ca="1" si="105"/>
        <v>0</v>
      </c>
      <c r="Z537" s="133" t="str">
        <f>IF(TYPE((VLOOKUP(Первоначальный[[#This Row],[Дата платежа]],График[Срок конец],1,0)))=16,"",1)</f>
        <v/>
      </c>
      <c r="AA537" s="57"/>
      <c r="AB537" s="134"/>
      <c r="AC53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3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36936.169999999896</v>
      </c>
      <c r="AE53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822.55000000000132</v>
      </c>
      <c r="AF53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3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48003.466919672413</v>
      </c>
      <c r="AH537" s="55"/>
      <c r="AI537" s="55"/>
      <c r="AJ537" s="55"/>
      <c r="AK537" s="101">
        <f t="shared" ca="1" si="106"/>
        <v>235395.52691967229</v>
      </c>
      <c r="AL537" s="129">
        <f t="array" ref="AL537">MAX((УслРестрактов[Характеристика]="Дата реструктуризации")*(УслРестрактов[Значение]=Первоначальный!$A537),0)</f>
        <v>0</v>
      </c>
    </row>
    <row r="538" spans="1:38" x14ac:dyDescent="0.25">
      <c r="A538" s="97">
        <f t="shared" si="99"/>
        <v>44669</v>
      </c>
      <c r="B538" s="100">
        <f t="shared" ca="1" si="100"/>
        <v>149633.34</v>
      </c>
      <c r="C538" s="55">
        <f t="shared" ca="1" si="96"/>
        <v>36936.169999999896</v>
      </c>
      <c r="D538" s="55">
        <f t="shared" ca="1" si="96"/>
        <v>822.55000000000132</v>
      </c>
      <c r="E538" s="55">
        <f t="shared" ca="1" si="101"/>
        <v>0</v>
      </c>
      <c r="F538" s="55">
        <f t="shared" ca="1" si="102"/>
        <v>48003.466919672413</v>
      </c>
      <c r="G538" s="101">
        <f t="shared" ca="1" si="103"/>
        <v>235395.52691967229</v>
      </c>
      <c r="H538" s="100">
        <f ca="1">ROUND($B538*VLOOKUP($A538,$A$1:$B$10,2,1)/(365+IF(MOD(YEAR($A538),4),0,1)*($A538-$A537)),2)-Первоначальный[[#This Row],[Проценты на просроченный платеж по ОД за период]]</f>
        <v>77.69</v>
      </c>
      <c r="I538" s="55">
        <f t="shared" ca="1" si="104"/>
        <v>3.89</v>
      </c>
      <c r="J538" s="55">
        <v>0</v>
      </c>
      <c r="K538" s="55">
        <f t="shared" ca="1" si="107"/>
        <v>217.20850327868848</v>
      </c>
      <c r="L538" s="55">
        <v>0</v>
      </c>
      <c r="M538" s="113">
        <f>SUMIFS(График[Возврат основной суммы долга],График[Дата с учетом нерабочих дней],$A538)</f>
        <v>0</v>
      </c>
      <c r="N538" s="56">
        <f>SUMIFS(График[Возврат начисленных %],График[Дата с учетом нерабочих дней],$A538)</f>
        <v>0</v>
      </c>
      <c r="O538" s="101">
        <v>0</v>
      </c>
      <c r="P538" s="100" cm="1">
        <f t="array" aca="1" ref="P538" ca="1">MAX(IF(AA537="Да",0,SUM(INDIRECT("M"&amp;(MAX(("Да"=AA$12:AA537)*ROW(AA$12:AA537)+1,ROW($P$12))&amp;":M"&amp;(ROW()))))-SUM(INDIRECT("W"&amp;(MAX(("Да"=AA$12:AA537)*ROW(AA$12:AA537)+1,ROW($P$12))&amp;":W"&amp;(ROW()))))),0)</f>
        <v>7129.2099999999991</v>
      </c>
      <c r="Q538" s="99">
        <f ca="1">MAX(SUM($N$13:N538)-SUM($T$13:T538),0)</f>
        <v>36312.490655737696</v>
      </c>
      <c r="R538" s="99">
        <f ca="1">Первоначальный[[#This Row],[Просроченный платеж по ОД]]+Первоначальный[[#This Row],[Просроченный платеж по процентам]]</f>
        <v>43441.700655737695</v>
      </c>
      <c r="S538" s="120">
        <f ca="1">IF(Первоначальный[[#This Row],[Просроченный платеж]]&lt;1,0,S537+1)</f>
        <v>434</v>
      </c>
      <c r="T538" s="100" cm="1">
        <f t="array" aca="1" ref="T538" ca="1">IF(Первоначальный[[#This Row],[Итого остаток на начало периода]]&lt;1,0,
IF(
AND(TYPE(VLOOKUP(1,$Z$12:Z538,1,0))=16,Первоначальный[[#This Row],[Досрочное погашение (да/"")]]=""),0,
_xlfn.IFS(AND(S537=0,Первоначальный[[#This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платеж]]&lt;&gt;0),MIN(LOOKUP(,-1/($Z$12:Z538=1),$C$12:C538)+LOOKUP(,-1/($Z$12:Z538=1),$H$12:H538),Первоначальный[[#This Row],[Полученный платеж]]+Y537),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платеж]]+Y537,SUM(Первоначальный[[#This Row],[Остаток процентов на начало периода]],Первоначальный[[#This Row],[Проценты за период]])),
AND(S537=0,Первоначальный[[#This Row],[Дата платежа из графика]]=""),0,
AND(S537=0,Первоначальный[[#This Row],[Дата платежа из графика]]=1,MAX((0&lt;&gt;S$12:S537)*ROW(S$12:S537),ROW($S$12))&gt;=MAX((1=Z$12:Z537)*ROW(Z$12:Z537),ROW($T$12)),TYPE(VLOOKUP("Да",(INDIRECT("AA"&amp;(MAX((1=Z$12:Z537)*ROW(Z$12:Z537),ROW($T$12))&amp;":AA"&amp;(ROW()-1)))),1,0))=16),MIN(LOOKUP(,-1/($Z$12:Z538=1),$C$12:C538)+LOOKUP(,-1/($Z$12:Z538=1),$H$12:H538),Первоначальный[[#This Row],[Полученный платеж]]+Y537),
AND(S537=0,TYPE(VLOOKUP("Да",(INDIRECT("AA"&amp;(MAX((1=Z$12:Z537)*ROW(Z$12:Z537),ROW($T$12))&amp;":AA"&amp;(ROW()-1)))),1,0))&lt;&gt;16),MIN(LOOKUP(,-1/($Z$12:Z538=1),$C$12:C538)+LOOKUP(,-1/($Z$12:Z538=1),$H$12:H538)-IF(AA537="Да",0,SUM(INDIRECT("T"&amp;(MAX(("Да"=AA$12:AA537)*ROW(AA$12:AA537)+1,ROW($T$12))&amp;":T"&amp;(ROW()-1))))),Первоначальный[[#This Row],[Полученный платеж]]+Y537),
AND(S537=0,MAX((0&lt;&gt;N$12:N537)*ROW(N$12:N537),ROW($S$12))&gt;=MAX((1=Z$12:Z537)*ROW(Z$12:Z537),ROW($T$12))),MIN(LOOKUP(,-1/($Z$12:Z538=1),$C$12:C538)+LOOKUP(,-1/($Z$12:Z538=1),$H$12:H538)-IF(N537&lt;&gt;0,0,SUM(INDIRECT("T"&amp;(MAX((0&lt;&gt;N$12:N537)*ROW(N$12:N537)+1,ROW($T$12))&amp;":T"&amp;(ROW()-1))))),Первоначальный[[#This Row],[Полученный платеж]]+Y537),
AND(S537=0,Первоначальный[[#This Row],[Дата платежа из графика]]=1),MIN(LOOKUP(,-1/($Z$12:Z538=1),$C$12:C538)+LOOKUP(,-1/($Z$12:Z538=1),$H$12:H538)-IF(Z537=1,0,SUM(INDIRECT("T"&amp;(MAX((1=Z$12:Z537)*ROW(Z$12:Z537)+1,ROW($T$12))&amp;":T"&amp;(ROW()-1))))),Первоначальный[[#This Row],[Полученный платеж]]+Y537),
AND(Z537&gt;0,Первоначальный[[#This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платеж]]+Y537),
AND(S537&gt;0,MAX((0&lt;&gt;S$12:S537)*ROW(S$12:S537),ROW($S$12))&gt;=MAX((1=Z$12:Z537)*ROW(Z$12:Z537),ROW($T$12)),TYPE(VLOOKUP("Да",(INDIRECT("AA"&amp;(MAX((1=Z$12:Z537)*ROW(Z$12:Z537),ROW($T$12))&amp;":AA"&amp;(ROW()-1)))),1,0))=16),MIN(LOOKUP(,-1/($Z$12:Z538=1),$C$12:C538)+LOOKUP(,-1/($Z$12:Z538=1),$H$12:H538)-SUM(INDIRECT("T"&amp;(MAX((1=Z$12:Z537)*ROW(Z$12:Z537),ROW($T$12))&amp;":T"&amp;(ROW()-1)))),Первоначальный[[#This Row],[Полученный платеж]]+Y537),
S537&gt;0,MIN(LOOKUP(,-1/($Z$12:Z538=1),$C$12:C538)+LOOKUP(,-1/($Z$12:Z538=1),$H$12:H538)-IF(Z537=1,0,SUM(INDIRECT("T"&amp;(MAX((1=Z$12:Z537)*ROW(Z$12:Z537)+1,ROW($T$12))&amp;":T"&amp;(ROW()-1))))),Первоначальный[[#This Row],[Полученный платеж]]+Y537)
)
)
)</f>
        <v>0</v>
      </c>
      <c r="U53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платеж]]+Y537-Первоначальный[[#This Row],[Полученный платёж по процентам]])</f>
        <v>0</v>
      </c>
      <c r="V538" s="55">
        <f t="shared" ca="1" si="97"/>
        <v>0</v>
      </c>
      <c r="W538" s="55" cm="1">
        <f t="array" aca="1" ref="W538" ca="1">IF(Первоначальный[[#This Row],[Итого остаток на начало периода]]&lt;1,0,
_xlfn.IFS(
AND(TYPE(VLOOKUP(1,$Z$12:Z538,1,0))=16,Первоначальный[[#This Row],[Досрочное погашение (да/"")]]=""),0,
AND(S537=0,Первоначальный[[#This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платеж]]+Y537-SUM(Первоначальный[[#This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комиссиям]]),VLOOKUP(LOOKUP(,-1/($Z$12:Z538=1),$A$12:A538),График[[Срок конец]:[Возврат основной суммы долга]],3,0)),
AND(S537=0,Первоначальный[[#This Row],[Дата платежа из графика]]="",Первоначальный[[#This Row],[Досрочное погашение (да/"")]]&lt;&gt;"Да"),0,
AND(S537=0,Первоначальный[[#This Row],[Досрочное погашение (да/"")]]=""),MIN(Первоначальный[[#This Row],[Полученный платеж]]+Y537-SUM(Первоначальный[[#This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комиссиям]]),VLOOKUP(LOOKUP(,-1/($Z$12:Z538=1),$A$12:A538),График[[Срок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платеж]]+Y537-SUM(Первоначальный[[#This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S537&gt;0,MIN(Первоначальный[[#This Row],[Полученный платеж]]+Y537-SUM(Первоначальный[[#This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комиссиям]]),SUM(INDIRECT("M"&amp;(MAX((1=S$12:S537)*ROW(S$12:S537),ROW($W$12))&amp;":M"&amp;(ROW()))))-SUM(INDIRECT("W"&amp;(MAX((1=S$12:S537)*ROW(S$12:S537),ROW($W$12))&amp;":W"&amp;(ROW()-1)))))
)
)</f>
        <v>0</v>
      </c>
      <c r="X538" s="55">
        <f t="shared" ca="1" si="98"/>
        <v>0</v>
      </c>
      <c r="Y538" s="101">
        <f t="shared" ca="1" si="105"/>
        <v>0</v>
      </c>
      <c r="Z538" s="133" t="str">
        <f>IF(TYPE((VLOOKUP(Первоначальный[[#This Row],[Дата платежа]],График[Срок конец],1,0)))=16,"",1)</f>
        <v/>
      </c>
      <c r="AA538" s="57"/>
      <c r="AB538" s="134"/>
      <c r="AC53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3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37013.859999999899</v>
      </c>
      <c r="AE53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826.44000000000131</v>
      </c>
      <c r="AF53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3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48220.675422951099</v>
      </c>
      <c r="AH538" s="55"/>
      <c r="AI538" s="55"/>
      <c r="AJ538" s="55"/>
      <c r="AK538" s="101">
        <f t="shared" ca="1" si="106"/>
        <v>235694.31542295101</v>
      </c>
      <c r="AL538" s="129">
        <f t="array" ref="AL538">MAX((УслРестрактов[Характеристика]="Дата реструктуризации")*(УслРестрактов[Значение]=Первоначальный!$A538),0)</f>
        <v>0</v>
      </c>
    </row>
    <row r="539" spans="1:38" x14ac:dyDescent="0.25">
      <c r="A539" s="97">
        <f t="shared" si="99"/>
        <v>44670</v>
      </c>
      <c r="B539" s="100">
        <f t="shared" ca="1" si="100"/>
        <v>149633.34</v>
      </c>
      <c r="C539" s="55">
        <f t="shared" ca="1" si="96"/>
        <v>37013.859999999899</v>
      </c>
      <c r="D539" s="55">
        <f t="shared" ca="1" si="96"/>
        <v>826.44000000000131</v>
      </c>
      <c r="E539" s="55">
        <f t="shared" ca="1" si="101"/>
        <v>0</v>
      </c>
      <c r="F539" s="55">
        <f t="shared" ca="1" si="102"/>
        <v>48220.675422951099</v>
      </c>
      <c r="G539" s="101">
        <f t="shared" ca="1" si="103"/>
        <v>235694.31542295101</v>
      </c>
      <c r="H539" s="100">
        <f ca="1">ROUND($B539*VLOOKUP($A539,$A$1:$B$10,2,1)/(365+IF(MOD(YEAR($A539),4),0,1)*($A539-$A538)),2)-Первоначальный[[#This Row],[Проценты на просроченный платеж по ОД за период]]</f>
        <v>77.69</v>
      </c>
      <c r="I539" s="55">
        <f t="shared" ca="1" si="104"/>
        <v>3.89</v>
      </c>
      <c r="J539" s="55">
        <v>0</v>
      </c>
      <c r="K539" s="55">
        <f t="shared" ca="1" si="107"/>
        <v>217.20850327868848</v>
      </c>
      <c r="L539" s="55">
        <v>0</v>
      </c>
      <c r="M539" s="113">
        <f>SUMIFS(График[Возврат основной суммы долга],График[Дата с учетом нерабочих дней],$A539)</f>
        <v>0</v>
      </c>
      <c r="N539" s="56">
        <f>SUMIFS(График[Возврат начисленных %],График[Дата с учетом нерабочих дней],$A539)</f>
        <v>0</v>
      </c>
      <c r="O539" s="101">
        <v>0</v>
      </c>
      <c r="P539" s="100" cm="1">
        <f t="array" aca="1" ref="P539" ca="1">MAX(IF(AA538="Да",0,SUM(INDIRECT("M"&amp;(MAX(("Да"=AA$12:AA538)*ROW(AA$12:AA538)+1,ROW($P$12))&amp;":M"&amp;(ROW()))))-SUM(INDIRECT("W"&amp;(MAX(("Да"=AA$12:AA538)*ROW(AA$12:AA538)+1,ROW($P$12))&amp;":W"&amp;(ROW()))))),0)</f>
        <v>7129.2099999999991</v>
      </c>
      <c r="Q539" s="99">
        <f ca="1">MAX(SUM($N$13:N539)-SUM($T$13:T539),0)</f>
        <v>36312.490655737696</v>
      </c>
      <c r="R539" s="99">
        <f ca="1">Первоначальный[[#This Row],[Просроченный платеж по ОД]]+Первоначальный[[#This Row],[Просроченный платеж по процентам]]</f>
        <v>43441.700655737695</v>
      </c>
      <c r="S539" s="120">
        <f ca="1">IF(Первоначальный[[#This Row],[Просроченный платеж]]&lt;1,0,S538+1)</f>
        <v>435</v>
      </c>
      <c r="T539" s="100" cm="1">
        <f t="array" aca="1" ref="T539" ca="1">IF(Первоначальный[[#This Row],[Итого остаток на начало периода]]&lt;1,0,
IF(
AND(TYPE(VLOOKUP(1,$Z$12:Z539,1,0))=16,Первоначальный[[#This Row],[Досрочное погашение (да/"")]]=""),0,
_xlfn.IFS(AND(S538=0,Первоначальный[[#This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платеж]]&lt;&gt;0),MIN(LOOKUP(,-1/($Z$12:Z539=1),$C$12:C539)+LOOKUP(,-1/($Z$12:Z539=1),$H$12:H539),Первоначальный[[#This Row],[Полученный платеж]]+Y538),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платеж]]+Y538,SUM(Первоначальный[[#This Row],[Остаток процентов на начало периода]],Первоначальный[[#This Row],[Проценты за период]])),
AND(S538=0,Первоначальный[[#This Row],[Дата платежа из графика]]=""),0,
AND(S538=0,Первоначальный[[#This Row],[Дата платежа из графика]]=1,MAX((0&lt;&gt;S$12:S538)*ROW(S$12:S538),ROW($S$12))&gt;=MAX((1=Z$12:Z538)*ROW(Z$12:Z538),ROW($T$12)),TYPE(VLOOKUP("Да",(INDIRECT("AA"&amp;(MAX((1=Z$12:Z538)*ROW(Z$12:Z538),ROW($T$12))&amp;":AA"&amp;(ROW()-1)))),1,0))=16),MIN(LOOKUP(,-1/($Z$12:Z539=1),$C$12:C539)+LOOKUP(,-1/($Z$12:Z539=1),$H$12:H539),Первоначальный[[#This Row],[Полученный платеж]]+Y538),
AND(S538=0,TYPE(VLOOKUP("Да",(INDIRECT("AA"&amp;(MAX((1=Z$12:Z538)*ROW(Z$12:Z538),ROW($T$12))&amp;":AA"&amp;(ROW()-1)))),1,0))&lt;&gt;16),MIN(LOOKUP(,-1/($Z$12:Z539=1),$C$12:C539)+LOOKUP(,-1/($Z$12:Z539=1),$H$12:H539)-IF(AA538="Да",0,SUM(INDIRECT("T"&amp;(MAX(("Да"=AA$12:AA538)*ROW(AA$12:AA538)+1,ROW($T$12))&amp;":T"&amp;(ROW()-1))))),Первоначальный[[#This Row],[Полученный платеж]]+Y538),
AND(S538=0,MAX((0&lt;&gt;N$12:N538)*ROW(N$12:N538),ROW($S$12))&gt;=MAX((1=Z$12:Z538)*ROW(Z$12:Z538),ROW($T$12))),MIN(LOOKUP(,-1/($Z$12:Z539=1),$C$12:C539)+LOOKUP(,-1/($Z$12:Z539=1),$H$12:H539)-IF(N538&lt;&gt;0,0,SUM(INDIRECT("T"&amp;(MAX((0&lt;&gt;N$12:N538)*ROW(N$12:N538)+1,ROW($T$12))&amp;":T"&amp;(ROW()-1))))),Первоначальный[[#This Row],[Полученный платеж]]+Y538),
AND(S538=0,Первоначальный[[#This Row],[Дата платежа из графика]]=1),MIN(LOOKUP(,-1/($Z$12:Z539=1),$C$12:C539)+LOOKUP(,-1/($Z$12:Z539=1),$H$12:H539)-IF(Z538=1,0,SUM(INDIRECT("T"&amp;(MAX((1=Z$12:Z538)*ROW(Z$12:Z538)+1,ROW($T$12))&amp;":T"&amp;(ROW()-1))))),Первоначальный[[#This Row],[Полученный платеж]]+Y538),
AND(Z538&gt;0,Первоначальный[[#This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платеж]]+Y538),
AND(S538&gt;0,MAX((0&lt;&gt;S$12:S538)*ROW(S$12:S538),ROW($S$12))&gt;=MAX((1=Z$12:Z538)*ROW(Z$12:Z538),ROW($T$12)),TYPE(VLOOKUP("Да",(INDIRECT("AA"&amp;(MAX((1=Z$12:Z538)*ROW(Z$12:Z538),ROW($T$12))&amp;":AA"&amp;(ROW()-1)))),1,0))=16),MIN(LOOKUP(,-1/($Z$12:Z539=1),$C$12:C539)+LOOKUP(,-1/($Z$12:Z539=1),$H$12:H539)-SUM(INDIRECT("T"&amp;(MAX((1=Z$12:Z538)*ROW(Z$12:Z538),ROW($T$12))&amp;":T"&amp;(ROW()-1)))),Первоначальный[[#This Row],[Полученный платеж]]+Y538),
S538&gt;0,MIN(LOOKUP(,-1/($Z$12:Z539=1),$C$12:C539)+LOOKUP(,-1/($Z$12:Z539=1),$H$12:H539)-IF(Z538=1,0,SUM(INDIRECT("T"&amp;(MAX((1=Z$12:Z538)*ROW(Z$12:Z538)+1,ROW($T$12))&amp;":T"&amp;(ROW()-1))))),Первоначальный[[#This Row],[Полученный платеж]]+Y538)
)
)
)</f>
        <v>0</v>
      </c>
      <c r="U53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платеж]]+Y538-Первоначальный[[#This Row],[Полученный платёж по процентам]])</f>
        <v>0</v>
      </c>
      <c r="V539" s="55">
        <f t="shared" ca="1" si="97"/>
        <v>0</v>
      </c>
      <c r="W539" s="55" cm="1">
        <f t="array" aca="1" ref="W539" ca="1">IF(Первоначальный[[#This Row],[Итого остаток на начало периода]]&lt;1,0,
_xlfn.IFS(
AND(TYPE(VLOOKUP(1,$Z$12:Z539,1,0))=16,Первоначальный[[#This Row],[Досрочное погашение (да/"")]]=""),0,
AND(S538=0,Первоначальный[[#This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платеж]]+Y538-SUM(Первоначальный[[#This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комиссиям]]),VLOOKUP(LOOKUP(,-1/($Z$12:Z539=1),$A$12:A539),График[[Срок конец]:[Возврат основной суммы долга]],3,0)),
AND(S538=0,Первоначальный[[#This Row],[Дата платежа из графика]]="",Первоначальный[[#This Row],[Досрочное погашение (да/"")]]&lt;&gt;"Да"),0,
AND(S538=0,Первоначальный[[#This Row],[Досрочное погашение (да/"")]]=""),MIN(Первоначальный[[#This Row],[Полученный платеж]]+Y538-SUM(Первоначальный[[#This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комиссиям]]),VLOOKUP(LOOKUP(,-1/($Z$12:Z539=1),$A$12:A539),График[[Срок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платеж]]+Y538-SUM(Первоначальный[[#This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S538&gt;0,MIN(Первоначальный[[#This Row],[Полученный платеж]]+Y538-SUM(Первоначальный[[#This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комиссиям]]),SUM(INDIRECT("M"&amp;(MAX((1=S$12:S538)*ROW(S$12:S538),ROW($W$12))&amp;":M"&amp;(ROW()))))-SUM(INDIRECT("W"&amp;(MAX((1=S$12:S538)*ROW(S$12:S538),ROW($W$12))&amp;":W"&amp;(ROW()-1)))))
)
)</f>
        <v>0</v>
      </c>
      <c r="X539" s="55">
        <f t="shared" ca="1" si="98"/>
        <v>0</v>
      </c>
      <c r="Y539" s="101">
        <f t="shared" ca="1" si="105"/>
        <v>0</v>
      </c>
      <c r="Z539" s="133" t="str">
        <f>IF(TYPE((VLOOKUP(Первоначальный[[#This Row],[Дата платежа]],График[Срок конец],1,0)))=16,"",1)</f>
        <v/>
      </c>
      <c r="AA539" s="57"/>
      <c r="AB539" s="134"/>
      <c r="AC53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3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37091.549999999901</v>
      </c>
      <c r="AE53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830.33000000000129</v>
      </c>
      <c r="AF53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3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48437.883926229784</v>
      </c>
      <c r="AH539" s="55"/>
      <c r="AI539" s="55"/>
      <c r="AJ539" s="55"/>
      <c r="AK539" s="101">
        <f t="shared" ca="1" si="106"/>
        <v>235993.10392622967</v>
      </c>
      <c r="AL539" s="129">
        <f t="array" ref="AL539">MAX((УслРестрактов[Характеристика]="Дата реструктуризации")*(УслРестрактов[Значение]=Первоначальный!$A539),0)</f>
        <v>0</v>
      </c>
    </row>
    <row r="540" spans="1:38" x14ac:dyDescent="0.25">
      <c r="A540" s="97">
        <f t="shared" si="99"/>
        <v>44671</v>
      </c>
      <c r="B540" s="100">
        <f t="shared" ca="1" si="100"/>
        <v>149633.34</v>
      </c>
      <c r="C540" s="55">
        <f t="shared" ca="1" si="96"/>
        <v>37091.549999999901</v>
      </c>
      <c r="D540" s="55">
        <f t="shared" ca="1" si="96"/>
        <v>830.33000000000129</v>
      </c>
      <c r="E540" s="55">
        <f t="shared" ca="1" si="101"/>
        <v>0</v>
      </c>
      <c r="F540" s="55">
        <f t="shared" ca="1" si="102"/>
        <v>48437.883926229784</v>
      </c>
      <c r="G540" s="101">
        <f t="shared" ca="1" si="103"/>
        <v>235993.10392622967</v>
      </c>
      <c r="H540" s="100">
        <f ca="1">ROUND($B540*VLOOKUP($A540,$A$1:$B$10,2,1)/(365+IF(MOD(YEAR($A540),4),0,1)*($A540-$A539)),2)-Первоначальный[[#This Row],[Проценты на просроченный платеж по ОД за период]]</f>
        <v>77.69</v>
      </c>
      <c r="I540" s="55">
        <f t="shared" ca="1" si="104"/>
        <v>3.89</v>
      </c>
      <c r="J540" s="55">
        <v>0</v>
      </c>
      <c r="K540" s="55">
        <f t="shared" ca="1" si="107"/>
        <v>217.20850327868848</v>
      </c>
      <c r="L540" s="55">
        <v>0</v>
      </c>
      <c r="M540" s="113">
        <f>SUMIFS(График[Возврат основной суммы долга],График[Дата с учетом нерабочих дней],$A540)</f>
        <v>0</v>
      </c>
      <c r="N540" s="56">
        <f>SUMIFS(График[Возврат начисленных %],График[Дата с учетом нерабочих дней],$A540)</f>
        <v>0</v>
      </c>
      <c r="O540" s="101">
        <v>0</v>
      </c>
      <c r="P540" s="100" cm="1">
        <f t="array" aca="1" ref="P540" ca="1">MAX(IF(AA539="Да",0,SUM(INDIRECT("M"&amp;(MAX(("Да"=AA$12:AA539)*ROW(AA$12:AA539)+1,ROW($P$12))&amp;":M"&amp;(ROW()))))-SUM(INDIRECT("W"&amp;(MAX(("Да"=AA$12:AA539)*ROW(AA$12:AA539)+1,ROW($P$12))&amp;":W"&amp;(ROW()))))),0)</f>
        <v>7129.2099999999991</v>
      </c>
      <c r="Q540" s="99">
        <f ca="1">MAX(SUM($N$13:N540)-SUM($T$13:T540),0)</f>
        <v>36312.490655737696</v>
      </c>
      <c r="R540" s="99">
        <f ca="1">Первоначальный[[#This Row],[Просроченный платеж по ОД]]+Первоначальный[[#This Row],[Просроченный платеж по процентам]]</f>
        <v>43441.700655737695</v>
      </c>
      <c r="S540" s="120">
        <f ca="1">IF(Первоначальный[[#This Row],[Просроченный платеж]]&lt;1,0,S539+1)</f>
        <v>436</v>
      </c>
      <c r="T540" s="100" cm="1">
        <f t="array" aca="1" ref="T540" ca="1">IF(Первоначальный[[#This Row],[Итого остаток на начало периода]]&lt;1,0,
IF(
AND(TYPE(VLOOKUP(1,$Z$12:Z540,1,0))=16,Первоначальный[[#This Row],[Досрочное погашение (да/"")]]=""),0,
_xlfn.IFS(AND(S539=0,Первоначальный[[#This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платеж]]&lt;&gt;0),MIN(LOOKUP(,-1/($Z$12:Z540=1),$C$12:C540)+LOOKUP(,-1/($Z$12:Z540=1),$H$12:H540),Первоначальный[[#This Row],[Полученный платеж]]+Y539),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платеж]]+Y539,SUM(Первоначальный[[#This Row],[Остаток процентов на начало периода]],Первоначальный[[#This Row],[Проценты за период]])),
AND(S539=0,Первоначальный[[#This Row],[Дата платежа из графика]]=""),0,
AND(S539=0,Первоначальный[[#This Row],[Дата платежа из графика]]=1,MAX((0&lt;&gt;S$12:S539)*ROW(S$12:S539),ROW($S$12))&gt;=MAX((1=Z$12:Z539)*ROW(Z$12:Z539),ROW($T$12)),TYPE(VLOOKUP("Да",(INDIRECT("AA"&amp;(MAX((1=Z$12:Z539)*ROW(Z$12:Z539),ROW($T$12))&amp;":AA"&amp;(ROW()-1)))),1,0))=16),MIN(LOOKUP(,-1/($Z$12:Z540=1),$C$12:C540)+LOOKUP(,-1/($Z$12:Z540=1),$H$12:H540),Первоначальный[[#This Row],[Полученный платеж]]+Y539),
AND(S539=0,TYPE(VLOOKUP("Да",(INDIRECT("AA"&amp;(MAX((1=Z$12:Z539)*ROW(Z$12:Z539),ROW($T$12))&amp;":AA"&amp;(ROW()-1)))),1,0))&lt;&gt;16),MIN(LOOKUP(,-1/($Z$12:Z540=1),$C$12:C540)+LOOKUP(,-1/($Z$12:Z540=1),$H$12:H540)-IF(AA539="Да",0,SUM(INDIRECT("T"&amp;(MAX(("Да"=AA$12:AA539)*ROW(AA$12:AA539)+1,ROW($T$12))&amp;":T"&amp;(ROW()-1))))),Первоначальный[[#This Row],[Полученный платеж]]+Y539),
AND(S539=0,MAX((0&lt;&gt;N$12:N539)*ROW(N$12:N539),ROW($S$12))&gt;=MAX((1=Z$12:Z539)*ROW(Z$12:Z539),ROW($T$12))),MIN(LOOKUP(,-1/($Z$12:Z540=1),$C$12:C540)+LOOKUP(,-1/($Z$12:Z540=1),$H$12:H540)-IF(N539&lt;&gt;0,0,SUM(INDIRECT("T"&amp;(MAX((0&lt;&gt;N$12:N539)*ROW(N$12:N539)+1,ROW($T$12))&amp;":T"&amp;(ROW()-1))))),Первоначальный[[#This Row],[Полученный платеж]]+Y539),
AND(S539=0,Первоначальный[[#This Row],[Дата платежа из графика]]=1),MIN(LOOKUP(,-1/($Z$12:Z540=1),$C$12:C540)+LOOKUP(,-1/($Z$12:Z540=1),$H$12:H540)-IF(Z539=1,0,SUM(INDIRECT("T"&amp;(MAX((1=Z$12:Z539)*ROW(Z$12:Z539)+1,ROW($T$12))&amp;":T"&amp;(ROW()-1))))),Первоначальный[[#This Row],[Полученный платеж]]+Y539),
AND(Z539&gt;0,Первоначальный[[#This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платеж]]+Y539),
AND(S539&gt;0,MAX((0&lt;&gt;S$12:S539)*ROW(S$12:S539),ROW($S$12))&gt;=MAX((1=Z$12:Z539)*ROW(Z$12:Z539),ROW($T$12)),TYPE(VLOOKUP("Да",(INDIRECT("AA"&amp;(MAX((1=Z$12:Z539)*ROW(Z$12:Z539),ROW($T$12))&amp;":AA"&amp;(ROW()-1)))),1,0))=16),MIN(LOOKUP(,-1/($Z$12:Z540=1),$C$12:C540)+LOOKUP(,-1/($Z$12:Z540=1),$H$12:H540)-SUM(INDIRECT("T"&amp;(MAX((1=Z$12:Z539)*ROW(Z$12:Z539),ROW($T$12))&amp;":T"&amp;(ROW()-1)))),Первоначальный[[#This Row],[Полученный платеж]]+Y539),
S539&gt;0,MIN(LOOKUP(,-1/($Z$12:Z540=1),$C$12:C540)+LOOKUP(,-1/($Z$12:Z540=1),$H$12:H540)-IF(Z539=1,0,SUM(INDIRECT("T"&amp;(MAX((1=Z$12:Z539)*ROW(Z$12:Z539)+1,ROW($T$12))&amp;":T"&amp;(ROW()-1))))),Первоначальный[[#This Row],[Полученный платеж]]+Y539)
)
)
)</f>
        <v>0</v>
      </c>
      <c r="U54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платеж]]+Y539-Первоначальный[[#This Row],[Полученный платёж по процентам]])</f>
        <v>0</v>
      </c>
      <c r="V540" s="55">
        <f t="shared" ca="1" si="97"/>
        <v>0</v>
      </c>
      <c r="W540" s="55" cm="1">
        <f t="array" aca="1" ref="W540" ca="1">IF(Первоначальный[[#This Row],[Итого остаток на начало периода]]&lt;1,0,
_xlfn.IFS(
AND(TYPE(VLOOKUP(1,$Z$12:Z540,1,0))=16,Первоначальный[[#This Row],[Досрочное погашение (да/"")]]=""),0,
AND(S539=0,Первоначальный[[#This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платеж]]+Y539-SUM(Первоначальный[[#This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комиссиям]]),VLOOKUP(LOOKUP(,-1/($Z$12:Z540=1),$A$12:A540),График[[Срок конец]:[Возврат основной суммы долга]],3,0)),
AND(S539=0,Первоначальный[[#This Row],[Дата платежа из графика]]="",Первоначальный[[#This Row],[Досрочное погашение (да/"")]]&lt;&gt;"Да"),0,
AND(S539=0,Первоначальный[[#This Row],[Досрочное погашение (да/"")]]=""),MIN(Первоначальный[[#This Row],[Полученный платеж]]+Y539-SUM(Первоначальный[[#This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комиссиям]]),VLOOKUP(LOOKUP(,-1/($Z$12:Z540=1),$A$12:A540),График[[Срок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платеж]]+Y539-SUM(Первоначальный[[#This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S539&gt;0,MIN(Первоначальный[[#This Row],[Полученный платеж]]+Y539-SUM(Первоначальный[[#This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комиссиям]]),SUM(INDIRECT("M"&amp;(MAX((1=S$12:S539)*ROW(S$12:S539),ROW($W$12))&amp;":M"&amp;(ROW()))))-SUM(INDIRECT("W"&amp;(MAX((1=S$12:S539)*ROW(S$12:S539),ROW($W$12))&amp;":W"&amp;(ROW()-1)))))
)
)</f>
        <v>0</v>
      </c>
      <c r="X540" s="55">
        <f t="shared" ca="1" si="98"/>
        <v>0</v>
      </c>
      <c r="Y540" s="101">
        <f t="shared" ca="1" si="105"/>
        <v>0</v>
      </c>
      <c r="Z540" s="133" t="str">
        <f>IF(TYPE((VLOOKUP(Первоначальный[[#This Row],[Дата платежа]],График[Срок конец],1,0)))=16,"",1)</f>
        <v/>
      </c>
      <c r="AA540" s="57"/>
      <c r="AB540" s="134"/>
      <c r="AC54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4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37169.239999999903</v>
      </c>
      <c r="AE54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834.22000000000128</v>
      </c>
      <c r="AF54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4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48655.09242950847</v>
      </c>
      <c r="AH540" s="55"/>
      <c r="AI540" s="55"/>
      <c r="AJ540" s="55"/>
      <c r="AK540" s="101">
        <f t="shared" ca="1" si="106"/>
        <v>236291.89242950839</v>
      </c>
      <c r="AL540" s="129">
        <f t="array" ref="AL540">MAX((УслРестрактов[Характеристика]="Дата реструктуризации")*(УслРестрактов[Значение]=Первоначальный!$A540),0)</f>
        <v>0</v>
      </c>
    </row>
    <row r="541" spans="1:38" x14ac:dyDescent="0.25">
      <c r="A541" s="97">
        <f t="shared" si="99"/>
        <v>44672</v>
      </c>
      <c r="B541" s="100">
        <f t="shared" ca="1" si="100"/>
        <v>149633.34</v>
      </c>
      <c r="C541" s="55">
        <f t="shared" ref="C541:D604" ca="1" si="108">AD540+AI540</f>
        <v>37169.239999999903</v>
      </c>
      <c r="D541" s="55">
        <f t="shared" ca="1" si="108"/>
        <v>834.22000000000128</v>
      </c>
      <c r="E541" s="55">
        <f t="shared" ca="1" si="101"/>
        <v>0</v>
      </c>
      <c r="F541" s="55">
        <f t="shared" ca="1" si="102"/>
        <v>48655.09242950847</v>
      </c>
      <c r="G541" s="101">
        <f t="shared" ca="1" si="103"/>
        <v>236291.89242950839</v>
      </c>
      <c r="H541" s="100">
        <f ca="1">ROUND($B541*VLOOKUP($A541,$A$1:$B$10,2,1)/(365+IF(MOD(YEAR($A541),4),0,1)*($A541-$A540)),2)-Первоначальный[[#This Row],[Проценты на просроченный платеж по ОД за период]]</f>
        <v>77.69</v>
      </c>
      <c r="I541" s="55">
        <f t="shared" ca="1" si="104"/>
        <v>3.89</v>
      </c>
      <c r="J541" s="55">
        <v>0</v>
      </c>
      <c r="K541" s="55">
        <f t="shared" ca="1" si="107"/>
        <v>217.20850327868848</v>
      </c>
      <c r="L541" s="55">
        <v>0</v>
      </c>
      <c r="M541" s="113">
        <f>SUMIFS(График[Возврат основной суммы долга],График[Дата с учетом нерабочих дней],$A541)</f>
        <v>0</v>
      </c>
      <c r="N541" s="56">
        <f>SUMIFS(График[Возврат начисленных %],График[Дата с учетом нерабочих дней],$A541)</f>
        <v>0</v>
      </c>
      <c r="O541" s="101">
        <v>0</v>
      </c>
      <c r="P541" s="100" cm="1">
        <f t="array" aca="1" ref="P541" ca="1">MAX(IF(AA540="Да",0,SUM(INDIRECT("M"&amp;(MAX(("Да"=AA$12:AA540)*ROW(AA$12:AA540)+1,ROW($P$12))&amp;":M"&amp;(ROW()))))-SUM(INDIRECT("W"&amp;(MAX(("Да"=AA$12:AA540)*ROW(AA$12:AA540)+1,ROW($P$12))&amp;":W"&amp;(ROW()))))),0)</f>
        <v>7129.2099999999991</v>
      </c>
      <c r="Q541" s="99">
        <f ca="1">MAX(SUM($N$13:N541)-SUM($T$13:T541),0)</f>
        <v>36312.490655737696</v>
      </c>
      <c r="R541" s="99">
        <f ca="1">Первоначальный[[#This Row],[Просроченный платеж по ОД]]+Первоначальный[[#This Row],[Просроченный платеж по процентам]]</f>
        <v>43441.700655737695</v>
      </c>
      <c r="S541" s="120">
        <f ca="1">IF(Первоначальный[[#This Row],[Просроченный платеж]]&lt;1,0,S540+1)</f>
        <v>437</v>
      </c>
      <c r="T541" s="100" cm="1">
        <f t="array" aca="1" ref="T541" ca="1">IF(Первоначальный[[#This Row],[Итого остаток на начало периода]]&lt;1,0,
IF(
AND(TYPE(VLOOKUP(1,$Z$12:Z541,1,0))=16,Первоначальный[[#This Row],[Досрочное погашение (да/"")]]=""),0,
_xlfn.IFS(AND(S540=0,Первоначальный[[#This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платеж]]&lt;&gt;0),MIN(LOOKUP(,-1/($Z$12:Z541=1),$C$12:C541)+LOOKUP(,-1/($Z$12:Z541=1),$H$12:H541),Первоначальный[[#This Row],[Полученный платеж]]+Y540),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платеж]]+Y540,SUM(Первоначальный[[#This Row],[Остаток процентов на начало периода]],Первоначальный[[#This Row],[Проценты за период]])),
AND(S540=0,Первоначальный[[#This Row],[Дата платежа из графика]]=""),0,
AND(S540=0,Первоначальный[[#This Row],[Дата платежа из графика]]=1,MAX((0&lt;&gt;S$12:S540)*ROW(S$12:S540),ROW($S$12))&gt;=MAX((1=Z$12:Z540)*ROW(Z$12:Z540),ROW($T$12)),TYPE(VLOOKUP("Да",(INDIRECT("AA"&amp;(MAX((1=Z$12:Z540)*ROW(Z$12:Z540),ROW($T$12))&amp;":AA"&amp;(ROW()-1)))),1,0))=16),MIN(LOOKUP(,-1/($Z$12:Z541=1),$C$12:C541)+LOOKUP(,-1/($Z$12:Z541=1),$H$12:H541),Первоначальный[[#This Row],[Полученный платеж]]+Y540),
AND(S540=0,TYPE(VLOOKUP("Да",(INDIRECT("AA"&amp;(MAX((1=Z$12:Z540)*ROW(Z$12:Z540),ROW($T$12))&amp;":AA"&amp;(ROW()-1)))),1,0))&lt;&gt;16),MIN(LOOKUP(,-1/($Z$12:Z541=1),$C$12:C541)+LOOKUP(,-1/($Z$12:Z541=1),$H$12:H541)-IF(AA540="Да",0,SUM(INDIRECT("T"&amp;(MAX(("Да"=AA$12:AA540)*ROW(AA$12:AA540)+1,ROW($T$12))&amp;":T"&amp;(ROW()-1))))),Первоначальный[[#This Row],[Полученный платеж]]+Y540),
AND(S540=0,MAX((0&lt;&gt;N$12:N540)*ROW(N$12:N540),ROW($S$12))&gt;=MAX((1=Z$12:Z540)*ROW(Z$12:Z540),ROW($T$12))),MIN(LOOKUP(,-1/($Z$12:Z541=1),$C$12:C541)+LOOKUP(,-1/($Z$12:Z541=1),$H$12:H541)-IF(N540&lt;&gt;0,0,SUM(INDIRECT("T"&amp;(MAX((0&lt;&gt;N$12:N540)*ROW(N$12:N540)+1,ROW($T$12))&amp;":T"&amp;(ROW()-1))))),Первоначальный[[#This Row],[Полученный платеж]]+Y540),
AND(S540=0,Первоначальный[[#This Row],[Дата платежа из графика]]=1),MIN(LOOKUP(,-1/($Z$12:Z541=1),$C$12:C541)+LOOKUP(,-1/($Z$12:Z541=1),$H$12:H541)-IF(Z540=1,0,SUM(INDIRECT("T"&amp;(MAX((1=Z$12:Z540)*ROW(Z$12:Z540)+1,ROW($T$12))&amp;":T"&amp;(ROW()-1))))),Первоначальный[[#This Row],[Полученный платеж]]+Y540),
AND(Z540&gt;0,Первоначальный[[#This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платеж]]+Y540),
AND(S540&gt;0,MAX((0&lt;&gt;S$12:S540)*ROW(S$12:S540),ROW($S$12))&gt;=MAX((1=Z$12:Z540)*ROW(Z$12:Z540),ROW($T$12)),TYPE(VLOOKUP("Да",(INDIRECT("AA"&amp;(MAX((1=Z$12:Z540)*ROW(Z$12:Z540),ROW($T$12))&amp;":AA"&amp;(ROW()-1)))),1,0))=16),MIN(LOOKUP(,-1/($Z$12:Z541=1),$C$12:C541)+LOOKUP(,-1/($Z$12:Z541=1),$H$12:H541)-SUM(INDIRECT("T"&amp;(MAX((1=Z$12:Z540)*ROW(Z$12:Z540),ROW($T$12))&amp;":T"&amp;(ROW()-1)))),Первоначальный[[#This Row],[Полученный платеж]]+Y540),
S540&gt;0,MIN(LOOKUP(,-1/($Z$12:Z541=1),$C$12:C541)+LOOKUP(,-1/($Z$12:Z541=1),$H$12:H541)-IF(Z540=1,0,SUM(INDIRECT("T"&amp;(MAX((1=Z$12:Z540)*ROW(Z$12:Z540)+1,ROW($T$12))&amp;":T"&amp;(ROW()-1))))),Первоначальный[[#This Row],[Полученный платеж]]+Y540)
)
)
)</f>
        <v>0</v>
      </c>
      <c r="U54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платеж]]+Y540-Первоначальный[[#This Row],[Полученный платёж по процентам]])</f>
        <v>0</v>
      </c>
      <c r="V541" s="55">
        <f t="shared" ca="1" si="97"/>
        <v>0</v>
      </c>
      <c r="W541" s="55" cm="1">
        <f t="array" aca="1" ref="W541" ca="1">IF(Первоначальный[[#This Row],[Итого остаток на начало периода]]&lt;1,0,
_xlfn.IFS(
AND(TYPE(VLOOKUP(1,$Z$12:Z541,1,0))=16,Первоначальный[[#This Row],[Досрочное погашение (да/"")]]=""),0,
AND(S540=0,Первоначальный[[#This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платеж]]+Y540-SUM(Первоначальный[[#This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комиссиям]]),VLOOKUP(LOOKUP(,-1/($Z$12:Z541=1),$A$12:A541),График[[Срок конец]:[Возврат основной суммы долга]],3,0)),
AND(S540=0,Первоначальный[[#This Row],[Дата платежа из графика]]="",Первоначальный[[#This Row],[Досрочное погашение (да/"")]]&lt;&gt;"Да"),0,
AND(S540=0,Первоначальный[[#This Row],[Досрочное погашение (да/"")]]=""),MIN(Первоначальный[[#This Row],[Полученный платеж]]+Y540-SUM(Первоначальный[[#This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комиссиям]]),VLOOKUP(LOOKUP(,-1/($Z$12:Z541=1),$A$12:A541),График[[Срок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платеж]]+Y540-SUM(Первоначальный[[#This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S540&gt;0,MIN(Первоначальный[[#This Row],[Полученный платеж]]+Y540-SUM(Первоначальный[[#This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комиссиям]]),SUM(INDIRECT("M"&amp;(MAX((1=S$12:S540)*ROW(S$12:S540),ROW($W$12))&amp;":M"&amp;(ROW()))))-SUM(INDIRECT("W"&amp;(MAX((1=S$12:S540)*ROW(S$12:S540),ROW($W$12))&amp;":W"&amp;(ROW()-1)))))
)
)</f>
        <v>0</v>
      </c>
      <c r="X541" s="55">
        <f t="shared" ca="1" si="98"/>
        <v>0</v>
      </c>
      <c r="Y541" s="101">
        <f t="shared" ca="1" si="105"/>
        <v>0</v>
      </c>
      <c r="Z541" s="133" t="str">
        <f>IF(TYPE((VLOOKUP(Первоначальный[[#This Row],[Дата платежа]],График[Срок конец],1,0)))=16,"",1)</f>
        <v/>
      </c>
      <c r="AA541" s="57"/>
      <c r="AB541" s="134"/>
      <c r="AC54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4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37246.929999999906</v>
      </c>
      <c r="AE54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838.11000000000126</v>
      </c>
      <c r="AF54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4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48872.300932787155</v>
      </c>
      <c r="AH541" s="55"/>
      <c r="AI541" s="55"/>
      <c r="AJ541" s="55"/>
      <c r="AK541" s="101">
        <f t="shared" ca="1" si="106"/>
        <v>236590.68093278707</v>
      </c>
      <c r="AL541" s="129">
        <f t="array" ref="AL541">MAX((УслРестрактов[Характеристика]="Дата реструктуризации")*(УслРестрактов[Значение]=Первоначальный!$A541),0)</f>
        <v>0</v>
      </c>
    </row>
    <row r="542" spans="1:38" x14ac:dyDescent="0.25">
      <c r="A542" s="97">
        <f t="shared" si="99"/>
        <v>44673</v>
      </c>
      <c r="B542" s="100">
        <f t="shared" ca="1" si="100"/>
        <v>149633.34</v>
      </c>
      <c r="C542" s="55">
        <f t="shared" ca="1" si="108"/>
        <v>37246.929999999906</v>
      </c>
      <c r="D542" s="55">
        <f t="shared" ca="1" si="108"/>
        <v>838.11000000000126</v>
      </c>
      <c r="E542" s="55">
        <f t="shared" ca="1" si="101"/>
        <v>0</v>
      </c>
      <c r="F542" s="55">
        <f t="shared" ca="1" si="102"/>
        <v>48872.300932787155</v>
      </c>
      <c r="G542" s="101">
        <f t="shared" ca="1" si="103"/>
        <v>236590.68093278707</v>
      </c>
      <c r="H542" s="100">
        <f ca="1">ROUND($B542*VLOOKUP($A542,$A$1:$B$10,2,1)/(365+IF(MOD(YEAR($A542),4),0,1)*($A542-$A541)),2)-Первоначальный[[#This Row],[Проценты на просроченный платеж по ОД за период]]</f>
        <v>77.69</v>
      </c>
      <c r="I542" s="55">
        <f t="shared" ca="1" si="104"/>
        <v>3.89</v>
      </c>
      <c r="J542" s="55">
        <v>0</v>
      </c>
      <c r="K542" s="55">
        <f t="shared" ca="1" si="107"/>
        <v>217.20850327868848</v>
      </c>
      <c r="L542" s="55">
        <v>0</v>
      </c>
      <c r="M542" s="113">
        <f>SUMIFS(График[Возврат основной суммы долга],График[Дата с учетом нерабочих дней],$A542)</f>
        <v>0</v>
      </c>
      <c r="N542" s="56">
        <f>SUMIFS(График[Возврат начисленных %],График[Дата с учетом нерабочих дней],$A542)</f>
        <v>0</v>
      </c>
      <c r="O542" s="101">
        <v>0</v>
      </c>
      <c r="P542" s="100" cm="1">
        <f t="array" aca="1" ref="P542" ca="1">MAX(IF(AA541="Да",0,SUM(INDIRECT("M"&amp;(MAX(("Да"=AA$12:AA541)*ROW(AA$12:AA541)+1,ROW($P$12))&amp;":M"&amp;(ROW()))))-SUM(INDIRECT("W"&amp;(MAX(("Да"=AA$12:AA541)*ROW(AA$12:AA541)+1,ROW($P$12))&amp;":W"&amp;(ROW()))))),0)</f>
        <v>7129.2099999999991</v>
      </c>
      <c r="Q542" s="99">
        <f ca="1">MAX(SUM($N$13:N542)-SUM($T$13:T542),0)</f>
        <v>36312.490655737696</v>
      </c>
      <c r="R542" s="99">
        <f ca="1">Первоначальный[[#This Row],[Просроченный платеж по ОД]]+Первоначальный[[#This Row],[Просроченный платеж по процентам]]</f>
        <v>43441.700655737695</v>
      </c>
      <c r="S542" s="120">
        <f ca="1">IF(Первоначальный[[#This Row],[Просроченный платеж]]&lt;1,0,S541+1)</f>
        <v>438</v>
      </c>
      <c r="T542" s="100" cm="1">
        <f t="array" aca="1" ref="T542" ca="1">IF(Первоначальный[[#This Row],[Итого остаток на начало периода]]&lt;1,0,
IF(
AND(TYPE(VLOOKUP(1,$Z$12:Z542,1,0))=16,Первоначальный[[#This Row],[Досрочное погашение (да/"")]]=""),0,
_xlfn.IFS(AND(S541=0,Первоначальный[[#This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платеж]]&lt;&gt;0),MIN(LOOKUP(,-1/($Z$12:Z542=1),$C$12:C542)+LOOKUP(,-1/($Z$12:Z542=1),$H$12:H542),Первоначальный[[#This Row],[Полученный платеж]]+Y541),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платеж]]+Y541,SUM(Первоначальный[[#This Row],[Остаток процентов на начало периода]],Первоначальный[[#This Row],[Проценты за период]])),
AND(S541=0,Первоначальный[[#This Row],[Дата платежа из графика]]=""),0,
AND(S541=0,Первоначальный[[#This Row],[Дата платежа из графика]]=1,MAX((0&lt;&gt;S$12:S541)*ROW(S$12:S541),ROW($S$12))&gt;=MAX((1=Z$12:Z541)*ROW(Z$12:Z541),ROW($T$12)),TYPE(VLOOKUP("Да",(INDIRECT("AA"&amp;(MAX((1=Z$12:Z541)*ROW(Z$12:Z541),ROW($T$12))&amp;":AA"&amp;(ROW()-1)))),1,0))=16),MIN(LOOKUP(,-1/($Z$12:Z542=1),$C$12:C542)+LOOKUP(,-1/($Z$12:Z542=1),$H$12:H542),Первоначальный[[#This Row],[Полученный платеж]]+Y541),
AND(S541=0,TYPE(VLOOKUP("Да",(INDIRECT("AA"&amp;(MAX((1=Z$12:Z541)*ROW(Z$12:Z541),ROW($T$12))&amp;":AA"&amp;(ROW()-1)))),1,0))&lt;&gt;16),MIN(LOOKUP(,-1/($Z$12:Z542=1),$C$12:C542)+LOOKUP(,-1/($Z$12:Z542=1),$H$12:H542)-IF(AA541="Да",0,SUM(INDIRECT("T"&amp;(MAX(("Да"=AA$12:AA541)*ROW(AA$12:AA541)+1,ROW($T$12))&amp;":T"&amp;(ROW()-1))))),Первоначальный[[#This Row],[Полученный платеж]]+Y541),
AND(S541=0,MAX((0&lt;&gt;N$12:N541)*ROW(N$12:N541),ROW($S$12))&gt;=MAX((1=Z$12:Z541)*ROW(Z$12:Z541),ROW($T$12))),MIN(LOOKUP(,-1/($Z$12:Z542=1),$C$12:C542)+LOOKUP(,-1/($Z$12:Z542=1),$H$12:H542)-IF(N541&lt;&gt;0,0,SUM(INDIRECT("T"&amp;(MAX((0&lt;&gt;N$12:N541)*ROW(N$12:N541)+1,ROW($T$12))&amp;":T"&amp;(ROW()-1))))),Первоначальный[[#This Row],[Полученный платеж]]+Y541),
AND(S541=0,Первоначальный[[#This Row],[Дата платежа из графика]]=1),MIN(LOOKUP(,-1/($Z$12:Z542=1),$C$12:C542)+LOOKUP(,-1/($Z$12:Z542=1),$H$12:H542)-IF(Z541=1,0,SUM(INDIRECT("T"&amp;(MAX((1=Z$12:Z541)*ROW(Z$12:Z541)+1,ROW($T$12))&amp;":T"&amp;(ROW()-1))))),Первоначальный[[#This Row],[Полученный платеж]]+Y541),
AND(Z541&gt;0,Первоначальный[[#This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платеж]]+Y541),
AND(S541&gt;0,MAX((0&lt;&gt;S$12:S541)*ROW(S$12:S541),ROW($S$12))&gt;=MAX((1=Z$12:Z541)*ROW(Z$12:Z541),ROW($T$12)),TYPE(VLOOKUP("Да",(INDIRECT("AA"&amp;(MAX((1=Z$12:Z541)*ROW(Z$12:Z541),ROW($T$12))&amp;":AA"&amp;(ROW()-1)))),1,0))=16),MIN(LOOKUP(,-1/($Z$12:Z542=1),$C$12:C542)+LOOKUP(,-1/($Z$12:Z542=1),$H$12:H542)-SUM(INDIRECT("T"&amp;(MAX((1=Z$12:Z541)*ROW(Z$12:Z541),ROW($T$12))&amp;":T"&amp;(ROW()-1)))),Первоначальный[[#This Row],[Полученный платеж]]+Y541),
S541&gt;0,MIN(LOOKUP(,-1/($Z$12:Z542=1),$C$12:C542)+LOOKUP(,-1/($Z$12:Z542=1),$H$12:H542)-IF(Z541=1,0,SUM(INDIRECT("T"&amp;(MAX((1=Z$12:Z541)*ROW(Z$12:Z541)+1,ROW($T$12))&amp;":T"&amp;(ROW()-1))))),Первоначальный[[#This Row],[Полученный платеж]]+Y541)
)
)
)</f>
        <v>0</v>
      </c>
      <c r="U54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платеж]]+Y541-Первоначальный[[#This Row],[Полученный платёж по процентам]])</f>
        <v>0</v>
      </c>
      <c r="V542" s="55">
        <f t="shared" ca="1" si="97"/>
        <v>0</v>
      </c>
      <c r="W542" s="55" cm="1">
        <f t="array" aca="1" ref="W542" ca="1">IF(Первоначальный[[#This Row],[Итого остаток на начало периода]]&lt;1,0,
_xlfn.IFS(
AND(TYPE(VLOOKUP(1,$Z$12:Z542,1,0))=16,Первоначальный[[#This Row],[Досрочное погашение (да/"")]]=""),0,
AND(S541=0,Первоначальный[[#This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платеж]]+Y541-SUM(Первоначальный[[#This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комиссиям]]),VLOOKUP(LOOKUP(,-1/($Z$12:Z542=1),$A$12:A542),График[[Срок конец]:[Возврат основной суммы долга]],3,0)),
AND(S541=0,Первоначальный[[#This Row],[Дата платежа из графика]]="",Первоначальный[[#This Row],[Досрочное погашение (да/"")]]&lt;&gt;"Да"),0,
AND(S541=0,Первоначальный[[#This Row],[Досрочное погашение (да/"")]]=""),MIN(Первоначальный[[#This Row],[Полученный платеж]]+Y541-SUM(Первоначальный[[#This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комиссиям]]),VLOOKUP(LOOKUP(,-1/($Z$12:Z542=1),$A$12:A542),График[[Срок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платеж]]+Y541-SUM(Первоначальный[[#This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S541&gt;0,MIN(Первоначальный[[#This Row],[Полученный платеж]]+Y541-SUM(Первоначальный[[#This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комиссиям]]),SUM(INDIRECT("M"&amp;(MAX((1=S$12:S541)*ROW(S$12:S541),ROW($W$12))&amp;":M"&amp;(ROW()))))-SUM(INDIRECT("W"&amp;(MAX((1=S$12:S541)*ROW(S$12:S541),ROW($W$12))&amp;":W"&amp;(ROW()-1)))))
)
)</f>
        <v>0</v>
      </c>
      <c r="X542" s="55">
        <f t="shared" ca="1" si="98"/>
        <v>0</v>
      </c>
      <c r="Y542" s="101">
        <f t="shared" ca="1" si="105"/>
        <v>0</v>
      </c>
      <c r="Z542" s="133" t="str">
        <f>IF(TYPE((VLOOKUP(Первоначальный[[#This Row],[Дата платежа]],График[Срок конец],1,0)))=16,"",1)</f>
        <v/>
      </c>
      <c r="AA542" s="57"/>
      <c r="AB542" s="134"/>
      <c r="AC54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4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37324.619999999908</v>
      </c>
      <c r="AE54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842.00000000000125</v>
      </c>
      <c r="AF54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4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49089.50943606584</v>
      </c>
      <c r="AH542" s="55"/>
      <c r="AI542" s="55"/>
      <c r="AJ542" s="55"/>
      <c r="AK542" s="101">
        <f t="shared" ca="1" si="106"/>
        <v>236889.46943606576</v>
      </c>
      <c r="AL542" s="129">
        <f t="array" ref="AL542">MAX((УслРестрактов[Характеристика]="Дата реструктуризации")*(УслРестрактов[Значение]=Первоначальный!$A542),0)</f>
        <v>0</v>
      </c>
    </row>
    <row r="543" spans="1:38" x14ac:dyDescent="0.25">
      <c r="A543" s="97">
        <f t="shared" si="99"/>
        <v>44674</v>
      </c>
      <c r="B543" s="100">
        <f t="shared" ca="1" si="100"/>
        <v>149633.34</v>
      </c>
      <c r="C543" s="55">
        <f t="shared" ca="1" si="108"/>
        <v>37324.619999999908</v>
      </c>
      <c r="D543" s="55">
        <f t="shared" ca="1" si="108"/>
        <v>842.00000000000125</v>
      </c>
      <c r="E543" s="55">
        <f t="shared" ca="1" si="101"/>
        <v>0</v>
      </c>
      <c r="F543" s="55">
        <f t="shared" ca="1" si="102"/>
        <v>49089.50943606584</v>
      </c>
      <c r="G543" s="101">
        <f t="shared" ca="1" si="103"/>
        <v>236889.46943606576</v>
      </c>
      <c r="H543" s="100">
        <f ca="1">ROUND($B543*VLOOKUP($A543,$A$1:$B$10,2,1)/(365+IF(MOD(YEAR($A543),4),0,1)*($A543-$A542)),2)-Первоначальный[[#This Row],[Проценты на просроченный платеж по ОД за период]]</f>
        <v>77.69</v>
      </c>
      <c r="I543" s="55">
        <f t="shared" ca="1" si="104"/>
        <v>3.89</v>
      </c>
      <c r="J543" s="55">
        <v>0</v>
      </c>
      <c r="K543" s="55">
        <f t="shared" ca="1" si="107"/>
        <v>217.20850327868848</v>
      </c>
      <c r="L543" s="55">
        <v>0</v>
      </c>
      <c r="M543" s="113">
        <f>SUMIFS(График[Возврат основной суммы долга],График[Дата с учетом нерабочих дней],$A543)</f>
        <v>0</v>
      </c>
      <c r="N543" s="56">
        <f>SUMIFS(График[Возврат начисленных %],График[Дата с учетом нерабочих дней],$A543)</f>
        <v>0</v>
      </c>
      <c r="O543" s="101">
        <v>0</v>
      </c>
      <c r="P543" s="100" cm="1">
        <f t="array" aca="1" ref="P543" ca="1">MAX(IF(AA542="Да",0,SUM(INDIRECT("M"&amp;(MAX(("Да"=AA$12:AA542)*ROW(AA$12:AA542)+1,ROW($P$12))&amp;":M"&amp;(ROW()))))-SUM(INDIRECT("W"&amp;(MAX(("Да"=AA$12:AA542)*ROW(AA$12:AA542)+1,ROW($P$12))&amp;":W"&amp;(ROW()))))),0)</f>
        <v>7129.2099999999991</v>
      </c>
      <c r="Q543" s="99">
        <f ca="1">MAX(SUM($N$13:N543)-SUM($T$13:T543),0)</f>
        <v>36312.490655737696</v>
      </c>
      <c r="R543" s="99">
        <f ca="1">Первоначальный[[#This Row],[Просроченный платеж по ОД]]+Первоначальный[[#This Row],[Просроченный платеж по процентам]]</f>
        <v>43441.700655737695</v>
      </c>
      <c r="S543" s="120">
        <f ca="1">IF(Первоначальный[[#This Row],[Просроченный платеж]]&lt;1,0,S542+1)</f>
        <v>439</v>
      </c>
      <c r="T543" s="100" cm="1">
        <f t="array" aca="1" ref="T543" ca="1">IF(Первоначальный[[#This Row],[Итого остаток на начало периода]]&lt;1,0,
IF(
AND(TYPE(VLOOKUP(1,$Z$12:Z543,1,0))=16,Первоначальный[[#This Row],[Досрочное погашение (да/"")]]=""),0,
_xlfn.IFS(AND(S542=0,Первоначальный[[#This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платеж]]&lt;&gt;0),MIN(LOOKUP(,-1/($Z$12:Z543=1),$C$12:C543)+LOOKUP(,-1/($Z$12:Z543=1),$H$12:H543),Первоначальный[[#This Row],[Полученный платеж]]+Y542),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платеж]]+Y542,SUM(Первоначальный[[#This Row],[Остаток процентов на начало периода]],Первоначальный[[#This Row],[Проценты за период]])),
AND(S542=0,Первоначальный[[#This Row],[Дата платежа из графика]]=""),0,
AND(S542=0,Первоначальный[[#This Row],[Дата платежа из графика]]=1,MAX((0&lt;&gt;S$12:S542)*ROW(S$12:S542),ROW($S$12))&gt;=MAX((1=Z$12:Z542)*ROW(Z$12:Z542),ROW($T$12)),TYPE(VLOOKUP("Да",(INDIRECT("AA"&amp;(MAX((1=Z$12:Z542)*ROW(Z$12:Z542),ROW($T$12))&amp;":AA"&amp;(ROW()-1)))),1,0))=16),MIN(LOOKUP(,-1/($Z$12:Z543=1),$C$12:C543)+LOOKUP(,-1/($Z$12:Z543=1),$H$12:H543),Первоначальный[[#This Row],[Полученный платеж]]+Y542),
AND(S542=0,TYPE(VLOOKUP("Да",(INDIRECT("AA"&amp;(MAX((1=Z$12:Z542)*ROW(Z$12:Z542),ROW($T$12))&amp;":AA"&amp;(ROW()-1)))),1,0))&lt;&gt;16),MIN(LOOKUP(,-1/($Z$12:Z543=1),$C$12:C543)+LOOKUP(,-1/($Z$12:Z543=1),$H$12:H543)-IF(AA542="Да",0,SUM(INDIRECT("T"&amp;(MAX(("Да"=AA$12:AA542)*ROW(AA$12:AA542)+1,ROW($T$12))&amp;":T"&amp;(ROW()-1))))),Первоначальный[[#This Row],[Полученный платеж]]+Y542),
AND(S542=0,MAX((0&lt;&gt;N$12:N542)*ROW(N$12:N542),ROW($S$12))&gt;=MAX((1=Z$12:Z542)*ROW(Z$12:Z542),ROW($T$12))),MIN(LOOKUP(,-1/($Z$12:Z543=1),$C$12:C543)+LOOKUP(,-1/($Z$12:Z543=1),$H$12:H543)-IF(N542&lt;&gt;0,0,SUM(INDIRECT("T"&amp;(MAX((0&lt;&gt;N$12:N542)*ROW(N$12:N542)+1,ROW($T$12))&amp;":T"&amp;(ROW()-1))))),Первоначальный[[#This Row],[Полученный платеж]]+Y542),
AND(S542=0,Первоначальный[[#This Row],[Дата платежа из графика]]=1),MIN(LOOKUP(,-1/($Z$12:Z543=1),$C$12:C543)+LOOKUP(,-1/($Z$12:Z543=1),$H$12:H543)-IF(Z542=1,0,SUM(INDIRECT("T"&amp;(MAX((1=Z$12:Z542)*ROW(Z$12:Z542)+1,ROW($T$12))&amp;":T"&amp;(ROW()-1))))),Первоначальный[[#This Row],[Полученный платеж]]+Y542),
AND(Z542&gt;0,Первоначальный[[#This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платеж]]+Y542),
AND(S542&gt;0,MAX((0&lt;&gt;S$12:S542)*ROW(S$12:S542),ROW($S$12))&gt;=MAX((1=Z$12:Z542)*ROW(Z$12:Z542),ROW($T$12)),TYPE(VLOOKUP("Да",(INDIRECT("AA"&amp;(MAX((1=Z$12:Z542)*ROW(Z$12:Z542),ROW($T$12))&amp;":AA"&amp;(ROW()-1)))),1,0))=16),MIN(LOOKUP(,-1/($Z$12:Z543=1),$C$12:C543)+LOOKUP(,-1/($Z$12:Z543=1),$H$12:H543)-SUM(INDIRECT("T"&amp;(MAX((1=Z$12:Z542)*ROW(Z$12:Z542),ROW($T$12))&amp;":T"&amp;(ROW()-1)))),Первоначальный[[#This Row],[Полученный платеж]]+Y542),
S542&gt;0,MIN(LOOKUP(,-1/($Z$12:Z543=1),$C$12:C543)+LOOKUP(,-1/($Z$12:Z543=1),$H$12:H543)-IF(Z542=1,0,SUM(INDIRECT("T"&amp;(MAX((1=Z$12:Z542)*ROW(Z$12:Z542)+1,ROW($T$12))&amp;":T"&amp;(ROW()-1))))),Первоначальный[[#This Row],[Полученный платеж]]+Y542)
)
)
)</f>
        <v>0</v>
      </c>
      <c r="U54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платеж]]+Y542-Первоначальный[[#This Row],[Полученный платёж по процентам]])</f>
        <v>0</v>
      </c>
      <c r="V543" s="55">
        <f t="shared" ca="1" si="97"/>
        <v>0</v>
      </c>
      <c r="W543" s="55" cm="1">
        <f t="array" aca="1" ref="W543" ca="1">IF(Первоначальный[[#This Row],[Итого остаток на начало периода]]&lt;1,0,
_xlfn.IFS(
AND(TYPE(VLOOKUP(1,$Z$12:Z543,1,0))=16,Первоначальный[[#This Row],[Досрочное погашение (да/"")]]=""),0,
AND(S542=0,Первоначальный[[#This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платеж]]+Y542-SUM(Первоначальный[[#This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комиссиям]]),VLOOKUP(LOOKUP(,-1/($Z$12:Z543=1),$A$12:A543),График[[Срок конец]:[Возврат основной суммы долга]],3,0)),
AND(S542=0,Первоначальный[[#This Row],[Дата платежа из графика]]="",Первоначальный[[#This Row],[Досрочное погашение (да/"")]]&lt;&gt;"Да"),0,
AND(S542=0,Первоначальный[[#This Row],[Досрочное погашение (да/"")]]=""),MIN(Первоначальный[[#This Row],[Полученный платеж]]+Y542-SUM(Первоначальный[[#This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комиссиям]]),VLOOKUP(LOOKUP(,-1/($Z$12:Z543=1),$A$12:A543),График[[Срок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платеж]]+Y542-SUM(Первоначальный[[#This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S542&gt;0,MIN(Первоначальный[[#This Row],[Полученный платеж]]+Y542-SUM(Первоначальный[[#This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комиссиям]]),SUM(INDIRECT("M"&amp;(MAX((1=S$12:S542)*ROW(S$12:S542),ROW($W$12))&amp;":M"&amp;(ROW()))))-SUM(INDIRECT("W"&amp;(MAX((1=S$12:S542)*ROW(S$12:S542),ROW($W$12))&amp;":W"&amp;(ROW()-1)))))
)
)</f>
        <v>0</v>
      </c>
      <c r="X543" s="55">
        <f t="shared" ca="1" si="98"/>
        <v>0</v>
      </c>
      <c r="Y543" s="101">
        <f t="shared" ca="1" si="105"/>
        <v>0</v>
      </c>
      <c r="Z543" s="133" t="str">
        <f>IF(TYPE((VLOOKUP(Первоначальный[[#This Row],[Дата платежа]],График[Срок конец],1,0)))=16,"",1)</f>
        <v/>
      </c>
      <c r="AA543" s="57"/>
      <c r="AB543" s="134"/>
      <c r="AC54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4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37402.30999999991</v>
      </c>
      <c r="AE54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845.89000000000124</v>
      </c>
      <c r="AF54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4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49306.717939344526</v>
      </c>
      <c r="AH543" s="55"/>
      <c r="AI543" s="55"/>
      <c r="AJ543" s="55"/>
      <c r="AK543" s="101">
        <f t="shared" ca="1" si="106"/>
        <v>237188.25793934445</v>
      </c>
      <c r="AL543" s="129">
        <f t="array" ref="AL543">MAX((УслРестрактов[Характеристика]="Дата реструктуризации")*(УслРестрактов[Значение]=Первоначальный!$A543),0)</f>
        <v>0</v>
      </c>
    </row>
    <row r="544" spans="1:38" x14ac:dyDescent="0.25">
      <c r="A544" s="97">
        <f t="shared" si="99"/>
        <v>44675</v>
      </c>
      <c r="B544" s="100">
        <f t="shared" ca="1" si="100"/>
        <v>149633.34</v>
      </c>
      <c r="C544" s="55">
        <f t="shared" ca="1" si="108"/>
        <v>37402.30999999991</v>
      </c>
      <c r="D544" s="55">
        <f t="shared" ca="1" si="108"/>
        <v>845.89000000000124</v>
      </c>
      <c r="E544" s="55">
        <f t="shared" ca="1" si="101"/>
        <v>0</v>
      </c>
      <c r="F544" s="55">
        <f t="shared" ca="1" si="102"/>
        <v>49306.717939344526</v>
      </c>
      <c r="G544" s="101">
        <f t="shared" ca="1" si="103"/>
        <v>237188.25793934445</v>
      </c>
      <c r="H544" s="100">
        <f ca="1">ROUND($B544*VLOOKUP($A544,$A$1:$B$10,2,1)/(365+IF(MOD(YEAR($A544),4),0,1)*($A544-$A543)),2)-Первоначальный[[#This Row],[Проценты на просроченный платеж по ОД за период]]</f>
        <v>77.69</v>
      </c>
      <c r="I544" s="55">
        <f t="shared" ca="1" si="104"/>
        <v>3.89</v>
      </c>
      <c r="J544" s="55">
        <v>0</v>
      </c>
      <c r="K544" s="55">
        <f t="shared" ca="1" si="107"/>
        <v>217.20850327868848</v>
      </c>
      <c r="L544" s="55">
        <v>0</v>
      </c>
      <c r="M544" s="113">
        <f>SUMIFS(График[Возврат основной суммы долга],График[Дата с учетом нерабочих дней],$A544)</f>
        <v>0</v>
      </c>
      <c r="N544" s="56">
        <f>SUMIFS(График[Возврат начисленных %],График[Дата с учетом нерабочих дней],$A544)</f>
        <v>0</v>
      </c>
      <c r="O544" s="101">
        <v>0</v>
      </c>
      <c r="P544" s="100" cm="1">
        <f t="array" aca="1" ref="P544" ca="1">MAX(IF(AA543="Да",0,SUM(INDIRECT("M"&amp;(MAX(("Да"=AA$12:AA543)*ROW(AA$12:AA543)+1,ROW($P$12))&amp;":M"&amp;(ROW()))))-SUM(INDIRECT("W"&amp;(MAX(("Да"=AA$12:AA543)*ROW(AA$12:AA543)+1,ROW($P$12))&amp;":W"&amp;(ROW()))))),0)</f>
        <v>7129.2099999999991</v>
      </c>
      <c r="Q544" s="99">
        <f ca="1">MAX(SUM($N$13:N544)-SUM($T$13:T544),0)</f>
        <v>36312.490655737696</v>
      </c>
      <c r="R544" s="99">
        <f ca="1">Первоначальный[[#This Row],[Просроченный платеж по ОД]]+Первоначальный[[#This Row],[Просроченный платеж по процентам]]</f>
        <v>43441.700655737695</v>
      </c>
      <c r="S544" s="120">
        <f ca="1">IF(Первоначальный[[#This Row],[Просроченный платеж]]&lt;1,0,S543+1)</f>
        <v>440</v>
      </c>
      <c r="T544" s="100" cm="1">
        <f t="array" aca="1" ref="T544" ca="1">IF(Первоначальный[[#This Row],[Итого остаток на начало периода]]&lt;1,0,
IF(
AND(TYPE(VLOOKUP(1,$Z$12:Z544,1,0))=16,Первоначальный[[#This Row],[Досрочное погашение (да/"")]]=""),0,
_xlfn.IFS(AND(S543=0,Первоначальный[[#This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платеж]]&lt;&gt;0),MIN(LOOKUP(,-1/($Z$12:Z544=1),$C$12:C544)+LOOKUP(,-1/($Z$12:Z544=1),$H$12:H544),Первоначальный[[#This Row],[Полученный платеж]]+Y543),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платеж]]+Y543,SUM(Первоначальный[[#This Row],[Остаток процентов на начало периода]],Первоначальный[[#This Row],[Проценты за период]])),
AND(S543=0,Первоначальный[[#This Row],[Дата платежа из графика]]=""),0,
AND(S543=0,Первоначальный[[#This Row],[Дата платежа из графика]]=1,MAX((0&lt;&gt;S$12:S543)*ROW(S$12:S543),ROW($S$12))&gt;=MAX((1=Z$12:Z543)*ROW(Z$12:Z543),ROW($T$12)),TYPE(VLOOKUP("Да",(INDIRECT("AA"&amp;(MAX((1=Z$12:Z543)*ROW(Z$12:Z543),ROW($T$12))&amp;":AA"&amp;(ROW()-1)))),1,0))=16),MIN(LOOKUP(,-1/($Z$12:Z544=1),$C$12:C544)+LOOKUP(,-1/($Z$12:Z544=1),$H$12:H544),Первоначальный[[#This Row],[Полученный платеж]]+Y543),
AND(S543=0,TYPE(VLOOKUP("Да",(INDIRECT("AA"&amp;(MAX((1=Z$12:Z543)*ROW(Z$12:Z543),ROW($T$12))&amp;":AA"&amp;(ROW()-1)))),1,0))&lt;&gt;16),MIN(LOOKUP(,-1/($Z$12:Z544=1),$C$12:C544)+LOOKUP(,-1/($Z$12:Z544=1),$H$12:H544)-IF(AA543="Да",0,SUM(INDIRECT("T"&amp;(MAX(("Да"=AA$12:AA543)*ROW(AA$12:AA543)+1,ROW($T$12))&amp;":T"&amp;(ROW()-1))))),Первоначальный[[#This Row],[Полученный платеж]]+Y543),
AND(S543=0,MAX((0&lt;&gt;N$12:N543)*ROW(N$12:N543),ROW($S$12))&gt;=MAX((1=Z$12:Z543)*ROW(Z$12:Z543),ROW($T$12))),MIN(LOOKUP(,-1/($Z$12:Z544=1),$C$12:C544)+LOOKUP(,-1/($Z$12:Z544=1),$H$12:H544)-IF(N543&lt;&gt;0,0,SUM(INDIRECT("T"&amp;(MAX((0&lt;&gt;N$12:N543)*ROW(N$12:N543)+1,ROW($T$12))&amp;":T"&amp;(ROW()-1))))),Первоначальный[[#This Row],[Полученный платеж]]+Y543),
AND(S543=0,Первоначальный[[#This Row],[Дата платежа из графика]]=1),MIN(LOOKUP(,-1/($Z$12:Z544=1),$C$12:C544)+LOOKUP(,-1/($Z$12:Z544=1),$H$12:H544)-IF(Z543=1,0,SUM(INDIRECT("T"&amp;(MAX((1=Z$12:Z543)*ROW(Z$12:Z543)+1,ROW($T$12))&amp;":T"&amp;(ROW()-1))))),Первоначальный[[#This Row],[Полученный платеж]]+Y543),
AND(Z543&gt;0,Первоначальный[[#This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платеж]]+Y543),
AND(S543&gt;0,MAX((0&lt;&gt;S$12:S543)*ROW(S$12:S543),ROW($S$12))&gt;=MAX((1=Z$12:Z543)*ROW(Z$12:Z543),ROW($T$12)),TYPE(VLOOKUP("Да",(INDIRECT("AA"&amp;(MAX((1=Z$12:Z543)*ROW(Z$12:Z543),ROW($T$12))&amp;":AA"&amp;(ROW()-1)))),1,0))=16),MIN(LOOKUP(,-1/($Z$12:Z544=1),$C$12:C544)+LOOKUP(,-1/($Z$12:Z544=1),$H$12:H544)-SUM(INDIRECT("T"&amp;(MAX((1=Z$12:Z543)*ROW(Z$12:Z543),ROW($T$12))&amp;":T"&amp;(ROW()-1)))),Первоначальный[[#This Row],[Полученный платеж]]+Y543),
S543&gt;0,MIN(LOOKUP(,-1/($Z$12:Z544=1),$C$12:C544)+LOOKUP(,-1/($Z$12:Z544=1),$H$12:H544)-IF(Z543=1,0,SUM(INDIRECT("T"&amp;(MAX((1=Z$12:Z543)*ROW(Z$12:Z543)+1,ROW($T$12))&amp;":T"&amp;(ROW()-1))))),Первоначальный[[#This Row],[Полученный платеж]]+Y543)
)
)
)</f>
        <v>0</v>
      </c>
      <c r="U54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платеж]]+Y543-Первоначальный[[#This Row],[Полученный платёж по процентам]])</f>
        <v>0</v>
      </c>
      <c r="V544" s="55">
        <f t="shared" ca="1" si="97"/>
        <v>0</v>
      </c>
      <c r="W544" s="55" cm="1">
        <f t="array" aca="1" ref="W544" ca="1">IF(Первоначальный[[#This Row],[Итого остаток на начало периода]]&lt;1,0,
_xlfn.IFS(
AND(TYPE(VLOOKUP(1,$Z$12:Z544,1,0))=16,Первоначальный[[#This Row],[Досрочное погашение (да/"")]]=""),0,
AND(S543=0,Первоначальный[[#This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платеж]]+Y543-SUM(Первоначальный[[#This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комиссиям]]),VLOOKUP(LOOKUP(,-1/($Z$12:Z544=1),$A$12:A544),График[[Срок конец]:[Возврат основной суммы долга]],3,0)),
AND(S543=0,Первоначальный[[#This Row],[Дата платежа из графика]]="",Первоначальный[[#This Row],[Досрочное погашение (да/"")]]&lt;&gt;"Да"),0,
AND(S543=0,Первоначальный[[#This Row],[Досрочное погашение (да/"")]]=""),MIN(Первоначальный[[#This Row],[Полученный платеж]]+Y543-SUM(Первоначальный[[#This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комиссиям]]),VLOOKUP(LOOKUP(,-1/($Z$12:Z544=1),$A$12:A544),График[[Срок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платеж]]+Y543-SUM(Первоначальный[[#This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S543&gt;0,MIN(Первоначальный[[#This Row],[Полученный платеж]]+Y543-SUM(Первоначальный[[#This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комиссиям]]),SUM(INDIRECT("M"&amp;(MAX((1=S$12:S543)*ROW(S$12:S543),ROW($W$12))&amp;":M"&amp;(ROW()))))-SUM(INDIRECT("W"&amp;(MAX((1=S$12:S543)*ROW(S$12:S543),ROW($W$12))&amp;":W"&amp;(ROW()-1)))))
)
)</f>
        <v>0</v>
      </c>
      <c r="X544" s="55">
        <f t="shared" ca="1" si="98"/>
        <v>0</v>
      </c>
      <c r="Y544" s="101">
        <f t="shared" ca="1" si="105"/>
        <v>0</v>
      </c>
      <c r="Z544" s="133" t="str">
        <f>IF(TYPE((VLOOKUP(Первоначальный[[#This Row],[Дата платежа]],График[Срок конец],1,0)))=16,"",1)</f>
        <v/>
      </c>
      <c r="AA544" s="57"/>
      <c r="AB544" s="134"/>
      <c r="AC54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4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37479.999999999913</v>
      </c>
      <c r="AE54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849.78000000000122</v>
      </c>
      <c r="AF54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4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49523.926442623211</v>
      </c>
      <c r="AH544" s="55"/>
      <c r="AI544" s="55"/>
      <c r="AJ544" s="55"/>
      <c r="AK544" s="101">
        <f t="shared" ca="1" si="106"/>
        <v>237487.04644262313</v>
      </c>
      <c r="AL544" s="129">
        <f t="array" ref="AL544">MAX((УслРестрактов[Характеристика]="Дата реструктуризации")*(УслРестрактов[Значение]=Первоначальный!$A544),0)</f>
        <v>0</v>
      </c>
    </row>
    <row r="545" spans="1:38" x14ac:dyDescent="0.25">
      <c r="A545" s="97">
        <f t="shared" si="99"/>
        <v>44676</v>
      </c>
      <c r="B545" s="100">
        <f t="shared" ca="1" si="100"/>
        <v>149633.34</v>
      </c>
      <c r="C545" s="55">
        <f t="shared" ca="1" si="108"/>
        <v>37479.999999999913</v>
      </c>
      <c r="D545" s="55">
        <f t="shared" ca="1" si="108"/>
        <v>849.78000000000122</v>
      </c>
      <c r="E545" s="55">
        <f t="shared" ca="1" si="101"/>
        <v>0</v>
      </c>
      <c r="F545" s="55">
        <f t="shared" ca="1" si="102"/>
        <v>49523.926442623211</v>
      </c>
      <c r="G545" s="101">
        <f t="shared" ca="1" si="103"/>
        <v>237487.04644262313</v>
      </c>
      <c r="H545" s="100">
        <f ca="1">ROUND($B545*VLOOKUP($A545,$A$1:$B$10,2,1)/(365+IF(MOD(YEAR($A545),4),0,1)*($A545-$A544)),2)-Первоначальный[[#This Row],[Проценты на просроченный платеж по ОД за период]]</f>
        <v>77.69</v>
      </c>
      <c r="I545" s="55">
        <f t="shared" ca="1" si="104"/>
        <v>3.89</v>
      </c>
      <c r="J545" s="55">
        <v>0</v>
      </c>
      <c r="K545" s="55">
        <f t="shared" ca="1" si="107"/>
        <v>217.20850327868848</v>
      </c>
      <c r="L545" s="55">
        <v>0</v>
      </c>
      <c r="M545" s="113">
        <f>SUMIFS(График[Возврат основной суммы долга],График[Дата с учетом нерабочих дней],$A545)</f>
        <v>0</v>
      </c>
      <c r="N545" s="56">
        <f>SUMIFS(График[Возврат начисленных %],График[Дата с учетом нерабочих дней],$A545)</f>
        <v>0</v>
      </c>
      <c r="O545" s="101">
        <v>0</v>
      </c>
      <c r="P545" s="100" cm="1">
        <f t="array" aca="1" ref="P545" ca="1">MAX(IF(AA544="Да",0,SUM(INDIRECT("M"&amp;(MAX(("Да"=AA$12:AA544)*ROW(AA$12:AA544)+1,ROW($P$12))&amp;":M"&amp;(ROW()))))-SUM(INDIRECT("W"&amp;(MAX(("Да"=AA$12:AA544)*ROW(AA$12:AA544)+1,ROW($P$12))&amp;":W"&amp;(ROW()))))),0)</f>
        <v>7129.2099999999991</v>
      </c>
      <c r="Q545" s="99">
        <f ca="1">MAX(SUM($N$13:N545)-SUM($T$13:T545),0)</f>
        <v>36312.490655737696</v>
      </c>
      <c r="R545" s="99">
        <f ca="1">Первоначальный[[#This Row],[Просроченный платеж по ОД]]+Первоначальный[[#This Row],[Просроченный платеж по процентам]]</f>
        <v>43441.700655737695</v>
      </c>
      <c r="S545" s="120">
        <f ca="1">IF(Первоначальный[[#This Row],[Просроченный платеж]]&lt;1,0,S544+1)</f>
        <v>441</v>
      </c>
      <c r="T545" s="100" cm="1">
        <f t="array" aca="1" ref="T545" ca="1">IF(Первоначальный[[#This Row],[Итого остаток на начало периода]]&lt;1,0,
IF(
AND(TYPE(VLOOKUP(1,$Z$12:Z545,1,0))=16,Первоначальный[[#This Row],[Досрочное погашение (да/"")]]=""),0,
_xlfn.IFS(AND(S544=0,Первоначальный[[#This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платеж]]&lt;&gt;0),MIN(LOOKUP(,-1/($Z$12:Z545=1),$C$12:C545)+LOOKUP(,-1/($Z$12:Z545=1),$H$12:H545),Первоначальный[[#This Row],[Полученный платеж]]+Y544),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платеж]]+Y544,SUM(Первоначальный[[#This Row],[Остаток процентов на начало периода]],Первоначальный[[#This Row],[Проценты за период]])),
AND(S544=0,Первоначальный[[#This Row],[Дата платежа из графика]]=""),0,
AND(S544=0,Первоначальный[[#This Row],[Дата платежа из графика]]=1,MAX((0&lt;&gt;S$12:S544)*ROW(S$12:S544),ROW($S$12))&gt;=MAX((1=Z$12:Z544)*ROW(Z$12:Z544),ROW($T$12)),TYPE(VLOOKUP("Да",(INDIRECT("AA"&amp;(MAX((1=Z$12:Z544)*ROW(Z$12:Z544),ROW($T$12))&amp;":AA"&amp;(ROW()-1)))),1,0))=16),MIN(LOOKUP(,-1/($Z$12:Z545=1),$C$12:C545)+LOOKUP(,-1/($Z$12:Z545=1),$H$12:H545),Первоначальный[[#This Row],[Полученный платеж]]+Y544),
AND(S544=0,TYPE(VLOOKUP("Да",(INDIRECT("AA"&amp;(MAX((1=Z$12:Z544)*ROW(Z$12:Z544),ROW($T$12))&amp;":AA"&amp;(ROW()-1)))),1,0))&lt;&gt;16),MIN(LOOKUP(,-1/($Z$12:Z545=1),$C$12:C545)+LOOKUP(,-1/($Z$12:Z545=1),$H$12:H545)-IF(AA544="Да",0,SUM(INDIRECT("T"&amp;(MAX(("Да"=AA$12:AA544)*ROW(AA$12:AA544)+1,ROW($T$12))&amp;":T"&amp;(ROW()-1))))),Первоначальный[[#This Row],[Полученный платеж]]+Y544),
AND(S544=0,MAX((0&lt;&gt;N$12:N544)*ROW(N$12:N544),ROW($S$12))&gt;=MAX((1=Z$12:Z544)*ROW(Z$12:Z544),ROW($T$12))),MIN(LOOKUP(,-1/($Z$12:Z545=1),$C$12:C545)+LOOKUP(,-1/($Z$12:Z545=1),$H$12:H545)-IF(N544&lt;&gt;0,0,SUM(INDIRECT("T"&amp;(MAX((0&lt;&gt;N$12:N544)*ROW(N$12:N544)+1,ROW($T$12))&amp;":T"&amp;(ROW()-1))))),Первоначальный[[#This Row],[Полученный платеж]]+Y544),
AND(S544=0,Первоначальный[[#This Row],[Дата платежа из графика]]=1),MIN(LOOKUP(,-1/($Z$12:Z545=1),$C$12:C545)+LOOKUP(,-1/($Z$12:Z545=1),$H$12:H545)-IF(Z544=1,0,SUM(INDIRECT("T"&amp;(MAX((1=Z$12:Z544)*ROW(Z$12:Z544)+1,ROW($T$12))&amp;":T"&amp;(ROW()-1))))),Первоначальный[[#This Row],[Полученный платеж]]+Y544),
AND(Z544&gt;0,Первоначальный[[#This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платеж]]+Y544),
AND(S544&gt;0,MAX((0&lt;&gt;S$12:S544)*ROW(S$12:S544),ROW($S$12))&gt;=MAX((1=Z$12:Z544)*ROW(Z$12:Z544),ROW($T$12)),TYPE(VLOOKUP("Да",(INDIRECT("AA"&amp;(MAX((1=Z$12:Z544)*ROW(Z$12:Z544),ROW($T$12))&amp;":AA"&amp;(ROW()-1)))),1,0))=16),MIN(LOOKUP(,-1/($Z$12:Z545=1),$C$12:C545)+LOOKUP(,-1/($Z$12:Z545=1),$H$12:H545)-SUM(INDIRECT("T"&amp;(MAX((1=Z$12:Z544)*ROW(Z$12:Z544),ROW($T$12))&amp;":T"&amp;(ROW()-1)))),Первоначальный[[#This Row],[Полученный платеж]]+Y544),
S544&gt;0,MIN(LOOKUP(,-1/($Z$12:Z545=1),$C$12:C545)+LOOKUP(,-1/($Z$12:Z545=1),$H$12:H545)-IF(Z544=1,0,SUM(INDIRECT("T"&amp;(MAX((1=Z$12:Z544)*ROW(Z$12:Z544)+1,ROW($T$12))&amp;":T"&amp;(ROW()-1))))),Первоначальный[[#This Row],[Полученный платеж]]+Y544)
)
)
)</f>
        <v>0</v>
      </c>
      <c r="U54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платеж]]+Y544-Первоначальный[[#This Row],[Полученный платёж по процентам]])</f>
        <v>0</v>
      </c>
      <c r="V545" s="55">
        <f t="shared" ca="1" si="97"/>
        <v>0</v>
      </c>
      <c r="W545" s="55" cm="1">
        <f t="array" aca="1" ref="W545" ca="1">IF(Первоначальный[[#This Row],[Итого остаток на начало периода]]&lt;1,0,
_xlfn.IFS(
AND(TYPE(VLOOKUP(1,$Z$12:Z545,1,0))=16,Первоначальный[[#This Row],[Досрочное погашение (да/"")]]=""),0,
AND(S544=0,Первоначальный[[#This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платеж]]+Y544-SUM(Первоначальный[[#This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комиссиям]]),VLOOKUP(LOOKUP(,-1/($Z$12:Z545=1),$A$12:A545),График[[Срок конец]:[Возврат основной суммы долга]],3,0)),
AND(S544=0,Первоначальный[[#This Row],[Дата платежа из графика]]="",Первоначальный[[#This Row],[Досрочное погашение (да/"")]]&lt;&gt;"Да"),0,
AND(S544=0,Первоначальный[[#This Row],[Досрочное погашение (да/"")]]=""),MIN(Первоначальный[[#This Row],[Полученный платеж]]+Y544-SUM(Первоначальный[[#This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комиссиям]]),VLOOKUP(LOOKUP(,-1/($Z$12:Z545=1),$A$12:A545),График[[Срок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платеж]]+Y544-SUM(Первоначальный[[#This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S544&gt;0,MIN(Первоначальный[[#This Row],[Полученный платеж]]+Y544-SUM(Первоначальный[[#This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комиссиям]]),SUM(INDIRECT("M"&amp;(MAX((1=S$12:S544)*ROW(S$12:S544),ROW($W$12))&amp;":M"&amp;(ROW()))))-SUM(INDIRECT("W"&amp;(MAX((1=S$12:S544)*ROW(S$12:S544),ROW($W$12))&amp;":W"&amp;(ROW()-1)))))
)
)</f>
        <v>0</v>
      </c>
      <c r="X545" s="55">
        <f t="shared" ca="1" si="98"/>
        <v>0</v>
      </c>
      <c r="Y545" s="101">
        <f t="shared" ca="1" si="105"/>
        <v>0</v>
      </c>
      <c r="Z545" s="133" t="str">
        <f>IF(TYPE((VLOOKUP(Первоначальный[[#This Row],[Дата платежа]],График[Срок конец],1,0)))=16,"",1)</f>
        <v/>
      </c>
      <c r="AA545" s="57"/>
      <c r="AB545" s="134"/>
      <c r="AC54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4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37557.689999999915</v>
      </c>
      <c r="AE54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853.67000000000121</v>
      </c>
      <c r="AF54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4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49741.134945901897</v>
      </c>
      <c r="AH545" s="55"/>
      <c r="AI545" s="55"/>
      <c r="AJ545" s="55"/>
      <c r="AK545" s="101">
        <f t="shared" ca="1" si="106"/>
        <v>237785.83494590182</v>
      </c>
      <c r="AL545" s="129">
        <f t="array" ref="AL545">MAX((УслРестрактов[Характеристика]="Дата реструктуризации")*(УслРестрактов[Значение]=Первоначальный!$A545),0)</f>
        <v>0</v>
      </c>
    </row>
    <row r="546" spans="1:38" x14ac:dyDescent="0.25">
      <c r="A546" s="97">
        <f t="shared" si="99"/>
        <v>44677</v>
      </c>
      <c r="B546" s="100">
        <f t="shared" ca="1" si="100"/>
        <v>149633.34</v>
      </c>
      <c r="C546" s="55">
        <f t="shared" ca="1" si="108"/>
        <v>37557.689999999915</v>
      </c>
      <c r="D546" s="55">
        <f t="shared" ca="1" si="108"/>
        <v>853.67000000000121</v>
      </c>
      <c r="E546" s="55">
        <f t="shared" ca="1" si="101"/>
        <v>0</v>
      </c>
      <c r="F546" s="55">
        <f t="shared" ca="1" si="102"/>
        <v>49741.134945901897</v>
      </c>
      <c r="G546" s="101">
        <f t="shared" ca="1" si="103"/>
        <v>237785.83494590182</v>
      </c>
      <c r="H546" s="100">
        <f ca="1">ROUND($B546*VLOOKUP($A546,$A$1:$B$10,2,1)/(365+IF(MOD(YEAR($A546),4),0,1)*($A546-$A545)),2)-Первоначальный[[#This Row],[Проценты на просроченный платеж по ОД за период]]</f>
        <v>77.69</v>
      </c>
      <c r="I546" s="55">
        <f t="shared" ca="1" si="104"/>
        <v>3.89</v>
      </c>
      <c r="J546" s="55">
        <v>0</v>
      </c>
      <c r="K546" s="55">
        <f t="shared" ca="1" si="107"/>
        <v>217.20850327868848</v>
      </c>
      <c r="L546" s="55">
        <v>0</v>
      </c>
      <c r="M546" s="113">
        <f>SUMIFS(График[Возврат основной суммы долга],График[Дата с учетом нерабочих дней],$A546)</f>
        <v>0</v>
      </c>
      <c r="N546" s="56">
        <f>SUMIFS(График[Возврат начисленных %],График[Дата с учетом нерабочих дней],$A546)</f>
        <v>0</v>
      </c>
      <c r="O546" s="101">
        <v>0</v>
      </c>
      <c r="P546" s="100" cm="1">
        <f t="array" aca="1" ref="P546" ca="1">MAX(IF(AA545="Да",0,SUM(INDIRECT("M"&amp;(MAX(("Да"=AA$12:AA545)*ROW(AA$12:AA545)+1,ROW($P$12))&amp;":M"&amp;(ROW()))))-SUM(INDIRECT("W"&amp;(MAX(("Да"=AA$12:AA545)*ROW(AA$12:AA545)+1,ROW($P$12))&amp;":W"&amp;(ROW()))))),0)</f>
        <v>7129.2099999999991</v>
      </c>
      <c r="Q546" s="99">
        <f ca="1">MAX(SUM($N$13:N546)-SUM($T$13:T546),0)</f>
        <v>36312.490655737696</v>
      </c>
      <c r="R546" s="99">
        <f ca="1">Первоначальный[[#This Row],[Просроченный платеж по ОД]]+Первоначальный[[#This Row],[Просроченный платеж по процентам]]</f>
        <v>43441.700655737695</v>
      </c>
      <c r="S546" s="120">
        <f ca="1">IF(Первоначальный[[#This Row],[Просроченный платеж]]&lt;1,0,S545+1)</f>
        <v>442</v>
      </c>
      <c r="T546" s="100" cm="1">
        <f t="array" aca="1" ref="T546" ca="1">IF(Первоначальный[[#This Row],[Итого остаток на начало периода]]&lt;1,0,
IF(
AND(TYPE(VLOOKUP(1,$Z$12:Z546,1,0))=16,Первоначальный[[#This Row],[Досрочное погашение (да/"")]]=""),0,
_xlfn.IFS(AND(S545=0,Первоначальный[[#This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платеж]]&lt;&gt;0),MIN(LOOKUP(,-1/($Z$12:Z546=1),$C$12:C546)+LOOKUP(,-1/($Z$12:Z546=1),$H$12:H546),Первоначальный[[#This Row],[Полученный платеж]]+Y545),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платеж]]+Y545,SUM(Первоначальный[[#This Row],[Остаток процентов на начало периода]],Первоначальный[[#This Row],[Проценты за период]])),
AND(S545=0,Первоначальный[[#This Row],[Дата платежа из графика]]=""),0,
AND(S545=0,Первоначальный[[#This Row],[Дата платежа из графика]]=1,MAX((0&lt;&gt;S$12:S545)*ROW(S$12:S545),ROW($S$12))&gt;=MAX((1=Z$12:Z545)*ROW(Z$12:Z545),ROW($T$12)),TYPE(VLOOKUP("Да",(INDIRECT("AA"&amp;(MAX((1=Z$12:Z545)*ROW(Z$12:Z545),ROW($T$12))&amp;":AA"&amp;(ROW()-1)))),1,0))=16),MIN(LOOKUP(,-1/($Z$12:Z546=1),$C$12:C546)+LOOKUP(,-1/($Z$12:Z546=1),$H$12:H546),Первоначальный[[#This Row],[Полученный платеж]]+Y545),
AND(S545=0,TYPE(VLOOKUP("Да",(INDIRECT("AA"&amp;(MAX((1=Z$12:Z545)*ROW(Z$12:Z545),ROW($T$12))&amp;":AA"&amp;(ROW()-1)))),1,0))&lt;&gt;16),MIN(LOOKUP(,-1/($Z$12:Z546=1),$C$12:C546)+LOOKUP(,-1/($Z$12:Z546=1),$H$12:H546)-IF(AA545="Да",0,SUM(INDIRECT("T"&amp;(MAX(("Да"=AA$12:AA545)*ROW(AA$12:AA545)+1,ROW($T$12))&amp;":T"&amp;(ROW()-1))))),Первоначальный[[#This Row],[Полученный платеж]]+Y545),
AND(S545=0,MAX((0&lt;&gt;N$12:N545)*ROW(N$12:N545),ROW($S$12))&gt;=MAX((1=Z$12:Z545)*ROW(Z$12:Z545),ROW($T$12))),MIN(LOOKUP(,-1/($Z$12:Z546=1),$C$12:C546)+LOOKUP(,-1/($Z$12:Z546=1),$H$12:H546)-IF(N545&lt;&gt;0,0,SUM(INDIRECT("T"&amp;(MAX((0&lt;&gt;N$12:N545)*ROW(N$12:N545)+1,ROW($T$12))&amp;":T"&amp;(ROW()-1))))),Первоначальный[[#This Row],[Полученный платеж]]+Y545),
AND(S545=0,Первоначальный[[#This Row],[Дата платежа из графика]]=1),MIN(LOOKUP(,-1/($Z$12:Z546=1),$C$12:C546)+LOOKUP(,-1/($Z$12:Z546=1),$H$12:H546)-IF(Z545=1,0,SUM(INDIRECT("T"&amp;(MAX((1=Z$12:Z545)*ROW(Z$12:Z545)+1,ROW($T$12))&amp;":T"&amp;(ROW()-1))))),Первоначальный[[#This Row],[Полученный платеж]]+Y545),
AND(Z545&gt;0,Первоначальный[[#This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платеж]]+Y545),
AND(S545&gt;0,MAX((0&lt;&gt;S$12:S545)*ROW(S$12:S545),ROW($S$12))&gt;=MAX((1=Z$12:Z545)*ROW(Z$12:Z545),ROW($T$12)),TYPE(VLOOKUP("Да",(INDIRECT("AA"&amp;(MAX((1=Z$12:Z545)*ROW(Z$12:Z545),ROW($T$12))&amp;":AA"&amp;(ROW()-1)))),1,0))=16),MIN(LOOKUP(,-1/($Z$12:Z546=1),$C$12:C546)+LOOKUP(,-1/($Z$12:Z546=1),$H$12:H546)-SUM(INDIRECT("T"&amp;(MAX((1=Z$12:Z545)*ROW(Z$12:Z545),ROW($T$12))&amp;":T"&amp;(ROW()-1)))),Первоначальный[[#This Row],[Полученный платеж]]+Y545),
S545&gt;0,MIN(LOOKUP(,-1/($Z$12:Z546=1),$C$12:C546)+LOOKUP(,-1/($Z$12:Z546=1),$H$12:H546)-IF(Z545=1,0,SUM(INDIRECT("T"&amp;(MAX((1=Z$12:Z545)*ROW(Z$12:Z545)+1,ROW($T$12))&amp;":T"&amp;(ROW()-1))))),Первоначальный[[#This Row],[Полученный платеж]]+Y545)
)
)
)</f>
        <v>0</v>
      </c>
      <c r="U54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платеж]]+Y545-Первоначальный[[#This Row],[Полученный платёж по процентам]])</f>
        <v>0</v>
      </c>
      <c r="V546" s="55">
        <f t="shared" ca="1" si="97"/>
        <v>0</v>
      </c>
      <c r="W546" s="55" cm="1">
        <f t="array" aca="1" ref="W546" ca="1">IF(Первоначальный[[#This Row],[Итого остаток на начало периода]]&lt;1,0,
_xlfn.IFS(
AND(TYPE(VLOOKUP(1,$Z$12:Z546,1,0))=16,Первоначальный[[#This Row],[Досрочное погашение (да/"")]]=""),0,
AND(S545=0,Первоначальный[[#This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платеж]]+Y545-SUM(Первоначальный[[#This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комиссиям]]),VLOOKUP(LOOKUP(,-1/($Z$12:Z546=1),$A$12:A546),График[[Срок конец]:[Возврат основной суммы долга]],3,0)),
AND(S545=0,Первоначальный[[#This Row],[Дата платежа из графика]]="",Первоначальный[[#This Row],[Досрочное погашение (да/"")]]&lt;&gt;"Да"),0,
AND(S545=0,Первоначальный[[#This Row],[Досрочное погашение (да/"")]]=""),MIN(Первоначальный[[#This Row],[Полученный платеж]]+Y545-SUM(Первоначальный[[#This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комиссиям]]),VLOOKUP(LOOKUP(,-1/($Z$12:Z546=1),$A$12:A546),График[[Срок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платеж]]+Y545-SUM(Первоначальный[[#This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S545&gt;0,MIN(Первоначальный[[#This Row],[Полученный платеж]]+Y545-SUM(Первоначальный[[#This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комиссиям]]),SUM(INDIRECT("M"&amp;(MAX((1=S$12:S545)*ROW(S$12:S545),ROW($W$12))&amp;":M"&amp;(ROW()))))-SUM(INDIRECT("W"&amp;(MAX((1=S$12:S545)*ROW(S$12:S545),ROW($W$12))&amp;":W"&amp;(ROW()-1)))))
)
)</f>
        <v>0</v>
      </c>
      <c r="X546" s="55">
        <f t="shared" ca="1" si="98"/>
        <v>0</v>
      </c>
      <c r="Y546" s="101">
        <f t="shared" ca="1" si="105"/>
        <v>0</v>
      </c>
      <c r="Z546" s="133" t="str">
        <f>IF(TYPE((VLOOKUP(Первоначальный[[#This Row],[Дата платежа]],График[Срок конец],1,0)))=16,"",1)</f>
        <v/>
      </c>
      <c r="AA546" s="57"/>
      <c r="AB546" s="134"/>
      <c r="AC54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4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37635.379999999917</v>
      </c>
      <c r="AE54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857.5600000000012</v>
      </c>
      <c r="AF54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4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49958.343449180582</v>
      </c>
      <c r="AH546" s="55"/>
      <c r="AI546" s="55"/>
      <c r="AJ546" s="55"/>
      <c r="AK546" s="101">
        <f t="shared" ca="1" si="106"/>
        <v>238084.62344918051</v>
      </c>
      <c r="AL546" s="129">
        <f t="array" ref="AL546">MAX((УслРестрактов[Характеристика]="Дата реструктуризации")*(УслРестрактов[Значение]=Первоначальный!$A546),0)</f>
        <v>0</v>
      </c>
    </row>
    <row r="547" spans="1:38" x14ac:dyDescent="0.25">
      <c r="A547" s="97">
        <f t="shared" si="99"/>
        <v>44678</v>
      </c>
      <c r="B547" s="100">
        <f t="shared" ca="1" si="100"/>
        <v>149633.34</v>
      </c>
      <c r="C547" s="55">
        <f t="shared" ca="1" si="108"/>
        <v>37635.379999999917</v>
      </c>
      <c r="D547" s="55">
        <f t="shared" ca="1" si="108"/>
        <v>857.5600000000012</v>
      </c>
      <c r="E547" s="55">
        <f t="shared" ca="1" si="101"/>
        <v>0</v>
      </c>
      <c r="F547" s="55">
        <f t="shared" ca="1" si="102"/>
        <v>49958.343449180582</v>
      </c>
      <c r="G547" s="101">
        <f t="shared" ca="1" si="103"/>
        <v>238084.62344918051</v>
      </c>
      <c r="H547" s="100">
        <f ca="1">ROUND($B547*VLOOKUP($A547,$A$1:$B$10,2,1)/(365+IF(MOD(YEAR($A547),4),0,1)*($A547-$A546)),2)-Первоначальный[[#This Row],[Проценты на просроченный платеж по ОД за период]]</f>
        <v>77.69</v>
      </c>
      <c r="I547" s="55">
        <f t="shared" ca="1" si="104"/>
        <v>3.89</v>
      </c>
      <c r="J547" s="55">
        <v>0</v>
      </c>
      <c r="K547" s="55">
        <f t="shared" ca="1" si="107"/>
        <v>217.20850327868848</v>
      </c>
      <c r="L547" s="55">
        <v>0</v>
      </c>
      <c r="M547" s="113">
        <f>SUMIFS(График[Возврат основной суммы долга],График[Дата с учетом нерабочих дней],$A547)</f>
        <v>0</v>
      </c>
      <c r="N547" s="56">
        <f>SUMIFS(График[Возврат начисленных %],График[Дата с учетом нерабочих дней],$A547)</f>
        <v>0</v>
      </c>
      <c r="O547" s="101">
        <v>0</v>
      </c>
      <c r="P547" s="100" cm="1">
        <f t="array" aca="1" ref="P547" ca="1">MAX(IF(AA546="Да",0,SUM(INDIRECT("M"&amp;(MAX(("Да"=AA$12:AA546)*ROW(AA$12:AA546)+1,ROW($P$12))&amp;":M"&amp;(ROW()))))-SUM(INDIRECT("W"&amp;(MAX(("Да"=AA$12:AA546)*ROW(AA$12:AA546)+1,ROW($P$12))&amp;":W"&amp;(ROW()))))),0)</f>
        <v>7129.2099999999991</v>
      </c>
      <c r="Q547" s="99">
        <f ca="1">MAX(SUM($N$13:N547)-SUM($T$13:T547),0)</f>
        <v>36312.490655737696</v>
      </c>
      <c r="R547" s="99">
        <f ca="1">Первоначальный[[#This Row],[Просроченный платеж по ОД]]+Первоначальный[[#This Row],[Просроченный платеж по процентам]]</f>
        <v>43441.700655737695</v>
      </c>
      <c r="S547" s="120">
        <f ca="1">IF(Первоначальный[[#This Row],[Просроченный платеж]]&lt;1,0,S546+1)</f>
        <v>443</v>
      </c>
      <c r="T547" s="100" cm="1">
        <f t="array" aca="1" ref="T547" ca="1">IF(Первоначальный[[#This Row],[Итого остаток на начало периода]]&lt;1,0,
IF(
AND(TYPE(VLOOKUP(1,$Z$12:Z547,1,0))=16,Первоначальный[[#This Row],[Досрочное погашение (да/"")]]=""),0,
_xlfn.IFS(AND(S546=0,Первоначальный[[#This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платеж]]&lt;&gt;0),MIN(LOOKUP(,-1/($Z$12:Z547=1),$C$12:C547)+LOOKUP(,-1/($Z$12:Z547=1),$H$12:H547),Первоначальный[[#This Row],[Полученный платеж]]+Y546),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платеж]]+Y546,SUM(Первоначальный[[#This Row],[Остаток процентов на начало периода]],Первоначальный[[#This Row],[Проценты за период]])),
AND(S546=0,Первоначальный[[#This Row],[Дата платежа из графика]]=""),0,
AND(S546=0,Первоначальный[[#This Row],[Дата платежа из графика]]=1,MAX((0&lt;&gt;S$12:S546)*ROW(S$12:S546),ROW($S$12))&gt;=MAX((1=Z$12:Z546)*ROW(Z$12:Z546),ROW($T$12)),TYPE(VLOOKUP("Да",(INDIRECT("AA"&amp;(MAX((1=Z$12:Z546)*ROW(Z$12:Z546),ROW($T$12))&amp;":AA"&amp;(ROW()-1)))),1,0))=16),MIN(LOOKUP(,-1/($Z$12:Z547=1),$C$12:C547)+LOOKUP(,-1/($Z$12:Z547=1),$H$12:H547),Первоначальный[[#This Row],[Полученный платеж]]+Y546),
AND(S546=0,TYPE(VLOOKUP("Да",(INDIRECT("AA"&amp;(MAX((1=Z$12:Z546)*ROW(Z$12:Z546),ROW($T$12))&amp;":AA"&amp;(ROW()-1)))),1,0))&lt;&gt;16),MIN(LOOKUP(,-1/($Z$12:Z547=1),$C$12:C547)+LOOKUP(,-1/($Z$12:Z547=1),$H$12:H547)-IF(AA546="Да",0,SUM(INDIRECT("T"&amp;(MAX(("Да"=AA$12:AA546)*ROW(AA$12:AA546)+1,ROW($T$12))&amp;":T"&amp;(ROW()-1))))),Первоначальный[[#This Row],[Полученный платеж]]+Y546),
AND(S546=0,MAX((0&lt;&gt;N$12:N546)*ROW(N$12:N546),ROW($S$12))&gt;=MAX((1=Z$12:Z546)*ROW(Z$12:Z546),ROW($T$12))),MIN(LOOKUP(,-1/($Z$12:Z547=1),$C$12:C547)+LOOKUP(,-1/($Z$12:Z547=1),$H$12:H547)-IF(N546&lt;&gt;0,0,SUM(INDIRECT("T"&amp;(MAX((0&lt;&gt;N$12:N546)*ROW(N$12:N546)+1,ROW($T$12))&amp;":T"&amp;(ROW()-1))))),Первоначальный[[#This Row],[Полученный платеж]]+Y546),
AND(S546=0,Первоначальный[[#This Row],[Дата платежа из графика]]=1),MIN(LOOKUP(,-1/($Z$12:Z547=1),$C$12:C547)+LOOKUP(,-1/($Z$12:Z547=1),$H$12:H547)-IF(Z546=1,0,SUM(INDIRECT("T"&amp;(MAX((1=Z$12:Z546)*ROW(Z$12:Z546)+1,ROW($T$12))&amp;":T"&amp;(ROW()-1))))),Первоначальный[[#This Row],[Полученный платеж]]+Y546),
AND(Z546&gt;0,Первоначальный[[#This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платеж]]+Y546),
AND(S546&gt;0,MAX((0&lt;&gt;S$12:S546)*ROW(S$12:S546),ROW($S$12))&gt;=MAX((1=Z$12:Z546)*ROW(Z$12:Z546),ROW($T$12)),TYPE(VLOOKUP("Да",(INDIRECT("AA"&amp;(MAX((1=Z$12:Z546)*ROW(Z$12:Z546),ROW($T$12))&amp;":AA"&amp;(ROW()-1)))),1,0))=16),MIN(LOOKUP(,-1/($Z$12:Z547=1),$C$12:C547)+LOOKUP(,-1/($Z$12:Z547=1),$H$12:H547)-SUM(INDIRECT("T"&amp;(MAX((1=Z$12:Z546)*ROW(Z$12:Z546),ROW($T$12))&amp;":T"&amp;(ROW()-1)))),Первоначальный[[#This Row],[Полученный платеж]]+Y546),
S546&gt;0,MIN(LOOKUP(,-1/($Z$12:Z547=1),$C$12:C547)+LOOKUP(,-1/($Z$12:Z547=1),$H$12:H547)-IF(Z546=1,0,SUM(INDIRECT("T"&amp;(MAX((1=Z$12:Z546)*ROW(Z$12:Z546)+1,ROW($T$12))&amp;":T"&amp;(ROW()-1))))),Первоначальный[[#This Row],[Полученный платеж]]+Y546)
)
)
)</f>
        <v>0</v>
      </c>
      <c r="U54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платеж]]+Y546-Первоначальный[[#This Row],[Полученный платёж по процентам]])</f>
        <v>0</v>
      </c>
      <c r="V547" s="55">
        <f t="shared" ca="1" si="97"/>
        <v>0</v>
      </c>
      <c r="W547" s="55" cm="1">
        <f t="array" aca="1" ref="W547" ca="1">IF(Первоначальный[[#This Row],[Итого остаток на начало периода]]&lt;1,0,
_xlfn.IFS(
AND(TYPE(VLOOKUP(1,$Z$12:Z547,1,0))=16,Первоначальный[[#This Row],[Досрочное погашение (да/"")]]=""),0,
AND(S546=0,Первоначальный[[#This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платеж]]+Y546-SUM(Первоначальный[[#This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комиссиям]]),VLOOKUP(LOOKUP(,-1/($Z$12:Z547=1),$A$12:A547),График[[Срок конец]:[Возврат основной суммы долга]],3,0)),
AND(S546=0,Первоначальный[[#This Row],[Дата платежа из графика]]="",Первоначальный[[#This Row],[Досрочное погашение (да/"")]]&lt;&gt;"Да"),0,
AND(S546=0,Первоначальный[[#This Row],[Досрочное погашение (да/"")]]=""),MIN(Первоначальный[[#This Row],[Полученный платеж]]+Y546-SUM(Первоначальный[[#This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комиссиям]]),VLOOKUP(LOOKUP(,-1/($Z$12:Z547=1),$A$12:A547),График[[Срок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платеж]]+Y546-SUM(Первоначальный[[#This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S546&gt;0,MIN(Первоначальный[[#This Row],[Полученный платеж]]+Y546-SUM(Первоначальный[[#This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комиссиям]]),SUM(INDIRECT("M"&amp;(MAX((1=S$12:S546)*ROW(S$12:S546),ROW($W$12))&amp;":M"&amp;(ROW()))))-SUM(INDIRECT("W"&amp;(MAX((1=S$12:S546)*ROW(S$12:S546),ROW($W$12))&amp;":W"&amp;(ROW()-1)))))
)
)</f>
        <v>0</v>
      </c>
      <c r="X547" s="55">
        <f t="shared" ca="1" si="98"/>
        <v>0</v>
      </c>
      <c r="Y547" s="101">
        <f t="shared" ca="1" si="105"/>
        <v>0</v>
      </c>
      <c r="Z547" s="133" t="str">
        <f>IF(TYPE((VLOOKUP(Первоначальный[[#This Row],[Дата платежа]],График[Срок конец],1,0)))=16,"",1)</f>
        <v/>
      </c>
      <c r="AA547" s="57"/>
      <c r="AB547" s="134"/>
      <c r="AC54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4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37713.06999999992</v>
      </c>
      <c r="AE54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861.45000000000118</v>
      </c>
      <c r="AF54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4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50175.551952459267</v>
      </c>
      <c r="AH547" s="55"/>
      <c r="AI547" s="55"/>
      <c r="AJ547" s="55"/>
      <c r="AK547" s="101">
        <f t="shared" ca="1" si="106"/>
        <v>238383.4119524592</v>
      </c>
      <c r="AL547" s="129">
        <f t="array" ref="AL547">MAX((УслРестрактов[Характеристика]="Дата реструктуризации")*(УслРестрактов[Значение]=Первоначальный!$A547),0)</f>
        <v>0</v>
      </c>
    </row>
    <row r="548" spans="1:38" x14ac:dyDescent="0.25">
      <c r="A548" s="97">
        <f t="shared" si="99"/>
        <v>44679</v>
      </c>
      <c r="B548" s="100">
        <f t="shared" ca="1" si="100"/>
        <v>149633.34</v>
      </c>
      <c r="C548" s="55">
        <f t="shared" ca="1" si="108"/>
        <v>37713.06999999992</v>
      </c>
      <c r="D548" s="55">
        <f t="shared" ca="1" si="108"/>
        <v>861.45000000000118</v>
      </c>
      <c r="E548" s="55">
        <f t="shared" ca="1" si="101"/>
        <v>0</v>
      </c>
      <c r="F548" s="55">
        <f t="shared" ca="1" si="102"/>
        <v>50175.551952459267</v>
      </c>
      <c r="G548" s="101">
        <f t="shared" ca="1" si="103"/>
        <v>238383.4119524592</v>
      </c>
      <c r="H548" s="100">
        <f ca="1">ROUND($B548*VLOOKUP($A548,$A$1:$B$10,2,1)/(365+IF(MOD(YEAR($A548),4),0,1)*($A548-$A547)),2)-Первоначальный[[#This Row],[Проценты на просроченный платеж по ОД за период]]</f>
        <v>77.69</v>
      </c>
      <c r="I548" s="55">
        <f t="shared" ca="1" si="104"/>
        <v>3.89</v>
      </c>
      <c r="J548" s="55">
        <v>0</v>
      </c>
      <c r="K548" s="55">
        <f t="shared" ca="1" si="107"/>
        <v>217.20850327868848</v>
      </c>
      <c r="L548" s="55">
        <v>0</v>
      </c>
      <c r="M548" s="113">
        <f>SUMIFS(График[Возврат основной суммы долга],График[Дата с учетом нерабочих дней],$A548)</f>
        <v>0</v>
      </c>
      <c r="N548" s="56">
        <f>SUMIFS(График[Возврат начисленных %],График[Дата с учетом нерабочих дней],$A548)</f>
        <v>0</v>
      </c>
      <c r="O548" s="101">
        <v>0</v>
      </c>
      <c r="P548" s="100" cm="1">
        <f t="array" aca="1" ref="P548" ca="1">MAX(IF(AA547="Да",0,SUM(INDIRECT("M"&amp;(MAX(("Да"=AA$12:AA547)*ROW(AA$12:AA547)+1,ROW($P$12))&amp;":M"&amp;(ROW()))))-SUM(INDIRECT("W"&amp;(MAX(("Да"=AA$12:AA547)*ROW(AA$12:AA547)+1,ROW($P$12))&amp;":W"&amp;(ROW()))))),0)</f>
        <v>7129.2099999999991</v>
      </c>
      <c r="Q548" s="99">
        <f ca="1">MAX(SUM($N$13:N548)-SUM($T$13:T548),0)</f>
        <v>36312.490655737696</v>
      </c>
      <c r="R548" s="99">
        <f ca="1">Первоначальный[[#This Row],[Просроченный платеж по ОД]]+Первоначальный[[#This Row],[Просроченный платеж по процентам]]</f>
        <v>43441.700655737695</v>
      </c>
      <c r="S548" s="120">
        <f ca="1">IF(Первоначальный[[#This Row],[Просроченный платеж]]&lt;1,0,S547+1)</f>
        <v>444</v>
      </c>
      <c r="T548" s="100" cm="1">
        <f t="array" aca="1" ref="T548" ca="1">IF(Первоначальный[[#This Row],[Итого остаток на начало периода]]&lt;1,0,
IF(
AND(TYPE(VLOOKUP(1,$Z$12:Z548,1,0))=16,Первоначальный[[#This Row],[Досрочное погашение (да/"")]]=""),0,
_xlfn.IFS(AND(S547=0,Первоначальный[[#This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платеж]]&lt;&gt;0),MIN(LOOKUP(,-1/($Z$12:Z548=1),$C$12:C548)+LOOKUP(,-1/($Z$12:Z548=1),$H$12:H548),Первоначальный[[#This Row],[Полученный платеж]]+Y547),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платеж]]+Y547,SUM(Первоначальный[[#This Row],[Остаток процентов на начало периода]],Первоначальный[[#This Row],[Проценты за период]])),
AND(S547=0,Первоначальный[[#This Row],[Дата платежа из графика]]=""),0,
AND(S547=0,Первоначальный[[#This Row],[Дата платежа из графика]]=1,MAX((0&lt;&gt;S$12:S547)*ROW(S$12:S547),ROW($S$12))&gt;=MAX((1=Z$12:Z547)*ROW(Z$12:Z547),ROW($T$12)),TYPE(VLOOKUP("Да",(INDIRECT("AA"&amp;(MAX((1=Z$12:Z547)*ROW(Z$12:Z547),ROW($T$12))&amp;":AA"&amp;(ROW()-1)))),1,0))=16),MIN(LOOKUP(,-1/($Z$12:Z548=1),$C$12:C548)+LOOKUP(,-1/($Z$12:Z548=1),$H$12:H548),Первоначальный[[#This Row],[Полученный платеж]]+Y547),
AND(S547=0,TYPE(VLOOKUP("Да",(INDIRECT("AA"&amp;(MAX((1=Z$12:Z547)*ROW(Z$12:Z547),ROW($T$12))&amp;":AA"&amp;(ROW()-1)))),1,0))&lt;&gt;16),MIN(LOOKUP(,-1/($Z$12:Z548=1),$C$12:C548)+LOOKUP(,-1/($Z$12:Z548=1),$H$12:H548)-IF(AA547="Да",0,SUM(INDIRECT("T"&amp;(MAX(("Да"=AA$12:AA547)*ROW(AA$12:AA547)+1,ROW($T$12))&amp;":T"&amp;(ROW()-1))))),Первоначальный[[#This Row],[Полученный платеж]]+Y547),
AND(S547=0,MAX((0&lt;&gt;N$12:N547)*ROW(N$12:N547),ROW($S$12))&gt;=MAX((1=Z$12:Z547)*ROW(Z$12:Z547),ROW($T$12))),MIN(LOOKUP(,-1/($Z$12:Z548=1),$C$12:C548)+LOOKUP(,-1/($Z$12:Z548=1),$H$12:H548)-IF(N547&lt;&gt;0,0,SUM(INDIRECT("T"&amp;(MAX((0&lt;&gt;N$12:N547)*ROW(N$12:N547)+1,ROW($T$12))&amp;":T"&amp;(ROW()-1))))),Первоначальный[[#This Row],[Полученный платеж]]+Y547),
AND(S547=0,Первоначальный[[#This Row],[Дата платежа из графика]]=1),MIN(LOOKUP(,-1/($Z$12:Z548=1),$C$12:C548)+LOOKUP(,-1/($Z$12:Z548=1),$H$12:H548)-IF(Z547=1,0,SUM(INDIRECT("T"&amp;(MAX((1=Z$12:Z547)*ROW(Z$12:Z547)+1,ROW($T$12))&amp;":T"&amp;(ROW()-1))))),Первоначальный[[#This Row],[Полученный платеж]]+Y547),
AND(Z547&gt;0,Первоначальный[[#This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платеж]]+Y547),
AND(S547&gt;0,MAX((0&lt;&gt;S$12:S547)*ROW(S$12:S547),ROW($S$12))&gt;=MAX((1=Z$12:Z547)*ROW(Z$12:Z547),ROW($T$12)),TYPE(VLOOKUP("Да",(INDIRECT("AA"&amp;(MAX((1=Z$12:Z547)*ROW(Z$12:Z547),ROW($T$12))&amp;":AA"&amp;(ROW()-1)))),1,0))=16),MIN(LOOKUP(,-1/($Z$12:Z548=1),$C$12:C548)+LOOKUP(,-1/($Z$12:Z548=1),$H$12:H548)-SUM(INDIRECT("T"&amp;(MAX((1=Z$12:Z547)*ROW(Z$12:Z547),ROW($T$12))&amp;":T"&amp;(ROW()-1)))),Первоначальный[[#This Row],[Полученный платеж]]+Y547),
S547&gt;0,MIN(LOOKUP(,-1/($Z$12:Z548=1),$C$12:C548)+LOOKUP(,-1/($Z$12:Z548=1),$H$12:H548)-IF(Z547=1,0,SUM(INDIRECT("T"&amp;(MAX((1=Z$12:Z547)*ROW(Z$12:Z547)+1,ROW($T$12))&amp;":T"&amp;(ROW()-1))))),Первоначальный[[#This Row],[Полученный платеж]]+Y547)
)
)
)</f>
        <v>0</v>
      </c>
      <c r="U54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платеж]]+Y547-Первоначальный[[#This Row],[Полученный платёж по процентам]])</f>
        <v>0</v>
      </c>
      <c r="V548" s="55">
        <f t="shared" ca="1" si="97"/>
        <v>0</v>
      </c>
      <c r="W548" s="55" cm="1">
        <f t="array" aca="1" ref="W548" ca="1">IF(Первоначальный[[#This Row],[Итого остаток на начало периода]]&lt;1,0,
_xlfn.IFS(
AND(TYPE(VLOOKUP(1,$Z$12:Z548,1,0))=16,Первоначальный[[#This Row],[Досрочное погашение (да/"")]]=""),0,
AND(S547=0,Первоначальный[[#This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платеж]]+Y547-SUM(Первоначальный[[#This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комиссиям]]),VLOOKUP(LOOKUP(,-1/($Z$12:Z548=1),$A$12:A548),График[[Срок конец]:[Возврат основной суммы долга]],3,0)),
AND(S547=0,Первоначальный[[#This Row],[Дата платежа из графика]]="",Первоначальный[[#This Row],[Досрочное погашение (да/"")]]&lt;&gt;"Да"),0,
AND(S547=0,Первоначальный[[#This Row],[Досрочное погашение (да/"")]]=""),MIN(Первоначальный[[#This Row],[Полученный платеж]]+Y547-SUM(Первоначальный[[#This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комиссиям]]),VLOOKUP(LOOKUP(,-1/($Z$12:Z548=1),$A$12:A548),График[[Срок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платеж]]+Y547-SUM(Первоначальный[[#This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S547&gt;0,MIN(Первоначальный[[#This Row],[Полученный платеж]]+Y547-SUM(Первоначальный[[#This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комиссиям]]),SUM(INDIRECT("M"&amp;(MAX((1=S$12:S547)*ROW(S$12:S547),ROW($W$12))&amp;":M"&amp;(ROW()))))-SUM(INDIRECT("W"&amp;(MAX((1=S$12:S547)*ROW(S$12:S547),ROW($W$12))&amp;":W"&amp;(ROW()-1)))))
)
)</f>
        <v>0</v>
      </c>
      <c r="X548" s="55">
        <f t="shared" ca="1" si="98"/>
        <v>0</v>
      </c>
      <c r="Y548" s="101">
        <f t="shared" ca="1" si="105"/>
        <v>0</v>
      </c>
      <c r="Z548" s="133" t="str">
        <f>IF(TYPE((VLOOKUP(Первоначальный[[#This Row],[Дата платежа]],График[Срок конец],1,0)))=16,"",1)</f>
        <v/>
      </c>
      <c r="AA548" s="57"/>
      <c r="AB548" s="134"/>
      <c r="AC54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4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37790.759999999922</v>
      </c>
      <c r="AE54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865.34000000000117</v>
      </c>
      <c r="AF54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4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50392.760455737953</v>
      </c>
      <c r="AH548" s="55"/>
      <c r="AI548" s="55"/>
      <c r="AJ548" s="55"/>
      <c r="AK548" s="101">
        <f t="shared" ca="1" si="106"/>
        <v>238682.20045573788</v>
      </c>
      <c r="AL548" s="129">
        <f t="array" ref="AL548">MAX((УслРестрактов[Характеристика]="Дата реструктуризации")*(УслРестрактов[Значение]=Первоначальный!$A548),0)</f>
        <v>0</v>
      </c>
    </row>
    <row r="549" spans="1:38" x14ac:dyDescent="0.25">
      <c r="A549" s="97">
        <f t="shared" si="99"/>
        <v>44680</v>
      </c>
      <c r="B549" s="100">
        <f t="shared" ca="1" si="100"/>
        <v>149633.34</v>
      </c>
      <c r="C549" s="55">
        <f t="shared" ca="1" si="108"/>
        <v>37790.759999999922</v>
      </c>
      <c r="D549" s="55">
        <f t="shared" ca="1" si="108"/>
        <v>865.34000000000117</v>
      </c>
      <c r="E549" s="55">
        <f t="shared" ca="1" si="101"/>
        <v>0</v>
      </c>
      <c r="F549" s="55">
        <f t="shared" ca="1" si="102"/>
        <v>50392.760455737953</v>
      </c>
      <c r="G549" s="101">
        <f t="shared" ca="1" si="103"/>
        <v>238682.20045573788</v>
      </c>
      <c r="H549" s="100">
        <f ca="1">ROUND($B549*VLOOKUP($A549,$A$1:$B$10,2,1)/(365+IF(MOD(YEAR($A549),4),0,1)*($A549-$A548)),2)-Первоначальный[[#This Row],[Проценты на просроченный платеж по ОД за период]]</f>
        <v>77.69</v>
      </c>
      <c r="I549" s="55">
        <f t="shared" ca="1" si="104"/>
        <v>3.89</v>
      </c>
      <c r="J549" s="55">
        <v>0</v>
      </c>
      <c r="K549" s="55">
        <f t="shared" ca="1" si="107"/>
        <v>217.20850327868848</v>
      </c>
      <c r="L549" s="55">
        <v>0</v>
      </c>
      <c r="M549" s="113">
        <f>SUMIFS(График[Возврат основной суммы долга],График[Дата с учетом нерабочих дней],$A549)</f>
        <v>0</v>
      </c>
      <c r="N549" s="56">
        <f>SUMIFS(График[Возврат начисленных %],График[Дата с учетом нерабочих дней],$A549)</f>
        <v>0</v>
      </c>
      <c r="O549" s="101">
        <v>0</v>
      </c>
      <c r="P549" s="100" cm="1">
        <f t="array" aca="1" ref="P549" ca="1">MAX(IF(AA548="Да",0,SUM(INDIRECT("M"&amp;(MAX(("Да"=AA$12:AA548)*ROW(AA$12:AA548)+1,ROW($P$12))&amp;":M"&amp;(ROW()))))-SUM(INDIRECT("W"&amp;(MAX(("Да"=AA$12:AA548)*ROW(AA$12:AA548)+1,ROW($P$12))&amp;":W"&amp;(ROW()))))),0)</f>
        <v>7129.2099999999991</v>
      </c>
      <c r="Q549" s="99">
        <f ca="1">MAX(SUM($N$13:N549)-SUM($T$13:T549),0)</f>
        <v>36312.490655737696</v>
      </c>
      <c r="R549" s="99">
        <f ca="1">Первоначальный[[#This Row],[Просроченный платеж по ОД]]+Первоначальный[[#This Row],[Просроченный платеж по процентам]]</f>
        <v>43441.700655737695</v>
      </c>
      <c r="S549" s="120">
        <f ca="1">IF(Первоначальный[[#This Row],[Просроченный платеж]]&lt;1,0,S548+1)</f>
        <v>445</v>
      </c>
      <c r="T549" s="100" cm="1">
        <f t="array" aca="1" ref="T549" ca="1">IF(Первоначальный[[#This Row],[Итого остаток на начало периода]]&lt;1,0,
IF(
AND(TYPE(VLOOKUP(1,$Z$12:Z549,1,0))=16,Первоначальный[[#This Row],[Досрочное погашение (да/"")]]=""),0,
_xlfn.IFS(AND(S548=0,Первоначальный[[#This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платеж]]&lt;&gt;0),MIN(LOOKUP(,-1/($Z$12:Z549=1),$C$12:C549)+LOOKUP(,-1/($Z$12:Z549=1),$H$12:H549),Первоначальный[[#This Row],[Полученный платеж]]+Y548),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платеж]]+Y548,SUM(Первоначальный[[#This Row],[Остаток процентов на начало периода]],Первоначальный[[#This Row],[Проценты за период]])),
AND(S548=0,Первоначальный[[#This Row],[Дата платежа из графика]]=""),0,
AND(S548=0,Первоначальный[[#This Row],[Дата платежа из графика]]=1,MAX((0&lt;&gt;S$12:S548)*ROW(S$12:S548),ROW($S$12))&gt;=MAX((1=Z$12:Z548)*ROW(Z$12:Z548),ROW($T$12)),TYPE(VLOOKUP("Да",(INDIRECT("AA"&amp;(MAX((1=Z$12:Z548)*ROW(Z$12:Z548),ROW($T$12))&amp;":AA"&amp;(ROW()-1)))),1,0))=16),MIN(LOOKUP(,-1/($Z$12:Z549=1),$C$12:C549)+LOOKUP(,-1/($Z$12:Z549=1),$H$12:H549),Первоначальный[[#This Row],[Полученный платеж]]+Y548),
AND(S548=0,TYPE(VLOOKUP("Да",(INDIRECT("AA"&amp;(MAX((1=Z$12:Z548)*ROW(Z$12:Z548),ROW($T$12))&amp;":AA"&amp;(ROW()-1)))),1,0))&lt;&gt;16),MIN(LOOKUP(,-1/($Z$12:Z549=1),$C$12:C549)+LOOKUP(,-1/($Z$12:Z549=1),$H$12:H549)-IF(AA548="Да",0,SUM(INDIRECT("T"&amp;(MAX(("Да"=AA$12:AA548)*ROW(AA$12:AA548)+1,ROW($T$12))&amp;":T"&amp;(ROW()-1))))),Первоначальный[[#This Row],[Полученный платеж]]+Y548),
AND(S548=0,MAX((0&lt;&gt;N$12:N548)*ROW(N$12:N548),ROW($S$12))&gt;=MAX((1=Z$12:Z548)*ROW(Z$12:Z548),ROW($T$12))),MIN(LOOKUP(,-1/($Z$12:Z549=1),$C$12:C549)+LOOKUP(,-1/($Z$12:Z549=1),$H$12:H549)-IF(N548&lt;&gt;0,0,SUM(INDIRECT("T"&amp;(MAX((0&lt;&gt;N$12:N548)*ROW(N$12:N548)+1,ROW($T$12))&amp;":T"&amp;(ROW()-1))))),Первоначальный[[#This Row],[Полученный платеж]]+Y548),
AND(S548=0,Первоначальный[[#This Row],[Дата платежа из графика]]=1),MIN(LOOKUP(,-1/($Z$12:Z549=1),$C$12:C549)+LOOKUP(,-1/($Z$12:Z549=1),$H$12:H549)-IF(Z548=1,0,SUM(INDIRECT("T"&amp;(MAX((1=Z$12:Z548)*ROW(Z$12:Z548)+1,ROW($T$12))&amp;":T"&amp;(ROW()-1))))),Первоначальный[[#This Row],[Полученный платеж]]+Y548),
AND(Z548&gt;0,Первоначальный[[#This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платеж]]+Y548),
AND(S548&gt;0,MAX((0&lt;&gt;S$12:S548)*ROW(S$12:S548),ROW($S$12))&gt;=MAX((1=Z$12:Z548)*ROW(Z$12:Z548),ROW($T$12)),TYPE(VLOOKUP("Да",(INDIRECT("AA"&amp;(MAX((1=Z$12:Z548)*ROW(Z$12:Z548),ROW($T$12))&amp;":AA"&amp;(ROW()-1)))),1,0))=16),MIN(LOOKUP(,-1/($Z$12:Z549=1),$C$12:C549)+LOOKUP(,-1/($Z$12:Z549=1),$H$12:H549)-SUM(INDIRECT("T"&amp;(MAX((1=Z$12:Z548)*ROW(Z$12:Z548),ROW($T$12))&amp;":T"&amp;(ROW()-1)))),Первоначальный[[#This Row],[Полученный платеж]]+Y548),
S548&gt;0,MIN(LOOKUP(,-1/($Z$12:Z549=1),$C$12:C549)+LOOKUP(,-1/($Z$12:Z549=1),$H$12:H549)-IF(Z548=1,0,SUM(INDIRECT("T"&amp;(MAX((1=Z$12:Z548)*ROW(Z$12:Z548)+1,ROW($T$12))&amp;":T"&amp;(ROW()-1))))),Первоначальный[[#This Row],[Полученный платеж]]+Y548)
)
)
)</f>
        <v>0</v>
      </c>
      <c r="U54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платеж]]+Y548-Первоначальный[[#This Row],[Полученный платёж по процентам]])</f>
        <v>0</v>
      </c>
      <c r="V549" s="55">
        <f t="shared" ca="1" si="97"/>
        <v>0</v>
      </c>
      <c r="W549" s="55" cm="1">
        <f t="array" aca="1" ref="W549" ca="1">IF(Первоначальный[[#This Row],[Итого остаток на начало периода]]&lt;1,0,
_xlfn.IFS(
AND(TYPE(VLOOKUP(1,$Z$12:Z549,1,0))=16,Первоначальный[[#This Row],[Досрочное погашение (да/"")]]=""),0,
AND(S548=0,Первоначальный[[#This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платеж]]+Y548-SUM(Первоначальный[[#This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комиссиям]]),VLOOKUP(LOOKUP(,-1/($Z$12:Z549=1),$A$12:A549),График[[Срок конец]:[Возврат основной суммы долга]],3,0)),
AND(S548=0,Первоначальный[[#This Row],[Дата платежа из графика]]="",Первоначальный[[#This Row],[Досрочное погашение (да/"")]]&lt;&gt;"Да"),0,
AND(S548=0,Первоначальный[[#This Row],[Досрочное погашение (да/"")]]=""),MIN(Первоначальный[[#This Row],[Полученный платеж]]+Y548-SUM(Первоначальный[[#This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комиссиям]]),VLOOKUP(LOOKUP(,-1/($Z$12:Z549=1),$A$12:A549),График[[Срок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платеж]]+Y548-SUM(Первоначальный[[#This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S548&gt;0,MIN(Первоначальный[[#This Row],[Полученный платеж]]+Y548-SUM(Первоначальный[[#This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комиссиям]]),SUM(INDIRECT("M"&amp;(MAX((1=S$12:S548)*ROW(S$12:S548),ROW($W$12))&amp;":M"&amp;(ROW()))))-SUM(INDIRECT("W"&amp;(MAX((1=S$12:S548)*ROW(S$12:S548),ROW($W$12))&amp;":W"&amp;(ROW()-1)))))
)
)</f>
        <v>0</v>
      </c>
      <c r="X549" s="55">
        <f t="shared" ca="1" si="98"/>
        <v>0</v>
      </c>
      <c r="Y549" s="101">
        <f t="shared" ca="1" si="105"/>
        <v>0</v>
      </c>
      <c r="Z549" s="133" t="str">
        <f>IF(TYPE((VLOOKUP(Первоначальный[[#This Row],[Дата платежа]],График[Срок конец],1,0)))=16,"",1)</f>
        <v/>
      </c>
      <c r="AA549" s="57"/>
      <c r="AB549" s="134"/>
      <c r="AC54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4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37868.449999999924</v>
      </c>
      <c r="AE54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869.23000000000116</v>
      </c>
      <c r="AF54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4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50609.968959016638</v>
      </c>
      <c r="AH549" s="55"/>
      <c r="AI549" s="55"/>
      <c r="AJ549" s="55"/>
      <c r="AK549" s="101">
        <f t="shared" ca="1" si="106"/>
        <v>238980.98895901657</v>
      </c>
      <c r="AL549" s="129">
        <f t="array" ref="AL549">MAX((УслРестрактов[Характеристика]="Дата реструктуризации")*(УслРестрактов[Значение]=Первоначальный!$A549),0)</f>
        <v>0</v>
      </c>
    </row>
    <row r="550" spans="1:38" x14ac:dyDescent="0.25">
      <c r="A550" s="97">
        <f t="shared" si="99"/>
        <v>44681</v>
      </c>
      <c r="B550" s="100">
        <f t="shared" ca="1" si="100"/>
        <v>149633.34</v>
      </c>
      <c r="C550" s="55">
        <f t="shared" ca="1" si="108"/>
        <v>37868.449999999924</v>
      </c>
      <c r="D550" s="55">
        <f t="shared" ca="1" si="108"/>
        <v>869.23000000000116</v>
      </c>
      <c r="E550" s="55">
        <f t="shared" ca="1" si="101"/>
        <v>0</v>
      </c>
      <c r="F550" s="55">
        <f t="shared" ca="1" si="102"/>
        <v>50609.968959016638</v>
      </c>
      <c r="G550" s="101">
        <f t="shared" ca="1" si="103"/>
        <v>238980.98895901657</v>
      </c>
      <c r="H550" s="100">
        <f ca="1">ROUND($B550*VLOOKUP($A550,$A$1:$B$10,2,1)/(365+IF(MOD(YEAR($A550),4),0,1)*($A550-$A549)),2)-Первоначальный[[#This Row],[Проценты на просроченный платеж по ОД за период]]</f>
        <v>77.69</v>
      </c>
      <c r="I550" s="55">
        <f t="shared" ca="1" si="104"/>
        <v>3.89</v>
      </c>
      <c r="J550" s="55">
        <v>0</v>
      </c>
      <c r="K550" s="55">
        <f t="shared" ca="1" si="107"/>
        <v>217.20850327868848</v>
      </c>
      <c r="L550" s="55">
        <v>0</v>
      </c>
      <c r="M550" s="113">
        <f>SUMIFS(График[Возврат основной суммы долга],График[Дата с учетом нерабочих дней],$A550)</f>
        <v>0</v>
      </c>
      <c r="N550" s="56">
        <f>SUMIFS(График[Возврат начисленных %],График[Дата с учетом нерабочих дней],$A550)</f>
        <v>0</v>
      </c>
      <c r="O550" s="101">
        <v>0</v>
      </c>
      <c r="P550" s="100" cm="1">
        <f t="array" aca="1" ref="P550" ca="1">MAX(IF(AA549="Да",0,SUM(INDIRECT("M"&amp;(MAX(("Да"=AA$12:AA549)*ROW(AA$12:AA549)+1,ROW($P$12))&amp;":M"&amp;(ROW()))))-SUM(INDIRECT("W"&amp;(MAX(("Да"=AA$12:AA549)*ROW(AA$12:AA549)+1,ROW($P$12))&amp;":W"&amp;(ROW()))))),0)</f>
        <v>7129.2099999999991</v>
      </c>
      <c r="Q550" s="99">
        <f ca="1">MAX(SUM($N$13:N550)-SUM($T$13:T550),0)</f>
        <v>36312.490655737696</v>
      </c>
      <c r="R550" s="99">
        <f ca="1">Первоначальный[[#This Row],[Просроченный платеж по ОД]]+Первоначальный[[#This Row],[Просроченный платеж по процентам]]</f>
        <v>43441.700655737695</v>
      </c>
      <c r="S550" s="120">
        <f ca="1">IF(Первоначальный[[#This Row],[Просроченный платеж]]&lt;1,0,S549+1)</f>
        <v>446</v>
      </c>
      <c r="T550" s="100" cm="1">
        <f t="array" aca="1" ref="T550" ca="1">IF(Первоначальный[[#This Row],[Итого остаток на начало периода]]&lt;1,0,
IF(
AND(TYPE(VLOOKUP(1,$Z$12:Z550,1,0))=16,Первоначальный[[#This Row],[Досрочное погашение (да/"")]]=""),0,
_xlfn.IFS(AND(S549=0,Первоначальный[[#This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платеж]]&lt;&gt;0),MIN(LOOKUP(,-1/($Z$12:Z550=1),$C$12:C550)+LOOKUP(,-1/($Z$12:Z550=1),$H$12:H550),Первоначальный[[#This Row],[Полученный платеж]]+Y549),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платеж]]+Y549,SUM(Первоначальный[[#This Row],[Остаток процентов на начало периода]],Первоначальный[[#This Row],[Проценты за период]])),
AND(S549=0,Первоначальный[[#This Row],[Дата платежа из графика]]=""),0,
AND(S549=0,Первоначальный[[#This Row],[Дата платежа из графика]]=1,MAX((0&lt;&gt;S$12:S549)*ROW(S$12:S549),ROW($S$12))&gt;=MAX((1=Z$12:Z549)*ROW(Z$12:Z549),ROW($T$12)),TYPE(VLOOKUP("Да",(INDIRECT("AA"&amp;(MAX((1=Z$12:Z549)*ROW(Z$12:Z549),ROW($T$12))&amp;":AA"&amp;(ROW()-1)))),1,0))=16),MIN(LOOKUP(,-1/($Z$12:Z550=1),$C$12:C550)+LOOKUP(,-1/($Z$12:Z550=1),$H$12:H550),Первоначальный[[#This Row],[Полученный платеж]]+Y549),
AND(S549=0,TYPE(VLOOKUP("Да",(INDIRECT("AA"&amp;(MAX((1=Z$12:Z549)*ROW(Z$12:Z549),ROW($T$12))&amp;":AA"&amp;(ROW()-1)))),1,0))&lt;&gt;16),MIN(LOOKUP(,-1/($Z$12:Z550=1),$C$12:C550)+LOOKUP(,-1/($Z$12:Z550=1),$H$12:H550)-IF(AA549="Да",0,SUM(INDIRECT("T"&amp;(MAX(("Да"=AA$12:AA549)*ROW(AA$12:AA549)+1,ROW($T$12))&amp;":T"&amp;(ROW()-1))))),Первоначальный[[#This Row],[Полученный платеж]]+Y549),
AND(S549=0,MAX((0&lt;&gt;N$12:N549)*ROW(N$12:N549),ROW($S$12))&gt;=MAX((1=Z$12:Z549)*ROW(Z$12:Z549),ROW($T$12))),MIN(LOOKUP(,-1/($Z$12:Z550=1),$C$12:C550)+LOOKUP(,-1/($Z$12:Z550=1),$H$12:H550)-IF(N549&lt;&gt;0,0,SUM(INDIRECT("T"&amp;(MAX((0&lt;&gt;N$12:N549)*ROW(N$12:N549)+1,ROW($T$12))&amp;":T"&amp;(ROW()-1))))),Первоначальный[[#This Row],[Полученный платеж]]+Y549),
AND(S549=0,Первоначальный[[#This Row],[Дата платежа из графика]]=1),MIN(LOOKUP(,-1/($Z$12:Z550=1),$C$12:C550)+LOOKUP(,-1/($Z$12:Z550=1),$H$12:H550)-IF(Z549=1,0,SUM(INDIRECT("T"&amp;(MAX((1=Z$12:Z549)*ROW(Z$12:Z549)+1,ROW($T$12))&amp;":T"&amp;(ROW()-1))))),Первоначальный[[#This Row],[Полученный платеж]]+Y549),
AND(Z549&gt;0,Первоначальный[[#This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платеж]]+Y549),
AND(S549&gt;0,MAX((0&lt;&gt;S$12:S549)*ROW(S$12:S549),ROW($S$12))&gt;=MAX((1=Z$12:Z549)*ROW(Z$12:Z549),ROW($T$12)),TYPE(VLOOKUP("Да",(INDIRECT("AA"&amp;(MAX((1=Z$12:Z549)*ROW(Z$12:Z549),ROW($T$12))&amp;":AA"&amp;(ROW()-1)))),1,0))=16),MIN(LOOKUP(,-1/($Z$12:Z550=1),$C$12:C550)+LOOKUP(,-1/($Z$12:Z550=1),$H$12:H550)-SUM(INDIRECT("T"&amp;(MAX((1=Z$12:Z549)*ROW(Z$12:Z549),ROW($T$12))&amp;":T"&amp;(ROW()-1)))),Первоначальный[[#This Row],[Полученный платеж]]+Y549),
S549&gt;0,MIN(LOOKUP(,-1/($Z$12:Z550=1),$C$12:C550)+LOOKUP(,-1/($Z$12:Z550=1),$H$12:H550)-IF(Z549=1,0,SUM(INDIRECT("T"&amp;(MAX((1=Z$12:Z549)*ROW(Z$12:Z549)+1,ROW($T$12))&amp;":T"&amp;(ROW()-1))))),Первоначальный[[#This Row],[Полученный платеж]]+Y549)
)
)
)</f>
        <v>0</v>
      </c>
      <c r="U55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платеж]]+Y549-Первоначальный[[#This Row],[Полученный платёж по процентам]])</f>
        <v>0</v>
      </c>
      <c r="V550" s="55">
        <f t="shared" ca="1" si="97"/>
        <v>0</v>
      </c>
      <c r="W550" s="55" cm="1">
        <f t="array" aca="1" ref="W550" ca="1">IF(Первоначальный[[#This Row],[Итого остаток на начало периода]]&lt;1,0,
_xlfn.IFS(
AND(TYPE(VLOOKUP(1,$Z$12:Z550,1,0))=16,Первоначальный[[#This Row],[Досрочное погашение (да/"")]]=""),0,
AND(S549=0,Первоначальный[[#This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платеж]]+Y549-SUM(Первоначальный[[#This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комиссиям]]),VLOOKUP(LOOKUP(,-1/($Z$12:Z550=1),$A$12:A550),График[[Срок конец]:[Возврат основной суммы долга]],3,0)),
AND(S549=0,Первоначальный[[#This Row],[Дата платежа из графика]]="",Первоначальный[[#This Row],[Досрочное погашение (да/"")]]&lt;&gt;"Да"),0,
AND(S549=0,Первоначальный[[#This Row],[Досрочное погашение (да/"")]]=""),MIN(Первоначальный[[#This Row],[Полученный платеж]]+Y549-SUM(Первоначальный[[#This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комиссиям]]),VLOOKUP(LOOKUP(,-1/($Z$12:Z550=1),$A$12:A550),График[[Срок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платеж]]+Y549-SUM(Первоначальный[[#This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S549&gt;0,MIN(Первоначальный[[#This Row],[Полученный платеж]]+Y549-SUM(Первоначальный[[#This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комиссиям]]),SUM(INDIRECT("M"&amp;(MAX((1=S$12:S549)*ROW(S$12:S549),ROW($W$12))&amp;":M"&amp;(ROW()))))-SUM(INDIRECT("W"&amp;(MAX((1=S$12:S549)*ROW(S$12:S549),ROW($W$12))&amp;":W"&amp;(ROW()-1)))))
)
)</f>
        <v>0</v>
      </c>
      <c r="X550" s="55">
        <f t="shared" ca="1" si="98"/>
        <v>0</v>
      </c>
      <c r="Y550" s="101">
        <f t="shared" ca="1" si="105"/>
        <v>0</v>
      </c>
      <c r="Z550" s="133" t="str">
        <f>IF(TYPE((VLOOKUP(Первоначальный[[#This Row],[Дата платежа]],График[Срок конец],1,0)))=16,"",1)</f>
        <v/>
      </c>
      <c r="AA550" s="57"/>
      <c r="AB550" s="134"/>
      <c r="AC55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5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37946.139999999927</v>
      </c>
      <c r="AE55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873.12000000000114</v>
      </c>
      <c r="AF55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5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50827.177462295323</v>
      </c>
      <c r="AH550" s="55"/>
      <c r="AI550" s="55"/>
      <c r="AJ550" s="55"/>
      <c r="AK550" s="101">
        <f t="shared" ca="1" si="106"/>
        <v>239279.77746229526</v>
      </c>
      <c r="AL550" s="129">
        <f t="array" ref="AL550">MAX((УслРестрактов[Характеристика]="Дата реструктуризации")*(УслРестрактов[Значение]=Первоначальный!$A550),0)</f>
        <v>0</v>
      </c>
    </row>
    <row r="551" spans="1:38" x14ac:dyDescent="0.25">
      <c r="A551" s="97">
        <f t="shared" si="99"/>
        <v>44682</v>
      </c>
      <c r="B551" s="100">
        <f t="shared" ca="1" si="100"/>
        <v>149633.34</v>
      </c>
      <c r="C551" s="55">
        <f t="shared" ca="1" si="108"/>
        <v>37946.139999999927</v>
      </c>
      <c r="D551" s="55">
        <f t="shared" ca="1" si="108"/>
        <v>873.12000000000114</v>
      </c>
      <c r="E551" s="55">
        <f t="shared" ca="1" si="101"/>
        <v>0</v>
      </c>
      <c r="F551" s="55">
        <f t="shared" ca="1" si="102"/>
        <v>50827.177462295323</v>
      </c>
      <c r="G551" s="101">
        <f t="shared" ca="1" si="103"/>
        <v>239279.77746229526</v>
      </c>
      <c r="H551" s="100">
        <f ca="1">ROUND($B551*VLOOKUP($A551,$A$1:$B$10,2,1)/(365+IF(MOD(YEAR($A551),4),0,1)*($A551-$A550)),2)-Первоначальный[[#This Row],[Проценты на просроченный платеж по ОД за период]]</f>
        <v>77.69</v>
      </c>
      <c r="I551" s="55">
        <f t="shared" ca="1" si="104"/>
        <v>3.89</v>
      </c>
      <c r="J551" s="55">
        <v>0</v>
      </c>
      <c r="K551" s="55">
        <f t="shared" ca="1" si="107"/>
        <v>217.20850327868848</v>
      </c>
      <c r="L551" s="55">
        <v>0</v>
      </c>
      <c r="M551" s="113">
        <f>SUMIFS(График[Возврат основной суммы долга],График[Дата с учетом нерабочих дней],$A551)</f>
        <v>0</v>
      </c>
      <c r="N551" s="56">
        <f>SUMIFS(График[Возврат начисленных %],График[Дата с учетом нерабочих дней],$A551)</f>
        <v>0</v>
      </c>
      <c r="O551" s="101">
        <v>0</v>
      </c>
      <c r="P551" s="100" cm="1">
        <f t="array" aca="1" ref="P551" ca="1">MAX(IF(AA550="Да",0,SUM(INDIRECT("M"&amp;(MAX(("Да"=AA$12:AA550)*ROW(AA$12:AA550)+1,ROW($P$12))&amp;":M"&amp;(ROW()))))-SUM(INDIRECT("W"&amp;(MAX(("Да"=AA$12:AA550)*ROW(AA$12:AA550)+1,ROW($P$12))&amp;":W"&amp;(ROW()))))),0)</f>
        <v>7129.2099999999991</v>
      </c>
      <c r="Q551" s="99">
        <f ca="1">MAX(SUM($N$13:N551)-SUM($T$13:T551),0)</f>
        <v>36312.490655737696</v>
      </c>
      <c r="R551" s="99">
        <f ca="1">Первоначальный[[#This Row],[Просроченный платеж по ОД]]+Первоначальный[[#This Row],[Просроченный платеж по процентам]]</f>
        <v>43441.700655737695</v>
      </c>
      <c r="S551" s="120">
        <f ca="1">IF(Первоначальный[[#This Row],[Просроченный платеж]]&lt;1,0,S550+1)</f>
        <v>447</v>
      </c>
      <c r="T551" s="100" cm="1">
        <f t="array" aca="1" ref="T551" ca="1">IF(Первоначальный[[#This Row],[Итого остаток на начало периода]]&lt;1,0,
IF(
AND(TYPE(VLOOKUP(1,$Z$12:Z551,1,0))=16,Первоначальный[[#This Row],[Досрочное погашение (да/"")]]=""),0,
_xlfn.IFS(AND(S550=0,Первоначальный[[#This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платеж]]&lt;&gt;0),MIN(LOOKUP(,-1/($Z$12:Z551=1),$C$12:C551)+LOOKUP(,-1/($Z$12:Z551=1),$H$12:H551),Первоначальный[[#This Row],[Полученный платеж]]+Y550),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платеж]]+Y550,SUM(Первоначальный[[#This Row],[Остаток процентов на начало периода]],Первоначальный[[#This Row],[Проценты за период]])),
AND(S550=0,Первоначальный[[#This Row],[Дата платежа из графика]]=""),0,
AND(S550=0,Первоначальный[[#This Row],[Дата платежа из графика]]=1,MAX((0&lt;&gt;S$12:S550)*ROW(S$12:S550),ROW($S$12))&gt;=MAX((1=Z$12:Z550)*ROW(Z$12:Z550),ROW($T$12)),TYPE(VLOOKUP("Да",(INDIRECT("AA"&amp;(MAX((1=Z$12:Z550)*ROW(Z$12:Z550),ROW($T$12))&amp;":AA"&amp;(ROW()-1)))),1,0))=16),MIN(LOOKUP(,-1/($Z$12:Z551=1),$C$12:C551)+LOOKUP(,-1/($Z$12:Z551=1),$H$12:H551),Первоначальный[[#This Row],[Полученный платеж]]+Y550),
AND(S550=0,TYPE(VLOOKUP("Да",(INDIRECT("AA"&amp;(MAX((1=Z$12:Z550)*ROW(Z$12:Z550),ROW($T$12))&amp;":AA"&amp;(ROW()-1)))),1,0))&lt;&gt;16),MIN(LOOKUP(,-1/($Z$12:Z551=1),$C$12:C551)+LOOKUP(,-1/($Z$12:Z551=1),$H$12:H551)-IF(AA550="Да",0,SUM(INDIRECT("T"&amp;(MAX(("Да"=AA$12:AA550)*ROW(AA$12:AA550)+1,ROW($T$12))&amp;":T"&amp;(ROW()-1))))),Первоначальный[[#This Row],[Полученный платеж]]+Y550),
AND(S550=0,MAX((0&lt;&gt;N$12:N550)*ROW(N$12:N550),ROW($S$12))&gt;=MAX((1=Z$12:Z550)*ROW(Z$12:Z550),ROW($T$12))),MIN(LOOKUP(,-1/($Z$12:Z551=1),$C$12:C551)+LOOKUP(,-1/($Z$12:Z551=1),$H$12:H551)-IF(N550&lt;&gt;0,0,SUM(INDIRECT("T"&amp;(MAX((0&lt;&gt;N$12:N550)*ROW(N$12:N550)+1,ROW($T$12))&amp;":T"&amp;(ROW()-1))))),Первоначальный[[#This Row],[Полученный платеж]]+Y550),
AND(S550=0,Первоначальный[[#This Row],[Дата платежа из графика]]=1),MIN(LOOKUP(,-1/($Z$12:Z551=1),$C$12:C551)+LOOKUP(,-1/($Z$12:Z551=1),$H$12:H551)-IF(Z550=1,0,SUM(INDIRECT("T"&amp;(MAX((1=Z$12:Z550)*ROW(Z$12:Z550)+1,ROW($T$12))&amp;":T"&amp;(ROW()-1))))),Первоначальный[[#This Row],[Полученный платеж]]+Y550),
AND(Z550&gt;0,Первоначальный[[#This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платеж]]+Y550),
AND(S550&gt;0,MAX((0&lt;&gt;S$12:S550)*ROW(S$12:S550),ROW($S$12))&gt;=MAX((1=Z$12:Z550)*ROW(Z$12:Z550),ROW($T$12)),TYPE(VLOOKUP("Да",(INDIRECT("AA"&amp;(MAX((1=Z$12:Z550)*ROW(Z$12:Z550),ROW($T$12))&amp;":AA"&amp;(ROW()-1)))),1,0))=16),MIN(LOOKUP(,-1/($Z$12:Z551=1),$C$12:C551)+LOOKUP(,-1/($Z$12:Z551=1),$H$12:H551)-SUM(INDIRECT("T"&amp;(MAX((1=Z$12:Z550)*ROW(Z$12:Z550),ROW($T$12))&amp;":T"&amp;(ROW()-1)))),Первоначальный[[#This Row],[Полученный платеж]]+Y550),
S550&gt;0,MIN(LOOKUP(,-1/($Z$12:Z551=1),$C$12:C551)+LOOKUP(,-1/($Z$12:Z551=1),$H$12:H551)-IF(Z550=1,0,SUM(INDIRECT("T"&amp;(MAX((1=Z$12:Z550)*ROW(Z$12:Z550)+1,ROW($T$12))&amp;":T"&amp;(ROW()-1))))),Первоначальный[[#This Row],[Полученный платеж]]+Y550)
)
)
)</f>
        <v>0</v>
      </c>
      <c r="U55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платеж]]+Y550-Первоначальный[[#This Row],[Полученный платёж по процентам]])</f>
        <v>0</v>
      </c>
      <c r="V551" s="55">
        <f t="shared" ca="1" si="97"/>
        <v>0</v>
      </c>
      <c r="W551" s="55" cm="1">
        <f t="array" aca="1" ref="W551" ca="1">IF(Первоначальный[[#This Row],[Итого остаток на начало периода]]&lt;1,0,
_xlfn.IFS(
AND(TYPE(VLOOKUP(1,$Z$12:Z551,1,0))=16,Первоначальный[[#This Row],[Досрочное погашение (да/"")]]=""),0,
AND(S550=0,Первоначальный[[#This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платеж]]+Y550-SUM(Первоначальный[[#This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комиссиям]]),VLOOKUP(LOOKUP(,-1/($Z$12:Z551=1),$A$12:A551),График[[Срок конец]:[Возврат основной суммы долга]],3,0)),
AND(S550=0,Первоначальный[[#This Row],[Дата платежа из графика]]="",Первоначальный[[#This Row],[Досрочное погашение (да/"")]]&lt;&gt;"Да"),0,
AND(S550=0,Первоначальный[[#This Row],[Досрочное погашение (да/"")]]=""),MIN(Первоначальный[[#This Row],[Полученный платеж]]+Y550-SUM(Первоначальный[[#This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комиссиям]]),VLOOKUP(LOOKUP(,-1/($Z$12:Z551=1),$A$12:A551),График[[Срок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платеж]]+Y550-SUM(Первоначальный[[#This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S550&gt;0,MIN(Первоначальный[[#This Row],[Полученный платеж]]+Y550-SUM(Первоначальный[[#This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комиссиям]]),SUM(INDIRECT("M"&amp;(MAX((1=S$12:S550)*ROW(S$12:S550),ROW($W$12))&amp;":M"&amp;(ROW()))))-SUM(INDIRECT("W"&amp;(MAX((1=S$12:S550)*ROW(S$12:S550),ROW($W$12))&amp;":W"&amp;(ROW()-1)))))
)
)</f>
        <v>0</v>
      </c>
      <c r="X551" s="55">
        <f t="shared" ca="1" si="98"/>
        <v>0</v>
      </c>
      <c r="Y551" s="101">
        <f t="shared" ca="1" si="105"/>
        <v>0</v>
      </c>
      <c r="Z551" s="133" t="str">
        <f>IF(TYPE((VLOOKUP(Первоначальный[[#This Row],[Дата платежа]],График[Срок конец],1,0)))=16,"",1)</f>
        <v/>
      </c>
      <c r="AA551" s="57"/>
      <c r="AB551" s="134"/>
      <c r="AC55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5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38023.829999999929</v>
      </c>
      <c r="AE55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877.01000000000113</v>
      </c>
      <c r="AF55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5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51044.385965574009</v>
      </c>
      <c r="AH551" s="55"/>
      <c r="AI551" s="55"/>
      <c r="AJ551" s="55"/>
      <c r="AK551" s="101">
        <f t="shared" ca="1" si="106"/>
        <v>239578.56596557394</v>
      </c>
      <c r="AL551" s="129">
        <f t="array" ref="AL551">MAX((УслРестрактов[Характеристика]="Дата реструктуризации")*(УслРестрактов[Значение]=Первоначальный!$A551),0)</f>
        <v>0</v>
      </c>
    </row>
    <row r="552" spans="1:38" x14ac:dyDescent="0.25">
      <c r="A552" s="97">
        <f t="shared" si="99"/>
        <v>44683</v>
      </c>
      <c r="B552" s="100">
        <f t="shared" ca="1" si="100"/>
        <v>149633.34</v>
      </c>
      <c r="C552" s="55">
        <f t="shared" ca="1" si="108"/>
        <v>38023.829999999929</v>
      </c>
      <c r="D552" s="55">
        <f t="shared" ca="1" si="108"/>
        <v>877.01000000000113</v>
      </c>
      <c r="E552" s="55">
        <f t="shared" ca="1" si="101"/>
        <v>0</v>
      </c>
      <c r="F552" s="55">
        <f t="shared" ca="1" si="102"/>
        <v>51044.385965574009</v>
      </c>
      <c r="G552" s="101">
        <f t="shared" ca="1" si="103"/>
        <v>239578.56596557394</v>
      </c>
      <c r="H552" s="100">
        <f ca="1">ROUND($B552*VLOOKUP($A552,$A$1:$B$10,2,1)/(365+IF(MOD(YEAR($A552),4),0,1)*($A552-$A551)),2)-Первоначальный[[#This Row],[Проценты на просроченный платеж по ОД за период]]</f>
        <v>77.69</v>
      </c>
      <c r="I552" s="55">
        <f t="shared" ca="1" si="104"/>
        <v>3.89</v>
      </c>
      <c r="J552" s="55">
        <v>0</v>
      </c>
      <c r="K552" s="55">
        <f t="shared" ca="1" si="107"/>
        <v>217.20850327868848</v>
      </c>
      <c r="L552" s="55">
        <v>0</v>
      </c>
      <c r="M552" s="113">
        <f>SUMIFS(График[Возврат основной суммы долга],График[Дата с учетом нерабочих дней],$A552)</f>
        <v>0</v>
      </c>
      <c r="N552" s="56">
        <f>SUMIFS(График[Возврат начисленных %],График[Дата с учетом нерабочих дней],$A552)</f>
        <v>0</v>
      </c>
      <c r="O552" s="101">
        <v>0</v>
      </c>
      <c r="P552" s="100" cm="1">
        <f t="array" aca="1" ref="P552" ca="1">MAX(IF(AA551="Да",0,SUM(INDIRECT("M"&amp;(MAX(("Да"=AA$12:AA551)*ROW(AA$12:AA551)+1,ROW($P$12))&amp;":M"&amp;(ROW()))))-SUM(INDIRECT("W"&amp;(MAX(("Да"=AA$12:AA551)*ROW(AA$12:AA551)+1,ROW($P$12))&amp;":W"&amp;(ROW()))))),0)</f>
        <v>7129.2099999999991</v>
      </c>
      <c r="Q552" s="99">
        <f ca="1">MAX(SUM($N$13:N552)-SUM($T$13:T552),0)</f>
        <v>36312.490655737696</v>
      </c>
      <c r="R552" s="99">
        <f ca="1">Первоначальный[[#This Row],[Просроченный платеж по ОД]]+Первоначальный[[#This Row],[Просроченный платеж по процентам]]</f>
        <v>43441.700655737695</v>
      </c>
      <c r="S552" s="120">
        <f ca="1">IF(Первоначальный[[#This Row],[Просроченный платеж]]&lt;1,0,S551+1)</f>
        <v>448</v>
      </c>
      <c r="T552" s="100" cm="1">
        <f t="array" aca="1" ref="T552" ca="1">IF(Первоначальный[[#This Row],[Итого остаток на начало периода]]&lt;1,0,
IF(
AND(TYPE(VLOOKUP(1,$Z$12:Z552,1,0))=16,Первоначальный[[#This Row],[Досрочное погашение (да/"")]]=""),0,
_xlfn.IFS(AND(S551=0,Первоначальный[[#This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платеж]]&lt;&gt;0),MIN(LOOKUP(,-1/($Z$12:Z552=1),$C$12:C552)+LOOKUP(,-1/($Z$12:Z552=1),$H$12:H552),Первоначальный[[#This Row],[Полученный платеж]]+Y551),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платеж]]+Y551,SUM(Первоначальный[[#This Row],[Остаток процентов на начало периода]],Первоначальный[[#This Row],[Проценты за период]])),
AND(S551=0,Первоначальный[[#This Row],[Дата платежа из графика]]=""),0,
AND(S551=0,Первоначальный[[#This Row],[Дата платежа из графика]]=1,MAX((0&lt;&gt;S$12:S551)*ROW(S$12:S551),ROW($S$12))&gt;=MAX((1=Z$12:Z551)*ROW(Z$12:Z551),ROW($T$12)),TYPE(VLOOKUP("Да",(INDIRECT("AA"&amp;(MAX((1=Z$12:Z551)*ROW(Z$12:Z551),ROW($T$12))&amp;":AA"&amp;(ROW()-1)))),1,0))=16),MIN(LOOKUP(,-1/($Z$12:Z552=1),$C$12:C552)+LOOKUP(,-1/($Z$12:Z552=1),$H$12:H552),Первоначальный[[#This Row],[Полученный платеж]]+Y551),
AND(S551=0,TYPE(VLOOKUP("Да",(INDIRECT("AA"&amp;(MAX((1=Z$12:Z551)*ROW(Z$12:Z551),ROW($T$12))&amp;":AA"&amp;(ROW()-1)))),1,0))&lt;&gt;16),MIN(LOOKUP(,-1/($Z$12:Z552=1),$C$12:C552)+LOOKUP(,-1/($Z$12:Z552=1),$H$12:H552)-IF(AA551="Да",0,SUM(INDIRECT("T"&amp;(MAX(("Да"=AA$12:AA551)*ROW(AA$12:AA551)+1,ROW($T$12))&amp;":T"&amp;(ROW()-1))))),Первоначальный[[#This Row],[Полученный платеж]]+Y551),
AND(S551=0,MAX((0&lt;&gt;N$12:N551)*ROW(N$12:N551),ROW($S$12))&gt;=MAX((1=Z$12:Z551)*ROW(Z$12:Z551),ROW($T$12))),MIN(LOOKUP(,-1/($Z$12:Z552=1),$C$12:C552)+LOOKUP(,-1/($Z$12:Z552=1),$H$12:H552)-IF(N551&lt;&gt;0,0,SUM(INDIRECT("T"&amp;(MAX((0&lt;&gt;N$12:N551)*ROW(N$12:N551)+1,ROW($T$12))&amp;":T"&amp;(ROW()-1))))),Первоначальный[[#This Row],[Полученный платеж]]+Y551),
AND(S551=0,Первоначальный[[#This Row],[Дата платежа из графика]]=1),MIN(LOOKUP(,-1/($Z$12:Z552=1),$C$12:C552)+LOOKUP(,-1/($Z$12:Z552=1),$H$12:H552)-IF(Z551=1,0,SUM(INDIRECT("T"&amp;(MAX((1=Z$12:Z551)*ROW(Z$12:Z551)+1,ROW($T$12))&amp;":T"&amp;(ROW()-1))))),Первоначальный[[#This Row],[Полученный платеж]]+Y551),
AND(Z551&gt;0,Первоначальный[[#This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платеж]]+Y551),
AND(S551&gt;0,MAX((0&lt;&gt;S$12:S551)*ROW(S$12:S551),ROW($S$12))&gt;=MAX((1=Z$12:Z551)*ROW(Z$12:Z551),ROW($T$12)),TYPE(VLOOKUP("Да",(INDIRECT("AA"&amp;(MAX((1=Z$12:Z551)*ROW(Z$12:Z551),ROW($T$12))&amp;":AA"&amp;(ROW()-1)))),1,0))=16),MIN(LOOKUP(,-1/($Z$12:Z552=1),$C$12:C552)+LOOKUP(,-1/($Z$12:Z552=1),$H$12:H552)-SUM(INDIRECT("T"&amp;(MAX((1=Z$12:Z551)*ROW(Z$12:Z551),ROW($T$12))&amp;":T"&amp;(ROW()-1)))),Первоначальный[[#This Row],[Полученный платеж]]+Y551),
S551&gt;0,MIN(LOOKUP(,-1/($Z$12:Z552=1),$C$12:C552)+LOOKUP(,-1/($Z$12:Z552=1),$H$12:H552)-IF(Z551=1,0,SUM(INDIRECT("T"&amp;(MAX((1=Z$12:Z551)*ROW(Z$12:Z551)+1,ROW($T$12))&amp;":T"&amp;(ROW()-1))))),Первоначальный[[#This Row],[Полученный платеж]]+Y551)
)
)
)</f>
        <v>0</v>
      </c>
      <c r="U55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платеж]]+Y551-Первоначальный[[#This Row],[Полученный платёж по процентам]])</f>
        <v>0</v>
      </c>
      <c r="V552" s="55">
        <f t="shared" ca="1" si="97"/>
        <v>0</v>
      </c>
      <c r="W552" s="55" cm="1">
        <f t="array" aca="1" ref="W552" ca="1">IF(Первоначальный[[#This Row],[Итого остаток на начало периода]]&lt;1,0,
_xlfn.IFS(
AND(TYPE(VLOOKUP(1,$Z$12:Z552,1,0))=16,Первоначальный[[#This Row],[Досрочное погашение (да/"")]]=""),0,
AND(S551=0,Первоначальный[[#This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платеж]]+Y551-SUM(Первоначальный[[#This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комиссиям]]),VLOOKUP(LOOKUP(,-1/($Z$12:Z552=1),$A$12:A552),График[[Срок конец]:[Возврат основной суммы долга]],3,0)),
AND(S551=0,Первоначальный[[#This Row],[Дата платежа из графика]]="",Первоначальный[[#This Row],[Досрочное погашение (да/"")]]&lt;&gt;"Да"),0,
AND(S551=0,Первоначальный[[#This Row],[Досрочное погашение (да/"")]]=""),MIN(Первоначальный[[#This Row],[Полученный платеж]]+Y551-SUM(Первоначальный[[#This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комиссиям]]),VLOOKUP(LOOKUP(,-1/($Z$12:Z552=1),$A$12:A552),График[[Срок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платеж]]+Y551-SUM(Первоначальный[[#This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S551&gt;0,MIN(Первоначальный[[#This Row],[Полученный платеж]]+Y551-SUM(Первоначальный[[#This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комиссиям]]),SUM(INDIRECT("M"&amp;(MAX((1=S$12:S551)*ROW(S$12:S551),ROW($W$12))&amp;":M"&amp;(ROW()))))-SUM(INDIRECT("W"&amp;(MAX((1=S$12:S551)*ROW(S$12:S551),ROW($W$12))&amp;":W"&amp;(ROW()-1)))))
)
)</f>
        <v>0</v>
      </c>
      <c r="X552" s="55">
        <f t="shared" ca="1" si="98"/>
        <v>0</v>
      </c>
      <c r="Y552" s="101">
        <f t="shared" ca="1" si="105"/>
        <v>0</v>
      </c>
      <c r="Z552" s="133" t="str">
        <f>IF(TYPE((VLOOKUP(Первоначальный[[#This Row],[Дата платежа]],График[Срок конец],1,0)))=16,"",1)</f>
        <v/>
      </c>
      <c r="AA552" s="57"/>
      <c r="AB552" s="134"/>
      <c r="AC55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5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38101.519999999931</v>
      </c>
      <c r="AE55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880.90000000000111</v>
      </c>
      <c r="AF55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5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51261.594468852694</v>
      </c>
      <c r="AH552" s="55"/>
      <c r="AI552" s="55"/>
      <c r="AJ552" s="55"/>
      <c r="AK552" s="101">
        <f t="shared" ca="1" si="106"/>
        <v>239877.35446885263</v>
      </c>
      <c r="AL552" s="129">
        <f t="array" ref="AL552">MAX((УслРестрактов[Характеристика]="Дата реструктуризации")*(УслРестрактов[Значение]=Первоначальный!$A552),0)</f>
        <v>0</v>
      </c>
    </row>
    <row r="553" spans="1:38" x14ac:dyDescent="0.25">
      <c r="A553" s="97">
        <f t="shared" si="99"/>
        <v>44684</v>
      </c>
      <c r="B553" s="100">
        <f t="shared" ca="1" si="100"/>
        <v>149633.34</v>
      </c>
      <c r="C553" s="55">
        <f t="shared" ca="1" si="108"/>
        <v>38101.519999999931</v>
      </c>
      <c r="D553" s="55">
        <f t="shared" ca="1" si="108"/>
        <v>880.90000000000111</v>
      </c>
      <c r="E553" s="55">
        <f t="shared" ca="1" si="101"/>
        <v>0</v>
      </c>
      <c r="F553" s="55">
        <f t="shared" ca="1" si="102"/>
        <v>51261.594468852694</v>
      </c>
      <c r="G553" s="101">
        <f t="shared" ca="1" si="103"/>
        <v>239877.35446885263</v>
      </c>
      <c r="H553" s="100">
        <f ca="1">ROUND($B553*VLOOKUP($A553,$A$1:$B$10,2,1)/(365+IF(MOD(YEAR($A553),4),0,1)*($A553-$A552)),2)-Первоначальный[[#This Row],[Проценты на просроченный платеж по ОД за период]]</f>
        <v>77.69</v>
      </c>
      <c r="I553" s="55">
        <f t="shared" ca="1" si="104"/>
        <v>3.89</v>
      </c>
      <c r="J553" s="55">
        <v>0</v>
      </c>
      <c r="K553" s="55">
        <f t="shared" ca="1" si="107"/>
        <v>217.20850327868848</v>
      </c>
      <c r="L553" s="55">
        <v>0</v>
      </c>
      <c r="M553" s="113">
        <f>SUMIFS(График[Возврат основной суммы долга],График[Дата с учетом нерабочих дней],$A553)</f>
        <v>0</v>
      </c>
      <c r="N553" s="56">
        <f>SUMIFS(График[Возврат начисленных %],График[Дата с учетом нерабочих дней],$A553)</f>
        <v>0</v>
      </c>
      <c r="O553" s="101">
        <v>0</v>
      </c>
      <c r="P553" s="100" cm="1">
        <f t="array" aca="1" ref="P553" ca="1">MAX(IF(AA552="Да",0,SUM(INDIRECT("M"&amp;(MAX(("Да"=AA$12:AA552)*ROW(AA$12:AA552)+1,ROW($P$12))&amp;":M"&amp;(ROW()))))-SUM(INDIRECT("W"&amp;(MAX(("Да"=AA$12:AA552)*ROW(AA$12:AA552)+1,ROW($P$12))&amp;":W"&amp;(ROW()))))),0)</f>
        <v>7129.2099999999991</v>
      </c>
      <c r="Q553" s="99">
        <f ca="1">MAX(SUM($N$13:N553)-SUM($T$13:T553),0)</f>
        <v>36312.490655737696</v>
      </c>
      <c r="R553" s="99">
        <f ca="1">Первоначальный[[#This Row],[Просроченный платеж по ОД]]+Первоначальный[[#This Row],[Просроченный платеж по процентам]]</f>
        <v>43441.700655737695</v>
      </c>
      <c r="S553" s="120">
        <f ca="1">IF(Первоначальный[[#This Row],[Просроченный платеж]]&lt;1,0,S552+1)</f>
        <v>449</v>
      </c>
      <c r="T553" s="100" cm="1">
        <f t="array" aca="1" ref="T553" ca="1">IF(Первоначальный[[#This Row],[Итого остаток на начало периода]]&lt;1,0,
IF(
AND(TYPE(VLOOKUP(1,$Z$12:Z553,1,0))=16,Первоначальный[[#This Row],[Досрочное погашение (да/"")]]=""),0,
_xlfn.IFS(AND(S552=0,Первоначальный[[#This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платеж]]&lt;&gt;0),MIN(LOOKUP(,-1/($Z$12:Z553=1),$C$12:C553)+LOOKUP(,-1/($Z$12:Z553=1),$H$12:H553),Первоначальный[[#This Row],[Полученный платеж]]+Y552),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платеж]]+Y552,SUM(Первоначальный[[#This Row],[Остаток процентов на начало периода]],Первоначальный[[#This Row],[Проценты за период]])),
AND(S552=0,Первоначальный[[#This Row],[Дата платежа из графика]]=""),0,
AND(S552=0,Первоначальный[[#This Row],[Дата платежа из графика]]=1,MAX((0&lt;&gt;S$12:S552)*ROW(S$12:S552),ROW($S$12))&gt;=MAX((1=Z$12:Z552)*ROW(Z$12:Z552),ROW($T$12)),TYPE(VLOOKUP("Да",(INDIRECT("AA"&amp;(MAX((1=Z$12:Z552)*ROW(Z$12:Z552),ROW($T$12))&amp;":AA"&amp;(ROW()-1)))),1,0))=16),MIN(LOOKUP(,-1/($Z$12:Z553=1),$C$12:C553)+LOOKUP(,-1/($Z$12:Z553=1),$H$12:H553),Первоначальный[[#This Row],[Полученный платеж]]+Y552),
AND(S552=0,TYPE(VLOOKUP("Да",(INDIRECT("AA"&amp;(MAX((1=Z$12:Z552)*ROW(Z$12:Z552),ROW($T$12))&amp;":AA"&amp;(ROW()-1)))),1,0))&lt;&gt;16),MIN(LOOKUP(,-1/($Z$12:Z553=1),$C$12:C553)+LOOKUP(,-1/($Z$12:Z553=1),$H$12:H553)-IF(AA552="Да",0,SUM(INDIRECT("T"&amp;(MAX(("Да"=AA$12:AA552)*ROW(AA$12:AA552)+1,ROW($T$12))&amp;":T"&amp;(ROW()-1))))),Первоначальный[[#This Row],[Полученный платеж]]+Y552),
AND(S552=0,MAX((0&lt;&gt;N$12:N552)*ROW(N$12:N552),ROW($S$12))&gt;=MAX((1=Z$12:Z552)*ROW(Z$12:Z552),ROW($T$12))),MIN(LOOKUP(,-1/($Z$12:Z553=1),$C$12:C553)+LOOKUP(,-1/($Z$12:Z553=1),$H$12:H553)-IF(N552&lt;&gt;0,0,SUM(INDIRECT("T"&amp;(MAX((0&lt;&gt;N$12:N552)*ROW(N$12:N552)+1,ROW($T$12))&amp;":T"&amp;(ROW()-1))))),Первоначальный[[#This Row],[Полученный платеж]]+Y552),
AND(S552=0,Первоначальный[[#This Row],[Дата платежа из графика]]=1),MIN(LOOKUP(,-1/($Z$12:Z553=1),$C$12:C553)+LOOKUP(,-1/($Z$12:Z553=1),$H$12:H553)-IF(Z552=1,0,SUM(INDIRECT("T"&amp;(MAX((1=Z$12:Z552)*ROW(Z$12:Z552)+1,ROW($T$12))&amp;":T"&amp;(ROW()-1))))),Первоначальный[[#This Row],[Полученный платеж]]+Y552),
AND(Z552&gt;0,Первоначальный[[#This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платеж]]+Y552),
AND(S552&gt;0,MAX((0&lt;&gt;S$12:S552)*ROW(S$12:S552),ROW($S$12))&gt;=MAX((1=Z$12:Z552)*ROW(Z$12:Z552),ROW($T$12)),TYPE(VLOOKUP("Да",(INDIRECT("AA"&amp;(MAX((1=Z$12:Z552)*ROW(Z$12:Z552),ROW($T$12))&amp;":AA"&amp;(ROW()-1)))),1,0))=16),MIN(LOOKUP(,-1/($Z$12:Z553=1),$C$12:C553)+LOOKUP(,-1/($Z$12:Z553=1),$H$12:H553)-SUM(INDIRECT("T"&amp;(MAX((1=Z$12:Z552)*ROW(Z$12:Z552),ROW($T$12))&amp;":T"&amp;(ROW()-1)))),Первоначальный[[#This Row],[Полученный платеж]]+Y552),
S552&gt;0,MIN(LOOKUP(,-1/($Z$12:Z553=1),$C$12:C553)+LOOKUP(,-1/($Z$12:Z553=1),$H$12:H553)-IF(Z552=1,0,SUM(INDIRECT("T"&amp;(MAX((1=Z$12:Z552)*ROW(Z$12:Z552)+1,ROW($T$12))&amp;":T"&amp;(ROW()-1))))),Первоначальный[[#This Row],[Полученный платеж]]+Y552)
)
)
)</f>
        <v>0</v>
      </c>
      <c r="U55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платеж]]+Y552-Первоначальный[[#This Row],[Полученный платёж по процентам]])</f>
        <v>0</v>
      </c>
      <c r="V553" s="55">
        <f t="shared" ca="1" si="97"/>
        <v>0</v>
      </c>
      <c r="W553" s="55" cm="1">
        <f t="array" aca="1" ref="W553" ca="1">IF(Первоначальный[[#This Row],[Итого остаток на начало периода]]&lt;1,0,
_xlfn.IFS(
AND(TYPE(VLOOKUP(1,$Z$12:Z553,1,0))=16,Первоначальный[[#This Row],[Досрочное погашение (да/"")]]=""),0,
AND(S552=0,Первоначальный[[#This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платеж]]+Y552-SUM(Первоначальный[[#This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комиссиям]]),VLOOKUP(LOOKUP(,-1/($Z$12:Z553=1),$A$12:A553),График[[Срок конец]:[Возврат основной суммы долга]],3,0)),
AND(S552=0,Первоначальный[[#This Row],[Дата платежа из графика]]="",Первоначальный[[#This Row],[Досрочное погашение (да/"")]]&lt;&gt;"Да"),0,
AND(S552=0,Первоначальный[[#This Row],[Досрочное погашение (да/"")]]=""),MIN(Первоначальный[[#This Row],[Полученный платеж]]+Y552-SUM(Первоначальный[[#This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комиссиям]]),VLOOKUP(LOOKUP(,-1/($Z$12:Z553=1),$A$12:A553),График[[Срок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платеж]]+Y552-SUM(Первоначальный[[#This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S552&gt;0,MIN(Первоначальный[[#This Row],[Полученный платеж]]+Y552-SUM(Первоначальный[[#This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комиссиям]]),SUM(INDIRECT("M"&amp;(MAX((1=S$12:S552)*ROW(S$12:S552),ROW($W$12))&amp;":M"&amp;(ROW()))))-SUM(INDIRECT("W"&amp;(MAX((1=S$12:S552)*ROW(S$12:S552),ROW($W$12))&amp;":W"&amp;(ROW()-1)))))
)
)</f>
        <v>0</v>
      </c>
      <c r="X553" s="55">
        <f t="shared" ca="1" si="98"/>
        <v>0</v>
      </c>
      <c r="Y553" s="101">
        <f t="shared" ca="1" si="105"/>
        <v>0</v>
      </c>
      <c r="Z553" s="133" t="str">
        <f>IF(TYPE((VLOOKUP(Первоначальный[[#This Row],[Дата платежа]],График[Срок конец],1,0)))=16,"",1)</f>
        <v/>
      </c>
      <c r="AA553" s="57"/>
      <c r="AB553" s="134"/>
      <c r="AC55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5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38179.209999999934</v>
      </c>
      <c r="AE55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884.7900000000011</v>
      </c>
      <c r="AF55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5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51478.80297213138</v>
      </c>
      <c r="AH553" s="55"/>
      <c r="AI553" s="55"/>
      <c r="AJ553" s="55"/>
      <c r="AK553" s="101">
        <f t="shared" ca="1" si="106"/>
        <v>240176.14297213132</v>
      </c>
      <c r="AL553" s="129">
        <f t="array" ref="AL553">MAX((УслРестрактов[Характеристика]="Дата реструктуризации")*(УслРестрактов[Значение]=Первоначальный!$A553),0)</f>
        <v>0</v>
      </c>
    </row>
    <row r="554" spans="1:38" x14ac:dyDescent="0.25">
      <c r="A554" s="97">
        <f t="shared" si="99"/>
        <v>44685</v>
      </c>
      <c r="B554" s="100">
        <f t="shared" ca="1" si="100"/>
        <v>149633.34</v>
      </c>
      <c r="C554" s="55">
        <f t="shared" ca="1" si="108"/>
        <v>38179.209999999934</v>
      </c>
      <c r="D554" s="55">
        <f t="shared" ca="1" si="108"/>
        <v>884.7900000000011</v>
      </c>
      <c r="E554" s="55">
        <f t="shared" ca="1" si="101"/>
        <v>0</v>
      </c>
      <c r="F554" s="55">
        <f t="shared" ca="1" si="102"/>
        <v>51478.80297213138</v>
      </c>
      <c r="G554" s="101">
        <f t="shared" ca="1" si="103"/>
        <v>240176.14297213132</v>
      </c>
      <c r="H554" s="100">
        <f ca="1">ROUND($B554*VLOOKUP($A554,$A$1:$B$10,2,1)/(365+IF(MOD(YEAR($A554),4),0,1)*($A554-$A553)),2)-Первоначальный[[#This Row],[Проценты на просроченный платеж по ОД за период]]</f>
        <v>77.69</v>
      </c>
      <c r="I554" s="55">
        <f t="shared" ca="1" si="104"/>
        <v>3.89</v>
      </c>
      <c r="J554" s="55">
        <v>0</v>
      </c>
      <c r="K554" s="55">
        <f t="shared" ca="1" si="107"/>
        <v>217.20850327868848</v>
      </c>
      <c r="L554" s="55">
        <v>0</v>
      </c>
      <c r="M554" s="113">
        <f>SUMIFS(График[Возврат основной суммы долга],График[Дата с учетом нерабочих дней],$A554)</f>
        <v>0</v>
      </c>
      <c r="N554" s="56">
        <f>SUMIFS(График[Возврат начисленных %],График[Дата с учетом нерабочих дней],$A554)</f>
        <v>0</v>
      </c>
      <c r="O554" s="101">
        <v>0</v>
      </c>
      <c r="P554" s="100" cm="1">
        <f t="array" aca="1" ref="P554" ca="1">MAX(IF(AA553="Да",0,SUM(INDIRECT("M"&amp;(MAX(("Да"=AA$12:AA553)*ROW(AA$12:AA553)+1,ROW($P$12))&amp;":M"&amp;(ROW()))))-SUM(INDIRECT("W"&amp;(MAX(("Да"=AA$12:AA553)*ROW(AA$12:AA553)+1,ROW($P$12))&amp;":W"&amp;(ROW()))))),0)</f>
        <v>7129.2099999999991</v>
      </c>
      <c r="Q554" s="99">
        <f ca="1">MAX(SUM($N$13:N554)-SUM($T$13:T554),0)</f>
        <v>36312.490655737696</v>
      </c>
      <c r="R554" s="99">
        <f ca="1">Первоначальный[[#This Row],[Просроченный платеж по ОД]]+Первоначальный[[#This Row],[Просроченный платеж по процентам]]</f>
        <v>43441.700655737695</v>
      </c>
      <c r="S554" s="120">
        <f ca="1">IF(Первоначальный[[#This Row],[Просроченный платеж]]&lt;1,0,S553+1)</f>
        <v>450</v>
      </c>
      <c r="T554" s="100" cm="1">
        <f t="array" aca="1" ref="T554" ca="1">IF(Первоначальный[[#This Row],[Итого остаток на начало периода]]&lt;1,0,
IF(
AND(TYPE(VLOOKUP(1,$Z$12:Z554,1,0))=16,Первоначальный[[#This Row],[Досрочное погашение (да/"")]]=""),0,
_xlfn.IFS(AND(S553=0,Первоначальный[[#This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платеж]]&lt;&gt;0),MIN(LOOKUP(,-1/($Z$12:Z554=1),$C$12:C554)+LOOKUP(,-1/($Z$12:Z554=1),$H$12:H554),Первоначальный[[#This Row],[Полученный платеж]]+Y553),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платеж]]+Y553,SUM(Первоначальный[[#This Row],[Остаток процентов на начало периода]],Первоначальный[[#This Row],[Проценты за период]])),
AND(S553=0,Первоначальный[[#This Row],[Дата платежа из графика]]=""),0,
AND(S553=0,Первоначальный[[#This Row],[Дата платежа из графика]]=1,MAX((0&lt;&gt;S$12:S553)*ROW(S$12:S553),ROW($S$12))&gt;=MAX((1=Z$12:Z553)*ROW(Z$12:Z553),ROW($T$12)),TYPE(VLOOKUP("Да",(INDIRECT("AA"&amp;(MAX((1=Z$12:Z553)*ROW(Z$12:Z553),ROW($T$12))&amp;":AA"&amp;(ROW()-1)))),1,0))=16),MIN(LOOKUP(,-1/($Z$12:Z554=1),$C$12:C554)+LOOKUP(,-1/($Z$12:Z554=1),$H$12:H554),Первоначальный[[#This Row],[Полученный платеж]]+Y553),
AND(S553=0,TYPE(VLOOKUP("Да",(INDIRECT("AA"&amp;(MAX((1=Z$12:Z553)*ROW(Z$12:Z553),ROW($T$12))&amp;":AA"&amp;(ROW()-1)))),1,0))&lt;&gt;16),MIN(LOOKUP(,-1/($Z$12:Z554=1),$C$12:C554)+LOOKUP(,-1/($Z$12:Z554=1),$H$12:H554)-IF(AA553="Да",0,SUM(INDIRECT("T"&amp;(MAX(("Да"=AA$12:AA553)*ROW(AA$12:AA553)+1,ROW($T$12))&amp;":T"&amp;(ROW()-1))))),Первоначальный[[#This Row],[Полученный платеж]]+Y553),
AND(S553=0,MAX((0&lt;&gt;N$12:N553)*ROW(N$12:N553),ROW($S$12))&gt;=MAX((1=Z$12:Z553)*ROW(Z$12:Z553),ROW($T$12))),MIN(LOOKUP(,-1/($Z$12:Z554=1),$C$12:C554)+LOOKUP(,-1/($Z$12:Z554=1),$H$12:H554)-IF(N553&lt;&gt;0,0,SUM(INDIRECT("T"&amp;(MAX((0&lt;&gt;N$12:N553)*ROW(N$12:N553)+1,ROW($T$12))&amp;":T"&amp;(ROW()-1))))),Первоначальный[[#This Row],[Полученный платеж]]+Y553),
AND(S553=0,Первоначальный[[#This Row],[Дата платежа из графика]]=1),MIN(LOOKUP(,-1/($Z$12:Z554=1),$C$12:C554)+LOOKUP(,-1/($Z$12:Z554=1),$H$12:H554)-IF(Z553=1,0,SUM(INDIRECT("T"&amp;(MAX((1=Z$12:Z553)*ROW(Z$12:Z553)+1,ROW($T$12))&amp;":T"&amp;(ROW()-1))))),Первоначальный[[#This Row],[Полученный платеж]]+Y553),
AND(Z553&gt;0,Первоначальный[[#This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платеж]]+Y553),
AND(S553&gt;0,MAX((0&lt;&gt;S$12:S553)*ROW(S$12:S553),ROW($S$12))&gt;=MAX((1=Z$12:Z553)*ROW(Z$12:Z553),ROW($T$12)),TYPE(VLOOKUP("Да",(INDIRECT("AA"&amp;(MAX((1=Z$12:Z553)*ROW(Z$12:Z553),ROW($T$12))&amp;":AA"&amp;(ROW()-1)))),1,0))=16),MIN(LOOKUP(,-1/($Z$12:Z554=1),$C$12:C554)+LOOKUP(,-1/($Z$12:Z554=1),$H$12:H554)-SUM(INDIRECT("T"&amp;(MAX((1=Z$12:Z553)*ROW(Z$12:Z553),ROW($T$12))&amp;":T"&amp;(ROW()-1)))),Первоначальный[[#This Row],[Полученный платеж]]+Y553),
S553&gt;0,MIN(LOOKUP(,-1/($Z$12:Z554=1),$C$12:C554)+LOOKUP(,-1/($Z$12:Z554=1),$H$12:H554)-IF(Z553=1,0,SUM(INDIRECT("T"&amp;(MAX((1=Z$12:Z553)*ROW(Z$12:Z553)+1,ROW($T$12))&amp;":T"&amp;(ROW()-1))))),Первоначальный[[#This Row],[Полученный платеж]]+Y553)
)
)
)</f>
        <v>0</v>
      </c>
      <c r="U55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платеж]]+Y553-Первоначальный[[#This Row],[Полученный платёж по процентам]])</f>
        <v>0</v>
      </c>
      <c r="V554" s="55">
        <f t="shared" ca="1" si="97"/>
        <v>0</v>
      </c>
      <c r="W554" s="55" cm="1">
        <f t="array" aca="1" ref="W554" ca="1">IF(Первоначальный[[#This Row],[Итого остаток на начало периода]]&lt;1,0,
_xlfn.IFS(
AND(TYPE(VLOOKUP(1,$Z$12:Z554,1,0))=16,Первоначальный[[#This Row],[Досрочное погашение (да/"")]]=""),0,
AND(S553=0,Первоначальный[[#This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платеж]]+Y553-SUM(Первоначальный[[#This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комиссиям]]),VLOOKUP(LOOKUP(,-1/($Z$12:Z554=1),$A$12:A554),График[[Срок конец]:[Возврат основной суммы долга]],3,0)),
AND(S553=0,Первоначальный[[#This Row],[Дата платежа из графика]]="",Первоначальный[[#This Row],[Досрочное погашение (да/"")]]&lt;&gt;"Да"),0,
AND(S553=0,Первоначальный[[#This Row],[Досрочное погашение (да/"")]]=""),MIN(Первоначальный[[#This Row],[Полученный платеж]]+Y553-SUM(Первоначальный[[#This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комиссиям]]),VLOOKUP(LOOKUP(,-1/($Z$12:Z554=1),$A$12:A554),График[[Срок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платеж]]+Y553-SUM(Первоначальный[[#This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S553&gt;0,MIN(Первоначальный[[#This Row],[Полученный платеж]]+Y553-SUM(Первоначальный[[#This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комиссиям]]),SUM(INDIRECT("M"&amp;(MAX((1=S$12:S553)*ROW(S$12:S553),ROW($W$12))&amp;":M"&amp;(ROW()))))-SUM(INDIRECT("W"&amp;(MAX((1=S$12:S553)*ROW(S$12:S553),ROW($W$12))&amp;":W"&amp;(ROW()-1)))))
)
)</f>
        <v>0</v>
      </c>
      <c r="X554" s="55">
        <f t="shared" ca="1" si="98"/>
        <v>0</v>
      </c>
      <c r="Y554" s="101">
        <f t="shared" ca="1" si="105"/>
        <v>0</v>
      </c>
      <c r="Z554" s="133" t="str">
        <f>IF(TYPE((VLOOKUP(Первоначальный[[#This Row],[Дата платежа]],График[Срок конец],1,0)))=16,"",1)</f>
        <v/>
      </c>
      <c r="AA554" s="57"/>
      <c r="AB554" s="134"/>
      <c r="AC55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5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38256.899999999936</v>
      </c>
      <c r="AE55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888.68000000000109</v>
      </c>
      <c r="AF55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5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51696.011475410065</v>
      </c>
      <c r="AH554" s="55"/>
      <c r="AI554" s="55"/>
      <c r="AJ554" s="55"/>
      <c r="AK554" s="101">
        <f t="shared" ca="1" si="106"/>
        <v>240474.93147541001</v>
      </c>
      <c r="AL554" s="129">
        <f t="array" ref="AL554">MAX((УслРестрактов[Характеристика]="Дата реструктуризации")*(УслРестрактов[Значение]=Первоначальный!$A554),0)</f>
        <v>0</v>
      </c>
    </row>
    <row r="555" spans="1:38" x14ac:dyDescent="0.25">
      <c r="A555" s="97">
        <f t="shared" si="99"/>
        <v>44686</v>
      </c>
      <c r="B555" s="100">
        <f t="shared" ca="1" si="100"/>
        <v>149633.34</v>
      </c>
      <c r="C555" s="55">
        <f t="shared" ca="1" si="108"/>
        <v>38256.899999999936</v>
      </c>
      <c r="D555" s="55">
        <f t="shared" ca="1" si="108"/>
        <v>888.68000000000109</v>
      </c>
      <c r="E555" s="55">
        <f t="shared" ca="1" si="101"/>
        <v>0</v>
      </c>
      <c r="F555" s="55">
        <f t="shared" ca="1" si="102"/>
        <v>51696.011475410065</v>
      </c>
      <c r="G555" s="101">
        <f t="shared" ca="1" si="103"/>
        <v>240474.93147541001</v>
      </c>
      <c r="H555" s="100">
        <f ca="1">ROUND($B555*VLOOKUP($A555,$A$1:$B$10,2,1)/(365+IF(MOD(YEAR($A555),4),0,1)*($A555-$A554)),2)-Первоначальный[[#This Row],[Проценты на просроченный платеж по ОД за период]]</f>
        <v>77.69</v>
      </c>
      <c r="I555" s="55">
        <f t="shared" ca="1" si="104"/>
        <v>3.89</v>
      </c>
      <c r="J555" s="55">
        <v>0</v>
      </c>
      <c r="K555" s="55">
        <f t="shared" ca="1" si="107"/>
        <v>217.20850327868848</v>
      </c>
      <c r="L555" s="55">
        <v>0</v>
      </c>
      <c r="M555" s="113">
        <f>SUMIFS(График[Возврат основной суммы долга],График[Дата с учетом нерабочих дней],$A555)</f>
        <v>0</v>
      </c>
      <c r="N555" s="56">
        <f>SUMIFS(График[Возврат начисленных %],График[Дата с учетом нерабочих дней],$A555)</f>
        <v>0</v>
      </c>
      <c r="O555" s="101">
        <v>0</v>
      </c>
      <c r="P555" s="100" cm="1">
        <f t="array" aca="1" ref="P555" ca="1">MAX(IF(AA554="Да",0,SUM(INDIRECT("M"&amp;(MAX(("Да"=AA$12:AA554)*ROW(AA$12:AA554)+1,ROW($P$12))&amp;":M"&amp;(ROW()))))-SUM(INDIRECT("W"&amp;(MAX(("Да"=AA$12:AA554)*ROW(AA$12:AA554)+1,ROW($P$12))&amp;":W"&amp;(ROW()))))),0)</f>
        <v>7129.2099999999991</v>
      </c>
      <c r="Q555" s="99">
        <f ca="1">MAX(SUM($N$13:N555)-SUM($T$13:T555),0)</f>
        <v>36312.490655737696</v>
      </c>
      <c r="R555" s="99">
        <f ca="1">Первоначальный[[#This Row],[Просроченный платеж по ОД]]+Первоначальный[[#This Row],[Просроченный платеж по процентам]]</f>
        <v>43441.700655737695</v>
      </c>
      <c r="S555" s="120">
        <f ca="1">IF(Первоначальный[[#This Row],[Просроченный платеж]]&lt;1,0,S554+1)</f>
        <v>451</v>
      </c>
      <c r="T555" s="100" cm="1">
        <f t="array" aca="1" ref="T555" ca="1">IF(Первоначальный[[#This Row],[Итого остаток на начало периода]]&lt;1,0,
IF(
AND(TYPE(VLOOKUP(1,$Z$12:Z555,1,0))=16,Первоначальный[[#This Row],[Досрочное погашение (да/"")]]=""),0,
_xlfn.IFS(AND(S554=0,Первоначальный[[#This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платеж]]&lt;&gt;0),MIN(LOOKUP(,-1/($Z$12:Z555=1),$C$12:C555)+LOOKUP(,-1/($Z$12:Z555=1),$H$12:H555),Первоначальный[[#This Row],[Полученный платеж]]+Y554),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платеж]]+Y554,SUM(Первоначальный[[#This Row],[Остаток процентов на начало периода]],Первоначальный[[#This Row],[Проценты за период]])),
AND(S554=0,Первоначальный[[#This Row],[Дата платежа из графика]]=""),0,
AND(S554=0,Первоначальный[[#This Row],[Дата платежа из графика]]=1,MAX((0&lt;&gt;S$12:S554)*ROW(S$12:S554),ROW($S$12))&gt;=MAX((1=Z$12:Z554)*ROW(Z$12:Z554),ROW($T$12)),TYPE(VLOOKUP("Да",(INDIRECT("AA"&amp;(MAX((1=Z$12:Z554)*ROW(Z$12:Z554),ROW($T$12))&amp;":AA"&amp;(ROW()-1)))),1,0))=16),MIN(LOOKUP(,-1/($Z$12:Z555=1),$C$12:C555)+LOOKUP(,-1/($Z$12:Z555=1),$H$12:H555),Первоначальный[[#This Row],[Полученный платеж]]+Y554),
AND(S554=0,TYPE(VLOOKUP("Да",(INDIRECT("AA"&amp;(MAX((1=Z$12:Z554)*ROW(Z$12:Z554),ROW($T$12))&amp;":AA"&amp;(ROW()-1)))),1,0))&lt;&gt;16),MIN(LOOKUP(,-1/($Z$12:Z555=1),$C$12:C555)+LOOKUP(,-1/($Z$12:Z555=1),$H$12:H555)-IF(AA554="Да",0,SUM(INDIRECT("T"&amp;(MAX(("Да"=AA$12:AA554)*ROW(AA$12:AA554)+1,ROW($T$12))&amp;":T"&amp;(ROW()-1))))),Первоначальный[[#This Row],[Полученный платеж]]+Y554),
AND(S554=0,MAX((0&lt;&gt;N$12:N554)*ROW(N$12:N554),ROW($S$12))&gt;=MAX((1=Z$12:Z554)*ROW(Z$12:Z554),ROW($T$12))),MIN(LOOKUP(,-1/($Z$12:Z555=1),$C$12:C555)+LOOKUP(,-1/($Z$12:Z555=1),$H$12:H555)-IF(N554&lt;&gt;0,0,SUM(INDIRECT("T"&amp;(MAX((0&lt;&gt;N$12:N554)*ROW(N$12:N554)+1,ROW($T$12))&amp;":T"&amp;(ROW()-1))))),Первоначальный[[#This Row],[Полученный платеж]]+Y554),
AND(S554=0,Первоначальный[[#This Row],[Дата платежа из графика]]=1),MIN(LOOKUP(,-1/($Z$12:Z555=1),$C$12:C555)+LOOKUP(,-1/($Z$12:Z555=1),$H$12:H555)-IF(Z554=1,0,SUM(INDIRECT("T"&amp;(MAX((1=Z$12:Z554)*ROW(Z$12:Z554)+1,ROW($T$12))&amp;":T"&amp;(ROW()-1))))),Первоначальный[[#This Row],[Полученный платеж]]+Y554),
AND(Z554&gt;0,Первоначальный[[#This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платеж]]+Y554),
AND(S554&gt;0,MAX((0&lt;&gt;S$12:S554)*ROW(S$12:S554),ROW($S$12))&gt;=MAX((1=Z$12:Z554)*ROW(Z$12:Z554),ROW($T$12)),TYPE(VLOOKUP("Да",(INDIRECT("AA"&amp;(MAX((1=Z$12:Z554)*ROW(Z$12:Z554),ROW($T$12))&amp;":AA"&amp;(ROW()-1)))),1,0))=16),MIN(LOOKUP(,-1/($Z$12:Z555=1),$C$12:C555)+LOOKUP(,-1/($Z$12:Z555=1),$H$12:H555)-SUM(INDIRECT("T"&amp;(MAX((1=Z$12:Z554)*ROW(Z$12:Z554),ROW($T$12))&amp;":T"&amp;(ROW()-1)))),Первоначальный[[#This Row],[Полученный платеж]]+Y554),
S554&gt;0,MIN(LOOKUP(,-1/($Z$12:Z555=1),$C$12:C555)+LOOKUP(,-1/($Z$12:Z555=1),$H$12:H555)-IF(Z554=1,0,SUM(INDIRECT("T"&amp;(MAX((1=Z$12:Z554)*ROW(Z$12:Z554)+1,ROW($T$12))&amp;":T"&amp;(ROW()-1))))),Первоначальный[[#This Row],[Полученный платеж]]+Y554)
)
)
)</f>
        <v>0</v>
      </c>
      <c r="U55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платеж]]+Y554-Первоначальный[[#This Row],[Полученный платёж по процентам]])</f>
        <v>0</v>
      </c>
      <c r="V555" s="55">
        <f t="shared" ca="1" si="97"/>
        <v>0</v>
      </c>
      <c r="W555" s="55" cm="1">
        <f t="array" aca="1" ref="W555" ca="1">IF(Первоначальный[[#This Row],[Итого остаток на начало периода]]&lt;1,0,
_xlfn.IFS(
AND(TYPE(VLOOKUP(1,$Z$12:Z555,1,0))=16,Первоначальный[[#This Row],[Досрочное погашение (да/"")]]=""),0,
AND(S554=0,Первоначальный[[#This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платеж]]+Y554-SUM(Первоначальный[[#This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комиссиям]]),VLOOKUP(LOOKUP(,-1/($Z$12:Z555=1),$A$12:A555),График[[Срок конец]:[Возврат основной суммы долга]],3,0)),
AND(S554=0,Первоначальный[[#This Row],[Дата платежа из графика]]="",Первоначальный[[#This Row],[Досрочное погашение (да/"")]]&lt;&gt;"Да"),0,
AND(S554=0,Первоначальный[[#This Row],[Досрочное погашение (да/"")]]=""),MIN(Первоначальный[[#This Row],[Полученный платеж]]+Y554-SUM(Первоначальный[[#This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комиссиям]]),VLOOKUP(LOOKUP(,-1/($Z$12:Z555=1),$A$12:A555),График[[Срок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платеж]]+Y554-SUM(Первоначальный[[#This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S554&gt;0,MIN(Первоначальный[[#This Row],[Полученный платеж]]+Y554-SUM(Первоначальный[[#This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комиссиям]]),SUM(INDIRECT("M"&amp;(MAX((1=S$12:S554)*ROW(S$12:S554),ROW($W$12))&amp;":M"&amp;(ROW()))))-SUM(INDIRECT("W"&amp;(MAX((1=S$12:S554)*ROW(S$12:S554),ROW($W$12))&amp;":W"&amp;(ROW()-1)))))
)
)</f>
        <v>0</v>
      </c>
      <c r="X555" s="55">
        <f t="shared" ca="1" si="98"/>
        <v>0</v>
      </c>
      <c r="Y555" s="101">
        <f t="shared" ca="1" si="105"/>
        <v>0</v>
      </c>
      <c r="Z555" s="133" t="str">
        <f>IF(TYPE((VLOOKUP(Первоначальный[[#This Row],[Дата платежа]],График[Срок конец],1,0)))=16,"",1)</f>
        <v/>
      </c>
      <c r="AA555" s="57"/>
      <c r="AB555" s="134"/>
      <c r="AC55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5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38334.589999999938</v>
      </c>
      <c r="AE55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892.57000000000107</v>
      </c>
      <c r="AF55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5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51913.21997868875</v>
      </c>
      <c r="AH555" s="55"/>
      <c r="AI555" s="55"/>
      <c r="AJ555" s="55"/>
      <c r="AK555" s="101">
        <f t="shared" ca="1" si="106"/>
        <v>240773.71997868869</v>
      </c>
      <c r="AL555" s="129">
        <f t="array" ref="AL555">MAX((УслРестрактов[Характеристика]="Дата реструктуризации")*(УслРестрактов[Значение]=Первоначальный!$A555),0)</f>
        <v>0</v>
      </c>
    </row>
    <row r="556" spans="1:38" x14ac:dyDescent="0.25">
      <c r="A556" s="97">
        <f t="shared" si="99"/>
        <v>44687</v>
      </c>
      <c r="B556" s="100">
        <f t="shared" ca="1" si="100"/>
        <v>149633.34</v>
      </c>
      <c r="C556" s="55">
        <f t="shared" ca="1" si="108"/>
        <v>38334.589999999938</v>
      </c>
      <c r="D556" s="55">
        <f t="shared" ca="1" si="108"/>
        <v>892.57000000000107</v>
      </c>
      <c r="E556" s="55">
        <f t="shared" ca="1" si="101"/>
        <v>0</v>
      </c>
      <c r="F556" s="55">
        <f t="shared" ca="1" si="102"/>
        <v>51913.21997868875</v>
      </c>
      <c r="G556" s="101">
        <f t="shared" ca="1" si="103"/>
        <v>240773.71997868869</v>
      </c>
      <c r="H556" s="100">
        <f ca="1">ROUND($B556*VLOOKUP($A556,$A$1:$B$10,2,1)/(365+IF(MOD(YEAR($A556),4),0,1)*($A556-$A555)),2)-Первоначальный[[#This Row],[Проценты на просроченный платеж по ОД за период]]</f>
        <v>77.69</v>
      </c>
      <c r="I556" s="55">
        <f t="shared" ca="1" si="104"/>
        <v>3.89</v>
      </c>
      <c r="J556" s="55">
        <v>0</v>
      </c>
      <c r="K556" s="55">
        <f t="shared" ca="1" si="107"/>
        <v>217.20850327868848</v>
      </c>
      <c r="L556" s="55">
        <v>0</v>
      </c>
      <c r="M556" s="113">
        <f>SUMIFS(График[Возврат основной суммы долга],График[Дата с учетом нерабочих дней],$A556)</f>
        <v>0</v>
      </c>
      <c r="N556" s="56">
        <f>SUMIFS(График[Возврат начисленных %],График[Дата с учетом нерабочих дней],$A556)</f>
        <v>0</v>
      </c>
      <c r="O556" s="101">
        <v>0</v>
      </c>
      <c r="P556" s="100" cm="1">
        <f t="array" aca="1" ref="P556" ca="1">MAX(IF(AA555="Да",0,SUM(INDIRECT("M"&amp;(MAX(("Да"=AA$12:AA555)*ROW(AA$12:AA555)+1,ROW($P$12))&amp;":M"&amp;(ROW()))))-SUM(INDIRECT("W"&amp;(MAX(("Да"=AA$12:AA555)*ROW(AA$12:AA555)+1,ROW($P$12))&amp;":W"&amp;(ROW()))))),0)</f>
        <v>7129.2099999999991</v>
      </c>
      <c r="Q556" s="99">
        <f ca="1">MAX(SUM($N$13:N556)-SUM($T$13:T556),0)</f>
        <v>36312.490655737696</v>
      </c>
      <c r="R556" s="99">
        <f ca="1">Первоначальный[[#This Row],[Просроченный платеж по ОД]]+Первоначальный[[#This Row],[Просроченный платеж по процентам]]</f>
        <v>43441.700655737695</v>
      </c>
      <c r="S556" s="120">
        <f ca="1">IF(Первоначальный[[#This Row],[Просроченный платеж]]&lt;1,0,S555+1)</f>
        <v>452</v>
      </c>
      <c r="T556" s="100" cm="1">
        <f t="array" aca="1" ref="T556" ca="1">IF(Первоначальный[[#This Row],[Итого остаток на начало периода]]&lt;1,0,
IF(
AND(TYPE(VLOOKUP(1,$Z$12:Z556,1,0))=16,Первоначальный[[#This Row],[Досрочное погашение (да/"")]]=""),0,
_xlfn.IFS(AND(S555=0,Первоначальный[[#This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платеж]]&lt;&gt;0),MIN(LOOKUP(,-1/($Z$12:Z556=1),$C$12:C556)+LOOKUP(,-1/($Z$12:Z556=1),$H$12:H556),Первоначальный[[#This Row],[Полученный платеж]]+Y555),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платеж]]+Y555,SUM(Первоначальный[[#This Row],[Остаток процентов на начало периода]],Первоначальный[[#This Row],[Проценты за период]])),
AND(S555=0,Первоначальный[[#This Row],[Дата платежа из графика]]=""),0,
AND(S555=0,Первоначальный[[#This Row],[Дата платежа из графика]]=1,MAX((0&lt;&gt;S$12:S555)*ROW(S$12:S555),ROW($S$12))&gt;=MAX((1=Z$12:Z555)*ROW(Z$12:Z555),ROW($T$12)),TYPE(VLOOKUP("Да",(INDIRECT("AA"&amp;(MAX((1=Z$12:Z555)*ROW(Z$12:Z555),ROW($T$12))&amp;":AA"&amp;(ROW()-1)))),1,0))=16),MIN(LOOKUP(,-1/($Z$12:Z556=1),$C$12:C556)+LOOKUP(,-1/($Z$12:Z556=1),$H$12:H556),Первоначальный[[#This Row],[Полученный платеж]]+Y555),
AND(S555=0,TYPE(VLOOKUP("Да",(INDIRECT("AA"&amp;(MAX((1=Z$12:Z555)*ROW(Z$12:Z555),ROW($T$12))&amp;":AA"&amp;(ROW()-1)))),1,0))&lt;&gt;16),MIN(LOOKUP(,-1/($Z$12:Z556=1),$C$12:C556)+LOOKUP(,-1/($Z$12:Z556=1),$H$12:H556)-IF(AA555="Да",0,SUM(INDIRECT("T"&amp;(MAX(("Да"=AA$12:AA555)*ROW(AA$12:AA555)+1,ROW($T$12))&amp;":T"&amp;(ROW()-1))))),Первоначальный[[#This Row],[Полученный платеж]]+Y555),
AND(S555=0,MAX((0&lt;&gt;N$12:N555)*ROW(N$12:N555),ROW($S$12))&gt;=MAX((1=Z$12:Z555)*ROW(Z$12:Z555),ROW($T$12))),MIN(LOOKUP(,-1/($Z$12:Z556=1),$C$12:C556)+LOOKUP(,-1/($Z$12:Z556=1),$H$12:H556)-IF(N555&lt;&gt;0,0,SUM(INDIRECT("T"&amp;(MAX((0&lt;&gt;N$12:N555)*ROW(N$12:N555)+1,ROW($T$12))&amp;":T"&amp;(ROW()-1))))),Первоначальный[[#This Row],[Полученный платеж]]+Y555),
AND(S555=0,Первоначальный[[#This Row],[Дата платежа из графика]]=1),MIN(LOOKUP(,-1/($Z$12:Z556=1),$C$12:C556)+LOOKUP(,-1/($Z$12:Z556=1),$H$12:H556)-IF(Z555=1,0,SUM(INDIRECT("T"&amp;(MAX((1=Z$12:Z555)*ROW(Z$12:Z555)+1,ROW($T$12))&amp;":T"&amp;(ROW()-1))))),Первоначальный[[#This Row],[Полученный платеж]]+Y555),
AND(Z555&gt;0,Первоначальный[[#This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платеж]]+Y555),
AND(S555&gt;0,MAX((0&lt;&gt;S$12:S555)*ROW(S$12:S555),ROW($S$12))&gt;=MAX((1=Z$12:Z555)*ROW(Z$12:Z555),ROW($T$12)),TYPE(VLOOKUP("Да",(INDIRECT("AA"&amp;(MAX((1=Z$12:Z555)*ROW(Z$12:Z555),ROW($T$12))&amp;":AA"&amp;(ROW()-1)))),1,0))=16),MIN(LOOKUP(,-1/($Z$12:Z556=1),$C$12:C556)+LOOKUP(,-1/($Z$12:Z556=1),$H$12:H556)-SUM(INDIRECT("T"&amp;(MAX((1=Z$12:Z555)*ROW(Z$12:Z555),ROW($T$12))&amp;":T"&amp;(ROW()-1)))),Первоначальный[[#This Row],[Полученный платеж]]+Y555),
S555&gt;0,MIN(LOOKUP(,-1/($Z$12:Z556=1),$C$12:C556)+LOOKUP(,-1/($Z$12:Z556=1),$H$12:H556)-IF(Z555=1,0,SUM(INDIRECT("T"&amp;(MAX((1=Z$12:Z555)*ROW(Z$12:Z555)+1,ROW($T$12))&amp;":T"&amp;(ROW()-1))))),Первоначальный[[#This Row],[Полученный платеж]]+Y555)
)
)
)</f>
        <v>0</v>
      </c>
      <c r="U55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платеж]]+Y555-Первоначальный[[#This Row],[Полученный платёж по процентам]])</f>
        <v>0</v>
      </c>
      <c r="V556" s="55">
        <f t="shared" ca="1" si="97"/>
        <v>0</v>
      </c>
      <c r="W556" s="55" cm="1">
        <f t="array" aca="1" ref="W556" ca="1">IF(Первоначальный[[#This Row],[Итого остаток на начало периода]]&lt;1,0,
_xlfn.IFS(
AND(TYPE(VLOOKUP(1,$Z$12:Z556,1,0))=16,Первоначальный[[#This Row],[Досрочное погашение (да/"")]]=""),0,
AND(S555=0,Первоначальный[[#This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платеж]]+Y555-SUM(Первоначальный[[#This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комиссиям]]),VLOOKUP(LOOKUP(,-1/($Z$12:Z556=1),$A$12:A556),График[[Срок конец]:[Возврат основной суммы долга]],3,0)),
AND(S555=0,Первоначальный[[#This Row],[Дата платежа из графика]]="",Первоначальный[[#This Row],[Досрочное погашение (да/"")]]&lt;&gt;"Да"),0,
AND(S555=0,Первоначальный[[#This Row],[Досрочное погашение (да/"")]]=""),MIN(Первоначальный[[#This Row],[Полученный платеж]]+Y555-SUM(Первоначальный[[#This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комиссиям]]),VLOOKUP(LOOKUP(,-1/($Z$12:Z556=1),$A$12:A556),График[[Срок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платеж]]+Y555-SUM(Первоначальный[[#This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S555&gt;0,MIN(Первоначальный[[#This Row],[Полученный платеж]]+Y555-SUM(Первоначальный[[#This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комиссиям]]),SUM(INDIRECT("M"&amp;(MAX((1=S$12:S555)*ROW(S$12:S555),ROW($W$12))&amp;":M"&amp;(ROW()))))-SUM(INDIRECT("W"&amp;(MAX((1=S$12:S555)*ROW(S$12:S555),ROW($W$12))&amp;":W"&amp;(ROW()-1)))))
)
)</f>
        <v>0</v>
      </c>
      <c r="X556" s="55">
        <f t="shared" ca="1" si="98"/>
        <v>0</v>
      </c>
      <c r="Y556" s="101">
        <f t="shared" ca="1" si="105"/>
        <v>0</v>
      </c>
      <c r="Z556" s="133" t="str">
        <f>IF(TYPE((VLOOKUP(Первоначальный[[#This Row],[Дата платежа]],График[Срок конец],1,0)))=16,"",1)</f>
        <v/>
      </c>
      <c r="AA556" s="57"/>
      <c r="AB556" s="134"/>
      <c r="AC55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5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38412.279999999941</v>
      </c>
      <c r="AE55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896.46000000000106</v>
      </c>
      <c r="AF55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5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52130.428481967436</v>
      </c>
      <c r="AH556" s="55"/>
      <c r="AI556" s="55"/>
      <c r="AJ556" s="55"/>
      <c r="AK556" s="101">
        <f t="shared" ca="1" si="106"/>
        <v>241072.50848196738</v>
      </c>
      <c r="AL556" s="129">
        <f t="array" ref="AL556">MAX((УслРестрактов[Характеристика]="Дата реструктуризации")*(УслРестрактов[Значение]=Первоначальный!$A556),0)</f>
        <v>0</v>
      </c>
    </row>
    <row r="557" spans="1:38" x14ac:dyDescent="0.25">
      <c r="A557" s="97">
        <f t="shared" si="99"/>
        <v>44688</v>
      </c>
      <c r="B557" s="100">
        <f t="shared" ca="1" si="100"/>
        <v>149633.34</v>
      </c>
      <c r="C557" s="55">
        <f t="shared" ca="1" si="108"/>
        <v>38412.279999999941</v>
      </c>
      <c r="D557" s="55">
        <f t="shared" ca="1" si="108"/>
        <v>896.46000000000106</v>
      </c>
      <c r="E557" s="55">
        <f t="shared" ca="1" si="101"/>
        <v>0</v>
      </c>
      <c r="F557" s="55">
        <f t="shared" ca="1" si="102"/>
        <v>52130.428481967436</v>
      </c>
      <c r="G557" s="101">
        <f t="shared" ca="1" si="103"/>
        <v>241072.50848196738</v>
      </c>
      <c r="H557" s="100">
        <f ca="1">ROUND($B557*VLOOKUP($A557,$A$1:$B$10,2,1)/(365+IF(MOD(YEAR($A557),4),0,1)*($A557-$A556)),2)-Первоначальный[[#This Row],[Проценты на просроченный платеж по ОД за период]]</f>
        <v>77.69</v>
      </c>
      <c r="I557" s="55">
        <f t="shared" ca="1" si="104"/>
        <v>3.89</v>
      </c>
      <c r="J557" s="55">
        <v>0</v>
      </c>
      <c r="K557" s="55">
        <f t="shared" ca="1" si="107"/>
        <v>217.20850327868848</v>
      </c>
      <c r="L557" s="55">
        <v>0</v>
      </c>
      <c r="M557" s="113">
        <f>SUMIFS(График[Возврат основной суммы долга],График[Дата с учетом нерабочих дней],$A557)</f>
        <v>0</v>
      </c>
      <c r="N557" s="56">
        <f>SUMIFS(График[Возврат начисленных %],График[Дата с учетом нерабочих дней],$A557)</f>
        <v>0</v>
      </c>
      <c r="O557" s="101">
        <v>0</v>
      </c>
      <c r="P557" s="100" cm="1">
        <f t="array" aca="1" ref="P557" ca="1">MAX(IF(AA556="Да",0,SUM(INDIRECT("M"&amp;(MAX(("Да"=AA$12:AA556)*ROW(AA$12:AA556)+1,ROW($P$12))&amp;":M"&amp;(ROW()))))-SUM(INDIRECT("W"&amp;(MAX(("Да"=AA$12:AA556)*ROW(AA$12:AA556)+1,ROW($P$12))&amp;":W"&amp;(ROW()))))),0)</f>
        <v>7129.2099999999991</v>
      </c>
      <c r="Q557" s="99">
        <f ca="1">MAX(SUM($N$13:N557)-SUM($T$13:T557),0)</f>
        <v>36312.490655737696</v>
      </c>
      <c r="R557" s="99">
        <f ca="1">Первоначальный[[#This Row],[Просроченный платеж по ОД]]+Первоначальный[[#This Row],[Просроченный платеж по процентам]]</f>
        <v>43441.700655737695</v>
      </c>
      <c r="S557" s="120">
        <f ca="1">IF(Первоначальный[[#This Row],[Просроченный платеж]]&lt;1,0,S556+1)</f>
        <v>453</v>
      </c>
      <c r="T557" s="100" cm="1">
        <f t="array" aca="1" ref="T557" ca="1">IF(Первоначальный[[#This Row],[Итого остаток на начало периода]]&lt;1,0,
IF(
AND(TYPE(VLOOKUP(1,$Z$12:Z557,1,0))=16,Первоначальный[[#This Row],[Досрочное погашение (да/"")]]=""),0,
_xlfn.IFS(AND(S556=0,Первоначальный[[#This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платеж]]&lt;&gt;0),MIN(LOOKUP(,-1/($Z$12:Z557=1),$C$12:C557)+LOOKUP(,-1/($Z$12:Z557=1),$H$12:H557),Первоначальный[[#This Row],[Полученный платеж]]+Y556),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платеж]]+Y556,SUM(Первоначальный[[#This Row],[Остаток процентов на начало периода]],Первоначальный[[#This Row],[Проценты за период]])),
AND(S556=0,Первоначальный[[#This Row],[Дата платежа из графика]]=""),0,
AND(S556=0,Первоначальный[[#This Row],[Дата платежа из графика]]=1,MAX((0&lt;&gt;S$12:S556)*ROW(S$12:S556),ROW($S$12))&gt;=MAX((1=Z$12:Z556)*ROW(Z$12:Z556),ROW($T$12)),TYPE(VLOOKUP("Да",(INDIRECT("AA"&amp;(MAX((1=Z$12:Z556)*ROW(Z$12:Z556),ROW($T$12))&amp;":AA"&amp;(ROW()-1)))),1,0))=16),MIN(LOOKUP(,-1/($Z$12:Z557=1),$C$12:C557)+LOOKUP(,-1/($Z$12:Z557=1),$H$12:H557),Первоначальный[[#This Row],[Полученный платеж]]+Y556),
AND(S556=0,TYPE(VLOOKUP("Да",(INDIRECT("AA"&amp;(MAX((1=Z$12:Z556)*ROW(Z$12:Z556),ROW($T$12))&amp;":AA"&amp;(ROW()-1)))),1,0))&lt;&gt;16),MIN(LOOKUP(,-1/($Z$12:Z557=1),$C$12:C557)+LOOKUP(,-1/($Z$12:Z557=1),$H$12:H557)-IF(AA556="Да",0,SUM(INDIRECT("T"&amp;(MAX(("Да"=AA$12:AA556)*ROW(AA$12:AA556)+1,ROW($T$12))&amp;":T"&amp;(ROW()-1))))),Первоначальный[[#This Row],[Полученный платеж]]+Y556),
AND(S556=0,MAX((0&lt;&gt;N$12:N556)*ROW(N$12:N556),ROW($S$12))&gt;=MAX((1=Z$12:Z556)*ROW(Z$12:Z556),ROW($T$12))),MIN(LOOKUP(,-1/($Z$12:Z557=1),$C$12:C557)+LOOKUP(,-1/($Z$12:Z557=1),$H$12:H557)-IF(N556&lt;&gt;0,0,SUM(INDIRECT("T"&amp;(MAX((0&lt;&gt;N$12:N556)*ROW(N$12:N556)+1,ROW($T$12))&amp;":T"&amp;(ROW()-1))))),Первоначальный[[#This Row],[Полученный платеж]]+Y556),
AND(S556=0,Первоначальный[[#This Row],[Дата платежа из графика]]=1),MIN(LOOKUP(,-1/($Z$12:Z557=1),$C$12:C557)+LOOKUP(,-1/($Z$12:Z557=1),$H$12:H557)-IF(Z556=1,0,SUM(INDIRECT("T"&amp;(MAX((1=Z$12:Z556)*ROW(Z$12:Z556)+1,ROW($T$12))&amp;":T"&amp;(ROW()-1))))),Первоначальный[[#This Row],[Полученный платеж]]+Y556),
AND(Z556&gt;0,Первоначальный[[#This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платеж]]+Y556),
AND(S556&gt;0,MAX((0&lt;&gt;S$12:S556)*ROW(S$12:S556),ROW($S$12))&gt;=MAX((1=Z$12:Z556)*ROW(Z$12:Z556),ROW($T$12)),TYPE(VLOOKUP("Да",(INDIRECT("AA"&amp;(MAX((1=Z$12:Z556)*ROW(Z$12:Z556),ROW($T$12))&amp;":AA"&amp;(ROW()-1)))),1,0))=16),MIN(LOOKUP(,-1/($Z$12:Z557=1),$C$12:C557)+LOOKUP(,-1/($Z$12:Z557=1),$H$12:H557)-SUM(INDIRECT("T"&amp;(MAX((1=Z$12:Z556)*ROW(Z$12:Z556),ROW($T$12))&amp;":T"&amp;(ROW()-1)))),Первоначальный[[#This Row],[Полученный платеж]]+Y556),
S556&gt;0,MIN(LOOKUP(,-1/($Z$12:Z557=1),$C$12:C557)+LOOKUP(,-1/($Z$12:Z557=1),$H$12:H557)-IF(Z556=1,0,SUM(INDIRECT("T"&amp;(MAX((1=Z$12:Z556)*ROW(Z$12:Z556)+1,ROW($T$12))&amp;":T"&amp;(ROW()-1))))),Первоначальный[[#This Row],[Полученный платеж]]+Y556)
)
)
)</f>
        <v>0</v>
      </c>
      <c r="U55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платеж]]+Y556-Первоначальный[[#This Row],[Полученный платёж по процентам]])</f>
        <v>0</v>
      </c>
      <c r="V557" s="55">
        <f t="shared" ca="1" si="97"/>
        <v>0</v>
      </c>
      <c r="W557" s="55" cm="1">
        <f t="array" aca="1" ref="W557" ca="1">IF(Первоначальный[[#This Row],[Итого остаток на начало периода]]&lt;1,0,
_xlfn.IFS(
AND(TYPE(VLOOKUP(1,$Z$12:Z557,1,0))=16,Первоначальный[[#This Row],[Досрочное погашение (да/"")]]=""),0,
AND(S556=0,Первоначальный[[#This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платеж]]+Y556-SUM(Первоначальный[[#This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комиссиям]]),VLOOKUP(LOOKUP(,-1/($Z$12:Z557=1),$A$12:A557),График[[Срок конец]:[Возврат основной суммы долга]],3,0)),
AND(S556=0,Первоначальный[[#This Row],[Дата платежа из графика]]="",Первоначальный[[#This Row],[Досрочное погашение (да/"")]]&lt;&gt;"Да"),0,
AND(S556=0,Первоначальный[[#This Row],[Досрочное погашение (да/"")]]=""),MIN(Первоначальный[[#This Row],[Полученный платеж]]+Y556-SUM(Первоначальный[[#This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комиссиям]]),VLOOKUP(LOOKUP(,-1/($Z$12:Z557=1),$A$12:A557),График[[Срок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платеж]]+Y556-SUM(Первоначальный[[#This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S556&gt;0,MIN(Первоначальный[[#This Row],[Полученный платеж]]+Y556-SUM(Первоначальный[[#This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комиссиям]]),SUM(INDIRECT("M"&amp;(MAX((1=S$12:S556)*ROW(S$12:S556),ROW($W$12))&amp;":M"&amp;(ROW()))))-SUM(INDIRECT("W"&amp;(MAX((1=S$12:S556)*ROW(S$12:S556),ROW($W$12))&amp;":W"&amp;(ROW()-1)))))
)
)</f>
        <v>0</v>
      </c>
      <c r="X557" s="55">
        <f t="shared" ca="1" si="98"/>
        <v>0</v>
      </c>
      <c r="Y557" s="101">
        <f t="shared" ca="1" si="105"/>
        <v>0</v>
      </c>
      <c r="Z557" s="133" t="str">
        <f>IF(TYPE((VLOOKUP(Первоначальный[[#This Row],[Дата платежа]],График[Срок конец],1,0)))=16,"",1)</f>
        <v/>
      </c>
      <c r="AA557" s="57"/>
      <c r="AB557" s="134"/>
      <c r="AC55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5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38489.969999999943</v>
      </c>
      <c r="AE55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900.35000000000105</v>
      </c>
      <c r="AF55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5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52347.636985246121</v>
      </c>
      <c r="AH557" s="55"/>
      <c r="AI557" s="55"/>
      <c r="AJ557" s="55"/>
      <c r="AK557" s="101">
        <f t="shared" ca="1" si="106"/>
        <v>241371.29698524607</v>
      </c>
      <c r="AL557" s="129">
        <f t="array" ref="AL557">MAX((УслРестрактов[Характеристика]="Дата реструктуризации")*(УслРестрактов[Значение]=Первоначальный!$A557),0)</f>
        <v>0</v>
      </c>
    </row>
    <row r="558" spans="1:38" x14ac:dyDescent="0.25">
      <c r="A558" s="97">
        <f t="shared" si="99"/>
        <v>44689</v>
      </c>
      <c r="B558" s="100">
        <f t="shared" ca="1" si="100"/>
        <v>149633.34</v>
      </c>
      <c r="C558" s="55">
        <f t="shared" ca="1" si="108"/>
        <v>38489.969999999943</v>
      </c>
      <c r="D558" s="55">
        <f t="shared" ca="1" si="108"/>
        <v>900.35000000000105</v>
      </c>
      <c r="E558" s="55">
        <f t="shared" ca="1" si="101"/>
        <v>0</v>
      </c>
      <c r="F558" s="55">
        <f t="shared" ca="1" si="102"/>
        <v>52347.636985246121</v>
      </c>
      <c r="G558" s="101">
        <f t="shared" ca="1" si="103"/>
        <v>241371.29698524607</v>
      </c>
      <c r="H558" s="100">
        <f ca="1">ROUND($B558*VLOOKUP($A558,$A$1:$B$10,2,1)/(365+IF(MOD(YEAR($A558),4),0,1)*($A558-$A557)),2)-Первоначальный[[#This Row],[Проценты на просроченный платеж по ОД за период]]</f>
        <v>77.69</v>
      </c>
      <c r="I558" s="55">
        <f t="shared" ca="1" si="104"/>
        <v>3.89</v>
      </c>
      <c r="J558" s="55">
        <v>0</v>
      </c>
      <c r="K558" s="55">
        <f t="shared" ca="1" si="107"/>
        <v>217.20850327868848</v>
      </c>
      <c r="L558" s="55">
        <v>0</v>
      </c>
      <c r="M558" s="113">
        <f>SUMIFS(График[Возврат основной суммы долга],График[Дата с учетом нерабочих дней],$A558)</f>
        <v>0</v>
      </c>
      <c r="N558" s="56">
        <f>SUMIFS(График[Возврат начисленных %],График[Дата с учетом нерабочих дней],$A558)</f>
        <v>0</v>
      </c>
      <c r="O558" s="101">
        <v>0</v>
      </c>
      <c r="P558" s="100" cm="1">
        <f t="array" aca="1" ref="P558" ca="1">MAX(IF(AA557="Да",0,SUM(INDIRECT("M"&amp;(MAX(("Да"=AA$12:AA557)*ROW(AA$12:AA557)+1,ROW($P$12))&amp;":M"&amp;(ROW()))))-SUM(INDIRECT("W"&amp;(MAX(("Да"=AA$12:AA557)*ROW(AA$12:AA557)+1,ROW($P$12))&amp;":W"&amp;(ROW()))))),0)</f>
        <v>7129.2099999999991</v>
      </c>
      <c r="Q558" s="99">
        <f ca="1">MAX(SUM($N$13:N558)-SUM($T$13:T558),0)</f>
        <v>36312.490655737696</v>
      </c>
      <c r="R558" s="99">
        <f ca="1">Первоначальный[[#This Row],[Просроченный платеж по ОД]]+Первоначальный[[#This Row],[Просроченный платеж по процентам]]</f>
        <v>43441.700655737695</v>
      </c>
      <c r="S558" s="120">
        <f ca="1">IF(Первоначальный[[#This Row],[Просроченный платеж]]&lt;1,0,S557+1)</f>
        <v>454</v>
      </c>
      <c r="T558" s="100" cm="1">
        <f t="array" aca="1" ref="T558" ca="1">IF(Первоначальный[[#This Row],[Итого остаток на начало периода]]&lt;1,0,
IF(
AND(TYPE(VLOOKUP(1,$Z$12:Z558,1,0))=16,Первоначальный[[#This Row],[Досрочное погашение (да/"")]]=""),0,
_xlfn.IFS(AND(S557=0,Первоначальный[[#This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платеж]]&lt;&gt;0),MIN(LOOKUP(,-1/($Z$12:Z558=1),$C$12:C558)+LOOKUP(,-1/($Z$12:Z558=1),$H$12:H558),Первоначальный[[#This Row],[Полученный платеж]]+Y557),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платеж]]+Y557,SUM(Первоначальный[[#This Row],[Остаток процентов на начало периода]],Первоначальный[[#This Row],[Проценты за период]])),
AND(S557=0,Первоначальный[[#This Row],[Дата платежа из графика]]=""),0,
AND(S557=0,Первоначальный[[#This Row],[Дата платежа из графика]]=1,MAX((0&lt;&gt;S$12:S557)*ROW(S$12:S557),ROW($S$12))&gt;=MAX((1=Z$12:Z557)*ROW(Z$12:Z557),ROW($T$12)),TYPE(VLOOKUP("Да",(INDIRECT("AA"&amp;(MAX((1=Z$12:Z557)*ROW(Z$12:Z557),ROW($T$12))&amp;":AA"&amp;(ROW()-1)))),1,0))=16),MIN(LOOKUP(,-1/($Z$12:Z558=1),$C$12:C558)+LOOKUP(,-1/($Z$12:Z558=1),$H$12:H558),Первоначальный[[#This Row],[Полученный платеж]]+Y557),
AND(S557=0,TYPE(VLOOKUP("Да",(INDIRECT("AA"&amp;(MAX((1=Z$12:Z557)*ROW(Z$12:Z557),ROW($T$12))&amp;":AA"&amp;(ROW()-1)))),1,0))&lt;&gt;16),MIN(LOOKUP(,-1/($Z$12:Z558=1),$C$12:C558)+LOOKUP(,-1/($Z$12:Z558=1),$H$12:H558)-IF(AA557="Да",0,SUM(INDIRECT("T"&amp;(MAX(("Да"=AA$12:AA557)*ROW(AA$12:AA557)+1,ROW($T$12))&amp;":T"&amp;(ROW()-1))))),Первоначальный[[#This Row],[Полученный платеж]]+Y557),
AND(S557=0,MAX((0&lt;&gt;N$12:N557)*ROW(N$12:N557),ROW($S$12))&gt;=MAX((1=Z$12:Z557)*ROW(Z$12:Z557),ROW($T$12))),MIN(LOOKUP(,-1/($Z$12:Z558=1),$C$12:C558)+LOOKUP(,-1/($Z$12:Z558=1),$H$12:H558)-IF(N557&lt;&gt;0,0,SUM(INDIRECT("T"&amp;(MAX((0&lt;&gt;N$12:N557)*ROW(N$12:N557)+1,ROW($T$12))&amp;":T"&amp;(ROW()-1))))),Первоначальный[[#This Row],[Полученный платеж]]+Y557),
AND(S557=0,Первоначальный[[#This Row],[Дата платежа из графика]]=1),MIN(LOOKUP(,-1/($Z$12:Z558=1),$C$12:C558)+LOOKUP(,-1/($Z$12:Z558=1),$H$12:H558)-IF(Z557=1,0,SUM(INDIRECT("T"&amp;(MAX((1=Z$12:Z557)*ROW(Z$12:Z557)+1,ROW($T$12))&amp;":T"&amp;(ROW()-1))))),Первоначальный[[#This Row],[Полученный платеж]]+Y557),
AND(Z557&gt;0,Первоначальный[[#This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платеж]]+Y557),
AND(S557&gt;0,MAX((0&lt;&gt;S$12:S557)*ROW(S$12:S557),ROW($S$12))&gt;=MAX((1=Z$12:Z557)*ROW(Z$12:Z557),ROW($T$12)),TYPE(VLOOKUP("Да",(INDIRECT("AA"&amp;(MAX((1=Z$12:Z557)*ROW(Z$12:Z557),ROW($T$12))&amp;":AA"&amp;(ROW()-1)))),1,0))=16),MIN(LOOKUP(,-1/($Z$12:Z558=1),$C$12:C558)+LOOKUP(,-1/($Z$12:Z558=1),$H$12:H558)-SUM(INDIRECT("T"&amp;(MAX((1=Z$12:Z557)*ROW(Z$12:Z557),ROW($T$12))&amp;":T"&amp;(ROW()-1)))),Первоначальный[[#This Row],[Полученный платеж]]+Y557),
S557&gt;0,MIN(LOOKUP(,-1/($Z$12:Z558=1),$C$12:C558)+LOOKUP(,-1/($Z$12:Z558=1),$H$12:H558)-IF(Z557=1,0,SUM(INDIRECT("T"&amp;(MAX((1=Z$12:Z557)*ROW(Z$12:Z557)+1,ROW($T$12))&amp;":T"&amp;(ROW()-1))))),Первоначальный[[#This Row],[Полученный платеж]]+Y557)
)
)
)</f>
        <v>0</v>
      </c>
      <c r="U55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платеж]]+Y557-Первоначальный[[#This Row],[Полученный платёж по процентам]])</f>
        <v>0</v>
      </c>
      <c r="V558" s="55">
        <f t="shared" ca="1" si="97"/>
        <v>0</v>
      </c>
      <c r="W558" s="55" cm="1">
        <f t="array" aca="1" ref="W558" ca="1">IF(Первоначальный[[#This Row],[Итого остаток на начало периода]]&lt;1,0,
_xlfn.IFS(
AND(TYPE(VLOOKUP(1,$Z$12:Z558,1,0))=16,Первоначальный[[#This Row],[Досрочное погашение (да/"")]]=""),0,
AND(S557=0,Первоначальный[[#This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платеж]]+Y557-SUM(Первоначальный[[#This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комиссиям]]),VLOOKUP(LOOKUP(,-1/($Z$12:Z558=1),$A$12:A558),График[[Срок конец]:[Возврат основной суммы долга]],3,0)),
AND(S557=0,Первоначальный[[#This Row],[Дата платежа из графика]]="",Первоначальный[[#This Row],[Досрочное погашение (да/"")]]&lt;&gt;"Да"),0,
AND(S557=0,Первоначальный[[#This Row],[Досрочное погашение (да/"")]]=""),MIN(Первоначальный[[#This Row],[Полученный платеж]]+Y557-SUM(Первоначальный[[#This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комиссиям]]),VLOOKUP(LOOKUP(,-1/($Z$12:Z558=1),$A$12:A558),График[[Срок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платеж]]+Y557-SUM(Первоначальный[[#This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S557&gt;0,MIN(Первоначальный[[#This Row],[Полученный платеж]]+Y557-SUM(Первоначальный[[#This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комиссиям]]),SUM(INDIRECT("M"&amp;(MAX((1=S$12:S557)*ROW(S$12:S557),ROW($W$12))&amp;":M"&amp;(ROW()))))-SUM(INDIRECT("W"&amp;(MAX((1=S$12:S557)*ROW(S$12:S557),ROW($W$12))&amp;":W"&amp;(ROW()-1)))))
)
)</f>
        <v>0</v>
      </c>
      <c r="X558" s="55">
        <f t="shared" ca="1" si="98"/>
        <v>0</v>
      </c>
      <c r="Y558" s="101">
        <f t="shared" ca="1" si="105"/>
        <v>0</v>
      </c>
      <c r="Z558" s="133" t="str">
        <f>IF(TYPE((VLOOKUP(Первоначальный[[#This Row],[Дата платежа]],График[Срок конец],1,0)))=16,"",1)</f>
        <v/>
      </c>
      <c r="AA558" s="57"/>
      <c r="AB558" s="134"/>
      <c r="AC55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5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38567.659999999945</v>
      </c>
      <c r="AE55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904.24000000000103</v>
      </c>
      <c r="AF55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5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52564.845488524807</v>
      </c>
      <c r="AH558" s="55"/>
      <c r="AI558" s="55"/>
      <c r="AJ558" s="55"/>
      <c r="AK558" s="101">
        <f t="shared" ca="1" si="106"/>
        <v>241670.08548852475</v>
      </c>
      <c r="AL558" s="129">
        <f t="array" ref="AL558">MAX((УслРестрактов[Характеристика]="Дата реструктуризации")*(УслРестрактов[Значение]=Первоначальный!$A558),0)</f>
        <v>0</v>
      </c>
    </row>
    <row r="559" spans="1:38" x14ac:dyDescent="0.25">
      <c r="A559" s="97">
        <f t="shared" si="99"/>
        <v>44690</v>
      </c>
      <c r="B559" s="100">
        <f t="shared" ca="1" si="100"/>
        <v>149633.34</v>
      </c>
      <c r="C559" s="55">
        <f t="shared" ca="1" si="108"/>
        <v>38567.659999999945</v>
      </c>
      <c r="D559" s="55">
        <f t="shared" ca="1" si="108"/>
        <v>904.24000000000103</v>
      </c>
      <c r="E559" s="55">
        <f t="shared" ca="1" si="101"/>
        <v>0</v>
      </c>
      <c r="F559" s="55">
        <f t="shared" ca="1" si="102"/>
        <v>52564.845488524807</v>
      </c>
      <c r="G559" s="101">
        <f t="shared" ca="1" si="103"/>
        <v>241670.08548852475</v>
      </c>
      <c r="H559" s="100">
        <f ca="1">ROUND($B559*VLOOKUP($A559,$A$1:$B$10,2,1)/(365+IF(MOD(YEAR($A559),4),0,1)*($A559-$A558)),2)-Первоначальный[[#This Row],[Проценты на просроченный платеж по ОД за период]]</f>
        <v>77.69</v>
      </c>
      <c r="I559" s="55">
        <f t="shared" ca="1" si="104"/>
        <v>3.89</v>
      </c>
      <c r="J559" s="55">
        <v>0</v>
      </c>
      <c r="K559" s="55">
        <f t="shared" ca="1" si="107"/>
        <v>231.69350327868847</v>
      </c>
      <c r="L559" s="55">
        <v>0</v>
      </c>
      <c r="M559" s="113">
        <f>SUMIFS(График[Возврат основной суммы долга],График[Дата с учетом нерабочих дней],$A559)</f>
        <v>566.17999999999984</v>
      </c>
      <c r="N559" s="56">
        <f>SUMIFS(График[Возврат начисленных %],График[Дата с учетом нерабочих дней],$A559)</f>
        <v>2330.8200000000002</v>
      </c>
      <c r="O559" s="101">
        <v>0</v>
      </c>
      <c r="P559" s="100" cm="1">
        <f t="array" aca="1" ref="P559" ca="1">MAX(IF(AA558="Да",0,SUM(INDIRECT("M"&amp;(MAX(("Да"=AA$12:AA558)*ROW(AA$12:AA558)+1,ROW($P$12))&amp;":M"&amp;(ROW()))))-SUM(INDIRECT("W"&amp;(MAX(("Да"=AA$12:AA558)*ROW(AA$12:AA558)+1,ROW($P$12))&amp;":W"&amp;(ROW()))))),0)</f>
        <v>7695.3899999999994</v>
      </c>
      <c r="Q559" s="99">
        <f ca="1">MAX(SUM($N$13:N559)-SUM($T$13:T559),0)</f>
        <v>38643.310655737696</v>
      </c>
      <c r="R559" s="99">
        <f ca="1">Первоначальный[[#This Row],[Просроченный платеж по ОД]]+Первоначальный[[#This Row],[Просроченный платеж по процентам]]</f>
        <v>46338.700655737695</v>
      </c>
      <c r="S559" s="120">
        <f ca="1">IF(Первоначальный[[#This Row],[Просроченный платеж]]&lt;1,0,S558+1)</f>
        <v>455</v>
      </c>
      <c r="T559" s="100" cm="1">
        <f t="array" aca="1" ref="T559" ca="1">IF(Первоначальный[[#This Row],[Итого остаток на начало периода]]&lt;1,0,
IF(
AND(TYPE(VLOOKUP(1,$Z$12:Z559,1,0))=16,Первоначальный[[#This Row],[Досрочное погашение (да/"")]]=""),0,
_xlfn.IFS(AND(S558=0,Первоначальный[[#This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платеж]]&lt;&gt;0),MIN(LOOKUP(,-1/($Z$12:Z559=1),$C$12:C559)+LOOKUP(,-1/($Z$12:Z559=1),$H$12:H559),Первоначальный[[#This Row],[Полученный платеж]]+Y558),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платеж]]+Y558,SUM(Первоначальный[[#This Row],[Остаток процентов на начало периода]],Первоначальный[[#This Row],[Проценты за период]])),
AND(S558=0,Первоначальный[[#This Row],[Дата платежа из графика]]=""),0,
AND(S558=0,Первоначальный[[#This Row],[Дата платежа из графика]]=1,MAX((0&lt;&gt;S$12:S558)*ROW(S$12:S558),ROW($S$12))&gt;=MAX((1=Z$12:Z558)*ROW(Z$12:Z558),ROW($T$12)),TYPE(VLOOKUP("Да",(INDIRECT("AA"&amp;(MAX((1=Z$12:Z558)*ROW(Z$12:Z558),ROW($T$12))&amp;":AA"&amp;(ROW()-1)))),1,0))=16),MIN(LOOKUP(,-1/($Z$12:Z559=1),$C$12:C559)+LOOKUP(,-1/($Z$12:Z559=1),$H$12:H559),Первоначальный[[#This Row],[Полученный платеж]]+Y558),
AND(S558=0,TYPE(VLOOKUP("Да",(INDIRECT("AA"&amp;(MAX((1=Z$12:Z558)*ROW(Z$12:Z558),ROW($T$12))&amp;":AA"&amp;(ROW()-1)))),1,0))&lt;&gt;16),MIN(LOOKUP(,-1/($Z$12:Z559=1),$C$12:C559)+LOOKUP(,-1/($Z$12:Z559=1),$H$12:H559)-IF(AA558="Да",0,SUM(INDIRECT("T"&amp;(MAX(("Да"=AA$12:AA558)*ROW(AA$12:AA558)+1,ROW($T$12))&amp;":T"&amp;(ROW()-1))))),Первоначальный[[#This Row],[Полученный платеж]]+Y558),
AND(S558=0,MAX((0&lt;&gt;N$12:N558)*ROW(N$12:N558),ROW($S$12))&gt;=MAX((1=Z$12:Z558)*ROW(Z$12:Z558),ROW($T$12))),MIN(LOOKUP(,-1/($Z$12:Z559=1),$C$12:C559)+LOOKUP(,-1/($Z$12:Z559=1),$H$12:H559)-IF(N558&lt;&gt;0,0,SUM(INDIRECT("T"&amp;(MAX((0&lt;&gt;N$12:N558)*ROW(N$12:N558)+1,ROW($T$12))&amp;":T"&amp;(ROW()-1))))),Первоначальный[[#This Row],[Полученный платеж]]+Y558),
AND(S558=0,Первоначальный[[#This Row],[Дата платежа из графика]]=1),MIN(LOOKUP(,-1/($Z$12:Z559=1),$C$12:C559)+LOOKUP(,-1/($Z$12:Z559=1),$H$12:H559)-IF(Z558=1,0,SUM(INDIRECT("T"&amp;(MAX((1=Z$12:Z558)*ROW(Z$12:Z558)+1,ROW($T$12))&amp;":T"&amp;(ROW()-1))))),Первоначальный[[#This Row],[Полученный платеж]]+Y558),
AND(Z558&gt;0,Первоначальный[[#This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платеж]]+Y558),
AND(S558&gt;0,MAX((0&lt;&gt;S$12:S558)*ROW(S$12:S558),ROW($S$12))&gt;=MAX((1=Z$12:Z558)*ROW(Z$12:Z558),ROW($T$12)),TYPE(VLOOKUP("Да",(INDIRECT("AA"&amp;(MAX((1=Z$12:Z558)*ROW(Z$12:Z558),ROW($T$12))&amp;":AA"&amp;(ROW()-1)))),1,0))=16),MIN(LOOKUP(,-1/($Z$12:Z559=1),$C$12:C559)+LOOKUP(,-1/($Z$12:Z559=1),$H$12:H559)-SUM(INDIRECT("T"&amp;(MAX((1=Z$12:Z558)*ROW(Z$12:Z558),ROW($T$12))&amp;":T"&amp;(ROW()-1)))),Первоначальный[[#This Row],[Полученный платеж]]+Y558),
S558&gt;0,MIN(LOOKUP(,-1/($Z$12:Z559=1),$C$12:C559)+LOOKUP(,-1/($Z$12:Z559=1),$H$12:H559)-IF(Z558=1,0,SUM(INDIRECT("T"&amp;(MAX((1=Z$12:Z558)*ROW(Z$12:Z558)+1,ROW($T$12))&amp;":T"&amp;(ROW()-1))))),Первоначальный[[#This Row],[Полученный платеж]]+Y558)
)
)
)</f>
        <v>0</v>
      </c>
      <c r="U55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платеж]]+Y558-Первоначальный[[#This Row],[Полученный платёж по процентам]])</f>
        <v>0</v>
      </c>
      <c r="V559" s="55">
        <f t="shared" ca="1" si="97"/>
        <v>0</v>
      </c>
      <c r="W559" s="55" cm="1">
        <f t="array" aca="1" ref="W559" ca="1">IF(Первоначальный[[#This Row],[Итого остаток на начало периода]]&lt;1,0,
_xlfn.IFS(
AND(TYPE(VLOOKUP(1,$Z$12:Z559,1,0))=16,Первоначальный[[#This Row],[Досрочное погашение (да/"")]]=""),0,
AND(S558=0,Первоначальный[[#This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платеж]]+Y558-SUM(Первоначальный[[#This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комиссиям]]),VLOOKUP(LOOKUP(,-1/($Z$12:Z559=1),$A$12:A559),График[[Срок конец]:[Возврат основной суммы долга]],3,0)),
AND(S558=0,Первоначальный[[#This Row],[Дата платежа из графика]]="",Первоначальный[[#This Row],[Досрочное погашение (да/"")]]&lt;&gt;"Да"),0,
AND(S558=0,Первоначальный[[#This Row],[Досрочное погашение (да/"")]]=""),MIN(Первоначальный[[#This Row],[Полученный платеж]]+Y558-SUM(Первоначальный[[#This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комиссиям]]),VLOOKUP(LOOKUP(,-1/($Z$12:Z559=1),$A$12:A559),График[[Срок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платеж]]+Y558-SUM(Первоначальный[[#This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S558&gt;0,MIN(Первоначальный[[#This Row],[Полученный платеж]]+Y558-SUM(Первоначальный[[#This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комиссиям]]),SUM(INDIRECT("M"&amp;(MAX((1=S$12:S558)*ROW(S$12:S558),ROW($W$12))&amp;":M"&amp;(ROW()))))-SUM(INDIRECT("W"&amp;(MAX((1=S$12:S558)*ROW(S$12:S558),ROW($W$12))&amp;":W"&amp;(ROW()-1)))))
)
)</f>
        <v>0</v>
      </c>
      <c r="X559" s="55">
        <f t="shared" ca="1" si="98"/>
        <v>0</v>
      </c>
      <c r="Y559" s="101">
        <f t="shared" ca="1" si="105"/>
        <v>0</v>
      </c>
      <c r="Z559" s="133">
        <f>IF(TYPE((VLOOKUP(Первоначальный[[#This Row],[Дата платежа]],График[Срок конец],1,0)))=16,"",1)</f>
        <v>1</v>
      </c>
      <c r="AA559" s="57"/>
      <c r="AB559" s="134"/>
      <c r="AC55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5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38645.349999999948</v>
      </c>
      <c r="AE55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908.13000000000102</v>
      </c>
      <c r="AF55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5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52796.538991803493</v>
      </c>
      <c r="AH559" s="55"/>
      <c r="AI559" s="55"/>
      <c r="AJ559" s="55"/>
      <c r="AK559" s="101">
        <f t="shared" ca="1" si="106"/>
        <v>241983.35899180343</v>
      </c>
      <c r="AL559" s="129">
        <f t="array" ref="AL559">MAX((УслРестрактов[Характеристика]="Дата реструктуризации")*(УслРестрактов[Значение]=Первоначальный!$A559),0)</f>
        <v>0</v>
      </c>
    </row>
    <row r="560" spans="1:38" x14ac:dyDescent="0.25">
      <c r="A560" s="97">
        <f t="shared" si="99"/>
        <v>44691</v>
      </c>
      <c r="B560" s="100">
        <f t="shared" ca="1" si="100"/>
        <v>149633.34</v>
      </c>
      <c r="C560" s="55">
        <f t="shared" ca="1" si="108"/>
        <v>38645.349999999948</v>
      </c>
      <c r="D560" s="55">
        <f t="shared" ca="1" si="108"/>
        <v>908.13000000000102</v>
      </c>
      <c r="E560" s="55">
        <f t="shared" ca="1" si="101"/>
        <v>0</v>
      </c>
      <c r="F560" s="55">
        <f t="shared" ca="1" si="102"/>
        <v>52796.538991803493</v>
      </c>
      <c r="G560" s="101">
        <f t="shared" ca="1" si="103"/>
        <v>241983.35899180343</v>
      </c>
      <c r="H560" s="100">
        <f ca="1">ROUND($B560*VLOOKUP($A560,$A$1:$B$10,2,1)/(365+IF(MOD(YEAR($A560),4),0,1)*($A560-$A559)),2)-Первоначальный[[#This Row],[Проценты на просроченный платеж по ОД за период]]</f>
        <v>77.38</v>
      </c>
      <c r="I560" s="55">
        <f t="shared" ca="1" si="104"/>
        <v>4.2</v>
      </c>
      <c r="J560" s="55">
        <v>0</v>
      </c>
      <c r="K560" s="55">
        <f t="shared" ca="1" si="107"/>
        <v>231.69350327868847</v>
      </c>
      <c r="L560" s="55">
        <v>0</v>
      </c>
      <c r="M560" s="113">
        <f>SUMIFS(График[Возврат основной суммы долга],График[Дата с учетом нерабочих дней],$A560)</f>
        <v>0</v>
      </c>
      <c r="N560" s="56">
        <f>SUMIFS(График[Возврат начисленных %],График[Дата с учетом нерабочих дней],$A560)</f>
        <v>0</v>
      </c>
      <c r="O560" s="101">
        <v>0</v>
      </c>
      <c r="P560" s="100" cm="1">
        <f t="array" aca="1" ref="P560" ca="1">MAX(IF(AA559="Да",0,SUM(INDIRECT("M"&amp;(MAX(("Да"=AA$12:AA559)*ROW(AA$12:AA559)+1,ROW($P$12))&amp;":M"&amp;(ROW()))))-SUM(INDIRECT("W"&amp;(MAX(("Да"=AA$12:AA559)*ROW(AA$12:AA559)+1,ROW($P$12))&amp;":W"&amp;(ROW()))))),0)</f>
        <v>7695.3899999999994</v>
      </c>
      <c r="Q560" s="99">
        <f ca="1">MAX(SUM($N$13:N560)-SUM($T$13:T560),0)</f>
        <v>38643.310655737696</v>
      </c>
      <c r="R560" s="99">
        <f ca="1">Первоначальный[[#This Row],[Просроченный платеж по ОД]]+Первоначальный[[#This Row],[Просроченный платеж по процентам]]</f>
        <v>46338.700655737695</v>
      </c>
      <c r="S560" s="120">
        <f ca="1">IF(Первоначальный[[#This Row],[Просроченный платеж]]&lt;1,0,S559+1)</f>
        <v>456</v>
      </c>
      <c r="T560" s="100" cm="1">
        <f t="array" aca="1" ref="T560" ca="1">IF(Первоначальный[[#This Row],[Итого остаток на начало периода]]&lt;1,0,
IF(
AND(TYPE(VLOOKUP(1,$Z$12:Z560,1,0))=16,Первоначальный[[#This Row],[Досрочное погашение (да/"")]]=""),0,
_xlfn.IFS(AND(S559=0,Первоначальный[[#This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платеж]]&lt;&gt;0),MIN(LOOKUP(,-1/($Z$12:Z560=1),$C$12:C560)+LOOKUP(,-1/($Z$12:Z560=1),$H$12:H560),Первоначальный[[#This Row],[Полученный платеж]]+Y559),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платеж]]+Y559,SUM(Первоначальный[[#This Row],[Остаток процентов на начало периода]],Первоначальный[[#This Row],[Проценты за период]])),
AND(S559=0,Первоначальный[[#This Row],[Дата платежа из графика]]=""),0,
AND(S559=0,Первоначальный[[#This Row],[Дата платежа из графика]]=1,MAX((0&lt;&gt;S$12:S559)*ROW(S$12:S559),ROW($S$12))&gt;=MAX((1=Z$12:Z559)*ROW(Z$12:Z559),ROW($T$12)),TYPE(VLOOKUP("Да",(INDIRECT("AA"&amp;(MAX((1=Z$12:Z559)*ROW(Z$12:Z559),ROW($T$12))&amp;":AA"&amp;(ROW()-1)))),1,0))=16),MIN(LOOKUP(,-1/($Z$12:Z560=1),$C$12:C560)+LOOKUP(,-1/($Z$12:Z560=1),$H$12:H560),Первоначальный[[#This Row],[Полученный платеж]]+Y559),
AND(S559=0,TYPE(VLOOKUP("Да",(INDIRECT("AA"&amp;(MAX((1=Z$12:Z559)*ROW(Z$12:Z559),ROW($T$12))&amp;":AA"&amp;(ROW()-1)))),1,0))&lt;&gt;16),MIN(LOOKUP(,-1/($Z$12:Z560=1),$C$12:C560)+LOOKUP(,-1/($Z$12:Z560=1),$H$12:H560)-IF(AA559="Да",0,SUM(INDIRECT("T"&amp;(MAX(("Да"=AA$12:AA559)*ROW(AA$12:AA559)+1,ROW($T$12))&amp;":T"&amp;(ROW()-1))))),Первоначальный[[#This Row],[Полученный платеж]]+Y559),
AND(S559=0,MAX((0&lt;&gt;N$12:N559)*ROW(N$12:N559),ROW($S$12))&gt;=MAX((1=Z$12:Z559)*ROW(Z$12:Z559),ROW($T$12))),MIN(LOOKUP(,-1/($Z$12:Z560=1),$C$12:C560)+LOOKUP(,-1/($Z$12:Z560=1),$H$12:H560)-IF(N559&lt;&gt;0,0,SUM(INDIRECT("T"&amp;(MAX((0&lt;&gt;N$12:N559)*ROW(N$12:N559)+1,ROW($T$12))&amp;":T"&amp;(ROW()-1))))),Первоначальный[[#This Row],[Полученный платеж]]+Y559),
AND(S559=0,Первоначальный[[#This Row],[Дата платежа из графика]]=1),MIN(LOOKUP(,-1/($Z$12:Z560=1),$C$12:C560)+LOOKUP(,-1/($Z$12:Z560=1),$H$12:H560)-IF(Z559=1,0,SUM(INDIRECT("T"&amp;(MAX((1=Z$12:Z559)*ROW(Z$12:Z559)+1,ROW($T$12))&amp;":T"&amp;(ROW()-1))))),Первоначальный[[#This Row],[Полученный платеж]]+Y559),
AND(Z559&gt;0,Первоначальный[[#This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платеж]]+Y559),
AND(S559&gt;0,MAX((0&lt;&gt;S$12:S559)*ROW(S$12:S559),ROW($S$12))&gt;=MAX((1=Z$12:Z559)*ROW(Z$12:Z559),ROW($T$12)),TYPE(VLOOKUP("Да",(INDIRECT("AA"&amp;(MAX((1=Z$12:Z559)*ROW(Z$12:Z559),ROW($T$12))&amp;":AA"&amp;(ROW()-1)))),1,0))=16),MIN(LOOKUP(,-1/($Z$12:Z560=1),$C$12:C560)+LOOKUP(,-1/($Z$12:Z560=1),$H$12:H560)-SUM(INDIRECT("T"&amp;(MAX((1=Z$12:Z559)*ROW(Z$12:Z559),ROW($T$12))&amp;":T"&amp;(ROW()-1)))),Первоначальный[[#This Row],[Полученный платеж]]+Y559),
S559&gt;0,MIN(LOOKUP(,-1/($Z$12:Z560=1),$C$12:C560)+LOOKUP(,-1/($Z$12:Z560=1),$H$12:H560)-IF(Z559=1,0,SUM(INDIRECT("T"&amp;(MAX((1=Z$12:Z559)*ROW(Z$12:Z559)+1,ROW($T$12))&amp;":T"&amp;(ROW()-1))))),Первоначальный[[#This Row],[Полученный платеж]]+Y559)
)
)
)</f>
        <v>0</v>
      </c>
      <c r="U56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платеж]]+Y559-Первоначальный[[#This Row],[Полученный платёж по процентам]])</f>
        <v>0</v>
      </c>
      <c r="V560" s="55">
        <f t="shared" ca="1" si="97"/>
        <v>0</v>
      </c>
      <c r="W560" s="55" cm="1">
        <f t="array" aca="1" ref="W560" ca="1">IF(Первоначальный[[#This Row],[Итого остаток на начало периода]]&lt;1,0,
_xlfn.IFS(
AND(TYPE(VLOOKUP(1,$Z$12:Z560,1,0))=16,Первоначальный[[#This Row],[Досрочное погашение (да/"")]]=""),0,
AND(S559=0,Первоначальный[[#This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платеж]]+Y559-SUM(Первоначальный[[#This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комиссиям]]),VLOOKUP(LOOKUP(,-1/($Z$12:Z560=1),$A$12:A560),График[[Срок конец]:[Возврат основной суммы долга]],3,0)),
AND(S559=0,Первоначальный[[#This Row],[Дата платежа из графика]]="",Первоначальный[[#This Row],[Досрочное погашение (да/"")]]&lt;&gt;"Да"),0,
AND(S559=0,Первоначальный[[#This Row],[Досрочное погашение (да/"")]]=""),MIN(Первоначальный[[#This Row],[Полученный платеж]]+Y559-SUM(Первоначальный[[#This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комиссиям]]),VLOOKUP(LOOKUP(,-1/($Z$12:Z560=1),$A$12:A560),График[[Срок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платеж]]+Y559-SUM(Первоначальный[[#This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S559&gt;0,MIN(Первоначальный[[#This Row],[Полученный платеж]]+Y559-SUM(Первоначальный[[#This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комиссиям]]),SUM(INDIRECT("M"&amp;(MAX((1=S$12:S559)*ROW(S$12:S559),ROW($W$12))&amp;":M"&amp;(ROW()))))-SUM(INDIRECT("W"&amp;(MAX((1=S$12:S559)*ROW(S$12:S559),ROW($W$12))&amp;":W"&amp;(ROW()-1)))))
)
)</f>
        <v>0</v>
      </c>
      <c r="X560" s="55">
        <f t="shared" ca="1" si="98"/>
        <v>0</v>
      </c>
      <c r="Y560" s="101">
        <f t="shared" ca="1" si="105"/>
        <v>0</v>
      </c>
      <c r="Z560" s="133" t="str">
        <f>IF(TYPE((VLOOKUP(Первоначальный[[#This Row],[Дата платежа]],График[Срок конец],1,0)))=16,"",1)</f>
        <v/>
      </c>
      <c r="AA560" s="57"/>
      <c r="AB560" s="134"/>
      <c r="AC56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6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38722.729999999945</v>
      </c>
      <c r="AE56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912.33000000000106</v>
      </c>
      <c r="AF56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6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53028.232495082179</v>
      </c>
      <c r="AH560" s="55"/>
      <c r="AI560" s="55"/>
      <c r="AJ560" s="55"/>
      <c r="AK560" s="101">
        <f t="shared" ca="1" si="106"/>
        <v>242296.6324950821</v>
      </c>
      <c r="AL560" s="129">
        <f t="array" ref="AL560">MAX((УслРестрактов[Характеристика]="Дата реструктуризации")*(УслРестрактов[Значение]=Первоначальный!$A560),0)</f>
        <v>0</v>
      </c>
    </row>
    <row r="561" spans="1:38" x14ac:dyDescent="0.25">
      <c r="A561" s="97">
        <f t="shared" si="99"/>
        <v>44692</v>
      </c>
      <c r="B561" s="100">
        <f t="shared" ca="1" si="100"/>
        <v>149633.34</v>
      </c>
      <c r="C561" s="55">
        <f t="shared" ca="1" si="108"/>
        <v>38722.729999999945</v>
      </c>
      <c r="D561" s="55">
        <f t="shared" ca="1" si="108"/>
        <v>912.33000000000106</v>
      </c>
      <c r="E561" s="55">
        <f t="shared" ca="1" si="101"/>
        <v>0</v>
      </c>
      <c r="F561" s="55">
        <f t="shared" ca="1" si="102"/>
        <v>53028.232495082179</v>
      </c>
      <c r="G561" s="101">
        <f t="shared" ca="1" si="103"/>
        <v>242296.6324950821</v>
      </c>
      <c r="H561" s="100">
        <f ca="1">ROUND($B561*VLOOKUP($A561,$A$1:$B$10,2,1)/(365+IF(MOD(YEAR($A561),4),0,1)*($A561-$A560)),2)-Первоначальный[[#This Row],[Проценты на просроченный платеж по ОД за период]]</f>
        <v>77.38</v>
      </c>
      <c r="I561" s="55">
        <f t="shared" ca="1" si="104"/>
        <v>4.2</v>
      </c>
      <c r="J561" s="55">
        <v>0</v>
      </c>
      <c r="K561" s="55">
        <f t="shared" ca="1" si="107"/>
        <v>231.69350327868847</v>
      </c>
      <c r="L561" s="55">
        <v>0</v>
      </c>
      <c r="M561" s="113">
        <f>SUMIFS(График[Возврат основной суммы долга],График[Дата с учетом нерабочих дней],$A561)</f>
        <v>0</v>
      </c>
      <c r="N561" s="56">
        <f>SUMIFS(График[Возврат начисленных %],График[Дата с учетом нерабочих дней],$A561)</f>
        <v>0</v>
      </c>
      <c r="O561" s="101">
        <v>0</v>
      </c>
      <c r="P561" s="100" cm="1">
        <f t="array" aca="1" ref="P561" ca="1">MAX(IF(AA560="Да",0,SUM(INDIRECT("M"&amp;(MAX(("Да"=AA$12:AA560)*ROW(AA$12:AA560)+1,ROW($P$12))&amp;":M"&amp;(ROW()))))-SUM(INDIRECT("W"&amp;(MAX(("Да"=AA$12:AA560)*ROW(AA$12:AA560)+1,ROW($P$12))&amp;":W"&amp;(ROW()))))),0)</f>
        <v>7695.3899999999994</v>
      </c>
      <c r="Q561" s="99">
        <f ca="1">MAX(SUM($N$13:N561)-SUM($T$13:T561),0)</f>
        <v>38643.310655737696</v>
      </c>
      <c r="R561" s="99">
        <f ca="1">Первоначальный[[#This Row],[Просроченный платеж по ОД]]+Первоначальный[[#This Row],[Просроченный платеж по процентам]]</f>
        <v>46338.700655737695</v>
      </c>
      <c r="S561" s="120">
        <f ca="1">IF(Первоначальный[[#This Row],[Просроченный платеж]]&lt;1,0,S560+1)</f>
        <v>457</v>
      </c>
      <c r="T561" s="100" cm="1">
        <f t="array" aca="1" ref="T561" ca="1">IF(Первоначальный[[#This Row],[Итого остаток на начало периода]]&lt;1,0,
IF(
AND(TYPE(VLOOKUP(1,$Z$12:Z561,1,0))=16,Первоначальный[[#This Row],[Досрочное погашение (да/"")]]=""),0,
_xlfn.IFS(AND(S560=0,Первоначальный[[#This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платеж]]&lt;&gt;0),MIN(LOOKUP(,-1/($Z$12:Z561=1),$C$12:C561)+LOOKUP(,-1/($Z$12:Z561=1),$H$12:H561),Первоначальный[[#This Row],[Полученный платеж]]+Y560),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платеж]]+Y560,SUM(Первоначальный[[#This Row],[Остаток процентов на начало периода]],Первоначальный[[#This Row],[Проценты за период]])),
AND(S560=0,Первоначальный[[#This Row],[Дата платежа из графика]]=""),0,
AND(S560=0,Первоначальный[[#This Row],[Дата платежа из графика]]=1,MAX((0&lt;&gt;S$12:S560)*ROW(S$12:S560),ROW($S$12))&gt;=MAX((1=Z$12:Z560)*ROW(Z$12:Z560),ROW($T$12)),TYPE(VLOOKUP("Да",(INDIRECT("AA"&amp;(MAX((1=Z$12:Z560)*ROW(Z$12:Z560),ROW($T$12))&amp;":AA"&amp;(ROW()-1)))),1,0))=16),MIN(LOOKUP(,-1/($Z$12:Z561=1),$C$12:C561)+LOOKUP(,-1/($Z$12:Z561=1),$H$12:H561),Первоначальный[[#This Row],[Полученный платеж]]+Y560),
AND(S560=0,TYPE(VLOOKUP("Да",(INDIRECT("AA"&amp;(MAX((1=Z$12:Z560)*ROW(Z$12:Z560),ROW($T$12))&amp;":AA"&amp;(ROW()-1)))),1,0))&lt;&gt;16),MIN(LOOKUP(,-1/($Z$12:Z561=1),$C$12:C561)+LOOKUP(,-1/($Z$12:Z561=1),$H$12:H561)-IF(AA560="Да",0,SUM(INDIRECT("T"&amp;(MAX(("Да"=AA$12:AA560)*ROW(AA$12:AA560)+1,ROW($T$12))&amp;":T"&amp;(ROW()-1))))),Первоначальный[[#This Row],[Полученный платеж]]+Y560),
AND(S560=0,MAX((0&lt;&gt;N$12:N560)*ROW(N$12:N560),ROW($S$12))&gt;=MAX((1=Z$12:Z560)*ROW(Z$12:Z560),ROW($T$12))),MIN(LOOKUP(,-1/($Z$12:Z561=1),$C$12:C561)+LOOKUP(,-1/($Z$12:Z561=1),$H$12:H561)-IF(N560&lt;&gt;0,0,SUM(INDIRECT("T"&amp;(MAX((0&lt;&gt;N$12:N560)*ROW(N$12:N560)+1,ROW($T$12))&amp;":T"&amp;(ROW()-1))))),Первоначальный[[#This Row],[Полученный платеж]]+Y560),
AND(S560=0,Первоначальный[[#This Row],[Дата платежа из графика]]=1),MIN(LOOKUP(,-1/($Z$12:Z561=1),$C$12:C561)+LOOKUP(,-1/($Z$12:Z561=1),$H$12:H561)-IF(Z560=1,0,SUM(INDIRECT("T"&amp;(MAX((1=Z$12:Z560)*ROW(Z$12:Z560)+1,ROW($T$12))&amp;":T"&amp;(ROW()-1))))),Первоначальный[[#This Row],[Полученный платеж]]+Y560),
AND(Z560&gt;0,Первоначальный[[#This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платеж]]+Y560),
AND(S560&gt;0,MAX((0&lt;&gt;S$12:S560)*ROW(S$12:S560),ROW($S$12))&gt;=MAX((1=Z$12:Z560)*ROW(Z$12:Z560),ROW($T$12)),TYPE(VLOOKUP("Да",(INDIRECT("AA"&amp;(MAX((1=Z$12:Z560)*ROW(Z$12:Z560),ROW($T$12))&amp;":AA"&amp;(ROW()-1)))),1,0))=16),MIN(LOOKUP(,-1/($Z$12:Z561=1),$C$12:C561)+LOOKUP(,-1/($Z$12:Z561=1),$H$12:H561)-SUM(INDIRECT("T"&amp;(MAX((1=Z$12:Z560)*ROW(Z$12:Z560),ROW($T$12))&amp;":T"&amp;(ROW()-1)))),Первоначальный[[#This Row],[Полученный платеж]]+Y560),
S560&gt;0,MIN(LOOKUP(,-1/($Z$12:Z561=1),$C$12:C561)+LOOKUP(,-1/($Z$12:Z561=1),$H$12:H561)-IF(Z560=1,0,SUM(INDIRECT("T"&amp;(MAX((1=Z$12:Z560)*ROW(Z$12:Z560)+1,ROW($T$12))&amp;":T"&amp;(ROW()-1))))),Первоначальный[[#This Row],[Полученный платеж]]+Y560)
)
)
)</f>
        <v>0</v>
      </c>
      <c r="U56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платеж]]+Y560-Первоначальный[[#This Row],[Полученный платёж по процентам]])</f>
        <v>0</v>
      </c>
      <c r="V561" s="55">
        <f t="shared" ca="1" si="97"/>
        <v>0</v>
      </c>
      <c r="W561" s="55" cm="1">
        <f t="array" aca="1" ref="W561" ca="1">IF(Первоначальный[[#This Row],[Итого остаток на начало периода]]&lt;1,0,
_xlfn.IFS(
AND(TYPE(VLOOKUP(1,$Z$12:Z561,1,0))=16,Первоначальный[[#This Row],[Досрочное погашение (да/"")]]=""),0,
AND(S560=0,Первоначальный[[#This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платеж]]+Y560-SUM(Первоначальный[[#This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комиссиям]]),VLOOKUP(LOOKUP(,-1/($Z$12:Z561=1),$A$12:A561),График[[Срок конец]:[Возврат основной суммы долга]],3,0)),
AND(S560=0,Первоначальный[[#This Row],[Дата платежа из графика]]="",Первоначальный[[#This Row],[Досрочное погашение (да/"")]]&lt;&gt;"Да"),0,
AND(S560=0,Первоначальный[[#This Row],[Досрочное погашение (да/"")]]=""),MIN(Первоначальный[[#This Row],[Полученный платеж]]+Y560-SUM(Первоначальный[[#This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комиссиям]]),VLOOKUP(LOOKUP(,-1/($Z$12:Z561=1),$A$12:A561),График[[Срок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платеж]]+Y560-SUM(Первоначальный[[#This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S560&gt;0,MIN(Первоначальный[[#This Row],[Полученный платеж]]+Y560-SUM(Первоначальный[[#This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комиссиям]]),SUM(INDIRECT("M"&amp;(MAX((1=S$12:S560)*ROW(S$12:S560),ROW($W$12))&amp;":M"&amp;(ROW()))))-SUM(INDIRECT("W"&amp;(MAX((1=S$12:S560)*ROW(S$12:S560),ROW($W$12))&amp;":W"&amp;(ROW()-1)))))
)
)</f>
        <v>0</v>
      </c>
      <c r="X561" s="55">
        <f t="shared" ca="1" si="98"/>
        <v>0</v>
      </c>
      <c r="Y561" s="101">
        <f t="shared" ca="1" si="105"/>
        <v>0</v>
      </c>
      <c r="Z561" s="133" t="str">
        <f>IF(TYPE((VLOOKUP(Первоначальный[[#This Row],[Дата платежа]],График[Срок конец],1,0)))=16,"",1)</f>
        <v/>
      </c>
      <c r="AA561" s="57"/>
      <c r="AB561" s="134"/>
      <c r="AC56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6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38800.109999999942</v>
      </c>
      <c r="AE56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916.53000000000111</v>
      </c>
      <c r="AF56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6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53259.925998360864</v>
      </c>
      <c r="AH561" s="55"/>
      <c r="AI561" s="55"/>
      <c r="AJ561" s="55"/>
      <c r="AK561" s="101">
        <f t="shared" ca="1" si="106"/>
        <v>242609.90599836083</v>
      </c>
      <c r="AL561" s="129">
        <f t="array" ref="AL561">MAX((УслРестрактов[Характеристика]="Дата реструктуризации")*(УслРестрактов[Значение]=Первоначальный!$A561),0)</f>
        <v>0</v>
      </c>
    </row>
    <row r="562" spans="1:38" x14ac:dyDescent="0.25">
      <c r="A562" s="97">
        <f t="shared" si="99"/>
        <v>44693</v>
      </c>
      <c r="B562" s="100">
        <f t="shared" ca="1" si="100"/>
        <v>149633.34</v>
      </c>
      <c r="C562" s="55">
        <f t="shared" ca="1" si="108"/>
        <v>38800.109999999942</v>
      </c>
      <c r="D562" s="55">
        <f t="shared" ca="1" si="108"/>
        <v>916.53000000000111</v>
      </c>
      <c r="E562" s="55">
        <f t="shared" ca="1" si="101"/>
        <v>0</v>
      </c>
      <c r="F562" s="55">
        <f t="shared" ca="1" si="102"/>
        <v>53259.925998360864</v>
      </c>
      <c r="G562" s="101">
        <f t="shared" ca="1" si="103"/>
        <v>242609.90599836083</v>
      </c>
      <c r="H562" s="100">
        <f ca="1">ROUND($B562*VLOOKUP($A562,$A$1:$B$10,2,1)/(365+IF(MOD(YEAR($A562),4),0,1)*($A562-$A561)),2)-Первоначальный[[#This Row],[Проценты на просроченный платеж по ОД за период]]</f>
        <v>77.38</v>
      </c>
      <c r="I562" s="55">
        <f t="shared" ca="1" si="104"/>
        <v>4.2</v>
      </c>
      <c r="J562" s="55">
        <v>0</v>
      </c>
      <c r="K562" s="55">
        <f t="shared" ca="1" si="107"/>
        <v>231.69350327868847</v>
      </c>
      <c r="L562" s="55">
        <v>0</v>
      </c>
      <c r="M562" s="113">
        <f>SUMIFS(График[Возврат основной суммы долга],График[Дата с учетом нерабочих дней],$A562)</f>
        <v>0</v>
      </c>
      <c r="N562" s="56">
        <f>SUMIFS(График[Возврат начисленных %],График[Дата с учетом нерабочих дней],$A562)</f>
        <v>0</v>
      </c>
      <c r="O562" s="101">
        <v>0</v>
      </c>
      <c r="P562" s="100" cm="1">
        <f t="array" aca="1" ref="P562" ca="1">MAX(IF(AA561="Да",0,SUM(INDIRECT("M"&amp;(MAX(("Да"=AA$12:AA561)*ROW(AA$12:AA561)+1,ROW($P$12))&amp;":M"&amp;(ROW()))))-SUM(INDIRECT("W"&amp;(MAX(("Да"=AA$12:AA561)*ROW(AA$12:AA561)+1,ROW($P$12))&amp;":W"&amp;(ROW()))))),0)</f>
        <v>7695.3899999999994</v>
      </c>
      <c r="Q562" s="99">
        <f ca="1">MAX(SUM($N$13:N562)-SUM($T$13:T562),0)</f>
        <v>38643.310655737696</v>
      </c>
      <c r="R562" s="99">
        <f ca="1">Первоначальный[[#This Row],[Просроченный платеж по ОД]]+Первоначальный[[#This Row],[Просроченный платеж по процентам]]</f>
        <v>46338.700655737695</v>
      </c>
      <c r="S562" s="120">
        <f ca="1">IF(Первоначальный[[#This Row],[Просроченный платеж]]&lt;1,0,S561+1)</f>
        <v>458</v>
      </c>
      <c r="T562" s="100" cm="1">
        <f t="array" aca="1" ref="T562" ca="1">IF(Первоначальный[[#This Row],[Итого остаток на начало периода]]&lt;1,0,
IF(
AND(TYPE(VLOOKUP(1,$Z$12:Z562,1,0))=16,Первоначальный[[#This Row],[Досрочное погашение (да/"")]]=""),0,
_xlfn.IFS(AND(S561=0,Первоначальный[[#This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платеж]]&lt;&gt;0),MIN(LOOKUP(,-1/($Z$12:Z562=1),$C$12:C562)+LOOKUP(,-1/($Z$12:Z562=1),$H$12:H562),Первоначальный[[#This Row],[Полученный платеж]]+Y561),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платеж]]+Y561,SUM(Первоначальный[[#This Row],[Остаток процентов на начало периода]],Первоначальный[[#This Row],[Проценты за период]])),
AND(S561=0,Первоначальный[[#This Row],[Дата платежа из графика]]=""),0,
AND(S561=0,Первоначальный[[#This Row],[Дата платежа из графика]]=1,MAX((0&lt;&gt;S$12:S561)*ROW(S$12:S561),ROW($S$12))&gt;=MAX((1=Z$12:Z561)*ROW(Z$12:Z561),ROW($T$12)),TYPE(VLOOKUP("Да",(INDIRECT("AA"&amp;(MAX((1=Z$12:Z561)*ROW(Z$12:Z561),ROW($T$12))&amp;":AA"&amp;(ROW()-1)))),1,0))=16),MIN(LOOKUP(,-1/($Z$12:Z562=1),$C$12:C562)+LOOKUP(,-1/($Z$12:Z562=1),$H$12:H562),Первоначальный[[#This Row],[Полученный платеж]]+Y561),
AND(S561=0,TYPE(VLOOKUP("Да",(INDIRECT("AA"&amp;(MAX((1=Z$12:Z561)*ROW(Z$12:Z561),ROW($T$12))&amp;":AA"&amp;(ROW()-1)))),1,0))&lt;&gt;16),MIN(LOOKUP(,-1/($Z$12:Z562=1),$C$12:C562)+LOOKUP(,-1/($Z$12:Z562=1),$H$12:H562)-IF(AA561="Да",0,SUM(INDIRECT("T"&amp;(MAX(("Да"=AA$12:AA561)*ROW(AA$12:AA561)+1,ROW($T$12))&amp;":T"&amp;(ROW()-1))))),Первоначальный[[#This Row],[Полученный платеж]]+Y561),
AND(S561=0,MAX((0&lt;&gt;N$12:N561)*ROW(N$12:N561),ROW($S$12))&gt;=MAX((1=Z$12:Z561)*ROW(Z$12:Z561),ROW($T$12))),MIN(LOOKUP(,-1/($Z$12:Z562=1),$C$12:C562)+LOOKUP(,-1/($Z$12:Z562=1),$H$12:H562)-IF(N561&lt;&gt;0,0,SUM(INDIRECT("T"&amp;(MAX((0&lt;&gt;N$12:N561)*ROW(N$12:N561)+1,ROW($T$12))&amp;":T"&amp;(ROW()-1))))),Первоначальный[[#This Row],[Полученный платеж]]+Y561),
AND(S561=0,Первоначальный[[#This Row],[Дата платежа из графика]]=1),MIN(LOOKUP(,-1/($Z$12:Z562=1),$C$12:C562)+LOOKUP(,-1/($Z$12:Z562=1),$H$12:H562)-IF(Z561=1,0,SUM(INDIRECT("T"&amp;(MAX((1=Z$12:Z561)*ROW(Z$12:Z561)+1,ROW($T$12))&amp;":T"&amp;(ROW()-1))))),Первоначальный[[#This Row],[Полученный платеж]]+Y561),
AND(Z561&gt;0,Первоначальный[[#This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платеж]]+Y561),
AND(S561&gt;0,MAX((0&lt;&gt;S$12:S561)*ROW(S$12:S561),ROW($S$12))&gt;=MAX((1=Z$12:Z561)*ROW(Z$12:Z561),ROW($T$12)),TYPE(VLOOKUP("Да",(INDIRECT("AA"&amp;(MAX((1=Z$12:Z561)*ROW(Z$12:Z561),ROW($T$12))&amp;":AA"&amp;(ROW()-1)))),1,0))=16),MIN(LOOKUP(,-1/($Z$12:Z562=1),$C$12:C562)+LOOKUP(,-1/($Z$12:Z562=1),$H$12:H562)-SUM(INDIRECT("T"&amp;(MAX((1=Z$12:Z561)*ROW(Z$12:Z561),ROW($T$12))&amp;":T"&amp;(ROW()-1)))),Первоначальный[[#This Row],[Полученный платеж]]+Y561),
S561&gt;0,MIN(LOOKUP(,-1/($Z$12:Z562=1),$C$12:C562)+LOOKUP(,-1/($Z$12:Z562=1),$H$12:H562)-IF(Z561=1,0,SUM(INDIRECT("T"&amp;(MAX((1=Z$12:Z561)*ROW(Z$12:Z561)+1,ROW($T$12))&amp;":T"&amp;(ROW()-1))))),Первоначальный[[#This Row],[Полученный платеж]]+Y561)
)
)
)</f>
        <v>0</v>
      </c>
      <c r="U56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платеж]]+Y561-Первоначальный[[#This Row],[Полученный платёж по процентам]])</f>
        <v>0</v>
      </c>
      <c r="V562" s="55">
        <f t="shared" ca="1" si="97"/>
        <v>0</v>
      </c>
      <c r="W562" s="55" cm="1">
        <f t="array" aca="1" ref="W562" ca="1">IF(Первоначальный[[#This Row],[Итого остаток на начало периода]]&lt;1,0,
_xlfn.IFS(
AND(TYPE(VLOOKUP(1,$Z$12:Z562,1,0))=16,Первоначальный[[#This Row],[Досрочное погашение (да/"")]]=""),0,
AND(S561=0,Первоначальный[[#This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платеж]]+Y561-SUM(Первоначальный[[#This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комиссиям]]),VLOOKUP(LOOKUP(,-1/($Z$12:Z562=1),$A$12:A562),График[[Срок конец]:[Возврат основной суммы долга]],3,0)),
AND(S561=0,Первоначальный[[#This Row],[Дата платежа из графика]]="",Первоначальный[[#This Row],[Досрочное погашение (да/"")]]&lt;&gt;"Да"),0,
AND(S561=0,Первоначальный[[#This Row],[Досрочное погашение (да/"")]]=""),MIN(Первоначальный[[#This Row],[Полученный платеж]]+Y561-SUM(Первоначальный[[#This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комиссиям]]),VLOOKUP(LOOKUP(,-1/($Z$12:Z562=1),$A$12:A562),График[[Срок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платеж]]+Y561-SUM(Первоначальный[[#This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S561&gt;0,MIN(Первоначальный[[#This Row],[Полученный платеж]]+Y561-SUM(Первоначальный[[#This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комиссиям]]),SUM(INDIRECT("M"&amp;(MAX((1=S$12:S561)*ROW(S$12:S561),ROW($W$12))&amp;":M"&amp;(ROW()))))-SUM(INDIRECT("W"&amp;(MAX((1=S$12:S561)*ROW(S$12:S561),ROW($W$12))&amp;":W"&amp;(ROW()-1)))))
)
)</f>
        <v>0</v>
      </c>
      <c r="X562" s="55">
        <f t="shared" ca="1" si="98"/>
        <v>0</v>
      </c>
      <c r="Y562" s="101">
        <f t="shared" ca="1" si="105"/>
        <v>0</v>
      </c>
      <c r="Z562" s="133" t="str">
        <f>IF(TYPE((VLOOKUP(Первоначальный[[#This Row],[Дата платежа]],График[Срок конец],1,0)))=16,"",1)</f>
        <v/>
      </c>
      <c r="AA562" s="57"/>
      <c r="AB562" s="134"/>
      <c r="AC56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6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38877.48999999994</v>
      </c>
      <c r="AE56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920.73000000000116</v>
      </c>
      <c r="AF56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6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53491.61950163955</v>
      </c>
      <c r="AH562" s="55"/>
      <c r="AI562" s="55"/>
      <c r="AJ562" s="55"/>
      <c r="AK562" s="101">
        <f t="shared" ca="1" si="106"/>
        <v>242923.1795016395</v>
      </c>
      <c r="AL562" s="129">
        <f t="array" ref="AL562">MAX((УслРестрактов[Характеристика]="Дата реструктуризации")*(УслРестрактов[Значение]=Первоначальный!$A562),0)</f>
        <v>0</v>
      </c>
    </row>
    <row r="563" spans="1:38" x14ac:dyDescent="0.25">
      <c r="A563" s="97">
        <f t="shared" si="99"/>
        <v>44694</v>
      </c>
      <c r="B563" s="100">
        <f t="shared" ca="1" si="100"/>
        <v>149633.34</v>
      </c>
      <c r="C563" s="55">
        <f t="shared" ca="1" si="108"/>
        <v>38877.48999999994</v>
      </c>
      <c r="D563" s="55">
        <f t="shared" ca="1" si="108"/>
        <v>920.73000000000116</v>
      </c>
      <c r="E563" s="55">
        <f t="shared" ca="1" si="101"/>
        <v>0</v>
      </c>
      <c r="F563" s="55">
        <f t="shared" ca="1" si="102"/>
        <v>53491.61950163955</v>
      </c>
      <c r="G563" s="101">
        <f t="shared" ca="1" si="103"/>
        <v>242923.1795016395</v>
      </c>
      <c r="H563" s="100">
        <f ca="1">ROUND($B563*VLOOKUP($A563,$A$1:$B$10,2,1)/(365+IF(MOD(YEAR($A563),4),0,1)*($A563-$A562)),2)-Первоначальный[[#This Row],[Проценты на просроченный платеж по ОД за период]]</f>
        <v>77.38</v>
      </c>
      <c r="I563" s="55">
        <f t="shared" ca="1" si="104"/>
        <v>4.2</v>
      </c>
      <c r="J563" s="55">
        <v>0</v>
      </c>
      <c r="K563" s="55">
        <f t="shared" ca="1" si="107"/>
        <v>231.69350327868847</v>
      </c>
      <c r="L563" s="55">
        <v>0</v>
      </c>
      <c r="M563" s="113">
        <f>SUMIFS(График[Возврат основной суммы долга],График[Дата с учетом нерабочих дней],$A563)</f>
        <v>0</v>
      </c>
      <c r="N563" s="56">
        <f>SUMIFS(График[Возврат начисленных %],График[Дата с учетом нерабочих дней],$A563)</f>
        <v>0</v>
      </c>
      <c r="O563" s="101">
        <v>0</v>
      </c>
      <c r="P563" s="100" cm="1">
        <f t="array" aca="1" ref="P563" ca="1">MAX(IF(AA562="Да",0,SUM(INDIRECT("M"&amp;(MAX(("Да"=AA$12:AA562)*ROW(AA$12:AA562)+1,ROW($P$12))&amp;":M"&amp;(ROW()))))-SUM(INDIRECT("W"&amp;(MAX(("Да"=AA$12:AA562)*ROW(AA$12:AA562)+1,ROW($P$12))&amp;":W"&amp;(ROW()))))),0)</f>
        <v>7695.3899999999994</v>
      </c>
      <c r="Q563" s="99">
        <f ca="1">MAX(SUM($N$13:N563)-SUM($T$13:T563),0)</f>
        <v>38643.310655737696</v>
      </c>
      <c r="R563" s="99">
        <f ca="1">Первоначальный[[#This Row],[Просроченный платеж по ОД]]+Первоначальный[[#This Row],[Просроченный платеж по процентам]]</f>
        <v>46338.700655737695</v>
      </c>
      <c r="S563" s="120">
        <f ca="1">IF(Первоначальный[[#This Row],[Просроченный платеж]]&lt;1,0,S562+1)</f>
        <v>459</v>
      </c>
      <c r="T563" s="100" cm="1">
        <f t="array" aca="1" ref="T563" ca="1">IF(Первоначальный[[#This Row],[Итого остаток на начало периода]]&lt;1,0,
IF(
AND(TYPE(VLOOKUP(1,$Z$12:Z563,1,0))=16,Первоначальный[[#This Row],[Досрочное погашение (да/"")]]=""),0,
_xlfn.IFS(AND(S562=0,Первоначальный[[#This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платеж]]&lt;&gt;0),MIN(LOOKUP(,-1/($Z$12:Z563=1),$C$12:C563)+LOOKUP(,-1/($Z$12:Z563=1),$H$12:H563),Первоначальный[[#This Row],[Полученный платеж]]+Y562),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платеж]]+Y562,SUM(Первоначальный[[#This Row],[Остаток процентов на начало периода]],Первоначальный[[#This Row],[Проценты за период]])),
AND(S562=0,Первоначальный[[#This Row],[Дата платежа из графика]]=""),0,
AND(S562=0,Первоначальный[[#This Row],[Дата платежа из графика]]=1,MAX((0&lt;&gt;S$12:S562)*ROW(S$12:S562),ROW($S$12))&gt;=MAX((1=Z$12:Z562)*ROW(Z$12:Z562),ROW($T$12)),TYPE(VLOOKUP("Да",(INDIRECT("AA"&amp;(MAX((1=Z$12:Z562)*ROW(Z$12:Z562),ROW($T$12))&amp;":AA"&amp;(ROW()-1)))),1,0))=16),MIN(LOOKUP(,-1/($Z$12:Z563=1),$C$12:C563)+LOOKUP(,-1/($Z$12:Z563=1),$H$12:H563),Первоначальный[[#This Row],[Полученный платеж]]+Y562),
AND(S562=0,TYPE(VLOOKUP("Да",(INDIRECT("AA"&amp;(MAX((1=Z$12:Z562)*ROW(Z$12:Z562),ROW($T$12))&amp;":AA"&amp;(ROW()-1)))),1,0))&lt;&gt;16),MIN(LOOKUP(,-1/($Z$12:Z563=1),$C$12:C563)+LOOKUP(,-1/($Z$12:Z563=1),$H$12:H563)-IF(AA562="Да",0,SUM(INDIRECT("T"&amp;(MAX(("Да"=AA$12:AA562)*ROW(AA$12:AA562)+1,ROW($T$12))&amp;":T"&amp;(ROW()-1))))),Первоначальный[[#This Row],[Полученный платеж]]+Y562),
AND(S562=0,MAX((0&lt;&gt;N$12:N562)*ROW(N$12:N562),ROW($S$12))&gt;=MAX((1=Z$12:Z562)*ROW(Z$12:Z562),ROW($T$12))),MIN(LOOKUP(,-1/($Z$12:Z563=1),$C$12:C563)+LOOKUP(,-1/($Z$12:Z563=1),$H$12:H563)-IF(N562&lt;&gt;0,0,SUM(INDIRECT("T"&amp;(MAX((0&lt;&gt;N$12:N562)*ROW(N$12:N562)+1,ROW($T$12))&amp;":T"&amp;(ROW()-1))))),Первоначальный[[#This Row],[Полученный платеж]]+Y562),
AND(S562=0,Первоначальный[[#This Row],[Дата платежа из графика]]=1),MIN(LOOKUP(,-1/($Z$12:Z563=1),$C$12:C563)+LOOKUP(,-1/($Z$12:Z563=1),$H$12:H563)-IF(Z562=1,0,SUM(INDIRECT("T"&amp;(MAX((1=Z$12:Z562)*ROW(Z$12:Z562)+1,ROW($T$12))&amp;":T"&amp;(ROW()-1))))),Первоначальный[[#This Row],[Полученный платеж]]+Y562),
AND(Z562&gt;0,Первоначальный[[#This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платеж]]+Y562),
AND(S562&gt;0,MAX((0&lt;&gt;S$12:S562)*ROW(S$12:S562),ROW($S$12))&gt;=MAX((1=Z$12:Z562)*ROW(Z$12:Z562),ROW($T$12)),TYPE(VLOOKUP("Да",(INDIRECT("AA"&amp;(MAX((1=Z$12:Z562)*ROW(Z$12:Z562),ROW($T$12))&amp;":AA"&amp;(ROW()-1)))),1,0))=16),MIN(LOOKUP(,-1/($Z$12:Z563=1),$C$12:C563)+LOOKUP(,-1/($Z$12:Z563=1),$H$12:H563)-SUM(INDIRECT("T"&amp;(MAX((1=Z$12:Z562)*ROW(Z$12:Z562),ROW($T$12))&amp;":T"&amp;(ROW()-1)))),Первоначальный[[#This Row],[Полученный платеж]]+Y562),
S562&gt;0,MIN(LOOKUP(,-1/($Z$12:Z563=1),$C$12:C563)+LOOKUP(,-1/($Z$12:Z563=1),$H$12:H563)-IF(Z562=1,0,SUM(INDIRECT("T"&amp;(MAX((1=Z$12:Z562)*ROW(Z$12:Z562)+1,ROW($T$12))&amp;":T"&amp;(ROW()-1))))),Первоначальный[[#This Row],[Полученный платеж]]+Y562)
)
)
)</f>
        <v>0</v>
      </c>
      <c r="U56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платеж]]+Y562-Первоначальный[[#This Row],[Полученный платёж по процентам]])</f>
        <v>0</v>
      </c>
      <c r="V563" s="55">
        <f t="shared" ca="1" si="97"/>
        <v>0</v>
      </c>
      <c r="W563" s="55" cm="1">
        <f t="array" aca="1" ref="W563" ca="1">IF(Первоначальный[[#This Row],[Итого остаток на начало периода]]&lt;1,0,
_xlfn.IFS(
AND(TYPE(VLOOKUP(1,$Z$12:Z563,1,0))=16,Первоначальный[[#This Row],[Досрочное погашение (да/"")]]=""),0,
AND(S562=0,Первоначальный[[#This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платеж]]+Y562-SUM(Первоначальный[[#This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комиссиям]]),VLOOKUP(LOOKUP(,-1/($Z$12:Z563=1),$A$12:A563),График[[Срок конец]:[Возврат основной суммы долга]],3,0)),
AND(S562=0,Первоначальный[[#This Row],[Дата платежа из графика]]="",Первоначальный[[#This Row],[Досрочное погашение (да/"")]]&lt;&gt;"Да"),0,
AND(S562=0,Первоначальный[[#This Row],[Досрочное погашение (да/"")]]=""),MIN(Первоначальный[[#This Row],[Полученный платеж]]+Y562-SUM(Первоначальный[[#This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комиссиям]]),VLOOKUP(LOOKUP(,-1/($Z$12:Z563=1),$A$12:A563),График[[Срок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платеж]]+Y562-SUM(Первоначальный[[#This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S562&gt;0,MIN(Первоначальный[[#This Row],[Полученный платеж]]+Y562-SUM(Первоначальный[[#This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комиссиям]]),SUM(INDIRECT("M"&amp;(MAX((1=S$12:S562)*ROW(S$12:S562),ROW($W$12))&amp;":M"&amp;(ROW()))))-SUM(INDIRECT("W"&amp;(MAX((1=S$12:S562)*ROW(S$12:S562),ROW($W$12))&amp;":W"&amp;(ROW()-1)))))
)
)</f>
        <v>0</v>
      </c>
      <c r="X563" s="55">
        <f t="shared" ca="1" si="98"/>
        <v>0</v>
      </c>
      <c r="Y563" s="101">
        <f t="shared" ca="1" si="105"/>
        <v>0</v>
      </c>
      <c r="Z563" s="133" t="str">
        <f>IF(TYPE((VLOOKUP(Первоначальный[[#This Row],[Дата платежа]],График[Срок конец],1,0)))=16,"",1)</f>
        <v/>
      </c>
      <c r="AA563" s="57"/>
      <c r="AB563" s="134"/>
      <c r="AC56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6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38954.869999999937</v>
      </c>
      <c r="AE56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924.9300000000012</v>
      </c>
      <c r="AF56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6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53723.313004918236</v>
      </c>
      <c r="AH563" s="55"/>
      <c r="AI563" s="55"/>
      <c r="AJ563" s="55"/>
      <c r="AK563" s="101">
        <f t="shared" ca="1" si="106"/>
        <v>243236.45300491818</v>
      </c>
      <c r="AL563" s="129">
        <f t="array" ref="AL563">MAX((УслРестрактов[Характеристика]="Дата реструктуризации")*(УслРестрактов[Значение]=Первоначальный!$A563),0)</f>
        <v>0</v>
      </c>
    </row>
    <row r="564" spans="1:38" x14ac:dyDescent="0.25">
      <c r="A564" s="97">
        <f t="shared" si="99"/>
        <v>44695</v>
      </c>
      <c r="B564" s="100">
        <f t="shared" ca="1" si="100"/>
        <v>149633.34</v>
      </c>
      <c r="C564" s="55">
        <f t="shared" ca="1" si="108"/>
        <v>38954.869999999937</v>
      </c>
      <c r="D564" s="55">
        <f t="shared" ca="1" si="108"/>
        <v>924.9300000000012</v>
      </c>
      <c r="E564" s="55">
        <f t="shared" ca="1" si="101"/>
        <v>0</v>
      </c>
      <c r="F564" s="55">
        <f t="shared" ca="1" si="102"/>
        <v>53723.313004918236</v>
      </c>
      <c r="G564" s="101">
        <f t="shared" ca="1" si="103"/>
        <v>243236.45300491818</v>
      </c>
      <c r="H564" s="100">
        <f ca="1">ROUND($B564*VLOOKUP($A564,$A$1:$B$10,2,1)/(365+IF(MOD(YEAR($A564),4),0,1)*($A564-$A563)),2)-Первоначальный[[#This Row],[Проценты на просроченный платеж по ОД за период]]</f>
        <v>77.38</v>
      </c>
      <c r="I564" s="55">
        <f t="shared" ca="1" si="104"/>
        <v>4.2</v>
      </c>
      <c r="J564" s="55">
        <v>0</v>
      </c>
      <c r="K564" s="55">
        <f t="shared" ca="1" si="107"/>
        <v>231.69350327868847</v>
      </c>
      <c r="L564" s="55">
        <v>0</v>
      </c>
      <c r="M564" s="113">
        <f>SUMIFS(График[Возврат основной суммы долга],График[Дата с учетом нерабочих дней],$A564)</f>
        <v>0</v>
      </c>
      <c r="N564" s="56">
        <f>SUMIFS(График[Возврат начисленных %],График[Дата с учетом нерабочих дней],$A564)</f>
        <v>0</v>
      </c>
      <c r="O564" s="101">
        <v>0</v>
      </c>
      <c r="P564" s="100" cm="1">
        <f t="array" aca="1" ref="P564" ca="1">MAX(IF(AA563="Да",0,SUM(INDIRECT("M"&amp;(MAX(("Да"=AA$12:AA563)*ROW(AA$12:AA563)+1,ROW($P$12))&amp;":M"&amp;(ROW()))))-SUM(INDIRECT("W"&amp;(MAX(("Да"=AA$12:AA563)*ROW(AA$12:AA563)+1,ROW($P$12))&amp;":W"&amp;(ROW()))))),0)</f>
        <v>7695.3899999999994</v>
      </c>
      <c r="Q564" s="99">
        <f ca="1">MAX(SUM($N$13:N564)-SUM($T$13:T564),0)</f>
        <v>38643.310655737696</v>
      </c>
      <c r="R564" s="99">
        <f ca="1">Первоначальный[[#This Row],[Просроченный платеж по ОД]]+Первоначальный[[#This Row],[Просроченный платеж по процентам]]</f>
        <v>46338.700655737695</v>
      </c>
      <c r="S564" s="120">
        <f ca="1">IF(Первоначальный[[#This Row],[Просроченный платеж]]&lt;1,0,S563+1)</f>
        <v>460</v>
      </c>
      <c r="T564" s="100" cm="1">
        <f t="array" aca="1" ref="T564" ca="1">IF(Первоначальный[[#This Row],[Итого остаток на начало периода]]&lt;1,0,
IF(
AND(TYPE(VLOOKUP(1,$Z$12:Z564,1,0))=16,Первоначальный[[#This Row],[Досрочное погашение (да/"")]]=""),0,
_xlfn.IFS(AND(S563=0,Первоначальный[[#This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платеж]]&lt;&gt;0),MIN(LOOKUP(,-1/($Z$12:Z564=1),$C$12:C564)+LOOKUP(,-1/($Z$12:Z564=1),$H$12:H564),Первоначальный[[#This Row],[Полученный платеж]]+Y563),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платеж]]+Y563,SUM(Первоначальный[[#This Row],[Остаток процентов на начало периода]],Первоначальный[[#This Row],[Проценты за период]])),
AND(S563=0,Первоначальный[[#This Row],[Дата платежа из графика]]=""),0,
AND(S563=0,Первоначальный[[#This Row],[Дата платежа из графика]]=1,MAX((0&lt;&gt;S$12:S563)*ROW(S$12:S563),ROW($S$12))&gt;=MAX((1=Z$12:Z563)*ROW(Z$12:Z563),ROW($T$12)),TYPE(VLOOKUP("Да",(INDIRECT("AA"&amp;(MAX((1=Z$12:Z563)*ROW(Z$12:Z563),ROW($T$12))&amp;":AA"&amp;(ROW()-1)))),1,0))=16),MIN(LOOKUP(,-1/($Z$12:Z564=1),$C$12:C564)+LOOKUP(,-1/($Z$12:Z564=1),$H$12:H564),Первоначальный[[#This Row],[Полученный платеж]]+Y563),
AND(S563=0,TYPE(VLOOKUP("Да",(INDIRECT("AA"&amp;(MAX((1=Z$12:Z563)*ROW(Z$12:Z563),ROW($T$12))&amp;":AA"&amp;(ROW()-1)))),1,0))&lt;&gt;16),MIN(LOOKUP(,-1/($Z$12:Z564=1),$C$12:C564)+LOOKUP(,-1/($Z$12:Z564=1),$H$12:H564)-IF(AA563="Да",0,SUM(INDIRECT("T"&amp;(MAX(("Да"=AA$12:AA563)*ROW(AA$12:AA563)+1,ROW($T$12))&amp;":T"&amp;(ROW()-1))))),Первоначальный[[#This Row],[Полученный платеж]]+Y563),
AND(S563=0,MAX((0&lt;&gt;N$12:N563)*ROW(N$12:N563),ROW($S$12))&gt;=MAX((1=Z$12:Z563)*ROW(Z$12:Z563),ROW($T$12))),MIN(LOOKUP(,-1/($Z$12:Z564=1),$C$12:C564)+LOOKUP(,-1/($Z$12:Z564=1),$H$12:H564)-IF(N563&lt;&gt;0,0,SUM(INDIRECT("T"&amp;(MAX((0&lt;&gt;N$12:N563)*ROW(N$12:N563)+1,ROW($T$12))&amp;":T"&amp;(ROW()-1))))),Первоначальный[[#This Row],[Полученный платеж]]+Y563),
AND(S563=0,Первоначальный[[#This Row],[Дата платежа из графика]]=1),MIN(LOOKUP(,-1/($Z$12:Z564=1),$C$12:C564)+LOOKUP(,-1/($Z$12:Z564=1),$H$12:H564)-IF(Z563=1,0,SUM(INDIRECT("T"&amp;(MAX((1=Z$12:Z563)*ROW(Z$12:Z563)+1,ROW($T$12))&amp;":T"&amp;(ROW()-1))))),Первоначальный[[#This Row],[Полученный платеж]]+Y563),
AND(Z563&gt;0,Первоначальный[[#This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платеж]]+Y563),
AND(S563&gt;0,MAX((0&lt;&gt;S$12:S563)*ROW(S$12:S563),ROW($S$12))&gt;=MAX((1=Z$12:Z563)*ROW(Z$12:Z563),ROW($T$12)),TYPE(VLOOKUP("Да",(INDIRECT("AA"&amp;(MAX((1=Z$12:Z563)*ROW(Z$12:Z563),ROW($T$12))&amp;":AA"&amp;(ROW()-1)))),1,0))=16),MIN(LOOKUP(,-1/($Z$12:Z564=1),$C$12:C564)+LOOKUP(,-1/($Z$12:Z564=1),$H$12:H564)-SUM(INDIRECT("T"&amp;(MAX((1=Z$12:Z563)*ROW(Z$12:Z563),ROW($T$12))&amp;":T"&amp;(ROW()-1)))),Первоначальный[[#This Row],[Полученный платеж]]+Y563),
S563&gt;0,MIN(LOOKUP(,-1/($Z$12:Z564=1),$C$12:C564)+LOOKUP(,-1/($Z$12:Z564=1),$H$12:H564)-IF(Z563=1,0,SUM(INDIRECT("T"&amp;(MAX((1=Z$12:Z563)*ROW(Z$12:Z563)+1,ROW($T$12))&amp;":T"&amp;(ROW()-1))))),Первоначальный[[#This Row],[Полученный платеж]]+Y563)
)
)
)</f>
        <v>0</v>
      </c>
      <c r="U56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платеж]]+Y563-Первоначальный[[#This Row],[Полученный платёж по процентам]])</f>
        <v>0</v>
      </c>
      <c r="V564" s="55">
        <f t="shared" ca="1" si="97"/>
        <v>0</v>
      </c>
      <c r="W564" s="55" cm="1">
        <f t="array" aca="1" ref="W564" ca="1">IF(Первоначальный[[#This Row],[Итого остаток на начало периода]]&lt;1,0,
_xlfn.IFS(
AND(TYPE(VLOOKUP(1,$Z$12:Z564,1,0))=16,Первоначальный[[#This Row],[Досрочное погашение (да/"")]]=""),0,
AND(S563=0,Первоначальный[[#This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платеж]]+Y563-SUM(Первоначальный[[#This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комиссиям]]),VLOOKUP(LOOKUP(,-1/($Z$12:Z564=1),$A$12:A564),График[[Срок конец]:[Возврат основной суммы долга]],3,0)),
AND(S563=0,Первоначальный[[#This Row],[Дата платежа из графика]]="",Первоначальный[[#This Row],[Досрочное погашение (да/"")]]&lt;&gt;"Да"),0,
AND(S563=0,Первоначальный[[#This Row],[Досрочное погашение (да/"")]]=""),MIN(Первоначальный[[#This Row],[Полученный платеж]]+Y563-SUM(Первоначальный[[#This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комиссиям]]),VLOOKUP(LOOKUP(,-1/($Z$12:Z564=1),$A$12:A564),График[[Срок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платеж]]+Y563-SUM(Первоначальный[[#This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S563&gt;0,MIN(Первоначальный[[#This Row],[Полученный платеж]]+Y563-SUM(Первоначальный[[#This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комиссиям]]),SUM(INDIRECT("M"&amp;(MAX((1=S$12:S563)*ROW(S$12:S563),ROW($W$12))&amp;":M"&amp;(ROW()))))-SUM(INDIRECT("W"&amp;(MAX((1=S$12:S563)*ROW(S$12:S563),ROW($W$12))&amp;":W"&amp;(ROW()-1)))))
)
)</f>
        <v>0</v>
      </c>
      <c r="X564" s="55">
        <f t="shared" ca="1" si="98"/>
        <v>0</v>
      </c>
      <c r="Y564" s="101">
        <f t="shared" ca="1" si="105"/>
        <v>0</v>
      </c>
      <c r="Z564" s="133" t="str">
        <f>IF(TYPE((VLOOKUP(Первоначальный[[#This Row],[Дата платежа]],График[Срок конец],1,0)))=16,"",1)</f>
        <v/>
      </c>
      <c r="AA564" s="57"/>
      <c r="AB564" s="134"/>
      <c r="AC56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6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39032.249999999935</v>
      </c>
      <c r="AE56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929.13000000000125</v>
      </c>
      <c r="AF56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6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53955.006508196922</v>
      </c>
      <c r="AH564" s="55"/>
      <c r="AI564" s="55"/>
      <c r="AJ564" s="55"/>
      <c r="AK564" s="101">
        <f t="shared" ca="1" si="106"/>
        <v>243549.72650819685</v>
      </c>
      <c r="AL564" s="129">
        <f t="array" ref="AL564">MAX((УслРестрактов[Характеристика]="Дата реструктуризации")*(УслРестрактов[Значение]=Первоначальный!$A564),0)</f>
        <v>0</v>
      </c>
    </row>
    <row r="565" spans="1:38" x14ac:dyDescent="0.25">
      <c r="A565" s="97">
        <f t="shared" si="99"/>
        <v>44696</v>
      </c>
      <c r="B565" s="100">
        <f t="shared" ca="1" si="100"/>
        <v>149633.34</v>
      </c>
      <c r="C565" s="55">
        <f t="shared" ca="1" si="108"/>
        <v>39032.249999999935</v>
      </c>
      <c r="D565" s="55">
        <f t="shared" ca="1" si="108"/>
        <v>929.13000000000125</v>
      </c>
      <c r="E565" s="55">
        <f t="shared" ca="1" si="101"/>
        <v>0</v>
      </c>
      <c r="F565" s="55">
        <f t="shared" ca="1" si="102"/>
        <v>53955.006508196922</v>
      </c>
      <c r="G565" s="101">
        <f t="shared" ca="1" si="103"/>
        <v>243549.72650819685</v>
      </c>
      <c r="H565" s="100">
        <f ca="1">ROUND($B565*VLOOKUP($A565,$A$1:$B$10,2,1)/(365+IF(MOD(YEAR($A565),4),0,1)*($A565-$A564)),2)-Первоначальный[[#This Row],[Проценты на просроченный платеж по ОД за период]]</f>
        <v>77.38</v>
      </c>
      <c r="I565" s="55">
        <f t="shared" ca="1" si="104"/>
        <v>4.2</v>
      </c>
      <c r="J565" s="55">
        <v>0</v>
      </c>
      <c r="K565" s="55">
        <f t="shared" ca="1" si="107"/>
        <v>231.69350327868847</v>
      </c>
      <c r="L565" s="55">
        <v>0</v>
      </c>
      <c r="M565" s="113">
        <f>SUMIFS(График[Возврат основной суммы долга],График[Дата с учетом нерабочих дней],$A565)</f>
        <v>0</v>
      </c>
      <c r="N565" s="56">
        <f>SUMIFS(График[Возврат начисленных %],График[Дата с учетом нерабочих дней],$A565)</f>
        <v>0</v>
      </c>
      <c r="O565" s="101">
        <v>0</v>
      </c>
      <c r="P565" s="100" cm="1">
        <f t="array" aca="1" ref="P565" ca="1">MAX(IF(AA564="Да",0,SUM(INDIRECT("M"&amp;(MAX(("Да"=AA$12:AA564)*ROW(AA$12:AA564)+1,ROW($P$12))&amp;":M"&amp;(ROW()))))-SUM(INDIRECT("W"&amp;(MAX(("Да"=AA$12:AA564)*ROW(AA$12:AA564)+1,ROW($P$12))&amp;":W"&amp;(ROW()))))),0)</f>
        <v>7695.3899999999994</v>
      </c>
      <c r="Q565" s="99">
        <f ca="1">MAX(SUM($N$13:N565)-SUM($T$13:T565),0)</f>
        <v>38643.310655737696</v>
      </c>
      <c r="R565" s="99">
        <f ca="1">Первоначальный[[#This Row],[Просроченный платеж по ОД]]+Первоначальный[[#This Row],[Просроченный платеж по процентам]]</f>
        <v>46338.700655737695</v>
      </c>
      <c r="S565" s="120">
        <f ca="1">IF(Первоначальный[[#This Row],[Просроченный платеж]]&lt;1,0,S564+1)</f>
        <v>461</v>
      </c>
      <c r="T565" s="100" cm="1">
        <f t="array" aca="1" ref="T565" ca="1">IF(Первоначальный[[#This Row],[Итого остаток на начало периода]]&lt;1,0,
IF(
AND(TYPE(VLOOKUP(1,$Z$12:Z565,1,0))=16,Первоначальный[[#This Row],[Досрочное погашение (да/"")]]=""),0,
_xlfn.IFS(AND(S564=0,Первоначальный[[#This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платеж]]&lt;&gt;0),MIN(LOOKUP(,-1/($Z$12:Z565=1),$C$12:C565)+LOOKUP(,-1/($Z$12:Z565=1),$H$12:H565),Первоначальный[[#This Row],[Полученный платеж]]+Y564),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платеж]]+Y564,SUM(Первоначальный[[#This Row],[Остаток процентов на начало периода]],Первоначальный[[#This Row],[Проценты за период]])),
AND(S564=0,Первоначальный[[#This Row],[Дата платежа из графика]]=""),0,
AND(S564=0,Первоначальный[[#This Row],[Дата платежа из графика]]=1,MAX((0&lt;&gt;S$12:S564)*ROW(S$12:S564),ROW($S$12))&gt;=MAX((1=Z$12:Z564)*ROW(Z$12:Z564),ROW($T$12)),TYPE(VLOOKUP("Да",(INDIRECT("AA"&amp;(MAX((1=Z$12:Z564)*ROW(Z$12:Z564),ROW($T$12))&amp;":AA"&amp;(ROW()-1)))),1,0))=16),MIN(LOOKUP(,-1/($Z$12:Z565=1),$C$12:C565)+LOOKUP(,-1/($Z$12:Z565=1),$H$12:H565),Первоначальный[[#This Row],[Полученный платеж]]+Y564),
AND(S564=0,TYPE(VLOOKUP("Да",(INDIRECT("AA"&amp;(MAX((1=Z$12:Z564)*ROW(Z$12:Z564),ROW($T$12))&amp;":AA"&amp;(ROW()-1)))),1,0))&lt;&gt;16),MIN(LOOKUP(,-1/($Z$12:Z565=1),$C$12:C565)+LOOKUP(,-1/($Z$12:Z565=1),$H$12:H565)-IF(AA564="Да",0,SUM(INDIRECT("T"&amp;(MAX(("Да"=AA$12:AA564)*ROW(AA$12:AA564)+1,ROW($T$12))&amp;":T"&amp;(ROW()-1))))),Первоначальный[[#This Row],[Полученный платеж]]+Y564),
AND(S564=0,MAX((0&lt;&gt;N$12:N564)*ROW(N$12:N564),ROW($S$12))&gt;=MAX((1=Z$12:Z564)*ROW(Z$12:Z564),ROW($T$12))),MIN(LOOKUP(,-1/($Z$12:Z565=1),$C$12:C565)+LOOKUP(,-1/($Z$12:Z565=1),$H$12:H565)-IF(N564&lt;&gt;0,0,SUM(INDIRECT("T"&amp;(MAX((0&lt;&gt;N$12:N564)*ROW(N$12:N564)+1,ROW($T$12))&amp;":T"&amp;(ROW()-1))))),Первоначальный[[#This Row],[Полученный платеж]]+Y564),
AND(S564=0,Первоначальный[[#This Row],[Дата платежа из графика]]=1),MIN(LOOKUP(,-1/($Z$12:Z565=1),$C$12:C565)+LOOKUP(,-1/($Z$12:Z565=1),$H$12:H565)-IF(Z564=1,0,SUM(INDIRECT("T"&amp;(MAX((1=Z$12:Z564)*ROW(Z$12:Z564)+1,ROW($T$12))&amp;":T"&amp;(ROW()-1))))),Первоначальный[[#This Row],[Полученный платеж]]+Y564),
AND(Z564&gt;0,Первоначальный[[#This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платеж]]+Y564),
AND(S564&gt;0,MAX((0&lt;&gt;S$12:S564)*ROW(S$12:S564),ROW($S$12))&gt;=MAX((1=Z$12:Z564)*ROW(Z$12:Z564),ROW($T$12)),TYPE(VLOOKUP("Да",(INDIRECT("AA"&amp;(MAX((1=Z$12:Z564)*ROW(Z$12:Z564),ROW($T$12))&amp;":AA"&amp;(ROW()-1)))),1,0))=16),MIN(LOOKUP(,-1/($Z$12:Z565=1),$C$12:C565)+LOOKUP(,-1/($Z$12:Z565=1),$H$12:H565)-SUM(INDIRECT("T"&amp;(MAX((1=Z$12:Z564)*ROW(Z$12:Z564),ROW($T$12))&amp;":T"&amp;(ROW()-1)))),Первоначальный[[#This Row],[Полученный платеж]]+Y564),
S564&gt;0,MIN(LOOKUP(,-1/($Z$12:Z565=1),$C$12:C565)+LOOKUP(,-1/($Z$12:Z565=1),$H$12:H565)-IF(Z564=1,0,SUM(INDIRECT("T"&amp;(MAX((1=Z$12:Z564)*ROW(Z$12:Z564)+1,ROW($T$12))&amp;":T"&amp;(ROW()-1))))),Первоначальный[[#This Row],[Полученный платеж]]+Y564)
)
)
)</f>
        <v>0</v>
      </c>
      <c r="U56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платеж]]+Y564-Первоначальный[[#This Row],[Полученный платёж по процентам]])</f>
        <v>0</v>
      </c>
      <c r="V565" s="55">
        <f t="shared" ca="1" si="97"/>
        <v>0</v>
      </c>
      <c r="W565" s="55" cm="1">
        <f t="array" aca="1" ref="W565" ca="1">IF(Первоначальный[[#This Row],[Итого остаток на начало периода]]&lt;1,0,
_xlfn.IFS(
AND(TYPE(VLOOKUP(1,$Z$12:Z565,1,0))=16,Первоначальный[[#This Row],[Досрочное погашение (да/"")]]=""),0,
AND(S564=0,Первоначальный[[#This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платеж]]+Y564-SUM(Первоначальный[[#This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комиссиям]]),VLOOKUP(LOOKUP(,-1/($Z$12:Z565=1),$A$12:A565),График[[Срок конец]:[Возврат основной суммы долга]],3,0)),
AND(S564=0,Первоначальный[[#This Row],[Дата платежа из графика]]="",Первоначальный[[#This Row],[Досрочное погашение (да/"")]]&lt;&gt;"Да"),0,
AND(S564=0,Первоначальный[[#This Row],[Досрочное погашение (да/"")]]=""),MIN(Первоначальный[[#This Row],[Полученный платеж]]+Y564-SUM(Первоначальный[[#This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комиссиям]]),VLOOKUP(LOOKUP(,-1/($Z$12:Z565=1),$A$12:A565),График[[Срок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платеж]]+Y564-SUM(Первоначальный[[#This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S564&gt;0,MIN(Первоначальный[[#This Row],[Полученный платеж]]+Y564-SUM(Первоначальный[[#This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комиссиям]]),SUM(INDIRECT("M"&amp;(MAX((1=S$12:S564)*ROW(S$12:S564),ROW($W$12))&amp;":M"&amp;(ROW()))))-SUM(INDIRECT("W"&amp;(MAX((1=S$12:S564)*ROW(S$12:S564),ROW($W$12))&amp;":W"&amp;(ROW()-1)))))
)
)</f>
        <v>0</v>
      </c>
      <c r="X565" s="55">
        <f t="shared" ca="1" si="98"/>
        <v>0</v>
      </c>
      <c r="Y565" s="101">
        <f t="shared" ca="1" si="105"/>
        <v>0</v>
      </c>
      <c r="Z565" s="133" t="str">
        <f>IF(TYPE((VLOOKUP(Первоначальный[[#This Row],[Дата платежа]],График[Срок конец],1,0)))=16,"",1)</f>
        <v/>
      </c>
      <c r="AA565" s="57"/>
      <c r="AB565" s="134"/>
      <c r="AC56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6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39109.629999999932</v>
      </c>
      <c r="AE56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933.33000000000129</v>
      </c>
      <c r="AF56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6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54186.700011475608</v>
      </c>
      <c r="AH565" s="55"/>
      <c r="AI565" s="55"/>
      <c r="AJ565" s="55"/>
      <c r="AK565" s="101">
        <f t="shared" ca="1" si="106"/>
        <v>243863.00001147552</v>
      </c>
      <c r="AL565" s="129">
        <f t="array" ref="AL565">MAX((УслРестрактов[Характеристика]="Дата реструктуризации")*(УслРестрактов[Значение]=Первоначальный!$A565),0)</f>
        <v>0</v>
      </c>
    </row>
    <row r="566" spans="1:38" x14ac:dyDescent="0.25">
      <c r="A566" s="97">
        <f t="shared" si="99"/>
        <v>44697</v>
      </c>
      <c r="B566" s="100">
        <f t="shared" ca="1" si="100"/>
        <v>149633.34</v>
      </c>
      <c r="C566" s="55">
        <f t="shared" ca="1" si="108"/>
        <v>39109.629999999932</v>
      </c>
      <c r="D566" s="55">
        <f t="shared" ca="1" si="108"/>
        <v>933.33000000000129</v>
      </c>
      <c r="E566" s="55">
        <f t="shared" ca="1" si="101"/>
        <v>0</v>
      </c>
      <c r="F566" s="55">
        <f t="shared" ca="1" si="102"/>
        <v>54186.700011475608</v>
      </c>
      <c r="G566" s="101">
        <f t="shared" ca="1" si="103"/>
        <v>243863.00001147552</v>
      </c>
      <c r="H566" s="100">
        <f ca="1">ROUND($B566*VLOOKUP($A566,$A$1:$B$10,2,1)/(365+IF(MOD(YEAR($A566),4),0,1)*($A566-$A565)),2)-Первоначальный[[#This Row],[Проценты на просроченный платеж по ОД за период]]</f>
        <v>77.38</v>
      </c>
      <c r="I566" s="55">
        <f t="shared" ca="1" si="104"/>
        <v>4.2</v>
      </c>
      <c r="J566" s="55">
        <v>0</v>
      </c>
      <c r="K566" s="55">
        <f t="shared" ca="1" si="107"/>
        <v>231.69350327868847</v>
      </c>
      <c r="L566" s="55">
        <v>0</v>
      </c>
      <c r="M566" s="113">
        <f>SUMIFS(График[Возврат основной суммы долга],График[Дата с учетом нерабочих дней],$A566)</f>
        <v>0</v>
      </c>
      <c r="N566" s="56">
        <f>SUMIFS(График[Возврат начисленных %],График[Дата с учетом нерабочих дней],$A566)</f>
        <v>0</v>
      </c>
      <c r="O566" s="101">
        <v>0</v>
      </c>
      <c r="P566" s="100" cm="1">
        <f t="array" aca="1" ref="P566" ca="1">MAX(IF(AA565="Да",0,SUM(INDIRECT("M"&amp;(MAX(("Да"=AA$12:AA565)*ROW(AA$12:AA565)+1,ROW($P$12))&amp;":M"&amp;(ROW()))))-SUM(INDIRECT("W"&amp;(MAX(("Да"=AA$12:AA565)*ROW(AA$12:AA565)+1,ROW($P$12))&amp;":W"&amp;(ROW()))))),0)</f>
        <v>7695.3899999999994</v>
      </c>
      <c r="Q566" s="99">
        <f ca="1">MAX(SUM($N$13:N566)-SUM($T$13:T566),0)</f>
        <v>38643.310655737696</v>
      </c>
      <c r="R566" s="99">
        <f ca="1">Первоначальный[[#This Row],[Просроченный платеж по ОД]]+Первоначальный[[#This Row],[Просроченный платеж по процентам]]</f>
        <v>46338.700655737695</v>
      </c>
      <c r="S566" s="120">
        <f ca="1">IF(Первоначальный[[#This Row],[Просроченный платеж]]&lt;1,0,S565+1)</f>
        <v>462</v>
      </c>
      <c r="T566" s="100" cm="1">
        <f t="array" aca="1" ref="T566" ca="1">IF(Первоначальный[[#This Row],[Итого остаток на начало периода]]&lt;1,0,
IF(
AND(TYPE(VLOOKUP(1,$Z$12:Z566,1,0))=16,Первоначальный[[#This Row],[Досрочное погашение (да/"")]]=""),0,
_xlfn.IFS(AND(S565=0,Первоначальный[[#This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платеж]]&lt;&gt;0),MIN(LOOKUP(,-1/($Z$12:Z566=1),$C$12:C566)+LOOKUP(,-1/($Z$12:Z566=1),$H$12:H566),Первоначальный[[#This Row],[Полученный платеж]]+Y565),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платеж]]+Y565,SUM(Первоначальный[[#This Row],[Остаток процентов на начало периода]],Первоначальный[[#This Row],[Проценты за период]])),
AND(S565=0,Первоначальный[[#This Row],[Дата платежа из графика]]=""),0,
AND(S565=0,Первоначальный[[#This Row],[Дата платежа из графика]]=1,MAX((0&lt;&gt;S$12:S565)*ROW(S$12:S565),ROW($S$12))&gt;=MAX((1=Z$12:Z565)*ROW(Z$12:Z565),ROW($T$12)),TYPE(VLOOKUP("Да",(INDIRECT("AA"&amp;(MAX((1=Z$12:Z565)*ROW(Z$12:Z565),ROW($T$12))&amp;":AA"&amp;(ROW()-1)))),1,0))=16),MIN(LOOKUP(,-1/($Z$12:Z566=1),$C$12:C566)+LOOKUP(,-1/($Z$12:Z566=1),$H$12:H566),Первоначальный[[#This Row],[Полученный платеж]]+Y565),
AND(S565=0,TYPE(VLOOKUP("Да",(INDIRECT("AA"&amp;(MAX((1=Z$12:Z565)*ROW(Z$12:Z565),ROW($T$12))&amp;":AA"&amp;(ROW()-1)))),1,0))&lt;&gt;16),MIN(LOOKUP(,-1/($Z$12:Z566=1),$C$12:C566)+LOOKUP(,-1/($Z$12:Z566=1),$H$12:H566)-IF(AA565="Да",0,SUM(INDIRECT("T"&amp;(MAX(("Да"=AA$12:AA565)*ROW(AA$12:AA565)+1,ROW($T$12))&amp;":T"&amp;(ROW()-1))))),Первоначальный[[#This Row],[Полученный платеж]]+Y565),
AND(S565=0,MAX((0&lt;&gt;N$12:N565)*ROW(N$12:N565),ROW($S$12))&gt;=MAX((1=Z$12:Z565)*ROW(Z$12:Z565),ROW($T$12))),MIN(LOOKUP(,-1/($Z$12:Z566=1),$C$12:C566)+LOOKUP(,-1/($Z$12:Z566=1),$H$12:H566)-IF(N565&lt;&gt;0,0,SUM(INDIRECT("T"&amp;(MAX((0&lt;&gt;N$12:N565)*ROW(N$12:N565)+1,ROW($T$12))&amp;":T"&amp;(ROW()-1))))),Первоначальный[[#This Row],[Полученный платеж]]+Y565),
AND(S565=0,Первоначальный[[#This Row],[Дата платежа из графика]]=1),MIN(LOOKUP(,-1/($Z$12:Z566=1),$C$12:C566)+LOOKUP(,-1/($Z$12:Z566=1),$H$12:H566)-IF(Z565=1,0,SUM(INDIRECT("T"&amp;(MAX((1=Z$12:Z565)*ROW(Z$12:Z565)+1,ROW($T$12))&amp;":T"&amp;(ROW()-1))))),Первоначальный[[#This Row],[Полученный платеж]]+Y565),
AND(Z565&gt;0,Первоначальный[[#This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платеж]]+Y565),
AND(S565&gt;0,MAX((0&lt;&gt;S$12:S565)*ROW(S$12:S565),ROW($S$12))&gt;=MAX((1=Z$12:Z565)*ROW(Z$12:Z565),ROW($T$12)),TYPE(VLOOKUP("Да",(INDIRECT("AA"&amp;(MAX((1=Z$12:Z565)*ROW(Z$12:Z565),ROW($T$12))&amp;":AA"&amp;(ROW()-1)))),1,0))=16),MIN(LOOKUP(,-1/($Z$12:Z566=1),$C$12:C566)+LOOKUP(,-1/($Z$12:Z566=1),$H$12:H566)-SUM(INDIRECT("T"&amp;(MAX((1=Z$12:Z565)*ROW(Z$12:Z565),ROW($T$12))&amp;":T"&amp;(ROW()-1)))),Первоначальный[[#This Row],[Полученный платеж]]+Y565),
S565&gt;0,MIN(LOOKUP(,-1/($Z$12:Z566=1),$C$12:C566)+LOOKUP(,-1/($Z$12:Z566=1),$H$12:H566)-IF(Z565=1,0,SUM(INDIRECT("T"&amp;(MAX((1=Z$12:Z565)*ROW(Z$12:Z565)+1,ROW($T$12))&amp;":T"&amp;(ROW()-1))))),Первоначальный[[#This Row],[Полученный платеж]]+Y565)
)
)
)</f>
        <v>0</v>
      </c>
      <c r="U56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платеж]]+Y565-Первоначальный[[#This Row],[Полученный платёж по процентам]])</f>
        <v>0</v>
      </c>
      <c r="V566" s="55">
        <f t="shared" ca="1" si="97"/>
        <v>0</v>
      </c>
      <c r="W566" s="55" cm="1">
        <f t="array" aca="1" ref="W566" ca="1">IF(Первоначальный[[#This Row],[Итого остаток на начало периода]]&lt;1,0,
_xlfn.IFS(
AND(TYPE(VLOOKUP(1,$Z$12:Z566,1,0))=16,Первоначальный[[#This Row],[Досрочное погашение (да/"")]]=""),0,
AND(S565=0,Первоначальный[[#This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платеж]]+Y565-SUM(Первоначальный[[#This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комиссиям]]),VLOOKUP(LOOKUP(,-1/($Z$12:Z566=1),$A$12:A566),График[[Срок конец]:[Возврат основной суммы долга]],3,0)),
AND(S565=0,Первоначальный[[#This Row],[Дата платежа из графика]]="",Первоначальный[[#This Row],[Досрочное погашение (да/"")]]&lt;&gt;"Да"),0,
AND(S565=0,Первоначальный[[#This Row],[Досрочное погашение (да/"")]]=""),MIN(Первоначальный[[#This Row],[Полученный платеж]]+Y565-SUM(Первоначальный[[#This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комиссиям]]),VLOOKUP(LOOKUP(,-1/($Z$12:Z566=1),$A$12:A566),График[[Срок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платеж]]+Y565-SUM(Первоначальный[[#This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S565&gt;0,MIN(Первоначальный[[#This Row],[Полученный платеж]]+Y565-SUM(Первоначальный[[#This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комиссиям]]),SUM(INDIRECT("M"&amp;(MAX((1=S$12:S565)*ROW(S$12:S565),ROW($W$12))&amp;":M"&amp;(ROW()))))-SUM(INDIRECT("W"&amp;(MAX((1=S$12:S565)*ROW(S$12:S565),ROW($W$12))&amp;":W"&amp;(ROW()-1)))))
)
)</f>
        <v>0</v>
      </c>
      <c r="X566" s="55">
        <f t="shared" ca="1" si="98"/>
        <v>0</v>
      </c>
      <c r="Y566" s="101">
        <f t="shared" ca="1" si="105"/>
        <v>0</v>
      </c>
      <c r="Z566" s="133" t="str">
        <f>IF(TYPE((VLOOKUP(Первоначальный[[#This Row],[Дата платежа]],График[Срок конец],1,0)))=16,"",1)</f>
        <v/>
      </c>
      <c r="AA566" s="57"/>
      <c r="AB566" s="134"/>
      <c r="AC56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6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39187.009999999929</v>
      </c>
      <c r="AE56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937.53000000000134</v>
      </c>
      <c r="AF56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6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54418.393514754294</v>
      </c>
      <c r="AH566" s="55"/>
      <c r="AI566" s="55"/>
      <c r="AJ566" s="55"/>
      <c r="AK566" s="101">
        <f t="shared" ca="1" si="106"/>
        <v>244176.2735147542</v>
      </c>
      <c r="AL566" s="129">
        <f t="array" ref="AL566">MAX((УслРестрактов[Характеристика]="Дата реструктуризации")*(УслРестрактов[Значение]=Первоначальный!$A566),0)</f>
        <v>0</v>
      </c>
    </row>
    <row r="567" spans="1:38" x14ac:dyDescent="0.25">
      <c r="A567" s="97">
        <f t="shared" si="99"/>
        <v>44698</v>
      </c>
      <c r="B567" s="100">
        <f t="shared" ca="1" si="100"/>
        <v>149633.34</v>
      </c>
      <c r="C567" s="55">
        <f t="shared" ca="1" si="108"/>
        <v>39187.009999999929</v>
      </c>
      <c r="D567" s="55">
        <f t="shared" ca="1" si="108"/>
        <v>937.53000000000134</v>
      </c>
      <c r="E567" s="55">
        <f t="shared" ca="1" si="101"/>
        <v>0</v>
      </c>
      <c r="F567" s="55">
        <f t="shared" ca="1" si="102"/>
        <v>54418.393514754294</v>
      </c>
      <c r="G567" s="101">
        <f t="shared" ca="1" si="103"/>
        <v>244176.2735147542</v>
      </c>
      <c r="H567" s="100">
        <f ca="1">ROUND($B567*VLOOKUP($A567,$A$1:$B$10,2,1)/(365+IF(MOD(YEAR($A567),4),0,1)*($A567-$A566)),2)-Первоначальный[[#This Row],[Проценты на просроченный платеж по ОД за период]]</f>
        <v>77.38</v>
      </c>
      <c r="I567" s="55">
        <f t="shared" ca="1" si="104"/>
        <v>4.2</v>
      </c>
      <c r="J567" s="55">
        <v>0</v>
      </c>
      <c r="K567" s="55">
        <f t="shared" ca="1" si="107"/>
        <v>231.69350327868847</v>
      </c>
      <c r="L567" s="55">
        <v>0</v>
      </c>
      <c r="M567" s="113">
        <f>SUMIFS(График[Возврат основной суммы долга],График[Дата с учетом нерабочих дней],$A567)</f>
        <v>0</v>
      </c>
      <c r="N567" s="56">
        <f>SUMIFS(График[Возврат начисленных %],График[Дата с учетом нерабочих дней],$A567)</f>
        <v>0</v>
      </c>
      <c r="O567" s="101">
        <v>0</v>
      </c>
      <c r="P567" s="100" cm="1">
        <f t="array" aca="1" ref="P567" ca="1">MAX(IF(AA566="Да",0,SUM(INDIRECT("M"&amp;(MAX(("Да"=AA$12:AA566)*ROW(AA$12:AA566)+1,ROW($P$12))&amp;":M"&amp;(ROW()))))-SUM(INDIRECT("W"&amp;(MAX(("Да"=AA$12:AA566)*ROW(AA$12:AA566)+1,ROW($P$12))&amp;":W"&amp;(ROW()))))),0)</f>
        <v>7695.3899999999994</v>
      </c>
      <c r="Q567" s="99">
        <f ca="1">MAX(SUM($N$13:N567)-SUM($T$13:T567),0)</f>
        <v>38643.310655737696</v>
      </c>
      <c r="R567" s="99">
        <f ca="1">Первоначальный[[#This Row],[Просроченный платеж по ОД]]+Первоначальный[[#This Row],[Просроченный платеж по процентам]]</f>
        <v>46338.700655737695</v>
      </c>
      <c r="S567" s="120">
        <f ca="1">IF(Первоначальный[[#This Row],[Просроченный платеж]]&lt;1,0,S566+1)</f>
        <v>463</v>
      </c>
      <c r="T567" s="100" cm="1">
        <f t="array" aca="1" ref="T567" ca="1">IF(Первоначальный[[#This Row],[Итого остаток на начало периода]]&lt;1,0,
IF(
AND(TYPE(VLOOKUP(1,$Z$12:Z567,1,0))=16,Первоначальный[[#This Row],[Досрочное погашение (да/"")]]=""),0,
_xlfn.IFS(AND(S566=0,Первоначальный[[#This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платеж]]&lt;&gt;0),MIN(LOOKUP(,-1/($Z$12:Z567=1),$C$12:C567)+LOOKUP(,-1/($Z$12:Z567=1),$H$12:H567),Первоначальный[[#This Row],[Полученный платеж]]+Y566),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платеж]]+Y566,SUM(Первоначальный[[#This Row],[Остаток процентов на начало периода]],Первоначальный[[#This Row],[Проценты за период]])),
AND(S566=0,Первоначальный[[#This Row],[Дата платежа из графика]]=""),0,
AND(S566=0,Первоначальный[[#This Row],[Дата платежа из графика]]=1,MAX((0&lt;&gt;S$12:S566)*ROW(S$12:S566),ROW($S$12))&gt;=MAX((1=Z$12:Z566)*ROW(Z$12:Z566),ROW($T$12)),TYPE(VLOOKUP("Да",(INDIRECT("AA"&amp;(MAX((1=Z$12:Z566)*ROW(Z$12:Z566),ROW($T$12))&amp;":AA"&amp;(ROW()-1)))),1,0))=16),MIN(LOOKUP(,-1/($Z$12:Z567=1),$C$12:C567)+LOOKUP(,-1/($Z$12:Z567=1),$H$12:H567),Первоначальный[[#This Row],[Полученный платеж]]+Y566),
AND(S566=0,TYPE(VLOOKUP("Да",(INDIRECT("AA"&amp;(MAX((1=Z$12:Z566)*ROW(Z$12:Z566),ROW($T$12))&amp;":AA"&amp;(ROW()-1)))),1,0))&lt;&gt;16),MIN(LOOKUP(,-1/($Z$12:Z567=1),$C$12:C567)+LOOKUP(,-1/($Z$12:Z567=1),$H$12:H567)-IF(AA566="Да",0,SUM(INDIRECT("T"&amp;(MAX(("Да"=AA$12:AA566)*ROW(AA$12:AA566)+1,ROW($T$12))&amp;":T"&amp;(ROW()-1))))),Первоначальный[[#This Row],[Полученный платеж]]+Y566),
AND(S566=0,MAX((0&lt;&gt;N$12:N566)*ROW(N$12:N566),ROW($S$12))&gt;=MAX((1=Z$12:Z566)*ROW(Z$12:Z566),ROW($T$12))),MIN(LOOKUP(,-1/($Z$12:Z567=1),$C$12:C567)+LOOKUP(,-1/($Z$12:Z567=1),$H$12:H567)-IF(N566&lt;&gt;0,0,SUM(INDIRECT("T"&amp;(MAX((0&lt;&gt;N$12:N566)*ROW(N$12:N566)+1,ROW($T$12))&amp;":T"&amp;(ROW()-1))))),Первоначальный[[#This Row],[Полученный платеж]]+Y566),
AND(S566=0,Первоначальный[[#This Row],[Дата платежа из графика]]=1),MIN(LOOKUP(,-1/($Z$12:Z567=1),$C$12:C567)+LOOKUP(,-1/($Z$12:Z567=1),$H$12:H567)-IF(Z566=1,0,SUM(INDIRECT("T"&amp;(MAX((1=Z$12:Z566)*ROW(Z$12:Z566)+1,ROW($T$12))&amp;":T"&amp;(ROW()-1))))),Первоначальный[[#This Row],[Полученный платеж]]+Y566),
AND(Z566&gt;0,Первоначальный[[#This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платеж]]+Y566),
AND(S566&gt;0,MAX((0&lt;&gt;S$12:S566)*ROW(S$12:S566),ROW($S$12))&gt;=MAX((1=Z$12:Z566)*ROW(Z$12:Z566),ROW($T$12)),TYPE(VLOOKUP("Да",(INDIRECT("AA"&amp;(MAX((1=Z$12:Z566)*ROW(Z$12:Z566),ROW($T$12))&amp;":AA"&amp;(ROW()-1)))),1,0))=16),MIN(LOOKUP(,-1/($Z$12:Z567=1),$C$12:C567)+LOOKUP(,-1/($Z$12:Z567=1),$H$12:H567)-SUM(INDIRECT("T"&amp;(MAX((1=Z$12:Z566)*ROW(Z$12:Z566),ROW($T$12))&amp;":T"&amp;(ROW()-1)))),Первоначальный[[#This Row],[Полученный платеж]]+Y566),
S566&gt;0,MIN(LOOKUP(,-1/($Z$12:Z567=1),$C$12:C567)+LOOKUP(,-1/($Z$12:Z567=1),$H$12:H567)-IF(Z566=1,0,SUM(INDIRECT("T"&amp;(MAX((1=Z$12:Z566)*ROW(Z$12:Z566)+1,ROW($T$12))&amp;":T"&amp;(ROW()-1))))),Первоначальный[[#This Row],[Полученный платеж]]+Y566)
)
)
)</f>
        <v>0</v>
      </c>
      <c r="U56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платеж]]+Y566-Первоначальный[[#This Row],[Полученный платёж по процентам]])</f>
        <v>0</v>
      </c>
      <c r="V567" s="55">
        <f t="shared" ca="1" si="97"/>
        <v>0</v>
      </c>
      <c r="W567" s="55" cm="1">
        <f t="array" aca="1" ref="W567" ca="1">IF(Первоначальный[[#This Row],[Итого остаток на начало периода]]&lt;1,0,
_xlfn.IFS(
AND(TYPE(VLOOKUP(1,$Z$12:Z567,1,0))=16,Первоначальный[[#This Row],[Досрочное погашение (да/"")]]=""),0,
AND(S566=0,Первоначальный[[#This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платеж]]+Y566-SUM(Первоначальный[[#This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комиссиям]]),VLOOKUP(LOOKUP(,-1/($Z$12:Z567=1),$A$12:A567),График[[Срок конец]:[Возврат основной суммы долга]],3,0)),
AND(S566=0,Первоначальный[[#This Row],[Дата платежа из графика]]="",Первоначальный[[#This Row],[Досрочное погашение (да/"")]]&lt;&gt;"Да"),0,
AND(S566=0,Первоначальный[[#This Row],[Досрочное погашение (да/"")]]=""),MIN(Первоначальный[[#This Row],[Полученный платеж]]+Y566-SUM(Первоначальный[[#This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комиссиям]]),VLOOKUP(LOOKUP(,-1/($Z$12:Z567=1),$A$12:A567),График[[Срок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платеж]]+Y566-SUM(Первоначальный[[#This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S566&gt;0,MIN(Первоначальный[[#This Row],[Полученный платеж]]+Y566-SUM(Первоначальный[[#This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комиссиям]]),SUM(INDIRECT("M"&amp;(MAX((1=S$12:S566)*ROW(S$12:S566),ROW($W$12))&amp;":M"&amp;(ROW()))))-SUM(INDIRECT("W"&amp;(MAX((1=S$12:S566)*ROW(S$12:S566),ROW($W$12))&amp;":W"&amp;(ROW()-1)))))
)
)</f>
        <v>0</v>
      </c>
      <c r="X567" s="55">
        <f t="shared" ca="1" si="98"/>
        <v>0</v>
      </c>
      <c r="Y567" s="101">
        <f t="shared" ca="1" si="105"/>
        <v>0</v>
      </c>
      <c r="Z567" s="133" t="str">
        <f>IF(TYPE((VLOOKUP(Первоначальный[[#This Row],[Дата платежа]],График[Срок конец],1,0)))=16,"",1)</f>
        <v/>
      </c>
      <c r="AA567" s="57"/>
      <c r="AB567" s="134"/>
      <c r="AC56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6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39264.389999999927</v>
      </c>
      <c r="AE56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941.73000000000138</v>
      </c>
      <c r="AF56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6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54650.08701803298</v>
      </c>
      <c r="AH567" s="55"/>
      <c r="AI567" s="55"/>
      <c r="AJ567" s="55"/>
      <c r="AK567" s="101">
        <f t="shared" ca="1" si="106"/>
        <v>244489.54701803293</v>
      </c>
      <c r="AL567" s="129">
        <f t="array" ref="AL567">MAX((УслРестрактов[Характеристика]="Дата реструктуризации")*(УслРестрактов[Значение]=Первоначальный!$A567),0)</f>
        <v>0</v>
      </c>
    </row>
    <row r="568" spans="1:38" x14ac:dyDescent="0.25">
      <c r="A568" s="97">
        <f t="shared" si="99"/>
        <v>44699</v>
      </c>
      <c r="B568" s="100">
        <f t="shared" ca="1" si="100"/>
        <v>149633.34</v>
      </c>
      <c r="C568" s="55">
        <f t="shared" ca="1" si="108"/>
        <v>39264.389999999927</v>
      </c>
      <c r="D568" s="55">
        <f t="shared" ca="1" si="108"/>
        <v>941.73000000000138</v>
      </c>
      <c r="E568" s="55">
        <f t="shared" ca="1" si="101"/>
        <v>0</v>
      </c>
      <c r="F568" s="55">
        <f t="shared" ca="1" si="102"/>
        <v>54650.08701803298</v>
      </c>
      <c r="G568" s="101">
        <f t="shared" ca="1" si="103"/>
        <v>244489.54701803293</v>
      </c>
      <c r="H568" s="100">
        <f ca="1">ROUND($B568*VLOOKUP($A568,$A$1:$B$10,2,1)/(365+IF(MOD(YEAR($A568),4),0,1)*($A568-$A567)),2)-Первоначальный[[#This Row],[Проценты на просроченный платеж по ОД за период]]</f>
        <v>77.38</v>
      </c>
      <c r="I568" s="55">
        <f t="shared" ca="1" si="104"/>
        <v>4.2</v>
      </c>
      <c r="J568" s="55">
        <v>0</v>
      </c>
      <c r="K568" s="55">
        <f t="shared" ca="1" si="107"/>
        <v>231.69350327868847</v>
      </c>
      <c r="L568" s="55">
        <v>0</v>
      </c>
      <c r="M568" s="113">
        <f>SUMIFS(График[Возврат основной суммы долга],График[Дата с учетом нерабочих дней],$A568)</f>
        <v>0</v>
      </c>
      <c r="N568" s="56">
        <f>SUMIFS(График[Возврат начисленных %],График[Дата с учетом нерабочих дней],$A568)</f>
        <v>0</v>
      </c>
      <c r="O568" s="101">
        <v>0</v>
      </c>
      <c r="P568" s="100" cm="1">
        <f t="array" aca="1" ref="P568" ca="1">MAX(IF(AA567="Да",0,SUM(INDIRECT("M"&amp;(MAX(("Да"=AA$12:AA567)*ROW(AA$12:AA567)+1,ROW($P$12))&amp;":M"&amp;(ROW()))))-SUM(INDIRECT("W"&amp;(MAX(("Да"=AA$12:AA567)*ROW(AA$12:AA567)+1,ROW($P$12))&amp;":W"&amp;(ROW()))))),0)</f>
        <v>7695.3899999999994</v>
      </c>
      <c r="Q568" s="99">
        <f ca="1">MAX(SUM($N$13:N568)-SUM($T$13:T568),0)</f>
        <v>38643.310655737696</v>
      </c>
      <c r="R568" s="99">
        <f ca="1">Первоначальный[[#This Row],[Просроченный платеж по ОД]]+Первоначальный[[#This Row],[Просроченный платеж по процентам]]</f>
        <v>46338.700655737695</v>
      </c>
      <c r="S568" s="120">
        <f ca="1">IF(Первоначальный[[#This Row],[Просроченный платеж]]&lt;1,0,S567+1)</f>
        <v>464</v>
      </c>
      <c r="T568" s="100" cm="1">
        <f t="array" aca="1" ref="T568" ca="1">IF(Первоначальный[[#This Row],[Итого остаток на начало периода]]&lt;1,0,
IF(
AND(TYPE(VLOOKUP(1,$Z$12:Z568,1,0))=16,Первоначальный[[#This Row],[Досрочное погашение (да/"")]]=""),0,
_xlfn.IFS(AND(S567=0,Первоначальный[[#This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платеж]]&lt;&gt;0),MIN(LOOKUP(,-1/($Z$12:Z568=1),$C$12:C568)+LOOKUP(,-1/($Z$12:Z568=1),$H$12:H568),Первоначальный[[#This Row],[Полученный платеж]]+Y567),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платеж]]+Y567,SUM(Первоначальный[[#This Row],[Остаток процентов на начало периода]],Первоначальный[[#This Row],[Проценты за период]])),
AND(S567=0,Первоначальный[[#This Row],[Дата платежа из графика]]=""),0,
AND(S567=0,Первоначальный[[#This Row],[Дата платежа из графика]]=1,MAX((0&lt;&gt;S$12:S567)*ROW(S$12:S567),ROW($S$12))&gt;=MAX((1=Z$12:Z567)*ROW(Z$12:Z567),ROW($T$12)),TYPE(VLOOKUP("Да",(INDIRECT("AA"&amp;(MAX((1=Z$12:Z567)*ROW(Z$12:Z567),ROW($T$12))&amp;":AA"&amp;(ROW()-1)))),1,0))=16),MIN(LOOKUP(,-1/($Z$12:Z568=1),$C$12:C568)+LOOKUP(,-1/($Z$12:Z568=1),$H$12:H568),Первоначальный[[#This Row],[Полученный платеж]]+Y567),
AND(S567=0,TYPE(VLOOKUP("Да",(INDIRECT("AA"&amp;(MAX((1=Z$12:Z567)*ROW(Z$12:Z567),ROW($T$12))&amp;":AA"&amp;(ROW()-1)))),1,0))&lt;&gt;16),MIN(LOOKUP(,-1/($Z$12:Z568=1),$C$12:C568)+LOOKUP(,-1/($Z$12:Z568=1),$H$12:H568)-IF(AA567="Да",0,SUM(INDIRECT("T"&amp;(MAX(("Да"=AA$12:AA567)*ROW(AA$12:AA567)+1,ROW($T$12))&amp;":T"&amp;(ROW()-1))))),Первоначальный[[#This Row],[Полученный платеж]]+Y567),
AND(S567=0,MAX((0&lt;&gt;N$12:N567)*ROW(N$12:N567),ROW($S$12))&gt;=MAX((1=Z$12:Z567)*ROW(Z$12:Z567),ROW($T$12))),MIN(LOOKUP(,-1/($Z$12:Z568=1),$C$12:C568)+LOOKUP(,-1/($Z$12:Z568=1),$H$12:H568)-IF(N567&lt;&gt;0,0,SUM(INDIRECT("T"&amp;(MAX((0&lt;&gt;N$12:N567)*ROW(N$12:N567)+1,ROW($T$12))&amp;":T"&amp;(ROW()-1))))),Первоначальный[[#This Row],[Полученный платеж]]+Y567),
AND(S567=0,Первоначальный[[#This Row],[Дата платежа из графика]]=1),MIN(LOOKUP(,-1/($Z$12:Z568=1),$C$12:C568)+LOOKUP(,-1/($Z$12:Z568=1),$H$12:H568)-IF(Z567=1,0,SUM(INDIRECT("T"&amp;(MAX((1=Z$12:Z567)*ROW(Z$12:Z567)+1,ROW($T$12))&amp;":T"&amp;(ROW()-1))))),Первоначальный[[#This Row],[Полученный платеж]]+Y567),
AND(Z567&gt;0,Первоначальный[[#This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платеж]]+Y567),
AND(S567&gt;0,MAX((0&lt;&gt;S$12:S567)*ROW(S$12:S567),ROW($S$12))&gt;=MAX((1=Z$12:Z567)*ROW(Z$12:Z567),ROW($T$12)),TYPE(VLOOKUP("Да",(INDIRECT("AA"&amp;(MAX((1=Z$12:Z567)*ROW(Z$12:Z567),ROW($T$12))&amp;":AA"&amp;(ROW()-1)))),1,0))=16),MIN(LOOKUP(,-1/($Z$12:Z568=1),$C$12:C568)+LOOKUP(,-1/($Z$12:Z568=1),$H$12:H568)-SUM(INDIRECT("T"&amp;(MAX((1=Z$12:Z567)*ROW(Z$12:Z567),ROW($T$12))&amp;":T"&amp;(ROW()-1)))),Первоначальный[[#This Row],[Полученный платеж]]+Y567),
S567&gt;0,MIN(LOOKUP(,-1/($Z$12:Z568=1),$C$12:C568)+LOOKUP(,-1/($Z$12:Z568=1),$H$12:H568)-IF(Z567=1,0,SUM(INDIRECT("T"&amp;(MAX((1=Z$12:Z567)*ROW(Z$12:Z567)+1,ROW($T$12))&amp;":T"&amp;(ROW()-1))))),Первоначальный[[#This Row],[Полученный платеж]]+Y567)
)
)
)</f>
        <v>0</v>
      </c>
      <c r="U56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платеж]]+Y567-Первоначальный[[#This Row],[Полученный платёж по процентам]])</f>
        <v>0</v>
      </c>
      <c r="V568" s="55">
        <f t="shared" ca="1" si="97"/>
        <v>0</v>
      </c>
      <c r="W568" s="55" cm="1">
        <f t="array" aca="1" ref="W568" ca="1">IF(Первоначальный[[#This Row],[Итого остаток на начало периода]]&lt;1,0,
_xlfn.IFS(
AND(TYPE(VLOOKUP(1,$Z$12:Z568,1,0))=16,Первоначальный[[#This Row],[Досрочное погашение (да/"")]]=""),0,
AND(S567=0,Первоначальный[[#This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платеж]]+Y567-SUM(Первоначальный[[#This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комиссиям]]),VLOOKUP(LOOKUP(,-1/($Z$12:Z568=1),$A$12:A568),График[[Срок конец]:[Возврат основной суммы долга]],3,0)),
AND(S567=0,Первоначальный[[#This Row],[Дата платежа из графика]]="",Первоначальный[[#This Row],[Досрочное погашение (да/"")]]&lt;&gt;"Да"),0,
AND(S567=0,Первоначальный[[#This Row],[Досрочное погашение (да/"")]]=""),MIN(Первоначальный[[#This Row],[Полученный платеж]]+Y567-SUM(Первоначальный[[#This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комиссиям]]),VLOOKUP(LOOKUP(,-1/($Z$12:Z568=1),$A$12:A568),График[[Срок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платеж]]+Y567-SUM(Первоначальный[[#This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S567&gt;0,MIN(Первоначальный[[#This Row],[Полученный платеж]]+Y567-SUM(Первоначальный[[#This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комиссиям]]),SUM(INDIRECT("M"&amp;(MAX((1=S$12:S567)*ROW(S$12:S567),ROW($W$12))&amp;":M"&amp;(ROW()))))-SUM(INDIRECT("W"&amp;(MAX((1=S$12:S567)*ROW(S$12:S567),ROW($W$12))&amp;":W"&amp;(ROW()-1)))))
)
)</f>
        <v>0</v>
      </c>
      <c r="X568" s="55">
        <f t="shared" ca="1" si="98"/>
        <v>0</v>
      </c>
      <c r="Y568" s="101">
        <f t="shared" ca="1" si="105"/>
        <v>0</v>
      </c>
      <c r="Z568" s="133" t="str">
        <f>IF(TYPE((VLOOKUP(Первоначальный[[#This Row],[Дата платежа]],График[Срок конец],1,0)))=16,"",1)</f>
        <v/>
      </c>
      <c r="AA568" s="57"/>
      <c r="AB568" s="134"/>
      <c r="AC56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6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39341.769999999924</v>
      </c>
      <c r="AE56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945.93000000000143</v>
      </c>
      <c r="AF56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6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54881.780521311666</v>
      </c>
      <c r="AH568" s="55"/>
      <c r="AI568" s="55"/>
      <c r="AJ568" s="55"/>
      <c r="AK568" s="101">
        <f t="shared" ca="1" si="106"/>
        <v>244802.8205213116</v>
      </c>
      <c r="AL568" s="129">
        <f t="array" ref="AL568">MAX((УслРестрактов[Характеристика]="Дата реструктуризации")*(УслРестрактов[Значение]=Первоначальный!$A568),0)</f>
        <v>0</v>
      </c>
    </row>
    <row r="569" spans="1:38" x14ac:dyDescent="0.25">
      <c r="A569" s="97">
        <f t="shared" si="99"/>
        <v>44700</v>
      </c>
      <c r="B569" s="100">
        <f t="shared" ca="1" si="100"/>
        <v>149633.34</v>
      </c>
      <c r="C569" s="55">
        <f t="shared" ca="1" si="108"/>
        <v>39341.769999999924</v>
      </c>
      <c r="D569" s="55">
        <f t="shared" ca="1" si="108"/>
        <v>945.93000000000143</v>
      </c>
      <c r="E569" s="55">
        <f t="shared" ca="1" si="101"/>
        <v>0</v>
      </c>
      <c r="F569" s="55">
        <f t="shared" ca="1" si="102"/>
        <v>54881.780521311666</v>
      </c>
      <c r="G569" s="101">
        <f t="shared" ca="1" si="103"/>
        <v>244802.8205213116</v>
      </c>
      <c r="H569" s="100">
        <f ca="1">ROUND($B569*VLOOKUP($A569,$A$1:$B$10,2,1)/(365+IF(MOD(YEAR($A569),4),0,1)*($A569-$A568)),2)-Первоначальный[[#This Row],[Проценты на просроченный платеж по ОД за период]]</f>
        <v>77.38</v>
      </c>
      <c r="I569" s="55">
        <f t="shared" ca="1" si="104"/>
        <v>4.2</v>
      </c>
      <c r="J569" s="55">
        <v>0</v>
      </c>
      <c r="K569" s="55">
        <f t="shared" ca="1" si="107"/>
        <v>231.69350327868847</v>
      </c>
      <c r="L569" s="55">
        <v>0</v>
      </c>
      <c r="M569" s="113">
        <f>SUMIFS(График[Возврат основной суммы долга],График[Дата с учетом нерабочих дней],$A569)</f>
        <v>0</v>
      </c>
      <c r="N569" s="56">
        <f>SUMIFS(График[Возврат начисленных %],График[Дата с учетом нерабочих дней],$A569)</f>
        <v>0</v>
      </c>
      <c r="O569" s="101">
        <v>0</v>
      </c>
      <c r="P569" s="100" cm="1">
        <f t="array" aca="1" ref="P569" ca="1">MAX(IF(AA568="Да",0,SUM(INDIRECT("M"&amp;(MAX(("Да"=AA$12:AA568)*ROW(AA$12:AA568)+1,ROW($P$12))&amp;":M"&amp;(ROW()))))-SUM(INDIRECT("W"&amp;(MAX(("Да"=AA$12:AA568)*ROW(AA$12:AA568)+1,ROW($P$12))&amp;":W"&amp;(ROW()))))),0)</f>
        <v>7695.3899999999994</v>
      </c>
      <c r="Q569" s="99">
        <f ca="1">MAX(SUM($N$13:N569)-SUM($T$13:T569),0)</f>
        <v>38643.310655737696</v>
      </c>
      <c r="R569" s="99">
        <f ca="1">Первоначальный[[#This Row],[Просроченный платеж по ОД]]+Первоначальный[[#This Row],[Просроченный платеж по процентам]]</f>
        <v>46338.700655737695</v>
      </c>
      <c r="S569" s="120">
        <f ca="1">IF(Первоначальный[[#This Row],[Просроченный платеж]]&lt;1,0,S568+1)</f>
        <v>465</v>
      </c>
      <c r="T569" s="100" cm="1">
        <f t="array" aca="1" ref="T569" ca="1">IF(Первоначальный[[#This Row],[Итого остаток на начало периода]]&lt;1,0,
IF(
AND(TYPE(VLOOKUP(1,$Z$12:Z569,1,0))=16,Первоначальный[[#This Row],[Досрочное погашение (да/"")]]=""),0,
_xlfn.IFS(AND(S568=0,Первоначальный[[#This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платеж]]&lt;&gt;0),MIN(LOOKUP(,-1/($Z$12:Z569=1),$C$12:C569)+LOOKUP(,-1/($Z$12:Z569=1),$H$12:H569),Первоначальный[[#This Row],[Полученный платеж]]+Y568),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платеж]]+Y568,SUM(Первоначальный[[#This Row],[Остаток процентов на начало периода]],Первоначальный[[#This Row],[Проценты за период]])),
AND(S568=0,Первоначальный[[#This Row],[Дата платежа из графика]]=""),0,
AND(S568=0,Первоначальный[[#This Row],[Дата платежа из графика]]=1,MAX((0&lt;&gt;S$12:S568)*ROW(S$12:S568),ROW($S$12))&gt;=MAX((1=Z$12:Z568)*ROW(Z$12:Z568),ROW($T$12)),TYPE(VLOOKUP("Да",(INDIRECT("AA"&amp;(MAX((1=Z$12:Z568)*ROW(Z$12:Z568),ROW($T$12))&amp;":AA"&amp;(ROW()-1)))),1,0))=16),MIN(LOOKUP(,-1/($Z$12:Z569=1),$C$12:C569)+LOOKUP(,-1/($Z$12:Z569=1),$H$12:H569),Первоначальный[[#This Row],[Полученный платеж]]+Y568),
AND(S568=0,TYPE(VLOOKUP("Да",(INDIRECT("AA"&amp;(MAX((1=Z$12:Z568)*ROW(Z$12:Z568),ROW($T$12))&amp;":AA"&amp;(ROW()-1)))),1,0))&lt;&gt;16),MIN(LOOKUP(,-1/($Z$12:Z569=1),$C$12:C569)+LOOKUP(,-1/($Z$12:Z569=1),$H$12:H569)-IF(AA568="Да",0,SUM(INDIRECT("T"&amp;(MAX(("Да"=AA$12:AA568)*ROW(AA$12:AA568)+1,ROW($T$12))&amp;":T"&amp;(ROW()-1))))),Первоначальный[[#This Row],[Полученный платеж]]+Y568),
AND(S568=0,MAX((0&lt;&gt;N$12:N568)*ROW(N$12:N568),ROW($S$12))&gt;=MAX((1=Z$12:Z568)*ROW(Z$12:Z568),ROW($T$12))),MIN(LOOKUP(,-1/($Z$12:Z569=1),$C$12:C569)+LOOKUP(,-1/($Z$12:Z569=1),$H$12:H569)-IF(N568&lt;&gt;0,0,SUM(INDIRECT("T"&amp;(MAX((0&lt;&gt;N$12:N568)*ROW(N$12:N568)+1,ROW($T$12))&amp;":T"&amp;(ROW()-1))))),Первоначальный[[#This Row],[Полученный платеж]]+Y568),
AND(S568=0,Первоначальный[[#This Row],[Дата платежа из графика]]=1),MIN(LOOKUP(,-1/($Z$12:Z569=1),$C$12:C569)+LOOKUP(,-1/($Z$12:Z569=1),$H$12:H569)-IF(Z568=1,0,SUM(INDIRECT("T"&amp;(MAX((1=Z$12:Z568)*ROW(Z$12:Z568)+1,ROW($T$12))&amp;":T"&amp;(ROW()-1))))),Первоначальный[[#This Row],[Полученный платеж]]+Y568),
AND(Z568&gt;0,Первоначальный[[#This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платеж]]+Y568),
AND(S568&gt;0,MAX((0&lt;&gt;S$12:S568)*ROW(S$12:S568),ROW($S$12))&gt;=MAX((1=Z$12:Z568)*ROW(Z$12:Z568),ROW($T$12)),TYPE(VLOOKUP("Да",(INDIRECT("AA"&amp;(MAX((1=Z$12:Z568)*ROW(Z$12:Z568),ROW($T$12))&amp;":AA"&amp;(ROW()-1)))),1,0))=16),MIN(LOOKUP(,-1/($Z$12:Z569=1),$C$12:C569)+LOOKUP(,-1/($Z$12:Z569=1),$H$12:H569)-SUM(INDIRECT("T"&amp;(MAX((1=Z$12:Z568)*ROW(Z$12:Z568),ROW($T$12))&amp;":T"&amp;(ROW()-1)))),Первоначальный[[#This Row],[Полученный платеж]]+Y568),
S568&gt;0,MIN(LOOKUP(,-1/($Z$12:Z569=1),$C$12:C569)+LOOKUP(,-1/($Z$12:Z569=1),$H$12:H569)-IF(Z568=1,0,SUM(INDIRECT("T"&amp;(MAX((1=Z$12:Z568)*ROW(Z$12:Z568)+1,ROW($T$12))&amp;":T"&amp;(ROW()-1))))),Первоначальный[[#This Row],[Полученный платеж]]+Y568)
)
)
)</f>
        <v>0</v>
      </c>
      <c r="U56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платеж]]+Y568-Первоначальный[[#This Row],[Полученный платёж по процентам]])</f>
        <v>0</v>
      </c>
      <c r="V569" s="55">
        <f t="shared" ca="1" si="97"/>
        <v>0</v>
      </c>
      <c r="W569" s="55" cm="1">
        <f t="array" aca="1" ref="W569" ca="1">IF(Первоначальный[[#This Row],[Итого остаток на начало периода]]&lt;1,0,
_xlfn.IFS(
AND(TYPE(VLOOKUP(1,$Z$12:Z569,1,0))=16,Первоначальный[[#This Row],[Досрочное погашение (да/"")]]=""),0,
AND(S568=0,Первоначальный[[#This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платеж]]+Y568-SUM(Первоначальный[[#This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комиссиям]]),VLOOKUP(LOOKUP(,-1/($Z$12:Z569=1),$A$12:A569),График[[Срок конец]:[Возврат основной суммы долга]],3,0)),
AND(S568=0,Первоначальный[[#This Row],[Дата платежа из графика]]="",Первоначальный[[#This Row],[Досрочное погашение (да/"")]]&lt;&gt;"Да"),0,
AND(S568=0,Первоначальный[[#This Row],[Досрочное погашение (да/"")]]=""),MIN(Первоначальный[[#This Row],[Полученный платеж]]+Y568-SUM(Первоначальный[[#This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комиссиям]]),VLOOKUP(LOOKUP(,-1/($Z$12:Z569=1),$A$12:A569),График[[Срок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платеж]]+Y568-SUM(Первоначальный[[#This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S568&gt;0,MIN(Первоначальный[[#This Row],[Полученный платеж]]+Y568-SUM(Первоначальный[[#This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комиссиям]]),SUM(INDIRECT("M"&amp;(MAX((1=S$12:S568)*ROW(S$12:S568),ROW($W$12))&amp;":M"&amp;(ROW()))))-SUM(INDIRECT("W"&amp;(MAX((1=S$12:S568)*ROW(S$12:S568),ROW($W$12))&amp;":W"&amp;(ROW()-1)))))
)
)</f>
        <v>0</v>
      </c>
      <c r="X569" s="55">
        <f t="shared" ca="1" si="98"/>
        <v>0</v>
      </c>
      <c r="Y569" s="101">
        <f t="shared" ca="1" si="105"/>
        <v>0</v>
      </c>
      <c r="Z569" s="133" t="str">
        <f>IF(TYPE((VLOOKUP(Первоначальный[[#This Row],[Дата платежа]],График[Срок конец],1,0)))=16,"",1)</f>
        <v/>
      </c>
      <c r="AA569" s="57"/>
      <c r="AB569" s="134"/>
      <c r="AC56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6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39419.149999999921</v>
      </c>
      <c r="AE56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950.13000000000147</v>
      </c>
      <c r="AF56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6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55113.474024590352</v>
      </c>
      <c r="AH569" s="55"/>
      <c r="AI569" s="55"/>
      <c r="AJ569" s="55"/>
      <c r="AK569" s="101">
        <f t="shared" ca="1" si="106"/>
        <v>245116.09402459027</v>
      </c>
      <c r="AL569" s="129">
        <f t="array" ref="AL569">MAX((УслРестрактов[Характеристика]="Дата реструктуризации")*(УслРестрактов[Значение]=Первоначальный!$A569),0)</f>
        <v>0</v>
      </c>
    </row>
    <row r="570" spans="1:38" x14ac:dyDescent="0.25">
      <c r="A570" s="97">
        <f t="shared" si="99"/>
        <v>44701</v>
      </c>
      <c r="B570" s="100">
        <f t="shared" ca="1" si="100"/>
        <v>149633.34</v>
      </c>
      <c r="C570" s="55">
        <f t="shared" ca="1" si="108"/>
        <v>39419.149999999921</v>
      </c>
      <c r="D570" s="55">
        <f t="shared" ca="1" si="108"/>
        <v>950.13000000000147</v>
      </c>
      <c r="E570" s="55">
        <f t="shared" ca="1" si="101"/>
        <v>0</v>
      </c>
      <c r="F570" s="55">
        <f t="shared" ca="1" si="102"/>
        <v>55113.474024590352</v>
      </c>
      <c r="G570" s="101">
        <f t="shared" ca="1" si="103"/>
        <v>245116.09402459027</v>
      </c>
      <c r="H570" s="100">
        <f ca="1">ROUND($B570*VLOOKUP($A570,$A$1:$B$10,2,1)/(365+IF(MOD(YEAR($A570),4),0,1)*($A570-$A569)),2)-Первоначальный[[#This Row],[Проценты на просроченный платеж по ОД за период]]</f>
        <v>77.38</v>
      </c>
      <c r="I570" s="55">
        <f t="shared" ca="1" si="104"/>
        <v>4.2</v>
      </c>
      <c r="J570" s="55">
        <v>0</v>
      </c>
      <c r="K570" s="55">
        <f t="shared" ca="1" si="107"/>
        <v>231.69350327868847</v>
      </c>
      <c r="L570" s="55">
        <v>0</v>
      </c>
      <c r="M570" s="113">
        <f>SUMIFS(График[Возврат основной суммы долга],График[Дата с учетом нерабочих дней],$A570)</f>
        <v>0</v>
      </c>
      <c r="N570" s="56">
        <f>SUMIFS(График[Возврат начисленных %],График[Дата с учетом нерабочих дней],$A570)</f>
        <v>0</v>
      </c>
      <c r="O570" s="101">
        <v>0</v>
      </c>
      <c r="P570" s="100" cm="1">
        <f t="array" aca="1" ref="P570" ca="1">MAX(IF(AA569="Да",0,SUM(INDIRECT("M"&amp;(MAX(("Да"=AA$12:AA569)*ROW(AA$12:AA569)+1,ROW($P$12))&amp;":M"&amp;(ROW()))))-SUM(INDIRECT("W"&amp;(MAX(("Да"=AA$12:AA569)*ROW(AA$12:AA569)+1,ROW($P$12))&amp;":W"&amp;(ROW()))))),0)</f>
        <v>7695.3899999999994</v>
      </c>
      <c r="Q570" s="99">
        <f ca="1">MAX(SUM($N$13:N570)-SUM($T$13:T570),0)</f>
        <v>38643.310655737696</v>
      </c>
      <c r="R570" s="99">
        <f ca="1">Первоначальный[[#This Row],[Просроченный платеж по ОД]]+Первоначальный[[#This Row],[Просроченный платеж по процентам]]</f>
        <v>46338.700655737695</v>
      </c>
      <c r="S570" s="120">
        <f ca="1">IF(Первоначальный[[#This Row],[Просроченный платеж]]&lt;1,0,S569+1)</f>
        <v>466</v>
      </c>
      <c r="T570" s="100" cm="1">
        <f t="array" aca="1" ref="T570" ca="1">IF(Первоначальный[[#This Row],[Итого остаток на начало периода]]&lt;1,0,
IF(
AND(TYPE(VLOOKUP(1,$Z$12:Z570,1,0))=16,Первоначальный[[#This Row],[Досрочное погашение (да/"")]]=""),0,
_xlfn.IFS(AND(S569=0,Первоначальный[[#This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платеж]]&lt;&gt;0),MIN(LOOKUP(,-1/($Z$12:Z570=1),$C$12:C570)+LOOKUP(,-1/($Z$12:Z570=1),$H$12:H570),Первоначальный[[#This Row],[Полученный платеж]]+Y569),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платеж]]+Y569,SUM(Первоначальный[[#This Row],[Остаток процентов на начало периода]],Первоначальный[[#This Row],[Проценты за период]])),
AND(S569=0,Первоначальный[[#This Row],[Дата платежа из графика]]=""),0,
AND(S569=0,Первоначальный[[#This Row],[Дата платежа из графика]]=1,MAX((0&lt;&gt;S$12:S569)*ROW(S$12:S569),ROW($S$12))&gt;=MAX((1=Z$12:Z569)*ROW(Z$12:Z569),ROW($T$12)),TYPE(VLOOKUP("Да",(INDIRECT("AA"&amp;(MAX((1=Z$12:Z569)*ROW(Z$12:Z569),ROW($T$12))&amp;":AA"&amp;(ROW()-1)))),1,0))=16),MIN(LOOKUP(,-1/($Z$12:Z570=1),$C$12:C570)+LOOKUP(,-1/($Z$12:Z570=1),$H$12:H570),Первоначальный[[#This Row],[Полученный платеж]]+Y569),
AND(S569=0,TYPE(VLOOKUP("Да",(INDIRECT("AA"&amp;(MAX((1=Z$12:Z569)*ROW(Z$12:Z569),ROW($T$12))&amp;":AA"&amp;(ROW()-1)))),1,0))&lt;&gt;16),MIN(LOOKUP(,-1/($Z$12:Z570=1),$C$12:C570)+LOOKUP(,-1/($Z$12:Z570=1),$H$12:H570)-IF(AA569="Да",0,SUM(INDIRECT("T"&amp;(MAX(("Да"=AA$12:AA569)*ROW(AA$12:AA569)+1,ROW($T$12))&amp;":T"&amp;(ROW()-1))))),Первоначальный[[#This Row],[Полученный платеж]]+Y569),
AND(S569=0,MAX((0&lt;&gt;N$12:N569)*ROW(N$12:N569),ROW($S$12))&gt;=MAX((1=Z$12:Z569)*ROW(Z$12:Z569),ROW($T$12))),MIN(LOOKUP(,-1/($Z$12:Z570=1),$C$12:C570)+LOOKUP(,-1/($Z$12:Z570=1),$H$12:H570)-IF(N569&lt;&gt;0,0,SUM(INDIRECT("T"&amp;(MAX((0&lt;&gt;N$12:N569)*ROW(N$12:N569)+1,ROW($T$12))&amp;":T"&amp;(ROW()-1))))),Первоначальный[[#This Row],[Полученный платеж]]+Y569),
AND(S569=0,Первоначальный[[#This Row],[Дата платежа из графика]]=1),MIN(LOOKUP(,-1/($Z$12:Z570=1),$C$12:C570)+LOOKUP(,-1/($Z$12:Z570=1),$H$12:H570)-IF(Z569=1,0,SUM(INDIRECT("T"&amp;(MAX((1=Z$12:Z569)*ROW(Z$12:Z569)+1,ROW($T$12))&amp;":T"&amp;(ROW()-1))))),Первоначальный[[#This Row],[Полученный платеж]]+Y569),
AND(Z569&gt;0,Первоначальный[[#This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платеж]]+Y569),
AND(S569&gt;0,MAX((0&lt;&gt;S$12:S569)*ROW(S$12:S569),ROW($S$12))&gt;=MAX((1=Z$12:Z569)*ROW(Z$12:Z569),ROW($T$12)),TYPE(VLOOKUP("Да",(INDIRECT("AA"&amp;(MAX((1=Z$12:Z569)*ROW(Z$12:Z569),ROW($T$12))&amp;":AA"&amp;(ROW()-1)))),1,0))=16),MIN(LOOKUP(,-1/($Z$12:Z570=1),$C$12:C570)+LOOKUP(,-1/($Z$12:Z570=1),$H$12:H570)-SUM(INDIRECT("T"&amp;(MAX((1=Z$12:Z569)*ROW(Z$12:Z569),ROW($T$12))&amp;":T"&amp;(ROW()-1)))),Первоначальный[[#This Row],[Полученный платеж]]+Y569),
S569&gt;0,MIN(LOOKUP(,-1/($Z$12:Z570=1),$C$12:C570)+LOOKUP(,-1/($Z$12:Z570=1),$H$12:H570)-IF(Z569=1,0,SUM(INDIRECT("T"&amp;(MAX((1=Z$12:Z569)*ROW(Z$12:Z569)+1,ROW($T$12))&amp;":T"&amp;(ROW()-1))))),Первоначальный[[#This Row],[Полученный платеж]]+Y569)
)
)
)</f>
        <v>0</v>
      </c>
      <c r="U57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платеж]]+Y569-Первоначальный[[#This Row],[Полученный платёж по процентам]])</f>
        <v>0</v>
      </c>
      <c r="V570" s="55">
        <f t="shared" ca="1" si="97"/>
        <v>0</v>
      </c>
      <c r="W570" s="55" cm="1">
        <f t="array" aca="1" ref="W570" ca="1">IF(Первоначальный[[#This Row],[Итого остаток на начало периода]]&lt;1,0,
_xlfn.IFS(
AND(TYPE(VLOOKUP(1,$Z$12:Z570,1,0))=16,Первоначальный[[#This Row],[Досрочное погашение (да/"")]]=""),0,
AND(S569=0,Первоначальный[[#This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платеж]]+Y569-SUM(Первоначальный[[#This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комиссиям]]),VLOOKUP(LOOKUP(,-1/($Z$12:Z570=1),$A$12:A570),График[[Срок конец]:[Возврат основной суммы долга]],3,0)),
AND(S569=0,Первоначальный[[#This Row],[Дата платежа из графика]]="",Первоначальный[[#This Row],[Досрочное погашение (да/"")]]&lt;&gt;"Да"),0,
AND(S569=0,Первоначальный[[#This Row],[Досрочное погашение (да/"")]]=""),MIN(Первоначальный[[#This Row],[Полученный платеж]]+Y569-SUM(Первоначальный[[#This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комиссиям]]),VLOOKUP(LOOKUP(,-1/($Z$12:Z570=1),$A$12:A570),График[[Срок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платеж]]+Y569-SUM(Первоначальный[[#This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S569&gt;0,MIN(Первоначальный[[#This Row],[Полученный платеж]]+Y569-SUM(Первоначальный[[#This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комиссиям]]),SUM(INDIRECT("M"&amp;(MAX((1=S$12:S569)*ROW(S$12:S569),ROW($W$12))&amp;":M"&amp;(ROW()))))-SUM(INDIRECT("W"&amp;(MAX((1=S$12:S569)*ROW(S$12:S569),ROW($W$12))&amp;":W"&amp;(ROW()-1)))))
)
)</f>
        <v>0</v>
      </c>
      <c r="X570" s="55">
        <f t="shared" ca="1" si="98"/>
        <v>0</v>
      </c>
      <c r="Y570" s="101">
        <f t="shared" ca="1" si="105"/>
        <v>0</v>
      </c>
      <c r="Z570" s="133" t="str">
        <f>IF(TYPE((VLOOKUP(Первоначальный[[#This Row],[Дата платежа]],График[Срок конец],1,0)))=16,"",1)</f>
        <v/>
      </c>
      <c r="AA570" s="57"/>
      <c r="AB570" s="134"/>
      <c r="AC57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7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39496.529999999919</v>
      </c>
      <c r="AE57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954.33000000000152</v>
      </c>
      <c r="AF57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7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55345.167527869038</v>
      </c>
      <c r="AH570" s="55"/>
      <c r="AI570" s="55"/>
      <c r="AJ570" s="55"/>
      <c r="AK570" s="101">
        <f t="shared" ca="1" si="106"/>
        <v>245429.36752786895</v>
      </c>
      <c r="AL570" s="129">
        <f t="array" ref="AL570">MAX((УслРестрактов[Характеристика]="Дата реструктуризации")*(УслРестрактов[Значение]=Первоначальный!$A570),0)</f>
        <v>0</v>
      </c>
    </row>
    <row r="571" spans="1:38" x14ac:dyDescent="0.25">
      <c r="A571" s="97">
        <f t="shared" si="99"/>
        <v>44702</v>
      </c>
      <c r="B571" s="100">
        <f t="shared" ca="1" si="100"/>
        <v>149633.34</v>
      </c>
      <c r="C571" s="55">
        <f t="shared" ca="1" si="108"/>
        <v>39496.529999999919</v>
      </c>
      <c r="D571" s="55">
        <f t="shared" ca="1" si="108"/>
        <v>954.33000000000152</v>
      </c>
      <c r="E571" s="55">
        <f t="shared" ca="1" si="101"/>
        <v>0</v>
      </c>
      <c r="F571" s="55">
        <f t="shared" ca="1" si="102"/>
        <v>55345.167527869038</v>
      </c>
      <c r="G571" s="101">
        <f t="shared" ca="1" si="103"/>
        <v>245429.36752786895</v>
      </c>
      <c r="H571" s="100">
        <f ca="1">ROUND($B571*VLOOKUP($A571,$A$1:$B$10,2,1)/(365+IF(MOD(YEAR($A571),4),0,1)*($A571-$A570)),2)-Первоначальный[[#This Row],[Проценты на просроченный платеж по ОД за период]]</f>
        <v>77.38</v>
      </c>
      <c r="I571" s="55">
        <f t="shared" ca="1" si="104"/>
        <v>4.2</v>
      </c>
      <c r="J571" s="55">
        <v>0</v>
      </c>
      <c r="K571" s="55">
        <f t="shared" ca="1" si="107"/>
        <v>231.69350327868847</v>
      </c>
      <c r="L571" s="55">
        <v>0</v>
      </c>
      <c r="M571" s="113">
        <f>SUMIFS(График[Возврат основной суммы долга],График[Дата с учетом нерабочих дней],$A571)</f>
        <v>0</v>
      </c>
      <c r="N571" s="56">
        <f>SUMIFS(График[Возврат начисленных %],График[Дата с учетом нерабочих дней],$A571)</f>
        <v>0</v>
      </c>
      <c r="O571" s="101">
        <v>0</v>
      </c>
      <c r="P571" s="100" cm="1">
        <f t="array" aca="1" ref="P571" ca="1">MAX(IF(AA570="Да",0,SUM(INDIRECT("M"&amp;(MAX(("Да"=AA$12:AA570)*ROW(AA$12:AA570)+1,ROW($P$12))&amp;":M"&amp;(ROW()))))-SUM(INDIRECT("W"&amp;(MAX(("Да"=AA$12:AA570)*ROW(AA$12:AA570)+1,ROW($P$12))&amp;":W"&amp;(ROW()))))),0)</f>
        <v>7695.3899999999994</v>
      </c>
      <c r="Q571" s="99">
        <f ca="1">MAX(SUM($N$13:N571)-SUM($T$13:T571),0)</f>
        <v>38643.310655737696</v>
      </c>
      <c r="R571" s="99">
        <f ca="1">Первоначальный[[#This Row],[Просроченный платеж по ОД]]+Первоначальный[[#This Row],[Просроченный платеж по процентам]]</f>
        <v>46338.700655737695</v>
      </c>
      <c r="S571" s="120">
        <f ca="1">IF(Первоначальный[[#This Row],[Просроченный платеж]]&lt;1,0,S570+1)</f>
        <v>467</v>
      </c>
      <c r="T571" s="100" cm="1">
        <f t="array" aca="1" ref="T571" ca="1">IF(Первоначальный[[#This Row],[Итого остаток на начало периода]]&lt;1,0,
IF(
AND(TYPE(VLOOKUP(1,$Z$12:Z571,1,0))=16,Первоначальный[[#This Row],[Досрочное погашение (да/"")]]=""),0,
_xlfn.IFS(AND(S570=0,Первоначальный[[#This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платеж]]&lt;&gt;0),MIN(LOOKUP(,-1/($Z$12:Z571=1),$C$12:C571)+LOOKUP(,-1/($Z$12:Z571=1),$H$12:H571),Первоначальный[[#This Row],[Полученный платеж]]+Y570),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платеж]]+Y570,SUM(Первоначальный[[#This Row],[Остаток процентов на начало периода]],Первоначальный[[#This Row],[Проценты за период]])),
AND(S570=0,Первоначальный[[#This Row],[Дата платежа из графика]]=""),0,
AND(S570=0,Первоначальный[[#This Row],[Дата платежа из графика]]=1,MAX((0&lt;&gt;S$12:S570)*ROW(S$12:S570),ROW($S$12))&gt;=MAX((1=Z$12:Z570)*ROW(Z$12:Z570),ROW($T$12)),TYPE(VLOOKUP("Да",(INDIRECT("AA"&amp;(MAX((1=Z$12:Z570)*ROW(Z$12:Z570),ROW($T$12))&amp;":AA"&amp;(ROW()-1)))),1,0))=16),MIN(LOOKUP(,-1/($Z$12:Z571=1),$C$12:C571)+LOOKUP(,-1/($Z$12:Z571=1),$H$12:H571),Первоначальный[[#This Row],[Полученный платеж]]+Y570),
AND(S570=0,TYPE(VLOOKUP("Да",(INDIRECT("AA"&amp;(MAX((1=Z$12:Z570)*ROW(Z$12:Z570),ROW($T$12))&amp;":AA"&amp;(ROW()-1)))),1,0))&lt;&gt;16),MIN(LOOKUP(,-1/($Z$12:Z571=1),$C$12:C571)+LOOKUP(,-1/($Z$12:Z571=1),$H$12:H571)-IF(AA570="Да",0,SUM(INDIRECT("T"&amp;(MAX(("Да"=AA$12:AA570)*ROW(AA$12:AA570)+1,ROW($T$12))&amp;":T"&amp;(ROW()-1))))),Первоначальный[[#This Row],[Полученный платеж]]+Y570),
AND(S570=0,MAX((0&lt;&gt;N$12:N570)*ROW(N$12:N570),ROW($S$12))&gt;=MAX((1=Z$12:Z570)*ROW(Z$12:Z570),ROW($T$12))),MIN(LOOKUP(,-1/($Z$12:Z571=1),$C$12:C571)+LOOKUP(,-1/($Z$12:Z571=1),$H$12:H571)-IF(N570&lt;&gt;0,0,SUM(INDIRECT("T"&amp;(MAX((0&lt;&gt;N$12:N570)*ROW(N$12:N570)+1,ROW($T$12))&amp;":T"&amp;(ROW()-1))))),Первоначальный[[#This Row],[Полученный платеж]]+Y570),
AND(S570=0,Первоначальный[[#This Row],[Дата платежа из графика]]=1),MIN(LOOKUP(,-1/($Z$12:Z571=1),$C$12:C571)+LOOKUP(,-1/($Z$12:Z571=1),$H$12:H571)-IF(Z570=1,0,SUM(INDIRECT("T"&amp;(MAX((1=Z$12:Z570)*ROW(Z$12:Z570)+1,ROW($T$12))&amp;":T"&amp;(ROW()-1))))),Первоначальный[[#This Row],[Полученный платеж]]+Y570),
AND(Z570&gt;0,Первоначальный[[#This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платеж]]+Y570),
AND(S570&gt;0,MAX((0&lt;&gt;S$12:S570)*ROW(S$12:S570),ROW($S$12))&gt;=MAX((1=Z$12:Z570)*ROW(Z$12:Z570),ROW($T$12)),TYPE(VLOOKUP("Да",(INDIRECT("AA"&amp;(MAX((1=Z$12:Z570)*ROW(Z$12:Z570),ROW($T$12))&amp;":AA"&amp;(ROW()-1)))),1,0))=16),MIN(LOOKUP(,-1/($Z$12:Z571=1),$C$12:C571)+LOOKUP(,-1/($Z$12:Z571=1),$H$12:H571)-SUM(INDIRECT("T"&amp;(MAX((1=Z$12:Z570)*ROW(Z$12:Z570),ROW($T$12))&amp;":T"&amp;(ROW()-1)))),Первоначальный[[#This Row],[Полученный платеж]]+Y570),
S570&gt;0,MIN(LOOKUP(,-1/($Z$12:Z571=1),$C$12:C571)+LOOKUP(,-1/($Z$12:Z571=1),$H$12:H571)-IF(Z570=1,0,SUM(INDIRECT("T"&amp;(MAX((1=Z$12:Z570)*ROW(Z$12:Z570)+1,ROW($T$12))&amp;":T"&amp;(ROW()-1))))),Первоначальный[[#This Row],[Полученный платеж]]+Y570)
)
)
)</f>
        <v>0</v>
      </c>
      <c r="U57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платеж]]+Y570-Первоначальный[[#This Row],[Полученный платёж по процентам]])</f>
        <v>0</v>
      </c>
      <c r="V571" s="55">
        <f t="shared" ca="1" si="97"/>
        <v>0</v>
      </c>
      <c r="W571" s="55" cm="1">
        <f t="array" aca="1" ref="W571" ca="1">IF(Первоначальный[[#This Row],[Итого остаток на начало периода]]&lt;1,0,
_xlfn.IFS(
AND(TYPE(VLOOKUP(1,$Z$12:Z571,1,0))=16,Первоначальный[[#This Row],[Досрочное погашение (да/"")]]=""),0,
AND(S570=0,Первоначальный[[#This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платеж]]+Y570-SUM(Первоначальный[[#This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комиссиям]]),VLOOKUP(LOOKUP(,-1/($Z$12:Z571=1),$A$12:A571),График[[Срок конец]:[Возврат основной суммы долга]],3,0)),
AND(S570=0,Первоначальный[[#This Row],[Дата платежа из графика]]="",Первоначальный[[#This Row],[Досрочное погашение (да/"")]]&lt;&gt;"Да"),0,
AND(S570=0,Первоначальный[[#This Row],[Досрочное погашение (да/"")]]=""),MIN(Первоначальный[[#This Row],[Полученный платеж]]+Y570-SUM(Первоначальный[[#This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комиссиям]]),VLOOKUP(LOOKUP(,-1/($Z$12:Z571=1),$A$12:A571),График[[Срок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платеж]]+Y570-SUM(Первоначальный[[#This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S570&gt;0,MIN(Первоначальный[[#This Row],[Полученный платеж]]+Y570-SUM(Первоначальный[[#This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комиссиям]]),SUM(INDIRECT("M"&amp;(MAX((1=S$12:S570)*ROW(S$12:S570),ROW($W$12))&amp;":M"&amp;(ROW()))))-SUM(INDIRECT("W"&amp;(MAX((1=S$12:S570)*ROW(S$12:S570),ROW($W$12))&amp;":W"&amp;(ROW()-1)))))
)
)</f>
        <v>0</v>
      </c>
      <c r="X571" s="55">
        <f t="shared" ca="1" si="98"/>
        <v>0</v>
      </c>
      <c r="Y571" s="101">
        <f t="shared" ca="1" si="105"/>
        <v>0</v>
      </c>
      <c r="Z571" s="133" t="str">
        <f>IF(TYPE((VLOOKUP(Первоначальный[[#This Row],[Дата платежа]],График[Срок конец],1,0)))=16,"",1)</f>
        <v/>
      </c>
      <c r="AA571" s="57"/>
      <c r="AB571" s="134"/>
      <c r="AC57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7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39573.909999999916</v>
      </c>
      <c r="AE57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958.53000000000156</v>
      </c>
      <c r="AF57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7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55576.861031147724</v>
      </c>
      <c r="AH571" s="55"/>
      <c r="AI571" s="55"/>
      <c r="AJ571" s="55"/>
      <c r="AK571" s="101">
        <f t="shared" ca="1" si="106"/>
        <v>245742.64103114762</v>
      </c>
      <c r="AL571" s="129">
        <f t="array" ref="AL571">MAX((УслРестрактов[Характеристика]="Дата реструктуризации")*(УслРестрактов[Значение]=Первоначальный!$A571),0)</f>
        <v>0</v>
      </c>
    </row>
    <row r="572" spans="1:38" x14ac:dyDescent="0.25">
      <c r="A572" s="97">
        <f t="shared" si="99"/>
        <v>44703</v>
      </c>
      <c r="B572" s="100">
        <f t="shared" ca="1" si="100"/>
        <v>149633.34</v>
      </c>
      <c r="C572" s="55">
        <f t="shared" ca="1" si="108"/>
        <v>39573.909999999916</v>
      </c>
      <c r="D572" s="55">
        <f t="shared" ca="1" si="108"/>
        <v>958.53000000000156</v>
      </c>
      <c r="E572" s="55">
        <f t="shared" ca="1" si="101"/>
        <v>0</v>
      </c>
      <c r="F572" s="55">
        <f t="shared" ca="1" si="102"/>
        <v>55576.861031147724</v>
      </c>
      <c r="G572" s="101">
        <f t="shared" ca="1" si="103"/>
        <v>245742.64103114762</v>
      </c>
      <c r="H572" s="100">
        <f ca="1">ROUND($B572*VLOOKUP($A572,$A$1:$B$10,2,1)/(365+IF(MOD(YEAR($A572),4),0,1)*($A572-$A571)),2)-Первоначальный[[#This Row],[Проценты на просроченный платеж по ОД за период]]</f>
        <v>77.38</v>
      </c>
      <c r="I572" s="55">
        <f t="shared" ca="1" si="104"/>
        <v>4.2</v>
      </c>
      <c r="J572" s="55">
        <v>0</v>
      </c>
      <c r="K572" s="55">
        <f t="shared" ca="1" si="107"/>
        <v>231.69350327868847</v>
      </c>
      <c r="L572" s="55">
        <v>0</v>
      </c>
      <c r="M572" s="113">
        <f>SUMIFS(График[Возврат основной суммы долга],График[Дата с учетом нерабочих дней],$A572)</f>
        <v>0</v>
      </c>
      <c r="N572" s="56">
        <f>SUMIFS(График[Возврат начисленных %],График[Дата с учетом нерабочих дней],$A572)</f>
        <v>0</v>
      </c>
      <c r="O572" s="101">
        <v>0</v>
      </c>
      <c r="P572" s="100" cm="1">
        <f t="array" aca="1" ref="P572" ca="1">MAX(IF(AA571="Да",0,SUM(INDIRECT("M"&amp;(MAX(("Да"=AA$12:AA571)*ROW(AA$12:AA571)+1,ROW($P$12))&amp;":M"&amp;(ROW()))))-SUM(INDIRECT("W"&amp;(MAX(("Да"=AA$12:AA571)*ROW(AA$12:AA571)+1,ROW($P$12))&amp;":W"&amp;(ROW()))))),0)</f>
        <v>7695.3899999999994</v>
      </c>
      <c r="Q572" s="99">
        <f ca="1">MAX(SUM($N$13:N572)-SUM($T$13:T572),0)</f>
        <v>38643.310655737696</v>
      </c>
      <c r="R572" s="99">
        <f ca="1">Первоначальный[[#This Row],[Просроченный платеж по ОД]]+Первоначальный[[#This Row],[Просроченный платеж по процентам]]</f>
        <v>46338.700655737695</v>
      </c>
      <c r="S572" s="120">
        <f ca="1">IF(Первоначальный[[#This Row],[Просроченный платеж]]&lt;1,0,S571+1)</f>
        <v>468</v>
      </c>
      <c r="T572" s="100" cm="1">
        <f t="array" aca="1" ref="T572" ca="1">IF(Первоначальный[[#This Row],[Итого остаток на начало периода]]&lt;1,0,
IF(
AND(TYPE(VLOOKUP(1,$Z$12:Z572,1,0))=16,Первоначальный[[#This Row],[Досрочное погашение (да/"")]]=""),0,
_xlfn.IFS(AND(S571=0,Первоначальный[[#This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платеж]]&lt;&gt;0),MIN(LOOKUP(,-1/($Z$12:Z572=1),$C$12:C572)+LOOKUP(,-1/($Z$12:Z572=1),$H$12:H572),Первоначальный[[#This Row],[Полученный платеж]]+Y571),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платеж]]+Y571,SUM(Первоначальный[[#This Row],[Остаток процентов на начало периода]],Первоначальный[[#This Row],[Проценты за период]])),
AND(S571=0,Первоначальный[[#This Row],[Дата платежа из графика]]=""),0,
AND(S571=0,Первоначальный[[#This Row],[Дата платежа из графика]]=1,MAX((0&lt;&gt;S$12:S571)*ROW(S$12:S571),ROW($S$12))&gt;=MAX((1=Z$12:Z571)*ROW(Z$12:Z571),ROW($T$12)),TYPE(VLOOKUP("Да",(INDIRECT("AA"&amp;(MAX((1=Z$12:Z571)*ROW(Z$12:Z571),ROW($T$12))&amp;":AA"&amp;(ROW()-1)))),1,0))=16),MIN(LOOKUP(,-1/($Z$12:Z572=1),$C$12:C572)+LOOKUP(,-1/($Z$12:Z572=1),$H$12:H572),Первоначальный[[#This Row],[Полученный платеж]]+Y571),
AND(S571=0,TYPE(VLOOKUP("Да",(INDIRECT("AA"&amp;(MAX((1=Z$12:Z571)*ROW(Z$12:Z571),ROW($T$12))&amp;":AA"&amp;(ROW()-1)))),1,0))&lt;&gt;16),MIN(LOOKUP(,-1/($Z$12:Z572=1),$C$12:C572)+LOOKUP(,-1/($Z$12:Z572=1),$H$12:H572)-IF(AA571="Да",0,SUM(INDIRECT("T"&amp;(MAX(("Да"=AA$12:AA571)*ROW(AA$12:AA571)+1,ROW($T$12))&amp;":T"&amp;(ROW()-1))))),Первоначальный[[#This Row],[Полученный платеж]]+Y571),
AND(S571=0,MAX((0&lt;&gt;N$12:N571)*ROW(N$12:N571),ROW($S$12))&gt;=MAX((1=Z$12:Z571)*ROW(Z$12:Z571),ROW($T$12))),MIN(LOOKUP(,-1/($Z$12:Z572=1),$C$12:C572)+LOOKUP(,-1/($Z$12:Z572=1),$H$12:H572)-IF(N571&lt;&gt;0,0,SUM(INDIRECT("T"&amp;(MAX((0&lt;&gt;N$12:N571)*ROW(N$12:N571)+1,ROW($T$12))&amp;":T"&amp;(ROW()-1))))),Первоначальный[[#This Row],[Полученный платеж]]+Y571),
AND(S571=0,Первоначальный[[#This Row],[Дата платежа из графика]]=1),MIN(LOOKUP(,-1/($Z$12:Z572=1),$C$12:C572)+LOOKUP(,-1/($Z$12:Z572=1),$H$12:H572)-IF(Z571=1,0,SUM(INDIRECT("T"&amp;(MAX((1=Z$12:Z571)*ROW(Z$12:Z571)+1,ROW($T$12))&amp;":T"&amp;(ROW()-1))))),Первоначальный[[#This Row],[Полученный платеж]]+Y571),
AND(Z571&gt;0,Первоначальный[[#This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платеж]]+Y571),
AND(S571&gt;0,MAX((0&lt;&gt;S$12:S571)*ROW(S$12:S571),ROW($S$12))&gt;=MAX((1=Z$12:Z571)*ROW(Z$12:Z571),ROW($T$12)),TYPE(VLOOKUP("Да",(INDIRECT("AA"&amp;(MAX((1=Z$12:Z571)*ROW(Z$12:Z571),ROW($T$12))&amp;":AA"&amp;(ROW()-1)))),1,0))=16),MIN(LOOKUP(,-1/($Z$12:Z572=1),$C$12:C572)+LOOKUP(,-1/($Z$12:Z572=1),$H$12:H572)-SUM(INDIRECT("T"&amp;(MAX((1=Z$12:Z571)*ROW(Z$12:Z571),ROW($T$12))&amp;":T"&amp;(ROW()-1)))),Первоначальный[[#This Row],[Полученный платеж]]+Y571),
S571&gt;0,MIN(LOOKUP(,-1/($Z$12:Z572=1),$C$12:C572)+LOOKUP(,-1/($Z$12:Z572=1),$H$12:H572)-IF(Z571=1,0,SUM(INDIRECT("T"&amp;(MAX((1=Z$12:Z571)*ROW(Z$12:Z571)+1,ROW($T$12))&amp;":T"&amp;(ROW()-1))))),Первоначальный[[#This Row],[Полученный платеж]]+Y571)
)
)
)</f>
        <v>0</v>
      </c>
      <c r="U57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платеж]]+Y571-Первоначальный[[#This Row],[Полученный платёж по процентам]])</f>
        <v>0</v>
      </c>
      <c r="V572" s="55">
        <f t="shared" ca="1" si="97"/>
        <v>0</v>
      </c>
      <c r="W572" s="55" cm="1">
        <f t="array" aca="1" ref="W572" ca="1">IF(Первоначальный[[#This Row],[Итого остаток на начало периода]]&lt;1,0,
_xlfn.IFS(
AND(TYPE(VLOOKUP(1,$Z$12:Z572,1,0))=16,Первоначальный[[#This Row],[Досрочное погашение (да/"")]]=""),0,
AND(S571=0,Первоначальный[[#This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платеж]]+Y571-SUM(Первоначальный[[#This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комиссиям]]),VLOOKUP(LOOKUP(,-1/($Z$12:Z572=1),$A$12:A572),График[[Срок конец]:[Возврат основной суммы долга]],3,0)),
AND(S571=0,Первоначальный[[#This Row],[Дата платежа из графика]]="",Первоначальный[[#This Row],[Досрочное погашение (да/"")]]&lt;&gt;"Да"),0,
AND(S571=0,Первоначальный[[#This Row],[Досрочное погашение (да/"")]]=""),MIN(Первоначальный[[#This Row],[Полученный платеж]]+Y571-SUM(Первоначальный[[#This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комиссиям]]),VLOOKUP(LOOKUP(,-1/($Z$12:Z572=1),$A$12:A572),График[[Срок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платеж]]+Y571-SUM(Первоначальный[[#This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S571&gt;0,MIN(Первоначальный[[#This Row],[Полученный платеж]]+Y571-SUM(Первоначальный[[#This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комиссиям]]),SUM(INDIRECT("M"&amp;(MAX((1=S$12:S571)*ROW(S$12:S571),ROW($W$12))&amp;":M"&amp;(ROW()))))-SUM(INDIRECT("W"&amp;(MAX((1=S$12:S571)*ROW(S$12:S571),ROW($W$12))&amp;":W"&amp;(ROW()-1)))))
)
)</f>
        <v>0</v>
      </c>
      <c r="X572" s="55">
        <f t="shared" ca="1" si="98"/>
        <v>0</v>
      </c>
      <c r="Y572" s="101">
        <f t="shared" ca="1" si="105"/>
        <v>0</v>
      </c>
      <c r="Z572" s="133" t="str">
        <f>IF(TYPE((VLOOKUP(Первоначальный[[#This Row],[Дата платежа]],График[Срок конец],1,0)))=16,"",1)</f>
        <v/>
      </c>
      <c r="AA572" s="57"/>
      <c r="AB572" s="134"/>
      <c r="AC57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7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39651.289999999914</v>
      </c>
      <c r="AE57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962.73000000000161</v>
      </c>
      <c r="AF57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7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55808.55453442641</v>
      </c>
      <c r="AH572" s="55"/>
      <c r="AI572" s="55"/>
      <c r="AJ572" s="55"/>
      <c r="AK572" s="101">
        <f t="shared" ca="1" si="106"/>
        <v>246055.91453442635</v>
      </c>
      <c r="AL572" s="129">
        <f t="array" ref="AL572">MAX((УслРестрактов[Характеристика]="Дата реструктуризации")*(УслРестрактов[Значение]=Первоначальный!$A572),0)</f>
        <v>0</v>
      </c>
    </row>
    <row r="573" spans="1:38" x14ac:dyDescent="0.25">
      <c r="A573" s="97">
        <f t="shared" si="99"/>
        <v>44704</v>
      </c>
      <c r="B573" s="100">
        <f t="shared" ca="1" si="100"/>
        <v>149633.34</v>
      </c>
      <c r="C573" s="55">
        <f t="shared" ca="1" si="108"/>
        <v>39651.289999999914</v>
      </c>
      <c r="D573" s="55">
        <f t="shared" ca="1" si="108"/>
        <v>962.73000000000161</v>
      </c>
      <c r="E573" s="55">
        <f t="shared" ca="1" si="101"/>
        <v>0</v>
      </c>
      <c r="F573" s="55">
        <f t="shared" ca="1" si="102"/>
        <v>55808.55453442641</v>
      </c>
      <c r="G573" s="101">
        <f t="shared" ca="1" si="103"/>
        <v>246055.91453442635</v>
      </c>
      <c r="H573" s="100">
        <f ca="1">ROUND($B573*VLOOKUP($A573,$A$1:$B$10,2,1)/(365+IF(MOD(YEAR($A573),4),0,1)*($A573-$A572)),2)-Первоначальный[[#This Row],[Проценты на просроченный платеж по ОД за период]]</f>
        <v>77.38</v>
      </c>
      <c r="I573" s="55">
        <f t="shared" ca="1" si="104"/>
        <v>4.2</v>
      </c>
      <c r="J573" s="55">
        <v>0</v>
      </c>
      <c r="K573" s="55">
        <f t="shared" ca="1" si="107"/>
        <v>231.69350327868847</v>
      </c>
      <c r="L573" s="55">
        <v>0</v>
      </c>
      <c r="M573" s="113">
        <f>SUMIFS(График[Возврат основной суммы долга],График[Дата с учетом нерабочих дней],$A573)</f>
        <v>0</v>
      </c>
      <c r="N573" s="56">
        <f>SUMIFS(График[Возврат начисленных %],График[Дата с учетом нерабочих дней],$A573)</f>
        <v>0</v>
      </c>
      <c r="O573" s="101">
        <v>0</v>
      </c>
      <c r="P573" s="100" cm="1">
        <f t="array" aca="1" ref="P573" ca="1">MAX(IF(AA572="Да",0,SUM(INDIRECT("M"&amp;(MAX(("Да"=AA$12:AA572)*ROW(AA$12:AA572)+1,ROW($P$12))&amp;":M"&amp;(ROW()))))-SUM(INDIRECT("W"&amp;(MAX(("Да"=AA$12:AA572)*ROW(AA$12:AA572)+1,ROW($P$12))&amp;":W"&amp;(ROW()))))),0)</f>
        <v>7695.3899999999994</v>
      </c>
      <c r="Q573" s="99">
        <f ca="1">MAX(SUM($N$13:N573)-SUM($T$13:T573),0)</f>
        <v>38643.310655737696</v>
      </c>
      <c r="R573" s="99">
        <f ca="1">Первоначальный[[#This Row],[Просроченный платеж по ОД]]+Первоначальный[[#This Row],[Просроченный платеж по процентам]]</f>
        <v>46338.700655737695</v>
      </c>
      <c r="S573" s="120">
        <f ca="1">IF(Первоначальный[[#This Row],[Просроченный платеж]]&lt;1,0,S572+1)</f>
        <v>469</v>
      </c>
      <c r="T573" s="100" cm="1">
        <f t="array" aca="1" ref="T573" ca="1">IF(Первоначальный[[#This Row],[Итого остаток на начало периода]]&lt;1,0,
IF(
AND(TYPE(VLOOKUP(1,$Z$12:Z573,1,0))=16,Первоначальный[[#This Row],[Досрочное погашение (да/"")]]=""),0,
_xlfn.IFS(AND(S572=0,Первоначальный[[#This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платеж]]&lt;&gt;0),MIN(LOOKUP(,-1/($Z$12:Z573=1),$C$12:C573)+LOOKUP(,-1/($Z$12:Z573=1),$H$12:H573),Первоначальный[[#This Row],[Полученный платеж]]+Y572),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платеж]]+Y572,SUM(Первоначальный[[#This Row],[Остаток процентов на начало периода]],Первоначальный[[#This Row],[Проценты за период]])),
AND(S572=0,Первоначальный[[#This Row],[Дата платежа из графика]]=""),0,
AND(S572=0,Первоначальный[[#This Row],[Дата платежа из графика]]=1,MAX((0&lt;&gt;S$12:S572)*ROW(S$12:S572),ROW($S$12))&gt;=MAX((1=Z$12:Z572)*ROW(Z$12:Z572),ROW($T$12)),TYPE(VLOOKUP("Да",(INDIRECT("AA"&amp;(MAX((1=Z$12:Z572)*ROW(Z$12:Z572),ROW($T$12))&amp;":AA"&amp;(ROW()-1)))),1,0))=16),MIN(LOOKUP(,-1/($Z$12:Z573=1),$C$12:C573)+LOOKUP(,-1/($Z$12:Z573=1),$H$12:H573),Первоначальный[[#This Row],[Полученный платеж]]+Y572),
AND(S572=0,TYPE(VLOOKUP("Да",(INDIRECT("AA"&amp;(MAX((1=Z$12:Z572)*ROW(Z$12:Z572),ROW($T$12))&amp;":AA"&amp;(ROW()-1)))),1,0))&lt;&gt;16),MIN(LOOKUP(,-1/($Z$12:Z573=1),$C$12:C573)+LOOKUP(,-1/($Z$12:Z573=1),$H$12:H573)-IF(AA572="Да",0,SUM(INDIRECT("T"&amp;(MAX(("Да"=AA$12:AA572)*ROW(AA$12:AA572)+1,ROW($T$12))&amp;":T"&amp;(ROW()-1))))),Первоначальный[[#This Row],[Полученный платеж]]+Y572),
AND(S572=0,MAX((0&lt;&gt;N$12:N572)*ROW(N$12:N572),ROW($S$12))&gt;=MAX((1=Z$12:Z572)*ROW(Z$12:Z572),ROW($T$12))),MIN(LOOKUP(,-1/($Z$12:Z573=1),$C$12:C573)+LOOKUP(,-1/($Z$12:Z573=1),$H$12:H573)-IF(N572&lt;&gt;0,0,SUM(INDIRECT("T"&amp;(MAX((0&lt;&gt;N$12:N572)*ROW(N$12:N572)+1,ROW($T$12))&amp;":T"&amp;(ROW()-1))))),Первоначальный[[#This Row],[Полученный платеж]]+Y572),
AND(S572=0,Первоначальный[[#This Row],[Дата платежа из графика]]=1),MIN(LOOKUP(,-1/($Z$12:Z573=1),$C$12:C573)+LOOKUP(,-1/($Z$12:Z573=1),$H$12:H573)-IF(Z572=1,0,SUM(INDIRECT("T"&amp;(MAX((1=Z$12:Z572)*ROW(Z$12:Z572)+1,ROW($T$12))&amp;":T"&amp;(ROW()-1))))),Первоначальный[[#This Row],[Полученный платеж]]+Y572),
AND(Z572&gt;0,Первоначальный[[#This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платеж]]+Y572),
AND(S572&gt;0,MAX((0&lt;&gt;S$12:S572)*ROW(S$12:S572),ROW($S$12))&gt;=MAX((1=Z$12:Z572)*ROW(Z$12:Z572),ROW($T$12)),TYPE(VLOOKUP("Да",(INDIRECT("AA"&amp;(MAX((1=Z$12:Z572)*ROW(Z$12:Z572),ROW($T$12))&amp;":AA"&amp;(ROW()-1)))),1,0))=16),MIN(LOOKUP(,-1/($Z$12:Z573=1),$C$12:C573)+LOOKUP(,-1/($Z$12:Z573=1),$H$12:H573)-SUM(INDIRECT("T"&amp;(MAX((1=Z$12:Z572)*ROW(Z$12:Z572),ROW($T$12))&amp;":T"&amp;(ROW()-1)))),Первоначальный[[#This Row],[Полученный платеж]]+Y572),
S572&gt;0,MIN(LOOKUP(,-1/($Z$12:Z573=1),$C$12:C573)+LOOKUP(,-1/($Z$12:Z573=1),$H$12:H573)-IF(Z572=1,0,SUM(INDIRECT("T"&amp;(MAX((1=Z$12:Z572)*ROW(Z$12:Z572)+1,ROW($T$12))&amp;":T"&amp;(ROW()-1))))),Первоначальный[[#This Row],[Полученный платеж]]+Y572)
)
)
)</f>
        <v>0</v>
      </c>
      <c r="U57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платеж]]+Y572-Первоначальный[[#This Row],[Полученный платёж по процентам]])</f>
        <v>0</v>
      </c>
      <c r="V573" s="55">
        <f t="shared" ca="1" si="97"/>
        <v>0</v>
      </c>
      <c r="W573" s="55" cm="1">
        <f t="array" aca="1" ref="W573" ca="1">IF(Первоначальный[[#This Row],[Итого остаток на начало периода]]&lt;1,0,
_xlfn.IFS(
AND(TYPE(VLOOKUP(1,$Z$12:Z573,1,0))=16,Первоначальный[[#This Row],[Досрочное погашение (да/"")]]=""),0,
AND(S572=0,Первоначальный[[#This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платеж]]+Y572-SUM(Первоначальный[[#This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комиссиям]]),VLOOKUP(LOOKUP(,-1/($Z$12:Z573=1),$A$12:A573),График[[Срок конец]:[Возврат основной суммы долга]],3,0)),
AND(S572=0,Первоначальный[[#This Row],[Дата платежа из графика]]="",Первоначальный[[#This Row],[Досрочное погашение (да/"")]]&lt;&gt;"Да"),0,
AND(S572=0,Первоначальный[[#This Row],[Досрочное погашение (да/"")]]=""),MIN(Первоначальный[[#This Row],[Полученный платеж]]+Y572-SUM(Первоначальный[[#This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комиссиям]]),VLOOKUP(LOOKUP(,-1/($Z$12:Z573=1),$A$12:A573),График[[Срок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платеж]]+Y572-SUM(Первоначальный[[#This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S572&gt;0,MIN(Первоначальный[[#This Row],[Полученный платеж]]+Y572-SUM(Первоначальный[[#This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комиссиям]]),SUM(INDIRECT("M"&amp;(MAX((1=S$12:S572)*ROW(S$12:S572),ROW($W$12))&amp;":M"&amp;(ROW()))))-SUM(INDIRECT("W"&amp;(MAX((1=S$12:S572)*ROW(S$12:S572),ROW($W$12))&amp;":W"&amp;(ROW()-1)))))
)
)</f>
        <v>0</v>
      </c>
      <c r="X573" s="55">
        <f t="shared" ca="1" si="98"/>
        <v>0</v>
      </c>
      <c r="Y573" s="101">
        <f t="shared" ca="1" si="105"/>
        <v>0</v>
      </c>
      <c r="Z573" s="133" t="str">
        <f>IF(TYPE((VLOOKUP(Первоначальный[[#This Row],[Дата платежа]],График[Срок конец],1,0)))=16,"",1)</f>
        <v/>
      </c>
      <c r="AA573" s="57"/>
      <c r="AB573" s="134"/>
      <c r="AC57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7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39728.669999999911</v>
      </c>
      <c r="AE57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966.93000000000166</v>
      </c>
      <c r="AF57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7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56040.248037705096</v>
      </c>
      <c r="AH573" s="55"/>
      <c r="AI573" s="55"/>
      <c r="AJ573" s="55"/>
      <c r="AK573" s="101">
        <f t="shared" ca="1" si="106"/>
        <v>246369.18803770497</v>
      </c>
      <c r="AL573" s="129">
        <f t="array" ref="AL573">MAX((УслРестрактов[Характеристика]="Дата реструктуризации")*(УслРестрактов[Значение]=Первоначальный!$A573),0)</f>
        <v>0</v>
      </c>
    </row>
    <row r="574" spans="1:38" x14ac:dyDescent="0.25">
      <c r="A574" s="97">
        <f t="shared" si="99"/>
        <v>44705</v>
      </c>
      <c r="B574" s="100">
        <f t="shared" ca="1" si="100"/>
        <v>149633.34</v>
      </c>
      <c r="C574" s="55">
        <f t="shared" ca="1" si="108"/>
        <v>39728.669999999911</v>
      </c>
      <c r="D574" s="55">
        <f t="shared" ca="1" si="108"/>
        <v>966.93000000000166</v>
      </c>
      <c r="E574" s="55">
        <f t="shared" ca="1" si="101"/>
        <v>0</v>
      </c>
      <c r="F574" s="55">
        <f t="shared" ca="1" si="102"/>
        <v>56040.248037705096</v>
      </c>
      <c r="G574" s="101">
        <f t="shared" ca="1" si="103"/>
        <v>246369.18803770497</v>
      </c>
      <c r="H574" s="100">
        <f ca="1">ROUND($B574*VLOOKUP($A574,$A$1:$B$10,2,1)/(365+IF(MOD(YEAR($A574),4),0,1)*($A574-$A573)),2)-Первоначальный[[#This Row],[Проценты на просроченный платеж по ОД за период]]</f>
        <v>77.38</v>
      </c>
      <c r="I574" s="55">
        <f t="shared" ca="1" si="104"/>
        <v>4.2</v>
      </c>
      <c r="J574" s="55">
        <v>0</v>
      </c>
      <c r="K574" s="55">
        <f t="shared" ca="1" si="107"/>
        <v>231.69350327868847</v>
      </c>
      <c r="L574" s="55">
        <v>0</v>
      </c>
      <c r="M574" s="113">
        <f>SUMIFS(График[Возврат основной суммы долга],График[Дата с учетом нерабочих дней],$A574)</f>
        <v>0</v>
      </c>
      <c r="N574" s="56">
        <f>SUMIFS(График[Возврат начисленных %],График[Дата с учетом нерабочих дней],$A574)</f>
        <v>0</v>
      </c>
      <c r="O574" s="101">
        <v>0</v>
      </c>
      <c r="P574" s="100" cm="1">
        <f t="array" aca="1" ref="P574" ca="1">MAX(IF(AA573="Да",0,SUM(INDIRECT("M"&amp;(MAX(("Да"=AA$12:AA573)*ROW(AA$12:AA573)+1,ROW($P$12))&amp;":M"&amp;(ROW()))))-SUM(INDIRECT("W"&amp;(MAX(("Да"=AA$12:AA573)*ROW(AA$12:AA573)+1,ROW($P$12))&amp;":W"&amp;(ROW()))))),0)</f>
        <v>7695.3899999999994</v>
      </c>
      <c r="Q574" s="99">
        <f ca="1">MAX(SUM($N$13:N574)-SUM($T$13:T574),0)</f>
        <v>38643.310655737696</v>
      </c>
      <c r="R574" s="99">
        <f ca="1">Первоначальный[[#This Row],[Просроченный платеж по ОД]]+Первоначальный[[#This Row],[Просроченный платеж по процентам]]</f>
        <v>46338.700655737695</v>
      </c>
      <c r="S574" s="120">
        <f ca="1">IF(Первоначальный[[#This Row],[Просроченный платеж]]&lt;1,0,S573+1)</f>
        <v>470</v>
      </c>
      <c r="T574" s="100" cm="1">
        <f t="array" aca="1" ref="T574" ca="1">IF(Первоначальный[[#This Row],[Итого остаток на начало периода]]&lt;1,0,
IF(
AND(TYPE(VLOOKUP(1,$Z$12:Z574,1,0))=16,Первоначальный[[#This Row],[Досрочное погашение (да/"")]]=""),0,
_xlfn.IFS(AND(S573=0,Первоначальный[[#This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платеж]]&lt;&gt;0),MIN(LOOKUP(,-1/($Z$12:Z574=1),$C$12:C574)+LOOKUP(,-1/($Z$12:Z574=1),$H$12:H574),Первоначальный[[#This Row],[Полученный платеж]]+Y573),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платеж]]+Y573,SUM(Первоначальный[[#This Row],[Остаток процентов на начало периода]],Первоначальный[[#This Row],[Проценты за период]])),
AND(S573=0,Первоначальный[[#This Row],[Дата платежа из графика]]=""),0,
AND(S573=0,Первоначальный[[#This Row],[Дата платежа из графика]]=1,MAX((0&lt;&gt;S$12:S573)*ROW(S$12:S573),ROW($S$12))&gt;=MAX((1=Z$12:Z573)*ROW(Z$12:Z573),ROW($T$12)),TYPE(VLOOKUP("Да",(INDIRECT("AA"&amp;(MAX((1=Z$12:Z573)*ROW(Z$12:Z573),ROW($T$12))&amp;":AA"&amp;(ROW()-1)))),1,0))=16),MIN(LOOKUP(,-1/($Z$12:Z574=1),$C$12:C574)+LOOKUP(,-1/($Z$12:Z574=1),$H$12:H574),Первоначальный[[#This Row],[Полученный платеж]]+Y573),
AND(S573=0,TYPE(VLOOKUP("Да",(INDIRECT("AA"&amp;(MAX((1=Z$12:Z573)*ROW(Z$12:Z573),ROW($T$12))&amp;":AA"&amp;(ROW()-1)))),1,0))&lt;&gt;16),MIN(LOOKUP(,-1/($Z$12:Z574=1),$C$12:C574)+LOOKUP(,-1/($Z$12:Z574=1),$H$12:H574)-IF(AA573="Да",0,SUM(INDIRECT("T"&amp;(MAX(("Да"=AA$12:AA573)*ROW(AA$12:AA573)+1,ROW($T$12))&amp;":T"&amp;(ROW()-1))))),Первоначальный[[#This Row],[Полученный платеж]]+Y573),
AND(S573=0,MAX((0&lt;&gt;N$12:N573)*ROW(N$12:N573),ROW($S$12))&gt;=MAX((1=Z$12:Z573)*ROW(Z$12:Z573),ROW($T$12))),MIN(LOOKUP(,-1/($Z$12:Z574=1),$C$12:C574)+LOOKUP(,-1/($Z$12:Z574=1),$H$12:H574)-IF(N573&lt;&gt;0,0,SUM(INDIRECT("T"&amp;(MAX((0&lt;&gt;N$12:N573)*ROW(N$12:N573)+1,ROW($T$12))&amp;":T"&amp;(ROW()-1))))),Первоначальный[[#This Row],[Полученный платеж]]+Y573),
AND(S573=0,Первоначальный[[#This Row],[Дата платежа из графика]]=1),MIN(LOOKUP(,-1/($Z$12:Z574=1),$C$12:C574)+LOOKUP(,-1/($Z$12:Z574=1),$H$12:H574)-IF(Z573=1,0,SUM(INDIRECT("T"&amp;(MAX((1=Z$12:Z573)*ROW(Z$12:Z573)+1,ROW($T$12))&amp;":T"&amp;(ROW()-1))))),Первоначальный[[#This Row],[Полученный платеж]]+Y573),
AND(Z573&gt;0,Первоначальный[[#This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платеж]]+Y573),
AND(S573&gt;0,MAX((0&lt;&gt;S$12:S573)*ROW(S$12:S573),ROW($S$12))&gt;=MAX((1=Z$12:Z573)*ROW(Z$12:Z573),ROW($T$12)),TYPE(VLOOKUP("Да",(INDIRECT("AA"&amp;(MAX((1=Z$12:Z573)*ROW(Z$12:Z573),ROW($T$12))&amp;":AA"&amp;(ROW()-1)))),1,0))=16),MIN(LOOKUP(,-1/($Z$12:Z574=1),$C$12:C574)+LOOKUP(,-1/($Z$12:Z574=1),$H$12:H574)-SUM(INDIRECT("T"&amp;(MAX((1=Z$12:Z573)*ROW(Z$12:Z573),ROW($T$12))&amp;":T"&amp;(ROW()-1)))),Первоначальный[[#This Row],[Полученный платеж]]+Y573),
S573&gt;0,MIN(LOOKUP(,-1/($Z$12:Z574=1),$C$12:C574)+LOOKUP(,-1/($Z$12:Z574=1),$H$12:H574)-IF(Z573=1,0,SUM(INDIRECT("T"&amp;(MAX((1=Z$12:Z573)*ROW(Z$12:Z573)+1,ROW($T$12))&amp;":T"&amp;(ROW()-1))))),Первоначальный[[#This Row],[Полученный платеж]]+Y573)
)
)
)</f>
        <v>0</v>
      </c>
      <c r="U57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платеж]]+Y573-Первоначальный[[#This Row],[Полученный платёж по процентам]])</f>
        <v>0</v>
      </c>
      <c r="V574" s="55">
        <f t="shared" ca="1" si="97"/>
        <v>0</v>
      </c>
      <c r="W574" s="55" cm="1">
        <f t="array" aca="1" ref="W574" ca="1">IF(Первоначальный[[#This Row],[Итого остаток на начало периода]]&lt;1,0,
_xlfn.IFS(
AND(TYPE(VLOOKUP(1,$Z$12:Z574,1,0))=16,Первоначальный[[#This Row],[Досрочное погашение (да/"")]]=""),0,
AND(S573=0,Первоначальный[[#This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платеж]]+Y573-SUM(Первоначальный[[#This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комиссиям]]),VLOOKUP(LOOKUP(,-1/($Z$12:Z574=1),$A$12:A574),График[[Срок конец]:[Возврат основной суммы долга]],3,0)),
AND(S573=0,Первоначальный[[#This Row],[Дата платежа из графика]]="",Первоначальный[[#This Row],[Досрочное погашение (да/"")]]&lt;&gt;"Да"),0,
AND(S573=0,Первоначальный[[#This Row],[Досрочное погашение (да/"")]]=""),MIN(Первоначальный[[#This Row],[Полученный платеж]]+Y573-SUM(Первоначальный[[#This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комиссиям]]),VLOOKUP(LOOKUP(,-1/($Z$12:Z574=1),$A$12:A574),График[[Срок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платеж]]+Y573-SUM(Первоначальный[[#This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S573&gt;0,MIN(Первоначальный[[#This Row],[Полученный платеж]]+Y573-SUM(Первоначальный[[#This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комиссиям]]),SUM(INDIRECT("M"&amp;(MAX((1=S$12:S573)*ROW(S$12:S573),ROW($W$12))&amp;":M"&amp;(ROW()))))-SUM(INDIRECT("W"&amp;(MAX((1=S$12:S573)*ROW(S$12:S573),ROW($W$12))&amp;":W"&amp;(ROW()-1)))))
)
)</f>
        <v>0</v>
      </c>
      <c r="X574" s="55">
        <f t="shared" ca="1" si="98"/>
        <v>0</v>
      </c>
      <c r="Y574" s="101">
        <f t="shared" ca="1" si="105"/>
        <v>0</v>
      </c>
      <c r="Z574" s="133" t="str">
        <f>IF(TYPE((VLOOKUP(Первоначальный[[#This Row],[Дата платежа]],График[Срок конец],1,0)))=16,"",1)</f>
        <v/>
      </c>
      <c r="AA574" s="57"/>
      <c r="AB574" s="134"/>
      <c r="AC57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7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39806.049999999908</v>
      </c>
      <c r="AE57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971.1300000000017</v>
      </c>
      <c r="AF57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7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56271.941540983782</v>
      </c>
      <c r="AH574" s="55"/>
      <c r="AI574" s="55"/>
      <c r="AJ574" s="55"/>
      <c r="AK574" s="101">
        <f t="shared" ca="1" si="106"/>
        <v>246682.4615409837</v>
      </c>
      <c r="AL574" s="129">
        <f t="array" ref="AL574">MAX((УслРестрактов[Характеристика]="Дата реструктуризации")*(УслРестрактов[Значение]=Первоначальный!$A574),0)</f>
        <v>0</v>
      </c>
    </row>
    <row r="575" spans="1:38" x14ac:dyDescent="0.25">
      <c r="A575" s="97">
        <f t="shared" si="99"/>
        <v>44706</v>
      </c>
      <c r="B575" s="100">
        <f t="shared" ca="1" si="100"/>
        <v>149633.34</v>
      </c>
      <c r="C575" s="55">
        <f t="shared" ca="1" si="108"/>
        <v>39806.049999999908</v>
      </c>
      <c r="D575" s="55">
        <f t="shared" ca="1" si="108"/>
        <v>971.1300000000017</v>
      </c>
      <c r="E575" s="55">
        <f t="shared" ca="1" si="101"/>
        <v>0</v>
      </c>
      <c r="F575" s="55">
        <f t="shared" ca="1" si="102"/>
        <v>56271.941540983782</v>
      </c>
      <c r="G575" s="101">
        <f t="shared" ca="1" si="103"/>
        <v>246682.4615409837</v>
      </c>
      <c r="H575" s="100">
        <f ca="1">ROUND($B575*VLOOKUP($A575,$A$1:$B$10,2,1)/(365+IF(MOD(YEAR($A575),4),0,1)*($A575-$A574)),2)-Первоначальный[[#This Row],[Проценты на просроченный платеж по ОД за период]]</f>
        <v>77.38</v>
      </c>
      <c r="I575" s="55">
        <f t="shared" ca="1" si="104"/>
        <v>4.2</v>
      </c>
      <c r="J575" s="55">
        <v>0</v>
      </c>
      <c r="K575" s="55">
        <f t="shared" ca="1" si="107"/>
        <v>231.69350327868847</v>
      </c>
      <c r="L575" s="55">
        <v>0</v>
      </c>
      <c r="M575" s="113">
        <f>SUMIFS(График[Возврат основной суммы долга],График[Дата с учетом нерабочих дней],$A575)</f>
        <v>0</v>
      </c>
      <c r="N575" s="56">
        <f>SUMIFS(График[Возврат начисленных %],График[Дата с учетом нерабочих дней],$A575)</f>
        <v>0</v>
      </c>
      <c r="O575" s="101">
        <v>0</v>
      </c>
      <c r="P575" s="100" cm="1">
        <f t="array" aca="1" ref="P575" ca="1">MAX(IF(AA574="Да",0,SUM(INDIRECT("M"&amp;(MAX(("Да"=AA$12:AA574)*ROW(AA$12:AA574)+1,ROW($P$12))&amp;":M"&amp;(ROW()))))-SUM(INDIRECT("W"&amp;(MAX(("Да"=AA$12:AA574)*ROW(AA$12:AA574)+1,ROW($P$12))&amp;":W"&amp;(ROW()))))),0)</f>
        <v>7695.3899999999994</v>
      </c>
      <c r="Q575" s="99">
        <f ca="1">MAX(SUM($N$13:N575)-SUM($T$13:T575),0)</f>
        <v>38643.310655737696</v>
      </c>
      <c r="R575" s="99">
        <f ca="1">Первоначальный[[#This Row],[Просроченный платеж по ОД]]+Первоначальный[[#This Row],[Просроченный платеж по процентам]]</f>
        <v>46338.700655737695</v>
      </c>
      <c r="S575" s="120">
        <f ca="1">IF(Первоначальный[[#This Row],[Просроченный платеж]]&lt;1,0,S574+1)</f>
        <v>471</v>
      </c>
      <c r="T575" s="100" cm="1">
        <f t="array" aca="1" ref="T575" ca="1">IF(Первоначальный[[#This Row],[Итого остаток на начало периода]]&lt;1,0,
IF(
AND(TYPE(VLOOKUP(1,$Z$12:Z575,1,0))=16,Первоначальный[[#This Row],[Досрочное погашение (да/"")]]=""),0,
_xlfn.IFS(AND(S574=0,Первоначальный[[#This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платеж]]&lt;&gt;0),MIN(LOOKUP(,-1/($Z$12:Z575=1),$C$12:C575)+LOOKUP(,-1/($Z$12:Z575=1),$H$12:H575),Первоначальный[[#This Row],[Полученный платеж]]+Y574),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платеж]]+Y574,SUM(Первоначальный[[#This Row],[Остаток процентов на начало периода]],Первоначальный[[#This Row],[Проценты за период]])),
AND(S574=0,Первоначальный[[#This Row],[Дата платежа из графика]]=""),0,
AND(S574=0,Первоначальный[[#This Row],[Дата платежа из графика]]=1,MAX((0&lt;&gt;S$12:S574)*ROW(S$12:S574),ROW($S$12))&gt;=MAX((1=Z$12:Z574)*ROW(Z$12:Z574),ROW($T$12)),TYPE(VLOOKUP("Да",(INDIRECT("AA"&amp;(MAX((1=Z$12:Z574)*ROW(Z$12:Z574),ROW($T$12))&amp;":AA"&amp;(ROW()-1)))),1,0))=16),MIN(LOOKUP(,-1/($Z$12:Z575=1),$C$12:C575)+LOOKUP(,-1/($Z$12:Z575=1),$H$12:H575),Первоначальный[[#This Row],[Полученный платеж]]+Y574),
AND(S574=0,TYPE(VLOOKUP("Да",(INDIRECT("AA"&amp;(MAX((1=Z$12:Z574)*ROW(Z$12:Z574),ROW($T$12))&amp;":AA"&amp;(ROW()-1)))),1,0))&lt;&gt;16),MIN(LOOKUP(,-1/($Z$12:Z575=1),$C$12:C575)+LOOKUP(,-1/($Z$12:Z575=1),$H$12:H575)-IF(AA574="Да",0,SUM(INDIRECT("T"&amp;(MAX(("Да"=AA$12:AA574)*ROW(AA$12:AA574)+1,ROW($T$12))&amp;":T"&amp;(ROW()-1))))),Первоначальный[[#This Row],[Полученный платеж]]+Y574),
AND(S574=0,MAX((0&lt;&gt;N$12:N574)*ROW(N$12:N574),ROW($S$12))&gt;=MAX((1=Z$12:Z574)*ROW(Z$12:Z574),ROW($T$12))),MIN(LOOKUP(,-1/($Z$12:Z575=1),$C$12:C575)+LOOKUP(,-1/($Z$12:Z575=1),$H$12:H575)-IF(N574&lt;&gt;0,0,SUM(INDIRECT("T"&amp;(MAX((0&lt;&gt;N$12:N574)*ROW(N$12:N574)+1,ROW($T$12))&amp;":T"&amp;(ROW()-1))))),Первоначальный[[#This Row],[Полученный платеж]]+Y574),
AND(S574=0,Первоначальный[[#This Row],[Дата платежа из графика]]=1),MIN(LOOKUP(,-1/($Z$12:Z575=1),$C$12:C575)+LOOKUP(,-1/($Z$12:Z575=1),$H$12:H575)-IF(Z574=1,0,SUM(INDIRECT("T"&amp;(MAX((1=Z$12:Z574)*ROW(Z$12:Z574)+1,ROW($T$12))&amp;":T"&amp;(ROW()-1))))),Первоначальный[[#This Row],[Полученный платеж]]+Y574),
AND(Z574&gt;0,Первоначальный[[#This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платеж]]+Y574),
AND(S574&gt;0,MAX((0&lt;&gt;S$12:S574)*ROW(S$12:S574),ROW($S$12))&gt;=MAX((1=Z$12:Z574)*ROW(Z$12:Z574),ROW($T$12)),TYPE(VLOOKUP("Да",(INDIRECT("AA"&amp;(MAX((1=Z$12:Z574)*ROW(Z$12:Z574),ROW($T$12))&amp;":AA"&amp;(ROW()-1)))),1,0))=16),MIN(LOOKUP(,-1/($Z$12:Z575=1),$C$12:C575)+LOOKUP(,-1/($Z$12:Z575=1),$H$12:H575)-SUM(INDIRECT("T"&amp;(MAX((1=Z$12:Z574)*ROW(Z$12:Z574),ROW($T$12))&amp;":T"&amp;(ROW()-1)))),Первоначальный[[#This Row],[Полученный платеж]]+Y574),
S574&gt;0,MIN(LOOKUP(,-1/($Z$12:Z575=1),$C$12:C575)+LOOKUP(,-1/($Z$12:Z575=1),$H$12:H575)-IF(Z574=1,0,SUM(INDIRECT("T"&amp;(MAX((1=Z$12:Z574)*ROW(Z$12:Z574)+1,ROW($T$12))&amp;":T"&amp;(ROW()-1))))),Первоначальный[[#This Row],[Полученный платеж]]+Y574)
)
)
)</f>
        <v>0</v>
      </c>
      <c r="U57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платеж]]+Y574-Первоначальный[[#This Row],[Полученный платёж по процентам]])</f>
        <v>0</v>
      </c>
      <c r="V575" s="55">
        <f t="shared" ca="1" si="97"/>
        <v>0</v>
      </c>
      <c r="W575" s="55" cm="1">
        <f t="array" aca="1" ref="W575" ca="1">IF(Первоначальный[[#This Row],[Итого остаток на начало периода]]&lt;1,0,
_xlfn.IFS(
AND(TYPE(VLOOKUP(1,$Z$12:Z575,1,0))=16,Первоначальный[[#This Row],[Досрочное погашение (да/"")]]=""),0,
AND(S574=0,Первоначальный[[#This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платеж]]+Y574-SUM(Первоначальный[[#This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комиссиям]]),VLOOKUP(LOOKUP(,-1/($Z$12:Z575=1),$A$12:A575),График[[Срок конец]:[Возврат основной суммы долга]],3,0)),
AND(S574=0,Первоначальный[[#This Row],[Дата платежа из графика]]="",Первоначальный[[#This Row],[Досрочное погашение (да/"")]]&lt;&gt;"Да"),0,
AND(S574=0,Первоначальный[[#This Row],[Досрочное погашение (да/"")]]=""),MIN(Первоначальный[[#This Row],[Полученный платеж]]+Y574-SUM(Первоначальный[[#This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комиссиям]]),VLOOKUP(LOOKUP(,-1/($Z$12:Z575=1),$A$12:A575),График[[Срок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платеж]]+Y574-SUM(Первоначальный[[#This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S574&gt;0,MIN(Первоначальный[[#This Row],[Полученный платеж]]+Y574-SUM(Первоначальный[[#This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комиссиям]]),SUM(INDIRECT("M"&amp;(MAX((1=S$12:S574)*ROW(S$12:S574),ROW($W$12))&amp;":M"&amp;(ROW()))))-SUM(INDIRECT("W"&amp;(MAX((1=S$12:S574)*ROW(S$12:S574),ROW($W$12))&amp;":W"&amp;(ROW()-1)))))
)
)</f>
        <v>0</v>
      </c>
      <c r="X575" s="55">
        <f t="shared" ca="1" si="98"/>
        <v>0</v>
      </c>
      <c r="Y575" s="101">
        <f t="shared" ca="1" si="105"/>
        <v>0</v>
      </c>
      <c r="Z575" s="133" t="str">
        <f>IF(TYPE((VLOOKUP(Первоначальный[[#This Row],[Дата платежа]],График[Срок конец],1,0)))=16,"",1)</f>
        <v/>
      </c>
      <c r="AA575" s="57"/>
      <c r="AB575" s="134"/>
      <c r="AC57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7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39883.429999999906</v>
      </c>
      <c r="AE57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975.33000000000175</v>
      </c>
      <c r="AF57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7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56503.635044262468</v>
      </c>
      <c r="AH575" s="55"/>
      <c r="AI575" s="55"/>
      <c r="AJ575" s="55"/>
      <c r="AK575" s="101">
        <f t="shared" ca="1" si="106"/>
        <v>246995.73504426237</v>
      </c>
      <c r="AL575" s="129">
        <f t="array" ref="AL575">MAX((УслРестрактов[Характеристика]="Дата реструктуризации")*(УслРестрактов[Значение]=Первоначальный!$A575),0)</f>
        <v>0</v>
      </c>
    </row>
    <row r="576" spans="1:38" x14ac:dyDescent="0.25">
      <c r="A576" s="97">
        <f t="shared" si="99"/>
        <v>44707</v>
      </c>
      <c r="B576" s="100">
        <f t="shared" ca="1" si="100"/>
        <v>149633.34</v>
      </c>
      <c r="C576" s="55">
        <f t="shared" ca="1" si="108"/>
        <v>39883.429999999906</v>
      </c>
      <c r="D576" s="55">
        <f t="shared" ca="1" si="108"/>
        <v>975.33000000000175</v>
      </c>
      <c r="E576" s="55">
        <f t="shared" ca="1" si="101"/>
        <v>0</v>
      </c>
      <c r="F576" s="55">
        <f t="shared" ca="1" si="102"/>
        <v>56503.635044262468</v>
      </c>
      <c r="G576" s="101">
        <f t="shared" ca="1" si="103"/>
        <v>246995.73504426237</v>
      </c>
      <c r="H576" s="100">
        <f ca="1">ROUND($B576*VLOOKUP($A576,$A$1:$B$10,2,1)/(365+IF(MOD(YEAR($A576),4),0,1)*($A576-$A575)),2)-Первоначальный[[#This Row],[Проценты на просроченный платеж по ОД за период]]</f>
        <v>77.38</v>
      </c>
      <c r="I576" s="55">
        <f t="shared" ca="1" si="104"/>
        <v>4.2</v>
      </c>
      <c r="J576" s="55">
        <v>0</v>
      </c>
      <c r="K576" s="55">
        <f t="shared" ca="1" si="107"/>
        <v>231.69350327868847</v>
      </c>
      <c r="L576" s="55">
        <v>0</v>
      </c>
      <c r="M576" s="113">
        <f>SUMIFS(График[Возврат основной суммы долга],График[Дата с учетом нерабочих дней],$A576)</f>
        <v>0</v>
      </c>
      <c r="N576" s="56">
        <f>SUMIFS(График[Возврат начисленных %],График[Дата с учетом нерабочих дней],$A576)</f>
        <v>0</v>
      </c>
      <c r="O576" s="101">
        <v>0</v>
      </c>
      <c r="P576" s="100" cm="1">
        <f t="array" aca="1" ref="P576" ca="1">MAX(IF(AA575="Да",0,SUM(INDIRECT("M"&amp;(MAX(("Да"=AA$12:AA575)*ROW(AA$12:AA575)+1,ROW($P$12))&amp;":M"&amp;(ROW()))))-SUM(INDIRECT("W"&amp;(MAX(("Да"=AA$12:AA575)*ROW(AA$12:AA575)+1,ROW($P$12))&amp;":W"&amp;(ROW()))))),0)</f>
        <v>7695.3899999999994</v>
      </c>
      <c r="Q576" s="99">
        <f ca="1">MAX(SUM($N$13:N576)-SUM($T$13:T576),0)</f>
        <v>38643.310655737696</v>
      </c>
      <c r="R576" s="99">
        <f ca="1">Первоначальный[[#This Row],[Просроченный платеж по ОД]]+Первоначальный[[#This Row],[Просроченный платеж по процентам]]</f>
        <v>46338.700655737695</v>
      </c>
      <c r="S576" s="120">
        <f ca="1">IF(Первоначальный[[#This Row],[Просроченный платеж]]&lt;1,0,S575+1)</f>
        <v>472</v>
      </c>
      <c r="T576" s="100" cm="1">
        <f t="array" aca="1" ref="T576" ca="1">IF(Первоначальный[[#This Row],[Итого остаток на начало периода]]&lt;1,0,
IF(
AND(TYPE(VLOOKUP(1,$Z$12:Z576,1,0))=16,Первоначальный[[#This Row],[Досрочное погашение (да/"")]]=""),0,
_xlfn.IFS(AND(S575=0,Первоначальный[[#This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платеж]]&lt;&gt;0),MIN(LOOKUP(,-1/($Z$12:Z576=1),$C$12:C576)+LOOKUP(,-1/($Z$12:Z576=1),$H$12:H576),Первоначальный[[#This Row],[Полученный платеж]]+Y575),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платеж]]+Y575,SUM(Первоначальный[[#This Row],[Остаток процентов на начало периода]],Первоначальный[[#This Row],[Проценты за период]])),
AND(S575=0,Первоначальный[[#This Row],[Дата платежа из графика]]=""),0,
AND(S575=0,Первоначальный[[#This Row],[Дата платежа из графика]]=1,MAX((0&lt;&gt;S$12:S575)*ROW(S$12:S575),ROW($S$12))&gt;=MAX((1=Z$12:Z575)*ROW(Z$12:Z575),ROW($T$12)),TYPE(VLOOKUP("Да",(INDIRECT("AA"&amp;(MAX((1=Z$12:Z575)*ROW(Z$12:Z575),ROW($T$12))&amp;":AA"&amp;(ROW()-1)))),1,0))=16),MIN(LOOKUP(,-1/($Z$12:Z576=1),$C$12:C576)+LOOKUP(,-1/($Z$12:Z576=1),$H$12:H576),Первоначальный[[#This Row],[Полученный платеж]]+Y575),
AND(S575=0,TYPE(VLOOKUP("Да",(INDIRECT("AA"&amp;(MAX((1=Z$12:Z575)*ROW(Z$12:Z575),ROW($T$12))&amp;":AA"&amp;(ROW()-1)))),1,0))&lt;&gt;16),MIN(LOOKUP(,-1/($Z$12:Z576=1),$C$12:C576)+LOOKUP(,-1/($Z$12:Z576=1),$H$12:H576)-IF(AA575="Да",0,SUM(INDIRECT("T"&amp;(MAX(("Да"=AA$12:AA575)*ROW(AA$12:AA575)+1,ROW($T$12))&amp;":T"&amp;(ROW()-1))))),Первоначальный[[#This Row],[Полученный платеж]]+Y575),
AND(S575=0,MAX((0&lt;&gt;N$12:N575)*ROW(N$12:N575),ROW($S$12))&gt;=MAX((1=Z$12:Z575)*ROW(Z$12:Z575),ROW($T$12))),MIN(LOOKUP(,-1/($Z$12:Z576=1),$C$12:C576)+LOOKUP(,-1/($Z$12:Z576=1),$H$12:H576)-IF(N575&lt;&gt;0,0,SUM(INDIRECT("T"&amp;(MAX((0&lt;&gt;N$12:N575)*ROW(N$12:N575)+1,ROW($T$12))&amp;":T"&amp;(ROW()-1))))),Первоначальный[[#This Row],[Полученный платеж]]+Y575),
AND(S575=0,Первоначальный[[#This Row],[Дата платежа из графика]]=1),MIN(LOOKUP(,-1/($Z$12:Z576=1),$C$12:C576)+LOOKUP(,-1/($Z$12:Z576=1),$H$12:H576)-IF(Z575=1,0,SUM(INDIRECT("T"&amp;(MAX((1=Z$12:Z575)*ROW(Z$12:Z575)+1,ROW($T$12))&amp;":T"&amp;(ROW()-1))))),Первоначальный[[#This Row],[Полученный платеж]]+Y575),
AND(Z575&gt;0,Первоначальный[[#This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платеж]]+Y575),
AND(S575&gt;0,MAX((0&lt;&gt;S$12:S575)*ROW(S$12:S575),ROW($S$12))&gt;=MAX((1=Z$12:Z575)*ROW(Z$12:Z575),ROW($T$12)),TYPE(VLOOKUP("Да",(INDIRECT("AA"&amp;(MAX((1=Z$12:Z575)*ROW(Z$12:Z575),ROW($T$12))&amp;":AA"&amp;(ROW()-1)))),1,0))=16),MIN(LOOKUP(,-1/($Z$12:Z576=1),$C$12:C576)+LOOKUP(,-1/($Z$12:Z576=1),$H$12:H576)-SUM(INDIRECT("T"&amp;(MAX((1=Z$12:Z575)*ROW(Z$12:Z575),ROW($T$12))&amp;":T"&amp;(ROW()-1)))),Первоначальный[[#This Row],[Полученный платеж]]+Y575),
S575&gt;0,MIN(LOOKUP(,-1/($Z$12:Z576=1),$C$12:C576)+LOOKUP(,-1/($Z$12:Z576=1),$H$12:H576)-IF(Z575=1,0,SUM(INDIRECT("T"&amp;(MAX((1=Z$12:Z575)*ROW(Z$12:Z575)+1,ROW($T$12))&amp;":T"&amp;(ROW()-1))))),Первоначальный[[#This Row],[Полученный платеж]]+Y575)
)
)
)</f>
        <v>0</v>
      </c>
      <c r="U57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платеж]]+Y575-Первоначальный[[#This Row],[Полученный платёж по процентам]])</f>
        <v>0</v>
      </c>
      <c r="V576" s="55">
        <f t="shared" ca="1" si="97"/>
        <v>0</v>
      </c>
      <c r="W576" s="55" cm="1">
        <f t="array" aca="1" ref="W576" ca="1">IF(Первоначальный[[#This Row],[Итого остаток на начало периода]]&lt;1,0,
_xlfn.IFS(
AND(TYPE(VLOOKUP(1,$Z$12:Z576,1,0))=16,Первоначальный[[#This Row],[Досрочное погашение (да/"")]]=""),0,
AND(S575=0,Первоначальный[[#This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платеж]]+Y575-SUM(Первоначальный[[#This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комиссиям]]),VLOOKUP(LOOKUP(,-1/($Z$12:Z576=1),$A$12:A576),График[[Срок конец]:[Возврат основной суммы долга]],3,0)),
AND(S575=0,Первоначальный[[#This Row],[Дата платежа из графика]]="",Первоначальный[[#This Row],[Досрочное погашение (да/"")]]&lt;&gt;"Да"),0,
AND(S575=0,Первоначальный[[#This Row],[Досрочное погашение (да/"")]]=""),MIN(Первоначальный[[#This Row],[Полученный платеж]]+Y575-SUM(Первоначальный[[#This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комиссиям]]),VLOOKUP(LOOKUP(,-1/($Z$12:Z576=1),$A$12:A576),График[[Срок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платеж]]+Y575-SUM(Первоначальный[[#This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S575&gt;0,MIN(Первоначальный[[#This Row],[Полученный платеж]]+Y575-SUM(Первоначальный[[#This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комиссиям]]),SUM(INDIRECT("M"&amp;(MAX((1=S$12:S575)*ROW(S$12:S575),ROW($W$12))&amp;":M"&amp;(ROW()))))-SUM(INDIRECT("W"&amp;(MAX((1=S$12:S575)*ROW(S$12:S575),ROW($W$12))&amp;":W"&amp;(ROW()-1)))))
)
)</f>
        <v>0</v>
      </c>
      <c r="X576" s="55">
        <f t="shared" ca="1" si="98"/>
        <v>0</v>
      </c>
      <c r="Y576" s="101">
        <f t="shared" ca="1" si="105"/>
        <v>0</v>
      </c>
      <c r="Z576" s="133" t="str">
        <f>IF(TYPE((VLOOKUP(Первоначальный[[#This Row],[Дата платежа]],График[Срок конец],1,0)))=16,"",1)</f>
        <v/>
      </c>
      <c r="AA576" s="57"/>
      <c r="AB576" s="134"/>
      <c r="AC57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7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39960.809999999903</v>
      </c>
      <c r="AE57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979.53000000000179</v>
      </c>
      <c r="AF57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7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56735.328547541154</v>
      </c>
      <c r="AH576" s="55"/>
      <c r="AI576" s="55"/>
      <c r="AJ576" s="55"/>
      <c r="AK576" s="101">
        <f t="shared" ca="1" si="106"/>
        <v>247309.00854754105</v>
      </c>
      <c r="AL576" s="129">
        <f t="array" ref="AL576">MAX((УслРестрактов[Характеристика]="Дата реструктуризации")*(УслРестрактов[Значение]=Первоначальный!$A576),0)</f>
        <v>0</v>
      </c>
    </row>
    <row r="577" spans="1:38" x14ac:dyDescent="0.25">
      <c r="A577" s="97">
        <f t="shared" si="99"/>
        <v>44708</v>
      </c>
      <c r="B577" s="100">
        <f t="shared" ca="1" si="100"/>
        <v>149633.34</v>
      </c>
      <c r="C577" s="55">
        <f t="shared" ca="1" si="108"/>
        <v>39960.809999999903</v>
      </c>
      <c r="D577" s="55">
        <f t="shared" ca="1" si="108"/>
        <v>979.53000000000179</v>
      </c>
      <c r="E577" s="55">
        <f t="shared" ca="1" si="101"/>
        <v>0</v>
      </c>
      <c r="F577" s="55">
        <f t="shared" ca="1" si="102"/>
        <v>56735.328547541154</v>
      </c>
      <c r="G577" s="101">
        <f t="shared" ca="1" si="103"/>
        <v>247309.00854754105</v>
      </c>
      <c r="H577" s="100">
        <f ca="1">ROUND($B577*VLOOKUP($A577,$A$1:$B$10,2,1)/(365+IF(MOD(YEAR($A577),4),0,1)*($A577-$A576)),2)-Первоначальный[[#This Row],[Проценты на просроченный платеж по ОД за период]]</f>
        <v>77.38</v>
      </c>
      <c r="I577" s="55">
        <f t="shared" ca="1" si="104"/>
        <v>4.2</v>
      </c>
      <c r="J577" s="55">
        <v>0</v>
      </c>
      <c r="K577" s="55">
        <f t="shared" ca="1" si="107"/>
        <v>231.69350327868847</v>
      </c>
      <c r="L577" s="55">
        <v>0</v>
      </c>
      <c r="M577" s="113">
        <f>SUMIFS(График[Возврат основной суммы долга],График[Дата с учетом нерабочих дней],$A577)</f>
        <v>0</v>
      </c>
      <c r="N577" s="56">
        <f>SUMIFS(График[Возврат начисленных %],График[Дата с учетом нерабочих дней],$A577)</f>
        <v>0</v>
      </c>
      <c r="O577" s="101">
        <v>0</v>
      </c>
      <c r="P577" s="100" cm="1">
        <f t="array" aca="1" ref="P577" ca="1">MAX(IF(AA576="Да",0,SUM(INDIRECT("M"&amp;(MAX(("Да"=AA$12:AA576)*ROW(AA$12:AA576)+1,ROW($P$12))&amp;":M"&amp;(ROW()))))-SUM(INDIRECT("W"&amp;(MAX(("Да"=AA$12:AA576)*ROW(AA$12:AA576)+1,ROW($P$12))&amp;":W"&amp;(ROW()))))),0)</f>
        <v>7695.3899999999994</v>
      </c>
      <c r="Q577" s="99">
        <f ca="1">MAX(SUM($N$13:N577)-SUM($T$13:T577),0)</f>
        <v>38643.310655737696</v>
      </c>
      <c r="R577" s="99">
        <f ca="1">Первоначальный[[#This Row],[Просроченный платеж по ОД]]+Первоначальный[[#This Row],[Просроченный платеж по процентам]]</f>
        <v>46338.700655737695</v>
      </c>
      <c r="S577" s="120">
        <f ca="1">IF(Первоначальный[[#This Row],[Просроченный платеж]]&lt;1,0,S576+1)</f>
        <v>473</v>
      </c>
      <c r="T577" s="100" cm="1">
        <f t="array" aca="1" ref="T577" ca="1">IF(Первоначальный[[#This Row],[Итого остаток на начало периода]]&lt;1,0,
IF(
AND(TYPE(VLOOKUP(1,$Z$12:Z577,1,0))=16,Первоначальный[[#This Row],[Досрочное погашение (да/"")]]=""),0,
_xlfn.IFS(AND(S576=0,Первоначальный[[#This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платеж]]&lt;&gt;0),MIN(LOOKUP(,-1/($Z$12:Z577=1),$C$12:C577)+LOOKUP(,-1/($Z$12:Z577=1),$H$12:H577),Первоначальный[[#This Row],[Полученный платеж]]+Y576),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платеж]]+Y576,SUM(Первоначальный[[#This Row],[Остаток процентов на начало периода]],Первоначальный[[#This Row],[Проценты за период]])),
AND(S576=0,Первоначальный[[#This Row],[Дата платежа из графика]]=""),0,
AND(S576=0,Первоначальный[[#This Row],[Дата платежа из графика]]=1,MAX((0&lt;&gt;S$12:S576)*ROW(S$12:S576),ROW($S$12))&gt;=MAX((1=Z$12:Z576)*ROW(Z$12:Z576),ROW($T$12)),TYPE(VLOOKUP("Да",(INDIRECT("AA"&amp;(MAX((1=Z$12:Z576)*ROW(Z$12:Z576),ROW($T$12))&amp;":AA"&amp;(ROW()-1)))),1,0))=16),MIN(LOOKUP(,-1/($Z$12:Z577=1),$C$12:C577)+LOOKUP(,-1/($Z$12:Z577=1),$H$12:H577),Первоначальный[[#This Row],[Полученный платеж]]+Y576),
AND(S576=0,TYPE(VLOOKUP("Да",(INDIRECT("AA"&amp;(MAX((1=Z$12:Z576)*ROW(Z$12:Z576),ROW($T$12))&amp;":AA"&amp;(ROW()-1)))),1,0))&lt;&gt;16),MIN(LOOKUP(,-1/($Z$12:Z577=1),$C$12:C577)+LOOKUP(,-1/($Z$12:Z577=1),$H$12:H577)-IF(AA576="Да",0,SUM(INDIRECT("T"&amp;(MAX(("Да"=AA$12:AA576)*ROW(AA$12:AA576)+1,ROW($T$12))&amp;":T"&amp;(ROW()-1))))),Первоначальный[[#This Row],[Полученный платеж]]+Y576),
AND(S576=0,MAX((0&lt;&gt;N$12:N576)*ROW(N$12:N576),ROW($S$12))&gt;=MAX((1=Z$12:Z576)*ROW(Z$12:Z576),ROW($T$12))),MIN(LOOKUP(,-1/($Z$12:Z577=1),$C$12:C577)+LOOKUP(,-1/($Z$12:Z577=1),$H$12:H577)-IF(N576&lt;&gt;0,0,SUM(INDIRECT("T"&amp;(MAX((0&lt;&gt;N$12:N576)*ROW(N$12:N576)+1,ROW($T$12))&amp;":T"&amp;(ROW()-1))))),Первоначальный[[#This Row],[Полученный платеж]]+Y576),
AND(S576=0,Первоначальный[[#This Row],[Дата платежа из графика]]=1),MIN(LOOKUP(,-1/($Z$12:Z577=1),$C$12:C577)+LOOKUP(,-1/($Z$12:Z577=1),$H$12:H577)-IF(Z576=1,0,SUM(INDIRECT("T"&amp;(MAX((1=Z$12:Z576)*ROW(Z$12:Z576)+1,ROW($T$12))&amp;":T"&amp;(ROW()-1))))),Первоначальный[[#This Row],[Полученный платеж]]+Y576),
AND(Z576&gt;0,Первоначальный[[#This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платеж]]+Y576),
AND(S576&gt;0,MAX((0&lt;&gt;S$12:S576)*ROW(S$12:S576),ROW($S$12))&gt;=MAX((1=Z$12:Z576)*ROW(Z$12:Z576),ROW($T$12)),TYPE(VLOOKUP("Да",(INDIRECT("AA"&amp;(MAX((1=Z$12:Z576)*ROW(Z$12:Z576),ROW($T$12))&amp;":AA"&amp;(ROW()-1)))),1,0))=16),MIN(LOOKUP(,-1/($Z$12:Z577=1),$C$12:C577)+LOOKUP(,-1/($Z$12:Z577=1),$H$12:H577)-SUM(INDIRECT("T"&amp;(MAX((1=Z$12:Z576)*ROW(Z$12:Z576),ROW($T$12))&amp;":T"&amp;(ROW()-1)))),Первоначальный[[#This Row],[Полученный платеж]]+Y576),
S576&gt;0,MIN(LOOKUP(,-1/($Z$12:Z577=1),$C$12:C577)+LOOKUP(,-1/($Z$12:Z577=1),$H$12:H577)-IF(Z576=1,0,SUM(INDIRECT("T"&amp;(MAX((1=Z$12:Z576)*ROW(Z$12:Z576)+1,ROW($T$12))&amp;":T"&amp;(ROW()-1))))),Первоначальный[[#This Row],[Полученный платеж]]+Y576)
)
)
)</f>
        <v>0</v>
      </c>
      <c r="U57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платеж]]+Y576-Первоначальный[[#This Row],[Полученный платёж по процентам]])</f>
        <v>0</v>
      </c>
      <c r="V577" s="55">
        <f t="shared" ca="1" si="97"/>
        <v>0</v>
      </c>
      <c r="W577" s="55" cm="1">
        <f t="array" aca="1" ref="W577" ca="1">IF(Первоначальный[[#This Row],[Итого остаток на начало периода]]&lt;1,0,
_xlfn.IFS(
AND(TYPE(VLOOKUP(1,$Z$12:Z577,1,0))=16,Первоначальный[[#This Row],[Досрочное погашение (да/"")]]=""),0,
AND(S576=0,Первоначальный[[#This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платеж]]+Y576-SUM(Первоначальный[[#This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комиссиям]]),VLOOKUP(LOOKUP(,-1/($Z$12:Z577=1),$A$12:A577),График[[Срок конец]:[Возврат основной суммы долга]],3,0)),
AND(S576=0,Первоначальный[[#This Row],[Дата платежа из графика]]="",Первоначальный[[#This Row],[Досрочное погашение (да/"")]]&lt;&gt;"Да"),0,
AND(S576=0,Первоначальный[[#This Row],[Досрочное погашение (да/"")]]=""),MIN(Первоначальный[[#This Row],[Полученный платеж]]+Y576-SUM(Первоначальный[[#This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комиссиям]]),VLOOKUP(LOOKUP(,-1/($Z$12:Z577=1),$A$12:A577),График[[Срок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платеж]]+Y576-SUM(Первоначальный[[#This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S576&gt;0,MIN(Первоначальный[[#This Row],[Полученный платеж]]+Y576-SUM(Первоначальный[[#This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комиссиям]]),SUM(INDIRECT("M"&amp;(MAX((1=S$12:S576)*ROW(S$12:S576),ROW($W$12))&amp;":M"&amp;(ROW()))))-SUM(INDIRECT("W"&amp;(MAX((1=S$12:S576)*ROW(S$12:S576),ROW($W$12))&amp;":W"&amp;(ROW()-1)))))
)
)</f>
        <v>0</v>
      </c>
      <c r="X577" s="55">
        <f t="shared" ca="1" si="98"/>
        <v>0</v>
      </c>
      <c r="Y577" s="101">
        <f t="shared" ca="1" si="105"/>
        <v>0</v>
      </c>
      <c r="Z577" s="133" t="str">
        <f>IF(TYPE((VLOOKUP(Первоначальный[[#This Row],[Дата платежа]],График[Срок конец],1,0)))=16,"",1)</f>
        <v/>
      </c>
      <c r="AA577" s="57"/>
      <c r="AB577" s="134"/>
      <c r="AC57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7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40038.1899999999</v>
      </c>
      <c r="AE57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983.73000000000184</v>
      </c>
      <c r="AF57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7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56967.02205081984</v>
      </c>
      <c r="AH577" s="55"/>
      <c r="AI577" s="55"/>
      <c r="AJ577" s="55"/>
      <c r="AK577" s="101">
        <f t="shared" ca="1" si="106"/>
        <v>247622.28205081978</v>
      </c>
      <c r="AL577" s="129">
        <f t="array" ref="AL577">MAX((УслРестрактов[Характеристика]="Дата реструктуризации")*(УслРестрактов[Значение]=Первоначальный!$A577),0)</f>
        <v>0</v>
      </c>
    </row>
    <row r="578" spans="1:38" x14ac:dyDescent="0.25">
      <c r="A578" s="97">
        <f t="shared" si="99"/>
        <v>44709</v>
      </c>
      <c r="B578" s="100">
        <f t="shared" ca="1" si="100"/>
        <v>149633.34</v>
      </c>
      <c r="C578" s="55">
        <f t="shared" ca="1" si="108"/>
        <v>40038.1899999999</v>
      </c>
      <c r="D578" s="55">
        <f t="shared" ca="1" si="108"/>
        <v>983.73000000000184</v>
      </c>
      <c r="E578" s="55">
        <f t="shared" ca="1" si="101"/>
        <v>0</v>
      </c>
      <c r="F578" s="55">
        <f t="shared" ca="1" si="102"/>
        <v>56967.02205081984</v>
      </c>
      <c r="G578" s="101">
        <f t="shared" ca="1" si="103"/>
        <v>247622.28205081978</v>
      </c>
      <c r="H578" s="100">
        <f ca="1">ROUND($B578*VLOOKUP($A578,$A$1:$B$10,2,1)/(365+IF(MOD(YEAR($A578),4),0,1)*($A578-$A577)),2)-Первоначальный[[#This Row],[Проценты на просроченный платеж по ОД за период]]</f>
        <v>77.38</v>
      </c>
      <c r="I578" s="55">
        <f t="shared" ca="1" si="104"/>
        <v>4.2</v>
      </c>
      <c r="J578" s="55">
        <v>0</v>
      </c>
      <c r="K578" s="55">
        <f t="shared" ca="1" si="107"/>
        <v>231.69350327868847</v>
      </c>
      <c r="L578" s="55">
        <v>0</v>
      </c>
      <c r="M578" s="113">
        <f>SUMIFS(График[Возврат основной суммы долга],График[Дата с учетом нерабочих дней],$A578)</f>
        <v>0</v>
      </c>
      <c r="N578" s="56">
        <f>SUMIFS(График[Возврат начисленных %],График[Дата с учетом нерабочих дней],$A578)</f>
        <v>0</v>
      </c>
      <c r="O578" s="101">
        <v>0</v>
      </c>
      <c r="P578" s="100" cm="1">
        <f t="array" aca="1" ref="P578" ca="1">MAX(IF(AA577="Да",0,SUM(INDIRECT("M"&amp;(MAX(("Да"=AA$12:AA577)*ROW(AA$12:AA577)+1,ROW($P$12))&amp;":M"&amp;(ROW()))))-SUM(INDIRECT("W"&amp;(MAX(("Да"=AA$12:AA577)*ROW(AA$12:AA577)+1,ROW($P$12))&amp;":W"&amp;(ROW()))))),0)</f>
        <v>7695.3899999999994</v>
      </c>
      <c r="Q578" s="99">
        <f ca="1">MAX(SUM($N$13:N578)-SUM($T$13:T578),0)</f>
        <v>38643.310655737696</v>
      </c>
      <c r="R578" s="99">
        <f ca="1">Первоначальный[[#This Row],[Просроченный платеж по ОД]]+Первоначальный[[#This Row],[Просроченный платеж по процентам]]</f>
        <v>46338.700655737695</v>
      </c>
      <c r="S578" s="120">
        <f ca="1">IF(Первоначальный[[#This Row],[Просроченный платеж]]&lt;1,0,S577+1)</f>
        <v>474</v>
      </c>
      <c r="T578" s="100" cm="1">
        <f t="array" aca="1" ref="T578" ca="1">IF(Первоначальный[[#This Row],[Итого остаток на начало периода]]&lt;1,0,
IF(
AND(TYPE(VLOOKUP(1,$Z$12:Z578,1,0))=16,Первоначальный[[#This Row],[Досрочное погашение (да/"")]]=""),0,
_xlfn.IFS(AND(S577=0,Первоначальный[[#This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платеж]]&lt;&gt;0),MIN(LOOKUP(,-1/($Z$12:Z578=1),$C$12:C578)+LOOKUP(,-1/($Z$12:Z578=1),$H$12:H578),Первоначальный[[#This Row],[Полученный платеж]]+Y577),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платеж]]+Y577,SUM(Первоначальный[[#This Row],[Остаток процентов на начало периода]],Первоначальный[[#This Row],[Проценты за период]])),
AND(S577=0,Первоначальный[[#This Row],[Дата платежа из графика]]=""),0,
AND(S577=0,Первоначальный[[#This Row],[Дата платежа из графика]]=1,MAX((0&lt;&gt;S$12:S577)*ROW(S$12:S577),ROW($S$12))&gt;=MAX((1=Z$12:Z577)*ROW(Z$12:Z577),ROW($T$12)),TYPE(VLOOKUP("Да",(INDIRECT("AA"&amp;(MAX((1=Z$12:Z577)*ROW(Z$12:Z577),ROW($T$12))&amp;":AA"&amp;(ROW()-1)))),1,0))=16),MIN(LOOKUP(,-1/($Z$12:Z578=1),$C$12:C578)+LOOKUP(,-1/($Z$12:Z578=1),$H$12:H578),Первоначальный[[#This Row],[Полученный платеж]]+Y577),
AND(S577=0,TYPE(VLOOKUP("Да",(INDIRECT("AA"&amp;(MAX((1=Z$12:Z577)*ROW(Z$12:Z577),ROW($T$12))&amp;":AA"&amp;(ROW()-1)))),1,0))&lt;&gt;16),MIN(LOOKUP(,-1/($Z$12:Z578=1),$C$12:C578)+LOOKUP(,-1/($Z$12:Z578=1),$H$12:H578)-IF(AA577="Да",0,SUM(INDIRECT("T"&amp;(MAX(("Да"=AA$12:AA577)*ROW(AA$12:AA577)+1,ROW($T$12))&amp;":T"&amp;(ROW()-1))))),Первоначальный[[#This Row],[Полученный платеж]]+Y577),
AND(S577=0,MAX((0&lt;&gt;N$12:N577)*ROW(N$12:N577),ROW($S$12))&gt;=MAX((1=Z$12:Z577)*ROW(Z$12:Z577),ROW($T$12))),MIN(LOOKUP(,-1/($Z$12:Z578=1),$C$12:C578)+LOOKUP(,-1/($Z$12:Z578=1),$H$12:H578)-IF(N577&lt;&gt;0,0,SUM(INDIRECT("T"&amp;(MAX((0&lt;&gt;N$12:N577)*ROW(N$12:N577)+1,ROW($T$12))&amp;":T"&amp;(ROW()-1))))),Первоначальный[[#This Row],[Полученный платеж]]+Y577),
AND(S577=0,Первоначальный[[#This Row],[Дата платежа из графика]]=1),MIN(LOOKUP(,-1/($Z$12:Z578=1),$C$12:C578)+LOOKUP(,-1/($Z$12:Z578=1),$H$12:H578)-IF(Z577=1,0,SUM(INDIRECT("T"&amp;(MAX((1=Z$12:Z577)*ROW(Z$12:Z577)+1,ROW($T$12))&amp;":T"&amp;(ROW()-1))))),Первоначальный[[#This Row],[Полученный платеж]]+Y577),
AND(Z577&gt;0,Первоначальный[[#This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платеж]]+Y577),
AND(S577&gt;0,MAX((0&lt;&gt;S$12:S577)*ROW(S$12:S577),ROW($S$12))&gt;=MAX((1=Z$12:Z577)*ROW(Z$12:Z577),ROW($T$12)),TYPE(VLOOKUP("Да",(INDIRECT("AA"&amp;(MAX((1=Z$12:Z577)*ROW(Z$12:Z577),ROW($T$12))&amp;":AA"&amp;(ROW()-1)))),1,0))=16),MIN(LOOKUP(,-1/($Z$12:Z578=1),$C$12:C578)+LOOKUP(,-1/($Z$12:Z578=1),$H$12:H578)-SUM(INDIRECT("T"&amp;(MAX((1=Z$12:Z577)*ROW(Z$12:Z577),ROW($T$12))&amp;":T"&amp;(ROW()-1)))),Первоначальный[[#This Row],[Полученный платеж]]+Y577),
S577&gt;0,MIN(LOOKUP(,-1/($Z$12:Z578=1),$C$12:C578)+LOOKUP(,-1/($Z$12:Z578=1),$H$12:H578)-IF(Z577=1,0,SUM(INDIRECT("T"&amp;(MAX((1=Z$12:Z577)*ROW(Z$12:Z577)+1,ROW($T$12))&amp;":T"&amp;(ROW()-1))))),Первоначальный[[#This Row],[Полученный платеж]]+Y577)
)
)
)</f>
        <v>0</v>
      </c>
      <c r="U57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платеж]]+Y577-Первоначальный[[#This Row],[Полученный платёж по процентам]])</f>
        <v>0</v>
      </c>
      <c r="V578" s="55">
        <f t="shared" ca="1" si="97"/>
        <v>0</v>
      </c>
      <c r="W578" s="55" cm="1">
        <f t="array" aca="1" ref="W578" ca="1">IF(Первоначальный[[#This Row],[Итого остаток на начало периода]]&lt;1,0,
_xlfn.IFS(
AND(TYPE(VLOOKUP(1,$Z$12:Z578,1,0))=16,Первоначальный[[#This Row],[Досрочное погашение (да/"")]]=""),0,
AND(S577=0,Первоначальный[[#This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платеж]]+Y577-SUM(Первоначальный[[#This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комиссиям]]),VLOOKUP(LOOKUP(,-1/($Z$12:Z578=1),$A$12:A578),График[[Срок конец]:[Возврат основной суммы долга]],3,0)),
AND(S577=0,Первоначальный[[#This Row],[Дата платежа из графика]]="",Первоначальный[[#This Row],[Досрочное погашение (да/"")]]&lt;&gt;"Да"),0,
AND(S577=0,Первоначальный[[#This Row],[Досрочное погашение (да/"")]]=""),MIN(Первоначальный[[#This Row],[Полученный платеж]]+Y577-SUM(Первоначальный[[#This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комиссиям]]),VLOOKUP(LOOKUP(,-1/($Z$12:Z578=1),$A$12:A578),График[[Срок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платеж]]+Y577-SUM(Первоначальный[[#This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S577&gt;0,MIN(Первоначальный[[#This Row],[Полученный платеж]]+Y577-SUM(Первоначальный[[#This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комиссиям]]),SUM(INDIRECT("M"&amp;(MAX((1=S$12:S577)*ROW(S$12:S577),ROW($W$12))&amp;":M"&amp;(ROW()))))-SUM(INDIRECT("W"&amp;(MAX((1=S$12:S577)*ROW(S$12:S577),ROW($W$12))&amp;":W"&amp;(ROW()-1)))))
)
)</f>
        <v>0</v>
      </c>
      <c r="X578" s="55">
        <f t="shared" ca="1" si="98"/>
        <v>0</v>
      </c>
      <c r="Y578" s="101">
        <f t="shared" ca="1" si="105"/>
        <v>0</v>
      </c>
      <c r="Z578" s="133" t="str">
        <f>IF(TYPE((VLOOKUP(Первоначальный[[#This Row],[Дата платежа]],График[Срок конец],1,0)))=16,"",1)</f>
        <v/>
      </c>
      <c r="AA578" s="57"/>
      <c r="AB578" s="134"/>
      <c r="AC57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7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40115.569999999898</v>
      </c>
      <c r="AE57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987.93000000000188</v>
      </c>
      <c r="AF57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7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57198.715554098526</v>
      </c>
      <c r="AH578" s="55"/>
      <c r="AI578" s="55"/>
      <c r="AJ578" s="55"/>
      <c r="AK578" s="101">
        <f t="shared" ca="1" si="106"/>
        <v>247935.55555409839</v>
      </c>
      <c r="AL578" s="129">
        <f t="array" ref="AL578">MAX((УслРестрактов[Характеристика]="Дата реструктуризации")*(УслРестрактов[Значение]=Первоначальный!$A578),0)</f>
        <v>0</v>
      </c>
    </row>
    <row r="579" spans="1:38" x14ac:dyDescent="0.25">
      <c r="A579" s="97">
        <f t="shared" si="99"/>
        <v>44710</v>
      </c>
      <c r="B579" s="100">
        <f t="shared" ca="1" si="100"/>
        <v>149633.34</v>
      </c>
      <c r="C579" s="55">
        <f t="shared" ca="1" si="108"/>
        <v>40115.569999999898</v>
      </c>
      <c r="D579" s="55">
        <f t="shared" ca="1" si="108"/>
        <v>987.93000000000188</v>
      </c>
      <c r="E579" s="55">
        <f t="shared" ca="1" si="101"/>
        <v>0</v>
      </c>
      <c r="F579" s="55">
        <f t="shared" ca="1" si="102"/>
        <v>57198.715554098526</v>
      </c>
      <c r="G579" s="101">
        <f t="shared" ca="1" si="103"/>
        <v>247935.55555409839</v>
      </c>
      <c r="H579" s="100">
        <f ca="1">ROUND($B579*VLOOKUP($A579,$A$1:$B$10,2,1)/(365+IF(MOD(YEAR($A579),4),0,1)*($A579-$A578)),2)-Первоначальный[[#This Row],[Проценты на просроченный платеж по ОД за период]]</f>
        <v>77.38</v>
      </c>
      <c r="I579" s="55">
        <f t="shared" ca="1" si="104"/>
        <v>4.2</v>
      </c>
      <c r="J579" s="55">
        <v>0</v>
      </c>
      <c r="K579" s="55">
        <f t="shared" ca="1" si="107"/>
        <v>231.69350327868847</v>
      </c>
      <c r="L579" s="55">
        <v>0</v>
      </c>
      <c r="M579" s="113">
        <f>SUMIFS(График[Возврат основной суммы долга],График[Дата с учетом нерабочих дней],$A579)</f>
        <v>0</v>
      </c>
      <c r="N579" s="56">
        <f>SUMIFS(График[Возврат начисленных %],График[Дата с учетом нерабочих дней],$A579)</f>
        <v>0</v>
      </c>
      <c r="O579" s="101">
        <v>0</v>
      </c>
      <c r="P579" s="100" cm="1">
        <f t="array" aca="1" ref="P579" ca="1">MAX(IF(AA578="Да",0,SUM(INDIRECT("M"&amp;(MAX(("Да"=AA$12:AA578)*ROW(AA$12:AA578)+1,ROW($P$12))&amp;":M"&amp;(ROW()))))-SUM(INDIRECT("W"&amp;(MAX(("Да"=AA$12:AA578)*ROW(AA$12:AA578)+1,ROW($P$12))&amp;":W"&amp;(ROW()))))),0)</f>
        <v>7695.3899999999994</v>
      </c>
      <c r="Q579" s="99">
        <f ca="1">MAX(SUM($N$13:N579)-SUM($T$13:T579),0)</f>
        <v>38643.310655737696</v>
      </c>
      <c r="R579" s="99">
        <f ca="1">Первоначальный[[#This Row],[Просроченный платеж по ОД]]+Первоначальный[[#This Row],[Просроченный платеж по процентам]]</f>
        <v>46338.700655737695</v>
      </c>
      <c r="S579" s="120">
        <f ca="1">IF(Первоначальный[[#This Row],[Просроченный платеж]]&lt;1,0,S578+1)</f>
        <v>475</v>
      </c>
      <c r="T579" s="100" cm="1">
        <f t="array" aca="1" ref="T579" ca="1">IF(Первоначальный[[#This Row],[Итого остаток на начало периода]]&lt;1,0,
IF(
AND(TYPE(VLOOKUP(1,$Z$12:Z579,1,0))=16,Первоначальный[[#This Row],[Досрочное погашение (да/"")]]=""),0,
_xlfn.IFS(AND(S578=0,Первоначальный[[#This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платеж]]&lt;&gt;0),MIN(LOOKUP(,-1/($Z$12:Z579=1),$C$12:C579)+LOOKUP(,-1/($Z$12:Z579=1),$H$12:H579),Первоначальный[[#This Row],[Полученный платеж]]+Y578),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платеж]]+Y578,SUM(Первоначальный[[#This Row],[Остаток процентов на начало периода]],Первоначальный[[#This Row],[Проценты за период]])),
AND(S578=0,Первоначальный[[#This Row],[Дата платежа из графика]]=""),0,
AND(S578=0,Первоначальный[[#This Row],[Дата платежа из графика]]=1,MAX((0&lt;&gt;S$12:S578)*ROW(S$12:S578),ROW($S$12))&gt;=MAX((1=Z$12:Z578)*ROW(Z$12:Z578),ROW($T$12)),TYPE(VLOOKUP("Да",(INDIRECT("AA"&amp;(MAX((1=Z$12:Z578)*ROW(Z$12:Z578),ROW($T$12))&amp;":AA"&amp;(ROW()-1)))),1,0))=16),MIN(LOOKUP(,-1/($Z$12:Z579=1),$C$12:C579)+LOOKUP(,-1/($Z$12:Z579=1),$H$12:H579),Первоначальный[[#This Row],[Полученный платеж]]+Y578),
AND(S578=0,TYPE(VLOOKUP("Да",(INDIRECT("AA"&amp;(MAX((1=Z$12:Z578)*ROW(Z$12:Z578),ROW($T$12))&amp;":AA"&amp;(ROW()-1)))),1,0))&lt;&gt;16),MIN(LOOKUP(,-1/($Z$12:Z579=1),$C$12:C579)+LOOKUP(,-1/($Z$12:Z579=1),$H$12:H579)-IF(AA578="Да",0,SUM(INDIRECT("T"&amp;(MAX(("Да"=AA$12:AA578)*ROW(AA$12:AA578)+1,ROW($T$12))&amp;":T"&amp;(ROW()-1))))),Первоначальный[[#This Row],[Полученный платеж]]+Y578),
AND(S578=0,MAX((0&lt;&gt;N$12:N578)*ROW(N$12:N578),ROW($S$12))&gt;=MAX((1=Z$12:Z578)*ROW(Z$12:Z578),ROW($T$12))),MIN(LOOKUP(,-1/($Z$12:Z579=1),$C$12:C579)+LOOKUP(,-1/($Z$12:Z579=1),$H$12:H579)-IF(N578&lt;&gt;0,0,SUM(INDIRECT("T"&amp;(MAX((0&lt;&gt;N$12:N578)*ROW(N$12:N578)+1,ROW($T$12))&amp;":T"&amp;(ROW()-1))))),Первоначальный[[#This Row],[Полученный платеж]]+Y578),
AND(S578=0,Первоначальный[[#This Row],[Дата платежа из графика]]=1),MIN(LOOKUP(,-1/($Z$12:Z579=1),$C$12:C579)+LOOKUP(,-1/($Z$12:Z579=1),$H$12:H579)-IF(Z578=1,0,SUM(INDIRECT("T"&amp;(MAX((1=Z$12:Z578)*ROW(Z$12:Z578)+1,ROW($T$12))&amp;":T"&amp;(ROW()-1))))),Первоначальный[[#This Row],[Полученный платеж]]+Y578),
AND(Z578&gt;0,Первоначальный[[#This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платеж]]+Y578),
AND(S578&gt;0,MAX((0&lt;&gt;S$12:S578)*ROW(S$12:S578),ROW($S$12))&gt;=MAX((1=Z$12:Z578)*ROW(Z$12:Z578),ROW($T$12)),TYPE(VLOOKUP("Да",(INDIRECT("AA"&amp;(MAX((1=Z$12:Z578)*ROW(Z$12:Z578),ROW($T$12))&amp;":AA"&amp;(ROW()-1)))),1,0))=16),MIN(LOOKUP(,-1/($Z$12:Z579=1),$C$12:C579)+LOOKUP(,-1/($Z$12:Z579=1),$H$12:H579)-SUM(INDIRECT("T"&amp;(MAX((1=Z$12:Z578)*ROW(Z$12:Z578),ROW($T$12))&amp;":T"&amp;(ROW()-1)))),Первоначальный[[#This Row],[Полученный платеж]]+Y578),
S578&gt;0,MIN(LOOKUP(,-1/($Z$12:Z579=1),$C$12:C579)+LOOKUP(,-1/($Z$12:Z579=1),$H$12:H579)-IF(Z578=1,0,SUM(INDIRECT("T"&amp;(MAX((1=Z$12:Z578)*ROW(Z$12:Z578)+1,ROW($T$12))&amp;":T"&amp;(ROW()-1))))),Первоначальный[[#This Row],[Полученный платеж]]+Y578)
)
)
)</f>
        <v>0</v>
      </c>
      <c r="U57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платеж]]+Y578-Первоначальный[[#This Row],[Полученный платёж по процентам]])</f>
        <v>0</v>
      </c>
      <c r="V579" s="55">
        <f t="shared" ca="1" si="97"/>
        <v>0</v>
      </c>
      <c r="W579" s="55" cm="1">
        <f t="array" aca="1" ref="W579" ca="1">IF(Первоначальный[[#This Row],[Итого остаток на начало периода]]&lt;1,0,
_xlfn.IFS(
AND(TYPE(VLOOKUP(1,$Z$12:Z579,1,0))=16,Первоначальный[[#This Row],[Досрочное погашение (да/"")]]=""),0,
AND(S578=0,Первоначальный[[#This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платеж]]+Y578-SUM(Первоначальный[[#This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комиссиям]]),VLOOKUP(LOOKUP(,-1/($Z$12:Z579=1),$A$12:A579),График[[Срок конец]:[Возврат основной суммы долга]],3,0)),
AND(S578=0,Первоначальный[[#This Row],[Дата платежа из графика]]="",Первоначальный[[#This Row],[Досрочное погашение (да/"")]]&lt;&gt;"Да"),0,
AND(S578=0,Первоначальный[[#This Row],[Досрочное погашение (да/"")]]=""),MIN(Первоначальный[[#This Row],[Полученный платеж]]+Y578-SUM(Первоначальный[[#This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комиссиям]]),VLOOKUP(LOOKUP(,-1/($Z$12:Z579=1),$A$12:A579),График[[Срок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платеж]]+Y578-SUM(Первоначальный[[#This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S578&gt;0,MIN(Первоначальный[[#This Row],[Полученный платеж]]+Y578-SUM(Первоначальный[[#This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комиссиям]]),SUM(INDIRECT("M"&amp;(MAX((1=S$12:S578)*ROW(S$12:S578),ROW($W$12))&amp;":M"&amp;(ROW()))))-SUM(INDIRECT("W"&amp;(MAX((1=S$12:S578)*ROW(S$12:S578),ROW($W$12))&amp;":W"&amp;(ROW()-1)))))
)
)</f>
        <v>0</v>
      </c>
      <c r="X579" s="55">
        <f t="shared" ca="1" si="98"/>
        <v>0</v>
      </c>
      <c r="Y579" s="101">
        <f t="shared" ca="1" si="105"/>
        <v>0</v>
      </c>
      <c r="Z579" s="133" t="str">
        <f>IF(TYPE((VLOOKUP(Первоначальный[[#This Row],[Дата платежа]],График[Срок конец],1,0)))=16,"",1)</f>
        <v/>
      </c>
      <c r="AA579" s="57"/>
      <c r="AB579" s="134"/>
      <c r="AC57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7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40192.949999999895</v>
      </c>
      <c r="AE57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992.13000000000193</v>
      </c>
      <c r="AF57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7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57430.409057377212</v>
      </c>
      <c r="AH579" s="55"/>
      <c r="AI579" s="55"/>
      <c r="AJ579" s="55"/>
      <c r="AK579" s="101">
        <f t="shared" ca="1" si="106"/>
        <v>248248.82905737712</v>
      </c>
      <c r="AL579" s="129">
        <f t="array" ref="AL579">MAX((УслРестрактов[Характеристика]="Дата реструктуризации")*(УслРестрактов[Значение]=Первоначальный!$A579),0)</f>
        <v>0</v>
      </c>
    </row>
    <row r="580" spans="1:38" x14ac:dyDescent="0.25">
      <c r="A580" s="97">
        <f t="shared" si="99"/>
        <v>44711</v>
      </c>
      <c r="B580" s="100">
        <f t="shared" ca="1" si="100"/>
        <v>149633.34</v>
      </c>
      <c r="C580" s="55">
        <f t="shared" ca="1" si="108"/>
        <v>40192.949999999895</v>
      </c>
      <c r="D580" s="55">
        <f t="shared" ca="1" si="108"/>
        <v>992.13000000000193</v>
      </c>
      <c r="E580" s="55">
        <f t="shared" ca="1" si="101"/>
        <v>0</v>
      </c>
      <c r="F580" s="55">
        <f t="shared" ca="1" si="102"/>
        <v>57430.409057377212</v>
      </c>
      <c r="G580" s="101">
        <f t="shared" ca="1" si="103"/>
        <v>248248.82905737712</v>
      </c>
      <c r="H580" s="100">
        <f ca="1">ROUND($B580*VLOOKUP($A580,$A$1:$B$10,2,1)/(365+IF(MOD(YEAR($A580),4),0,1)*($A580-$A579)),2)-Первоначальный[[#This Row],[Проценты на просроченный платеж по ОД за период]]</f>
        <v>77.38</v>
      </c>
      <c r="I580" s="55">
        <f t="shared" ca="1" si="104"/>
        <v>4.2</v>
      </c>
      <c r="J580" s="55">
        <v>0</v>
      </c>
      <c r="K580" s="55">
        <f t="shared" ca="1" si="107"/>
        <v>231.69350327868847</v>
      </c>
      <c r="L580" s="55">
        <v>0</v>
      </c>
      <c r="M580" s="113">
        <f>SUMIFS(График[Возврат основной суммы долга],График[Дата с учетом нерабочих дней],$A580)</f>
        <v>0</v>
      </c>
      <c r="N580" s="56">
        <f>SUMIFS(График[Возврат начисленных %],График[Дата с учетом нерабочих дней],$A580)</f>
        <v>0</v>
      </c>
      <c r="O580" s="101">
        <v>0</v>
      </c>
      <c r="P580" s="100" cm="1">
        <f t="array" aca="1" ref="P580" ca="1">MAX(IF(AA579="Да",0,SUM(INDIRECT("M"&amp;(MAX(("Да"=AA$12:AA579)*ROW(AA$12:AA579)+1,ROW($P$12))&amp;":M"&amp;(ROW()))))-SUM(INDIRECT("W"&amp;(MAX(("Да"=AA$12:AA579)*ROW(AA$12:AA579)+1,ROW($P$12))&amp;":W"&amp;(ROW()))))),0)</f>
        <v>7695.3899999999994</v>
      </c>
      <c r="Q580" s="99">
        <f ca="1">MAX(SUM($N$13:N580)-SUM($T$13:T580),0)</f>
        <v>38643.310655737696</v>
      </c>
      <c r="R580" s="99">
        <f ca="1">Первоначальный[[#This Row],[Просроченный платеж по ОД]]+Первоначальный[[#This Row],[Просроченный платеж по процентам]]</f>
        <v>46338.700655737695</v>
      </c>
      <c r="S580" s="120">
        <f ca="1">IF(Первоначальный[[#This Row],[Просроченный платеж]]&lt;1,0,S579+1)</f>
        <v>476</v>
      </c>
      <c r="T580" s="100" cm="1">
        <f t="array" aca="1" ref="T580" ca="1">IF(Первоначальный[[#This Row],[Итого остаток на начало периода]]&lt;1,0,
IF(
AND(TYPE(VLOOKUP(1,$Z$12:Z580,1,0))=16,Первоначальный[[#This Row],[Досрочное погашение (да/"")]]=""),0,
_xlfn.IFS(AND(S579=0,Первоначальный[[#This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платеж]]&lt;&gt;0),MIN(LOOKUP(,-1/($Z$12:Z580=1),$C$12:C580)+LOOKUP(,-1/($Z$12:Z580=1),$H$12:H580),Первоначальный[[#This Row],[Полученный платеж]]+Y579),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платеж]]+Y579,SUM(Первоначальный[[#This Row],[Остаток процентов на начало периода]],Первоначальный[[#This Row],[Проценты за период]])),
AND(S579=0,Первоначальный[[#This Row],[Дата платежа из графика]]=""),0,
AND(S579=0,Первоначальный[[#This Row],[Дата платежа из графика]]=1,MAX((0&lt;&gt;S$12:S579)*ROW(S$12:S579),ROW($S$12))&gt;=MAX((1=Z$12:Z579)*ROW(Z$12:Z579),ROW($T$12)),TYPE(VLOOKUP("Да",(INDIRECT("AA"&amp;(MAX((1=Z$12:Z579)*ROW(Z$12:Z579),ROW($T$12))&amp;":AA"&amp;(ROW()-1)))),1,0))=16),MIN(LOOKUP(,-1/($Z$12:Z580=1),$C$12:C580)+LOOKUP(,-1/($Z$12:Z580=1),$H$12:H580),Первоначальный[[#This Row],[Полученный платеж]]+Y579),
AND(S579=0,TYPE(VLOOKUP("Да",(INDIRECT("AA"&amp;(MAX((1=Z$12:Z579)*ROW(Z$12:Z579),ROW($T$12))&amp;":AA"&amp;(ROW()-1)))),1,0))&lt;&gt;16),MIN(LOOKUP(,-1/($Z$12:Z580=1),$C$12:C580)+LOOKUP(,-1/($Z$12:Z580=1),$H$12:H580)-IF(AA579="Да",0,SUM(INDIRECT("T"&amp;(MAX(("Да"=AA$12:AA579)*ROW(AA$12:AA579)+1,ROW($T$12))&amp;":T"&amp;(ROW()-1))))),Первоначальный[[#This Row],[Полученный платеж]]+Y579),
AND(S579=0,MAX((0&lt;&gt;N$12:N579)*ROW(N$12:N579),ROW($S$12))&gt;=MAX((1=Z$12:Z579)*ROW(Z$12:Z579),ROW($T$12))),MIN(LOOKUP(,-1/($Z$12:Z580=1),$C$12:C580)+LOOKUP(,-1/($Z$12:Z580=1),$H$12:H580)-IF(N579&lt;&gt;0,0,SUM(INDIRECT("T"&amp;(MAX((0&lt;&gt;N$12:N579)*ROW(N$12:N579)+1,ROW($T$12))&amp;":T"&amp;(ROW()-1))))),Первоначальный[[#This Row],[Полученный платеж]]+Y579),
AND(S579=0,Первоначальный[[#This Row],[Дата платежа из графика]]=1),MIN(LOOKUP(,-1/($Z$12:Z580=1),$C$12:C580)+LOOKUP(,-1/($Z$12:Z580=1),$H$12:H580)-IF(Z579=1,0,SUM(INDIRECT("T"&amp;(MAX((1=Z$12:Z579)*ROW(Z$12:Z579)+1,ROW($T$12))&amp;":T"&amp;(ROW()-1))))),Первоначальный[[#This Row],[Полученный платеж]]+Y579),
AND(Z579&gt;0,Первоначальный[[#This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платеж]]+Y579),
AND(S579&gt;0,MAX((0&lt;&gt;S$12:S579)*ROW(S$12:S579),ROW($S$12))&gt;=MAX((1=Z$12:Z579)*ROW(Z$12:Z579),ROW($T$12)),TYPE(VLOOKUP("Да",(INDIRECT("AA"&amp;(MAX((1=Z$12:Z579)*ROW(Z$12:Z579),ROW($T$12))&amp;":AA"&amp;(ROW()-1)))),1,0))=16),MIN(LOOKUP(,-1/($Z$12:Z580=1),$C$12:C580)+LOOKUP(,-1/($Z$12:Z580=1),$H$12:H580)-SUM(INDIRECT("T"&amp;(MAX((1=Z$12:Z579)*ROW(Z$12:Z579),ROW($T$12))&amp;":T"&amp;(ROW()-1)))),Первоначальный[[#This Row],[Полученный платеж]]+Y579),
S579&gt;0,MIN(LOOKUP(,-1/($Z$12:Z580=1),$C$12:C580)+LOOKUP(,-1/($Z$12:Z580=1),$H$12:H580)-IF(Z579=1,0,SUM(INDIRECT("T"&amp;(MAX((1=Z$12:Z579)*ROW(Z$12:Z579)+1,ROW($T$12))&amp;":T"&amp;(ROW()-1))))),Первоначальный[[#This Row],[Полученный платеж]]+Y579)
)
)
)</f>
        <v>0</v>
      </c>
      <c r="U58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платеж]]+Y579-Первоначальный[[#This Row],[Полученный платёж по процентам]])</f>
        <v>0</v>
      </c>
      <c r="V580" s="55">
        <f t="shared" ca="1" si="97"/>
        <v>0</v>
      </c>
      <c r="W580" s="55" cm="1">
        <f t="array" aca="1" ref="W580" ca="1">IF(Первоначальный[[#This Row],[Итого остаток на начало периода]]&lt;1,0,
_xlfn.IFS(
AND(TYPE(VLOOKUP(1,$Z$12:Z580,1,0))=16,Первоначальный[[#This Row],[Досрочное погашение (да/"")]]=""),0,
AND(S579=0,Первоначальный[[#This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платеж]]+Y579-SUM(Первоначальный[[#This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комиссиям]]),VLOOKUP(LOOKUP(,-1/($Z$12:Z580=1),$A$12:A580),График[[Срок конец]:[Возврат основной суммы долга]],3,0)),
AND(S579=0,Первоначальный[[#This Row],[Дата платежа из графика]]="",Первоначальный[[#This Row],[Досрочное погашение (да/"")]]&lt;&gt;"Да"),0,
AND(S579=0,Первоначальный[[#This Row],[Досрочное погашение (да/"")]]=""),MIN(Первоначальный[[#This Row],[Полученный платеж]]+Y579-SUM(Первоначальный[[#This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комиссиям]]),VLOOKUP(LOOKUP(,-1/($Z$12:Z580=1),$A$12:A580),График[[Срок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платеж]]+Y579-SUM(Первоначальный[[#This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S579&gt;0,MIN(Первоначальный[[#This Row],[Полученный платеж]]+Y579-SUM(Первоначальный[[#This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комиссиям]]),SUM(INDIRECT("M"&amp;(MAX((1=S$12:S579)*ROW(S$12:S579),ROW($W$12))&amp;":M"&amp;(ROW()))))-SUM(INDIRECT("W"&amp;(MAX((1=S$12:S579)*ROW(S$12:S579),ROW($W$12))&amp;":W"&amp;(ROW()-1)))))
)
)</f>
        <v>0</v>
      </c>
      <c r="X580" s="55">
        <f t="shared" ca="1" si="98"/>
        <v>0</v>
      </c>
      <c r="Y580" s="101">
        <f t="shared" ca="1" si="105"/>
        <v>0</v>
      </c>
      <c r="Z580" s="133" t="str">
        <f>IF(TYPE((VLOOKUP(Первоначальный[[#This Row],[Дата платежа]],График[Срок конец],1,0)))=16,"",1)</f>
        <v/>
      </c>
      <c r="AA580" s="57"/>
      <c r="AB580" s="134"/>
      <c r="AC58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8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40270.329999999893</v>
      </c>
      <c r="AE58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996.33000000000197</v>
      </c>
      <c r="AF58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8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57662.102560655898</v>
      </c>
      <c r="AH580" s="55"/>
      <c r="AI580" s="55"/>
      <c r="AJ580" s="55"/>
      <c r="AK580" s="101">
        <f t="shared" ca="1" si="106"/>
        <v>248562.1025606558</v>
      </c>
      <c r="AL580" s="129">
        <f t="array" ref="AL580">MAX((УслРестрактов[Характеристика]="Дата реструктуризации")*(УслРестрактов[Значение]=Первоначальный!$A580),0)</f>
        <v>0</v>
      </c>
    </row>
    <row r="581" spans="1:38" x14ac:dyDescent="0.25">
      <c r="A581" s="97">
        <f t="shared" si="99"/>
        <v>44712</v>
      </c>
      <c r="B581" s="100">
        <f t="shared" ca="1" si="100"/>
        <v>149633.34</v>
      </c>
      <c r="C581" s="55">
        <f t="shared" ca="1" si="108"/>
        <v>40270.329999999893</v>
      </c>
      <c r="D581" s="55">
        <f t="shared" ca="1" si="108"/>
        <v>996.33000000000197</v>
      </c>
      <c r="E581" s="55">
        <f t="shared" ca="1" si="101"/>
        <v>0</v>
      </c>
      <c r="F581" s="55">
        <f t="shared" ca="1" si="102"/>
        <v>57662.102560655898</v>
      </c>
      <c r="G581" s="101">
        <f t="shared" ca="1" si="103"/>
        <v>248562.1025606558</v>
      </c>
      <c r="H581" s="100">
        <f ca="1">ROUND($B581*VLOOKUP($A581,$A$1:$B$10,2,1)/(365+IF(MOD(YEAR($A581),4),0,1)*($A581-$A580)),2)-Первоначальный[[#This Row],[Проценты на просроченный платеж по ОД за период]]</f>
        <v>77.38</v>
      </c>
      <c r="I581" s="55">
        <f t="shared" ca="1" si="104"/>
        <v>4.2</v>
      </c>
      <c r="J581" s="55">
        <v>0</v>
      </c>
      <c r="K581" s="55">
        <f t="shared" ca="1" si="107"/>
        <v>231.69350327868847</v>
      </c>
      <c r="L581" s="55">
        <v>0</v>
      </c>
      <c r="M581" s="113">
        <f>SUMIFS(График[Возврат основной суммы долга],График[Дата с учетом нерабочих дней],$A581)</f>
        <v>0</v>
      </c>
      <c r="N581" s="56">
        <f>SUMIFS(График[Возврат начисленных %],График[Дата с учетом нерабочих дней],$A581)</f>
        <v>0</v>
      </c>
      <c r="O581" s="101">
        <v>0</v>
      </c>
      <c r="P581" s="100" cm="1">
        <f t="array" aca="1" ref="P581" ca="1">MAX(IF(AA580="Да",0,SUM(INDIRECT("M"&amp;(MAX(("Да"=AA$12:AA580)*ROW(AA$12:AA580)+1,ROW($P$12))&amp;":M"&amp;(ROW()))))-SUM(INDIRECT("W"&amp;(MAX(("Да"=AA$12:AA580)*ROW(AA$12:AA580)+1,ROW($P$12))&amp;":W"&amp;(ROW()))))),0)</f>
        <v>7695.3899999999994</v>
      </c>
      <c r="Q581" s="99">
        <f ca="1">MAX(SUM($N$13:N581)-SUM($T$13:T581),0)</f>
        <v>38643.310655737696</v>
      </c>
      <c r="R581" s="99">
        <f ca="1">Первоначальный[[#This Row],[Просроченный платеж по ОД]]+Первоначальный[[#This Row],[Просроченный платеж по процентам]]</f>
        <v>46338.700655737695</v>
      </c>
      <c r="S581" s="120">
        <f ca="1">IF(Первоначальный[[#This Row],[Просроченный платеж]]&lt;1,0,S580+1)</f>
        <v>477</v>
      </c>
      <c r="T581" s="100" cm="1">
        <f t="array" aca="1" ref="T581" ca="1">IF(Первоначальный[[#This Row],[Итого остаток на начало периода]]&lt;1,0,
IF(
AND(TYPE(VLOOKUP(1,$Z$12:Z581,1,0))=16,Первоначальный[[#This Row],[Досрочное погашение (да/"")]]=""),0,
_xlfn.IFS(AND(S580=0,Первоначальный[[#This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платеж]]&lt;&gt;0),MIN(LOOKUP(,-1/($Z$12:Z581=1),$C$12:C581)+LOOKUP(,-1/($Z$12:Z581=1),$H$12:H581),Первоначальный[[#This Row],[Полученный платеж]]+Y580),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платеж]]+Y580,SUM(Первоначальный[[#This Row],[Остаток процентов на начало периода]],Первоначальный[[#This Row],[Проценты за период]])),
AND(S580=0,Первоначальный[[#This Row],[Дата платежа из графика]]=""),0,
AND(S580=0,Первоначальный[[#This Row],[Дата платежа из графика]]=1,MAX((0&lt;&gt;S$12:S580)*ROW(S$12:S580),ROW($S$12))&gt;=MAX((1=Z$12:Z580)*ROW(Z$12:Z580),ROW($T$12)),TYPE(VLOOKUP("Да",(INDIRECT("AA"&amp;(MAX((1=Z$12:Z580)*ROW(Z$12:Z580),ROW($T$12))&amp;":AA"&amp;(ROW()-1)))),1,0))=16),MIN(LOOKUP(,-1/($Z$12:Z581=1),$C$12:C581)+LOOKUP(,-1/($Z$12:Z581=1),$H$12:H581),Первоначальный[[#This Row],[Полученный платеж]]+Y580),
AND(S580=0,TYPE(VLOOKUP("Да",(INDIRECT("AA"&amp;(MAX((1=Z$12:Z580)*ROW(Z$12:Z580),ROW($T$12))&amp;":AA"&amp;(ROW()-1)))),1,0))&lt;&gt;16),MIN(LOOKUP(,-1/($Z$12:Z581=1),$C$12:C581)+LOOKUP(,-1/($Z$12:Z581=1),$H$12:H581)-IF(AA580="Да",0,SUM(INDIRECT("T"&amp;(MAX(("Да"=AA$12:AA580)*ROW(AA$12:AA580)+1,ROW($T$12))&amp;":T"&amp;(ROW()-1))))),Первоначальный[[#This Row],[Полученный платеж]]+Y580),
AND(S580=0,MAX((0&lt;&gt;N$12:N580)*ROW(N$12:N580),ROW($S$12))&gt;=MAX((1=Z$12:Z580)*ROW(Z$12:Z580),ROW($T$12))),MIN(LOOKUP(,-1/($Z$12:Z581=1),$C$12:C581)+LOOKUP(,-1/($Z$12:Z581=1),$H$12:H581)-IF(N580&lt;&gt;0,0,SUM(INDIRECT("T"&amp;(MAX((0&lt;&gt;N$12:N580)*ROW(N$12:N580)+1,ROW($T$12))&amp;":T"&amp;(ROW()-1))))),Первоначальный[[#This Row],[Полученный платеж]]+Y580),
AND(S580=0,Первоначальный[[#This Row],[Дата платежа из графика]]=1),MIN(LOOKUP(,-1/($Z$12:Z581=1),$C$12:C581)+LOOKUP(,-1/($Z$12:Z581=1),$H$12:H581)-IF(Z580=1,0,SUM(INDIRECT("T"&amp;(MAX((1=Z$12:Z580)*ROW(Z$12:Z580)+1,ROW($T$12))&amp;":T"&amp;(ROW()-1))))),Первоначальный[[#This Row],[Полученный платеж]]+Y580),
AND(Z580&gt;0,Первоначальный[[#This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платеж]]+Y580),
AND(S580&gt;0,MAX((0&lt;&gt;S$12:S580)*ROW(S$12:S580),ROW($S$12))&gt;=MAX((1=Z$12:Z580)*ROW(Z$12:Z580),ROW($T$12)),TYPE(VLOOKUP("Да",(INDIRECT("AA"&amp;(MAX((1=Z$12:Z580)*ROW(Z$12:Z580),ROW($T$12))&amp;":AA"&amp;(ROW()-1)))),1,0))=16),MIN(LOOKUP(,-1/($Z$12:Z581=1),$C$12:C581)+LOOKUP(,-1/($Z$12:Z581=1),$H$12:H581)-SUM(INDIRECT("T"&amp;(MAX((1=Z$12:Z580)*ROW(Z$12:Z580),ROW($T$12))&amp;":T"&amp;(ROW()-1)))),Первоначальный[[#This Row],[Полученный платеж]]+Y580),
S580&gt;0,MIN(LOOKUP(,-1/($Z$12:Z581=1),$C$12:C581)+LOOKUP(,-1/($Z$12:Z581=1),$H$12:H581)-IF(Z580=1,0,SUM(INDIRECT("T"&amp;(MAX((1=Z$12:Z580)*ROW(Z$12:Z580)+1,ROW($T$12))&amp;":T"&amp;(ROW()-1))))),Первоначальный[[#This Row],[Полученный платеж]]+Y580)
)
)
)</f>
        <v>0</v>
      </c>
      <c r="U58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платеж]]+Y580-Первоначальный[[#This Row],[Полученный платёж по процентам]])</f>
        <v>0</v>
      </c>
      <c r="V581" s="55">
        <f t="shared" ca="1" si="97"/>
        <v>0</v>
      </c>
      <c r="W581" s="55" cm="1">
        <f t="array" aca="1" ref="W581" ca="1">IF(Первоначальный[[#This Row],[Итого остаток на начало периода]]&lt;1,0,
_xlfn.IFS(
AND(TYPE(VLOOKUP(1,$Z$12:Z581,1,0))=16,Первоначальный[[#This Row],[Досрочное погашение (да/"")]]=""),0,
AND(S580=0,Первоначальный[[#This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платеж]]+Y580-SUM(Первоначальный[[#This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комиссиям]]),VLOOKUP(LOOKUP(,-1/($Z$12:Z581=1),$A$12:A581),График[[Срок конец]:[Возврат основной суммы долга]],3,0)),
AND(S580=0,Первоначальный[[#This Row],[Дата платежа из графика]]="",Первоначальный[[#This Row],[Досрочное погашение (да/"")]]&lt;&gt;"Да"),0,
AND(S580=0,Первоначальный[[#This Row],[Досрочное погашение (да/"")]]=""),MIN(Первоначальный[[#This Row],[Полученный платеж]]+Y580-SUM(Первоначальный[[#This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комиссиям]]),VLOOKUP(LOOKUP(,-1/($Z$12:Z581=1),$A$12:A581),График[[Срок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платеж]]+Y580-SUM(Первоначальный[[#This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S580&gt;0,MIN(Первоначальный[[#This Row],[Полученный платеж]]+Y580-SUM(Первоначальный[[#This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комиссиям]]),SUM(INDIRECT("M"&amp;(MAX((1=S$12:S580)*ROW(S$12:S580),ROW($W$12))&amp;":M"&amp;(ROW()))))-SUM(INDIRECT("W"&amp;(MAX((1=S$12:S580)*ROW(S$12:S580),ROW($W$12))&amp;":W"&amp;(ROW()-1)))))
)
)</f>
        <v>0</v>
      </c>
      <c r="X581" s="55">
        <f t="shared" ca="1" si="98"/>
        <v>0</v>
      </c>
      <c r="Y581" s="101">
        <f t="shared" ca="1" si="105"/>
        <v>0</v>
      </c>
      <c r="Z581" s="133" t="str">
        <f>IF(TYPE((VLOOKUP(Первоначальный[[#This Row],[Дата платежа]],График[Срок конец],1,0)))=16,"",1)</f>
        <v/>
      </c>
      <c r="AA581" s="57"/>
      <c r="AB581" s="134"/>
      <c r="AC58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8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40347.70999999989</v>
      </c>
      <c r="AE58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1000.530000000002</v>
      </c>
      <c r="AF58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8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57893.796063934584</v>
      </c>
      <c r="AH581" s="55"/>
      <c r="AI581" s="55"/>
      <c r="AJ581" s="55"/>
      <c r="AK581" s="101">
        <f t="shared" ca="1" si="106"/>
        <v>248875.37606393447</v>
      </c>
      <c r="AL581" s="129">
        <f t="array" ref="AL581">MAX((УслРестрактов[Характеристика]="Дата реструктуризации")*(УслРестрактов[Значение]=Первоначальный!$A581),0)</f>
        <v>0</v>
      </c>
    </row>
    <row r="582" spans="1:38" x14ac:dyDescent="0.25">
      <c r="A582" s="97">
        <f t="shared" si="99"/>
        <v>44713</v>
      </c>
      <c r="B582" s="100">
        <f t="shared" ca="1" si="100"/>
        <v>149633.34</v>
      </c>
      <c r="C582" s="55">
        <f t="shared" ca="1" si="108"/>
        <v>40347.70999999989</v>
      </c>
      <c r="D582" s="55">
        <f t="shared" ca="1" si="108"/>
        <v>1000.530000000002</v>
      </c>
      <c r="E582" s="55">
        <f t="shared" ca="1" si="101"/>
        <v>0</v>
      </c>
      <c r="F582" s="55">
        <f t="shared" ca="1" si="102"/>
        <v>57893.796063934584</v>
      </c>
      <c r="G582" s="101">
        <f t="shared" ca="1" si="103"/>
        <v>248875.37606393447</v>
      </c>
      <c r="H582" s="100">
        <f ca="1">ROUND($B582*VLOOKUP($A582,$A$1:$B$10,2,1)/(365+IF(MOD(YEAR($A582),4),0,1)*($A582-$A581)),2)-Первоначальный[[#This Row],[Проценты на просроченный платеж по ОД за период]]</f>
        <v>77.38</v>
      </c>
      <c r="I582" s="55">
        <f t="shared" ca="1" si="104"/>
        <v>4.2</v>
      </c>
      <c r="J582" s="55">
        <v>0</v>
      </c>
      <c r="K582" s="55">
        <f t="shared" ca="1" si="107"/>
        <v>231.69350327868847</v>
      </c>
      <c r="L582" s="55">
        <v>0</v>
      </c>
      <c r="M582" s="113">
        <f>SUMIFS(График[Возврат основной суммы долга],График[Дата с учетом нерабочих дней],$A582)</f>
        <v>0</v>
      </c>
      <c r="N582" s="56">
        <f>SUMIFS(График[Возврат начисленных %],График[Дата с учетом нерабочих дней],$A582)</f>
        <v>0</v>
      </c>
      <c r="O582" s="101">
        <v>0</v>
      </c>
      <c r="P582" s="100" cm="1">
        <f t="array" aca="1" ref="P582" ca="1">MAX(IF(AA581="Да",0,SUM(INDIRECT("M"&amp;(MAX(("Да"=AA$12:AA581)*ROW(AA$12:AA581)+1,ROW($P$12))&amp;":M"&amp;(ROW()))))-SUM(INDIRECT("W"&amp;(MAX(("Да"=AA$12:AA581)*ROW(AA$12:AA581)+1,ROW($P$12))&amp;":W"&amp;(ROW()))))),0)</f>
        <v>7695.3899999999994</v>
      </c>
      <c r="Q582" s="99">
        <f ca="1">MAX(SUM($N$13:N582)-SUM($T$13:T582),0)</f>
        <v>38643.310655737696</v>
      </c>
      <c r="R582" s="99">
        <f ca="1">Первоначальный[[#This Row],[Просроченный платеж по ОД]]+Первоначальный[[#This Row],[Просроченный платеж по процентам]]</f>
        <v>46338.700655737695</v>
      </c>
      <c r="S582" s="120">
        <f ca="1">IF(Первоначальный[[#This Row],[Просроченный платеж]]&lt;1,0,S581+1)</f>
        <v>478</v>
      </c>
      <c r="T582" s="100" cm="1">
        <f t="array" aca="1" ref="T582" ca="1">IF(Первоначальный[[#This Row],[Итого остаток на начало периода]]&lt;1,0,
IF(
AND(TYPE(VLOOKUP(1,$Z$12:Z582,1,0))=16,Первоначальный[[#This Row],[Досрочное погашение (да/"")]]=""),0,
_xlfn.IFS(AND(S581=0,Первоначальный[[#This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платеж]]&lt;&gt;0),MIN(LOOKUP(,-1/($Z$12:Z582=1),$C$12:C582)+LOOKUP(,-1/($Z$12:Z582=1),$H$12:H582),Первоначальный[[#This Row],[Полученный платеж]]+Y581),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платеж]]+Y581,SUM(Первоначальный[[#This Row],[Остаток процентов на начало периода]],Первоначальный[[#This Row],[Проценты за период]])),
AND(S581=0,Первоначальный[[#This Row],[Дата платежа из графика]]=""),0,
AND(S581=0,Первоначальный[[#This Row],[Дата платежа из графика]]=1,MAX((0&lt;&gt;S$12:S581)*ROW(S$12:S581),ROW($S$12))&gt;=MAX((1=Z$12:Z581)*ROW(Z$12:Z581),ROW($T$12)),TYPE(VLOOKUP("Да",(INDIRECT("AA"&amp;(MAX((1=Z$12:Z581)*ROW(Z$12:Z581),ROW($T$12))&amp;":AA"&amp;(ROW()-1)))),1,0))=16),MIN(LOOKUP(,-1/($Z$12:Z582=1),$C$12:C582)+LOOKUP(,-1/($Z$12:Z582=1),$H$12:H582),Первоначальный[[#This Row],[Полученный платеж]]+Y581),
AND(S581=0,TYPE(VLOOKUP("Да",(INDIRECT("AA"&amp;(MAX((1=Z$12:Z581)*ROW(Z$12:Z581),ROW($T$12))&amp;":AA"&amp;(ROW()-1)))),1,0))&lt;&gt;16),MIN(LOOKUP(,-1/($Z$12:Z582=1),$C$12:C582)+LOOKUP(,-1/($Z$12:Z582=1),$H$12:H582)-IF(AA581="Да",0,SUM(INDIRECT("T"&amp;(MAX(("Да"=AA$12:AA581)*ROW(AA$12:AA581)+1,ROW($T$12))&amp;":T"&amp;(ROW()-1))))),Первоначальный[[#This Row],[Полученный платеж]]+Y581),
AND(S581=0,MAX((0&lt;&gt;N$12:N581)*ROW(N$12:N581),ROW($S$12))&gt;=MAX((1=Z$12:Z581)*ROW(Z$12:Z581),ROW($T$12))),MIN(LOOKUP(,-1/($Z$12:Z582=1),$C$12:C582)+LOOKUP(,-1/($Z$12:Z582=1),$H$12:H582)-IF(N581&lt;&gt;0,0,SUM(INDIRECT("T"&amp;(MAX((0&lt;&gt;N$12:N581)*ROW(N$12:N581)+1,ROW($T$12))&amp;":T"&amp;(ROW()-1))))),Первоначальный[[#This Row],[Полученный платеж]]+Y581),
AND(S581=0,Первоначальный[[#This Row],[Дата платежа из графика]]=1),MIN(LOOKUP(,-1/($Z$12:Z582=1),$C$12:C582)+LOOKUP(,-1/($Z$12:Z582=1),$H$12:H582)-IF(Z581=1,0,SUM(INDIRECT("T"&amp;(MAX((1=Z$12:Z581)*ROW(Z$12:Z581)+1,ROW($T$12))&amp;":T"&amp;(ROW()-1))))),Первоначальный[[#This Row],[Полученный платеж]]+Y581),
AND(Z581&gt;0,Первоначальный[[#This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платеж]]+Y581),
AND(S581&gt;0,MAX((0&lt;&gt;S$12:S581)*ROW(S$12:S581),ROW($S$12))&gt;=MAX((1=Z$12:Z581)*ROW(Z$12:Z581),ROW($T$12)),TYPE(VLOOKUP("Да",(INDIRECT("AA"&amp;(MAX((1=Z$12:Z581)*ROW(Z$12:Z581),ROW($T$12))&amp;":AA"&amp;(ROW()-1)))),1,0))=16),MIN(LOOKUP(,-1/($Z$12:Z582=1),$C$12:C582)+LOOKUP(,-1/($Z$12:Z582=1),$H$12:H582)-SUM(INDIRECT("T"&amp;(MAX((1=Z$12:Z581)*ROW(Z$12:Z581),ROW($T$12))&amp;":T"&amp;(ROW()-1)))),Первоначальный[[#This Row],[Полученный платеж]]+Y581),
S581&gt;0,MIN(LOOKUP(,-1/($Z$12:Z582=1),$C$12:C582)+LOOKUP(,-1/($Z$12:Z582=1),$H$12:H582)-IF(Z581=1,0,SUM(INDIRECT("T"&amp;(MAX((1=Z$12:Z581)*ROW(Z$12:Z581)+1,ROW($T$12))&amp;":T"&amp;(ROW()-1))))),Первоначальный[[#This Row],[Полученный платеж]]+Y581)
)
)
)</f>
        <v>0</v>
      </c>
      <c r="U58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платеж]]+Y581-Первоначальный[[#This Row],[Полученный платёж по процентам]])</f>
        <v>0</v>
      </c>
      <c r="V582" s="55">
        <f t="shared" ca="1" si="97"/>
        <v>0</v>
      </c>
      <c r="W582" s="55" cm="1">
        <f t="array" aca="1" ref="W582" ca="1">IF(Первоначальный[[#This Row],[Итого остаток на начало периода]]&lt;1,0,
_xlfn.IFS(
AND(TYPE(VLOOKUP(1,$Z$12:Z582,1,0))=16,Первоначальный[[#This Row],[Досрочное погашение (да/"")]]=""),0,
AND(S581=0,Первоначальный[[#This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платеж]]+Y581-SUM(Первоначальный[[#This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комиссиям]]),VLOOKUP(LOOKUP(,-1/($Z$12:Z582=1),$A$12:A582),График[[Срок конец]:[Возврат основной суммы долга]],3,0)),
AND(S581=0,Первоначальный[[#This Row],[Дата платежа из графика]]="",Первоначальный[[#This Row],[Досрочное погашение (да/"")]]&lt;&gt;"Да"),0,
AND(S581=0,Первоначальный[[#This Row],[Досрочное погашение (да/"")]]=""),MIN(Первоначальный[[#This Row],[Полученный платеж]]+Y581-SUM(Первоначальный[[#This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комиссиям]]),VLOOKUP(LOOKUP(,-1/($Z$12:Z582=1),$A$12:A582),График[[Срок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платеж]]+Y581-SUM(Первоначальный[[#This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S581&gt;0,MIN(Первоначальный[[#This Row],[Полученный платеж]]+Y581-SUM(Первоначальный[[#This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комиссиям]]),SUM(INDIRECT("M"&amp;(MAX((1=S$12:S581)*ROW(S$12:S581),ROW($W$12))&amp;":M"&amp;(ROW()))))-SUM(INDIRECT("W"&amp;(MAX((1=S$12:S581)*ROW(S$12:S581),ROW($W$12))&amp;":W"&amp;(ROW()-1)))))
)
)</f>
        <v>0</v>
      </c>
      <c r="X582" s="55">
        <f t="shared" ca="1" si="98"/>
        <v>0</v>
      </c>
      <c r="Y582" s="101">
        <f t="shared" ca="1" si="105"/>
        <v>0</v>
      </c>
      <c r="Z582" s="133" t="str">
        <f>IF(TYPE((VLOOKUP(Первоначальный[[#This Row],[Дата платежа]],График[Срок конец],1,0)))=16,"",1)</f>
        <v/>
      </c>
      <c r="AA582" s="57"/>
      <c r="AB582" s="134"/>
      <c r="AC58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8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40425.089999999887</v>
      </c>
      <c r="AE58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1004.7300000000021</v>
      </c>
      <c r="AF58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8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58125.48956721327</v>
      </c>
      <c r="AH582" s="55"/>
      <c r="AI582" s="55"/>
      <c r="AJ582" s="55"/>
      <c r="AK582" s="101">
        <f t="shared" ca="1" si="106"/>
        <v>249188.64956721314</v>
      </c>
      <c r="AL582" s="129">
        <f t="array" ref="AL582">MAX((УслРестрактов[Характеристика]="Дата реструктуризации")*(УслРестрактов[Значение]=Первоначальный!$A582),0)</f>
        <v>0</v>
      </c>
    </row>
    <row r="583" spans="1:38" x14ac:dyDescent="0.25">
      <c r="A583" s="97">
        <f t="shared" si="99"/>
        <v>44714</v>
      </c>
      <c r="B583" s="100">
        <f t="shared" ca="1" si="100"/>
        <v>149633.34</v>
      </c>
      <c r="C583" s="55">
        <f t="shared" ca="1" si="108"/>
        <v>40425.089999999887</v>
      </c>
      <c r="D583" s="55">
        <f t="shared" ca="1" si="108"/>
        <v>1004.7300000000021</v>
      </c>
      <c r="E583" s="55">
        <f t="shared" ca="1" si="101"/>
        <v>0</v>
      </c>
      <c r="F583" s="55">
        <f t="shared" ca="1" si="102"/>
        <v>58125.48956721327</v>
      </c>
      <c r="G583" s="101">
        <f t="shared" ca="1" si="103"/>
        <v>249188.64956721314</v>
      </c>
      <c r="H583" s="100">
        <f ca="1">ROUND($B583*VLOOKUP($A583,$A$1:$B$10,2,1)/(365+IF(MOD(YEAR($A583),4),0,1)*($A583-$A582)),2)-Первоначальный[[#This Row],[Проценты на просроченный платеж по ОД за период]]</f>
        <v>77.38</v>
      </c>
      <c r="I583" s="55">
        <f t="shared" ca="1" si="104"/>
        <v>4.2</v>
      </c>
      <c r="J583" s="55">
        <v>0</v>
      </c>
      <c r="K583" s="55">
        <f t="shared" ca="1" si="107"/>
        <v>231.69350327868847</v>
      </c>
      <c r="L583" s="55">
        <v>0</v>
      </c>
      <c r="M583" s="113">
        <f>SUMIFS(График[Возврат основной суммы долга],График[Дата с учетом нерабочих дней],$A583)</f>
        <v>0</v>
      </c>
      <c r="N583" s="56">
        <f>SUMIFS(График[Возврат начисленных %],График[Дата с учетом нерабочих дней],$A583)</f>
        <v>0</v>
      </c>
      <c r="O583" s="101">
        <v>0</v>
      </c>
      <c r="P583" s="100" cm="1">
        <f t="array" aca="1" ref="P583" ca="1">MAX(IF(AA582="Да",0,SUM(INDIRECT("M"&amp;(MAX(("Да"=AA$12:AA582)*ROW(AA$12:AA582)+1,ROW($P$12))&amp;":M"&amp;(ROW()))))-SUM(INDIRECT("W"&amp;(MAX(("Да"=AA$12:AA582)*ROW(AA$12:AA582)+1,ROW($P$12))&amp;":W"&amp;(ROW()))))),0)</f>
        <v>7695.3899999999994</v>
      </c>
      <c r="Q583" s="99">
        <f ca="1">MAX(SUM($N$13:N583)-SUM($T$13:T583),0)</f>
        <v>38643.310655737696</v>
      </c>
      <c r="R583" s="99">
        <f ca="1">Первоначальный[[#This Row],[Просроченный платеж по ОД]]+Первоначальный[[#This Row],[Просроченный платеж по процентам]]</f>
        <v>46338.700655737695</v>
      </c>
      <c r="S583" s="120">
        <f ca="1">IF(Первоначальный[[#This Row],[Просроченный платеж]]&lt;1,0,S582+1)</f>
        <v>479</v>
      </c>
      <c r="T583" s="100" cm="1">
        <f t="array" aca="1" ref="T583" ca="1">IF(Первоначальный[[#This Row],[Итого остаток на начало периода]]&lt;1,0,
IF(
AND(TYPE(VLOOKUP(1,$Z$12:Z583,1,0))=16,Первоначальный[[#This Row],[Досрочное погашение (да/"")]]=""),0,
_xlfn.IFS(AND(S582=0,Первоначальный[[#This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платеж]]&lt;&gt;0),MIN(LOOKUP(,-1/($Z$12:Z583=1),$C$12:C583)+LOOKUP(,-1/($Z$12:Z583=1),$H$12:H583),Первоначальный[[#This Row],[Полученный платеж]]+Y582),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платеж]]+Y582,SUM(Первоначальный[[#This Row],[Остаток процентов на начало периода]],Первоначальный[[#This Row],[Проценты за период]])),
AND(S582=0,Первоначальный[[#This Row],[Дата платежа из графика]]=""),0,
AND(S582=0,Первоначальный[[#This Row],[Дата платежа из графика]]=1,MAX((0&lt;&gt;S$12:S582)*ROW(S$12:S582),ROW($S$12))&gt;=MAX((1=Z$12:Z582)*ROW(Z$12:Z582),ROW($T$12)),TYPE(VLOOKUP("Да",(INDIRECT("AA"&amp;(MAX((1=Z$12:Z582)*ROW(Z$12:Z582),ROW($T$12))&amp;":AA"&amp;(ROW()-1)))),1,0))=16),MIN(LOOKUP(,-1/($Z$12:Z583=1),$C$12:C583)+LOOKUP(,-1/($Z$12:Z583=1),$H$12:H583),Первоначальный[[#This Row],[Полученный платеж]]+Y582),
AND(S582=0,TYPE(VLOOKUP("Да",(INDIRECT("AA"&amp;(MAX((1=Z$12:Z582)*ROW(Z$12:Z582),ROW($T$12))&amp;":AA"&amp;(ROW()-1)))),1,0))&lt;&gt;16),MIN(LOOKUP(,-1/($Z$12:Z583=1),$C$12:C583)+LOOKUP(,-1/($Z$12:Z583=1),$H$12:H583)-IF(AA582="Да",0,SUM(INDIRECT("T"&amp;(MAX(("Да"=AA$12:AA582)*ROW(AA$12:AA582)+1,ROW($T$12))&amp;":T"&amp;(ROW()-1))))),Первоначальный[[#This Row],[Полученный платеж]]+Y582),
AND(S582=0,MAX((0&lt;&gt;N$12:N582)*ROW(N$12:N582),ROW($S$12))&gt;=MAX((1=Z$12:Z582)*ROW(Z$12:Z582),ROW($T$12))),MIN(LOOKUP(,-1/($Z$12:Z583=1),$C$12:C583)+LOOKUP(,-1/($Z$12:Z583=1),$H$12:H583)-IF(N582&lt;&gt;0,0,SUM(INDIRECT("T"&amp;(MAX((0&lt;&gt;N$12:N582)*ROW(N$12:N582)+1,ROW($T$12))&amp;":T"&amp;(ROW()-1))))),Первоначальный[[#This Row],[Полученный платеж]]+Y582),
AND(S582=0,Первоначальный[[#This Row],[Дата платежа из графика]]=1),MIN(LOOKUP(,-1/($Z$12:Z583=1),$C$12:C583)+LOOKUP(,-1/($Z$12:Z583=1),$H$12:H583)-IF(Z582=1,0,SUM(INDIRECT("T"&amp;(MAX((1=Z$12:Z582)*ROW(Z$12:Z582)+1,ROW($T$12))&amp;":T"&amp;(ROW()-1))))),Первоначальный[[#This Row],[Полученный платеж]]+Y582),
AND(Z582&gt;0,Первоначальный[[#This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платеж]]+Y582),
AND(S582&gt;0,MAX((0&lt;&gt;S$12:S582)*ROW(S$12:S582),ROW($S$12))&gt;=MAX((1=Z$12:Z582)*ROW(Z$12:Z582),ROW($T$12)),TYPE(VLOOKUP("Да",(INDIRECT("AA"&amp;(MAX((1=Z$12:Z582)*ROW(Z$12:Z582),ROW($T$12))&amp;":AA"&amp;(ROW()-1)))),1,0))=16),MIN(LOOKUP(,-1/($Z$12:Z583=1),$C$12:C583)+LOOKUP(,-1/($Z$12:Z583=1),$H$12:H583)-SUM(INDIRECT("T"&amp;(MAX((1=Z$12:Z582)*ROW(Z$12:Z582),ROW($T$12))&amp;":T"&amp;(ROW()-1)))),Первоначальный[[#This Row],[Полученный платеж]]+Y582),
S582&gt;0,MIN(LOOKUP(,-1/($Z$12:Z583=1),$C$12:C583)+LOOKUP(,-1/($Z$12:Z583=1),$H$12:H583)-IF(Z582=1,0,SUM(INDIRECT("T"&amp;(MAX((1=Z$12:Z582)*ROW(Z$12:Z582)+1,ROW($T$12))&amp;":T"&amp;(ROW()-1))))),Первоначальный[[#This Row],[Полученный платеж]]+Y582)
)
)
)</f>
        <v>0</v>
      </c>
      <c r="U58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платеж]]+Y582-Первоначальный[[#This Row],[Полученный платёж по процентам]])</f>
        <v>0</v>
      </c>
      <c r="V583" s="55">
        <f t="shared" ca="1" si="97"/>
        <v>0</v>
      </c>
      <c r="W583" s="55" cm="1">
        <f t="array" aca="1" ref="W583" ca="1">IF(Первоначальный[[#This Row],[Итого остаток на начало периода]]&lt;1,0,
_xlfn.IFS(
AND(TYPE(VLOOKUP(1,$Z$12:Z583,1,0))=16,Первоначальный[[#This Row],[Досрочное погашение (да/"")]]=""),0,
AND(S582=0,Первоначальный[[#This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платеж]]+Y582-SUM(Первоначальный[[#This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комиссиям]]),VLOOKUP(LOOKUP(,-1/($Z$12:Z583=1),$A$12:A583),График[[Срок конец]:[Возврат основной суммы долга]],3,0)),
AND(S582=0,Первоначальный[[#This Row],[Дата платежа из графика]]="",Первоначальный[[#This Row],[Досрочное погашение (да/"")]]&lt;&gt;"Да"),0,
AND(S582=0,Первоначальный[[#This Row],[Досрочное погашение (да/"")]]=""),MIN(Первоначальный[[#This Row],[Полученный платеж]]+Y582-SUM(Первоначальный[[#This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комиссиям]]),VLOOKUP(LOOKUP(,-1/($Z$12:Z583=1),$A$12:A583),График[[Срок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платеж]]+Y582-SUM(Первоначальный[[#This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S582&gt;0,MIN(Первоначальный[[#This Row],[Полученный платеж]]+Y582-SUM(Первоначальный[[#This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комиссиям]]),SUM(INDIRECT("M"&amp;(MAX((1=S$12:S582)*ROW(S$12:S582),ROW($W$12))&amp;":M"&amp;(ROW()))))-SUM(INDIRECT("W"&amp;(MAX((1=S$12:S582)*ROW(S$12:S582),ROW($W$12))&amp;":W"&amp;(ROW()-1)))))
)
)</f>
        <v>0</v>
      </c>
      <c r="X583" s="55">
        <f t="shared" ca="1" si="98"/>
        <v>0</v>
      </c>
      <c r="Y583" s="101">
        <f t="shared" ca="1" si="105"/>
        <v>0</v>
      </c>
      <c r="Z583" s="133" t="str">
        <f>IF(TYPE((VLOOKUP(Первоначальный[[#This Row],[Дата платежа]],График[Срок конец],1,0)))=16,"",1)</f>
        <v/>
      </c>
      <c r="AA583" s="57"/>
      <c r="AB583" s="134"/>
      <c r="AC58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8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40502.469999999885</v>
      </c>
      <c r="AE58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1008.9300000000021</v>
      </c>
      <c r="AF58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8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58357.183070491956</v>
      </c>
      <c r="AH583" s="55"/>
      <c r="AI583" s="55"/>
      <c r="AJ583" s="55"/>
      <c r="AK583" s="101">
        <f t="shared" ca="1" si="106"/>
        <v>249501.92307049182</v>
      </c>
      <c r="AL583" s="129">
        <f t="array" ref="AL583">MAX((УслРестрактов[Характеристика]="Дата реструктуризации")*(УслРестрактов[Значение]=Первоначальный!$A583),0)</f>
        <v>0</v>
      </c>
    </row>
    <row r="584" spans="1:38" x14ac:dyDescent="0.25">
      <c r="A584" s="97">
        <f t="shared" si="99"/>
        <v>44715</v>
      </c>
      <c r="B584" s="100">
        <f t="shared" ca="1" si="100"/>
        <v>149633.34</v>
      </c>
      <c r="C584" s="55">
        <f t="shared" ca="1" si="108"/>
        <v>40502.469999999885</v>
      </c>
      <c r="D584" s="55">
        <f t="shared" ca="1" si="108"/>
        <v>1008.9300000000021</v>
      </c>
      <c r="E584" s="55">
        <f t="shared" ca="1" si="101"/>
        <v>0</v>
      </c>
      <c r="F584" s="55">
        <f t="shared" ca="1" si="102"/>
        <v>58357.183070491956</v>
      </c>
      <c r="G584" s="101">
        <f t="shared" ca="1" si="103"/>
        <v>249501.92307049182</v>
      </c>
      <c r="H584" s="100">
        <f ca="1">ROUND($B584*VLOOKUP($A584,$A$1:$B$10,2,1)/(365+IF(MOD(YEAR($A584),4),0,1)*($A584-$A583)),2)-Первоначальный[[#This Row],[Проценты на просроченный платеж по ОД за период]]</f>
        <v>77.38</v>
      </c>
      <c r="I584" s="55">
        <f t="shared" ca="1" si="104"/>
        <v>4.2</v>
      </c>
      <c r="J584" s="55">
        <v>0</v>
      </c>
      <c r="K584" s="55">
        <f t="shared" ca="1" si="107"/>
        <v>231.69350327868847</v>
      </c>
      <c r="L584" s="55">
        <v>0</v>
      </c>
      <c r="M584" s="113">
        <f>SUMIFS(График[Возврат основной суммы долга],График[Дата с учетом нерабочих дней],$A584)</f>
        <v>0</v>
      </c>
      <c r="N584" s="56">
        <f>SUMIFS(График[Возврат начисленных %],График[Дата с учетом нерабочих дней],$A584)</f>
        <v>0</v>
      </c>
      <c r="O584" s="101">
        <v>0</v>
      </c>
      <c r="P584" s="100" cm="1">
        <f t="array" aca="1" ref="P584" ca="1">MAX(IF(AA583="Да",0,SUM(INDIRECT("M"&amp;(MAX(("Да"=AA$12:AA583)*ROW(AA$12:AA583)+1,ROW($P$12))&amp;":M"&amp;(ROW()))))-SUM(INDIRECT("W"&amp;(MAX(("Да"=AA$12:AA583)*ROW(AA$12:AA583)+1,ROW($P$12))&amp;":W"&amp;(ROW()))))),0)</f>
        <v>7695.3899999999994</v>
      </c>
      <c r="Q584" s="99">
        <f ca="1">MAX(SUM($N$13:N584)-SUM($T$13:T584),0)</f>
        <v>38643.310655737696</v>
      </c>
      <c r="R584" s="99">
        <f ca="1">Первоначальный[[#This Row],[Просроченный платеж по ОД]]+Первоначальный[[#This Row],[Просроченный платеж по процентам]]</f>
        <v>46338.700655737695</v>
      </c>
      <c r="S584" s="120">
        <f ca="1">IF(Первоначальный[[#This Row],[Просроченный платеж]]&lt;1,0,S583+1)</f>
        <v>480</v>
      </c>
      <c r="T584" s="100" cm="1">
        <f t="array" aca="1" ref="T584" ca="1">IF(Первоначальный[[#This Row],[Итого остаток на начало периода]]&lt;1,0,
IF(
AND(TYPE(VLOOKUP(1,$Z$12:Z584,1,0))=16,Первоначальный[[#This Row],[Досрочное погашение (да/"")]]=""),0,
_xlfn.IFS(AND(S583=0,Первоначальный[[#This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платеж]]&lt;&gt;0),MIN(LOOKUP(,-1/($Z$12:Z584=1),$C$12:C584)+LOOKUP(,-1/($Z$12:Z584=1),$H$12:H584),Первоначальный[[#This Row],[Полученный платеж]]+Y583),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платеж]]+Y583,SUM(Первоначальный[[#This Row],[Остаток процентов на начало периода]],Первоначальный[[#This Row],[Проценты за период]])),
AND(S583=0,Первоначальный[[#This Row],[Дата платежа из графика]]=""),0,
AND(S583=0,Первоначальный[[#This Row],[Дата платежа из графика]]=1,MAX((0&lt;&gt;S$12:S583)*ROW(S$12:S583),ROW($S$12))&gt;=MAX((1=Z$12:Z583)*ROW(Z$12:Z583),ROW($T$12)),TYPE(VLOOKUP("Да",(INDIRECT("AA"&amp;(MAX((1=Z$12:Z583)*ROW(Z$12:Z583),ROW($T$12))&amp;":AA"&amp;(ROW()-1)))),1,0))=16),MIN(LOOKUP(,-1/($Z$12:Z584=1),$C$12:C584)+LOOKUP(,-1/($Z$12:Z584=1),$H$12:H584),Первоначальный[[#This Row],[Полученный платеж]]+Y583),
AND(S583=0,TYPE(VLOOKUP("Да",(INDIRECT("AA"&amp;(MAX((1=Z$12:Z583)*ROW(Z$12:Z583),ROW($T$12))&amp;":AA"&amp;(ROW()-1)))),1,0))&lt;&gt;16),MIN(LOOKUP(,-1/($Z$12:Z584=1),$C$12:C584)+LOOKUP(,-1/($Z$12:Z584=1),$H$12:H584)-IF(AA583="Да",0,SUM(INDIRECT("T"&amp;(MAX(("Да"=AA$12:AA583)*ROW(AA$12:AA583)+1,ROW($T$12))&amp;":T"&amp;(ROW()-1))))),Первоначальный[[#This Row],[Полученный платеж]]+Y583),
AND(S583=0,MAX((0&lt;&gt;N$12:N583)*ROW(N$12:N583),ROW($S$12))&gt;=MAX((1=Z$12:Z583)*ROW(Z$12:Z583),ROW($T$12))),MIN(LOOKUP(,-1/($Z$12:Z584=1),$C$12:C584)+LOOKUP(,-1/($Z$12:Z584=1),$H$12:H584)-IF(N583&lt;&gt;0,0,SUM(INDIRECT("T"&amp;(MAX((0&lt;&gt;N$12:N583)*ROW(N$12:N583)+1,ROW($T$12))&amp;":T"&amp;(ROW()-1))))),Первоначальный[[#This Row],[Полученный платеж]]+Y583),
AND(S583=0,Первоначальный[[#This Row],[Дата платежа из графика]]=1),MIN(LOOKUP(,-1/($Z$12:Z584=1),$C$12:C584)+LOOKUP(,-1/($Z$12:Z584=1),$H$12:H584)-IF(Z583=1,0,SUM(INDIRECT("T"&amp;(MAX((1=Z$12:Z583)*ROW(Z$12:Z583)+1,ROW($T$12))&amp;":T"&amp;(ROW()-1))))),Первоначальный[[#This Row],[Полученный платеж]]+Y583),
AND(Z583&gt;0,Первоначальный[[#This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платеж]]+Y583),
AND(S583&gt;0,MAX((0&lt;&gt;S$12:S583)*ROW(S$12:S583),ROW($S$12))&gt;=MAX((1=Z$12:Z583)*ROW(Z$12:Z583),ROW($T$12)),TYPE(VLOOKUP("Да",(INDIRECT("AA"&amp;(MAX((1=Z$12:Z583)*ROW(Z$12:Z583),ROW($T$12))&amp;":AA"&amp;(ROW()-1)))),1,0))=16),MIN(LOOKUP(,-1/($Z$12:Z584=1),$C$12:C584)+LOOKUP(,-1/($Z$12:Z584=1),$H$12:H584)-SUM(INDIRECT("T"&amp;(MAX((1=Z$12:Z583)*ROW(Z$12:Z583),ROW($T$12))&amp;":T"&amp;(ROW()-1)))),Первоначальный[[#This Row],[Полученный платеж]]+Y583),
S583&gt;0,MIN(LOOKUP(,-1/($Z$12:Z584=1),$C$12:C584)+LOOKUP(,-1/($Z$12:Z584=1),$H$12:H584)-IF(Z583=1,0,SUM(INDIRECT("T"&amp;(MAX((1=Z$12:Z583)*ROW(Z$12:Z583)+1,ROW($T$12))&amp;":T"&amp;(ROW()-1))))),Первоначальный[[#This Row],[Полученный платеж]]+Y583)
)
)
)</f>
        <v>0</v>
      </c>
      <c r="U58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платеж]]+Y583-Первоначальный[[#This Row],[Полученный платёж по процентам]])</f>
        <v>0</v>
      </c>
      <c r="V584" s="55">
        <f t="shared" ca="1" si="97"/>
        <v>0</v>
      </c>
      <c r="W584" s="55" cm="1">
        <f t="array" aca="1" ref="W584" ca="1">IF(Первоначальный[[#This Row],[Итого остаток на начало периода]]&lt;1,0,
_xlfn.IFS(
AND(TYPE(VLOOKUP(1,$Z$12:Z584,1,0))=16,Первоначальный[[#This Row],[Досрочное погашение (да/"")]]=""),0,
AND(S583=0,Первоначальный[[#This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платеж]]+Y583-SUM(Первоначальный[[#This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комиссиям]]),VLOOKUP(LOOKUP(,-1/($Z$12:Z584=1),$A$12:A584),График[[Срок конец]:[Возврат основной суммы долга]],3,0)),
AND(S583=0,Первоначальный[[#This Row],[Дата платежа из графика]]="",Первоначальный[[#This Row],[Досрочное погашение (да/"")]]&lt;&gt;"Да"),0,
AND(S583=0,Первоначальный[[#This Row],[Досрочное погашение (да/"")]]=""),MIN(Первоначальный[[#This Row],[Полученный платеж]]+Y583-SUM(Первоначальный[[#This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комиссиям]]),VLOOKUP(LOOKUP(,-1/($Z$12:Z584=1),$A$12:A584),График[[Срок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платеж]]+Y583-SUM(Первоначальный[[#This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S583&gt;0,MIN(Первоначальный[[#This Row],[Полученный платеж]]+Y583-SUM(Первоначальный[[#This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комиссиям]]),SUM(INDIRECT("M"&amp;(MAX((1=S$12:S583)*ROW(S$12:S583),ROW($W$12))&amp;":M"&amp;(ROW()))))-SUM(INDIRECT("W"&amp;(MAX((1=S$12:S583)*ROW(S$12:S583),ROW($W$12))&amp;":W"&amp;(ROW()-1)))))
)
)</f>
        <v>0</v>
      </c>
      <c r="X584" s="55">
        <f t="shared" ca="1" si="98"/>
        <v>0</v>
      </c>
      <c r="Y584" s="101">
        <f t="shared" ca="1" si="105"/>
        <v>0</v>
      </c>
      <c r="Z584" s="133" t="str">
        <f>IF(TYPE((VLOOKUP(Первоначальный[[#This Row],[Дата платежа]],График[Срок конец],1,0)))=16,"",1)</f>
        <v/>
      </c>
      <c r="AA584" s="57"/>
      <c r="AB584" s="134"/>
      <c r="AC58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8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40579.849999999882</v>
      </c>
      <c r="AE58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1013.1300000000022</v>
      </c>
      <c r="AF58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8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58588.876573770642</v>
      </c>
      <c r="AH584" s="55"/>
      <c r="AI584" s="55"/>
      <c r="AJ584" s="55"/>
      <c r="AK584" s="101">
        <f t="shared" ca="1" si="106"/>
        <v>249815.19657377055</v>
      </c>
      <c r="AL584" s="129">
        <f t="array" ref="AL584">MAX((УслРестрактов[Характеристика]="Дата реструктуризации")*(УслРестрактов[Значение]=Первоначальный!$A584),0)</f>
        <v>0</v>
      </c>
    </row>
    <row r="585" spans="1:38" x14ac:dyDescent="0.25">
      <c r="A585" s="97">
        <f t="shared" si="99"/>
        <v>44716</v>
      </c>
      <c r="B585" s="100">
        <f t="shared" ca="1" si="100"/>
        <v>149633.34</v>
      </c>
      <c r="C585" s="55">
        <f t="shared" ca="1" si="108"/>
        <v>40579.849999999882</v>
      </c>
      <c r="D585" s="55">
        <f t="shared" ca="1" si="108"/>
        <v>1013.1300000000022</v>
      </c>
      <c r="E585" s="55">
        <f t="shared" ca="1" si="101"/>
        <v>0</v>
      </c>
      <c r="F585" s="55">
        <f t="shared" ca="1" si="102"/>
        <v>58588.876573770642</v>
      </c>
      <c r="G585" s="101">
        <f t="shared" ca="1" si="103"/>
        <v>249815.19657377055</v>
      </c>
      <c r="H585" s="100">
        <f ca="1">ROUND($B585*VLOOKUP($A585,$A$1:$B$10,2,1)/(365+IF(MOD(YEAR($A585),4),0,1)*($A585-$A584)),2)-Первоначальный[[#This Row],[Проценты на просроченный платеж по ОД за период]]</f>
        <v>77.38</v>
      </c>
      <c r="I585" s="55">
        <f t="shared" ca="1" si="104"/>
        <v>4.2</v>
      </c>
      <c r="J585" s="55">
        <v>0</v>
      </c>
      <c r="K585" s="55">
        <f t="shared" ca="1" si="107"/>
        <v>231.69350327868847</v>
      </c>
      <c r="L585" s="55">
        <v>0</v>
      </c>
      <c r="M585" s="113">
        <f>SUMIFS(График[Возврат основной суммы долга],График[Дата с учетом нерабочих дней],$A585)</f>
        <v>0</v>
      </c>
      <c r="N585" s="56">
        <f>SUMIFS(График[Возврат начисленных %],График[Дата с учетом нерабочих дней],$A585)</f>
        <v>0</v>
      </c>
      <c r="O585" s="101">
        <v>0</v>
      </c>
      <c r="P585" s="100" cm="1">
        <f t="array" aca="1" ref="P585" ca="1">MAX(IF(AA584="Да",0,SUM(INDIRECT("M"&amp;(MAX(("Да"=AA$12:AA584)*ROW(AA$12:AA584)+1,ROW($P$12))&amp;":M"&amp;(ROW()))))-SUM(INDIRECT("W"&amp;(MAX(("Да"=AA$12:AA584)*ROW(AA$12:AA584)+1,ROW($P$12))&amp;":W"&amp;(ROW()))))),0)</f>
        <v>7695.3899999999994</v>
      </c>
      <c r="Q585" s="99">
        <f ca="1">MAX(SUM($N$13:N585)-SUM($T$13:T585),0)</f>
        <v>38643.310655737696</v>
      </c>
      <c r="R585" s="99">
        <f ca="1">Первоначальный[[#This Row],[Просроченный платеж по ОД]]+Первоначальный[[#This Row],[Просроченный платеж по процентам]]</f>
        <v>46338.700655737695</v>
      </c>
      <c r="S585" s="120">
        <f ca="1">IF(Первоначальный[[#This Row],[Просроченный платеж]]&lt;1,0,S584+1)</f>
        <v>481</v>
      </c>
      <c r="T585" s="100" cm="1">
        <f t="array" aca="1" ref="T585" ca="1">IF(Первоначальный[[#This Row],[Итого остаток на начало периода]]&lt;1,0,
IF(
AND(TYPE(VLOOKUP(1,$Z$12:Z585,1,0))=16,Первоначальный[[#This Row],[Досрочное погашение (да/"")]]=""),0,
_xlfn.IFS(AND(S584=0,Первоначальный[[#This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платеж]]&lt;&gt;0),MIN(LOOKUP(,-1/($Z$12:Z585=1),$C$12:C585)+LOOKUP(,-1/($Z$12:Z585=1),$H$12:H585),Первоначальный[[#This Row],[Полученный платеж]]+Y584),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платеж]]+Y584,SUM(Первоначальный[[#This Row],[Остаток процентов на начало периода]],Первоначальный[[#This Row],[Проценты за период]])),
AND(S584=0,Первоначальный[[#This Row],[Дата платежа из графика]]=""),0,
AND(S584=0,Первоначальный[[#This Row],[Дата платежа из графика]]=1,MAX((0&lt;&gt;S$12:S584)*ROW(S$12:S584),ROW($S$12))&gt;=MAX((1=Z$12:Z584)*ROW(Z$12:Z584),ROW($T$12)),TYPE(VLOOKUP("Да",(INDIRECT("AA"&amp;(MAX((1=Z$12:Z584)*ROW(Z$12:Z584),ROW($T$12))&amp;":AA"&amp;(ROW()-1)))),1,0))=16),MIN(LOOKUP(,-1/($Z$12:Z585=1),$C$12:C585)+LOOKUP(,-1/($Z$12:Z585=1),$H$12:H585),Первоначальный[[#This Row],[Полученный платеж]]+Y584),
AND(S584=0,TYPE(VLOOKUP("Да",(INDIRECT("AA"&amp;(MAX((1=Z$12:Z584)*ROW(Z$12:Z584),ROW($T$12))&amp;":AA"&amp;(ROW()-1)))),1,0))&lt;&gt;16),MIN(LOOKUP(,-1/($Z$12:Z585=1),$C$12:C585)+LOOKUP(,-1/($Z$12:Z585=1),$H$12:H585)-IF(AA584="Да",0,SUM(INDIRECT("T"&amp;(MAX(("Да"=AA$12:AA584)*ROW(AA$12:AA584)+1,ROW($T$12))&amp;":T"&amp;(ROW()-1))))),Первоначальный[[#This Row],[Полученный платеж]]+Y584),
AND(S584=0,MAX((0&lt;&gt;N$12:N584)*ROW(N$12:N584),ROW($S$12))&gt;=MAX((1=Z$12:Z584)*ROW(Z$12:Z584),ROW($T$12))),MIN(LOOKUP(,-1/($Z$12:Z585=1),$C$12:C585)+LOOKUP(,-1/($Z$12:Z585=1),$H$12:H585)-IF(N584&lt;&gt;0,0,SUM(INDIRECT("T"&amp;(MAX((0&lt;&gt;N$12:N584)*ROW(N$12:N584)+1,ROW($T$12))&amp;":T"&amp;(ROW()-1))))),Первоначальный[[#This Row],[Полученный платеж]]+Y584),
AND(S584=0,Первоначальный[[#This Row],[Дата платежа из графика]]=1),MIN(LOOKUP(,-1/($Z$12:Z585=1),$C$12:C585)+LOOKUP(,-1/($Z$12:Z585=1),$H$12:H585)-IF(Z584=1,0,SUM(INDIRECT("T"&amp;(MAX((1=Z$12:Z584)*ROW(Z$12:Z584)+1,ROW($T$12))&amp;":T"&amp;(ROW()-1))))),Первоначальный[[#This Row],[Полученный платеж]]+Y584),
AND(Z584&gt;0,Первоначальный[[#This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платеж]]+Y584),
AND(S584&gt;0,MAX((0&lt;&gt;S$12:S584)*ROW(S$12:S584),ROW($S$12))&gt;=MAX((1=Z$12:Z584)*ROW(Z$12:Z584),ROW($T$12)),TYPE(VLOOKUP("Да",(INDIRECT("AA"&amp;(MAX((1=Z$12:Z584)*ROW(Z$12:Z584),ROW($T$12))&amp;":AA"&amp;(ROW()-1)))),1,0))=16),MIN(LOOKUP(,-1/($Z$12:Z585=1),$C$12:C585)+LOOKUP(,-1/($Z$12:Z585=1),$H$12:H585)-SUM(INDIRECT("T"&amp;(MAX((1=Z$12:Z584)*ROW(Z$12:Z584),ROW($T$12))&amp;":T"&amp;(ROW()-1)))),Первоначальный[[#This Row],[Полученный платеж]]+Y584),
S584&gt;0,MIN(LOOKUP(,-1/($Z$12:Z585=1),$C$12:C585)+LOOKUP(,-1/($Z$12:Z585=1),$H$12:H585)-IF(Z584=1,0,SUM(INDIRECT("T"&amp;(MAX((1=Z$12:Z584)*ROW(Z$12:Z584)+1,ROW($T$12))&amp;":T"&amp;(ROW()-1))))),Первоначальный[[#This Row],[Полученный платеж]]+Y584)
)
)
)</f>
        <v>0</v>
      </c>
      <c r="U58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платеж]]+Y584-Первоначальный[[#This Row],[Полученный платёж по процентам]])</f>
        <v>0</v>
      </c>
      <c r="V585" s="55">
        <f t="shared" ca="1" si="97"/>
        <v>0</v>
      </c>
      <c r="W585" s="55" cm="1">
        <f t="array" aca="1" ref="W585" ca="1">IF(Первоначальный[[#This Row],[Итого остаток на начало периода]]&lt;1,0,
_xlfn.IFS(
AND(TYPE(VLOOKUP(1,$Z$12:Z585,1,0))=16,Первоначальный[[#This Row],[Досрочное погашение (да/"")]]=""),0,
AND(S584=0,Первоначальный[[#This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платеж]]+Y584-SUM(Первоначальный[[#This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комиссиям]]),VLOOKUP(LOOKUP(,-1/($Z$12:Z585=1),$A$12:A585),График[[Срок конец]:[Возврат основной суммы долга]],3,0)),
AND(S584=0,Первоначальный[[#This Row],[Дата платежа из графика]]="",Первоначальный[[#This Row],[Досрочное погашение (да/"")]]&lt;&gt;"Да"),0,
AND(S584=0,Первоначальный[[#This Row],[Досрочное погашение (да/"")]]=""),MIN(Первоначальный[[#This Row],[Полученный платеж]]+Y584-SUM(Первоначальный[[#This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комиссиям]]),VLOOKUP(LOOKUP(,-1/($Z$12:Z585=1),$A$12:A585),График[[Срок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платеж]]+Y584-SUM(Первоначальный[[#This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S584&gt;0,MIN(Первоначальный[[#This Row],[Полученный платеж]]+Y584-SUM(Первоначальный[[#This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комиссиям]]),SUM(INDIRECT("M"&amp;(MAX((1=S$12:S584)*ROW(S$12:S584),ROW($W$12))&amp;":M"&amp;(ROW()))))-SUM(INDIRECT("W"&amp;(MAX((1=S$12:S584)*ROW(S$12:S584),ROW($W$12))&amp;":W"&amp;(ROW()-1)))))
)
)</f>
        <v>0</v>
      </c>
      <c r="X585" s="55">
        <f t="shared" ca="1" si="98"/>
        <v>0</v>
      </c>
      <c r="Y585" s="101">
        <f t="shared" ca="1" si="105"/>
        <v>0</v>
      </c>
      <c r="Z585" s="133" t="str">
        <f>IF(TYPE((VLOOKUP(Первоначальный[[#This Row],[Дата платежа]],График[Срок конец],1,0)))=16,"",1)</f>
        <v/>
      </c>
      <c r="AA585" s="57"/>
      <c r="AB585" s="134"/>
      <c r="AC58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8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40657.22999999988</v>
      </c>
      <c r="AE58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1017.3300000000022</v>
      </c>
      <c r="AF58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8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58820.570077049328</v>
      </c>
      <c r="AH585" s="55"/>
      <c r="AI585" s="55"/>
      <c r="AJ585" s="55"/>
      <c r="AK585" s="101">
        <f t="shared" ca="1" si="106"/>
        <v>250128.47007704922</v>
      </c>
      <c r="AL585" s="129">
        <f t="array" ref="AL585">MAX((УслРестрактов[Характеристика]="Дата реструктуризации")*(УслРестрактов[Значение]=Первоначальный!$A585),0)</f>
        <v>0</v>
      </c>
    </row>
    <row r="586" spans="1:38" x14ac:dyDescent="0.25">
      <c r="A586" s="97">
        <f t="shared" si="99"/>
        <v>44717</v>
      </c>
      <c r="B586" s="100">
        <f t="shared" ca="1" si="100"/>
        <v>149633.34</v>
      </c>
      <c r="C586" s="55">
        <f t="shared" ca="1" si="108"/>
        <v>40657.22999999988</v>
      </c>
      <c r="D586" s="55">
        <f t="shared" ca="1" si="108"/>
        <v>1017.3300000000022</v>
      </c>
      <c r="E586" s="55">
        <f t="shared" ca="1" si="101"/>
        <v>0</v>
      </c>
      <c r="F586" s="55">
        <f t="shared" ca="1" si="102"/>
        <v>58820.570077049328</v>
      </c>
      <c r="G586" s="101">
        <f t="shared" ca="1" si="103"/>
        <v>250128.47007704922</v>
      </c>
      <c r="H586" s="100">
        <f ca="1">ROUND($B586*VLOOKUP($A586,$A$1:$B$10,2,1)/(365+IF(MOD(YEAR($A586),4),0,1)*($A586-$A585)),2)-Первоначальный[[#This Row],[Проценты на просроченный платеж по ОД за период]]</f>
        <v>77.38</v>
      </c>
      <c r="I586" s="55">
        <f t="shared" ca="1" si="104"/>
        <v>4.2</v>
      </c>
      <c r="J586" s="55">
        <v>0</v>
      </c>
      <c r="K586" s="55">
        <f t="shared" ca="1" si="107"/>
        <v>231.69350327868847</v>
      </c>
      <c r="L586" s="55">
        <v>0</v>
      </c>
      <c r="M586" s="113">
        <f>SUMIFS(График[Возврат основной суммы долга],График[Дата с учетом нерабочих дней],$A586)</f>
        <v>0</v>
      </c>
      <c r="N586" s="56">
        <f>SUMIFS(График[Возврат начисленных %],График[Дата с учетом нерабочих дней],$A586)</f>
        <v>0</v>
      </c>
      <c r="O586" s="101">
        <v>0</v>
      </c>
      <c r="P586" s="100" cm="1">
        <f t="array" aca="1" ref="P586" ca="1">MAX(IF(AA585="Да",0,SUM(INDIRECT("M"&amp;(MAX(("Да"=AA$12:AA585)*ROW(AA$12:AA585)+1,ROW($P$12))&amp;":M"&amp;(ROW()))))-SUM(INDIRECT("W"&amp;(MAX(("Да"=AA$12:AA585)*ROW(AA$12:AA585)+1,ROW($P$12))&amp;":W"&amp;(ROW()))))),0)</f>
        <v>7695.3899999999994</v>
      </c>
      <c r="Q586" s="99">
        <f ca="1">MAX(SUM($N$13:N586)-SUM($T$13:T586),0)</f>
        <v>38643.310655737696</v>
      </c>
      <c r="R586" s="99">
        <f ca="1">Первоначальный[[#This Row],[Просроченный платеж по ОД]]+Первоначальный[[#This Row],[Просроченный платеж по процентам]]</f>
        <v>46338.700655737695</v>
      </c>
      <c r="S586" s="120">
        <f ca="1">IF(Первоначальный[[#This Row],[Просроченный платеж]]&lt;1,0,S585+1)</f>
        <v>482</v>
      </c>
      <c r="T586" s="100" cm="1">
        <f t="array" aca="1" ref="T586" ca="1">IF(Первоначальный[[#This Row],[Итого остаток на начало периода]]&lt;1,0,
IF(
AND(TYPE(VLOOKUP(1,$Z$12:Z586,1,0))=16,Первоначальный[[#This Row],[Досрочное погашение (да/"")]]=""),0,
_xlfn.IFS(AND(S585=0,Первоначальный[[#This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платеж]]&lt;&gt;0),MIN(LOOKUP(,-1/($Z$12:Z586=1),$C$12:C586)+LOOKUP(,-1/($Z$12:Z586=1),$H$12:H586),Первоначальный[[#This Row],[Полученный платеж]]+Y585),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платеж]]+Y585,SUM(Первоначальный[[#This Row],[Остаток процентов на начало периода]],Первоначальный[[#This Row],[Проценты за период]])),
AND(S585=0,Первоначальный[[#This Row],[Дата платежа из графика]]=""),0,
AND(S585=0,Первоначальный[[#This Row],[Дата платежа из графика]]=1,MAX((0&lt;&gt;S$12:S585)*ROW(S$12:S585),ROW($S$12))&gt;=MAX((1=Z$12:Z585)*ROW(Z$12:Z585),ROW($T$12)),TYPE(VLOOKUP("Да",(INDIRECT("AA"&amp;(MAX((1=Z$12:Z585)*ROW(Z$12:Z585),ROW($T$12))&amp;":AA"&amp;(ROW()-1)))),1,0))=16),MIN(LOOKUP(,-1/($Z$12:Z586=1),$C$12:C586)+LOOKUP(,-1/($Z$12:Z586=1),$H$12:H586),Первоначальный[[#This Row],[Полученный платеж]]+Y585),
AND(S585=0,TYPE(VLOOKUP("Да",(INDIRECT("AA"&amp;(MAX((1=Z$12:Z585)*ROW(Z$12:Z585),ROW($T$12))&amp;":AA"&amp;(ROW()-1)))),1,0))&lt;&gt;16),MIN(LOOKUP(,-1/($Z$12:Z586=1),$C$12:C586)+LOOKUP(,-1/($Z$12:Z586=1),$H$12:H586)-IF(AA585="Да",0,SUM(INDIRECT("T"&amp;(MAX(("Да"=AA$12:AA585)*ROW(AA$12:AA585)+1,ROW($T$12))&amp;":T"&amp;(ROW()-1))))),Первоначальный[[#This Row],[Полученный платеж]]+Y585),
AND(S585=0,MAX((0&lt;&gt;N$12:N585)*ROW(N$12:N585),ROW($S$12))&gt;=MAX((1=Z$12:Z585)*ROW(Z$12:Z585),ROW($T$12))),MIN(LOOKUP(,-1/($Z$12:Z586=1),$C$12:C586)+LOOKUP(,-1/($Z$12:Z586=1),$H$12:H586)-IF(N585&lt;&gt;0,0,SUM(INDIRECT("T"&amp;(MAX((0&lt;&gt;N$12:N585)*ROW(N$12:N585)+1,ROW($T$12))&amp;":T"&amp;(ROW()-1))))),Первоначальный[[#This Row],[Полученный платеж]]+Y585),
AND(S585=0,Первоначальный[[#This Row],[Дата платежа из графика]]=1),MIN(LOOKUP(,-1/($Z$12:Z586=1),$C$12:C586)+LOOKUP(,-1/($Z$12:Z586=1),$H$12:H586)-IF(Z585=1,0,SUM(INDIRECT("T"&amp;(MAX((1=Z$12:Z585)*ROW(Z$12:Z585)+1,ROW($T$12))&amp;":T"&amp;(ROW()-1))))),Первоначальный[[#This Row],[Полученный платеж]]+Y585),
AND(Z585&gt;0,Первоначальный[[#This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платеж]]+Y585),
AND(S585&gt;0,MAX((0&lt;&gt;S$12:S585)*ROW(S$12:S585),ROW($S$12))&gt;=MAX((1=Z$12:Z585)*ROW(Z$12:Z585),ROW($T$12)),TYPE(VLOOKUP("Да",(INDIRECT("AA"&amp;(MAX((1=Z$12:Z585)*ROW(Z$12:Z585),ROW($T$12))&amp;":AA"&amp;(ROW()-1)))),1,0))=16),MIN(LOOKUP(,-1/($Z$12:Z586=1),$C$12:C586)+LOOKUP(,-1/($Z$12:Z586=1),$H$12:H586)-SUM(INDIRECT("T"&amp;(MAX((1=Z$12:Z585)*ROW(Z$12:Z585),ROW($T$12))&amp;":T"&amp;(ROW()-1)))),Первоначальный[[#This Row],[Полученный платеж]]+Y585),
S585&gt;0,MIN(LOOKUP(,-1/($Z$12:Z586=1),$C$12:C586)+LOOKUP(,-1/($Z$12:Z586=1),$H$12:H586)-IF(Z585=1,0,SUM(INDIRECT("T"&amp;(MAX((1=Z$12:Z585)*ROW(Z$12:Z585)+1,ROW($T$12))&amp;":T"&amp;(ROW()-1))))),Первоначальный[[#This Row],[Полученный платеж]]+Y585)
)
)
)</f>
        <v>0</v>
      </c>
      <c r="U58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платеж]]+Y585-Первоначальный[[#This Row],[Полученный платёж по процентам]])</f>
        <v>0</v>
      </c>
      <c r="V586" s="55">
        <f t="shared" ca="1" si="97"/>
        <v>0</v>
      </c>
      <c r="W586" s="55" cm="1">
        <f t="array" aca="1" ref="W586" ca="1">IF(Первоначальный[[#This Row],[Итого остаток на начало периода]]&lt;1,0,
_xlfn.IFS(
AND(TYPE(VLOOKUP(1,$Z$12:Z586,1,0))=16,Первоначальный[[#This Row],[Досрочное погашение (да/"")]]=""),0,
AND(S585=0,Первоначальный[[#This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платеж]]+Y585-SUM(Первоначальный[[#This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комиссиям]]),VLOOKUP(LOOKUP(,-1/($Z$12:Z586=1),$A$12:A586),График[[Срок конец]:[Возврат основной суммы долга]],3,0)),
AND(S585=0,Первоначальный[[#This Row],[Дата платежа из графика]]="",Первоначальный[[#This Row],[Досрочное погашение (да/"")]]&lt;&gt;"Да"),0,
AND(S585=0,Первоначальный[[#This Row],[Досрочное погашение (да/"")]]=""),MIN(Первоначальный[[#This Row],[Полученный платеж]]+Y585-SUM(Первоначальный[[#This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комиссиям]]),VLOOKUP(LOOKUP(,-1/($Z$12:Z586=1),$A$12:A586),График[[Срок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платеж]]+Y585-SUM(Первоначальный[[#This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S585&gt;0,MIN(Первоначальный[[#This Row],[Полученный платеж]]+Y585-SUM(Первоначальный[[#This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комиссиям]]),SUM(INDIRECT("M"&amp;(MAX((1=S$12:S585)*ROW(S$12:S585),ROW($W$12))&amp;":M"&amp;(ROW()))))-SUM(INDIRECT("W"&amp;(MAX((1=S$12:S585)*ROW(S$12:S585),ROW($W$12))&amp;":W"&amp;(ROW()-1)))))
)
)</f>
        <v>0</v>
      </c>
      <c r="X586" s="55">
        <f t="shared" ca="1" si="98"/>
        <v>0</v>
      </c>
      <c r="Y586" s="101">
        <f t="shared" ca="1" si="105"/>
        <v>0</v>
      </c>
      <c r="Z586" s="133" t="str">
        <f>IF(TYPE((VLOOKUP(Первоначальный[[#This Row],[Дата платежа]],График[Срок конец],1,0)))=16,"",1)</f>
        <v/>
      </c>
      <c r="AA586" s="57"/>
      <c r="AB586" s="134"/>
      <c r="AC58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8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40734.609999999877</v>
      </c>
      <c r="AE58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1021.5300000000022</v>
      </c>
      <c r="AF58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8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59052.263580328014</v>
      </c>
      <c r="AH586" s="55"/>
      <c r="AI586" s="55"/>
      <c r="AJ586" s="55"/>
      <c r="AK586" s="101">
        <f t="shared" ca="1" si="106"/>
        <v>250441.74358032789</v>
      </c>
      <c r="AL586" s="129">
        <f t="array" ref="AL586">MAX((УслРестрактов[Характеристика]="Дата реструктуризации")*(УслРестрактов[Значение]=Первоначальный!$A586),0)</f>
        <v>0</v>
      </c>
    </row>
    <row r="587" spans="1:38" x14ac:dyDescent="0.25">
      <c r="A587" s="97">
        <f t="shared" si="99"/>
        <v>44718</v>
      </c>
      <c r="B587" s="100">
        <f t="shared" ca="1" si="100"/>
        <v>149633.34</v>
      </c>
      <c r="C587" s="55">
        <f t="shared" ca="1" si="108"/>
        <v>40734.609999999877</v>
      </c>
      <c r="D587" s="55">
        <f t="shared" ca="1" si="108"/>
        <v>1021.5300000000022</v>
      </c>
      <c r="E587" s="55">
        <f t="shared" ca="1" si="101"/>
        <v>0</v>
      </c>
      <c r="F587" s="55">
        <f t="shared" ca="1" si="102"/>
        <v>59052.263580328014</v>
      </c>
      <c r="G587" s="101">
        <f t="shared" ca="1" si="103"/>
        <v>250441.74358032789</v>
      </c>
      <c r="H587" s="100">
        <f ca="1">ROUND($B587*VLOOKUP($A587,$A$1:$B$10,2,1)/(365+IF(MOD(YEAR($A587),4),0,1)*($A587-$A586)),2)-Первоначальный[[#This Row],[Проценты на просроченный платеж по ОД за период]]</f>
        <v>77.38</v>
      </c>
      <c r="I587" s="55">
        <f t="shared" ca="1" si="104"/>
        <v>4.2</v>
      </c>
      <c r="J587" s="55">
        <v>0</v>
      </c>
      <c r="K587" s="55">
        <f t="shared" ca="1" si="107"/>
        <v>231.69350327868847</v>
      </c>
      <c r="L587" s="55">
        <v>0</v>
      </c>
      <c r="M587" s="113">
        <f>SUMIFS(График[Возврат основной суммы долга],График[Дата с учетом нерабочих дней],$A587)</f>
        <v>0</v>
      </c>
      <c r="N587" s="56">
        <f>SUMIFS(График[Возврат начисленных %],График[Дата с учетом нерабочих дней],$A587)</f>
        <v>0</v>
      </c>
      <c r="O587" s="101">
        <v>0</v>
      </c>
      <c r="P587" s="100" cm="1">
        <f t="array" aca="1" ref="P587" ca="1">MAX(IF(AA586="Да",0,SUM(INDIRECT("M"&amp;(MAX(("Да"=AA$12:AA586)*ROW(AA$12:AA586)+1,ROW($P$12))&amp;":M"&amp;(ROW()))))-SUM(INDIRECT("W"&amp;(MAX(("Да"=AA$12:AA586)*ROW(AA$12:AA586)+1,ROW($P$12))&amp;":W"&amp;(ROW()))))),0)</f>
        <v>7695.3899999999994</v>
      </c>
      <c r="Q587" s="99">
        <f ca="1">MAX(SUM($N$13:N587)-SUM($T$13:T587),0)</f>
        <v>38643.310655737696</v>
      </c>
      <c r="R587" s="99">
        <f ca="1">Первоначальный[[#This Row],[Просроченный платеж по ОД]]+Первоначальный[[#This Row],[Просроченный платеж по процентам]]</f>
        <v>46338.700655737695</v>
      </c>
      <c r="S587" s="120">
        <f ca="1">IF(Первоначальный[[#This Row],[Просроченный платеж]]&lt;1,0,S586+1)</f>
        <v>483</v>
      </c>
      <c r="T587" s="100" cm="1">
        <f t="array" aca="1" ref="T587" ca="1">IF(Первоначальный[[#This Row],[Итого остаток на начало периода]]&lt;1,0,
IF(
AND(TYPE(VLOOKUP(1,$Z$12:Z587,1,0))=16,Первоначальный[[#This Row],[Досрочное погашение (да/"")]]=""),0,
_xlfn.IFS(AND(S586=0,Первоначальный[[#This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платеж]]&lt;&gt;0),MIN(LOOKUP(,-1/($Z$12:Z587=1),$C$12:C587)+LOOKUP(,-1/($Z$12:Z587=1),$H$12:H587),Первоначальный[[#This Row],[Полученный платеж]]+Y586),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платеж]]+Y586,SUM(Первоначальный[[#This Row],[Остаток процентов на начало периода]],Первоначальный[[#This Row],[Проценты за период]])),
AND(S586=0,Первоначальный[[#This Row],[Дата платежа из графика]]=""),0,
AND(S586=0,Первоначальный[[#This Row],[Дата платежа из графика]]=1,MAX((0&lt;&gt;S$12:S586)*ROW(S$12:S586),ROW($S$12))&gt;=MAX((1=Z$12:Z586)*ROW(Z$12:Z586),ROW($T$12)),TYPE(VLOOKUP("Да",(INDIRECT("AA"&amp;(MAX((1=Z$12:Z586)*ROW(Z$12:Z586),ROW($T$12))&amp;":AA"&amp;(ROW()-1)))),1,0))=16),MIN(LOOKUP(,-1/($Z$12:Z587=1),$C$12:C587)+LOOKUP(,-1/($Z$12:Z587=1),$H$12:H587),Первоначальный[[#This Row],[Полученный платеж]]+Y586),
AND(S586=0,TYPE(VLOOKUP("Да",(INDIRECT("AA"&amp;(MAX((1=Z$12:Z586)*ROW(Z$12:Z586),ROW($T$12))&amp;":AA"&amp;(ROW()-1)))),1,0))&lt;&gt;16),MIN(LOOKUP(,-1/($Z$12:Z587=1),$C$12:C587)+LOOKUP(,-1/($Z$12:Z587=1),$H$12:H587)-IF(AA586="Да",0,SUM(INDIRECT("T"&amp;(MAX(("Да"=AA$12:AA586)*ROW(AA$12:AA586)+1,ROW($T$12))&amp;":T"&amp;(ROW()-1))))),Первоначальный[[#This Row],[Полученный платеж]]+Y586),
AND(S586=0,MAX((0&lt;&gt;N$12:N586)*ROW(N$12:N586),ROW($S$12))&gt;=MAX((1=Z$12:Z586)*ROW(Z$12:Z586),ROW($T$12))),MIN(LOOKUP(,-1/($Z$12:Z587=1),$C$12:C587)+LOOKUP(,-1/($Z$12:Z587=1),$H$12:H587)-IF(N586&lt;&gt;0,0,SUM(INDIRECT("T"&amp;(MAX((0&lt;&gt;N$12:N586)*ROW(N$12:N586)+1,ROW($T$12))&amp;":T"&amp;(ROW()-1))))),Первоначальный[[#This Row],[Полученный платеж]]+Y586),
AND(S586=0,Первоначальный[[#This Row],[Дата платежа из графика]]=1),MIN(LOOKUP(,-1/($Z$12:Z587=1),$C$12:C587)+LOOKUP(,-1/($Z$12:Z587=1),$H$12:H587)-IF(Z586=1,0,SUM(INDIRECT("T"&amp;(MAX((1=Z$12:Z586)*ROW(Z$12:Z586)+1,ROW($T$12))&amp;":T"&amp;(ROW()-1))))),Первоначальный[[#This Row],[Полученный платеж]]+Y586),
AND(Z586&gt;0,Первоначальный[[#This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платеж]]+Y586),
AND(S586&gt;0,MAX((0&lt;&gt;S$12:S586)*ROW(S$12:S586),ROW($S$12))&gt;=MAX((1=Z$12:Z586)*ROW(Z$12:Z586),ROW($T$12)),TYPE(VLOOKUP("Да",(INDIRECT("AA"&amp;(MAX((1=Z$12:Z586)*ROW(Z$12:Z586),ROW($T$12))&amp;":AA"&amp;(ROW()-1)))),1,0))=16),MIN(LOOKUP(,-1/($Z$12:Z587=1),$C$12:C587)+LOOKUP(,-1/($Z$12:Z587=1),$H$12:H587)-SUM(INDIRECT("T"&amp;(MAX((1=Z$12:Z586)*ROW(Z$12:Z586),ROW($T$12))&amp;":T"&amp;(ROW()-1)))),Первоначальный[[#This Row],[Полученный платеж]]+Y586),
S586&gt;0,MIN(LOOKUP(,-1/($Z$12:Z587=1),$C$12:C587)+LOOKUP(,-1/($Z$12:Z587=1),$H$12:H587)-IF(Z586=1,0,SUM(INDIRECT("T"&amp;(MAX((1=Z$12:Z586)*ROW(Z$12:Z586)+1,ROW($T$12))&amp;":T"&amp;(ROW()-1))))),Первоначальный[[#This Row],[Полученный платеж]]+Y586)
)
)
)</f>
        <v>0</v>
      </c>
      <c r="U58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платеж]]+Y586-Первоначальный[[#This Row],[Полученный платёж по процентам]])</f>
        <v>0</v>
      </c>
      <c r="V587" s="55">
        <f t="shared" ca="1" si="97"/>
        <v>0</v>
      </c>
      <c r="W587" s="55" cm="1">
        <f t="array" aca="1" ref="W587" ca="1">IF(Первоначальный[[#This Row],[Итого остаток на начало периода]]&lt;1,0,
_xlfn.IFS(
AND(TYPE(VLOOKUP(1,$Z$12:Z587,1,0))=16,Первоначальный[[#This Row],[Досрочное погашение (да/"")]]=""),0,
AND(S586=0,Первоначальный[[#This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платеж]]+Y586-SUM(Первоначальный[[#This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комиссиям]]),VLOOKUP(LOOKUP(,-1/($Z$12:Z587=1),$A$12:A587),График[[Срок конец]:[Возврат основной суммы долга]],3,0)),
AND(S586=0,Первоначальный[[#This Row],[Дата платежа из графика]]="",Первоначальный[[#This Row],[Досрочное погашение (да/"")]]&lt;&gt;"Да"),0,
AND(S586=0,Первоначальный[[#This Row],[Досрочное погашение (да/"")]]=""),MIN(Первоначальный[[#This Row],[Полученный платеж]]+Y586-SUM(Первоначальный[[#This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комиссиям]]),VLOOKUP(LOOKUP(,-1/($Z$12:Z587=1),$A$12:A587),График[[Срок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платеж]]+Y586-SUM(Первоначальный[[#This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S586&gt;0,MIN(Первоначальный[[#This Row],[Полученный платеж]]+Y586-SUM(Первоначальный[[#This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комиссиям]]),SUM(INDIRECT("M"&amp;(MAX((1=S$12:S586)*ROW(S$12:S586),ROW($W$12))&amp;":M"&amp;(ROW()))))-SUM(INDIRECT("W"&amp;(MAX((1=S$12:S586)*ROW(S$12:S586),ROW($W$12))&amp;":W"&amp;(ROW()-1)))))
)
)</f>
        <v>0</v>
      </c>
      <c r="X587" s="55">
        <f t="shared" ca="1" si="98"/>
        <v>0</v>
      </c>
      <c r="Y587" s="101">
        <f t="shared" ca="1" si="105"/>
        <v>0</v>
      </c>
      <c r="Z587" s="133" t="str">
        <f>IF(TYPE((VLOOKUP(Первоначальный[[#This Row],[Дата платежа]],График[Срок конец],1,0)))=16,"",1)</f>
        <v/>
      </c>
      <c r="AA587" s="57"/>
      <c r="AB587" s="134"/>
      <c r="AC58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8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40811.989999999874</v>
      </c>
      <c r="AE58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1025.7300000000023</v>
      </c>
      <c r="AF58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8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59283.9570836067</v>
      </c>
      <c r="AH587" s="55"/>
      <c r="AI587" s="55"/>
      <c r="AJ587" s="55"/>
      <c r="AK587" s="101">
        <f t="shared" ca="1" si="106"/>
        <v>250755.01708360657</v>
      </c>
      <c r="AL587" s="129">
        <f t="array" ref="AL587">MAX((УслРестрактов[Характеристика]="Дата реструктуризации")*(УслРестрактов[Значение]=Первоначальный!$A587),0)</f>
        <v>0</v>
      </c>
    </row>
    <row r="588" spans="1:38" x14ac:dyDescent="0.25">
      <c r="A588" s="97">
        <f t="shared" si="99"/>
        <v>44719</v>
      </c>
      <c r="B588" s="100">
        <f t="shared" ca="1" si="100"/>
        <v>149633.34</v>
      </c>
      <c r="C588" s="55">
        <f t="shared" ca="1" si="108"/>
        <v>40811.989999999874</v>
      </c>
      <c r="D588" s="55">
        <f t="shared" ca="1" si="108"/>
        <v>1025.7300000000023</v>
      </c>
      <c r="E588" s="55">
        <f t="shared" ca="1" si="101"/>
        <v>0</v>
      </c>
      <c r="F588" s="55">
        <f t="shared" ca="1" si="102"/>
        <v>59283.9570836067</v>
      </c>
      <c r="G588" s="101">
        <f t="shared" ca="1" si="103"/>
        <v>250755.01708360657</v>
      </c>
      <c r="H588" s="100">
        <f ca="1">ROUND($B588*VLOOKUP($A588,$A$1:$B$10,2,1)/(365+IF(MOD(YEAR($A588),4),0,1)*($A588-$A587)),2)-Первоначальный[[#This Row],[Проценты на просроченный платеж по ОД за период]]</f>
        <v>77.38</v>
      </c>
      <c r="I588" s="55">
        <f t="shared" ca="1" si="104"/>
        <v>4.2</v>
      </c>
      <c r="J588" s="55">
        <v>0</v>
      </c>
      <c r="K588" s="55">
        <f t="shared" ca="1" si="107"/>
        <v>231.69350327868847</v>
      </c>
      <c r="L588" s="55">
        <v>0</v>
      </c>
      <c r="M588" s="113">
        <f>SUMIFS(График[Возврат основной суммы долга],График[Дата с учетом нерабочих дней],$A588)</f>
        <v>0</v>
      </c>
      <c r="N588" s="56">
        <f>SUMIFS(График[Возврат начисленных %],График[Дата с учетом нерабочих дней],$A588)</f>
        <v>0</v>
      </c>
      <c r="O588" s="101">
        <v>0</v>
      </c>
      <c r="P588" s="100" cm="1">
        <f t="array" aca="1" ref="P588" ca="1">MAX(IF(AA587="Да",0,SUM(INDIRECT("M"&amp;(MAX(("Да"=AA$12:AA587)*ROW(AA$12:AA587)+1,ROW($P$12))&amp;":M"&amp;(ROW()))))-SUM(INDIRECT("W"&amp;(MAX(("Да"=AA$12:AA587)*ROW(AA$12:AA587)+1,ROW($P$12))&amp;":W"&amp;(ROW()))))),0)</f>
        <v>7695.3899999999994</v>
      </c>
      <c r="Q588" s="99">
        <f ca="1">MAX(SUM($N$13:N588)-SUM($T$13:T588),0)</f>
        <v>38643.310655737696</v>
      </c>
      <c r="R588" s="99">
        <f ca="1">Первоначальный[[#This Row],[Просроченный платеж по ОД]]+Первоначальный[[#This Row],[Просроченный платеж по процентам]]</f>
        <v>46338.700655737695</v>
      </c>
      <c r="S588" s="120">
        <f ca="1">IF(Первоначальный[[#This Row],[Просроченный платеж]]&lt;1,0,S587+1)</f>
        <v>484</v>
      </c>
      <c r="T588" s="100" cm="1">
        <f t="array" aca="1" ref="T588" ca="1">IF(Первоначальный[[#This Row],[Итого остаток на начало периода]]&lt;1,0,
IF(
AND(TYPE(VLOOKUP(1,$Z$12:Z588,1,0))=16,Первоначальный[[#This Row],[Досрочное погашение (да/"")]]=""),0,
_xlfn.IFS(AND(S587=0,Первоначальный[[#This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платеж]]&lt;&gt;0),MIN(LOOKUP(,-1/($Z$12:Z588=1),$C$12:C588)+LOOKUP(,-1/($Z$12:Z588=1),$H$12:H588),Первоначальный[[#This Row],[Полученный платеж]]+Y587),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платеж]]+Y587,SUM(Первоначальный[[#This Row],[Остаток процентов на начало периода]],Первоначальный[[#This Row],[Проценты за период]])),
AND(S587=0,Первоначальный[[#This Row],[Дата платежа из графика]]=""),0,
AND(S587=0,Первоначальный[[#This Row],[Дата платежа из графика]]=1,MAX((0&lt;&gt;S$12:S587)*ROW(S$12:S587),ROW($S$12))&gt;=MAX((1=Z$12:Z587)*ROW(Z$12:Z587),ROW($T$12)),TYPE(VLOOKUP("Да",(INDIRECT("AA"&amp;(MAX((1=Z$12:Z587)*ROW(Z$12:Z587),ROW($T$12))&amp;":AA"&amp;(ROW()-1)))),1,0))=16),MIN(LOOKUP(,-1/($Z$12:Z588=1),$C$12:C588)+LOOKUP(,-1/($Z$12:Z588=1),$H$12:H588),Первоначальный[[#This Row],[Полученный платеж]]+Y587),
AND(S587=0,TYPE(VLOOKUP("Да",(INDIRECT("AA"&amp;(MAX((1=Z$12:Z587)*ROW(Z$12:Z587),ROW($T$12))&amp;":AA"&amp;(ROW()-1)))),1,0))&lt;&gt;16),MIN(LOOKUP(,-1/($Z$12:Z588=1),$C$12:C588)+LOOKUP(,-1/($Z$12:Z588=1),$H$12:H588)-IF(AA587="Да",0,SUM(INDIRECT("T"&amp;(MAX(("Да"=AA$12:AA587)*ROW(AA$12:AA587)+1,ROW($T$12))&amp;":T"&amp;(ROW()-1))))),Первоначальный[[#This Row],[Полученный платеж]]+Y587),
AND(S587=0,MAX((0&lt;&gt;N$12:N587)*ROW(N$12:N587),ROW($S$12))&gt;=MAX((1=Z$12:Z587)*ROW(Z$12:Z587),ROW($T$12))),MIN(LOOKUP(,-1/($Z$12:Z588=1),$C$12:C588)+LOOKUP(,-1/($Z$12:Z588=1),$H$12:H588)-IF(N587&lt;&gt;0,0,SUM(INDIRECT("T"&amp;(MAX((0&lt;&gt;N$12:N587)*ROW(N$12:N587)+1,ROW($T$12))&amp;":T"&amp;(ROW()-1))))),Первоначальный[[#This Row],[Полученный платеж]]+Y587),
AND(S587=0,Первоначальный[[#This Row],[Дата платежа из графика]]=1),MIN(LOOKUP(,-1/($Z$12:Z588=1),$C$12:C588)+LOOKUP(,-1/($Z$12:Z588=1),$H$12:H588)-IF(Z587=1,0,SUM(INDIRECT("T"&amp;(MAX((1=Z$12:Z587)*ROW(Z$12:Z587)+1,ROW($T$12))&amp;":T"&amp;(ROW()-1))))),Первоначальный[[#This Row],[Полученный платеж]]+Y587),
AND(Z587&gt;0,Первоначальный[[#This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платеж]]+Y587),
AND(S587&gt;0,MAX((0&lt;&gt;S$12:S587)*ROW(S$12:S587),ROW($S$12))&gt;=MAX((1=Z$12:Z587)*ROW(Z$12:Z587),ROW($T$12)),TYPE(VLOOKUP("Да",(INDIRECT("AA"&amp;(MAX((1=Z$12:Z587)*ROW(Z$12:Z587),ROW($T$12))&amp;":AA"&amp;(ROW()-1)))),1,0))=16),MIN(LOOKUP(,-1/($Z$12:Z588=1),$C$12:C588)+LOOKUP(,-1/($Z$12:Z588=1),$H$12:H588)-SUM(INDIRECT("T"&amp;(MAX((1=Z$12:Z587)*ROW(Z$12:Z587),ROW($T$12))&amp;":T"&amp;(ROW()-1)))),Первоначальный[[#This Row],[Полученный платеж]]+Y587),
S587&gt;0,MIN(LOOKUP(,-1/($Z$12:Z588=1),$C$12:C588)+LOOKUP(,-1/($Z$12:Z588=1),$H$12:H588)-IF(Z587=1,0,SUM(INDIRECT("T"&amp;(MAX((1=Z$12:Z587)*ROW(Z$12:Z587)+1,ROW($T$12))&amp;":T"&amp;(ROW()-1))))),Первоначальный[[#This Row],[Полученный платеж]]+Y587)
)
)
)</f>
        <v>0</v>
      </c>
      <c r="U58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платеж]]+Y587-Первоначальный[[#This Row],[Полученный платёж по процентам]])</f>
        <v>0</v>
      </c>
      <c r="V588" s="55">
        <f t="shared" ca="1" si="97"/>
        <v>0</v>
      </c>
      <c r="W588" s="55" cm="1">
        <f t="array" aca="1" ref="W588" ca="1">IF(Первоначальный[[#This Row],[Итого остаток на начало периода]]&lt;1,0,
_xlfn.IFS(
AND(TYPE(VLOOKUP(1,$Z$12:Z588,1,0))=16,Первоначальный[[#This Row],[Досрочное погашение (да/"")]]=""),0,
AND(S587=0,Первоначальный[[#This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платеж]]+Y587-SUM(Первоначальный[[#This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комиссиям]]),VLOOKUP(LOOKUP(,-1/($Z$12:Z588=1),$A$12:A588),График[[Срок конец]:[Возврат основной суммы долга]],3,0)),
AND(S587=0,Первоначальный[[#This Row],[Дата платежа из графика]]="",Первоначальный[[#This Row],[Досрочное погашение (да/"")]]&lt;&gt;"Да"),0,
AND(S587=0,Первоначальный[[#This Row],[Досрочное погашение (да/"")]]=""),MIN(Первоначальный[[#This Row],[Полученный платеж]]+Y587-SUM(Первоначальный[[#This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комиссиям]]),VLOOKUP(LOOKUP(,-1/($Z$12:Z588=1),$A$12:A588),График[[Срок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платеж]]+Y587-SUM(Первоначальный[[#This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S587&gt;0,MIN(Первоначальный[[#This Row],[Полученный платеж]]+Y587-SUM(Первоначальный[[#This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комиссиям]]),SUM(INDIRECT("M"&amp;(MAX((1=S$12:S587)*ROW(S$12:S587),ROW($W$12))&amp;":M"&amp;(ROW()))))-SUM(INDIRECT("W"&amp;(MAX((1=S$12:S587)*ROW(S$12:S587),ROW($W$12))&amp;":W"&amp;(ROW()-1)))))
)
)</f>
        <v>0</v>
      </c>
      <c r="X588" s="55">
        <f t="shared" ca="1" si="98"/>
        <v>0</v>
      </c>
      <c r="Y588" s="101">
        <f t="shared" ca="1" si="105"/>
        <v>0</v>
      </c>
      <c r="Z588" s="133" t="str">
        <f>IF(TYPE((VLOOKUP(Первоначальный[[#This Row],[Дата платежа]],График[Срок конец],1,0)))=16,"",1)</f>
        <v/>
      </c>
      <c r="AA588" s="57"/>
      <c r="AB588" s="134"/>
      <c r="AC58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8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40889.369999999872</v>
      </c>
      <c r="AE58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1029.9300000000023</v>
      </c>
      <c r="AF58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8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59515.650586885386</v>
      </c>
      <c r="AH588" s="55"/>
      <c r="AI588" s="55"/>
      <c r="AJ588" s="55"/>
      <c r="AK588" s="101">
        <f t="shared" ca="1" si="106"/>
        <v>251068.29058688524</v>
      </c>
      <c r="AL588" s="129">
        <f t="array" ref="AL588">MAX((УслРестрактов[Характеристика]="Дата реструктуризации")*(УслРестрактов[Значение]=Первоначальный!$A588),0)</f>
        <v>0</v>
      </c>
    </row>
    <row r="589" spans="1:38" x14ac:dyDescent="0.25">
      <c r="A589" s="97">
        <f t="shared" si="99"/>
        <v>44720</v>
      </c>
      <c r="B589" s="100">
        <f t="shared" ca="1" si="100"/>
        <v>149633.34</v>
      </c>
      <c r="C589" s="55">
        <f t="shared" ca="1" si="108"/>
        <v>40889.369999999872</v>
      </c>
      <c r="D589" s="55">
        <f t="shared" ca="1" si="108"/>
        <v>1029.9300000000023</v>
      </c>
      <c r="E589" s="55">
        <f t="shared" ca="1" si="101"/>
        <v>0</v>
      </c>
      <c r="F589" s="55">
        <f t="shared" ca="1" si="102"/>
        <v>59515.650586885386</v>
      </c>
      <c r="G589" s="101">
        <f t="shared" ca="1" si="103"/>
        <v>251068.29058688524</v>
      </c>
      <c r="H589" s="100">
        <f ca="1">ROUND($B589*VLOOKUP($A589,$A$1:$B$10,2,1)/(365+IF(MOD(YEAR($A589),4),0,1)*($A589-$A588)),2)-Первоначальный[[#This Row],[Проценты на просроченный платеж по ОД за период]]</f>
        <v>77.38</v>
      </c>
      <c r="I589" s="55">
        <f t="shared" ca="1" si="104"/>
        <v>4.2</v>
      </c>
      <c r="J589" s="55">
        <v>0</v>
      </c>
      <c r="K589" s="55">
        <f t="shared" ca="1" si="107"/>
        <v>231.69350327868847</v>
      </c>
      <c r="L589" s="55">
        <v>0</v>
      </c>
      <c r="M589" s="113">
        <f>SUMIFS(График[Возврат основной суммы долга],График[Дата с учетом нерабочих дней],$A589)</f>
        <v>0</v>
      </c>
      <c r="N589" s="56">
        <f>SUMIFS(График[Возврат начисленных %],График[Дата с учетом нерабочих дней],$A589)</f>
        <v>0</v>
      </c>
      <c r="O589" s="101">
        <v>0</v>
      </c>
      <c r="P589" s="100" cm="1">
        <f t="array" aca="1" ref="P589" ca="1">MAX(IF(AA588="Да",0,SUM(INDIRECT("M"&amp;(MAX(("Да"=AA$12:AA588)*ROW(AA$12:AA588)+1,ROW($P$12))&amp;":M"&amp;(ROW()))))-SUM(INDIRECT("W"&amp;(MAX(("Да"=AA$12:AA588)*ROW(AA$12:AA588)+1,ROW($P$12))&amp;":W"&amp;(ROW()))))),0)</f>
        <v>7695.3899999999994</v>
      </c>
      <c r="Q589" s="99">
        <f ca="1">MAX(SUM($N$13:N589)-SUM($T$13:T589),0)</f>
        <v>38643.310655737696</v>
      </c>
      <c r="R589" s="99">
        <f ca="1">Первоначальный[[#This Row],[Просроченный платеж по ОД]]+Первоначальный[[#This Row],[Просроченный платеж по процентам]]</f>
        <v>46338.700655737695</v>
      </c>
      <c r="S589" s="120">
        <f ca="1">IF(Первоначальный[[#This Row],[Просроченный платеж]]&lt;1,0,S588+1)</f>
        <v>485</v>
      </c>
      <c r="T589" s="100" cm="1">
        <f t="array" aca="1" ref="T589" ca="1">IF(Первоначальный[[#This Row],[Итого остаток на начало периода]]&lt;1,0,
IF(
AND(TYPE(VLOOKUP(1,$Z$12:Z589,1,0))=16,Первоначальный[[#This Row],[Досрочное погашение (да/"")]]=""),0,
_xlfn.IFS(AND(S588=0,Первоначальный[[#This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платеж]]&lt;&gt;0),MIN(LOOKUP(,-1/($Z$12:Z589=1),$C$12:C589)+LOOKUP(,-1/($Z$12:Z589=1),$H$12:H589),Первоначальный[[#This Row],[Полученный платеж]]+Y588),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платеж]]+Y588,SUM(Первоначальный[[#This Row],[Остаток процентов на начало периода]],Первоначальный[[#This Row],[Проценты за период]])),
AND(S588=0,Первоначальный[[#This Row],[Дата платежа из графика]]=""),0,
AND(S588=0,Первоначальный[[#This Row],[Дата платежа из графика]]=1,MAX((0&lt;&gt;S$12:S588)*ROW(S$12:S588),ROW($S$12))&gt;=MAX((1=Z$12:Z588)*ROW(Z$12:Z588),ROW($T$12)),TYPE(VLOOKUP("Да",(INDIRECT("AA"&amp;(MAX((1=Z$12:Z588)*ROW(Z$12:Z588),ROW($T$12))&amp;":AA"&amp;(ROW()-1)))),1,0))=16),MIN(LOOKUP(,-1/($Z$12:Z589=1),$C$12:C589)+LOOKUP(,-1/($Z$12:Z589=1),$H$12:H589),Первоначальный[[#This Row],[Полученный платеж]]+Y588),
AND(S588=0,TYPE(VLOOKUP("Да",(INDIRECT("AA"&amp;(MAX((1=Z$12:Z588)*ROW(Z$12:Z588),ROW($T$12))&amp;":AA"&amp;(ROW()-1)))),1,0))&lt;&gt;16),MIN(LOOKUP(,-1/($Z$12:Z589=1),$C$12:C589)+LOOKUP(,-1/($Z$12:Z589=1),$H$12:H589)-IF(AA588="Да",0,SUM(INDIRECT("T"&amp;(MAX(("Да"=AA$12:AA588)*ROW(AA$12:AA588)+1,ROW($T$12))&amp;":T"&amp;(ROW()-1))))),Первоначальный[[#This Row],[Полученный платеж]]+Y588),
AND(S588=0,MAX((0&lt;&gt;N$12:N588)*ROW(N$12:N588),ROW($S$12))&gt;=MAX((1=Z$12:Z588)*ROW(Z$12:Z588),ROW($T$12))),MIN(LOOKUP(,-1/($Z$12:Z589=1),$C$12:C589)+LOOKUP(,-1/($Z$12:Z589=1),$H$12:H589)-IF(N588&lt;&gt;0,0,SUM(INDIRECT("T"&amp;(MAX((0&lt;&gt;N$12:N588)*ROW(N$12:N588)+1,ROW($T$12))&amp;":T"&amp;(ROW()-1))))),Первоначальный[[#This Row],[Полученный платеж]]+Y588),
AND(S588=0,Первоначальный[[#This Row],[Дата платежа из графика]]=1),MIN(LOOKUP(,-1/($Z$12:Z589=1),$C$12:C589)+LOOKUP(,-1/($Z$12:Z589=1),$H$12:H589)-IF(Z588=1,0,SUM(INDIRECT("T"&amp;(MAX((1=Z$12:Z588)*ROW(Z$12:Z588)+1,ROW($T$12))&amp;":T"&amp;(ROW()-1))))),Первоначальный[[#This Row],[Полученный платеж]]+Y588),
AND(Z588&gt;0,Первоначальный[[#This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платеж]]+Y588),
AND(S588&gt;0,MAX((0&lt;&gt;S$12:S588)*ROW(S$12:S588),ROW($S$12))&gt;=MAX((1=Z$12:Z588)*ROW(Z$12:Z588),ROW($T$12)),TYPE(VLOOKUP("Да",(INDIRECT("AA"&amp;(MAX((1=Z$12:Z588)*ROW(Z$12:Z588),ROW($T$12))&amp;":AA"&amp;(ROW()-1)))),1,0))=16),MIN(LOOKUP(,-1/($Z$12:Z589=1),$C$12:C589)+LOOKUP(,-1/($Z$12:Z589=1),$H$12:H589)-SUM(INDIRECT("T"&amp;(MAX((1=Z$12:Z588)*ROW(Z$12:Z588),ROW($T$12))&amp;":T"&amp;(ROW()-1)))),Первоначальный[[#This Row],[Полученный платеж]]+Y588),
S588&gt;0,MIN(LOOKUP(,-1/($Z$12:Z589=1),$C$12:C589)+LOOKUP(,-1/($Z$12:Z589=1),$H$12:H589)-IF(Z588=1,0,SUM(INDIRECT("T"&amp;(MAX((1=Z$12:Z588)*ROW(Z$12:Z588)+1,ROW($T$12))&amp;":T"&amp;(ROW()-1))))),Первоначальный[[#This Row],[Полученный платеж]]+Y588)
)
)
)</f>
        <v>0</v>
      </c>
      <c r="U58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платеж]]+Y588-Первоначальный[[#This Row],[Полученный платёж по процентам]])</f>
        <v>0</v>
      </c>
      <c r="V589" s="55">
        <f t="shared" ref="V589:V652" ca="1" si="109">MAX(MIN(SUM(O589,Y588)-SUM(T589:T589),SUM(E589,J589)),0)</f>
        <v>0</v>
      </c>
      <c r="W589" s="55" cm="1">
        <f t="array" aca="1" ref="W589" ca="1">IF(Первоначальный[[#This Row],[Итого остаток на начало периода]]&lt;1,0,
_xlfn.IFS(
AND(TYPE(VLOOKUP(1,$Z$12:Z589,1,0))=16,Первоначальный[[#This Row],[Досрочное погашение (да/"")]]=""),0,
AND(S588=0,Первоначальный[[#This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платеж]]+Y588-SUM(Первоначальный[[#This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комиссиям]]),VLOOKUP(LOOKUP(,-1/($Z$12:Z589=1),$A$12:A589),График[[Срок конец]:[Возврат основной суммы долга]],3,0)),
AND(S588=0,Первоначальный[[#This Row],[Дата платежа из графика]]="",Первоначальный[[#This Row],[Досрочное погашение (да/"")]]&lt;&gt;"Да"),0,
AND(S588=0,Первоначальный[[#This Row],[Досрочное погашение (да/"")]]=""),MIN(Первоначальный[[#This Row],[Полученный платеж]]+Y588-SUM(Первоначальный[[#This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комиссиям]]),VLOOKUP(LOOKUP(,-1/($Z$12:Z589=1),$A$12:A589),График[[Срок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платеж]]+Y588-SUM(Первоначальный[[#This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S588&gt;0,MIN(Первоначальный[[#This Row],[Полученный платеж]]+Y588-SUM(Первоначальный[[#This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комиссиям]]),SUM(INDIRECT("M"&amp;(MAX((1=S$12:S588)*ROW(S$12:S588),ROW($W$12))&amp;":M"&amp;(ROW()))))-SUM(INDIRECT("W"&amp;(MAX((1=S$12:S588)*ROW(S$12:S588),ROW($W$12))&amp;":W"&amp;(ROW()-1)))))
)
)</f>
        <v>0</v>
      </c>
      <c r="X589" s="55">
        <f t="shared" ref="X589:X652" ca="1" si="110">MAX(MIN(SUM(O589,Y588)-SUM(T589:W589),SUM(F589,K589)),0)</f>
        <v>0</v>
      </c>
      <c r="Y589" s="101">
        <f t="shared" ca="1" si="105"/>
        <v>0</v>
      </c>
      <c r="Z589" s="133" t="str">
        <f>IF(TYPE((VLOOKUP(Первоначальный[[#This Row],[Дата платежа]],График[Срок конец],1,0)))=16,"",1)</f>
        <v/>
      </c>
      <c r="AA589" s="57"/>
      <c r="AB589" s="134"/>
      <c r="AC58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8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40966.749999999869</v>
      </c>
      <c r="AE58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1034.1300000000024</v>
      </c>
      <c r="AF58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8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59747.344090164072</v>
      </c>
      <c r="AH589" s="55"/>
      <c r="AI589" s="55"/>
      <c r="AJ589" s="55"/>
      <c r="AK589" s="101">
        <f t="shared" ca="1" si="106"/>
        <v>251381.56409016391</v>
      </c>
      <c r="AL589" s="129">
        <f t="array" ref="AL589">MAX((УслРестрактов[Характеристика]="Дата реструктуризации")*(УслРестрактов[Значение]=Первоначальный!$A589),0)</f>
        <v>0</v>
      </c>
    </row>
    <row r="590" spans="1:38" x14ac:dyDescent="0.25">
      <c r="A590" s="97">
        <f t="shared" ref="A590:A653" si="111">A589+1</f>
        <v>44721</v>
      </c>
      <c r="B590" s="100">
        <f t="shared" ref="B590:B653" ca="1" si="112">AC589</f>
        <v>149633.34</v>
      </c>
      <c r="C590" s="55">
        <f t="shared" ca="1" si="108"/>
        <v>40966.749999999869</v>
      </c>
      <c r="D590" s="55">
        <f t="shared" ca="1" si="108"/>
        <v>1034.1300000000024</v>
      </c>
      <c r="E590" s="55">
        <f t="shared" ref="E590:E653" ca="1" si="113">AF589</f>
        <v>0</v>
      </c>
      <c r="F590" s="55">
        <f t="shared" ref="F590:F653" ca="1" si="114">AG589+AH589</f>
        <v>59747.344090164072</v>
      </c>
      <c r="G590" s="101">
        <f t="shared" ref="G590:G653" ca="1" si="115">AK589</f>
        <v>251381.56409016391</v>
      </c>
      <c r="H590" s="100">
        <f ca="1">ROUND($B590*VLOOKUP($A590,$A$1:$B$10,2,1)/(365+IF(MOD(YEAR($A590),4),0,1)*($A590-$A589)),2)-Первоначальный[[#This Row],[Проценты на просроченный платеж по ОД за период]]</f>
        <v>77.38</v>
      </c>
      <c r="I590" s="55">
        <f t="shared" ref="I590:I653" ca="1" si="116">ROUND(P589*VLOOKUP($A590,$A$1:$B$10,2,1)/(365+IF(MOD(YEAR($A590),4),0,1)*($A590-$A589)),2)</f>
        <v>4.2</v>
      </c>
      <c r="J590" s="55">
        <v>0</v>
      </c>
      <c r="K590" s="55">
        <f t="shared" ca="1" si="107"/>
        <v>246.17850327868845</v>
      </c>
      <c r="L590" s="55">
        <v>0</v>
      </c>
      <c r="M590" s="113">
        <f>SUMIFS(График[Возврат основной суммы долга],График[Дата с учетом нерабочих дней],$A590)</f>
        <v>498.05000000000018</v>
      </c>
      <c r="N590" s="56">
        <f>SUMIFS(График[Возврат начисленных %],График[Дата с учетом нерабочих дней],$A590)</f>
        <v>2398.9499999999998</v>
      </c>
      <c r="O590" s="101">
        <v>0</v>
      </c>
      <c r="P590" s="100" cm="1">
        <f t="array" aca="1" ref="P590" ca="1">MAX(IF(AA589="Да",0,SUM(INDIRECT("M"&amp;(MAX(("Да"=AA$12:AA589)*ROW(AA$12:AA589)+1,ROW($P$12))&amp;":M"&amp;(ROW()))))-SUM(INDIRECT("W"&amp;(MAX(("Да"=AA$12:AA589)*ROW(AA$12:AA589)+1,ROW($P$12))&amp;":W"&amp;(ROW()))))),0)</f>
        <v>8193.4399999999987</v>
      </c>
      <c r="Q590" s="99">
        <f ca="1">MAX(SUM($N$13:N590)-SUM($T$13:T590),0)</f>
        <v>41042.260655737693</v>
      </c>
      <c r="R590" s="99">
        <f ca="1">Первоначальный[[#This Row],[Просроченный платеж по ОД]]+Первоначальный[[#This Row],[Просроченный платеж по процентам]]</f>
        <v>49235.700655737688</v>
      </c>
      <c r="S590" s="120">
        <f ca="1">IF(Первоначальный[[#This Row],[Просроченный платеж]]&lt;1,0,S589+1)</f>
        <v>486</v>
      </c>
      <c r="T590" s="100" cm="1">
        <f t="array" aca="1" ref="T590" ca="1">IF(Первоначальный[[#This Row],[Итого остаток на начало периода]]&lt;1,0,
IF(
AND(TYPE(VLOOKUP(1,$Z$12:Z590,1,0))=16,Первоначальный[[#This Row],[Досрочное погашение (да/"")]]=""),0,
_xlfn.IFS(AND(S589=0,Первоначальный[[#This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платеж]]&lt;&gt;0),MIN(LOOKUP(,-1/($Z$12:Z590=1),$C$12:C590)+LOOKUP(,-1/($Z$12:Z590=1),$H$12:H590),Первоначальный[[#This Row],[Полученный платеж]]+Y589),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платеж]]+Y589,SUM(Первоначальный[[#This Row],[Остаток процентов на начало периода]],Первоначальный[[#This Row],[Проценты за период]])),
AND(S589=0,Первоначальный[[#This Row],[Дата платежа из графика]]=""),0,
AND(S589=0,Первоначальный[[#This Row],[Дата платежа из графика]]=1,MAX((0&lt;&gt;S$12:S589)*ROW(S$12:S589),ROW($S$12))&gt;=MAX((1=Z$12:Z589)*ROW(Z$12:Z589),ROW($T$12)),TYPE(VLOOKUP("Да",(INDIRECT("AA"&amp;(MAX((1=Z$12:Z589)*ROW(Z$12:Z589),ROW($T$12))&amp;":AA"&amp;(ROW()-1)))),1,0))=16),MIN(LOOKUP(,-1/($Z$12:Z590=1),$C$12:C590)+LOOKUP(,-1/($Z$12:Z590=1),$H$12:H590),Первоначальный[[#This Row],[Полученный платеж]]+Y589),
AND(S589=0,TYPE(VLOOKUP("Да",(INDIRECT("AA"&amp;(MAX((1=Z$12:Z589)*ROW(Z$12:Z589),ROW($T$12))&amp;":AA"&amp;(ROW()-1)))),1,0))&lt;&gt;16),MIN(LOOKUP(,-1/($Z$12:Z590=1),$C$12:C590)+LOOKUP(,-1/($Z$12:Z590=1),$H$12:H590)-IF(AA589="Да",0,SUM(INDIRECT("T"&amp;(MAX(("Да"=AA$12:AA589)*ROW(AA$12:AA589)+1,ROW($T$12))&amp;":T"&amp;(ROW()-1))))),Первоначальный[[#This Row],[Полученный платеж]]+Y589),
AND(S589=0,MAX((0&lt;&gt;N$12:N589)*ROW(N$12:N589),ROW($S$12))&gt;=MAX((1=Z$12:Z589)*ROW(Z$12:Z589),ROW($T$12))),MIN(LOOKUP(,-1/($Z$12:Z590=1),$C$12:C590)+LOOKUP(,-1/($Z$12:Z590=1),$H$12:H590)-IF(N589&lt;&gt;0,0,SUM(INDIRECT("T"&amp;(MAX((0&lt;&gt;N$12:N589)*ROW(N$12:N589)+1,ROW($T$12))&amp;":T"&amp;(ROW()-1))))),Первоначальный[[#This Row],[Полученный платеж]]+Y589),
AND(S589=0,Первоначальный[[#This Row],[Дата платежа из графика]]=1),MIN(LOOKUP(,-1/($Z$12:Z590=1),$C$12:C590)+LOOKUP(,-1/($Z$12:Z590=1),$H$12:H590)-IF(Z589=1,0,SUM(INDIRECT("T"&amp;(MAX((1=Z$12:Z589)*ROW(Z$12:Z589)+1,ROW($T$12))&amp;":T"&amp;(ROW()-1))))),Первоначальный[[#This Row],[Полученный платеж]]+Y589),
AND(Z589&gt;0,Первоначальный[[#This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платеж]]+Y589),
AND(S589&gt;0,MAX((0&lt;&gt;S$12:S589)*ROW(S$12:S589),ROW($S$12))&gt;=MAX((1=Z$12:Z589)*ROW(Z$12:Z589),ROW($T$12)),TYPE(VLOOKUP("Да",(INDIRECT("AA"&amp;(MAX((1=Z$12:Z589)*ROW(Z$12:Z589),ROW($T$12))&amp;":AA"&amp;(ROW()-1)))),1,0))=16),MIN(LOOKUP(,-1/($Z$12:Z590=1),$C$12:C590)+LOOKUP(,-1/($Z$12:Z590=1),$H$12:H590)-SUM(INDIRECT("T"&amp;(MAX((1=Z$12:Z589)*ROW(Z$12:Z589),ROW($T$12))&amp;":T"&amp;(ROW()-1)))),Первоначальный[[#This Row],[Полученный платеж]]+Y589),
S589&gt;0,MIN(LOOKUP(,-1/($Z$12:Z590=1),$C$12:C590)+LOOKUP(,-1/($Z$12:Z590=1),$H$12:H590)-IF(Z589=1,0,SUM(INDIRECT("T"&amp;(MAX((1=Z$12:Z589)*ROW(Z$12:Z589)+1,ROW($T$12))&amp;":T"&amp;(ROW()-1))))),Первоначальный[[#This Row],[Полученный платеж]]+Y589)
)
)
)</f>
        <v>0</v>
      </c>
      <c r="U59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платеж]]+Y589-Первоначальный[[#This Row],[Полученный платёж по процентам]])</f>
        <v>0</v>
      </c>
      <c r="V590" s="55">
        <f t="shared" ca="1" si="109"/>
        <v>0</v>
      </c>
      <c r="W590" s="55" cm="1">
        <f t="array" aca="1" ref="W590" ca="1">IF(Первоначальный[[#This Row],[Итого остаток на начало периода]]&lt;1,0,
_xlfn.IFS(
AND(TYPE(VLOOKUP(1,$Z$12:Z590,1,0))=16,Первоначальный[[#This Row],[Досрочное погашение (да/"")]]=""),0,
AND(S589=0,Первоначальный[[#This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платеж]]+Y589-SUM(Первоначальный[[#This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комиссиям]]),VLOOKUP(LOOKUP(,-1/($Z$12:Z590=1),$A$12:A590),График[[Срок конец]:[Возврат основной суммы долга]],3,0)),
AND(S589=0,Первоначальный[[#This Row],[Дата платежа из графика]]="",Первоначальный[[#This Row],[Досрочное погашение (да/"")]]&lt;&gt;"Да"),0,
AND(S589=0,Первоначальный[[#This Row],[Досрочное погашение (да/"")]]=""),MIN(Первоначальный[[#This Row],[Полученный платеж]]+Y589-SUM(Первоначальный[[#This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комиссиям]]),VLOOKUP(LOOKUP(,-1/($Z$12:Z590=1),$A$12:A590),График[[Срок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платеж]]+Y589-SUM(Первоначальный[[#This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S589&gt;0,MIN(Первоначальный[[#This Row],[Полученный платеж]]+Y589-SUM(Первоначальный[[#This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комиссиям]]),SUM(INDIRECT("M"&amp;(MAX((1=S$12:S589)*ROW(S$12:S589),ROW($W$12))&amp;":M"&amp;(ROW()))))-SUM(INDIRECT("W"&amp;(MAX((1=S$12:S589)*ROW(S$12:S589),ROW($W$12))&amp;":W"&amp;(ROW()-1)))))
)
)</f>
        <v>0</v>
      </c>
      <c r="X590" s="55">
        <f t="shared" ca="1" si="110"/>
        <v>0</v>
      </c>
      <c r="Y590" s="101">
        <f t="shared" ref="Y590:Y653" ca="1" si="117">ROUND(Y589+O590-SUM(T590:X590),2)</f>
        <v>0</v>
      </c>
      <c r="Z590" s="133">
        <f>IF(TYPE((VLOOKUP(Первоначальный[[#This Row],[Дата платежа]],График[Срок конец],1,0)))=16,"",1)</f>
        <v>1</v>
      </c>
      <c r="AA590" s="57"/>
      <c r="AB590" s="134"/>
      <c r="AC59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9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41044.129999999866</v>
      </c>
      <c r="AE59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1038.3300000000024</v>
      </c>
      <c r="AF59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9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59993.522593442758</v>
      </c>
      <c r="AH590" s="55"/>
      <c r="AI590" s="55"/>
      <c r="AJ590" s="55"/>
      <c r="AK590" s="101">
        <f t="shared" ref="AK590:AK653" ca="1" si="118">SUM(AC590:AJ590)</f>
        <v>251709.32259344263</v>
      </c>
      <c r="AL590" s="129">
        <f t="array" ref="AL590">MAX((УслРестрактов[Характеристика]="Дата реструктуризации")*(УслРестрактов[Значение]=Первоначальный!$A590),0)</f>
        <v>0</v>
      </c>
    </row>
    <row r="591" spans="1:38" x14ac:dyDescent="0.25">
      <c r="A591" s="97">
        <f t="shared" si="111"/>
        <v>44722</v>
      </c>
      <c r="B591" s="100">
        <f t="shared" ca="1" si="112"/>
        <v>149633.34</v>
      </c>
      <c r="C591" s="55">
        <f t="shared" ca="1" si="108"/>
        <v>41044.129999999866</v>
      </c>
      <c r="D591" s="55">
        <f t="shared" ca="1" si="108"/>
        <v>1038.3300000000024</v>
      </c>
      <c r="E591" s="55">
        <f t="shared" ca="1" si="113"/>
        <v>0</v>
      </c>
      <c r="F591" s="55">
        <f t="shared" ca="1" si="114"/>
        <v>59993.522593442758</v>
      </c>
      <c r="G591" s="101">
        <f t="shared" ca="1" si="115"/>
        <v>251709.32259344263</v>
      </c>
      <c r="H591" s="100">
        <f ca="1">ROUND($B591*VLOOKUP($A591,$A$1:$B$10,2,1)/(365+IF(MOD(YEAR($A591),4),0,1)*($A591-$A590)),2)-Первоначальный[[#This Row],[Проценты на просроченный платеж по ОД за период]]</f>
        <v>77.11</v>
      </c>
      <c r="I591" s="55">
        <f t="shared" ca="1" si="116"/>
        <v>4.47</v>
      </c>
      <c r="J591" s="55">
        <v>0</v>
      </c>
      <c r="K591" s="55">
        <f t="shared" ref="K591:K654" ca="1" si="119">IF(S591&lt;&gt;0,R591*$B$7,0)</f>
        <v>246.17850327868845</v>
      </c>
      <c r="L591" s="55">
        <v>0</v>
      </c>
      <c r="M591" s="113">
        <f>SUMIFS(График[Возврат основной суммы долга],График[Дата с учетом нерабочих дней],$A591)</f>
        <v>0</v>
      </c>
      <c r="N591" s="56">
        <f>SUMIFS(График[Возврат начисленных %],График[Дата с учетом нерабочих дней],$A591)</f>
        <v>0</v>
      </c>
      <c r="O591" s="101">
        <v>0</v>
      </c>
      <c r="P591" s="100" cm="1">
        <f t="array" aca="1" ref="P591" ca="1">MAX(IF(AA590="Да",0,SUM(INDIRECT("M"&amp;(MAX(("Да"=AA$12:AA590)*ROW(AA$12:AA590)+1,ROW($P$12))&amp;":M"&amp;(ROW()))))-SUM(INDIRECT("W"&amp;(MAX(("Да"=AA$12:AA590)*ROW(AA$12:AA590)+1,ROW($P$12))&amp;":W"&amp;(ROW()))))),0)</f>
        <v>8193.4399999999987</v>
      </c>
      <c r="Q591" s="99">
        <f ca="1">MAX(SUM($N$13:N591)-SUM($T$13:T591),0)</f>
        <v>41042.260655737693</v>
      </c>
      <c r="R591" s="99">
        <f ca="1">Первоначальный[[#This Row],[Просроченный платеж по ОД]]+Первоначальный[[#This Row],[Просроченный платеж по процентам]]</f>
        <v>49235.700655737688</v>
      </c>
      <c r="S591" s="120">
        <f ca="1">IF(Первоначальный[[#This Row],[Просроченный платеж]]&lt;1,0,S590+1)</f>
        <v>487</v>
      </c>
      <c r="T591" s="100" cm="1">
        <f t="array" aca="1" ref="T591" ca="1">IF(Первоначальный[[#This Row],[Итого остаток на начало периода]]&lt;1,0,
IF(
AND(TYPE(VLOOKUP(1,$Z$12:Z591,1,0))=16,Первоначальный[[#This Row],[Досрочное погашение (да/"")]]=""),0,
_xlfn.IFS(AND(S590=0,Первоначальный[[#This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платеж]]&lt;&gt;0),MIN(LOOKUP(,-1/($Z$12:Z591=1),$C$12:C591)+LOOKUP(,-1/($Z$12:Z591=1),$H$12:H591),Первоначальный[[#This Row],[Полученный платеж]]+Y590),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платеж]]+Y590,SUM(Первоначальный[[#This Row],[Остаток процентов на начало периода]],Первоначальный[[#This Row],[Проценты за период]])),
AND(S590=0,Первоначальный[[#This Row],[Дата платежа из графика]]=""),0,
AND(S590=0,Первоначальный[[#This Row],[Дата платежа из графика]]=1,MAX((0&lt;&gt;S$12:S590)*ROW(S$12:S590),ROW($S$12))&gt;=MAX((1=Z$12:Z590)*ROW(Z$12:Z590),ROW($T$12)),TYPE(VLOOKUP("Да",(INDIRECT("AA"&amp;(MAX((1=Z$12:Z590)*ROW(Z$12:Z590),ROW($T$12))&amp;":AA"&amp;(ROW()-1)))),1,0))=16),MIN(LOOKUP(,-1/($Z$12:Z591=1),$C$12:C591)+LOOKUP(,-1/($Z$12:Z591=1),$H$12:H591),Первоначальный[[#This Row],[Полученный платеж]]+Y590),
AND(S590=0,TYPE(VLOOKUP("Да",(INDIRECT("AA"&amp;(MAX((1=Z$12:Z590)*ROW(Z$12:Z590),ROW($T$12))&amp;":AA"&amp;(ROW()-1)))),1,0))&lt;&gt;16),MIN(LOOKUP(,-1/($Z$12:Z591=1),$C$12:C591)+LOOKUP(,-1/($Z$12:Z591=1),$H$12:H591)-IF(AA590="Да",0,SUM(INDIRECT("T"&amp;(MAX(("Да"=AA$12:AA590)*ROW(AA$12:AA590)+1,ROW($T$12))&amp;":T"&amp;(ROW()-1))))),Первоначальный[[#This Row],[Полученный платеж]]+Y590),
AND(S590=0,MAX((0&lt;&gt;N$12:N590)*ROW(N$12:N590),ROW($S$12))&gt;=MAX((1=Z$12:Z590)*ROW(Z$12:Z590),ROW($T$12))),MIN(LOOKUP(,-1/($Z$12:Z591=1),$C$12:C591)+LOOKUP(,-1/($Z$12:Z591=1),$H$12:H591)-IF(N590&lt;&gt;0,0,SUM(INDIRECT("T"&amp;(MAX((0&lt;&gt;N$12:N590)*ROW(N$12:N590)+1,ROW($T$12))&amp;":T"&amp;(ROW()-1))))),Первоначальный[[#This Row],[Полученный платеж]]+Y590),
AND(S590=0,Первоначальный[[#This Row],[Дата платежа из графика]]=1),MIN(LOOKUP(,-1/($Z$12:Z591=1),$C$12:C591)+LOOKUP(,-1/($Z$12:Z591=1),$H$12:H591)-IF(Z590=1,0,SUM(INDIRECT("T"&amp;(MAX((1=Z$12:Z590)*ROW(Z$12:Z590)+1,ROW($T$12))&amp;":T"&amp;(ROW()-1))))),Первоначальный[[#This Row],[Полученный платеж]]+Y590),
AND(Z590&gt;0,Первоначальный[[#This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платеж]]+Y590),
AND(S590&gt;0,MAX((0&lt;&gt;S$12:S590)*ROW(S$12:S590),ROW($S$12))&gt;=MAX((1=Z$12:Z590)*ROW(Z$12:Z590),ROW($T$12)),TYPE(VLOOKUP("Да",(INDIRECT("AA"&amp;(MAX((1=Z$12:Z590)*ROW(Z$12:Z590),ROW($T$12))&amp;":AA"&amp;(ROW()-1)))),1,0))=16),MIN(LOOKUP(,-1/($Z$12:Z591=1),$C$12:C591)+LOOKUP(,-1/($Z$12:Z591=1),$H$12:H591)-SUM(INDIRECT("T"&amp;(MAX((1=Z$12:Z590)*ROW(Z$12:Z590),ROW($T$12))&amp;":T"&amp;(ROW()-1)))),Первоначальный[[#This Row],[Полученный платеж]]+Y590),
S590&gt;0,MIN(LOOKUP(,-1/($Z$12:Z591=1),$C$12:C591)+LOOKUP(,-1/($Z$12:Z591=1),$H$12:H591)-IF(Z590=1,0,SUM(INDIRECT("T"&amp;(MAX((1=Z$12:Z590)*ROW(Z$12:Z590)+1,ROW($T$12))&amp;":T"&amp;(ROW()-1))))),Первоначальный[[#This Row],[Полученный платеж]]+Y590)
)
)
)</f>
        <v>0</v>
      </c>
      <c r="U59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платеж]]+Y590-Первоначальный[[#This Row],[Полученный платёж по процентам]])</f>
        <v>0</v>
      </c>
      <c r="V591" s="55">
        <f t="shared" ca="1" si="109"/>
        <v>0</v>
      </c>
      <c r="W591" s="55" cm="1">
        <f t="array" aca="1" ref="W591" ca="1">IF(Первоначальный[[#This Row],[Итого остаток на начало периода]]&lt;1,0,
_xlfn.IFS(
AND(TYPE(VLOOKUP(1,$Z$12:Z591,1,0))=16,Первоначальный[[#This Row],[Досрочное погашение (да/"")]]=""),0,
AND(S590=0,Первоначальный[[#This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платеж]]+Y590-SUM(Первоначальный[[#This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комиссиям]]),VLOOKUP(LOOKUP(,-1/($Z$12:Z591=1),$A$12:A591),График[[Срок конец]:[Возврат основной суммы долга]],3,0)),
AND(S590=0,Первоначальный[[#This Row],[Дата платежа из графика]]="",Первоначальный[[#This Row],[Досрочное погашение (да/"")]]&lt;&gt;"Да"),0,
AND(S590=0,Первоначальный[[#This Row],[Досрочное погашение (да/"")]]=""),MIN(Первоначальный[[#This Row],[Полученный платеж]]+Y590-SUM(Первоначальный[[#This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комиссиям]]),VLOOKUP(LOOKUP(,-1/($Z$12:Z591=1),$A$12:A591),График[[Срок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платеж]]+Y590-SUM(Первоначальный[[#This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S590&gt;0,MIN(Первоначальный[[#This Row],[Полученный платеж]]+Y590-SUM(Первоначальный[[#This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комиссиям]]),SUM(INDIRECT("M"&amp;(MAX((1=S$12:S590)*ROW(S$12:S590),ROW($W$12))&amp;":M"&amp;(ROW()))))-SUM(INDIRECT("W"&amp;(MAX((1=S$12:S590)*ROW(S$12:S590),ROW($W$12))&amp;":W"&amp;(ROW()-1)))))
)
)</f>
        <v>0</v>
      </c>
      <c r="X591" s="55">
        <f t="shared" ca="1" si="110"/>
        <v>0</v>
      </c>
      <c r="Y591" s="101">
        <f t="shared" ca="1" si="117"/>
        <v>0</v>
      </c>
      <c r="Z591" s="133" t="str">
        <f>IF(TYPE((VLOOKUP(Первоначальный[[#This Row],[Дата платежа]],График[Срок конец],1,0)))=16,"",1)</f>
        <v/>
      </c>
      <c r="AA591" s="57"/>
      <c r="AB591" s="134"/>
      <c r="AC59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9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41121.239999999867</v>
      </c>
      <c r="AE59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1042.8000000000025</v>
      </c>
      <c r="AF59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9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60239.701096721445</v>
      </c>
      <c r="AH591" s="55"/>
      <c r="AI591" s="55"/>
      <c r="AJ591" s="55"/>
      <c r="AK591" s="101">
        <f t="shared" ca="1" si="118"/>
        <v>252037.08109672129</v>
      </c>
      <c r="AL591" s="129">
        <f t="array" ref="AL591">MAX((УслРестрактов[Характеристика]="Дата реструктуризации")*(УслРестрактов[Значение]=Первоначальный!$A591),0)</f>
        <v>0</v>
      </c>
    </row>
    <row r="592" spans="1:38" x14ac:dyDescent="0.25">
      <c r="A592" s="97">
        <f t="shared" si="111"/>
        <v>44723</v>
      </c>
      <c r="B592" s="100">
        <f t="shared" ca="1" si="112"/>
        <v>149633.34</v>
      </c>
      <c r="C592" s="55">
        <f t="shared" ca="1" si="108"/>
        <v>41121.239999999867</v>
      </c>
      <c r="D592" s="55">
        <f t="shared" ca="1" si="108"/>
        <v>1042.8000000000025</v>
      </c>
      <c r="E592" s="55">
        <f t="shared" ca="1" si="113"/>
        <v>0</v>
      </c>
      <c r="F592" s="55">
        <f t="shared" ca="1" si="114"/>
        <v>60239.701096721445</v>
      </c>
      <c r="G592" s="101">
        <f t="shared" ca="1" si="115"/>
        <v>252037.08109672129</v>
      </c>
      <c r="H592" s="100">
        <f ca="1">ROUND($B592*VLOOKUP($A592,$A$1:$B$10,2,1)/(365+IF(MOD(YEAR($A592),4),0,1)*($A592-$A591)),2)-Первоначальный[[#This Row],[Проценты на просроченный платеж по ОД за период]]</f>
        <v>77.11</v>
      </c>
      <c r="I592" s="55">
        <f t="shared" ca="1" si="116"/>
        <v>4.47</v>
      </c>
      <c r="J592" s="55">
        <v>0</v>
      </c>
      <c r="K592" s="55">
        <f t="shared" ca="1" si="119"/>
        <v>246.17850327868845</v>
      </c>
      <c r="L592" s="55">
        <v>0</v>
      </c>
      <c r="M592" s="113">
        <f>SUMIFS(График[Возврат основной суммы долга],График[Дата с учетом нерабочих дней],$A592)</f>
        <v>0</v>
      </c>
      <c r="N592" s="56">
        <f>SUMIFS(График[Возврат начисленных %],График[Дата с учетом нерабочих дней],$A592)</f>
        <v>0</v>
      </c>
      <c r="O592" s="101">
        <v>0</v>
      </c>
      <c r="P592" s="100" cm="1">
        <f t="array" aca="1" ref="P592" ca="1">MAX(IF(AA591="Да",0,SUM(INDIRECT("M"&amp;(MAX(("Да"=AA$12:AA591)*ROW(AA$12:AA591)+1,ROW($P$12))&amp;":M"&amp;(ROW()))))-SUM(INDIRECT("W"&amp;(MAX(("Да"=AA$12:AA591)*ROW(AA$12:AA591)+1,ROW($P$12))&amp;":W"&amp;(ROW()))))),0)</f>
        <v>8193.4399999999987</v>
      </c>
      <c r="Q592" s="99">
        <f ca="1">MAX(SUM($N$13:N592)-SUM($T$13:T592),0)</f>
        <v>41042.260655737693</v>
      </c>
      <c r="R592" s="99">
        <f ca="1">Первоначальный[[#This Row],[Просроченный платеж по ОД]]+Первоначальный[[#This Row],[Просроченный платеж по процентам]]</f>
        <v>49235.700655737688</v>
      </c>
      <c r="S592" s="120">
        <f ca="1">IF(Первоначальный[[#This Row],[Просроченный платеж]]&lt;1,0,S591+1)</f>
        <v>488</v>
      </c>
      <c r="T592" s="100" cm="1">
        <f t="array" aca="1" ref="T592" ca="1">IF(Первоначальный[[#This Row],[Итого остаток на начало периода]]&lt;1,0,
IF(
AND(TYPE(VLOOKUP(1,$Z$12:Z592,1,0))=16,Первоначальный[[#This Row],[Досрочное погашение (да/"")]]=""),0,
_xlfn.IFS(AND(S591=0,Первоначальный[[#This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платеж]]&lt;&gt;0),MIN(LOOKUP(,-1/($Z$12:Z592=1),$C$12:C592)+LOOKUP(,-1/($Z$12:Z592=1),$H$12:H592),Первоначальный[[#This Row],[Полученный платеж]]+Y591),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платеж]]+Y591,SUM(Первоначальный[[#This Row],[Остаток процентов на начало периода]],Первоначальный[[#This Row],[Проценты за период]])),
AND(S591=0,Первоначальный[[#This Row],[Дата платежа из графика]]=""),0,
AND(S591=0,Первоначальный[[#This Row],[Дата платежа из графика]]=1,MAX((0&lt;&gt;S$12:S591)*ROW(S$12:S591),ROW($S$12))&gt;=MAX((1=Z$12:Z591)*ROW(Z$12:Z591),ROW($T$12)),TYPE(VLOOKUP("Да",(INDIRECT("AA"&amp;(MAX((1=Z$12:Z591)*ROW(Z$12:Z591),ROW($T$12))&amp;":AA"&amp;(ROW()-1)))),1,0))=16),MIN(LOOKUP(,-1/($Z$12:Z592=1),$C$12:C592)+LOOKUP(,-1/($Z$12:Z592=1),$H$12:H592),Первоначальный[[#This Row],[Полученный платеж]]+Y591),
AND(S591=0,TYPE(VLOOKUP("Да",(INDIRECT("AA"&amp;(MAX((1=Z$12:Z591)*ROW(Z$12:Z591),ROW($T$12))&amp;":AA"&amp;(ROW()-1)))),1,0))&lt;&gt;16),MIN(LOOKUP(,-1/($Z$12:Z592=1),$C$12:C592)+LOOKUP(,-1/($Z$12:Z592=1),$H$12:H592)-IF(AA591="Да",0,SUM(INDIRECT("T"&amp;(MAX(("Да"=AA$12:AA591)*ROW(AA$12:AA591)+1,ROW($T$12))&amp;":T"&amp;(ROW()-1))))),Первоначальный[[#This Row],[Полученный платеж]]+Y591),
AND(S591=0,MAX((0&lt;&gt;N$12:N591)*ROW(N$12:N591),ROW($S$12))&gt;=MAX((1=Z$12:Z591)*ROW(Z$12:Z591),ROW($T$12))),MIN(LOOKUP(,-1/($Z$12:Z592=1),$C$12:C592)+LOOKUP(,-1/($Z$12:Z592=1),$H$12:H592)-IF(N591&lt;&gt;0,0,SUM(INDIRECT("T"&amp;(MAX((0&lt;&gt;N$12:N591)*ROW(N$12:N591)+1,ROW($T$12))&amp;":T"&amp;(ROW()-1))))),Первоначальный[[#This Row],[Полученный платеж]]+Y591),
AND(S591=0,Первоначальный[[#This Row],[Дата платежа из графика]]=1),MIN(LOOKUP(,-1/($Z$12:Z592=1),$C$12:C592)+LOOKUP(,-1/($Z$12:Z592=1),$H$12:H592)-IF(Z591=1,0,SUM(INDIRECT("T"&amp;(MAX((1=Z$12:Z591)*ROW(Z$12:Z591)+1,ROW($T$12))&amp;":T"&amp;(ROW()-1))))),Первоначальный[[#This Row],[Полученный платеж]]+Y591),
AND(Z591&gt;0,Первоначальный[[#This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платеж]]+Y591),
AND(S591&gt;0,MAX((0&lt;&gt;S$12:S591)*ROW(S$12:S591),ROW($S$12))&gt;=MAX((1=Z$12:Z591)*ROW(Z$12:Z591),ROW($T$12)),TYPE(VLOOKUP("Да",(INDIRECT("AA"&amp;(MAX((1=Z$12:Z591)*ROW(Z$12:Z591),ROW($T$12))&amp;":AA"&amp;(ROW()-1)))),1,0))=16),MIN(LOOKUP(,-1/($Z$12:Z592=1),$C$12:C592)+LOOKUP(,-1/($Z$12:Z592=1),$H$12:H592)-SUM(INDIRECT("T"&amp;(MAX((1=Z$12:Z591)*ROW(Z$12:Z591),ROW($T$12))&amp;":T"&amp;(ROW()-1)))),Первоначальный[[#This Row],[Полученный платеж]]+Y591),
S591&gt;0,MIN(LOOKUP(,-1/($Z$12:Z592=1),$C$12:C592)+LOOKUP(,-1/($Z$12:Z592=1),$H$12:H592)-IF(Z591=1,0,SUM(INDIRECT("T"&amp;(MAX((1=Z$12:Z591)*ROW(Z$12:Z591)+1,ROW($T$12))&amp;":T"&amp;(ROW()-1))))),Первоначальный[[#This Row],[Полученный платеж]]+Y591)
)
)
)</f>
        <v>0</v>
      </c>
      <c r="U59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платеж]]+Y591-Первоначальный[[#This Row],[Полученный платёж по процентам]])</f>
        <v>0</v>
      </c>
      <c r="V592" s="55">
        <f t="shared" ca="1" si="109"/>
        <v>0</v>
      </c>
      <c r="W592" s="55" cm="1">
        <f t="array" aca="1" ref="W592" ca="1">IF(Первоначальный[[#This Row],[Итого остаток на начало периода]]&lt;1,0,
_xlfn.IFS(
AND(TYPE(VLOOKUP(1,$Z$12:Z592,1,0))=16,Первоначальный[[#This Row],[Досрочное погашение (да/"")]]=""),0,
AND(S591=0,Первоначальный[[#This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платеж]]+Y591-SUM(Первоначальный[[#This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комиссиям]]),VLOOKUP(LOOKUP(,-1/($Z$12:Z592=1),$A$12:A592),График[[Срок конец]:[Возврат основной суммы долга]],3,0)),
AND(S591=0,Первоначальный[[#This Row],[Дата платежа из графика]]="",Первоначальный[[#This Row],[Досрочное погашение (да/"")]]&lt;&gt;"Да"),0,
AND(S591=0,Первоначальный[[#This Row],[Досрочное погашение (да/"")]]=""),MIN(Первоначальный[[#This Row],[Полученный платеж]]+Y591-SUM(Первоначальный[[#This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комиссиям]]),VLOOKUP(LOOKUP(,-1/($Z$12:Z592=1),$A$12:A592),График[[Срок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платеж]]+Y591-SUM(Первоначальный[[#This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S591&gt;0,MIN(Первоначальный[[#This Row],[Полученный платеж]]+Y591-SUM(Первоначальный[[#This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комиссиям]]),SUM(INDIRECT("M"&amp;(MAX((1=S$12:S591)*ROW(S$12:S591),ROW($W$12))&amp;":M"&amp;(ROW()))))-SUM(INDIRECT("W"&amp;(MAX((1=S$12:S591)*ROW(S$12:S591),ROW($W$12))&amp;":W"&amp;(ROW()-1)))))
)
)</f>
        <v>0</v>
      </c>
      <c r="X592" s="55">
        <f t="shared" ca="1" si="110"/>
        <v>0</v>
      </c>
      <c r="Y592" s="101">
        <f t="shared" ca="1" si="117"/>
        <v>0</v>
      </c>
      <c r="Z592" s="133" t="str">
        <f>IF(TYPE((VLOOKUP(Первоначальный[[#This Row],[Дата платежа]],График[Срок конец],1,0)))=16,"",1)</f>
        <v/>
      </c>
      <c r="AA592" s="57"/>
      <c r="AB592" s="134"/>
      <c r="AC59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9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41198.349999999868</v>
      </c>
      <c r="AE59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1047.2700000000025</v>
      </c>
      <c r="AF59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9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60485.879600000131</v>
      </c>
      <c r="AH592" s="55"/>
      <c r="AI592" s="55"/>
      <c r="AJ592" s="55"/>
      <c r="AK592" s="101">
        <f t="shared" ca="1" si="118"/>
        <v>252364.83959999998</v>
      </c>
      <c r="AL592" s="129">
        <f t="array" ref="AL592">MAX((УслРестрактов[Характеристика]="Дата реструктуризации")*(УслРестрактов[Значение]=Первоначальный!$A592),0)</f>
        <v>0</v>
      </c>
    </row>
    <row r="593" spans="1:38" x14ac:dyDescent="0.25">
      <c r="A593" s="97">
        <f t="shared" si="111"/>
        <v>44724</v>
      </c>
      <c r="B593" s="100">
        <f t="shared" ca="1" si="112"/>
        <v>149633.34</v>
      </c>
      <c r="C593" s="55">
        <f t="shared" ca="1" si="108"/>
        <v>41198.349999999868</v>
      </c>
      <c r="D593" s="55">
        <f t="shared" ca="1" si="108"/>
        <v>1047.2700000000025</v>
      </c>
      <c r="E593" s="55">
        <f t="shared" ca="1" si="113"/>
        <v>0</v>
      </c>
      <c r="F593" s="55">
        <f t="shared" ca="1" si="114"/>
        <v>60485.879600000131</v>
      </c>
      <c r="G593" s="101">
        <f t="shared" ca="1" si="115"/>
        <v>252364.83959999998</v>
      </c>
      <c r="H593" s="100">
        <f ca="1">ROUND($B593*VLOOKUP($A593,$A$1:$B$10,2,1)/(365+IF(MOD(YEAR($A593),4),0,1)*($A593-$A592)),2)-Первоначальный[[#This Row],[Проценты на просроченный платеж по ОД за период]]</f>
        <v>77.11</v>
      </c>
      <c r="I593" s="55">
        <f t="shared" ca="1" si="116"/>
        <v>4.47</v>
      </c>
      <c r="J593" s="55">
        <v>0</v>
      </c>
      <c r="K593" s="55">
        <f t="shared" ca="1" si="119"/>
        <v>246.17850327868845</v>
      </c>
      <c r="L593" s="55">
        <v>0</v>
      </c>
      <c r="M593" s="113">
        <f>SUMIFS(График[Возврат основной суммы долга],График[Дата с учетом нерабочих дней],$A593)</f>
        <v>0</v>
      </c>
      <c r="N593" s="56">
        <f>SUMIFS(График[Возврат начисленных %],График[Дата с учетом нерабочих дней],$A593)</f>
        <v>0</v>
      </c>
      <c r="O593" s="101">
        <v>0</v>
      </c>
      <c r="P593" s="100" cm="1">
        <f t="array" aca="1" ref="P593" ca="1">MAX(IF(AA592="Да",0,SUM(INDIRECT("M"&amp;(MAX(("Да"=AA$12:AA592)*ROW(AA$12:AA592)+1,ROW($P$12))&amp;":M"&amp;(ROW()))))-SUM(INDIRECT("W"&amp;(MAX(("Да"=AA$12:AA592)*ROW(AA$12:AA592)+1,ROW($P$12))&amp;":W"&amp;(ROW()))))),0)</f>
        <v>8193.4399999999987</v>
      </c>
      <c r="Q593" s="99">
        <f ca="1">MAX(SUM($N$13:N593)-SUM($T$13:T593),0)</f>
        <v>41042.260655737693</v>
      </c>
      <c r="R593" s="99">
        <f ca="1">Первоначальный[[#This Row],[Просроченный платеж по ОД]]+Первоначальный[[#This Row],[Просроченный платеж по процентам]]</f>
        <v>49235.700655737688</v>
      </c>
      <c r="S593" s="120">
        <f ca="1">IF(Первоначальный[[#This Row],[Просроченный платеж]]&lt;1,0,S592+1)</f>
        <v>489</v>
      </c>
      <c r="T593" s="100" cm="1">
        <f t="array" aca="1" ref="T593" ca="1">IF(Первоначальный[[#This Row],[Итого остаток на начало периода]]&lt;1,0,
IF(
AND(TYPE(VLOOKUP(1,$Z$12:Z593,1,0))=16,Первоначальный[[#This Row],[Досрочное погашение (да/"")]]=""),0,
_xlfn.IFS(AND(S592=0,Первоначальный[[#This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платеж]]&lt;&gt;0),MIN(LOOKUP(,-1/($Z$12:Z593=1),$C$12:C593)+LOOKUP(,-1/($Z$12:Z593=1),$H$12:H593),Первоначальный[[#This Row],[Полученный платеж]]+Y592),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платеж]]+Y592,SUM(Первоначальный[[#This Row],[Остаток процентов на начало периода]],Первоначальный[[#This Row],[Проценты за период]])),
AND(S592=0,Первоначальный[[#This Row],[Дата платежа из графика]]=""),0,
AND(S592=0,Первоначальный[[#This Row],[Дата платежа из графика]]=1,MAX((0&lt;&gt;S$12:S592)*ROW(S$12:S592),ROW($S$12))&gt;=MAX((1=Z$12:Z592)*ROW(Z$12:Z592),ROW($T$12)),TYPE(VLOOKUP("Да",(INDIRECT("AA"&amp;(MAX((1=Z$12:Z592)*ROW(Z$12:Z592),ROW($T$12))&amp;":AA"&amp;(ROW()-1)))),1,0))=16),MIN(LOOKUP(,-1/($Z$12:Z593=1),$C$12:C593)+LOOKUP(,-1/($Z$12:Z593=1),$H$12:H593),Первоначальный[[#This Row],[Полученный платеж]]+Y592),
AND(S592=0,TYPE(VLOOKUP("Да",(INDIRECT("AA"&amp;(MAX((1=Z$12:Z592)*ROW(Z$12:Z592),ROW($T$12))&amp;":AA"&amp;(ROW()-1)))),1,0))&lt;&gt;16),MIN(LOOKUP(,-1/($Z$12:Z593=1),$C$12:C593)+LOOKUP(,-1/($Z$12:Z593=1),$H$12:H593)-IF(AA592="Да",0,SUM(INDIRECT("T"&amp;(MAX(("Да"=AA$12:AA592)*ROW(AA$12:AA592)+1,ROW($T$12))&amp;":T"&amp;(ROW()-1))))),Первоначальный[[#This Row],[Полученный платеж]]+Y592),
AND(S592=0,MAX((0&lt;&gt;N$12:N592)*ROW(N$12:N592),ROW($S$12))&gt;=MAX((1=Z$12:Z592)*ROW(Z$12:Z592),ROW($T$12))),MIN(LOOKUP(,-1/($Z$12:Z593=1),$C$12:C593)+LOOKUP(,-1/($Z$12:Z593=1),$H$12:H593)-IF(N592&lt;&gt;0,0,SUM(INDIRECT("T"&amp;(MAX((0&lt;&gt;N$12:N592)*ROW(N$12:N592)+1,ROW($T$12))&amp;":T"&amp;(ROW()-1))))),Первоначальный[[#This Row],[Полученный платеж]]+Y592),
AND(S592=0,Первоначальный[[#This Row],[Дата платежа из графика]]=1),MIN(LOOKUP(,-1/($Z$12:Z593=1),$C$12:C593)+LOOKUP(,-1/($Z$12:Z593=1),$H$12:H593)-IF(Z592=1,0,SUM(INDIRECT("T"&amp;(MAX((1=Z$12:Z592)*ROW(Z$12:Z592)+1,ROW($T$12))&amp;":T"&amp;(ROW()-1))))),Первоначальный[[#This Row],[Полученный платеж]]+Y592),
AND(Z592&gt;0,Первоначальный[[#This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платеж]]+Y592),
AND(S592&gt;0,MAX((0&lt;&gt;S$12:S592)*ROW(S$12:S592),ROW($S$12))&gt;=MAX((1=Z$12:Z592)*ROW(Z$12:Z592),ROW($T$12)),TYPE(VLOOKUP("Да",(INDIRECT("AA"&amp;(MAX((1=Z$12:Z592)*ROW(Z$12:Z592),ROW($T$12))&amp;":AA"&amp;(ROW()-1)))),1,0))=16),MIN(LOOKUP(,-1/($Z$12:Z593=1),$C$12:C593)+LOOKUP(,-1/($Z$12:Z593=1),$H$12:H593)-SUM(INDIRECT("T"&amp;(MAX((1=Z$12:Z592)*ROW(Z$12:Z592),ROW($T$12))&amp;":T"&amp;(ROW()-1)))),Первоначальный[[#This Row],[Полученный платеж]]+Y592),
S592&gt;0,MIN(LOOKUP(,-1/($Z$12:Z593=1),$C$12:C593)+LOOKUP(,-1/($Z$12:Z593=1),$H$12:H593)-IF(Z592=1,0,SUM(INDIRECT("T"&amp;(MAX((1=Z$12:Z592)*ROW(Z$12:Z592)+1,ROW($T$12))&amp;":T"&amp;(ROW()-1))))),Первоначальный[[#This Row],[Полученный платеж]]+Y592)
)
)
)</f>
        <v>0</v>
      </c>
      <c r="U59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платеж]]+Y592-Первоначальный[[#This Row],[Полученный платёж по процентам]])</f>
        <v>0</v>
      </c>
      <c r="V593" s="55">
        <f t="shared" ca="1" si="109"/>
        <v>0</v>
      </c>
      <c r="W593" s="55" cm="1">
        <f t="array" aca="1" ref="W593" ca="1">IF(Первоначальный[[#This Row],[Итого остаток на начало периода]]&lt;1,0,
_xlfn.IFS(
AND(TYPE(VLOOKUP(1,$Z$12:Z593,1,0))=16,Первоначальный[[#This Row],[Досрочное погашение (да/"")]]=""),0,
AND(S592=0,Первоначальный[[#This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платеж]]+Y592-SUM(Первоначальный[[#This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комиссиям]]),VLOOKUP(LOOKUP(,-1/($Z$12:Z593=1),$A$12:A593),График[[Срок конец]:[Возврат основной суммы долга]],3,0)),
AND(S592=0,Первоначальный[[#This Row],[Дата платежа из графика]]="",Первоначальный[[#This Row],[Досрочное погашение (да/"")]]&lt;&gt;"Да"),0,
AND(S592=0,Первоначальный[[#This Row],[Досрочное погашение (да/"")]]=""),MIN(Первоначальный[[#This Row],[Полученный платеж]]+Y592-SUM(Первоначальный[[#This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комиссиям]]),VLOOKUP(LOOKUP(,-1/($Z$12:Z593=1),$A$12:A593),График[[Срок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платеж]]+Y592-SUM(Первоначальный[[#This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S592&gt;0,MIN(Первоначальный[[#This Row],[Полученный платеж]]+Y592-SUM(Первоначальный[[#This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комиссиям]]),SUM(INDIRECT("M"&amp;(MAX((1=S$12:S592)*ROW(S$12:S592),ROW($W$12))&amp;":M"&amp;(ROW()))))-SUM(INDIRECT("W"&amp;(MAX((1=S$12:S592)*ROW(S$12:S592),ROW($W$12))&amp;":W"&amp;(ROW()-1)))))
)
)</f>
        <v>0</v>
      </c>
      <c r="X593" s="55">
        <f t="shared" ca="1" si="110"/>
        <v>0</v>
      </c>
      <c r="Y593" s="101">
        <f t="shared" ca="1" si="117"/>
        <v>0</v>
      </c>
      <c r="Z593" s="133" t="str">
        <f>IF(TYPE((VLOOKUP(Первоначальный[[#This Row],[Дата платежа]],График[Срок конец],1,0)))=16,"",1)</f>
        <v/>
      </c>
      <c r="AA593" s="57"/>
      <c r="AB593" s="134"/>
      <c r="AC59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9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41275.459999999868</v>
      </c>
      <c r="AE59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1051.7400000000025</v>
      </c>
      <c r="AF59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9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60732.058103278818</v>
      </c>
      <c r="AH593" s="55"/>
      <c r="AI593" s="55"/>
      <c r="AJ593" s="55"/>
      <c r="AK593" s="101">
        <f t="shared" ca="1" si="118"/>
        <v>252692.59810327867</v>
      </c>
      <c r="AL593" s="129">
        <f t="array" ref="AL593">MAX((УслРестрактов[Характеристика]="Дата реструктуризации")*(УслРестрактов[Значение]=Первоначальный!$A593),0)</f>
        <v>0</v>
      </c>
    </row>
    <row r="594" spans="1:38" x14ac:dyDescent="0.25">
      <c r="A594" s="97">
        <f t="shared" si="111"/>
        <v>44725</v>
      </c>
      <c r="B594" s="100">
        <f t="shared" ca="1" si="112"/>
        <v>149633.34</v>
      </c>
      <c r="C594" s="55">
        <f t="shared" ca="1" si="108"/>
        <v>41275.459999999868</v>
      </c>
      <c r="D594" s="55">
        <f t="shared" ca="1" si="108"/>
        <v>1051.7400000000025</v>
      </c>
      <c r="E594" s="55">
        <f t="shared" ca="1" si="113"/>
        <v>0</v>
      </c>
      <c r="F594" s="55">
        <f t="shared" ca="1" si="114"/>
        <v>60732.058103278818</v>
      </c>
      <c r="G594" s="101">
        <f t="shared" ca="1" si="115"/>
        <v>252692.59810327867</v>
      </c>
      <c r="H594" s="100">
        <f ca="1">ROUND($B594*VLOOKUP($A594,$A$1:$B$10,2,1)/(365+IF(MOD(YEAR($A594),4),0,1)*($A594-$A593)),2)-Первоначальный[[#This Row],[Проценты на просроченный платеж по ОД за период]]</f>
        <v>77.11</v>
      </c>
      <c r="I594" s="55">
        <f t="shared" ca="1" si="116"/>
        <v>4.47</v>
      </c>
      <c r="J594" s="55">
        <v>0</v>
      </c>
      <c r="K594" s="55">
        <f t="shared" ca="1" si="119"/>
        <v>246.17850327868845</v>
      </c>
      <c r="L594" s="55">
        <v>0</v>
      </c>
      <c r="M594" s="113">
        <f>SUMIFS(График[Возврат основной суммы долга],График[Дата с учетом нерабочих дней],$A594)</f>
        <v>0</v>
      </c>
      <c r="N594" s="56">
        <f>SUMIFS(График[Возврат начисленных %],График[Дата с учетом нерабочих дней],$A594)</f>
        <v>0</v>
      </c>
      <c r="O594" s="101">
        <v>0</v>
      </c>
      <c r="P594" s="100" cm="1">
        <f t="array" aca="1" ref="P594" ca="1">MAX(IF(AA593="Да",0,SUM(INDIRECT("M"&amp;(MAX(("Да"=AA$12:AA593)*ROW(AA$12:AA593)+1,ROW($P$12))&amp;":M"&amp;(ROW()))))-SUM(INDIRECT("W"&amp;(MAX(("Да"=AA$12:AA593)*ROW(AA$12:AA593)+1,ROW($P$12))&amp;":W"&amp;(ROW()))))),0)</f>
        <v>8193.4399999999987</v>
      </c>
      <c r="Q594" s="99">
        <f ca="1">MAX(SUM($N$13:N594)-SUM($T$13:T594),0)</f>
        <v>41042.260655737693</v>
      </c>
      <c r="R594" s="99">
        <f ca="1">Первоначальный[[#This Row],[Просроченный платеж по ОД]]+Первоначальный[[#This Row],[Просроченный платеж по процентам]]</f>
        <v>49235.700655737688</v>
      </c>
      <c r="S594" s="120">
        <f ca="1">IF(Первоначальный[[#This Row],[Просроченный платеж]]&lt;1,0,S593+1)</f>
        <v>490</v>
      </c>
      <c r="T594" s="100" cm="1">
        <f t="array" aca="1" ref="T594" ca="1">IF(Первоначальный[[#This Row],[Итого остаток на начало периода]]&lt;1,0,
IF(
AND(TYPE(VLOOKUP(1,$Z$12:Z594,1,0))=16,Первоначальный[[#This Row],[Досрочное погашение (да/"")]]=""),0,
_xlfn.IFS(AND(S593=0,Первоначальный[[#This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платеж]]&lt;&gt;0),MIN(LOOKUP(,-1/($Z$12:Z594=1),$C$12:C594)+LOOKUP(,-1/($Z$12:Z594=1),$H$12:H594),Первоначальный[[#This Row],[Полученный платеж]]+Y593),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платеж]]+Y593,SUM(Первоначальный[[#This Row],[Остаток процентов на начало периода]],Первоначальный[[#This Row],[Проценты за период]])),
AND(S593=0,Первоначальный[[#This Row],[Дата платежа из графика]]=""),0,
AND(S593=0,Первоначальный[[#This Row],[Дата платежа из графика]]=1,MAX((0&lt;&gt;S$12:S593)*ROW(S$12:S593),ROW($S$12))&gt;=MAX((1=Z$12:Z593)*ROW(Z$12:Z593),ROW($T$12)),TYPE(VLOOKUP("Да",(INDIRECT("AA"&amp;(MAX((1=Z$12:Z593)*ROW(Z$12:Z593),ROW($T$12))&amp;":AA"&amp;(ROW()-1)))),1,0))=16),MIN(LOOKUP(,-1/($Z$12:Z594=1),$C$12:C594)+LOOKUP(,-1/($Z$12:Z594=1),$H$12:H594),Первоначальный[[#This Row],[Полученный платеж]]+Y593),
AND(S593=0,TYPE(VLOOKUP("Да",(INDIRECT("AA"&amp;(MAX((1=Z$12:Z593)*ROW(Z$12:Z593),ROW($T$12))&amp;":AA"&amp;(ROW()-1)))),1,0))&lt;&gt;16),MIN(LOOKUP(,-1/($Z$12:Z594=1),$C$12:C594)+LOOKUP(,-1/($Z$12:Z594=1),$H$12:H594)-IF(AA593="Да",0,SUM(INDIRECT("T"&amp;(MAX(("Да"=AA$12:AA593)*ROW(AA$12:AA593)+1,ROW($T$12))&amp;":T"&amp;(ROW()-1))))),Первоначальный[[#This Row],[Полученный платеж]]+Y593),
AND(S593=0,MAX((0&lt;&gt;N$12:N593)*ROW(N$12:N593),ROW($S$12))&gt;=MAX((1=Z$12:Z593)*ROW(Z$12:Z593),ROW($T$12))),MIN(LOOKUP(,-1/($Z$12:Z594=1),$C$12:C594)+LOOKUP(,-1/($Z$12:Z594=1),$H$12:H594)-IF(N593&lt;&gt;0,0,SUM(INDIRECT("T"&amp;(MAX((0&lt;&gt;N$12:N593)*ROW(N$12:N593)+1,ROW($T$12))&amp;":T"&amp;(ROW()-1))))),Первоначальный[[#This Row],[Полученный платеж]]+Y593),
AND(S593=0,Первоначальный[[#This Row],[Дата платежа из графика]]=1),MIN(LOOKUP(,-1/($Z$12:Z594=1),$C$12:C594)+LOOKUP(,-1/($Z$12:Z594=1),$H$12:H594)-IF(Z593=1,0,SUM(INDIRECT("T"&amp;(MAX((1=Z$12:Z593)*ROW(Z$12:Z593)+1,ROW($T$12))&amp;":T"&amp;(ROW()-1))))),Первоначальный[[#This Row],[Полученный платеж]]+Y593),
AND(Z593&gt;0,Первоначальный[[#This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платеж]]+Y593),
AND(S593&gt;0,MAX((0&lt;&gt;S$12:S593)*ROW(S$12:S593),ROW($S$12))&gt;=MAX((1=Z$12:Z593)*ROW(Z$12:Z593),ROW($T$12)),TYPE(VLOOKUP("Да",(INDIRECT("AA"&amp;(MAX((1=Z$12:Z593)*ROW(Z$12:Z593),ROW($T$12))&amp;":AA"&amp;(ROW()-1)))),1,0))=16),MIN(LOOKUP(,-1/($Z$12:Z594=1),$C$12:C594)+LOOKUP(,-1/($Z$12:Z594=1),$H$12:H594)-SUM(INDIRECT("T"&amp;(MAX((1=Z$12:Z593)*ROW(Z$12:Z593),ROW($T$12))&amp;":T"&amp;(ROW()-1)))),Первоначальный[[#This Row],[Полученный платеж]]+Y593),
S593&gt;0,MIN(LOOKUP(,-1/($Z$12:Z594=1),$C$12:C594)+LOOKUP(,-1/($Z$12:Z594=1),$H$12:H594)-IF(Z593=1,0,SUM(INDIRECT("T"&amp;(MAX((1=Z$12:Z593)*ROW(Z$12:Z593)+1,ROW($T$12))&amp;":T"&amp;(ROW()-1))))),Первоначальный[[#This Row],[Полученный платеж]]+Y593)
)
)
)</f>
        <v>0</v>
      </c>
      <c r="U59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платеж]]+Y593-Первоначальный[[#This Row],[Полученный платёж по процентам]])</f>
        <v>0</v>
      </c>
      <c r="V594" s="55">
        <f t="shared" ca="1" si="109"/>
        <v>0</v>
      </c>
      <c r="W594" s="55" cm="1">
        <f t="array" aca="1" ref="W594" ca="1">IF(Первоначальный[[#This Row],[Итого остаток на начало периода]]&lt;1,0,
_xlfn.IFS(
AND(TYPE(VLOOKUP(1,$Z$12:Z594,1,0))=16,Первоначальный[[#This Row],[Досрочное погашение (да/"")]]=""),0,
AND(S593=0,Первоначальный[[#This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платеж]]+Y593-SUM(Первоначальный[[#This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комиссиям]]),VLOOKUP(LOOKUP(,-1/($Z$12:Z594=1),$A$12:A594),График[[Срок конец]:[Возврат основной суммы долга]],3,0)),
AND(S593=0,Первоначальный[[#This Row],[Дата платежа из графика]]="",Первоначальный[[#This Row],[Досрочное погашение (да/"")]]&lt;&gt;"Да"),0,
AND(S593=0,Первоначальный[[#This Row],[Досрочное погашение (да/"")]]=""),MIN(Первоначальный[[#This Row],[Полученный платеж]]+Y593-SUM(Первоначальный[[#This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комиссиям]]),VLOOKUP(LOOKUP(,-1/($Z$12:Z594=1),$A$12:A594),График[[Срок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платеж]]+Y593-SUM(Первоначальный[[#This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S593&gt;0,MIN(Первоначальный[[#This Row],[Полученный платеж]]+Y593-SUM(Первоначальный[[#This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комиссиям]]),SUM(INDIRECT("M"&amp;(MAX((1=S$12:S593)*ROW(S$12:S593),ROW($W$12))&amp;":M"&amp;(ROW()))))-SUM(INDIRECT("W"&amp;(MAX((1=S$12:S593)*ROW(S$12:S593),ROW($W$12))&amp;":W"&amp;(ROW()-1)))))
)
)</f>
        <v>0</v>
      </c>
      <c r="X594" s="55">
        <f t="shared" ca="1" si="110"/>
        <v>0</v>
      </c>
      <c r="Y594" s="101">
        <f t="shared" ca="1" si="117"/>
        <v>0</v>
      </c>
      <c r="Z594" s="133" t="str">
        <f>IF(TYPE((VLOOKUP(Первоначальный[[#This Row],[Дата платежа]],График[Срок конец],1,0)))=16,"",1)</f>
        <v/>
      </c>
      <c r="AA594" s="57"/>
      <c r="AB594" s="134"/>
      <c r="AC59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9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41352.569999999869</v>
      </c>
      <c r="AE59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1056.2100000000025</v>
      </c>
      <c r="AF59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9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60978.236606557504</v>
      </c>
      <c r="AH594" s="55"/>
      <c r="AI594" s="55"/>
      <c r="AJ594" s="55"/>
      <c r="AK594" s="101">
        <f t="shared" ca="1" si="118"/>
        <v>253020.35660655735</v>
      </c>
      <c r="AL594" s="129">
        <f t="array" ref="AL594">MAX((УслРестрактов[Характеристика]="Дата реструктуризации")*(УслРестрактов[Значение]=Первоначальный!$A594),0)</f>
        <v>0</v>
      </c>
    </row>
    <row r="595" spans="1:38" x14ac:dyDescent="0.25">
      <c r="A595" s="97">
        <f t="shared" si="111"/>
        <v>44726</v>
      </c>
      <c r="B595" s="100">
        <f t="shared" ca="1" si="112"/>
        <v>149633.34</v>
      </c>
      <c r="C595" s="55">
        <f t="shared" ca="1" si="108"/>
        <v>41352.569999999869</v>
      </c>
      <c r="D595" s="55">
        <f t="shared" ca="1" si="108"/>
        <v>1056.2100000000025</v>
      </c>
      <c r="E595" s="55">
        <f t="shared" ca="1" si="113"/>
        <v>0</v>
      </c>
      <c r="F595" s="55">
        <f t="shared" ca="1" si="114"/>
        <v>60978.236606557504</v>
      </c>
      <c r="G595" s="101">
        <f t="shared" ca="1" si="115"/>
        <v>253020.35660655735</v>
      </c>
      <c r="H595" s="100">
        <f ca="1">ROUND($B595*VLOOKUP($A595,$A$1:$B$10,2,1)/(365+IF(MOD(YEAR($A595),4),0,1)*($A595-$A594)),2)-Первоначальный[[#This Row],[Проценты на просроченный платеж по ОД за период]]</f>
        <v>77.11</v>
      </c>
      <c r="I595" s="55">
        <f t="shared" ca="1" si="116"/>
        <v>4.47</v>
      </c>
      <c r="J595" s="55">
        <v>0</v>
      </c>
      <c r="K595" s="55">
        <f t="shared" ca="1" si="119"/>
        <v>246.17850327868845</v>
      </c>
      <c r="L595" s="55">
        <v>0</v>
      </c>
      <c r="M595" s="113">
        <f>SUMIFS(График[Возврат основной суммы долга],График[Дата с учетом нерабочих дней],$A595)</f>
        <v>0</v>
      </c>
      <c r="N595" s="56">
        <f>SUMIFS(График[Возврат начисленных %],График[Дата с учетом нерабочих дней],$A595)</f>
        <v>0</v>
      </c>
      <c r="O595" s="101">
        <v>0</v>
      </c>
      <c r="P595" s="100" cm="1">
        <f t="array" aca="1" ref="P595" ca="1">MAX(IF(AA594="Да",0,SUM(INDIRECT("M"&amp;(MAX(("Да"=AA$12:AA594)*ROW(AA$12:AA594)+1,ROW($P$12))&amp;":M"&amp;(ROW()))))-SUM(INDIRECT("W"&amp;(MAX(("Да"=AA$12:AA594)*ROW(AA$12:AA594)+1,ROW($P$12))&amp;":W"&amp;(ROW()))))),0)</f>
        <v>8193.4399999999987</v>
      </c>
      <c r="Q595" s="99">
        <f ca="1">MAX(SUM($N$13:N595)-SUM($T$13:T595),0)</f>
        <v>41042.260655737693</v>
      </c>
      <c r="R595" s="99">
        <f ca="1">Первоначальный[[#This Row],[Просроченный платеж по ОД]]+Первоначальный[[#This Row],[Просроченный платеж по процентам]]</f>
        <v>49235.700655737688</v>
      </c>
      <c r="S595" s="120">
        <f ca="1">IF(Первоначальный[[#This Row],[Просроченный платеж]]&lt;1,0,S594+1)</f>
        <v>491</v>
      </c>
      <c r="T595" s="100" cm="1">
        <f t="array" aca="1" ref="T595" ca="1">IF(Первоначальный[[#This Row],[Итого остаток на начало периода]]&lt;1,0,
IF(
AND(TYPE(VLOOKUP(1,$Z$12:Z595,1,0))=16,Первоначальный[[#This Row],[Досрочное погашение (да/"")]]=""),0,
_xlfn.IFS(AND(S594=0,Первоначальный[[#This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платеж]]&lt;&gt;0),MIN(LOOKUP(,-1/($Z$12:Z595=1),$C$12:C595)+LOOKUP(,-1/($Z$12:Z595=1),$H$12:H595),Первоначальный[[#This Row],[Полученный платеж]]+Y594),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платеж]]+Y594,SUM(Первоначальный[[#This Row],[Остаток процентов на начало периода]],Первоначальный[[#This Row],[Проценты за период]])),
AND(S594=0,Первоначальный[[#This Row],[Дата платежа из графика]]=""),0,
AND(S594=0,Первоначальный[[#This Row],[Дата платежа из графика]]=1,MAX((0&lt;&gt;S$12:S594)*ROW(S$12:S594),ROW($S$12))&gt;=MAX((1=Z$12:Z594)*ROW(Z$12:Z594),ROW($T$12)),TYPE(VLOOKUP("Да",(INDIRECT("AA"&amp;(MAX((1=Z$12:Z594)*ROW(Z$12:Z594),ROW($T$12))&amp;":AA"&amp;(ROW()-1)))),1,0))=16),MIN(LOOKUP(,-1/($Z$12:Z595=1),$C$12:C595)+LOOKUP(,-1/($Z$12:Z595=1),$H$12:H595),Первоначальный[[#This Row],[Полученный платеж]]+Y594),
AND(S594=0,TYPE(VLOOKUP("Да",(INDIRECT("AA"&amp;(MAX((1=Z$12:Z594)*ROW(Z$12:Z594),ROW($T$12))&amp;":AA"&amp;(ROW()-1)))),1,0))&lt;&gt;16),MIN(LOOKUP(,-1/($Z$12:Z595=1),$C$12:C595)+LOOKUP(,-1/($Z$12:Z595=1),$H$12:H595)-IF(AA594="Да",0,SUM(INDIRECT("T"&amp;(MAX(("Да"=AA$12:AA594)*ROW(AA$12:AA594)+1,ROW($T$12))&amp;":T"&amp;(ROW()-1))))),Первоначальный[[#This Row],[Полученный платеж]]+Y594),
AND(S594=0,MAX((0&lt;&gt;N$12:N594)*ROW(N$12:N594),ROW($S$12))&gt;=MAX((1=Z$12:Z594)*ROW(Z$12:Z594),ROW($T$12))),MIN(LOOKUP(,-1/($Z$12:Z595=1),$C$12:C595)+LOOKUP(,-1/($Z$12:Z595=1),$H$12:H595)-IF(N594&lt;&gt;0,0,SUM(INDIRECT("T"&amp;(MAX((0&lt;&gt;N$12:N594)*ROW(N$12:N594)+1,ROW($T$12))&amp;":T"&amp;(ROW()-1))))),Первоначальный[[#This Row],[Полученный платеж]]+Y594),
AND(S594=0,Первоначальный[[#This Row],[Дата платежа из графика]]=1),MIN(LOOKUP(,-1/($Z$12:Z595=1),$C$12:C595)+LOOKUP(,-1/($Z$12:Z595=1),$H$12:H595)-IF(Z594=1,0,SUM(INDIRECT("T"&amp;(MAX((1=Z$12:Z594)*ROW(Z$12:Z594)+1,ROW($T$12))&amp;":T"&amp;(ROW()-1))))),Первоначальный[[#This Row],[Полученный платеж]]+Y594),
AND(Z594&gt;0,Первоначальный[[#This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платеж]]+Y594),
AND(S594&gt;0,MAX((0&lt;&gt;S$12:S594)*ROW(S$12:S594),ROW($S$12))&gt;=MAX((1=Z$12:Z594)*ROW(Z$12:Z594),ROW($T$12)),TYPE(VLOOKUP("Да",(INDIRECT("AA"&amp;(MAX((1=Z$12:Z594)*ROW(Z$12:Z594),ROW($T$12))&amp;":AA"&amp;(ROW()-1)))),1,0))=16),MIN(LOOKUP(,-1/($Z$12:Z595=1),$C$12:C595)+LOOKUP(,-1/($Z$12:Z595=1),$H$12:H595)-SUM(INDIRECT("T"&amp;(MAX((1=Z$12:Z594)*ROW(Z$12:Z594),ROW($T$12))&amp;":T"&amp;(ROW()-1)))),Первоначальный[[#This Row],[Полученный платеж]]+Y594),
S594&gt;0,MIN(LOOKUP(,-1/($Z$12:Z595=1),$C$12:C595)+LOOKUP(,-1/($Z$12:Z595=1),$H$12:H595)-IF(Z594=1,0,SUM(INDIRECT("T"&amp;(MAX((1=Z$12:Z594)*ROW(Z$12:Z594)+1,ROW($T$12))&amp;":T"&amp;(ROW()-1))))),Первоначальный[[#This Row],[Полученный платеж]]+Y594)
)
)
)</f>
        <v>0</v>
      </c>
      <c r="U59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платеж]]+Y594-Первоначальный[[#This Row],[Полученный платёж по процентам]])</f>
        <v>0</v>
      </c>
      <c r="V595" s="55">
        <f t="shared" ca="1" si="109"/>
        <v>0</v>
      </c>
      <c r="W595" s="55" cm="1">
        <f t="array" aca="1" ref="W595" ca="1">IF(Первоначальный[[#This Row],[Итого остаток на начало периода]]&lt;1,0,
_xlfn.IFS(
AND(TYPE(VLOOKUP(1,$Z$12:Z595,1,0))=16,Первоначальный[[#This Row],[Досрочное погашение (да/"")]]=""),0,
AND(S594=0,Первоначальный[[#This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платеж]]+Y594-SUM(Первоначальный[[#This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комиссиям]]),VLOOKUP(LOOKUP(,-1/($Z$12:Z595=1),$A$12:A595),График[[Срок конец]:[Возврат основной суммы долга]],3,0)),
AND(S594=0,Первоначальный[[#This Row],[Дата платежа из графика]]="",Первоначальный[[#This Row],[Досрочное погашение (да/"")]]&lt;&gt;"Да"),0,
AND(S594=0,Первоначальный[[#This Row],[Досрочное погашение (да/"")]]=""),MIN(Первоначальный[[#This Row],[Полученный платеж]]+Y594-SUM(Первоначальный[[#This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комиссиям]]),VLOOKUP(LOOKUP(,-1/($Z$12:Z595=1),$A$12:A595),График[[Срок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платеж]]+Y594-SUM(Первоначальный[[#This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S594&gt;0,MIN(Первоначальный[[#This Row],[Полученный платеж]]+Y594-SUM(Первоначальный[[#This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комиссиям]]),SUM(INDIRECT("M"&amp;(MAX((1=S$12:S594)*ROW(S$12:S594),ROW($W$12))&amp;":M"&amp;(ROW()))))-SUM(INDIRECT("W"&amp;(MAX((1=S$12:S594)*ROW(S$12:S594),ROW($W$12))&amp;":W"&amp;(ROW()-1)))))
)
)</f>
        <v>0</v>
      </c>
      <c r="X595" s="55">
        <f t="shared" ca="1" si="110"/>
        <v>0</v>
      </c>
      <c r="Y595" s="101">
        <f t="shared" ca="1" si="117"/>
        <v>0</v>
      </c>
      <c r="Z595" s="133" t="str">
        <f>IF(TYPE((VLOOKUP(Первоначальный[[#This Row],[Дата платежа]],График[Срок конец],1,0)))=16,"",1)</f>
        <v/>
      </c>
      <c r="AA595" s="57"/>
      <c r="AB595" s="134"/>
      <c r="AC59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9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41429.679999999869</v>
      </c>
      <c r="AE59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1060.6800000000026</v>
      </c>
      <c r="AF59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9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61224.415109836191</v>
      </c>
      <c r="AH595" s="55"/>
      <c r="AI595" s="55"/>
      <c r="AJ595" s="55"/>
      <c r="AK595" s="101">
        <f t="shared" ca="1" si="118"/>
        <v>253348.11510983604</v>
      </c>
      <c r="AL595" s="129">
        <f t="array" ref="AL595">MAX((УслРестрактов[Характеристика]="Дата реструктуризации")*(УслРестрактов[Значение]=Первоначальный!$A595),0)</f>
        <v>0</v>
      </c>
    </row>
    <row r="596" spans="1:38" x14ac:dyDescent="0.25">
      <c r="A596" s="97">
        <f t="shared" si="111"/>
        <v>44727</v>
      </c>
      <c r="B596" s="100">
        <f t="shared" ca="1" si="112"/>
        <v>149633.34</v>
      </c>
      <c r="C596" s="55">
        <f t="shared" ca="1" si="108"/>
        <v>41429.679999999869</v>
      </c>
      <c r="D596" s="55">
        <f t="shared" ca="1" si="108"/>
        <v>1060.6800000000026</v>
      </c>
      <c r="E596" s="55">
        <f t="shared" ca="1" si="113"/>
        <v>0</v>
      </c>
      <c r="F596" s="55">
        <f t="shared" ca="1" si="114"/>
        <v>61224.415109836191</v>
      </c>
      <c r="G596" s="101">
        <f t="shared" ca="1" si="115"/>
        <v>253348.11510983604</v>
      </c>
      <c r="H596" s="100">
        <f ca="1">ROUND($B596*VLOOKUP($A596,$A$1:$B$10,2,1)/(365+IF(MOD(YEAR($A596),4),0,1)*($A596-$A595)),2)-Первоначальный[[#This Row],[Проценты на просроченный платеж по ОД за период]]</f>
        <v>77.11</v>
      </c>
      <c r="I596" s="55">
        <f t="shared" ca="1" si="116"/>
        <v>4.47</v>
      </c>
      <c r="J596" s="55">
        <v>0</v>
      </c>
      <c r="K596" s="55">
        <f t="shared" ca="1" si="119"/>
        <v>246.17850327868845</v>
      </c>
      <c r="L596" s="55">
        <v>0</v>
      </c>
      <c r="M596" s="113">
        <f>SUMIFS(График[Возврат основной суммы долга],График[Дата с учетом нерабочих дней],$A596)</f>
        <v>0</v>
      </c>
      <c r="N596" s="56">
        <f>SUMIFS(График[Возврат начисленных %],График[Дата с учетом нерабочих дней],$A596)</f>
        <v>0</v>
      </c>
      <c r="O596" s="101">
        <v>0</v>
      </c>
      <c r="P596" s="100" cm="1">
        <f t="array" aca="1" ref="P596" ca="1">MAX(IF(AA595="Да",0,SUM(INDIRECT("M"&amp;(MAX(("Да"=AA$12:AA595)*ROW(AA$12:AA595)+1,ROW($P$12))&amp;":M"&amp;(ROW()))))-SUM(INDIRECT("W"&amp;(MAX(("Да"=AA$12:AA595)*ROW(AA$12:AA595)+1,ROW($P$12))&amp;":W"&amp;(ROW()))))),0)</f>
        <v>8193.4399999999987</v>
      </c>
      <c r="Q596" s="99">
        <f ca="1">MAX(SUM($N$13:N596)-SUM($T$13:T596),0)</f>
        <v>41042.260655737693</v>
      </c>
      <c r="R596" s="99">
        <f ca="1">Первоначальный[[#This Row],[Просроченный платеж по ОД]]+Первоначальный[[#This Row],[Просроченный платеж по процентам]]</f>
        <v>49235.700655737688</v>
      </c>
      <c r="S596" s="120">
        <f ca="1">IF(Первоначальный[[#This Row],[Просроченный платеж]]&lt;1,0,S595+1)</f>
        <v>492</v>
      </c>
      <c r="T596" s="100" cm="1">
        <f t="array" aca="1" ref="T596" ca="1">IF(Первоначальный[[#This Row],[Итого остаток на начало периода]]&lt;1,0,
IF(
AND(TYPE(VLOOKUP(1,$Z$12:Z596,1,0))=16,Первоначальный[[#This Row],[Досрочное погашение (да/"")]]=""),0,
_xlfn.IFS(AND(S595=0,Первоначальный[[#This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платеж]]&lt;&gt;0),MIN(LOOKUP(,-1/($Z$12:Z596=1),$C$12:C596)+LOOKUP(,-1/($Z$12:Z596=1),$H$12:H596),Первоначальный[[#This Row],[Полученный платеж]]+Y595),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платеж]]+Y595,SUM(Первоначальный[[#This Row],[Остаток процентов на начало периода]],Первоначальный[[#This Row],[Проценты за период]])),
AND(S595=0,Первоначальный[[#This Row],[Дата платежа из графика]]=""),0,
AND(S595=0,Первоначальный[[#This Row],[Дата платежа из графика]]=1,MAX((0&lt;&gt;S$12:S595)*ROW(S$12:S595),ROW($S$12))&gt;=MAX((1=Z$12:Z595)*ROW(Z$12:Z595),ROW($T$12)),TYPE(VLOOKUP("Да",(INDIRECT("AA"&amp;(MAX((1=Z$12:Z595)*ROW(Z$12:Z595),ROW($T$12))&amp;":AA"&amp;(ROW()-1)))),1,0))=16),MIN(LOOKUP(,-1/($Z$12:Z596=1),$C$12:C596)+LOOKUP(,-1/($Z$12:Z596=1),$H$12:H596),Первоначальный[[#This Row],[Полученный платеж]]+Y595),
AND(S595=0,TYPE(VLOOKUP("Да",(INDIRECT("AA"&amp;(MAX((1=Z$12:Z595)*ROW(Z$12:Z595),ROW($T$12))&amp;":AA"&amp;(ROW()-1)))),1,0))&lt;&gt;16),MIN(LOOKUP(,-1/($Z$12:Z596=1),$C$12:C596)+LOOKUP(,-1/($Z$12:Z596=1),$H$12:H596)-IF(AA595="Да",0,SUM(INDIRECT("T"&amp;(MAX(("Да"=AA$12:AA595)*ROW(AA$12:AA595)+1,ROW($T$12))&amp;":T"&amp;(ROW()-1))))),Первоначальный[[#This Row],[Полученный платеж]]+Y595),
AND(S595=0,MAX((0&lt;&gt;N$12:N595)*ROW(N$12:N595),ROW($S$12))&gt;=MAX((1=Z$12:Z595)*ROW(Z$12:Z595),ROW($T$12))),MIN(LOOKUP(,-1/($Z$12:Z596=1),$C$12:C596)+LOOKUP(,-1/($Z$12:Z596=1),$H$12:H596)-IF(N595&lt;&gt;0,0,SUM(INDIRECT("T"&amp;(MAX((0&lt;&gt;N$12:N595)*ROW(N$12:N595)+1,ROW($T$12))&amp;":T"&amp;(ROW()-1))))),Первоначальный[[#This Row],[Полученный платеж]]+Y595),
AND(S595=0,Первоначальный[[#This Row],[Дата платежа из графика]]=1),MIN(LOOKUP(,-1/($Z$12:Z596=1),$C$12:C596)+LOOKUP(,-1/($Z$12:Z596=1),$H$12:H596)-IF(Z595=1,0,SUM(INDIRECT("T"&amp;(MAX((1=Z$12:Z595)*ROW(Z$12:Z595)+1,ROW($T$12))&amp;":T"&amp;(ROW()-1))))),Первоначальный[[#This Row],[Полученный платеж]]+Y595),
AND(Z595&gt;0,Первоначальный[[#This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платеж]]+Y595),
AND(S595&gt;0,MAX((0&lt;&gt;S$12:S595)*ROW(S$12:S595),ROW($S$12))&gt;=MAX((1=Z$12:Z595)*ROW(Z$12:Z595),ROW($T$12)),TYPE(VLOOKUP("Да",(INDIRECT("AA"&amp;(MAX((1=Z$12:Z595)*ROW(Z$12:Z595),ROW($T$12))&amp;":AA"&amp;(ROW()-1)))),1,0))=16),MIN(LOOKUP(,-1/($Z$12:Z596=1),$C$12:C596)+LOOKUP(,-1/($Z$12:Z596=1),$H$12:H596)-SUM(INDIRECT("T"&amp;(MAX((1=Z$12:Z595)*ROW(Z$12:Z595),ROW($T$12))&amp;":T"&amp;(ROW()-1)))),Первоначальный[[#This Row],[Полученный платеж]]+Y595),
S595&gt;0,MIN(LOOKUP(,-1/($Z$12:Z596=1),$C$12:C596)+LOOKUP(,-1/($Z$12:Z596=1),$H$12:H596)-IF(Z595=1,0,SUM(INDIRECT("T"&amp;(MAX((1=Z$12:Z595)*ROW(Z$12:Z595)+1,ROW($T$12))&amp;":T"&amp;(ROW()-1))))),Первоначальный[[#This Row],[Полученный платеж]]+Y595)
)
)
)</f>
        <v>0</v>
      </c>
      <c r="U59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платеж]]+Y595-Первоначальный[[#This Row],[Полученный платёж по процентам]])</f>
        <v>0</v>
      </c>
      <c r="V596" s="55">
        <f t="shared" ca="1" si="109"/>
        <v>0</v>
      </c>
      <c r="W596" s="55" cm="1">
        <f t="array" aca="1" ref="W596" ca="1">IF(Первоначальный[[#This Row],[Итого остаток на начало периода]]&lt;1,0,
_xlfn.IFS(
AND(TYPE(VLOOKUP(1,$Z$12:Z596,1,0))=16,Первоначальный[[#This Row],[Досрочное погашение (да/"")]]=""),0,
AND(S595=0,Первоначальный[[#This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платеж]]+Y595-SUM(Первоначальный[[#This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комиссиям]]),VLOOKUP(LOOKUP(,-1/($Z$12:Z596=1),$A$12:A596),График[[Срок конец]:[Возврат основной суммы долга]],3,0)),
AND(S595=0,Первоначальный[[#This Row],[Дата платежа из графика]]="",Первоначальный[[#This Row],[Досрочное погашение (да/"")]]&lt;&gt;"Да"),0,
AND(S595=0,Первоначальный[[#This Row],[Досрочное погашение (да/"")]]=""),MIN(Первоначальный[[#This Row],[Полученный платеж]]+Y595-SUM(Первоначальный[[#This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комиссиям]]),VLOOKUP(LOOKUP(,-1/($Z$12:Z596=1),$A$12:A596),График[[Срок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платеж]]+Y595-SUM(Первоначальный[[#This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S595&gt;0,MIN(Первоначальный[[#This Row],[Полученный платеж]]+Y595-SUM(Первоначальный[[#This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комиссиям]]),SUM(INDIRECT("M"&amp;(MAX((1=S$12:S595)*ROW(S$12:S595),ROW($W$12))&amp;":M"&amp;(ROW()))))-SUM(INDIRECT("W"&amp;(MAX((1=S$12:S595)*ROW(S$12:S595),ROW($W$12))&amp;":W"&amp;(ROW()-1)))))
)
)</f>
        <v>0</v>
      </c>
      <c r="X596" s="55">
        <f t="shared" ca="1" si="110"/>
        <v>0</v>
      </c>
      <c r="Y596" s="101">
        <f t="shared" ca="1" si="117"/>
        <v>0</v>
      </c>
      <c r="Z596" s="133" t="str">
        <f>IF(TYPE((VLOOKUP(Первоначальный[[#This Row],[Дата платежа]],График[Срок конец],1,0)))=16,"",1)</f>
        <v/>
      </c>
      <c r="AA596" s="57"/>
      <c r="AB596" s="134"/>
      <c r="AC59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9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41506.78999999987</v>
      </c>
      <c r="AE59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1065.1500000000026</v>
      </c>
      <c r="AF59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9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61470.593613114877</v>
      </c>
      <c r="AH596" s="55"/>
      <c r="AI596" s="55"/>
      <c r="AJ596" s="55"/>
      <c r="AK596" s="101">
        <f t="shared" ca="1" si="118"/>
        <v>253675.87361311473</v>
      </c>
      <c r="AL596" s="129">
        <f t="array" ref="AL596">MAX((УслРестрактов[Характеристика]="Дата реструктуризации")*(УслРестрактов[Значение]=Первоначальный!$A596),0)</f>
        <v>0</v>
      </c>
    </row>
    <row r="597" spans="1:38" x14ac:dyDescent="0.25">
      <c r="A597" s="97">
        <f t="shared" si="111"/>
        <v>44728</v>
      </c>
      <c r="B597" s="100">
        <f t="shared" ca="1" si="112"/>
        <v>149633.34</v>
      </c>
      <c r="C597" s="55">
        <f t="shared" ca="1" si="108"/>
        <v>41506.78999999987</v>
      </c>
      <c r="D597" s="55">
        <f t="shared" ca="1" si="108"/>
        <v>1065.1500000000026</v>
      </c>
      <c r="E597" s="55">
        <f t="shared" ca="1" si="113"/>
        <v>0</v>
      </c>
      <c r="F597" s="55">
        <f t="shared" ca="1" si="114"/>
        <v>61470.593613114877</v>
      </c>
      <c r="G597" s="101">
        <f t="shared" ca="1" si="115"/>
        <v>253675.87361311473</v>
      </c>
      <c r="H597" s="100">
        <f ca="1">ROUND($B597*VLOOKUP($A597,$A$1:$B$10,2,1)/(365+IF(MOD(YEAR($A597),4),0,1)*($A597-$A596)),2)-Первоначальный[[#This Row],[Проценты на просроченный платеж по ОД за период]]</f>
        <v>77.11</v>
      </c>
      <c r="I597" s="55">
        <f t="shared" ca="1" si="116"/>
        <v>4.47</v>
      </c>
      <c r="J597" s="55">
        <v>0</v>
      </c>
      <c r="K597" s="55">
        <f t="shared" ca="1" si="119"/>
        <v>246.17850327868845</v>
      </c>
      <c r="L597" s="55">
        <v>0</v>
      </c>
      <c r="M597" s="113">
        <f>SUMIFS(График[Возврат основной суммы долга],График[Дата с учетом нерабочих дней],$A597)</f>
        <v>0</v>
      </c>
      <c r="N597" s="56">
        <f>SUMIFS(График[Возврат начисленных %],График[Дата с учетом нерабочих дней],$A597)</f>
        <v>0</v>
      </c>
      <c r="O597" s="101">
        <v>0</v>
      </c>
      <c r="P597" s="100" cm="1">
        <f t="array" aca="1" ref="P597" ca="1">MAX(IF(AA596="Да",0,SUM(INDIRECT("M"&amp;(MAX(("Да"=AA$12:AA596)*ROW(AA$12:AA596)+1,ROW($P$12))&amp;":M"&amp;(ROW()))))-SUM(INDIRECT("W"&amp;(MAX(("Да"=AA$12:AA596)*ROW(AA$12:AA596)+1,ROW($P$12))&amp;":W"&amp;(ROW()))))),0)</f>
        <v>8193.4399999999987</v>
      </c>
      <c r="Q597" s="99">
        <f ca="1">MAX(SUM($N$13:N597)-SUM($T$13:T597),0)</f>
        <v>41042.260655737693</v>
      </c>
      <c r="R597" s="99">
        <f ca="1">Первоначальный[[#This Row],[Просроченный платеж по ОД]]+Первоначальный[[#This Row],[Просроченный платеж по процентам]]</f>
        <v>49235.700655737688</v>
      </c>
      <c r="S597" s="120">
        <f ca="1">IF(Первоначальный[[#This Row],[Просроченный платеж]]&lt;1,0,S596+1)</f>
        <v>493</v>
      </c>
      <c r="T597" s="100" cm="1">
        <f t="array" aca="1" ref="T597" ca="1">IF(Первоначальный[[#This Row],[Итого остаток на начало периода]]&lt;1,0,
IF(
AND(TYPE(VLOOKUP(1,$Z$12:Z597,1,0))=16,Первоначальный[[#This Row],[Досрочное погашение (да/"")]]=""),0,
_xlfn.IFS(AND(S596=0,Первоначальный[[#This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платеж]]&lt;&gt;0),MIN(LOOKUP(,-1/($Z$12:Z597=1),$C$12:C597)+LOOKUP(,-1/($Z$12:Z597=1),$H$12:H597),Первоначальный[[#This Row],[Полученный платеж]]+Y596),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платеж]]+Y596,SUM(Первоначальный[[#This Row],[Остаток процентов на начало периода]],Первоначальный[[#This Row],[Проценты за период]])),
AND(S596=0,Первоначальный[[#This Row],[Дата платежа из графика]]=""),0,
AND(S596=0,Первоначальный[[#This Row],[Дата платежа из графика]]=1,MAX((0&lt;&gt;S$12:S596)*ROW(S$12:S596),ROW($S$12))&gt;=MAX((1=Z$12:Z596)*ROW(Z$12:Z596),ROW($T$12)),TYPE(VLOOKUP("Да",(INDIRECT("AA"&amp;(MAX((1=Z$12:Z596)*ROW(Z$12:Z596),ROW($T$12))&amp;":AA"&amp;(ROW()-1)))),1,0))=16),MIN(LOOKUP(,-1/($Z$12:Z597=1),$C$12:C597)+LOOKUP(,-1/($Z$12:Z597=1),$H$12:H597),Первоначальный[[#This Row],[Полученный платеж]]+Y596),
AND(S596=0,TYPE(VLOOKUP("Да",(INDIRECT("AA"&amp;(MAX((1=Z$12:Z596)*ROW(Z$12:Z596),ROW($T$12))&amp;":AA"&amp;(ROW()-1)))),1,0))&lt;&gt;16),MIN(LOOKUP(,-1/($Z$12:Z597=1),$C$12:C597)+LOOKUP(,-1/($Z$12:Z597=1),$H$12:H597)-IF(AA596="Да",0,SUM(INDIRECT("T"&amp;(MAX(("Да"=AA$12:AA596)*ROW(AA$12:AA596)+1,ROW($T$12))&amp;":T"&amp;(ROW()-1))))),Первоначальный[[#This Row],[Полученный платеж]]+Y596),
AND(S596=0,MAX((0&lt;&gt;N$12:N596)*ROW(N$12:N596),ROW($S$12))&gt;=MAX((1=Z$12:Z596)*ROW(Z$12:Z596),ROW($T$12))),MIN(LOOKUP(,-1/($Z$12:Z597=1),$C$12:C597)+LOOKUP(,-1/($Z$12:Z597=1),$H$12:H597)-IF(N596&lt;&gt;0,0,SUM(INDIRECT("T"&amp;(MAX((0&lt;&gt;N$12:N596)*ROW(N$12:N596)+1,ROW($T$12))&amp;":T"&amp;(ROW()-1))))),Первоначальный[[#This Row],[Полученный платеж]]+Y596),
AND(S596=0,Первоначальный[[#This Row],[Дата платежа из графика]]=1),MIN(LOOKUP(,-1/($Z$12:Z597=1),$C$12:C597)+LOOKUP(,-1/($Z$12:Z597=1),$H$12:H597)-IF(Z596=1,0,SUM(INDIRECT("T"&amp;(MAX((1=Z$12:Z596)*ROW(Z$12:Z596)+1,ROW($T$12))&amp;":T"&amp;(ROW()-1))))),Первоначальный[[#This Row],[Полученный платеж]]+Y596),
AND(Z596&gt;0,Первоначальный[[#This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платеж]]+Y596),
AND(S596&gt;0,MAX((0&lt;&gt;S$12:S596)*ROW(S$12:S596),ROW($S$12))&gt;=MAX((1=Z$12:Z596)*ROW(Z$12:Z596),ROW($T$12)),TYPE(VLOOKUP("Да",(INDIRECT("AA"&amp;(MAX((1=Z$12:Z596)*ROW(Z$12:Z596),ROW($T$12))&amp;":AA"&amp;(ROW()-1)))),1,0))=16),MIN(LOOKUP(,-1/($Z$12:Z597=1),$C$12:C597)+LOOKUP(,-1/($Z$12:Z597=1),$H$12:H597)-SUM(INDIRECT("T"&amp;(MAX((1=Z$12:Z596)*ROW(Z$12:Z596),ROW($T$12))&amp;":T"&amp;(ROW()-1)))),Первоначальный[[#This Row],[Полученный платеж]]+Y596),
S596&gt;0,MIN(LOOKUP(,-1/($Z$12:Z597=1),$C$12:C597)+LOOKUP(,-1/($Z$12:Z597=1),$H$12:H597)-IF(Z596=1,0,SUM(INDIRECT("T"&amp;(MAX((1=Z$12:Z596)*ROW(Z$12:Z596)+1,ROW($T$12))&amp;":T"&amp;(ROW()-1))))),Первоначальный[[#This Row],[Полученный платеж]]+Y596)
)
)
)</f>
        <v>0</v>
      </c>
      <c r="U59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платеж]]+Y596-Первоначальный[[#This Row],[Полученный платёж по процентам]])</f>
        <v>0</v>
      </c>
      <c r="V597" s="55">
        <f t="shared" ca="1" si="109"/>
        <v>0</v>
      </c>
      <c r="W597" s="55" cm="1">
        <f t="array" aca="1" ref="W597" ca="1">IF(Первоначальный[[#This Row],[Итого остаток на начало периода]]&lt;1,0,
_xlfn.IFS(
AND(TYPE(VLOOKUP(1,$Z$12:Z597,1,0))=16,Первоначальный[[#This Row],[Досрочное погашение (да/"")]]=""),0,
AND(S596=0,Первоначальный[[#This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платеж]]+Y596-SUM(Первоначальный[[#This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комиссиям]]),VLOOKUP(LOOKUP(,-1/($Z$12:Z597=1),$A$12:A597),График[[Срок конец]:[Возврат основной суммы долга]],3,0)),
AND(S596=0,Первоначальный[[#This Row],[Дата платежа из графика]]="",Первоначальный[[#This Row],[Досрочное погашение (да/"")]]&lt;&gt;"Да"),0,
AND(S596=0,Первоначальный[[#This Row],[Досрочное погашение (да/"")]]=""),MIN(Первоначальный[[#This Row],[Полученный платеж]]+Y596-SUM(Первоначальный[[#This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комиссиям]]),VLOOKUP(LOOKUP(,-1/($Z$12:Z597=1),$A$12:A597),График[[Срок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платеж]]+Y596-SUM(Первоначальный[[#This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S596&gt;0,MIN(Первоначальный[[#This Row],[Полученный платеж]]+Y596-SUM(Первоначальный[[#This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комиссиям]]),SUM(INDIRECT("M"&amp;(MAX((1=S$12:S596)*ROW(S$12:S596),ROW($W$12))&amp;":M"&amp;(ROW()))))-SUM(INDIRECT("W"&amp;(MAX((1=S$12:S596)*ROW(S$12:S596),ROW($W$12))&amp;":W"&amp;(ROW()-1)))))
)
)</f>
        <v>0</v>
      </c>
      <c r="X597" s="55">
        <f t="shared" ca="1" si="110"/>
        <v>0</v>
      </c>
      <c r="Y597" s="101">
        <f t="shared" ca="1" si="117"/>
        <v>0</v>
      </c>
      <c r="Z597" s="133" t="str">
        <f>IF(TYPE((VLOOKUP(Первоначальный[[#This Row],[Дата платежа]],График[Срок конец],1,0)))=16,"",1)</f>
        <v/>
      </c>
      <c r="AA597" s="57"/>
      <c r="AB597" s="134"/>
      <c r="AC59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9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41583.89999999987</v>
      </c>
      <c r="AE59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1069.6200000000026</v>
      </c>
      <c r="AF59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9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61716.772116393564</v>
      </c>
      <c r="AH597" s="55"/>
      <c r="AI597" s="55"/>
      <c r="AJ597" s="55"/>
      <c r="AK597" s="101">
        <f t="shared" ca="1" si="118"/>
        <v>254003.63211639342</v>
      </c>
      <c r="AL597" s="129">
        <f t="array" ref="AL597">MAX((УслРестрактов[Характеристика]="Дата реструктуризации")*(УслРестрактов[Значение]=Первоначальный!$A597),0)</f>
        <v>0</v>
      </c>
    </row>
    <row r="598" spans="1:38" x14ac:dyDescent="0.25">
      <c r="A598" s="97">
        <f t="shared" si="111"/>
        <v>44729</v>
      </c>
      <c r="B598" s="100">
        <f t="shared" ca="1" si="112"/>
        <v>149633.34</v>
      </c>
      <c r="C598" s="55">
        <f t="shared" ca="1" si="108"/>
        <v>41583.89999999987</v>
      </c>
      <c r="D598" s="55">
        <f t="shared" ca="1" si="108"/>
        <v>1069.6200000000026</v>
      </c>
      <c r="E598" s="55">
        <f t="shared" ca="1" si="113"/>
        <v>0</v>
      </c>
      <c r="F598" s="55">
        <f t="shared" ca="1" si="114"/>
        <v>61716.772116393564</v>
      </c>
      <c r="G598" s="101">
        <f t="shared" ca="1" si="115"/>
        <v>254003.63211639342</v>
      </c>
      <c r="H598" s="100">
        <f ca="1">ROUND($B598*VLOOKUP($A598,$A$1:$B$10,2,1)/(365+IF(MOD(YEAR($A598),4),0,1)*($A598-$A597)),2)-Первоначальный[[#This Row],[Проценты на просроченный платеж по ОД за период]]</f>
        <v>77.11</v>
      </c>
      <c r="I598" s="55">
        <f t="shared" ca="1" si="116"/>
        <v>4.47</v>
      </c>
      <c r="J598" s="55">
        <v>0</v>
      </c>
      <c r="K598" s="55">
        <f t="shared" ca="1" si="119"/>
        <v>246.17850327868845</v>
      </c>
      <c r="L598" s="55">
        <v>0</v>
      </c>
      <c r="M598" s="113">
        <f>SUMIFS(График[Возврат основной суммы долга],График[Дата с учетом нерабочих дней],$A598)</f>
        <v>0</v>
      </c>
      <c r="N598" s="56">
        <f>SUMIFS(График[Возврат начисленных %],График[Дата с учетом нерабочих дней],$A598)</f>
        <v>0</v>
      </c>
      <c r="O598" s="101">
        <v>0</v>
      </c>
      <c r="P598" s="100" cm="1">
        <f t="array" aca="1" ref="P598" ca="1">MAX(IF(AA597="Да",0,SUM(INDIRECT("M"&amp;(MAX(("Да"=AA$12:AA597)*ROW(AA$12:AA597)+1,ROW($P$12))&amp;":M"&amp;(ROW()))))-SUM(INDIRECT("W"&amp;(MAX(("Да"=AA$12:AA597)*ROW(AA$12:AA597)+1,ROW($P$12))&amp;":W"&amp;(ROW()))))),0)</f>
        <v>8193.4399999999987</v>
      </c>
      <c r="Q598" s="99">
        <f ca="1">MAX(SUM($N$13:N598)-SUM($T$13:T598),0)</f>
        <v>41042.260655737693</v>
      </c>
      <c r="R598" s="99">
        <f ca="1">Первоначальный[[#This Row],[Просроченный платеж по ОД]]+Первоначальный[[#This Row],[Просроченный платеж по процентам]]</f>
        <v>49235.700655737688</v>
      </c>
      <c r="S598" s="120">
        <f ca="1">IF(Первоначальный[[#This Row],[Просроченный платеж]]&lt;1,0,S597+1)</f>
        <v>494</v>
      </c>
      <c r="T598" s="100" cm="1">
        <f t="array" aca="1" ref="T598" ca="1">IF(Первоначальный[[#This Row],[Итого остаток на начало периода]]&lt;1,0,
IF(
AND(TYPE(VLOOKUP(1,$Z$12:Z598,1,0))=16,Первоначальный[[#This Row],[Досрочное погашение (да/"")]]=""),0,
_xlfn.IFS(AND(S597=0,Первоначальный[[#This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платеж]]&lt;&gt;0),MIN(LOOKUP(,-1/($Z$12:Z598=1),$C$12:C598)+LOOKUP(,-1/($Z$12:Z598=1),$H$12:H598),Первоначальный[[#This Row],[Полученный платеж]]+Y597),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платеж]]+Y597,SUM(Первоначальный[[#This Row],[Остаток процентов на начало периода]],Первоначальный[[#This Row],[Проценты за период]])),
AND(S597=0,Первоначальный[[#This Row],[Дата платежа из графика]]=""),0,
AND(S597=0,Первоначальный[[#This Row],[Дата платежа из графика]]=1,MAX((0&lt;&gt;S$12:S597)*ROW(S$12:S597),ROW($S$12))&gt;=MAX((1=Z$12:Z597)*ROW(Z$12:Z597),ROW($T$12)),TYPE(VLOOKUP("Да",(INDIRECT("AA"&amp;(MAX((1=Z$12:Z597)*ROW(Z$12:Z597),ROW($T$12))&amp;":AA"&amp;(ROW()-1)))),1,0))=16),MIN(LOOKUP(,-1/($Z$12:Z598=1),$C$12:C598)+LOOKUP(,-1/($Z$12:Z598=1),$H$12:H598),Первоначальный[[#This Row],[Полученный платеж]]+Y597),
AND(S597=0,TYPE(VLOOKUP("Да",(INDIRECT("AA"&amp;(MAX((1=Z$12:Z597)*ROW(Z$12:Z597),ROW($T$12))&amp;":AA"&amp;(ROW()-1)))),1,0))&lt;&gt;16),MIN(LOOKUP(,-1/($Z$12:Z598=1),$C$12:C598)+LOOKUP(,-1/($Z$12:Z598=1),$H$12:H598)-IF(AA597="Да",0,SUM(INDIRECT("T"&amp;(MAX(("Да"=AA$12:AA597)*ROW(AA$12:AA597)+1,ROW($T$12))&amp;":T"&amp;(ROW()-1))))),Первоначальный[[#This Row],[Полученный платеж]]+Y597),
AND(S597=0,MAX((0&lt;&gt;N$12:N597)*ROW(N$12:N597),ROW($S$12))&gt;=MAX((1=Z$12:Z597)*ROW(Z$12:Z597),ROW($T$12))),MIN(LOOKUP(,-1/($Z$12:Z598=1),$C$12:C598)+LOOKUP(,-1/($Z$12:Z598=1),$H$12:H598)-IF(N597&lt;&gt;0,0,SUM(INDIRECT("T"&amp;(MAX((0&lt;&gt;N$12:N597)*ROW(N$12:N597)+1,ROW($T$12))&amp;":T"&amp;(ROW()-1))))),Первоначальный[[#This Row],[Полученный платеж]]+Y597),
AND(S597=0,Первоначальный[[#This Row],[Дата платежа из графика]]=1),MIN(LOOKUP(,-1/($Z$12:Z598=1),$C$12:C598)+LOOKUP(,-1/($Z$12:Z598=1),$H$12:H598)-IF(Z597=1,0,SUM(INDIRECT("T"&amp;(MAX((1=Z$12:Z597)*ROW(Z$12:Z597)+1,ROW($T$12))&amp;":T"&amp;(ROW()-1))))),Первоначальный[[#This Row],[Полученный платеж]]+Y597),
AND(Z597&gt;0,Первоначальный[[#This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платеж]]+Y597),
AND(S597&gt;0,MAX((0&lt;&gt;S$12:S597)*ROW(S$12:S597),ROW($S$12))&gt;=MAX((1=Z$12:Z597)*ROW(Z$12:Z597),ROW($T$12)),TYPE(VLOOKUP("Да",(INDIRECT("AA"&amp;(MAX((1=Z$12:Z597)*ROW(Z$12:Z597),ROW($T$12))&amp;":AA"&amp;(ROW()-1)))),1,0))=16),MIN(LOOKUP(,-1/($Z$12:Z598=1),$C$12:C598)+LOOKUP(,-1/($Z$12:Z598=1),$H$12:H598)-SUM(INDIRECT("T"&amp;(MAX((1=Z$12:Z597)*ROW(Z$12:Z597),ROW($T$12))&amp;":T"&amp;(ROW()-1)))),Первоначальный[[#This Row],[Полученный платеж]]+Y597),
S597&gt;0,MIN(LOOKUP(,-1/($Z$12:Z598=1),$C$12:C598)+LOOKUP(,-1/($Z$12:Z598=1),$H$12:H598)-IF(Z597=1,0,SUM(INDIRECT("T"&amp;(MAX((1=Z$12:Z597)*ROW(Z$12:Z597)+1,ROW($T$12))&amp;":T"&amp;(ROW()-1))))),Первоначальный[[#This Row],[Полученный платеж]]+Y597)
)
)
)</f>
        <v>0</v>
      </c>
      <c r="U59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платеж]]+Y597-Первоначальный[[#This Row],[Полученный платёж по процентам]])</f>
        <v>0</v>
      </c>
      <c r="V598" s="55">
        <f t="shared" ca="1" si="109"/>
        <v>0</v>
      </c>
      <c r="W598" s="55" cm="1">
        <f t="array" aca="1" ref="W598" ca="1">IF(Первоначальный[[#This Row],[Итого остаток на начало периода]]&lt;1,0,
_xlfn.IFS(
AND(TYPE(VLOOKUP(1,$Z$12:Z598,1,0))=16,Первоначальный[[#This Row],[Досрочное погашение (да/"")]]=""),0,
AND(S597=0,Первоначальный[[#This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платеж]]+Y597-SUM(Первоначальный[[#This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комиссиям]]),VLOOKUP(LOOKUP(,-1/($Z$12:Z598=1),$A$12:A598),График[[Срок конец]:[Возврат основной суммы долга]],3,0)),
AND(S597=0,Первоначальный[[#This Row],[Дата платежа из графика]]="",Первоначальный[[#This Row],[Досрочное погашение (да/"")]]&lt;&gt;"Да"),0,
AND(S597=0,Первоначальный[[#This Row],[Досрочное погашение (да/"")]]=""),MIN(Первоначальный[[#This Row],[Полученный платеж]]+Y597-SUM(Первоначальный[[#This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комиссиям]]),VLOOKUP(LOOKUP(,-1/($Z$12:Z598=1),$A$12:A598),График[[Срок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платеж]]+Y597-SUM(Первоначальный[[#This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S597&gt;0,MIN(Первоначальный[[#This Row],[Полученный платеж]]+Y597-SUM(Первоначальный[[#This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комиссиям]]),SUM(INDIRECT("M"&amp;(MAX((1=S$12:S597)*ROW(S$12:S597),ROW($W$12))&amp;":M"&amp;(ROW()))))-SUM(INDIRECT("W"&amp;(MAX((1=S$12:S597)*ROW(S$12:S597),ROW($W$12))&amp;":W"&amp;(ROW()-1)))))
)
)</f>
        <v>0</v>
      </c>
      <c r="X598" s="55">
        <f t="shared" ca="1" si="110"/>
        <v>0</v>
      </c>
      <c r="Y598" s="101">
        <f t="shared" ca="1" si="117"/>
        <v>0</v>
      </c>
      <c r="Z598" s="133" t="str">
        <f>IF(TYPE((VLOOKUP(Первоначальный[[#This Row],[Дата платежа]],График[Срок конец],1,0)))=16,"",1)</f>
        <v/>
      </c>
      <c r="AA598" s="57"/>
      <c r="AB598" s="134"/>
      <c r="AC59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9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41661.009999999871</v>
      </c>
      <c r="AE59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1074.0900000000026</v>
      </c>
      <c r="AF59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9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61962.95061967225</v>
      </c>
      <c r="AH598" s="55"/>
      <c r="AI598" s="55"/>
      <c r="AJ598" s="55"/>
      <c r="AK598" s="101">
        <f t="shared" ca="1" si="118"/>
        <v>254331.39061967211</v>
      </c>
      <c r="AL598" s="129">
        <f t="array" ref="AL598">MAX((УслРестрактов[Характеристика]="Дата реструктуризации")*(УслРестрактов[Значение]=Первоначальный!$A598),0)</f>
        <v>0</v>
      </c>
    </row>
    <row r="599" spans="1:38" x14ac:dyDescent="0.25">
      <c r="A599" s="97">
        <f t="shared" si="111"/>
        <v>44730</v>
      </c>
      <c r="B599" s="100">
        <f t="shared" ca="1" si="112"/>
        <v>149633.34</v>
      </c>
      <c r="C599" s="55">
        <f t="shared" ca="1" si="108"/>
        <v>41661.009999999871</v>
      </c>
      <c r="D599" s="55">
        <f t="shared" ca="1" si="108"/>
        <v>1074.0900000000026</v>
      </c>
      <c r="E599" s="55">
        <f t="shared" ca="1" si="113"/>
        <v>0</v>
      </c>
      <c r="F599" s="55">
        <f t="shared" ca="1" si="114"/>
        <v>61962.95061967225</v>
      </c>
      <c r="G599" s="101">
        <f t="shared" ca="1" si="115"/>
        <v>254331.39061967211</v>
      </c>
      <c r="H599" s="100">
        <f ca="1">ROUND($B599*VLOOKUP($A599,$A$1:$B$10,2,1)/(365+IF(MOD(YEAR($A599),4),0,1)*($A599-$A598)),2)-Первоначальный[[#This Row],[Проценты на просроченный платеж по ОД за период]]</f>
        <v>77.11</v>
      </c>
      <c r="I599" s="55">
        <f t="shared" ca="1" si="116"/>
        <v>4.47</v>
      </c>
      <c r="J599" s="55">
        <v>0</v>
      </c>
      <c r="K599" s="55">
        <f t="shared" ca="1" si="119"/>
        <v>246.17850327868845</v>
      </c>
      <c r="L599" s="55">
        <v>0</v>
      </c>
      <c r="M599" s="113">
        <f>SUMIFS(График[Возврат основной суммы долга],График[Дата с учетом нерабочих дней],$A599)</f>
        <v>0</v>
      </c>
      <c r="N599" s="56">
        <f>SUMIFS(График[Возврат начисленных %],График[Дата с учетом нерабочих дней],$A599)</f>
        <v>0</v>
      </c>
      <c r="O599" s="101">
        <v>0</v>
      </c>
      <c r="P599" s="100" cm="1">
        <f t="array" aca="1" ref="P599" ca="1">MAX(IF(AA598="Да",0,SUM(INDIRECT("M"&amp;(MAX(("Да"=AA$12:AA598)*ROW(AA$12:AA598)+1,ROW($P$12))&amp;":M"&amp;(ROW()))))-SUM(INDIRECT("W"&amp;(MAX(("Да"=AA$12:AA598)*ROW(AA$12:AA598)+1,ROW($P$12))&amp;":W"&amp;(ROW()))))),0)</f>
        <v>8193.4399999999987</v>
      </c>
      <c r="Q599" s="99">
        <f ca="1">MAX(SUM($N$13:N599)-SUM($T$13:T599),0)</f>
        <v>41042.260655737693</v>
      </c>
      <c r="R599" s="99">
        <f ca="1">Первоначальный[[#This Row],[Просроченный платеж по ОД]]+Первоначальный[[#This Row],[Просроченный платеж по процентам]]</f>
        <v>49235.700655737688</v>
      </c>
      <c r="S599" s="120">
        <f ca="1">IF(Первоначальный[[#This Row],[Просроченный платеж]]&lt;1,0,S598+1)</f>
        <v>495</v>
      </c>
      <c r="T599" s="100" cm="1">
        <f t="array" aca="1" ref="T599" ca="1">IF(Первоначальный[[#This Row],[Итого остаток на начало периода]]&lt;1,0,
IF(
AND(TYPE(VLOOKUP(1,$Z$12:Z599,1,0))=16,Первоначальный[[#This Row],[Досрочное погашение (да/"")]]=""),0,
_xlfn.IFS(AND(S598=0,Первоначальный[[#This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платеж]]&lt;&gt;0),MIN(LOOKUP(,-1/($Z$12:Z599=1),$C$12:C599)+LOOKUP(,-1/($Z$12:Z599=1),$H$12:H599),Первоначальный[[#This Row],[Полученный платеж]]+Y598),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платеж]]+Y598,SUM(Первоначальный[[#This Row],[Остаток процентов на начало периода]],Первоначальный[[#This Row],[Проценты за период]])),
AND(S598=0,Первоначальный[[#This Row],[Дата платежа из графика]]=""),0,
AND(S598=0,Первоначальный[[#This Row],[Дата платежа из графика]]=1,MAX((0&lt;&gt;S$12:S598)*ROW(S$12:S598),ROW($S$12))&gt;=MAX((1=Z$12:Z598)*ROW(Z$12:Z598),ROW($T$12)),TYPE(VLOOKUP("Да",(INDIRECT("AA"&amp;(MAX((1=Z$12:Z598)*ROW(Z$12:Z598),ROW($T$12))&amp;":AA"&amp;(ROW()-1)))),1,0))=16),MIN(LOOKUP(,-1/($Z$12:Z599=1),$C$12:C599)+LOOKUP(,-1/($Z$12:Z599=1),$H$12:H599),Первоначальный[[#This Row],[Полученный платеж]]+Y598),
AND(S598=0,TYPE(VLOOKUP("Да",(INDIRECT("AA"&amp;(MAX((1=Z$12:Z598)*ROW(Z$12:Z598),ROW($T$12))&amp;":AA"&amp;(ROW()-1)))),1,0))&lt;&gt;16),MIN(LOOKUP(,-1/($Z$12:Z599=1),$C$12:C599)+LOOKUP(,-1/($Z$12:Z599=1),$H$12:H599)-IF(AA598="Да",0,SUM(INDIRECT("T"&amp;(MAX(("Да"=AA$12:AA598)*ROW(AA$12:AA598)+1,ROW($T$12))&amp;":T"&amp;(ROW()-1))))),Первоначальный[[#This Row],[Полученный платеж]]+Y598),
AND(S598=0,MAX((0&lt;&gt;N$12:N598)*ROW(N$12:N598),ROW($S$12))&gt;=MAX((1=Z$12:Z598)*ROW(Z$12:Z598),ROW($T$12))),MIN(LOOKUP(,-1/($Z$12:Z599=1),$C$12:C599)+LOOKUP(,-1/($Z$12:Z599=1),$H$12:H599)-IF(N598&lt;&gt;0,0,SUM(INDIRECT("T"&amp;(MAX((0&lt;&gt;N$12:N598)*ROW(N$12:N598)+1,ROW($T$12))&amp;":T"&amp;(ROW()-1))))),Первоначальный[[#This Row],[Полученный платеж]]+Y598),
AND(S598=0,Первоначальный[[#This Row],[Дата платежа из графика]]=1),MIN(LOOKUP(,-1/($Z$12:Z599=1),$C$12:C599)+LOOKUP(,-1/($Z$12:Z599=1),$H$12:H599)-IF(Z598=1,0,SUM(INDIRECT("T"&amp;(MAX((1=Z$12:Z598)*ROW(Z$12:Z598)+1,ROW($T$12))&amp;":T"&amp;(ROW()-1))))),Первоначальный[[#This Row],[Полученный платеж]]+Y598),
AND(Z598&gt;0,Первоначальный[[#This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платеж]]+Y598),
AND(S598&gt;0,MAX((0&lt;&gt;S$12:S598)*ROW(S$12:S598),ROW($S$12))&gt;=MAX((1=Z$12:Z598)*ROW(Z$12:Z598),ROW($T$12)),TYPE(VLOOKUP("Да",(INDIRECT("AA"&amp;(MAX((1=Z$12:Z598)*ROW(Z$12:Z598),ROW($T$12))&amp;":AA"&amp;(ROW()-1)))),1,0))=16),MIN(LOOKUP(,-1/($Z$12:Z599=1),$C$12:C599)+LOOKUP(,-1/($Z$12:Z599=1),$H$12:H599)-SUM(INDIRECT("T"&amp;(MAX((1=Z$12:Z598)*ROW(Z$12:Z598),ROW($T$12))&amp;":T"&amp;(ROW()-1)))),Первоначальный[[#This Row],[Полученный платеж]]+Y598),
S598&gt;0,MIN(LOOKUP(,-1/($Z$12:Z599=1),$C$12:C599)+LOOKUP(,-1/($Z$12:Z599=1),$H$12:H599)-IF(Z598=1,0,SUM(INDIRECT("T"&amp;(MAX((1=Z$12:Z598)*ROW(Z$12:Z598)+1,ROW($T$12))&amp;":T"&amp;(ROW()-1))))),Первоначальный[[#This Row],[Полученный платеж]]+Y598)
)
)
)</f>
        <v>0</v>
      </c>
      <c r="U59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платеж]]+Y598-Первоначальный[[#This Row],[Полученный платёж по процентам]])</f>
        <v>0</v>
      </c>
      <c r="V599" s="55">
        <f t="shared" ca="1" si="109"/>
        <v>0</v>
      </c>
      <c r="W599" s="55" cm="1">
        <f t="array" aca="1" ref="W599" ca="1">IF(Первоначальный[[#This Row],[Итого остаток на начало периода]]&lt;1,0,
_xlfn.IFS(
AND(TYPE(VLOOKUP(1,$Z$12:Z599,1,0))=16,Первоначальный[[#This Row],[Досрочное погашение (да/"")]]=""),0,
AND(S598=0,Первоначальный[[#This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платеж]]+Y598-SUM(Первоначальный[[#This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комиссиям]]),VLOOKUP(LOOKUP(,-1/($Z$12:Z599=1),$A$12:A599),График[[Срок конец]:[Возврат основной суммы долга]],3,0)),
AND(S598=0,Первоначальный[[#This Row],[Дата платежа из графика]]="",Первоначальный[[#This Row],[Досрочное погашение (да/"")]]&lt;&gt;"Да"),0,
AND(S598=0,Первоначальный[[#This Row],[Досрочное погашение (да/"")]]=""),MIN(Первоначальный[[#This Row],[Полученный платеж]]+Y598-SUM(Первоначальный[[#This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комиссиям]]),VLOOKUP(LOOKUP(,-1/($Z$12:Z599=1),$A$12:A599),График[[Срок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платеж]]+Y598-SUM(Первоначальный[[#This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S598&gt;0,MIN(Первоначальный[[#This Row],[Полученный платеж]]+Y598-SUM(Первоначальный[[#This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комиссиям]]),SUM(INDIRECT("M"&amp;(MAX((1=S$12:S598)*ROW(S$12:S598),ROW($W$12))&amp;":M"&amp;(ROW()))))-SUM(INDIRECT("W"&amp;(MAX((1=S$12:S598)*ROW(S$12:S598),ROW($W$12))&amp;":W"&amp;(ROW()-1)))))
)
)</f>
        <v>0</v>
      </c>
      <c r="X599" s="55">
        <f t="shared" ca="1" si="110"/>
        <v>0</v>
      </c>
      <c r="Y599" s="101">
        <f t="shared" ca="1" si="117"/>
        <v>0</v>
      </c>
      <c r="Z599" s="133" t="str">
        <f>IF(TYPE((VLOOKUP(Первоначальный[[#This Row],[Дата платежа]],График[Срок конец],1,0)))=16,"",1)</f>
        <v/>
      </c>
      <c r="AA599" s="57"/>
      <c r="AB599" s="134"/>
      <c r="AC59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59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41738.119999999872</v>
      </c>
      <c r="AE59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1078.5600000000027</v>
      </c>
      <c r="AF59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59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62209.129122950937</v>
      </c>
      <c r="AH599" s="55"/>
      <c r="AI599" s="55"/>
      <c r="AJ599" s="55"/>
      <c r="AK599" s="101">
        <f t="shared" ca="1" si="118"/>
        <v>254659.1491229508</v>
      </c>
      <c r="AL599" s="129">
        <f t="array" ref="AL599">MAX((УслРестрактов[Характеристика]="Дата реструктуризации")*(УслРестрактов[Значение]=Первоначальный!$A599),0)</f>
        <v>0</v>
      </c>
    </row>
    <row r="600" spans="1:38" x14ac:dyDescent="0.25">
      <c r="A600" s="97">
        <f t="shared" si="111"/>
        <v>44731</v>
      </c>
      <c r="B600" s="100">
        <f t="shared" ca="1" si="112"/>
        <v>149633.34</v>
      </c>
      <c r="C600" s="55">
        <f t="shared" ca="1" si="108"/>
        <v>41738.119999999872</v>
      </c>
      <c r="D600" s="55">
        <f t="shared" ca="1" si="108"/>
        <v>1078.5600000000027</v>
      </c>
      <c r="E600" s="55">
        <f t="shared" ca="1" si="113"/>
        <v>0</v>
      </c>
      <c r="F600" s="55">
        <f t="shared" ca="1" si="114"/>
        <v>62209.129122950937</v>
      </c>
      <c r="G600" s="101">
        <f t="shared" ca="1" si="115"/>
        <v>254659.1491229508</v>
      </c>
      <c r="H600" s="100">
        <f ca="1">ROUND($B600*VLOOKUP($A600,$A$1:$B$10,2,1)/(365+IF(MOD(YEAR($A600),4),0,1)*($A600-$A599)),2)-Первоначальный[[#This Row],[Проценты на просроченный платеж по ОД за период]]</f>
        <v>77.11</v>
      </c>
      <c r="I600" s="55">
        <f t="shared" ca="1" si="116"/>
        <v>4.47</v>
      </c>
      <c r="J600" s="55">
        <v>0</v>
      </c>
      <c r="K600" s="55">
        <f t="shared" ca="1" si="119"/>
        <v>246.17850327868845</v>
      </c>
      <c r="L600" s="55">
        <v>0</v>
      </c>
      <c r="M600" s="113">
        <f>SUMIFS(График[Возврат основной суммы долга],График[Дата с учетом нерабочих дней],$A600)</f>
        <v>0</v>
      </c>
      <c r="N600" s="56">
        <f>SUMIFS(График[Возврат начисленных %],График[Дата с учетом нерабочих дней],$A600)</f>
        <v>0</v>
      </c>
      <c r="O600" s="101">
        <v>0</v>
      </c>
      <c r="P600" s="100" cm="1">
        <f t="array" aca="1" ref="P600" ca="1">MAX(IF(AA599="Да",0,SUM(INDIRECT("M"&amp;(MAX(("Да"=AA$12:AA599)*ROW(AA$12:AA599)+1,ROW($P$12))&amp;":M"&amp;(ROW()))))-SUM(INDIRECT("W"&amp;(MAX(("Да"=AA$12:AA599)*ROW(AA$12:AA599)+1,ROW($P$12))&amp;":W"&amp;(ROW()))))),0)</f>
        <v>8193.4399999999987</v>
      </c>
      <c r="Q600" s="99">
        <f ca="1">MAX(SUM($N$13:N600)-SUM($T$13:T600),0)</f>
        <v>41042.260655737693</v>
      </c>
      <c r="R600" s="99">
        <f ca="1">Первоначальный[[#This Row],[Просроченный платеж по ОД]]+Первоначальный[[#This Row],[Просроченный платеж по процентам]]</f>
        <v>49235.700655737688</v>
      </c>
      <c r="S600" s="120">
        <f ca="1">IF(Первоначальный[[#This Row],[Просроченный платеж]]&lt;1,0,S599+1)</f>
        <v>496</v>
      </c>
      <c r="T600" s="100" cm="1">
        <f t="array" aca="1" ref="T600" ca="1">IF(Первоначальный[[#This Row],[Итого остаток на начало периода]]&lt;1,0,
IF(
AND(TYPE(VLOOKUP(1,$Z$12:Z600,1,0))=16,Первоначальный[[#This Row],[Досрочное погашение (да/"")]]=""),0,
_xlfn.IFS(AND(S599=0,Первоначальный[[#This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платеж]]&lt;&gt;0),MIN(LOOKUP(,-1/($Z$12:Z600=1),$C$12:C600)+LOOKUP(,-1/($Z$12:Z600=1),$H$12:H600),Первоначальный[[#This Row],[Полученный платеж]]+Y599),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платеж]]+Y599,SUM(Первоначальный[[#This Row],[Остаток процентов на начало периода]],Первоначальный[[#This Row],[Проценты за период]])),
AND(S599=0,Первоначальный[[#This Row],[Дата платежа из графика]]=""),0,
AND(S599=0,Первоначальный[[#This Row],[Дата платежа из графика]]=1,MAX((0&lt;&gt;S$12:S599)*ROW(S$12:S599),ROW($S$12))&gt;=MAX((1=Z$12:Z599)*ROW(Z$12:Z599),ROW($T$12)),TYPE(VLOOKUP("Да",(INDIRECT("AA"&amp;(MAX((1=Z$12:Z599)*ROW(Z$12:Z599),ROW($T$12))&amp;":AA"&amp;(ROW()-1)))),1,0))=16),MIN(LOOKUP(,-1/($Z$12:Z600=1),$C$12:C600)+LOOKUP(,-1/($Z$12:Z600=1),$H$12:H600),Первоначальный[[#This Row],[Полученный платеж]]+Y599),
AND(S599=0,TYPE(VLOOKUP("Да",(INDIRECT("AA"&amp;(MAX((1=Z$12:Z599)*ROW(Z$12:Z599),ROW($T$12))&amp;":AA"&amp;(ROW()-1)))),1,0))&lt;&gt;16),MIN(LOOKUP(,-1/($Z$12:Z600=1),$C$12:C600)+LOOKUP(,-1/($Z$12:Z600=1),$H$12:H600)-IF(AA599="Да",0,SUM(INDIRECT("T"&amp;(MAX(("Да"=AA$12:AA599)*ROW(AA$12:AA599)+1,ROW($T$12))&amp;":T"&amp;(ROW()-1))))),Первоначальный[[#This Row],[Полученный платеж]]+Y599),
AND(S599=0,MAX((0&lt;&gt;N$12:N599)*ROW(N$12:N599),ROW($S$12))&gt;=MAX((1=Z$12:Z599)*ROW(Z$12:Z599),ROW($T$12))),MIN(LOOKUP(,-1/($Z$12:Z600=1),$C$12:C600)+LOOKUP(,-1/($Z$12:Z600=1),$H$12:H600)-IF(N599&lt;&gt;0,0,SUM(INDIRECT("T"&amp;(MAX((0&lt;&gt;N$12:N599)*ROW(N$12:N599)+1,ROW($T$12))&amp;":T"&amp;(ROW()-1))))),Первоначальный[[#This Row],[Полученный платеж]]+Y599),
AND(S599=0,Первоначальный[[#This Row],[Дата платежа из графика]]=1),MIN(LOOKUP(,-1/($Z$12:Z600=1),$C$12:C600)+LOOKUP(,-1/($Z$12:Z600=1),$H$12:H600)-IF(Z599=1,0,SUM(INDIRECT("T"&amp;(MAX((1=Z$12:Z599)*ROW(Z$12:Z599)+1,ROW($T$12))&amp;":T"&amp;(ROW()-1))))),Первоначальный[[#This Row],[Полученный платеж]]+Y599),
AND(Z599&gt;0,Первоначальный[[#This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платеж]]+Y599),
AND(S599&gt;0,MAX((0&lt;&gt;S$12:S599)*ROW(S$12:S599),ROW($S$12))&gt;=MAX((1=Z$12:Z599)*ROW(Z$12:Z599),ROW($T$12)),TYPE(VLOOKUP("Да",(INDIRECT("AA"&amp;(MAX((1=Z$12:Z599)*ROW(Z$12:Z599),ROW($T$12))&amp;":AA"&amp;(ROW()-1)))),1,0))=16),MIN(LOOKUP(,-1/($Z$12:Z600=1),$C$12:C600)+LOOKUP(,-1/($Z$12:Z600=1),$H$12:H600)-SUM(INDIRECT("T"&amp;(MAX((1=Z$12:Z599)*ROW(Z$12:Z599),ROW($T$12))&amp;":T"&amp;(ROW()-1)))),Первоначальный[[#This Row],[Полученный платеж]]+Y599),
S599&gt;0,MIN(LOOKUP(,-1/($Z$12:Z600=1),$C$12:C600)+LOOKUP(,-1/($Z$12:Z600=1),$H$12:H600)-IF(Z599=1,0,SUM(INDIRECT("T"&amp;(MAX((1=Z$12:Z599)*ROW(Z$12:Z599)+1,ROW($T$12))&amp;":T"&amp;(ROW()-1))))),Первоначальный[[#This Row],[Полученный платеж]]+Y599)
)
)
)</f>
        <v>0</v>
      </c>
      <c r="U60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платеж]]+Y599-Первоначальный[[#This Row],[Полученный платёж по процентам]])</f>
        <v>0</v>
      </c>
      <c r="V600" s="55">
        <f t="shared" ca="1" si="109"/>
        <v>0</v>
      </c>
      <c r="W600" s="55" cm="1">
        <f t="array" aca="1" ref="W600" ca="1">IF(Первоначальный[[#This Row],[Итого остаток на начало периода]]&lt;1,0,
_xlfn.IFS(
AND(TYPE(VLOOKUP(1,$Z$12:Z600,1,0))=16,Первоначальный[[#This Row],[Досрочное погашение (да/"")]]=""),0,
AND(S599=0,Первоначальный[[#This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платеж]]+Y599-SUM(Первоначальный[[#This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комиссиям]]),VLOOKUP(LOOKUP(,-1/($Z$12:Z600=1),$A$12:A600),График[[Срок конец]:[Возврат основной суммы долга]],3,0)),
AND(S599=0,Первоначальный[[#This Row],[Дата платежа из графика]]="",Первоначальный[[#This Row],[Досрочное погашение (да/"")]]&lt;&gt;"Да"),0,
AND(S599=0,Первоначальный[[#This Row],[Досрочное погашение (да/"")]]=""),MIN(Первоначальный[[#This Row],[Полученный платеж]]+Y599-SUM(Первоначальный[[#This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комиссиям]]),VLOOKUP(LOOKUP(,-1/($Z$12:Z600=1),$A$12:A600),График[[Срок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платеж]]+Y599-SUM(Первоначальный[[#This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S599&gt;0,MIN(Первоначальный[[#This Row],[Полученный платеж]]+Y599-SUM(Первоначальный[[#This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комиссиям]]),SUM(INDIRECT("M"&amp;(MAX((1=S$12:S599)*ROW(S$12:S599),ROW($W$12))&amp;":M"&amp;(ROW()))))-SUM(INDIRECT("W"&amp;(MAX((1=S$12:S599)*ROW(S$12:S599),ROW($W$12))&amp;":W"&amp;(ROW()-1)))))
)
)</f>
        <v>0</v>
      </c>
      <c r="X600" s="55">
        <f t="shared" ca="1" si="110"/>
        <v>0</v>
      </c>
      <c r="Y600" s="101">
        <f t="shared" ca="1" si="117"/>
        <v>0</v>
      </c>
      <c r="Z600" s="133" t="str">
        <f>IF(TYPE((VLOOKUP(Первоначальный[[#This Row],[Дата платежа]],График[Срок конец],1,0)))=16,"",1)</f>
        <v/>
      </c>
      <c r="AA600" s="57"/>
      <c r="AB600" s="134"/>
      <c r="AC60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0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41815.229999999872</v>
      </c>
      <c r="AE60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1083.0300000000027</v>
      </c>
      <c r="AF60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0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62455.307626229624</v>
      </c>
      <c r="AH600" s="55"/>
      <c r="AI600" s="55"/>
      <c r="AJ600" s="55"/>
      <c r="AK600" s="101">
        <f t="shared" ca="1" si="118"/>
        <v>254986.90762622948</v>
      </c>
      <c r="AL600" s="129">
        <f t="array" ref="AL600">MAX((УслРестрактов[Характеристика]="Дата реструктуризации")*(УслРестрактов[Значение]=Первоначальный!$A600),0)</f>
        <v>0</v>
      </c>
    </row>
    <row r="601" spans="1:38" x14ac:dyDescent="0.25">
      <c r="A601" s="97">
        <f t="shared" si="111"/>
        <v>44732</v>
      </c>
      <c r="B601" s="100">
        <f t="shared" ca="1" si="112"/>
        <v>149633.34</v>
      </c>
      <c r="C601" s="55">
        <f t="shared" ca="1" si="108"/>
        <v>41815.229999999872</v>
      </c>
      <c r="D601" s="55">
        <f t="shared" ca="1" si="108"/>
        <v>1083.0300000000027</v>
      </c>
      <c r="E601" s="55">
        <f t="shared" ca="1" si="113"/>
        <v>0</v>
      </c>
      <c r="F601" s="55">
        <f t="shared" ca="1" si="114"/>
        <v>62455.307626229624</v>
      </c>
      <c r="G601" s="101">
        <f t="shared" ca="1" si="115"/>
        <v>254986.90762622948</v>
      </c>
      <c r="H601" s="100">
        <f ca="1">ROUND($B601*VLOOKUP($A601,$A$1:$B$10,2,1)/(365+IF(MOD(YEAR($A601),4),0,1)*($A601-$A600)),2)-Первоначальный[[#This Row],[Проценты на просроченный платеж по ОД за период]]</f>
        <v>77.11</v>
      </c>
      <c r="I601" s="55">
        <f t="shared" ca="1" si="116"/>
        <v>4.47</v>
      </c>
      <c r="J601" s="55">
        <v>0</v>
      </c>
      <c r="K601" s="55">
        <f t="shared" ca="1" si="119"/>
        <v>246.17850327868845</v>
      </c>
      <c r="L601" s="55">
        <v>0</v>
      </c>
      <c r="M601" s="113">
        <f>SUMIFS(График[Возврат основной суммы долга],График[Дата с учетом нерабочих дней],$A601)</f>
        <v>0</v>
      </c>
      <c r="N601" s="56">
        <f>SUMIFS(График[Возврат начисленных %],График[Дата с учетом нерабочих дней],$A601)</f>
        <v>0</v>
      </c>
      <c r="O601" s="101">
        <v>0</v>
      </c>
      <c r="P601" s="100" cm="1">
        <f t="array" aca="1" ref="P601" ca="1">MAX(IF(AA600="Да",0,SUM(INDIRECT("M"&amp;(MAX(("Да"=AA$12:AA600)*ROW(AA$12:AA600)+1,ROW($P$12))&amp;":M"&amp;(ROW()))))-SUM(INDIRECT("W"&amp;(MAX(("Да"=AA$12:AA600)*ROW(AA$12:AA600)+1,ROW($P$12))&amp;":W"&amp;(ROW()))))),0)</f>
        <v>8193.4399999999987</v>
      </c>
      <c r="Q601" s="99">
        <f ca="1">MAX(SUM($N$13:N601)-SUM($T$13:T601),0)</f>
        <v>41042.260655737693</v>
      </c>
      <c r="R601" s="99">
        <f ca="1">Первоначальный[[#This Row],[Просроченный платеж по ОД]]+Первоначальный[[#This Row],[Просроченный платеж по процентам]]</f>
        <v>49235.700655737688</v>
      </c>
      <c r="S601" s="120">
        <f ca="1">IF(Первоначальный[[#This Row],[Просроченный платеж]]&lt;1,0,S600+1)</f>
        <v>497</v>
      </c>
      <c r="T601" s="100" cm="1">
        <f t="array" aca="1" ref="T601" ca="1">IF(Первоначальный[[#This Row],[Итого остаток на начало периода]]&lt;1,0,
IF(
AND(TYPE(VLOOKUP(1,$Z$12:Z601,1,0))=16,Первоначальный[[#This Row],[Досрочное погашение (да/"")]]=""),0,
_xlfn.IFS(AND(S600=0,Первоначальный[[#This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платеж]]&lt;&gt;0),MIN(LOOKUP(,-1/($Z$12:Z601=1),$C$12:C601)+LOOKUP(,-1/($Z$12:Z601=1),$H$12:H601),Первоначальный[[#This Row],[Полученный платеж]]+Y600),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платеж]]+Y600,SUM(Первоначальный[[#This Row],[Остаток процентов на начало периода]],Первоначальный[[#This Row],[Проценты за период]])),
AND(S600=0,Первоначальный[[#This Row],[Дата платежа из графика]]=""),0,
AND(S600=0,Первоначальный[[#This Row],[Дата платежа из графика]]=1,MAX((0&lt;&gt;S$12:S600)*ROW(S$12:S600),ROW($S$12))&gt;=MAX((1=Z$12:Z600)*ROW(Z$12:Z600),ROW($T$12)),TYPE(VLOOKUP("Да",(INDIRECT("AA"&amp;(MAX((1=Z$12:Z600)*ROW(Z$12:Z600),ROW($T$12))&amp;":AA"&amp;(ROW()-1)))),1,0))=16),MIN(LOOKUP(,-1/($Z$12:Z601=1),$C$12:C601)+LOOKUP(,-1/($Z$12:Z601=1),$H$12:H601),Первоначальный[[#This Row],[Полученный платеж]]+Y600),
AND(S600=0,TYPE(VLOOKUP("Да",(INDIRECT("AA"&amp;(MAX((1=Z$12:Z600)*ROW(Z$12:Z600),ROW($T$12))&amp;":AA"&amp;(ROW()-1)))),1,0))&lt;&gt;16),MIN(LOOKUP(,-1/($Z$12:Z601=1),$C$12:C601)+LOOKUP(,-1/($Z$12:Z601=1),$H$12:H601)-IF(AA600="Да",0,SUM(INDIRECT("T"&amp;(MAX(("Да"=AA$12:AA600)*ROW(AA$12:AA600)+1,ROW($T$12))&amp;":T"&amp;(ROW()-1))))),Первоначальный[[#This Row],[Полученный платеж]]+Y600),
AND(S600=0,MAX((0&lt;&gt;N$12:N600)*ROW(N$12:N600),ROW($S$12))&gt;=MAX((1=Z$12:Z600)*ROW(Z$12:Z600),ROW($T$12))),MIN(LOOKUP(,-1/($Z$12:Z601=1),$C$12:C601)+LOOKUP(,-1/($Z$12:Z601=1),$H$12:H601)-IF(N600&lt;&gt;0,0,SUM(INDIRECT("T"&amp;(MAX((0&lt;&gt;N$12:N600)*ROW(N$12:N600)+1,ROW($T$12))&amp;":T"&amp;(ROW()-1))))),Первоначальный[[#This Row],[Полученный платеж]]+Y600),
AND(S600=0,Первоначальный[[#This Row],[Дата платежа из графика]]=1),MIN(LOOKUP(,-1/($Z$12:Z601=1),$C$12:C601)+LOOKUP(,-1/($Z$12:Z601=1),$H$12:H601)-IF(Z600=1,0,SUM(INDIRECT("T"&amp;(MAX((1=Z$12:Z600)*ROW(Z$12:Z600)+1,ROW($T$12))&amp;":T"&amp;(ROW()-1))))),Первоначальный[[#This Row],[Полученный платеж]]+Y600),
AND(Z600&gt;0,Первоначальный[[#This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платеж]]+Y600),
AND(S600&gt;0,MAX((0&lt;&gt;S$12:S600)*ROW(S$12:S600),ROW($S$12))&gt;=MAX((1=Z$12:Z600)*ROW(Z$12:Z600),ROW($T$12)),TYPE(VLOOKUP("Да",(INDIRECT("AA"&amp;(MAX((1=Z$12:Z600)*ROW(Z$12:Z600),ROW($T$12))&amp;":AA"&amp;(ROW()-1)))),1,0))=16),MIN(LOOKUP(,-1/($Z$12:Z601=1),$C$12:C601)+LOOKUP(,-1/($Z$12:Z601=1),$H$12:H601)-SUM(INDIRECT("T"&amp;(MAX((1=Z$12:Z600)*ROW(Z$12:Z600),ROW($T$12))&amp;":T"&amp;(ROW()-1)))),Первоначальный[[#This Row],[Полученный платеж]]+Y600),
S600&gt;0,MIN(LOOKUP(,-1/($Z$12:Z601=1),$C$12:C601)+LOOKUP(,-1/($Z$12:Z601=1),$H$12:H601)-IF(Z600=1,0,SUM(INDIRECT("T"&amp;(MAX((1=Z$12:Z600)*ROW(Z$12:Z600)+1,ROW($T$12))&amp;":T"&amp;(ROW()-1))))),Первоначальный[[#This Row],[Полученный платеж]]+Y600)
)
)
)</f>
        <v>0</v>
      </c>
      <c r="U60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платеж]]+Y600-Первоначальный[[#This Row],[Полученный платёж по процентам]])</f>
        <v>0</v>
      </c>
      <c r="V601" s="55">
        <f t="shared" ca="1" si="109"/>
        <v>0</v>
      </c>
      <c r="W601" s="55" cm="1">
        <f t="array" aca="1" ref="W601" ca="1">IF(Первоначальный[[#This Row],[Итого остаток на начало периода]]&lt;1,0,
_xlfn.IFS(
AND(TYPE(VLOOKUP(1,$Z$12:Z601,1,0))=16,Первоначальный[[#This Row],[Досрочное погашение (да/"")]]=""),0,
AND(S600=0,Первоначальный[[#This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платеж]]+Y600-SUM(Первоначальный[[#This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комиссиям]]),VLOOKUP(LOOKUP(,-1/($Z$12:Z601=1),$A$12:A601),График[[Срок конец]:[Возврат основной суммы долга]],3,0)),
AND(S600=0,Первоначальный[[#This Row],[Дата платежа из графика]]="",Первоначальный[[#This Row],[Досрочное погашение (да/"")]]&lt;&gt;"Да"),0,
AND(S600=0,Первоначальный[[#This Row],[Досрочное погашение (да/"")]]=""),MIN(Первоначальный[[#This Row],[Полученный платеж]]+Y600-SUM(Первоначальный[[#This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комиссиям]]),VLOOKUP(LOOKUP(,-1/($Z$12:Z601=1),$A$12:A601),График[[Срок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платеж]]+Y600-SUM(Первоначальный[[#This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S600&gt;0,MIN(Первоначальный[[#This Row],[Полученный платеж]]+Y600-SUM(Первоначальный[[#This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комиссиям]]),SUM(INDIRECT("M"&amp;(MAX((1=S$12:S600)*ROW(S$12:S600),ROW($W$12))&amp;":M"&amp;(ROW()))))-SUM(INDIRECT("W"&amp;(MAX((1=S$12:S600)*ROW(S$12:S600),ROW($W$12))&amp;":W"&amp;(ROW()-1)))))
)
)</f>
        <v>0</v>
      </c>
      <c r="X601" s="55">
        <f t="shared" ca="1" si="110"/>
        <v>0</v>
      </c>
      <c r="Y601" s="101">
        <f t="shared" ca="1" si="117"/>
        <v>0</v>
      </c>
      <c r="Z601" s="133" t="str">
        <f>IF(TYPE((VLOOKUP(Первоначальный[[#This Row],[Дата платежа]],График[Срок конец],1,0)))=16,"",1)</f>
        <v/>
      </c>
      <c r="AA601" s="57"/>
      <c r="AB601" s="134"/>
      <c r="AC60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0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41892.339999999873</v>
      </c>
      <c r="AE60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1087.5000000000027</v>
      </c>
      <c r="AF60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0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62701.48612950831</v>
      </c>
      <c r="AH601" s="55"/>
      <c r="AI601" s="55"/>
      <c r="AJ601" s="55"/>
      <c r="AK601" s="101">
        <f t="shared" ca="1" si="118"/>
        <v>255314.66612950817</v>
      </c>
      <c r="AL601" s="129">
        <f t="array" ref="AL601">MAX((УслРестрактов[Характеристика]="Дата реструктуризации")*(УслРестрактов[Значение]=Первоначальный!$A601),0)</f>
        <v>0</v>
      </c>
    </row>
    <row r="602" spans="1:38" x14ac:dyDescent="0.25">
      <c r="A602" s="97">
        <f t="shared" si="111"/>
        <v>44733</v>
      </c>
      <c r="B602" s="100">
        <f t="shared" ca="1" si="112"/>
        <v>149633.34</v>
      </c>
      <c r="C602" s="55">
        <f t="shared" ca="1" si="108"/>
        <v>41892.339999999873</v>
      </c>
      <c r="D602" s="55">
        <f t="shared" ca="1" si="108"/>
        <v>1087.5000000000027</v>
      </c>
      <c r="E602" s="55">
        <f t="shared" ca="1" si="113"/>
        <v>0</v>
      </c>
      <c r="F602" s="55">
        <f t="shared" ca="1" si="114"/>
        <v>62701.48612950831</v>
      </c>
      <c r="G602" s="101">
        <f t="shared" ca="1" si="115"/>
        <v>255314.66612950817</v>
      </c>
      <c r="H602" s="100">
        <f ca="1">ROUND($B602*VLOOKUP($A602,$A$1:$B$10,2,1)/(365+IF(MOD(YEAR($A602),4),0,1)*($A602-$A601)),2)-Первоначальный[[#This Row],[Проценты на просроченный платеж по ОД за период]]</f>
        <v>77.11</v>
      </c>
      <c r="I602" s="55">
        <f t="shared" ca="1" si="116"/>
        <v>4.47</v>
      </c>
      <c r="J602" s="55">
        <v>0</v>
      </c>
      <c r="K602" s="55">
        <f t="shared" ca="1" si="119"/>
        <v>246.17850327868845</v>
      </c>
      <c r="L602" s="55">
        <v>0</v>
      </c>
      <c r="M602" s="113">
        <f>SUMIFS(График[Возврат основной суммы долга],График[Дата с учетом нерабочих дней],$A602)</f>
        <v>0</v>
      </c>
      <c r="N602" s="56">
        <f>SUMIFS(График[Возврат начисленных %],График[Дата с учетом нерабочих дней],$A602)</f>
        <v>0</v>
      </c>
      <c r="O602" s="101">
        <v>0</v>
      </c>
      <c r="P602" s="100" cm="1">
        <f t="array" aca="1" ref="P602" ca="1">MAX(IF(AA601="Да",0,SUM(INDIRECT("M"&amp;(MAX(("Да"=AA$12:AA601)*ROW(AA$12:AA601)+1,ROW($P$12))&amp;":M"&amp;(ROW()))))-SUM(INDIRECT("W"&amp;(MAX(("Да"=AA$12:AA601)*ROW(AA$12:AA601)+1,ROW($P$12))&amp;":W"&amp;(ROW()))))),0)</f>
        <v>8193.4399999999987</v>
      </c>
      <c r="Q602" s="99">
        <f ca="1">MAX(SUM($N$13:N602)-SUM($T$13:T602),0)</f>
        <v>41042.260655737693</v>
      </c>
      <c r="R602" s="99">
        <f ca="1">Первоначальный[[#This Row],[Просроченный платеж по ОД]]+Первоначальный[[#This Row],[Просроченный платеж по процентам]]</f>
        <v>49235.700655737688</v>
      </c>
      <c r="S602" s="120">
        <f ca="1">IF(Первоначальный[[#This Row],[Просроченный платеж]]&lt;1,0,S601+1)</f>
        <v>498</v>
      </c>
      <c r="T602" s="100" cm="1">
        <f t="array" aca="1" ref="T602" ca="1">IF(Первоначальный[[#This Row],[Итого остаток на начало периода]]&lt;1,0,
IF(
AND(TYPE(VLOOKUP(1,$Z$12:Z602,1,0))=16,Первоначальный[[#This Row],[Досрочное погашение (да/"")]]=""),0,
_xlfn.IFS(AND(S601=0,Первоначальный[[#This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платеж]]&lt;&gt;0),MIN(LOOKUP(,-1/($Z$12:Z602=1),$C$12:C602)+LOOKUP(,-1/($Z$12:Z602=1),$H$12:H602),Первоначальный[[#This Row],[Полученный платеж]]+Y601),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платеж]]+Y601,SUM(Первоначальный[[#This Row],[Остаток процентов на начало периода]],Первоначальный[[#This Row],[Проценты за период]])),
AND(S601=0,Первоначальный[[#This Row],[Дата платежа из графика]]=""),0,
AND(S601=0,Первоначальный[[#This Row],[Дата платежа из графика]]=1,MAX((0&lt;&gt;S$12:S601)*ROW(S$12:S601),ROW($S$12))&gt;=MAX((1=Z$12:Z601)*ROW(Z$12:Z601),ROW($T$12)),TYPE(VLOOKUP("Да",(INDIRECT("AA"&amp;(MAX((1=Z$12:Z601)*ROW(Z$12:Z601),ROW($T$12))&amp;":AA"&amp;(ROW()-1)))),1,0))=16),MIN(LOOKUP(,-1/($Z$12:Z602=1),$C$12:C602)+LOOKUP(,-1/($Z$12:Z602=1),$H$12:H602),Первоначальный[[#This Row],[Полученный платеж]]+Y601),
AND(S601=0,TYPE(VLOOKUP("Да",(INDIRECT("AA"&amp;(MAX((1=Z$12:Z601)*ROW(Z$12:Z601),ROW($T$12))&amp;":AA"&amp;(ROW()-1)))),1,0))&lt;&gt;16),MIN(LOOKUP(,-1/($Z$12:Z602=1),$C$12:C602)+LOOKUP(,-1/($Z$12:Z602=1),$H$12:H602)-IF(AA601="Да",0,SUM(INDIRECT("T"&amp;(MAX(("Да"=AA$12:AA601)*ROW(AA$12:AA601)+1,ROW($T$12))&amp;":T"&amp;(ROW()-1))))),Первоначальный[[#This Row],[Полученный платеж]]+Y601),
AND(S601=0,MAX((0&lt;&gt;N$12:N601)*ROW(N$12:N601),ROW($S$12))&gt;=MAX((1=Z$12:Z601)*ROW(Z$12:Z601),ROW($T$12))),MIN(LOOKUP(,-1/($Z$12:Z602=1),$C$12:C602)+LOOKUP(,-1/($Z$12:Z602=1),$H$12:H602)-IF(N601&lt;&gt;0,0,SUM(INDIRECT("T"&amp;(MAX((0&lt;&gt;N$12:N601)*ROW(N$12:N601)+1,ROW($T$12))&amp;":T"&amp;(ROW()-1))))),Первоначальный[[#This Row],[Полученный платеж]]+Y601),
AND(S601=0,Первоначальный[[#This Row],[Дата платежа из графика]]=1),MIN(LOOKUP(,-1/($Z$12:Z602=1),$C$12:C602)+LOOKUP(,-1/($Z$12:Z602=1),$H$12:H602)-IF(Z601=1,0,SUM(INDIRECT("T"&amp;(MAX((1=Z$12:Z601)*ROW(Z$12:Z601)+1,ROW($T$12))&amp;":T"&amp;(ROW()-1))))),Первоначальный[[#This Row],[Полученный платеж]]+Y601),
AND(Z601&gt;0,Первоначальный[[#This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платеж]]+Y601),
AND(S601&gt;0,MAX((0&lt;&gt;S$12:S601)*ROW(S$12:S601),ROW($S$12))&gt;=MAX((1=Z$12:Z601)*ROW(Z$12:Z601),ROW($T$12)),TYPE(VLOOKUP("Да",(INDIRECT("AA"&amp;(MAX((1=Z$12:Z601)*ROW(Z$12:Z601),ROW($T$12))&amp;":AA"&amp;(ROW()-1)))),1,0))=16),MIN(LOOKUP(,-1/($Z$12:Z602=1),$C$12:C602)+LOOKUP(,-1/($Z$12:Z602=1),$H$12:H602)-SUM(INDIRECT("T"&amp;(MAX((1=Z$12:Z601)*ROW(Z$12:Z601),ROW($T$12))&amp;":T"&amp;(ROW()-1)))),Первоначальный[[#This Row],[Полученный платеж]]+Y601),
S601&gt;0,MIN(LOOKUP(,-1/($Z$12:Z602=1),$C$12:C602)+LOOKUP(,-1/($Z$12:Z602=1),$H$12:H602)-IF(Z601=1,0,SUM(INDIRECT("T"&amp;(MAX((1=Z$12:Z601)*ROW(Z$12:Z601)+1,ROW($T$12))&amp;":T"&amp;(ROW()-1))))),Первоначальный[[#This Row],[Полученный платеж]]+Y601)
)
)
)</f>
        <v>0</v>
      </c>
      <c r="U60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платеж]]+Y601-Первоначальный[[#This Row],[Полученный платёж по процентам]])</f>
        <v>0</v>
      </c>
      <c r="V602" s="55">
        <f t="shared" ca="1" si="109"/>
        <v>0</v>
      </c>
      <c r="W602" s="55" cm="1">
        <f t="array" aca="1" ref="W602" ca="1">IF(Первоначальный[[#This Row],[Итого остаток на начало периода]]&lt;1,0,
_xlfn.IFS(
AND(TYPE(VLOOKUP(1,$Z$12:Z602,1,0))=16,Первоначальный[[#This Row],[Досрочное погашение (да/"")]]=""),0,
AND(S601=0,Первоначальный[[#This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платеж]]+Y601-SUM(Первоначальный[[#This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комиссиям]]),VLOOKUP(LOOKUP(,-1/($Z$12:Z602=1),$A$12:A602),График[[Срок конец]:[Возврат основной суммы долга]],3,0)),
AND(S601=0,Первоначальный[[#This Row],[Дата платежа из графика]]="",Первоначальный[[#This Row],[Досрочное погашение (да/"")]]&lt;&gt;"Да"),0,
AND(S601=0,Первоначальный[[#This Row],[Досрочное погашение (да/"")]]=""),MIN(Первоначальный[[#This Row],[Полученный платеж]]+Y601-SUM(Первоначальный[[#This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комиссиям]]),VLOOKUP(LOOKUP(,-1/($Z$12:Z602=1),$A$12:A602),График[[Срок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платеж]]+Y601-SUM(Первоначальный[[#This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S601&gt;0,MIN(Первоначальный[[#This Row],[Полученный платеж]]+Y601-SUM(Первоначальный[[#This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комиссиям]]),SUM(INDIRECT("M"&amp;(MAX((1=S$12:S601)*ROW(S$12:S601),ROW($W$12))&amp;":M"&amp;(ROW()))))-SUM(INDIRECT("W"&amp;(MAX((1=S$12:S601)*ROW(S$12:S601),ROW($W$12))&amp;":W"&amp;(ROW()-1)))))
)
)</f>
        <v>0</v>
      </c>
      <c r="X602" s="55">
        <f t="shared" ca="1" si="110"/>
        <v>0</v>
      </c>
      <c r="Y602" s="101">
        <f t="shared" ca="1" si="117"/>
        <v>0</v>
      </c>
      <c r="Z602" s="133" t="str">
        <f>IF(TYPE((VLOOKUP(Первоначальный[[#This Row],[Дата платежа]],График[Срок конец],1,0)))=16,"",1)</f>
        <v/>
      </c>
      <c r="AA602" s="57"/>
      <c r="AB602" s="134"/>
      <c r="AC60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0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41969.449999999873</v>
      </c>
      <c r="AE60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1091.9700000000028</v>
      </c>
      <c r="AF60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0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62947.664632786997</v>
      </c>
      <c r="AH602" s="55"/>
      <c r="AI602" s="55"/>
      <c r="AJ602" s="55"/>
      <c r="AK602" s="101">
        <f t="shared" ca="1" si="118"/>
        <v>255642.42463278686</v>
      </c>
      <c r="AL602" s="129">
        <f t="array" ref="AL602">MAX((УслРестрактов[Характеристика]="Дата реструктуризации")*(УслРестрактов[Значение]=Первоначальный!$A602),0)</f>
        <v>0</v>
      </c>
    </row>
    <row r="603" spans="1:38" x14ac:dyDescent="0.25">
      <c r="A603" s="97">
        <f t="shared" si="111"/>
        <v>44734</v>
      </c>
      <c r="B603" s="100">
        <f t="shared" ca="1" si="112"/>
        <v>149633.34</v>
      </c>
      <c r="C603" s="55">
        <f t="shared" ca="1" si="108"/>
        <v>41969.449999999873</v>
      </c>
      <c r="D603" s="55">
        <f t="shared" ca="1" si="108"/>
        <v>1091.9700000000028</v>
      </c>
      <c r="E603" s="55">
        <f t="shared" ca="1" si="113"/>
        <v>0</v>
      </c>
      <c r="F603" s="55">
        <f t="shared" ca="1" si="114"/>
        <v>62947.664632786997</v>
      </c>
      <c r="G603" s="101">
        <f t="shared" ca="1" si="115"/>
        <v>255642.42463278686</v>
      </c>
      <c r="H603" s="100">
        <f ca="1">ROUND($B603*VLOOKUP($A603,$A$1:$B$10,2,1)/(365+IF(MOD(YEAR($A603),4),0,1)*($A603-$A602)),2)-Первоначальный[[#This Row],[Проценты на просроченный платеж по ОД за период]]</f>
        <v>77.11</v>
      </c>
      <c r="I603" s="55">
        <f t="shared" ca="1" si="116"/>
        <v>4.47</v>
      </c>
      <c r="J603" s="55">
        <v>0</v>
      </c>
      <c r="K603" s="55">
        <f t="shared" ca="1" si="119"/>
        <v>246.17850327868845</v>
      </c>
      <c r="L603" s="55">
        <v>0</v>
      </c>
      <c r="M603" s="113">
        <f>SUMIFS(График[Возврат основной суммы долга],График[Дата с учетом нерабочих дней],$A603)</f>
        <v>0</v>
      </c>
      <c r="N603" s="56">
        <f>SUMIFS(График[Возврат начисленных %],График[Дата с учетом нерабочих дней],$A603)</f>
        <v>0</v>
      </c>
      <c r="O603" s="101">
        <v>0</v>
      </c>
      <c r="P603" s="100" cm="1">
        <f t="array" aca="1" ref="P603" ca="1">MAX(IF(AA602="Да",0,SUM(INDIRECT("M"&amp;(MAX(("Да"=AA$12:AA602)*ROW(AA$12:AA602)+1,ROW($P$12))&amp;":M"&amp;(ROW()))))-SUM(INDIRECT("W"&amp;(MAX(("Да"=AA$12:AA602)*ROW(AA$12:AA602)+1,ROW($P$12))&amp;":W"&amp;(ROW()))))),0)</f>
        <v>8193.4399999999987</v>
      </c>
      <c r="Q603" s="99">
        <f ca="1">MAX(SUM($N$13:N603)-SUM($T$13:T603),0)</f>
        <v>41042.260655737693</v>
      </c>
      <c r="R603" s="99">
        <f ca="1">Первоначальный[[#This Row],[Просроченный платеж по ОД]]+Первоначальный[[#This Row],[Просроченный платеж по процентам]]</f>
        <v>49235.700655737688</v>
      </c>
      <c r="S603" s="120">
        <f ca="1">IF(Первоначальный[[#This Row],[Просроченный платеж]]&lt;1,0,S602+1)</f>
        <v>499</v>
      </c>
      <c r="T603" s="100" cm="1">
        <f t="array" aca="1" ref="T603" ca="1">IF(Первоначальный[[#This Row],[Итого остаток на начало периода]]&lt;1,0,
IF(
AND(TYPE(VLOOKUP(1,$Z$12:Z603,1,0))=16,Первоначальный[[#This Row],[Досрочное погашение (да/"")]]=""),0,
_xlfn.IFS(AND(S602=0,Первоначальный[[#This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платеж]]&lt;&gt;0),MIN(LOOKUP(,-1/($Z$12:Z603=1),$C$12:C603)+LOOKUP(,-1/($Z$12:Z603=1),$H$12:H603),Первоначальный[[#This Row],[Полученный платеж]]+Y602),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платеж]]+Y602,SUM(Первоначальный[[#This Row],[Остаток процентов на начало периода]],Первоначальный[[#This Row],[Проценты за период]])),
AND(S602=0,Первоначальный[[#This Row],[Дата платежа из графика]]=""),0,
AND(S602=0,Первоначальный[[#This Row],[Дата платежа из графика]]=1,MAX((0&lt;&gt;S$12:S602)*ROW(S$12:S602),ROW($S$12))&gt;=MAX((1=Z$12:Z602)*ROW(Z$12:Z602),ROW($T$12)),TYPE(VLOOKUP("Да",(INDIRECT("AA"&amp;(MAX((1=Z$12:Z602)*ROW(Z$12:Z602),ROW($T$12))&amp;":AA"&amp;(ROW()-1)))),1,0))=16),MIN(LOOKUP(,-1/($Z$12:Z603=1),$C$12:C603)+LOOKUP(,-1/($Z$12:Z603=1),$H$12:H603),Первоначальный[[#This Row],[Полученный платеж]]+Y602),
AND(S602=0,TYPE(VLOOKUP("Да",(INDIRECT("AA"&amp;(MAX((1=Z$12:Z602)*ROW(Z$12:Z602),ROW($T$12))&amp;":AA"&amp;(ROW()-1)))),1,0))&lt;&gt;16),MIN(LOOKUP(,-1/($Z$12:Z603=1),$C$12:C603)+LOOKUP(,-1/($Z$12:Z603=1),$H$12:H603)-IF(AA602="Да",0,SUM(INDIRECT("T"&amp;(MAX(("Да"=AA$12:AA602)*ROW(AA$12:AA602)+1,ROW($T$12))&amp;":T"&amp;(ROW()-1))))),Первоначальный[[#This Row],[Полученный платеж]]+Y602),
AND(S602=0,MAX((0&lt;&gt;N$12:N602)*ROW(N$12:N602),ROW($S$12))&gt;=MAX((1=Z$12:Z602)*ROW(Z$12:Z602),ROW($T$12))),MIN(LOOKUP(,-1/($Z$12:Z603=1),$C$12:C603)+LOOKUP(,-1/($Z$12:Z603=1),$H$12:H603)-IF(N602&lt;&gt;0,0,SUM(INDIRECT("T"&amp;(MAX((0&lt;&gt;N$12:N602)*ROW(N$12:N602)+1,ROW($T$12))&amp;":T"&amp;(ROW()-1))))),Первоначальный[[#This Row],[Полученный платеж]]+Y602),
AND(S602=0,Первоначальный[[#This Row],[Дата платежа из графика]]=1),MIN(LOOKUP(,-1/($Z$12:Z603=1),$C$12:C603)+LOOKUP(,-1/($Z$12:Z603=1),$H$12:H603)-IF(Z602=1,0,SUM(INDIRECT("T"&amp;(MAX((1=Z$12:Z602)*ROW(Z$12:Z602)+1,ROW($T$12))&amp;":T"&amp;(ROW()-1))))),Первоначальный[[#This Row],[Полученный платеж]]+Y602),
AND(Z602&gt;0,Первоначальный[[#This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платеж]]+Y602),
AND(S602&gt;0,MAX((0&lt;&gt;S$12:S602)*ROW(S$12:S602),ROW($S$12))&gt;=MAX((1=Z$12:Z602)*ROW(Z$12:Z602),ROW($T$12)),TYPE(VLOOKUP("Да",(INDIRECT("AA"&amp;(MAX((1=Z$12:Z602)*ROW(Z$12:Z602),ROW($T$12))&amp;":AA"&amp;(ROW()-1)))),1,0))=16),MIN(LOOKUP(,-1/($Z$12:Z603=1),$C$12:C603)+LOOKUP(,-1/($Z$12:Z603=1),$H$12:H603)-SUM(INDIRECT("T"&amp;(MAX((1=Z$12:Z602)*ROW(Z$12:Z602),ROW($T$12))&amp;":T"&amp;(ROW()-1)))),Первоначальный[[#This Row],[Полученный платеж]]+Y602),
S602&gt;0,MIN(LOOKUP(,-1/($Z$12:Z603=1),$C$12:C603)+LOOKUP(,-1/($Z$12:Z603=1),$H$12:H603)-IF(Z602=1,0,SUM(INDIRECT("T"&amp;(MAX((1=Z$12:Z602)*ROW(Z$12:Z602)+1,ROW($T$12))&amp;":T"&amp;(ROW()-1))))),Первоначальный[[#This Row],[Полученный платеж]]+Y602)
)
)
)</f>
        <v>0</v>
      </c>
      <c r="U60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платеж]]+Y602-Первоначальный[[#This Row],[Полученный платёж по процентам]])</f>
        <v>0</v>
      </c>
      <c r="V603" s="55">
        <f t="shared" ca="1" si="109"/>
        <v>0</v>
      </c>
      <c r="W603" s="55" cm="1">
        <f t="array" aca="1" ref="W603" ca="1">IF(Первоначальный[[#This Row],[Итого остаток на начало периода]]&lt;1,0,
_xlfn.IFS(
AND(TYPE(VLOOKUP(1,$Z$12:Z603,1,0))=16,Первоначальный[[#This Row],[Досрочное погашение (да/"")]]=""),0,
AND(S602=0,Первоначальный[[#This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платеж]]+Y602-SUM(Первоначальный[[#This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комиссиям]]),VLOOKUP(LOOKUP(,-1/($Z$12:Z603=1),$A$12:A603),График[[Срок конец]:[Возврат основной суммы долга]],3,0)),
AND(S602=0,Первоначальный[[#This Row],[Дата платежа из графика]]="",Первоначальный[[#This Row],[Досрочное погашение (да/"")]]&lt;&gt;"Да"),0,
AND(S602=0,Первоначальный[[#This Row],[Досрочное погашение (да/"")]]=""),MIN(Первоначальный[[#This Row],[Полученный платеж]]+Y602-SUM(Первоначальный[[#This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комиссиям]]),VLOOKUP(LOOKUP(,-1/($Z$12:Z603=1),$A$12:A603),График[[Срок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платеж]]+Y602-SUM(Первоначальный[[#This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S602&gt;0,MIN(Первоначальный[[#This Row],[Полученный платеж]]+Y602-SUM(Первоначальный[[#This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комиссиям]]),SUM(INDIRECT("M"&amp;(MAX((1=S$12:S602)*ROW(S$12:S602),ROW($W$12))&amp;":M"&amp;(ROW()))))-SUM(INDIRECT("W"&amp;(MAX((1=S$12:S602)*ROW(S$12:S602),ROW($W$12))&amp;":W"&amp;(ROW()-1)))))
)
)</f>
        <v>0</v>
      </c>
      <c r="X603" s="55">
        <f t="shared" ca="1" si="110"/>
        <v>0</v>
      </c>
      <c r="Y603" s="101">
        <f t="shared" ca="1" si="117"/>
        <v>0</v>
      </c>
      <c r="Z603" s="133" t="str">
        <f>IF(TYPE((VLOOKUP(Первоначальный[[#This Row],[Дата платежа]],График[Срок конец],1,0)))=16,"",1)</f>
        <v/>
      </c>
      <c r="AA603" s="57"/>
      <c r="AB603" s="134"/>
      <c r="AC60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0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42046.559999999874</v>
      </c>
      <c r="AE60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1096.4400000000028</v>
      </c>
      <c r="AF60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0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63193.843136065683</v>
      </c>
      <c r="AH603" s="55"/>
      <c r="AI603" s="55"/>
      <c r="AJ603" s="55"/>
      <c r="AK603" s="101">
        <f t="shared" ca="1" si="118"/>
        <v>255970.18313606555</v>
      </c>
      <c r="AL603" s="129">
        <f t="array" ref="AL603">MAX((УслРестрактов[Характеристика]="Дата реструктуризации")*(УслРестрактов[Значение]=Первоначальный!$A603),0)</f>
        <v>0</v>
      </c>
    </row>
    <row r="604" spans="1:38" x14ac:dyDescent="0.25">
      <c r="A604" s="97">
        <f t="shared" si="111"/>
        <v>44735</v>
      </c>
      <c r="B604" s="100">
        <f t="shared" ca="1" si="112"/>
        <v>149633.34</v>
      </c>
      <c r="C604" s="55">
        <f t="shared" ca="1" si="108"/>
        <v>42046.559999999874</v>
      </c>
      <c r="D604" s="55">
        <f t="shared" ca="1" si="108"/>
        <v>1096.4400000000028</v>
      </c>
      <c r="E604" s="55">
        <f t="shared" ca="1" si="113"/>
        <v>0</v>
      </c>
      <c r="F604" s="55">
        <f t="shared" ca="1" si="114"/>
        <v>63193.843136065683</v>
      </c>
      <c r="G604" s="101">
        <f t="shared" ca="1" si="115"/>
        <v>255970.18313606555</v>
      </c>
      <c r="H604" s="100">
        <f ca="1">ROUND($B604*VLOOKUP($A604,$A$1:$B$10,2,1)/(365+IF(MOD(YEAR($A604),4),0,1)*($A604-$A603)),2)-Первоначальный[[#This Row],[Проценты на просроченный платеж по ОД за период]]</f>
        <v>77.11</v>
      </c>
      <c r="I604" s="55">
        <f t="shared" ca="1" si="116"/>
        <v>4.47</v>
      </c>
      <c r="J604" s="55">
        <v>0</v>
      </c>
      <c r="K604" s="55">
        <f t="shared" ca="1" si="119"/>
        <v>246.17850327868845</v>
      </c>
      <c r="L604" s="55">
        <v>0</v>
      </c>
      <c r="M604" s="113">
        <f>SUMIFS(График[Возврат основной суммы долга],График[Дата с учетом нерабочих дней],$A604)</f>
        <v>0</v>
      </c>
      <c r="N604" s="56">
        <f>SUMIFS(График[Возврат начисленных %],График[Дата с учетом нерабочих дней],$A604)</f>
        <v>0</v>
      </c>
      <c r="O604" s="101">
        <v>0</v>
      </c>
      <c r="P604" s="100" cm="1">
        <f t="array" aca="1" ref="P604" ca="1">MAX(IF(AA603="Да",0,SUM(INDIRECT("M"&amp;(MAX(("Да"=AA$12:AA603)*ROW(AA$12:AA603)+1,ROW($P$12))&amp;":M"&amp;(ROW()))))-SUM(INDIRECT("W"&amp;(MAX(("Да"=AA$12:AA603)*ROW(AA$12:AA603)+1,ROW($P$12))&amp;":W"&amp;(ROW()))))),0)</f>
        <v>8193.4399999999987</v>
      </c>
      <c r="Q604" s="99">
        <f ca="1">MAX(SUM($N$13:N604)-SUM($T$13:T604),0)</f>
        <v>41042.260655737693</v>
      </c>
      <c r="R604" s="99">
        <f ca="1">Первоначальный[[#This Row],[Просроченный платеж по ОД]]+Первоначальный[[#This Row],[Просроченный платеж по процентам]]</f>
        <v>49235.700655737688</v>
      </c>
      <c r="S604" s="120">
        <f ca="1">IF(Первоначальный[[#This Row],[Просроченный платеж]]&lt;1,0,S603+1)</f>
        <v>500</v>
      </c>
      <c r="T604" s="100" cm="1">
        <f t="array" aca="1" ref="T604" ca="1">IF(Первоначальный[[#This Row],[Итого остаток на начало периода]]&lt;1,0,
IF(
AND(TYPE(VLOOKUP(1,$Z$12:Z604,1,0))=16,Первоначальный[[#This Row],[Досрочное погашение (да/"")]]=""),0,
_xlfn.IFS(AND(S603=0,Первоначальный[[#This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платеж]]&lt;&gt;0),MIN(LOOKUP(,-1/($Z$12:Z604=1),$C$12:C604)+LOOKUP(,-1/($Z$12:Z604=1),$H$12:H604),Первоначальный[[#This Row],[Полученный платеж]]+Y603),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платеж]]+Y603,SUM(Первоначальный[[#This Row],[Остаток процентов на начало периода]],Первоначальный[[#This Row],[Проценты за период]])),
AND(S603=0,Первоначальный[[#This Row],[Дата платежа из графика]]=""),0,
AND(S603=0,Первоначальный[[#This Row],[Дата платежа из графика]]=1,MAX((0&lt;&gt;S$12:S603)*ROW(S$12:S603),ROW($S$12))&gt;=MAX((1=Z$12:Z603)*ROW(Z$12:Z603),ROW($T$12)),TYPE(VLOOKUP("Да",(INDIRECT("AA"&amp;(MAX((1=Z$12:Z603)*ROW(Z$12:Z603),ROW($T$12))&amp;":AA"&amp;(ROW()-1)))),1,0))=16),MIN(LOOKUP(,-1/($Z$12:Z604=1),$C$12:C604)+LOOKUP(,-1/($Z$12:Z604=1),$H$12:H604),Первоначальный[[#This Row],[Полученный платеж]]+Y603),
AND(S603=0,TYPE(VLOOKUP("Да",(INDIRECT("AA"&amp;(MAX((1=Z$12:Z603)*ROW(Z$12:Z603),ROW($T$12))&amp;":AA"&amp;(ROW()-1)))),1,0))&lt;&gt;16),MIN(LOOKUP(,-1/($Z$12:Z604=1),$C$12:C604)+LOOKUP(,-1/($Z$12:Z604=1),$H$12:H604)-IF(AA603="Да",0,SUM(INDIRECT("T"&amp;(MAX(("Да"=AA$12:AA603)*ROW(AA$12:AA603)+1,ROW($T$12))&amp;":T"&amp;(ROW()-1))))),Первоначальный[[#This Row],[Полученный платеж]]+Y603),
AND(S603=0,MAX((0&lt;&gt;N$12:N603)*ROW(N$12:N603),ROW($S$12))&gt;=MAX((1=Z$12:Z603)*ROW(Z$12:Z603),ROW($T$12))),MIN(LOOKUP(,-1/($Z$12:Z604=1),$C$12:C604)+LOOKUP(,-1/($Z$12:Z604=1),$H$12:H604)-IF(N603&lt;&gt;0,0,SUM(INDIRECT("T"&amp;(MAX((0&lt;&gt;N$12:N603)*ROW(N$12:N603)+1,ROW($T$12))&amp;":T"&amp;(ROW()-1))))),Первоначальный[[#This Row],[Полученный платеж]]+Y603),
AND(S603=0,Первоначальный[[#This Row],[Дата платежа из графика]]=1),MIN(LOOKUP(,-1/($Z$12:Z604=1),$C$12:C604)+LOOKUP(,-1/($Z$12:Z604=1),$H$12:H604)-IF(Z603=1,0,SUM(INDIRECT("T"&amp;(MAX((1=Z$12:Z603)*ROW(Z$12:Z603)+1,ROW($T$12))&amp;":T"&amp;(ROW()-1))))),Первоначальный[[#This Row],[Полученный платеж]]+Y603),
AND(Z603&gt;0,Первоначальный[[#This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платеж]]+Y603),
AND(S603&gt;0,MAX((0&lt;&gt;S$12:S603)*ROW(S$12:S603),ROW($S$12))&gt;=MAX((1=Z$12:Z603)*ROW(Z$12:Z603),ROW($T$12)),TYPE(VLOOKUP("Да",(INDIRECT("AA"&amp;(MAX((1=Z$12:Z603)*ROW(Z$12:Z603),ROW($T$12))&amp;":AA"&amp;(ROW()-1)))),1,0))=16),MIN(LOOKUP(,-1/($Z$12:Z604=1),$C$12:C604)+LOOKUP(,-1/($Z$12:Z604=1),$H$12:H604)-SUM(INDIRECT("T"&amp;(MAX((1=Z$12:Z603)*ROW(Z$12:Z603),ROW($T$12))&amp;":T"&amp;(ROW()-1)))),Первоначальный[[#This Row],[Полученный платеж]]+Y603),
S603&gt;0,MIN(LOOKUP(,-1/($Z$12:Z604=1),$C$12:C604)+LOOKUP(,-1/($Z$12:Z604=1),$H$12:H604)-IF(Z603=1,0,SUM(INDIRECT("T"&amp;(MAX((1=Z$12:Z603)*ROW(Z$12:Z603)+1,ROW($T$12))&amp;":T"&amp;(ROW()-1))))),Первоначальный[[#This Row],[Полученный платеж]]+Y603)
)
)
)</f>
        <v>0</v>
      </c>
      <c r="U60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платеж]]+Y603-Первоначальный[[#This Row],[Полученный платёж по процентам]])</f>
        <v>0</v>
      </c>
      <c r="V604" s="55">
        <f t="shared" ca="1" si="109"/>
        <v>0</v>
      </c>
      <c r="W604" s="55" cm="1">
        <f t="array" aca="1" ref="W604" ca="1">IF(Первоначальный[[#This Row],[Итого остаток на начало периода]]&lt;1,0,
_xlfn.IFS(
AND(TYPE(VLOOKUP(1,$Z$12:Z604,1,0))=16,Первоначальный[[#This Row],[Досрочное погашение (да/"")]]=""),0,
AND(S603=0,Первоначальный[[#This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платеж]]+Y603-SUM(Первоначальный[[#This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комиссиям]]),VLOOKUP(LOOKUP(,-1/($Z$12:Z604=1),$A$12:A604),График[[Срок конец]:[Возврат основной суммы долга]],3,0)),
AND(S603=0,Первоначальный[[#This Row],[Дата платежа из графика]]="",Первоначальный[[#This Row],[Досрочное погашение (да/"")]]&lt;&gt;"Да"),0,
AND(S603=0,Первоначальный[[#This Row],[Досрочное погашение (да/"")]]=""),MIN(Первоначальный[[#This Row],[Полученный платеж]]+Y603-SUM(Первоначальный[[#This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комиссиям]]),VLOOKUP(LOOKUP(,-1/($Z$12:Z604=1),$A$12:A604),График[[Срок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платеж]]+Y603-SUM(Первоначальный[[#This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S603&gt;0,MIN(Первоначальный[[#This Row],[Полученный платеж]]+Y603-SUM(Первоначальный[[#This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комиссиям]]),SUM(INDIRECT("M"&amp;(MAX((1=S$12:S603)*ROW(S$12:S603),ROW($W$12))&amp;":M"&amp;(ROW()))))-SUM(INDIRECT("W"&amp;(MAX((1=S$12:S603)*ROW(S$12:S603),ROW($W$12))&amp;":W"&amp;(ROW()-1)))))
)
)</f>
        <v>0</v>
      </c>
      <c r="X604" s="55">
        <f t="shared" ca="1" si="110"/>
        <v>0</v>
      </c>
      <c r="Y604" s="101">
        <f t="shared" ca="1" si="117"/>
        <v>0</v>
      </c>
      <c r="Z604" s="133" t="str">
        <f>IF(TYPE((VLOOKUP(Первоначальный[[#This Row],[Дата платежа]],График[Срок конец],1,0)))=16,"",1)</f>
        <v/>
      </c>
      <c r="AA604" s="57"/>
      <c r="AB604" s="134"/>
      <c r="AC60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0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42123.669999999875</v>
      </c>
      <c r="AE60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1100.9100000000028</v>
      </c>
      <c r="AF60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0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63440.02163934437</v>
      </c>
      <c r="AH604" s="55"/>
      <c r="AI604" s="55"/>
      <c r="AJ604" s="55"/>
      <c r="AK604" s="101">
        <f t="shared" ca="1" si="118"/>
        <v>256297.94163934424</v>
      </c>
      <c r="AL604" s="129">
        <f t="array" ref="AL604">MAX((УслРестрактов[Характеристика]="Дата реструктуризации")*(УслРестрактов[Значение]=Первоначальный!$A604),0)</f>
        <v>0</v>
      </c>
    </row>
    <row r="605" spans="1:38" x14ac:dyDescent="0.25">
      <c r="A605" s="97">
        <f t="shared" si="111"/>
        <v>44736</v>
      </c>
      <c r="B605" s="100">
        <f t="shared" ca="1" si="112"/>
        <v>149633.34</v>
      </c>
      <c r="C605" s="55">
        <f t="shared" ref="C605:D668" ca="1" si="120">AD604+AI604</f>
        <v>42123.669999999875</v>
      </c>
      <c r="D605" s="55">
        <f t="shared" ca="1" si="120"/>
        <v>1100.9100000000028</v>
      </c>
      <c r="E605" s="55">
        <f t="shared" ca="1" si="113"/>
        <v>0</v>
      </c>
      <c r="F605" s="55">
        <f t="shared" ca="1" si="114"/>
        <v>63440.02163934437</v>
      </c>
      <c r="G605" s="101">
        <f t="shared" ca="1" si="115"/>
        <v>256297.94163934424</v>
      </c>
      <c r="H605" s="100">
        <f ca="1">ROUND($B605*VLOOKUP($A605,$A$1:$B$10,2,1)/(365+IF(MOD(YEAR($A605),4),0,1)*($A605-$A604)),2)-Первоначальный[[#This Row],[Проценты на просроченный платеж по ОД за период]]</f>
        <v>77.11</v>
      </c>
      <c r="I605" s="55">
        <f t="shared" ca="1" si="116"/>
        <v>4.47</v>
      </c>
      <c r="J605" s="55">
        <v>0</v>
      </c>
      <c r="K605" s="55">
        <f t="shared" ca="1" si="119"/>
        <v>246.17850327868845</v>
      </c>
      <c r="L605" s="55">
        <v>0</v>
      </c>
      <c r="M605" s="113">
        <f>SUMIFS(График[Возврат основной суммы долга],График[Дата с учетом нерабочих дней],$A605)</f>
        <v>0</v>
      </c>
      <c r="N605" s="56">
        <f>SUMIFS(График[Возврат начисленных %],График[Дата с учетом нерабочих дней],$A605)</f>
        <v>0</v>
      </c>
      <c r="O605" s="101">
        <v>0</v>
      </c>
      <c r="P605" s="100" cm="1">
        <f t="array" aca="1" ref="P605" ca="1">MAX(IF(AA604="Да",0,SUM(INDIRECT("M"&amp;(MAX(("Да"=AA$12:AA604)*ROW(AA$12:AA604)+1,ROW($P$12))&amp;":M"&amp;(ROW()))))-SUM(INDIRECT("W"&amp;(MAX(("Да"=AA$12:AA604)*ROW(AA$12:AA604)+1,ROW($P$12))&amp;":W"&amp;(ROW()))))),0)</f>
        <v>8193.4399999999987</v>
      </c>
      <c r="Q605" s="99">
        <f ca="1">MAX(SUM($N$13:N605)-SUM($T$13:T605),0)</f>
        <v>41042.260655737693</v>
      </c>
      <c r="R605" s="99">
        <f ca="1">Первоначальный[[#This Row],[Просроченный платеж по ОД]]+Первоначальный[[#This Row],[Просроченный платеж по процентам]]</f>
        <v>49235.700655737688</v>
      </c>
      <c r="S605" s="120">
        <f ca="1">IF(Первоначальный[[#This Row],[Просроченный платеж]]&lt;1,0,S604+1)</f>
        <v>501</v>
      </c>
      <c r="T605" s="100" cm="1">
        <f t="array" aca="1" ref="T605" ca="1">IF(Первоначальный[[#This Row],[Итого остаток на начало периода]]&lt;1,0,
IF(
AND(TYPE(VLOOKUP(1,$Z$12:Z605,1,0))=16,Первоначальный[[#This Row],[Досрочное погашение (да/"")]]=""),0,
_xlfn.IFS(AND(S604=0,Первоначальный[[#This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платеж]]&lt;&gt;0),MIN(LOOKUP(,-1/($Z$12:Z605=1),$C$12:C605)+LOOKUP(,-1/($Z$12:Z605=1),$H$12:H605),Первоначальный[[#This Row],[Полученный платеж]]+Y604),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платеж]]+Y604,SUM(Первоначальный[[#This Row],[Остаток процентов на начало периода]],Первоначальный[[#This Row],[Проценты за период]])),
AND(S604=0,Первоначальный[[#This Row],[Дата платежа из графика]]=""),0,
AND(S604=0,Первоначальный[[#This Row],[Дата платежа из графика]]=1,MAX((0&lt;&gt;S$12:S604)*ROW(S$12:S604),ROW($S$12))&gt;=MAX((1=Z$12:Z604)*ROW(Z$12:Z604),ROW($T$12)),TYPE(VLOOKUP("Да",(INDIRECT("AA"&amp;(MAX((1=Z$12:Z604)*ROW(Z$12:Z604),ROW($T$12))&amp;":AA"&amp;(ROW()-1)))),1,0))=16),MIN(LOOKUP(,-1/($Z$12:Z605=1),$C$12:C605)+LOOKUP(,-1/($Z$12:Z605=1),$H$12:H605),Первоначальный[[#This Row],[Полученный платеж]]+Y604),
AND(S604=0,TYPE(VLOOKUP("Да",(INDIRECT("AA"&amp;(MAX((1=Z$12:Z604)*ROW(Z$12:Z604),ROW($T$12))&amp;":AA"&amp;(ROW()-1)))),1,0))&lt;&gt;16),MIN(LOOKUP(,-1/($Z$12:Z605=1),$C$12:C605)+LOOKUP(,-1/($Z$12:Z605=1),$H$12:H605)-IF(AA604="Да",0,SUM(INDIRECT("T"&amp;(MAX(("Да"=AA$12:AA604)*ROW(AA$12:AA604)+1,ROW($T$12))&amp;":T"&amp;(ROW()-1))))),Первоначальный[[#This Row],[Полученный платеж]]+Y604),
AND(S604=0,MAX((0&lt;&gt;N$12:N604)*ROW(N$12:N604),ROW($S$12))&gt;=MAX((1=Z$12:Z604)*ROW(Z$12:Z604),ROW($T$12))),MIN(LOOKUP(,-1/($Z$12:Z605=1),$C$12:C605)+LOOKUP(,-1/($Z$12:Z605=1),$H$12:H605)-IF(N604&lt;&gt;0,0,SUM(INDIRECT("T"&amp;(MAX((0&lt;&gt;N$12:N604)*ROW(N$12:N604)+1,ROW($T$12))&amp;":T"&amp;(ROW()-1))))),Первоначальный[[#This Row],[Полученный платеж]]+Y604),
AND(S604=0,Первоначальный[[#This Row],[Дата платежа из графика]]=1),MIN(LOOKUP(,-1/($Z$12:Z605=1),$C$12:C605)+LOOKUP(,-1/($Z$12:Z605=1),$H$12:H605)-IF(Z604=1,0,SUM(INDIRECT("T"&amp;(MAX((1=Z$12:Z604)*ROW(Z$12:Z604)+1,ROW($T$12))&amp;":T"&amp;(ROW()-1))))),Первоначальный[[#This Row],[Полученный платеж]]+Y604),
AND(Z604&gt;0,Первоначальный[[#This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платеж]]+Y604),
AND(S604&gt;0,MAX((0&lt;&gt;S$12:S604)*ROW(S$12:S604),ROW($S$12))&gt;=MAX((1=Z$12:Z604)*ROW(Z$12:Z604),ROW($T$12)),TYPE(VLOOKUP("Да",(INDIRECT("AA"&amp;(MAX((1=Z$12:Z604)*ROW(Z$12:Z604),ROW($T$12))&amp;":AA"&amp;(ROW()-1)))),1,0))=16),MIN(LOOKUP(,-1/($Z$12:Z605=1),$C$12:C605)+LOOKUP(,-1/($Z$12:Z605=1),$H$12:H605)-SUM(INDIRECT("T"&amp;(MAX((1=Z$12:Z604)*ROW(Z$12:Z604),ROW($T$12))&amp;":T"&amp;(ROW()-1)))),Первоначальный[[#This Row],[Полученный платеж]]+Y604),
S604&gt;0,MIN(LOOKUP(,-1/($Z$12:Z605=1),$C$12:C605)+LOOKUP(,-1/($Z$12:Z605=1),$H$12:H605)-IF(Z604=1,0,SUM(INDIRECT("T"&amp;(MAX((1=Z$12:Z604)*ROW(Z$12:Z604)+1,ROW($T$12))&amp;":T"&amp;(ROW()-1))))),Первоначальный[[#This Row],[Полученный платеж]]+Y604)
)
)
)</f>
        <v>0</v>
      </c>
      <c r="U60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платеж]]+Y604-Первоначальный[[#This Row],[Полученный платёж по процентам]])</f>
        <v>0</v>
      </c>
      <c r="V605" s="55">
        <f t="shared" ca="1" si="109"/>
        <v>0</v>
      </c>
      <c r="W605" s="55" cm="1">
        <f t="array" aca="1" ref="W605" ca="1">IF(Первоначальный[[#This Row],[Итого остаток на начало периода]]&lt;1,0,
_xlfn.IFS(
AND(TYPE(VLOOKUP(1,$Z$12:Z605,1,0))=16,Первоначальный[[#This Row],[Досрочное погашение (да/"")]]=""),0,
AND(S604=0,Первоначальный[[#This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платеж]]+Y604-SUM(Первоначальный[[#This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комиссиям]]),VLOOKUP(LOOKUP(,-1/($Z$12:Z605=1),$A$12:A605),График[[Срок конец]:[Возврат основной суммы долга]],3,0)),
AND(S604=0,Первоначальный[[#This Row],[Дата платежа из графика]]="",Первоначальный[[#This Row],[Досрочное погашение (да/"")]]&lt;&gt;"Да"),0,
AND(S604=0,Первоначальный[[#This Row],[Досрочное погашение (да/"")]]=""),MIN(Первоначальный[[#This Row],[Полученный платеж]]+Y604-SUM(Первоначальный[[#This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комиссиям]]),VLOOKUP(LOOKUP(,-1/($Z$12:Z605=1),$A$12:A605),График[[Срок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платеж]]+Y604-SUM(Первоначальный[[#This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S604&gt;0,MIN(Первоначальный[[#This Row],[Полученный платеж]]+Y604-SUM(Первоначальный[[#This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комиссиям]]),SUM(INDIRECT("M"&amp;(MAX((1=S$12:S604)*ROW(S$12:S604),ROW($W$12))&amp;":M"&amp;(ROW()))))-SUM(INDIRECT("W"&amp;(MAX((1=S$12:S604)*ROW(S$12:S604),ROW($W$12))&amp;":W"&amp;(ROW()-1)))))
)
)</f>
        <v>0</v>
      </c>
      <c r="X605" s="55">
        <f t="shared" ca="1" si="110"/>
        <v>0</v>
      </c>
      <c r="Y605" s="101">
        <f t="shared" ca="1" si="117"/>
        <v>0</v>
      </c>
      <c r="Z605" s="133" t="str">
        <f>IF(TYPE((VLOOKUP(Первоначальный[[#This Row],[Дата платежа]],График[Срок конец],1,0)))=16,"",1)</f>
        <v/>
      </c>
      <c r="AA605" s="57"/>
      <c r="AB605" s="134"/>
      <c r="AC60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0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42200.779999999875</v>
      </c>
      <c r="AE60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1105.3800000000028</v>
      </c>
      <c r="AF60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0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63686.200142623056</v>
      </c>
      <c r="AH605" s="55"/>
      <c r="AI605" s="55"/>
      <c r="AJ605" s="55"/>
      <c r="AK605" s="101">
        <f t="shared" ca="1" si="118"/>
        <v>256625.70014262293</v>
      </c>
      <c r="AL605" s="129">
        <f t="array" ref="AL605">MAX((УслРестрактов[Характеристика]="Дата реструктуризации")*(УслРестрактов[Значение]=Первоначальный!$A605),0)</f>
        <v>0</v>
      </c>
    </row>
    <row r="606" spans="1:38" x14ac:dyDescent="0.25">
      <c r="A606" s="97">
        <f t="shared" si="111"/>
        <v>44737</v>
      </c>
      <c r="B606" s="100">
        <f t="shared" ca="1" si="112"/>
        <v>149633.34</v>
      </c>
      <c r="C606" s="55">
        <f t="shared" ca="1" si="120"/>
        <v>42200.779999999875</v>
      </c>
      <c r="D606" s="55">
        <f t="shared" ca="1" si="120"/>
        <v>1105.3800000000028</v>
      </c>
      <c r="E606" s="55">
        <f t="shared" ca="1" si="113"/>
        <v>0</v>
      </c>
      <c r="F606" s="55">
        <f t="shared" ca="1" si="114"/>
        <v>63686.200142623056</v>
      </c>
      <c r="G606" s="101">
        <f t="shared" ca="1" si="115"/>
        <v>256625.70014262293</v>
      </c>
      <c r="H606" s="100">
        <f ca="1">ROUND($B606*VLOOKUP($A606,$A$1:$B$10,2,1)/(365+IF(MOD(YEAR($A606),4),0,1)*($A606-$A605)),2)-Первоначальный[[#This Row],[Проценты на просроченный платеж по ОД за период]]</f>
        <v>77.11</v>
      </c>
      <c r="I606" s="55">
        <f t="shared" ca="1" si="116"/>
        <v>4.47</v>
      </c>
      <c r="J606" s="55">
        <v>0</v>
      </c>
      <c r="K606" s="55">
        <f t="shared" ca="1" si="119"/>
        <v>246.17850327868845</v>
      </c>
      <c r="L606" s="55">
        <v>0</v>
      </c>
      <c r="M606" s="113">
        <f>SUMIFS(График[Возврат основной суммы долга],График[Дата с учетом нерабочих дней],$A606)</f>
        <v>0</v>
      </c>
      <c r="N606" s="56">
        <f>SUMIFS(График[Возврат начисленных %],График[Дата с учетом нерабочих дней],$A606)</f>
        <v>0</v>
      </c>
      <c r="O606" s="101">
        <v>0</v>
      </c>
      <c r="P606" s="100" cm="1">
        <f t="array" aca="1" ref="P606" ca="1">MAX(IF(AA605="Да",0,SUM(INDIRECT("M"&amp;(MAX(("Да"=AA$12:AA605)*ROW(AA$12:AA605)+1,ROW($P$12))&amp;":M"&amp;(ROW()))))-SUM(INDIRECT("W"&amp;(MAX(("Да"=AA$12:AA605)*ROW(AA$12:AA605)+1,ROW($P$12))&amp;":W"&amp;(ROW()))))),0)</f>
        <v>8193.4399999999987</v>
      </c>
      <c r="Q606" s="99">
        <f ca="1">MAX(SUM($N$13:N606)-SUM($T$13:T606),0)</f>
        <v>41042.260655737693</v>
      </c>
      <c r="R606" s="99">
        <f ca="1">Первоначальный[[#This Row],[Просроченный платеж по ОД]]+Первоначальный[[#This Row],[Просроченный платеж по процентам]]</f>
        <v>49235.700655737688</v>
      </c>
      <c r="S606" s="120">
        <f ca="1">IF(Первоначальный[[#This Row],[Просроченный платеж]]&lt;1,0,S605+1)</f>
        <v>502</v>
      </c>
      <c r="T606" s="100" cm="1">
        <f t="array" aca="1" ref="T606" ca="1">IF(Первоначальный[[#This Row],[Итого остаток на начало периода]]&lt;1,0,
IF(
AND(TYPE(VLOOKUP(1,$Z$12:Z606,1,0))=16,Первоначальный[[#This Row],[Досрочное погашение (да/"")]]=""),0,
_xlfn.IFS(AND(S605=0,Первоначальный[[#This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платеж]]&lt;&gt;0),MIN(LOOKUP(,-1/($Z$12:Z606=1),$C$12:C606)+LOOKUP(,-1/($Z$12:Z606=1),$H$12:H606),Первоначальный[[#This Row],[Полученный платеж]]+Y605),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платеж]]+Y605,SUM(Первоначальный[[#This Row],[Остаток процентов на начало периода]],Первоначальный[[#This Row],[Проценты за период]])),
AND(S605=0,Первоначальный[[#This Row],[Дата платежа из графика]]=""),0,
AND(S605=0,Первоначальный[[#This Row],[Дата платежа из графика]]=1,MAX((0&lt;&gt;S$12:S605)*ROW(S$12:S605),ROW($S$12))&gt;=MAX((1=Z$12:Z605)*ROW(Z$12:Z605),ROW($T$12)),TYPE(VLOOKUP("Да",(INDIRECT("AA"&amp;(MAX((1=Z$12:Z605)*ROW(Z$12:Z605),ROW($T$12))&amp;":AA"&amp;(ROW()-1)))),1,0))=16),MIN(LOOKUP(,-1/($Z$12:Z606=1),$C$12:C606)+LOOKUP(,-1/($Z$12:Z606=1),$H$12:H606),Первоначальный[[#This Row],[Полученный платеж]]+Y605),
AND(S605=0,TYPE(VLOOKUP("Да",(INDIRECT("AA"&amp;(MAX((1=Z$12:Z605)*ROW(Z$12:Z605),ROW($T$12))&amp;":AA"&amp;(ROW()-1)))),1,0))&lt;&gt;16),MIN(LOOKUP(,-1/($Z$12:Z606=1),$C$12:C606)+LOOKUP(,-1/($Z$12:Z606=1),$H$12:H606)-IF(AA605="Да",0,SUM(INDIRECT("T"&amp;(MAX(("Да"=AA$12:AA605)*ROW(AA$12:AA605)+1,ROW($T$12))&amp;":T"&amp;(ROW()-1))))),Первоначальный[[#This Row],[Полученный платеж]]+Y605),
AND(S605=0,MAX((0&lt;&gt;N$12:N605)*ROW(N$12:N605),ROW($S$12))&gt;=MAX((1=Z$12:Z605)*ROW(Z$12:Z605),ROW($T$12))),MIN(LOOKUP(,-1/($Z$12:Z606=1),$C$12:C606)+LOOKUP(,-1/($Z$12:Z606=1),$H$12:H606)-IF(N605&lt;&gt;0,0,SUM(INDIRECT("T"&amp;(MAX((0&lt;&gt;N$12:N605)*ROW(N$12:N605)+1,ROW($T$12))&amp;":T"&amp;(ROW()-1))))),Первоначальный[[#This Row],[Полученный платеж]]+Y605),
AND(S605=0,Первоначальный[[#This Row],[Дата платежа из графика]]=1),MIN(LOOKUP(,-1/($Z$12:Z606=1),$C$12:C606)+LOOKUP(,-1/($Z$12:Z606=1),$H$12:H606)-IF(Z605=1,0,SUM(INDIRECT("T"&amp;(MAX((1=Z$12:Z605)*ROW(Z$12:Z605)+1,ROW($T$12))&amp;":T"&amp;(ROW()-1))))),Первоначальный[[#This Row],[Полученный платеж]]+Y605),
AND(Z605&gt;0,Первоначальный[[#This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платеж]]+Y605),
AND(S605&gt;0,MAX((0&lt;&gt;S$12:S605)*ROW(S$12:S605),ROW($S$12))&gt;=MAX((1=Z$12:Z605)*ROW(Z$12:Z605),ROW($T$12)),TYPE(VLOOKUP("Да",(INDIRECT("AA"&amp;(MAX((1=Z$12:Z605)*ROW(Z$12:Z605),ROW($T$12))&amp;":AA"&amp;(ROW()-1)))),1,0))=16),MIN(LOOKUP(,-1/($Z$12:Z606=1),$C$12:C606)+LOOKUP(,-1/($Z$12:Z606=1),$H$12:H606)-SUM(INDIRECT("T"&amp;(MAX((1=Z$12:Z605)*ROW(Z$12:Z605),ROW($T$12))&amp;":T"&amp;(ROW()-1)))),Первоначальный[[#This Row],[Полученный платеж]]+Y605),
S605&gt;0,MIN(LOOKUP(,-1/($Z$12:Z606=1),$C$12:C606)+LOOKUP(,-1/($Z$12:Z606=1),$H$12:H606)-IF(Z605=1,0,SUM(INDIRECT("T"&amp;(MAX((1=Z$12:Z605)*ROW(Z$12:Z605)+1,ROW($T$12))&amp;":T"&amp;(ROW()-1))))),Первоначальный[[#This Row],[Полученный платеж]]+Y605)
)
)
)</f>
        <v>0</v>
      </c>
      <c r="U60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платеж]]+Y605-Первоначальный[[#This Row],[Полученный платёж по процентам]])</f>
        <v>0</v>
      </c>
      <c r="V606" s="55">
        <f t="shared" ca="1" si="109"/>
        <v>0</v>
      </c>
      <c r="W606" s="55" cm="1">
        <f t="array" aca="1" ref="W606" ca="1">IF(Первоначальный[[#This Row],[Итого остаток на начало периода]]&lt;1,0,
_xlfn.IFS(
AND(TYPE(VLOOKUP(1,$Z$12:Z606,1,0))=16,Первоначальный[[#This Row],[Досрочное погашение (да/"")]]=""),0,
AND(S605=0,Первоначальный[[#This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платеж]]+Y605-SUM(Первоначальный[[#This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комиссиям]]),VLOOKUP(LOOKUP(,-1/($Z$12:Z606=1),$A$12:A606),График[[Срок конец]:[Возврат основной суммы долга]],3,0)),
AND(S605=0,Первоначальный[[#This Row],[Дата платежа из графика]]="",Первоначальный[[#This Row],[Досрочное погашение (да/"")]]&lt;&gt;"Да"),0,
AND(S605=0,Первоначальный[[#This Row],[Досрочное погашение (да/"")]]=""),MIN(Первоначальный[[#This Row],[Полученный платеж]]+Y605-SUM(Первоначальный[[#This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комиссиям]]),VLOOKUP(LOOKUP(,-1/($Z$12:Z606=1),$A$12:A606),График[[Срок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платеж]]+Y605-SUM(Первоначальный[[#This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S605&gt;0,MIN(Первоначальный[[#This Row],[Полученный платеж]]+Y605-SUM(Первоначальный[[#This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комиссиям]]),SUM(INDIRECT("M"&amp;(MAX((1=S$12:S605)*ROW(S$12:S605),ROW($W$12))&amp;":M"&amp;(ROW()))))-SUM(INDIRECT("W"&amp;(MAX((1=S$12:S605)*ROW(S$12:S605),ROW($W$12))&amp;":W"&amp;(ROW()-1)))))
)
)</f>
        <v>0</v>
      </c>
      <c r="X606" s="55">
        <f t="shared" ca="1" si="110"/>
        <v>0</v>
      </c>
      <c r="Y606" s="101">
        <f t="shared" ca="1" si="117"/>
        <v>0</v>
      </c>
      <c r="Z606" s="133" t="str">
        <f>IF(TYPE((VLOOKUP(Первоначальный[[#This Row],[Дата платежа]],График[Срок конец],1,0)))=16,"",1)</f>
        <v/>
      </c>
      <c r="AA606" s="57"/>
      <c r="AB606" s="134"/>
      <c r="AC60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0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42277.889999999876</v>
      </c>
      <c r="AE60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1109.8500000000029</v>
      </c>
      <c r="AF60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0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63932.378645901743</v>
      </c>
      <c r="AH606" s="55"/>
      <c r="AI606" s="55"/>
      <c r="AJ606" s="55"/>
      <c r="AK606" s="101">
        <f t="shared" ca="1" si="118"/>
        <v>256953.45864590161</v>
      </c>
      <c r="AL606" s="129">
        <f t="array" ref="AL606">MAX((УслРестрактов[Характеристика]="Дата реструктуризации")*(УслРестрактов[Значение]=Первоначальный!$A606),0)</f>
        <v>0</v>
      </c>
    </row>
    <row r="607" spans="1:38" x14ac:dyDescent="0.25">
      <c r="A607" s="97">
        <f t="shared" si="111"/>
        <v>44738</v>
      </c>
      <c r="B607" s="100">
        <f t="shared" ca="1" si="112"/>
        <v>149633.34</v>
      </c>
      <c r="C607" s="55">
        <f t="shared" ca="1" si="120"/>
        <v>42277.889999999876</v>
      </c>
      <c r="D607" s="55">
        <f t="shared" ca="1" si="120"/>
        <v>1109.8500000000029</v>
      </c>
      <c r="E607" s="55">
        <f t="shared" ca="1" si="113"/>
        <v>0</v>
      </c>
      <c r="F607" s="55">
        <f t="shared" ca="1" si="114"/>
        <v>63932.378645901743</v>
      </c>
      <c r="G607" s="101">
        <f t="shared" ca="1" si="115"/>
        <v>256953.45864590161</v>
      </c>
      <c r="H607" s="100">
        <f ca="1">ROUND($B607*VLOOKUP($A607,$A$1:$B$10,2,1)/(365+IF(MOD(YEAR($A607),4),0,1)*($A607-$A606)),2)-Первоначальный[[#This Row],[Проценты на просроченный платеж по ОД за период]]</f>
        <v>77.11</v>
      </c>
      <c r="I607" s="55">
        <f t="shared" ca="1" si="116"/>
        <v>4.47</v>
      </c>
      <c r="J607" s="55">
        <v>0</v>
      </c>
      <c r="K607" s="55">
        <f t="shared" ca="1" si="119"/>
        <v>246.17850327868845</v>
      </c>
      <c r="L607" s="55">
        <v>0</v>
      </c>
      <c r="M607" s="113">
        <f>SUMIFS(График[Возврат основной суммы долга],График[Дата с учетом нерабочих дней],$A607)</f>
        <v>0</v>
      </c>
      <c r="N607" s="56">
        <f>SUMIFS(График[Возврат начисленных %],График[Дата с учетом нерабочих дней],$A607)</f>
        <v>0</v>
      </c>
      <c r="O607" s="101">
        <v>0</v>
      </c>
      <c r="P607" s="100" cm="1">
        <f t="array" aca="1" ref="P607" ca="1">MAX(IF(AA606="Да",0,SUM(INDIRECT("M"&amp;(MAX(("Да"=AA$12:AA606)*ROW(AA$12:AA606)+1,ROW($P$12))&amp;":M"&amp;(ROW()))))-SUM(INDIRECT("W"&amp;(MAX(("Да"=AA$12:AA606)*ROW(AA$12:AA606)+1,ROW($P$12))&amp;":W"&amp;(ROW()))))),0)</f>
        <v>8193.4399999999987</v>
      </c>
      <c r="Q607" s="99">
        <f ca="1">MAX(SUM($N$13:N607)-SUM($T$13:T607),0)</f>
        <v>41042.260655737693</v>
      </c>
      <c r="R607" s="99">
        <f ca="1">Первоначальный[[#This Row],[Просроченный платеж по ОД]]+Первоначальный[[#This Row],[Просроченный платеж по процентам]]</f>
        <v>49235.700655737688</v>
      </c>
      <c r="S607" s="120">
        <f ca="1">IF(Первоначальный[[#This Row],[Просроченный платеж]]&lt;1,0,S606+1)</f>
        <v>503</v>
      </c>
      <c r="T607" s="100" cm="1">
        <f t="array" aca="1" ref="T607" ca="1">IF(Первоначальный[[#This Row],[Итого остаток на начало периода]]&lt;1,0,
IF(
AND(TYPE(VLOOKUP(1,$Z$12:Z607,1,0))=16,Первоначальный[[#This Row],[Досрочное погашение (да/"")]]=""),0,
_xlfn.IFS(AND(S606=0,Первоначальный[[#This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платеж]]&lt;&gt;0),MIN(LOOKUP(,-1/($Z$12:Z607=1),$C$12:C607)+LOOKUP(,-1/($Z$12:Z607=1),$H$12:H607),Первоначальный[[#This Row],[Полученный платеж]]+Y606),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платеж]]+Y606,SUM(Первоначальный[[#This Row],[Остаток процентов на начало периода]],Первоначальный[[#This Row],[Проценты за период]])),
AND(S606=0,Первоначальный[[#This Row],[Дата платежа из графика]]=""),0,
AND(S606=0,Первоначальный[[#This Row],[Дата платежа из графика]]=1,MAX((0&lt;&gt;S$12:S606)*ROW(S$12:S606),ROW($S$12))&gt;=MAX((1=Z$12:Z606)*ROW(Z$12:Z606),ROW($T$12)),TYPE(VLOOKUP("Да",(INDIRECT("AA"&amp;(MAX((1=Z$12:Z606)*ROW(Z$12:Z606),ROW($T$12))&amp;":AA"&amp;(ROW()-1)))),1,0))=16),MIN(LOOKUP(,-1/($Z$12:Z607=1),$C$12:C607)+LOOKUP(,-1/($Z$12:Z607=1),$H$12:H607),Первоначальный[[#This Row],[Полученный платеж]]+Y606),
AND(S606=0,TYPE(VLOOKUP("Да",(INDIRECT("AA"&amp;(MAX((1=Z$12:Z606)*ROW(Z$12:Z606),ROW($T$12))&amp;":AA"&amp;(ROW()-1)))),1,0))&lt;&gt;16),MIN(LOOKUP(,-1/($Z$12:Z607=1),$C$12:C607)+LOOKUP(,-1/($Z$12:Z607=1),$H$12:H607)-IF(AA606="Да",0,SUM(INDIRECT("T"&amp;(MAX(("Да"=AA$12:AA606)*ROW(AA$12:AA606)+1,ROW($T$12))&amp;":T"&amp;(ROW()-1))))),Первоначальный[[#This Row],[Полученный платеж]]+Y606),
AND(S606=0,MAX((0&lt;&gt;N$12:N606)*ROW(N$12:N606),ROW($S$12))&gt;=MAX((1=Z$12:Z606)*ROW(Z$12:Z606),ROW($T$12))),MIN(LOOKUP(,-1/($Z$12:Z607=1),$C$12:C607)+LOOKUP(,-1/($Z$12:Z607=1),$H$12:H607)-IF(N606&lt;&gt;0,0,SUM(INDIRECT("T"&amp;(MAX((0&lt;&gt;N$12:N606)*ROW(N$12:N606)+1,ROW($T$12))&amp;":T"&amp;(ROW()-1))))),Первоначальный[[#This Row],[Полученный платеж]]+Y606),
AND(S606=0,Первоначальный[[#This Row],[Дата платежа из графика]]=1),MIN(LOOKUP(,-1/($Z$12:Z607=1),$C$12:C607)+LOOKUP(,-1/($Z$12:Z607=1),$H$12:H607)-IF(Z606=1,0,SUM(INDIRECT("T"&amp;(MAX((1=Z$12:Z606)*ROW(Z$12:Z606)+1,ROW($T$12))&amp;":T"&amp;(ROW()-1))))),Первоначальный[[#This Row],[Полученный платеж]]+Y606),
AND(Z606&gt;0,Первоначальный[[#This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платеж]]+Y606),
AND(S606&gt;0,MAX((0&lt;&gt;S$12:S606)*ROW(S$12:S606),ROW($S$12))&gt;=MAX((1=Z$12:Z606)*ROW(Z$12:Z606),ROW($T$12)),TYPE(VLOOKUP("Да",(INDIRECT("AA"&amp;(MAX((1=Z$12:Z606)*ROW(Z$12:Z606),ROW($T$12))&amp;":AA"&amp;(ROW()-1)))),1,0))=16),MIN(LOOKUP(,-1/($Z$12:Z607=1),$C$12:C607)+LOOKUP(,-1/($Z$12:Z607=1),$H$12:H607)-SUM(INDIRECT("T"&amp;(MAX((1=Z$12:Z606)*ROW(Z$12:Z606),ROW($T$12))&amp;":T"&amp;(ROW()-1)))),Первоначальный[[#This Row],[Полученный платеж]]+Y606),
S606&gt;0,MIN(LOOKUP(,-1/($Z$12:Z607=1),$C$12:C607)+LOOKUP(,-1/($Z$12:Z607=1),$H$12:H607)-IF(Z606=1,0,SUM(INDIRECT("T"&amp;(MAX((1=Z$12:Z606)*ROW(Z$12:Z606)+1,ROW($T$12))&amp;":T"&amp;(ROW()-1))))),Первоначальный[[#This Row],[Полученный платеж]]+Y606)
)
)
)</f>
        <v>0</v>
      </c>
      <c r="U60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платеж]]+Y606-Первоначальный[[#This Row],[Полученный платёж по процентам]])</f>
        <v>0</v>
      </c>
      <c r="V607" s="55">
        <f t="shared" ca="1" si="109"/>
        <v>0</v>
      </c>
      <c r="W607" s="55" cm="1">
        <f t="array" aca="1" ref="W607" ca="1">IF(Первоначальный[[#This Row],[Итого остаток на начало периода]]&lt;1,0,
_xlfn.IFS(
AND(TYPE(VLOOKUP(1,$Z$12:Z607,1,0))=16,Первоначальный[[#This Row],[Досрочное погашение (да/"")]]=""),0,
AND(S606=0,Первоначальный[[#This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платеж]]+Y606-SUM(Первоначальный[[#This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комиссиям]]),VLOOKUP(LOOKUP(,-1/($Z$12:Z607=1),$A$12:A607),График[[Срок конец]:[Возврат основной суммы долга]],3,0)),
AND(S606=0,Первоначальный[[#This Row],[Дата платежа из графика]]="",Первоначальный[[#This Row],[Досрочное погашение (да/"")]]&lt;&gt;"Да"),0,
AND(S606=0,Первоначальный[[#This Row],[Досрочное погашение (да/"")]]=""),MIN(Первоначальный[[#This Row],[Полученный платеж]]+Y606-SUM(Первоначальный[[#This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комиссиям]]),VLOOKUP(LOOKUP(,-1/($Z$12:Z607=1),$A$12:A607),График[[Срок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платеж]]+Y606-SUM(Первоначальный[[#This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S606&gt;0,MIN(Первоначальный[[#This Row],[Полученный платеж]]+Y606-SUM(Первоначальный[[#This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комиссиям]]),SUM(INDIRECT("M"&amp;(MAX((1=S$12:S606)*ROW(S$12:S606),ROW($W$12))&amp;":M"&amp;(ROW()))))-SUM(INDIRECT("W"&amp;(MAX((1=S$12:S606)*ROW(S$12:S606),ROW($W$12))&amp;":W"&amp;(ROW()-1)))))
)
)</f>
        <v>0</v>
      </c>
      <c r="X607" s="55">
        <f t="shared" ca="1" si="110"/>
        <v>0</v>
      </c>
      <c r="Y607" s="101">
        <f t="shared" ca="1" si="117"/>
        <v>0</v>
      </c>
      <c r="Z607" s="133" t="str">
        <f>IF(TYPE((VLOOKUP(Первоначальный[[#This Row],[Дата платежа]],График[Срок конец],1,0)))=16,"",1)</f>
        <v/>
      </c>
      <c r="AA607" s="57"/>
      <c r="AB607" s="134"/>
      <c r="AC60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0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42354.999999999876</v>
      </c>
      <c r="AE60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1114.3200000000029</v>
      </c>
      <c r="AF60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0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64178.557149180429</v>
      </c>
      <c r="AH607" s="55"/>
      <c r="AI607" s="55"/>
      <c r="AJ607" s="55"/>
      <c r="AK607" s="101">
        <f t="shared" ca="1" si="118"/>
        <v>257281.2171491803</v>
      </c>
      <c r="AL607" s="129">
        <f t="array" ref="AL607">MAX((УслРестрактов[Характеристика]="Дата реструктуризации")*(УслРестрактов[Значение]=Первоначальный!$A607),0)</f>
        <v>0</v>
      </c>
    </row>
    <row r="608" spans="1:38" x14ac:dyDescent="0.25">
      <c r="A608" s="97">
        <f t="shared" si="111"/>
        <v>44739</v>
      </c>
      <c r="B608" s="100">
        <f t="shared" ca="1" si="112"/>
        <v>149633.34</v>
      </c>
      <c r="C608" s="55">
        <f t="shared" ca="1" si="120"/>
        <v>42354.999999999876</v>
      </c>
      <c r="D608" s="55">
        <f t="shared" ca="1" si="120"/>
        <v>1114.3200000000029</v>
      </c>
      <c r="E608" s="55">
        <f t="shared" ca="1" si="113"/>
        <v>0</v>
      </c>
      <c r="F608" s="55">
        <f t="shared" ca="1" si="114"/>
        <v>64178.557149180429</v>
      </c>
      <c r="G608" s="101">
        <f t="shared" ca="1" si="115"/>
        <v>257281.2171491803</v>
      </c>
      <c r="H608" s="100">
        <f ca="1">ROUND($B608*VLOOKUP($A608,$A$1:$B$10,2,1)/(365+IF(MOD(YEAR($A608),4),0,1)*($A608-$A607)),2)-Первоначальный[[#This Row],[Проценты на просроченный платеж по ОД за период]]</f>
        <v>77.11</v>
      </c>
      <c r="I608" s="55">
        <f t="shared" ca="1" si="116"/>
        <v>4.47</v>
      </c>
      <c r="J608" s="55">
        <v>0</v>
      </c>
      <c r="K608" s="55">
        <f t="shared" ca="1" si="119"/>
        <v>246.17850327868845</v>
      </c>
      <c r="L608" s="55">
        <v>0</v>
      </c>
      <c r="M608" s="113">
        <f>SUMIFS(График[Возврат основной суммы долга],График[Дата с учетом нерабочих дней],$A608)</f>
        <v>0</v>
      </c>
      <c r="N608" s="56">
        <f>SUMIFS(График[Возврат начисленных %],График[Дата с учетом нерабочих дней],$A608)</f>
        <v>0</v>
      </c>
      <c r="O608" s="101">
        <v>0</v>
      </c>
      <c r="P608" s="100" cm="1">
        <f t="array" aca="1" ref="P608" ca="1">MAX(IF(AA607="Да",0,SUM(INDIRECT("M"&amp;(MAX(("Да"=AA$12:AA607)*ROW(AA$12:AA607)+1,ROW($P$12))&amp;":M"&amp;(ROW()))))-SUM(INDIRECT("W"&amp;(MAX(("Да"=AA$12:AA607)*ROW(AA$12:AA607)+1,ROW($P$12))&amp;":W"&amp;(ROW()))))),0)</f>
        <v>8193.4399999999987</v>
      </c>
      <c r="Q608" s="99">
        <f ca="1">MAX(SUM($N$13:N608)-SUM($T$13:T608),0)</f>
        <v>41042.260655737693</v>
      </c>
      <c r="R608" s="99">
        <f ca="1">Первоначальный[[#This Row],[Просроченный платеж по ОД]]+Первоначальный[[#This Row],[Просроченный платеж по процентам]]</f>
        <v>49235.700655737688</v>
      </c>
      <c r="S608" s="120">
        <f ca="1">IF(Первоначальный[[#This Row],[Просроченный платеж]]&lt;1,0,S607+1)</f>
        <v>504</v>
      </c>
      <c r="T608" s="100" cm="1">
        <f t="array" aca="1" ref="T608" ca="1">IF(Первоначальный[[#This Row],[Итого остаток на начало периода]]&lt;1,0,
IF(
AND(TYPE(VLOOKUP(1,$Z$12:Z608,1,0))=16,Первоначальный[[#This Row],[Досрочное погашение (да/"")]]=""),0,
_xlfn.IFS(AND(S607=0,Первоначальный[[#This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платеж]]&lt;&gt;0),MIN(LOOKUP(,-1/($Z$12:Z608=1),$C$12:C608)+LOOKUP(,-1/($Z$12:Z608=1),$H$12:H608),Первоначальный[[#This Row],[Полученный платеж]]+Y607),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платеж]]+Y607,SUM(Первоначальный[[#This Row],[Остаток процентов на начало периода]],Первоначальный[[#This Row],[Проценты за период]])),
AND(S607=0,Первоначальный[[#This Row],[Дата платежа из графика]]=""),0,
AND(S607=0,Первоначальный[[#This Row],[Дата платежа из графика]]=1,MAX((0&lt;&gt;S$12:S607)*ROW(S$12:S607),ROW($S$12))&gt;=MAX((1=Z$12:Z607)*ROW(Z$12:Z607),ROW($T$12)),TYPE(VLOOKUP("Да",(INDIRECT("AA"&amp;(MAX((1=Z$12:Z607)*ROW(Z$12:Z607),ROW($T$12))&amp;":AA"&amp;(ROW()-1)))),1,0))=16),MIN(LOOKUP(,-1/($Z$12:Z608=1),$C$12:C608)+LOOKUP(,-1/($Z$12:Z608=1),$H$12:H608),Первоначальный[[#This Row],[Полученный платеж]]+Y607),
AND(S607=0,TYPE(VLOOKUP("Да",(INDIRECT("AA"&amp;(MAX((1=Z$12:Z607)*ROW(Z$12:Z607),ROW($T$12))&amp;":AA"&amp;(ROW()-1)))),1,0))&lt;&gt;16),MIN(LOOKUP(,-1/($Z$12:Z608=1),$C$12:C608)+LOOKUP(,-1/($Z$12:Z608=1),$H$12:H608)-IF(AA607="Да",0,SUM(INDIRECT("T"&amp;(MAX(("Да"=AA$12:AA607)*ROW(AA$12:AA607)+1,ROW($T$12))&amp;":T"&amp;(ROW()-1))))),Первоначальный[[#This Row],[Полученный платеж]]+Y607),
AND(S607=0,MAX((0&lt;&gt;N$12:N607)*ROW(N$12:N607),ROW($S$12))&gt;=MAX((1=Z$12:Z607)*ROW(Z$12:Z607),ROW($T$12))),MIN(LOOKUP(,-1/($Z$12:Z608=1),$C$12:C608)+LOOKUP(,-1/($Z$12:Z608=1),$H$12:H608)-IF(N607&lt;&gt;0,0,SUM(INDIRECT("T"&amp;(MAX((0&lt;&gt;N$12:N607)*ROW(N$12:N607)+1,ROW($T$12))&amp;":T"&amp;(ROW()-1))))),Первоначальный[[#This Row],[Полученный платеж]]+Y607),
AND(S607=0,Первоначальный[[#This Row],[Дата платежа из графика]]=1),MIN(LOOKUP(,-1/($Z$12:Z608=1),$C$12:C608)+LOOKUP(,-1/($Z$12:Z608=1),$H$12:H608)-IF(Z607=1,0,SUM(INDIRECT("T"&amp;(MAX((1=Z$12:Z607)*ROW(Z$12:Z607)+1,ROW($T$12))&amp;":T"&amp;(ROW()-1))))),Первоначальный[[#This Row],[Полученный платеж]]+Y607),
AND(Z607&gt;0,Первоначальный[[#This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платеж]]+Y607),
AND(S607&gt;0,MAX((0&lt;&gt;S$12:S607)*ROW(S$12:S607),ROW($S$12))&gt;=MAX((1=Z$12:Z607)*ROW(Z$12:Z607),ROW($T$12)),TYPE(VLOOKUP("Да",(INDIRECT("AA"&amp;(MAX((1=Z$12:Z607)*ROW(Z$12:Z607),ROW($T$12))&amp;":AA"&amp;(ROW()-1)))),1,0))=16),MIN(LOOKUP(,-1/($Z$12:Z608=1),$C$12:C608)+LOOKUP(,-1/($Z$12:Z608=1),$H$12:H608)-SUM(INDIRECT("T"&amp;(MAX((1=Z$12:Z607)*ROW(Z$12:Z607),ROW($T$12))&amp;":T"&amp;(ROW()-1)))),Первоначальный[[#This Row],[Полученный платеж]]+Y607),
S607&gt;0,MIN(LOOKUP(,-1/($Z$12:Z608=1),$C$12:C608)+LOOKUP(,-1/($Z$12:Z608=1),$H$12:H608)-IF(Z607=1,0,SUM(INDIRECT("T"&amp;(MAX((1=Z$12:Z607)*ROW(Z$12:Z607)+1,ROW($T$12))&amp;":T"&amp;(ROW()-1))))),Первоначальный[[#This Row],[Полученный платеж]]+Y607)
)
)
)</f>
        <v>0</v>
      </c>
      <c r="U60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платеж]]+Y607-Первоначальный[[#This Row],[Полученный платёж по процентам]])</f>
        <v>0</v>
      </c>
      <c r="V608" s="55">
        <f t="shared" ca="1" si="109"/>
        <v>0</v>
      </c>
      <c r="W608" s="55" cm="1">
        <f t="array" aca="1" ref="W608" ca="1">IF(Первоначальный[[#This Row],[Итого остаток на начало периода]]&lt;1,0,
_xlfn.IFS(
AND(TYPE(VLOOKUP(1,$Z$12:Z608,1,0))=16,Первоначальный[[#This Row],[Досрочное погашение (да/"")]]=""),0,
AND(S607=0,Первоначальный[[#This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платеж]]+Y607-SUM(Первоначальный[[#This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комиссиям]]),VLOOKUP(LOOKUP(,-1/($Z$12:Z608=1),$A$12:A608),График[[Срок конец]:[Возврат основной суммы долга]],3,0)),
AND(S607=0,Первоначальный[[#This Row],[Дата платежа из графика]]="",Первоначальный[[#This Row],[Досрочное погашение (да/"")]]&lt;&gt;"Да"),0,
AND(S607=0,Первоначальный[[#This Row],[Досрочное погашение (да/"")]]=""),MIN(Первоначальный[[#This Row],[Полученный платеж]]+Y607-SUM(Первоначальный[[#This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комиссиям]]),VLOOKUP(LOOKUP(,-1/($Z$12:Z608=1),$A$12:A608),График[[Срок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платеж]]+Y607-SUM(Первоначальный[[#This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S607&gt;0,MIN(Первоначальный[[#This Row],[Полученный платеж]]+Y607-SUM(Первоначальный[[#This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комиссиям]]),SUM(INDIRECT("M"&amp;(MAX((1=S$12:S607)*ROW(S$12:S607),ROW($W$12))&amp;":M"&amp;(ROW()))))-SUM(INDIRECT("W"&amp;(MAX((1=S$12:S607)*ROW(S$12:S607),ROW($W$12))&amp;":W"&amp;(ROW()-1)))))
)
)</f>
        <v>0</v>
      </c>
      <c r="X608" s="55">
        <f t="shared" ca="1" si="110"/>
        <v>0</v>
      </c>
      <c r="Y608" s="101">
        <f t="shared" ca="1" si="117"/>
        <v>0</v>
      </c>
      <c r="Z608" s="133" t="str">
        <f>IF(TYPE((VLOOKUP(Первоначальный[[#This Row],[Дата платежа]],График[Срок конец],1,0)))=16,"",1)</f>
        <v/>
      </c>
      <c r="AA608" s="57"/>
      <c r="AB608" s="134"/>
      <c r="AC60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0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42432.109999999877</v>
      </c>
      <c r="AE60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1118.7900000000029</v>
      </c>
      <c r="AF60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0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64424.735652459116</v>
      </c>
      <c r="AH608" s="55"/>
      <c r="AI608" s="55"/>
      <c r="AJ608" s="55"/>
      <c r="AK608" s="101">
        <f t="shared" ca="1" si="118"/>
        <v>257608.97565245899</v>
      </c>
      <c r="AL608" s="129">
        <f t="array" ref="AL608">MAX((УслРестрактов[Характеристика]="Дата реструктуризации")*(УслРестрактов[Значение]=Первоначальный!$A608),0)</f>
        <v>0</v>
      </c>
    </row>
    <row r="609" spans="1:38" x14ac:dyDescent="0.25">
      <c r="A609" s="97">
        <f t="shared" si="111"/>
        <v>44740</v>
      </c>
      <c r="B609" s="100">
        <f t="shared" ca="1" si="112"/>
        <v>149633.34</v>
      </c>
      <c r="C609" s="55">
        <f t="shared" ca="1" si="120"/>
        <v>42432.109999999877</v>
      </c>
      <c r="D609" s="55">
        <f t="shared" ca="1" si="120"/>
        <v>1118.7900000000029</v>
      </c>
      <c r="E609" s="55">
        <f t="shared" ca="1" si="113"/>
        <v>0</v>
      </c>
      <c r="F609" s="55">
        <f t="shared" ca="1" si="114"/>
        <v>64424.735652459116</v>
      </c>
      <c r="G609" s="101">
        <f t="shared" ca="1" si="115"/>
        <v>257608.97565245899</v>
      </c>
      <c r="H609" s="100">
        <f ca="1">ROUND($B609*VLOOKUP($A609,$A$1:$B$10,2,1)/(365+IF(MOD(YEAR($A609),4),0,1)*($A609-$A608)),2)-Первоначальный[[#This Row],[Проценты на просроченный платеж по ОД за период]]</f>
        <v>77.11</v>
      </c>
      <c r="I609" s="55">
        <f t="shared" ca="1" si="116"/>
        <v>4.47</v>
      </c>
      <c r="J609" s="55">
        <v>0</v>
      </c>
      <c r="K609" s="55">
        <f t="shared" ca="1" si="119"/>
        <v>246.17850327868845</v>
      </c>
      <c r="L609" s="55">
        <v>0</v>
      </c>
      <c r="M609" s="113">
        <f>SUMIFS(График[Возврат основной суммы долга],График[Дата с учетом нерабочих дней],$A609)</f>
        <v>0</v>
      </c>
      <c r="N609" s="56">
        <f>SUMIFS(График[Возврат начисленных %],График[Дата с учетом нерабочих дней],$A609)</f>
        <v>0</v>
      </c>
      <c r="O609" s="101">
        <v>0</v>
      </c>
      <c r="P609" s="100" cm="1">
        <f t="array" aca="1" ref="P609" ca="1">MAX(IF(AA608="Да",0,SUM(INDIRECT("M"&amp;(MAX(("Да"=AA$12:AA608)*ROW(AA$12:AA608)+1,ROW($P$12))&amp;":M"&amp;(ROW()))))-SUM(INDIRECT("W"&amp;(MAX(("Да"=AA$12:AA608)*ROW(AA$12:AA608)+1,ROW($P$12))&amp;":W"&amp;(ROW()))))),0)</f>
        <v>8193.4399999999987</v>
      </c>
      <c r="Q609" s="99">
        <f ca="1">MAX(SUM($N$13:N609)-SUM($T$13:T609),0)</f>
        <v>41042.260655737693</v>
      </c>
      <c r="R609" s="99">
        <f ca="1">Первоначальный[[#This Row],[Просроченный платеж по ОД]]+Первоначальный[[#This Row],[Просроченный платеж по процентам]]</f>
        <v>49235.700655737688</v>
      </c>
      <c r="S609" s="120">
        <f ca="1">IF(Первоначальный[[#This Row],[Просроченный платеж]]&lt;1,0,S608+1)</f>
        <v>505</v>
      </c>
      <c r="T609" s="100" cm="1">
        <f t="array" aca="1" ref="T609" ca="1">IF(Первоначальный[[#This Row],[Итого остаток на начало периода]]&lt;1,0,
IF(
AND(TYPE(VLOOKUP(1,$Z$12:Z609,1,0))=16,Первоначальный[[#This Row],[Досрочное погашение (да/"")]]=""),0,
_xlfn.IFS(AND(S608=0,Первоначальный[[#This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платеж]]&lt;&gt;0),MIN(LOOKUP(,-1/($Z$12:Z609=1),$C$12:C609)+LOOKUP(,-1/($Z$12:Z609=1),$H$12:H609),Первоначальный[[#This Row],[Полученный платеж]]+Y608),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платеж]]+Y608,SUM(Первоначальный[[#This Row],[Остаток процентов на начало периода]],Первоначальный[[#This Row],[Проценты за период]])),
AND(S608=0,Первоначальный[[#This Row],[Дата платежа из графика]]=""),0,
AND(S608=0,Первоначальный[[#This Row],[Дата платежа из графика]]=1,MAX((0&lt;&gt;S$12:S608)*ROW(S$12:S608),ROW($S$12))&gt;=MAX((1=Z$12:Z608)*ROW(Z$12:Z608),ROW($T$12)),TYPE(VLOOKUP("Да",(INDIRECT("AA"&amp;(MAX((1=Z$12:Z608)*ROW(Z$12:Z608),ROW($T$12))&amp;":AA"&amp;(ROW()-1)))),1,0))=16),MIN(LOOKUP(,-1/($Z$12:Z609=1),$C$12:C609)+LOOKUP(,-1/($Z$12:Z609=1),$H$12:H609),Первоначальный[[#This Row],[Полученный платеж]]+Y608),
AND(S608=0,TYPE(VLOOKUP("Да",(INDIRECT("AA"&amp;(MAX((1=Z$12:Z608)*ROW(Z$12:Z608),ROW($T$12))&amp;":AA"&amp;(ROW()-1)))),1,0))&lt;&gt;16),MIN(LOOKUP(,-1/($Z$12:Z609=1),$C$12:C609)+LOOKUP(,-1/($Z$12:Z609=1),$H$12:H609)-IF(AA608="Да",0,SUM(INDIRECT("T"&amp;(MAX(("Да"=AA$12:AA608)*ROW(AA$12:AA608)+1,ROW($T$12))&amp;":T"&amp;(ROW()-1))))),Первоначальный[[#This Row],[Полученный платеж]]+Y608),
AND(S608=0,MAX((0&lt;&gt;N$12:N608)*ROW(N$12:N608),ROW($S$12))&gt;=MAX((1=Z$12:Z608)*ROW(Z$12:Z608),ROW($T$12))),MIN(LOOKUP(,-1/($Z$12:Z609=1),$C$12:C609)+LOOKUP(,-1/($Z$12:Z609=1),$H$12:H609)-IF(N608&lt;&gt;0,0,SUM(INDIRECT("T"&amp;(MAX((0&lt;&gt;N$12:N608)*ROW(N$12:N608)+1,ROW($T$12))&amp;":T"&amp;(ROW()-1))))),Первоначальный[[#This Row],[Полученный платеж]]+Y608),
AND(S608=0,Первоначальный[[#This Row],[Дата платежа из графика]]=1),MIN(LOOKUP(,-1/($Z$12:Z609=1),$C$12:C609)+LOOKUP(,-1/($Z$12:Z609=1),$H$12:H609)-IF(Z608=1,0,SUM(INDIRECT("T"&amp;(MAX((1=Z$12:Z608)*ROW(Z$12:Z608)+1,ROW($T$12))&amp;":T"&amp;(ROW()-1))))),Первоначальный[[#This Row],[Полученный платеж]]+Y608),
AND(Z608&gt;0,Первоначальный[[#This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платеж]]+Y608),
AND(S608&gt;0,MAX((0&lt;&gt;S$12:S608)*ROW(S$12:S608),ROW($S$12))&gt;=MAX((1=Z$12:Z608)*ROW(Z$12:Z608),ROW($T$12)),TYPE(VLOOKUP("Да",(INDIRECT("AA"&amp;(MAX((1=Z$12:Z608)*ROW(Z$12:Z608),ROW($T$12))&amp;":AA"&amp;(ROW()-1)))),1,0))=16),MIN(LOOKUP(,-1/($Z$12:Z609=1),$C$12:C609)+LOOKUP(,-1/($Z$12:Z609=1),$H$12:H609)-SUM(INDIRECT("T"&amp;(MAX((1=Z$12:Z608)*ROW(Z$12:Z608),ROW($T$12))&amp;":T"&amp;(ROW()-1)))),Первоначальный[[#This Row],[Полученный платеж]]+Y608),
S608&gt;0,MIN(LOOKUP(,-1/($Z$12:Z609=1),$C$12:C609)+LOOKUP(,-1/($Z$12:Z609=1),$H$12:H609)-IF(Z608=1,0,SUM(INDIRECT("T"&amp;(MAX((1=Z$12:Z608)*ROW(Z$12:Z608)+1,ROW($T$12))&amp;":T"&amp;(ROW()-1))))),Первоначальный[[#This Row],[Полученный платеж]]+Y608)
)
)
)</f>
        <v>0</v>
      </c>
      <c r="U60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платеж]]+Y608-Первоначальный[[#This Row],[Полученный платёж по процентам]])</f>
        <v>0</v>
      </c>
      <c r="V609" s="55">
        <f t="shared" ca="1" si="109"/>
        <v>0</v>
      </c>
      <c r="W609" s="55" cm="1">
        <f t="array" aca="1" ref="W609" ca="1">IF(Первоначальный[[#This Row],[Итого остаток на начало периода]]&lt;1,0,
_xlfn.IFS(
AND(TYPE(VLOOKUP(1,$Z$12:Z609,1,0))=16,Первоначальный[[#This Row],[Досрочное погашение (да/"")]]=""),0,
AND(S608=0,Первоначальный[[#This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платеж]]+Y608-SUM(Первоначальный[[#This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комиссиям]]),VLOOKUP(LOOKUP(,-1/($Z$12:Z609=1),$A$12:A609),График[[Срок конец]:[Возврат основной суммы долга]],3,0)),
AND(S608=0,Первоначальный[[#This Row],[Дата платежа из графика]]="",Первоначальный[[#This Row],[Досрочное погашение (да/"")]]&lt;&gt;"Да"),0,
AND(S608=0,Первоначальный[[#This Row],[Досрочное погашение (да/"")]]=""),MIN(Первоначальный[[#This Row],[Полученный платеж]]+Y608-SUM(Первоначальный[[#This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комиссиям]]),VLOOKUP(LOOKUP(,-1/($Z$12:Z609=1),$A$12:A609),График[[Срок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платеж]]+Y608-SUM(Первоначальный[[#This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S608&gt;0,MIN(Первоначальный[[#This Row],[Полученный платеж]]+Y608-SUM(Первоначальный[[#This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комиссиям]]),SUM(INDIRECT("M"&amp;(MAX((1=S$12:S608)*ROW(S$12:S608),ROW($W$12))&amp;":M"&amp;(ROW()))))-SUM(INDIRECT("W"&amp;(MAX((1=S$12:S608)*ROW(S$12:S608),ROW($W$12))&amp;":W"&amp;(ROW()-1)))))
)
)</f>
        <v>0</v>
      </c>
      <c r="X609" s="55">
        <f t="shared" ca="1" si="110"/>
        <v>0</v>
      </c>
      <c r="Y609" s="101">
        <f t="shared" ca="1" si="117"/>
        <v>0</v>
      </c>
      <c r="Z609" s="133" t="str">
        <f>IF(TYPE((VLOOKUP(Первоначальный[[#This Row],[Дата платежа]],График[Срок конец],1,0)))=16,"",1)</f>
        <v/>
      </c>
      <c r="AA609" s="57"/>
      <c r="AB609" s="134"/>
      <c r="AC60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0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42509.219999999877</v>
      </c>
      <c r="AE60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1123.2600000000029</v>
      </c>
      <c r="AF60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0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64670.914155737803</v>
      </c>
      <c r="AH609" s="55"/>
      <c r="AI609" s="55"/>
      <c r="AJ609" s="55"/>
      <c r="AK609" s="101">
        <f t="shared" ca="1" si="118"/>
        <v>257936.73415573768</v>
      </c>
      <c r="AL609" s="129">
        <f t="array" ref="AL609">MAX((УслРестрактов[Характеристика]="Дата реструктуризации")*(УслРестрактов[Значение]=Первоначальный!$A609),0)</f>
        <v>0</v>
      </c>
    </row>
    <row r="610" spans="1:38" x14ac:dyDescent="0.25">
      <c r="A610" s="97">
        <f t="shared" si="111"/>
        <v>44741</v>
      </c>
      <c r="B610" s="100">
        <f t="shared" ca="1" si="112"/>
        <v>149633.34</v>
      </c>
      <c r="C610" s="55">
        <f t="shared" ca="1" si="120"/>
        <v>42509.219999999877</v>
      </c>
      <c r="D610" s="55">
        <f t="shared" ca="1" si="120"/>
        <v>1123.2600000000029</v>
      </c>
      <c r="E610" s="55">
        <f t="shared" ca="1" si="113"/>
        <v>0</v>
      </c>
      <c r="F610" s="55">
        <f t="shared" ca="1" si="114"/>
        <v>64670.914155737803</v>
      </c>
      <c r="G610" s="101">
        <f t="shared" ca="1" si="115"/>
        <v>257936.73415573768</v>
      </c>
      <c r="H610" s="100">
        <f ca="1">ROUND($B610*VLOOKUP($A610,$A$1:$B$10,2,1)/(365+IF(MOD(YEAR($A610),4),0,1)*($A610-$A609)),2)-Первоначальный[[#This Row],[Проценты на просроченный платеж по ОД за период]]</f>
        <v>77.11</v>
      </c>
      <c r="I610" s="55">
        <f t="shared" ca="1" si="116"/>
        <v>4.47</v>
      </c>
      <c r="J610" s="55">
        <v>0</v>
      </c>
      <c r="K610" s="55">
        <f t="shared" ca="1" si="119"/>
        <v>246.17850327868845</v>
      </c>
      <c r="L610" s="55">
        <v>0</v>
      </c>
      <c r="M610" s="113">
        <f>SUMIFS(График[Возврат основной суммы долга],График[Дата с учетом нерабочих дней],$A610)</f>
        <v>0</v>
      </c>
      <c r="N610" s="56">
        <f>SUMIFS(График[Возврат начисленных %],График[Дата с учетом нерабочих дней],$A610)</f>
        <v>0</v>
      </c>
      <c r="O610" s="101">
        <v>0</v>
      </c>
      <c r="P610" s="100" cm="1">
        <f t="array" aca="1" ref="P610" ca="1">MAX(IF(AA609="Да",0,SUM(INDIRECT("M"&amp;(MAX(("Да"=AA$12:AA609)*ROW(AA$12:AA609)+1,ROW($P$12))&amp;":M"&amp;(ROW()))))-SUM(INDIRECT("W"&amp;(MAX(("Да"=AA$12:AA609)*ROW(AA$12:AA609)+1,ROW($P$12))&amp;":W"&amp;(ROW()))))),0)</f>
        <v>8193.4399999999987</v>
      </c>
      <c r="Q610" s="99">
        <f ca="1">MAX(SUM($N$13:N610)-SUM($T$13:T610),0)</f>
        <v>41042.260655737693</v>
      </c>
      <c r="R610" s="99">
        <f ca="1">Первоначальный[[#This Row],[Просроченный платеж по ОД]]+Первоначальный[[#This Row],[Просроченный платеж по процентам]]</f>
        <v>49235.700655737688</v>
      </c>
      <c r="S610" s="120">
        <f ca="1">IF(Первоначальный[[#This Row],[Просроченный платеж]]&lt;1,0,S609+1)</f>
        <v>506</v>
      </c>
      <c r="T610" s="100" cm="1">
        <f t="array" aca="1" ref="T610" ca="1">IF(Первоначальный[[#This Row],[Итого остаток на начало периода]]&lt;1,0,
IF(
AND(TYPE(VLOOKUP(1,$Z$12:Z610,1,0))=16,Первоначальный[[#This Row],[Досрочное погашение (да/"")]]=""),0,
_xlfn.IFS(AND(S609=0,Первоначальный[[#This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платеж]]&lt;&gt;0),MIN(LOOKUP(,-1/($Z$12:Z610=1),$C$12:C610)+LOOKUP(,-1/($Z$12:Z610=1),$H$12:H610),Первоначальный[[#This Row],[Полученный платеж]]+Y609),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платеж]]+Y609,SUM(Первоначальный[[#This Row],[Остаток процентов на начало периода]],Первоначальный[[#This Row],[Проценты за период]])),
AND(S609=0,Первоначальный[[#This Row],[Дата платежа из графика]]=""),0,
AND(S609=0,Первоначальный[[#This Row],[Дата платежа из графика]]=1,MAX((0&lt;&gt;S$12:S609)*ROW(S$12:S609),ROW($S$12))&gt;=MAX((1=Z$12:Z609)*ROW(Z$12:Z609),ROW($T$12)),TYPE(VLOOKUP("Да",(INDIRECT("AA"&amp;(MAX((1=Z$12:Z609)*ROW(Z$12:Z609),ROW($T$12))&amp;":AA"&amp;(ROW()-1)))),1,0))=16),MIN(LOOKUP(,-1/($Z$12:Z610=1),$C$12:C610)+LOOKUP(,-1/($Z$12:Z610=1),$H$12:H610),Первоначальный[[#This Row],[Полученный платеж]]+Y609),
AND(S609=0,TYPE(VLOOKUP("Да",(INDIRECT("AA"&amp;(MAX((1=Z$12:Z609)*ROW(Z$12:Z609),ROW($T$12))&amp;":AA"&amp;(ROW()-1)))),1,0))&lt;&gt;16),MIN(LOOKUP(,-1/($Z$12:Z610=1),$C$12:C610)+LOOKUP(,-1/($Z$12:Z610=1),$H$12:H610)-IF(AA609="Да",0,SUM(INDIRECT("T"&amp;(MAX(("Да"=AA$12:AA609)*ROW(AA$12:AA609)+1,ROW($T$12))&amp;":T"&amp;(ROW()-1))))),Первоначальный[[#This Row],[Полученный платеж]]+Y609),
AND(S609=0,MAX((0&lt;&gt;N$12:N609)*ROW(N$12:N609),ROW($S$12))&gt;=MAX((1=Z$12:Z609)*ROW(Z$12:Z609),ROW($T$12))),MIN(LOOKUP(,-1/($Z$12:Z610=1),$C$12:C610)+LOOKUP(,-1/($Z$12:Z610=1),$H$12:H610)-IF(N609&lt;&gt;0,0,SUM(INDIRECT("T"&amp;(MAX((0&lt;&gt;N$12:N609)*ROW(N$12:N609)+1,ROW($T$12))&amp;":T"&amp;(ROW()-1))))),Первоначальный[[#This Row],[Полученный платеж]]+Y609),
AND(S609=0,Первоначальный[[#This Row],[Дата платежа из графика]]=1),MIN(LOOKUP(,-1/($Z$12:Z610=1),$C$12:C610)+LOOKUP(,-1/($Z$12:Z610=1),$H$12:H610)-IF(Z609=1,0,SUM(INDIRECT("T"&amp;(MAX((1=Z$12:Z609)*ROW(Z$12:Z609)+1,ROW($T$12))&amp;":T"&amp;(ROW()-1))))),Первоначальный[[#This Row],[Полученный платеж]]+Y609),
AND(Z609&gt;0,Первоначальный[[#This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платеж]]+Y609),
AND(S609&gt;0,MAX((0&lt;&gt;S$12:S609)*ROW(S$12:S609),ROW($S$12))&gt;=MAX((1=Z$12:Z609)*ROW(Z$12:Z609),ROW($T$12)),TYPE(VLOOKUP("Да",(INDIRECT("AA"&amp;(MAX((1=Z$12:Z609)*ROW(Z$12:Z609),ROW($T$12))&amp;":AA"&amp;(ROW()-1)))),1,0))=16),MIN(LOOKUP(,-1/($Z$12:Z610=1),$C$12:C610)+LOOKUP(,-1/($Z$12:Z610=1),$H$12:H610)-SUM(INDIRECT("T"&amp;(MAX((1=Z$12:Z609)*ROW(Z$12:Z609),ROW($T$12))&amp;":T"&amp;(ROW()-1)))),Первоначальный[[#This Row],[Полученный платеж]]+Y609),
S609&gt;0,MIN(LOOKUP(,-1/($Z$12:Z610=1),$C$12:C610)+LOOKUP(,-1/($Z$12:Z610=1),$H$12:H610)-IF(Z609=1,0,SUM(INDIRECT("T"&amp;(MAX((1=Z$12:Z609)*ROW(Z$12:Z609)+1,ROW($T$12))&amp;":T"&amp;(ROW()-1))))),Первоначальный[[#This Row],[Полученный платеж]]+Y609)
)
)
)</f>
        <v>0</v>
      </c>
      <c r="U61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платеж]]+Y609-Первоначальный[[#This Row],[Полученный платёж по процентам]])</f>
        <v>0</v>
      </c>
      <c r="V610" s="55">
        <f t="shared" ca="1" si="109"/>
        <v>0</v>
      </c>
      <c r="W610" s="55" cm="1">
        <f t="array" aca="1" ref="W610" ca="1">IF(Первоначальный[[#This Row],[Итого остаток на начало периода]]&lt;1,0,
_xlfn.IFS(
AND(TYPE(VLOOKUP(1,$Z$12:Z610,1,0))=16,Первоначальный[[#This Row],[Досрочное погашение (да/"")]]=""),0,
AND(S609=0,Первоначальный[[#This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платеж]]+Y609-SUM(Первоначальный[[#This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комиссиям]]),VLOOKUP(LOOKUP(,-1/($Z$12:Z610=1),$A$12:A610),График[[Срок конец]:[Возврат основной суммы долга]],3,0)),
AND(S609=0,Первоначальный[[#This Row],[Дата платежа из графика]]="",Первоначальный[[#This Row],[Досрочное погашение (да/"")]]&lt;&gt;"Да"),0,
AND(S609=0,Первоначальный[[#This Row],[Досрочное погашение (да/"")]]=""),MIN(Первоначальный[[#This Row],[Полученный платеж]]+Y609-SUM(Первоначальный[[#This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комиссиям]]),VLOOKUP(LOOKUP(,-1/($Z$12:Z610=1),$A$12:A610),График[[Срок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платеж]]+Y609-SUM(Первоначальный[[#This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S609&gt;0,MIN(Первоначальный[[#This Row],[Полученный платеж]]+Y609-SUM(Первоначальный[[#This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комиссиям]]),SUM(INDIRECT("M"&amp;(MAX((1=S$12:S609)*ROW(S$12:S609),ROW($W$12))&amp;":M"&amp;(ROW()))))-SUM(INDIRECT("W"&amp;(MAX((1=S$12:S609)*ROW(S$12:S609),ROW($W$12))&amp;":W"&amp;(ROW()-1)))))
)
)</f>
        <v>0</v>
      </c>
      <c r="X610" s="55">
        <f t="shared" ca="1" si="110"/>
        <v>0</v>
      </c>
      <c r="Y610" s="101">
        <f t="shared" ca="1" si="117"/>
        <v>0</v>
      </c>
      <c r="Z610" s="133" t="str">
        <f>IF(TYPE((VLOOKUP(Первоначальный[[#This Row],[Дата платежа]],График[Срок конец],1,0)))=16,"",1)</f>
        <v/>
      </c>
      <c r="AA610" s="57"/>
      <c r="AB610" s="134"/>
      <c r="AC61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1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42586.329999999878</v>
      </c>
      <c r="AE61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1127.730000000003</v>
      </c>
      <c r="AF61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1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64917.092659016489</v>
      </c>
      <c r="AH610" s="55"/>
      <c r="AI610" s="55"/>
      <c r="AJ610" s="55"/>
      <c r="AK610" s="101">
        <f t="shared" ca="1" si="118"/>
        <v>258264.49265901637</v>
      </c>
      <c r="AL610" s="129">
        <f t="array" ref="AL610">MAX((УслРестрактов[Характеристика]="Дата реструктуризации")*(УслРестрактов[Значение]=Первоначальный!$A610),0)</f>
        <v>0</v>
      </c>
    </row>
    <row r="611" spans="1:38" x14ac:dyDescent="0.25">
      <c r="A611" s="97">
        <f t="shared" si="111"/>
        <v>44742</v>
      </c>
      <c r="B611" s="100">
        <f t="shared" ca="1" si="112"/>
        <v>149633.34</v>
      </c>
      <c r="C611" s="55">
        <f t="shared" ca="1" si="120"/>
        <v>42586.329999999878</v>
      </c>
      <c r="D611" s="55">
        <f t="shared" ca="1" si="120"/>
        <v>1127.730000000003</v>
      </c>
      <c r="E611" s="55">
        <f t="shared" ca="1" si="113"/>
        <v>0</v>
      </c>
      <c r="F611" s="55">
        <f t="shared" ca="1" si="114"/>
        <v>64917.092659016489</v>
      </c>
      <c r="G611" s="101">
        <f t="shared" ca="1" si="115"/>
        <v>258264.49265901637</v>
      </c>
      <c r="H611" s="100">
        <f ca="1">ROUND($B611*VLOOKUP($A611,$A$1:$B$10,2,1)/(365+IF(MOD(YEAR($A611),4),0,1)*($A611-$A610)),2)-Первоначальный[[#This Row],[Проценты на просроченный платеж по ОД за период]]</f>
        <v>77.11</v>
      </c>
      <c r="I611" s="55">
        <f t="shared" ca="1" si="116"/>
        <v>4.47</v>
      </c>
      <c r="J611" s="55">
        <v>0</v>
      </c>
      <c r="K611" s="55">
        <f t="shared" ca="1" si="119"/>
        <v>246.17850327868845</v>
      </c>
      <c r="L611" s="55">
        <v>0</v>
      </c>
      <c r="M611" s="113">
        <f>SUMIFS(График[Возврат основной суммы долга],График[Дата с учетом нерабочих дней],$A611)</f>
        <v>0</v>
      </c>
      <c r="N611" s="56">
        <f>SUMIFS(График[Возврат начисленных %],График[Дата с учетом нерабочих дней],$A611)</f>
        <v>0</v>
      </c>
      <c r="O611" s="101">
        <v>0</v>
      </c>
      <c r="P611" s="100" cm="1">
        <f t="array" aca="1" ref="P611" ca="1">MAX(IF(AA610="Да",0,SUM(INDIRECT("M"&amp;(MAX(("Да"=AA$12:AA610)*ROW(AA$12:AA610)+1,ROW($P$12))&amp;":M"&amp;(ROW()))))-SUM(INDIRECT("W"&amp;(MAX(("Да"=AA$12:AA610)*ROW(AA$12:AA610)+1,ROW($P$12))&amp;":W"&amp;(ROW()))))),0)</f>
        <v>8193.4399999999987</v>
      </c>
      <c r="Q611" s="99">
        <f ca="1">MAX(SUM($N$13:N611)-SUM($T$13:T611),0)</f>
        <v>41042.260655737693</v>
      </c>
      <c r="R611" s="99">
        <f ca="1">Первоначальный[[#This Row],[Просроченный платеж по ОД]]+Первоначальный[[#This Row],[Просроченный платеж по процентам]]</f>
        <v>49235.700655737688</v>
      </c>
      <c r="S611" s="120">
        <f ca="1">IF(Первоначальный[[#This Row],[Просроченный платеж]]&lt;1,0,S610+1)</f>
        <v>507</v>
      </c>
      <c r="T611" s="100" cm="1">
        <f t="array" aca="1" ref="T611" ca="1">IF(Первоначальный[[#This Row],[Итого остаток на начало периода]]&lt;1,0,
IF(
AND(TYPE(VLOOKUP(1,$Z$12:Z611,1,0))=16,Первоначальный[[#This Row],[Досрочное погашение (да/"")]]=""),0,
_xlfn.IFS(AND(S610=0,Первоначальный[[#This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платеж]]&lt;&gt;0),MIN(LOOKUP(,-1/($Z$12:Z611=1),$C$12:C611)+LOOKUP(,-1/($Z$12:Z611=1),$H$12:H611),Первоначальный[[#This Row],[Полученный платеж]]+Y610),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платеж]]+Y610,SUM(Первоначальный[[#This Row],[Остаток процентов на начало периода]],Первоначальный[[#This Row],[Проценты за период]])),
AND(S610=0,Первоначальный[[#This Row],[Дата платежа из графика]]=""),0,
AND(S610=0,Первоначальный[[#This Row],[Дата платежа из графика]]=1,MAX((0&lt;&gt;S$12:S610)*ROW(S$12:S610),ROW($S$12))&gt;=MAX((1=Z$12:Z610)*ROW(Z$12:Z610),ROW($T$12)),TYPE(VLOOKUP("Да",(INDIRECT("AA"&amp;(MAX((1=Z$12:Z610)*ROW(Z$12:Z610),ROW($T$12))&amp;":AA"&amp;(ROW()-1)))),1,0))=16),MIN(LOOKUP(,-1/($Z$12:Z611=1),$C$12:C611)+LOOKUP(,-1/($Z$12:Z611=1),$H$12:H611),Первоначальный[[#This Row],[Полученный платеж]]+Y610),
AND(S610=0,TYPE(VLOOKUP("Да",(INDIRECT("AA"&amp;(MAX((1=Z$12:Z610)*ROW(Z$12:Z610),ROW($T$12))&amp;":AA"&amp;(ROW()-1)))),1,0))&lt;&gt;16),MIN(LOOKUP(,-1/($Z$12:Z611=1),$C$12:C611)+LOOKUP(,-1/($Z$12:Z611=1),$H$12:H611)-IF(AA610="Да",0,SUM(INDIRECT("T"&amp;(MAX(("Да"=AA$12:AA610)*ROW(AA$12:AA610)+1,ROW($T$12))&amp;":T"&amp;(ROW()-1))))),Первоначальный[[#This Row],[Полученный платеж]]+Y610),
AND(S610=0,MAX((0&lt;&gt;N$12:N610)*ROW(N$12:N610),ROW($S$12))&gt;=MAX((1=Z$12:Z610)*ROW(Z$12:Z610),ROW($T$12))),MIN(LOOKUP(,-1/($Z$12:Z611=1),$C$12:C611)+LOOKUP(,-1/($Z$12:Z611=1),$H$12:H611)-IF(N610&lt;&gt;0,0,SUM(INDIRECT("T"&amp;(MAX((0&lt;&gt;N$12:N610)*ROW(N$12:N610)+1,ROW($T$12))&amp;":T"&amp;(ROW()-1))))),Первоначальный[[#This Row],[Полученный платеж]]+Y610),
AND(S610=0,Первоначальный[[#This Row],[Дата платежа из графика]]=1),MIN(LOOKUP(,-1/($Z$12:Z611=1),$C$12:C611)+LOOKUP(,-1/($Z$12:Z611=1),$H$12:H611)-IF(Z610=1,0,SUM(INDIRECT("T"&amp;(MAX((1=Z$12:Z610)*ROW(Z$12:Z610)+1,ROW($T$12))&amp;":T"&amp;(ROW()-1))))),Первоначальный[[#This Row],[Полученный платеж]]+Y610),
AND(Z610&gt;0,Первоначальный[[#This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платеж]]+Y610),
AND(S610&gt;0,MAX((0&lt;&gt;S$12:S610)*ROW(S$12:S610),ROW($S$12))&gt;=MAX((1=Z$12:Z610)*ROW(Z$12:Z610),ROW($T$12)),TYPE(VLOOKUP("Да",(INDIRECT("AA"&amp;(MAX((1=Z$12:Z610)*ROW(Z$12:Z610),ROW($T$12))&amp;":AA"&amp;(ROW()-1)))),1,0))=16),MIN(LOOKUP(,-1/($Z$12:Z611=1),$C$12:C611)+LOOKUP(,-1/($Z$12:Z611=1),$H$12:H611)-SUM(INDIRECT("T"&amp;(MAX((1=Z$12:Z610)*ROW(Z$12:Z610),ROW($T$12))&amp;":T"&amp;(ROW()-1)))),Первоначальный[[#This Row],[Полученный платеж]]+Y610),
S610&gt;0,MIN(LOOKUP(,-1/($Z$12:Z611=1),$C$12:C611)+LOOKUP(,-1/($Z$12:Z611=1),$H$12:H611)-IF(Z610=1,0,SUM(INDIRECT("T"&amp;(MAX((1=Z$12:Z610)*ROW(Z$12:Z610)+1,ROW($T$12))&amp;":T"&amp;(ROW()-1))))),Первоначальный[[#This Row],[Полученный платеж]]+Y610)
)
)
)</f>
        <v>0</v>
      </c>
      <c r="U61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платеж]]+Y610-Первоначальный[[#This Row],[Полученный платёж по процентам]])</f>
        <v>0</v>
      </c>
      <c r="V611" s="55">
        <f t="shared" ca="1" si="109"/>
        <v>0</v>
      </c>
      <c r="W611" s="55" cm="1">
        <f t="array" aca="1" ref="W611" ca="1">IF(Первоначальный[[#This Row],[Итого остаток на начало периода]]&lt;1,0,
_xlfn.IFS(
AND(TYPE(VLOOKUP(1,$Z$12:Z611,1,0))=16,Первоначальный[[#This Row],[Досрочное погашение (да/"")]]=""),0,
AND(S610=0,Первоначальный[[#This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платеж]]+Y610-SUM(Первоначальный[[#This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комиссиям]]),VLOOKUP(LOOKUP(,-1/($Z$12:Z611=1),$A$12:A611),График[[Срок конец]:[Возврат основной суммы долга]],3,0)),
AND(S610=0,Первоначальный[[#This Row],[Дата платежа из графика]]="",Первоначальный[[#This Row],[Досрочное погашение (да/"")]]&lt;&gt;"Да"),0,
AND(S610=0,Первоначальный[[#This Row],[Досрочное погашение (да/"")]]=""),MIN(Первоначальный[[#This Row],[Полученный платеж]]+Y610-SUM(Первоначальный[[#This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комиссиям]]),VLOOKUP(LOOKUP(,-1/($Z$12:Z611=1),$A$12:A611),График[[Срок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платеж]]+Y610-SUM(Первоначальный[[#This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S610&gt;0,MIN(Первоначальный[[#This Row],[Полученный платеж]]+Y610-SUM(Первоначальный[[#This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комиссиям]]),SUM(INDIRECT("M"&amp;(MAX((1=S$12:S610)*ROW(S$12:S610),ROW($W$12))&amp;":M"&amp;(ROW()))))-SUM(INDIRECT("W"&amp;(MAX((1=S$12:S610)*ROW(S$12:S610),ROW($W$12))&amp;":W"&amp;(ROW()-1)))))
)
)</f>
        <v>0</v>
      </c>
      <c r="X611" s="55">
        <f t="shared" ca="1" si="110"/>
        <v>0</v>
      </c>
      <c r="Y611" s="101">
        <f t="shared" ca="1" si="117"/>
        <v>0</v>
      </c>
      <c r="Z611" s="133" t="str">
        <f>IF(TYPE((VLOOKUP(Первоначальный[[#This Row],[Дата платежа]],График[Срок конец],1,0)))=16,"",1)</f>
        <v/>
      </c>
      <c r="AA611" s="57"/>
      <c r="AB611" s="134"/>
      <c r="AC61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1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42663.439999999879</v>
      </c>
      <c r="AE61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1132.200000000003</v>
      </c>
      <c r="AF61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1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65163.271162295176</v>
      </c>
      <c r="AH611" s="55"/>
      <c r="AI611" s="55"/>
      <c r="AJ611" s="55"/>
      <c r="AK611" s="101">
        <f t="shared" ca="1" si="118"/>
        <v>258592.25116229506</v>
      </c>
      <c r="AL611" s="129">
        <f t="array" ref="AL611">MAX((УслРестрактов[Характеристика]="Дата реструктуризации")*(УслРестрактов[Значение]=Первоначальный!$A611),0)</f>
        <v>0</v>
      </c>
    </row>
    <row r="612" spans="1:38" x14ac:dyDescent="0.25">
      <c r="A612" s="97">
        <f t="shared" si="111"/>
        <v>44743</v>
      </c>
      <c r="B612" s="100">
        <f t="shared" ca="1" si="112"/>
        <v>149633.34</v>
      </c>
      <c r="C612" s="55">
        <f t="shared" ca="1" si="120"/>
        <v>42663.439999999879</v>
      </c>
      <c r="D612" s="55">
        <f t="shared" ca="1" si="120"/>
        <v>1132.200000000003</v>
      </c>
      <c r="E612" s="55">
        <f t="shared" ca="1" si="113"/>
        <v>0</v>
      </c>
      <c r="F612" s="55">
        <f t="shared" ca="1" si="114"/>
        <v>65163.271162295176</v>
      </c>
      <c r="G612" s="101">
        <f t="shared" ca="1" si="115"/>
        <v>258592.25116229506</v>
      </c>
      <c r="H612" s="100">
        <f ca="1">ROUND($B612*VLOOKUP($A612,$A$1:$B$10,2,1)/(365+IF(MOD(YEAR($A612),4),0,1)*($A612-$A611)),2)-Первоначальный[[#This Row],[Проценты на просроченный платеж по ОД за период]]</f>
        <v>77.11</v>
      </c>
      <c r="I612" s="55">
        <f t="shared" ca="1" si="116"/>
        <v>4.47</v>
      </c>
      <c r="J612" s="55">
        <v>0</v>
      </c>
      <c r="K612" s="55">
        <f t="shared" ca="1" si="119"/>
        <v>246.17850327868845</v>
      </c>
      <c r="L612" s="55">
        <v>0</v>
      </c>
      <c r="M612" s="113">
        <f>SUMIFS(График[Возврат основной суммы долга],График[Дата с учетом нерабочих дней],$A612)</f>
        <v>0</v>
      </c>
      <c r="N612" s="56">
        <f>SUMIFS(График[Возврат начисленных %],График[Дата с учетом нерабочих дней],$A612)</f>
        <v>0</v>
      </c>
      <c r="O612" s="101">
        <v>0</v>
      </c>
      <c r="P612" s="100" cm="1">
        <f t="array" aca="1" ref="P612" ca="1">MAX(IF(AA611="Да",0,SUM(INDIRECT("M"&amp;(MAX(("Да"=AA$12:AA611)*ROW(AA$12:AA611)+1,ROW($P$12))&amp;":M"&amp;(ROW()))))-SUM(INDIRECT("W"&amp;(MAX(("Да"=AA$12:AA611)*ROW(AA$12:AA611)+1,ROW($P$12))&amp;":W"&amp;(ROW()))))),0)</f>
        <v>8193.4399999999987</v>
      </c>
      <c r="Q612" s="99">
        <f ca="1">MAX(SUM($N$13:N612)-SUM($T$13:T612),0)</f>
        <v>41042.260655737693</v>
      </c>
      <c r="R612" s="99">
        <f ca="1">Первоначальный[[#This Row],[Просроченный платеж по ОД]]+Первоначальный[[#This Row],[Просроченный платеж по процентам]]</f>
        <v>49235.700655737688</v>
      </c>
      <c r="S612" s="120">
        <f ca="1">IF(Первоначальный[[#This Row],[Просроченный платеж]]&lt;1,0,S611+1)</f>
        <v>508</v>
      </c>
      <c r="T612" s="100" cm="1">
        <f t="array" aca="1" ref="T612" ca="1">IF(Первоначальный[[#This Row],[Итого остаток на начало периода]]&lt;1,0,
IF(
AND(TYPE(VLOOKUP(1,$Z$12:Z612,1,0))=16,Первоначальный[[#This Row],[Досрочное погашение (да/"")]]=""),0,
_xlfn.IFS(AND(S611=0,Первоначальный[[#This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платеж]]&lt;&gt;0),MIN(LOOKUP(,-1/($Z$12:Z612=1),$C$12:C612)+LOOKUP(,-1/($Z$12:Z612=1),$H$12:H612),Первоначальный[[#This Row],[Полученный платеж]]+Y611),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платеж]]+Y611,SUM(Первоначальный[[#This Row],[Остаток процентов на начало периода]],Первоначальный[[#This Row],[Проценты за период]])),
AND(S611=0,Первоначальный[[#This Row],[Дата платежа из графика]]=""),0,
AND(S611=0,Первоначальный[[#This Row],[Дата платежа из графика]]=1,MAX((0&lt;&gt;S$12:S611)*ROW(S$12:S611),ROW($S$12))&gt;=MAX((1=Z$12:Z611)*ROW(Z$12:Z611),ROW($T$12)),TYPE(VLOOKUP("Да",(INDIRECT("AA"&amp;(MAX((1=Z$12:Z611)*ROW(Z$12:Z611),ROW($T$12))&amp;":AA"&amp;(ROW()-1)))),1,0))=16),MIN(LOOKUP(,-1/($Z$12:Z612=1),$C$12:C612)+LOOKUP(,-1/($Z$12:Z612=1),$H$12:H612),Первоначальный[[#This Row],[Полученный платеж]]+Y611),
AND(S611=0,TYPE(VLOOKUP("Да",(INDIRECT("AA"&amp;(MAX((1=Z$12:Z611)*ROW(Z$12:Z611),ROW($T$12))&amp;":AA"&amp;(ROW()-1)))),1,0))&lt;&gt;16),MIN(LOOKUP(,-1/($Z$12:Z612=1),$C$12:C612)+LOOKUP(,-1/($Z$12:Z612=1),$H$12:H612)-IF(AA611="Да",0,SUM(INDIRECT("T"&amp;(MAX(("Да"=AA$12:AA611)*ROW(AA$12:AA611)+1,ROW($T$12))&amp;":T"&amp;(ROW()-1))))),Первоначальный[[#This Row],[Полученный платеж]]+Y611),
AND(S611=0,MAX((0&lt;&gt;N$12:N611)*ROW(N$12:N611),ROW($S$12))&gt;=MAX((1=Z$12:Z611)*ROW(Z$12:Z611),ROW($T$12))),MIN(LOOKUP(,-1/($Z$12:Z612=1),$C$12:C612)+LOOKUP(,-1/($Z$12:Z612=1),$H$12:H612)-IF(N611&lt;&gt;0,0,SUM(INDIRECT("T"&amp;(MAX((0&lt;&gt;N$12:N611)*ROW(N$12:N611)+1,ROW($T$12))&amp;":T"&amp;(ROW()-1))))),Первоначальный[[#This Row],[Полученный платеж]]+Y611),
AND(S611=0,Первоначальный[[#This Row],[Дата платежа из графика]]=1),MIN(LOOKUP(,-1/($Z$12:Z612=1),$C$12:C612)+LOOKUP(,-1/($Z$12:Z612=1),$H$12:H612)-IF(Z611=1,0,SUM(INDIRECT("T"&amp;(MAX((1=Z$12:Z611)*ROW(Z$12:Z611)+1,ROW($T$12))&amp;":T"&amp;(ROW()-1))))),Первоначальный[[#This Row],[Полученный платеж]]+Y611),
AND(Z611&gt;0,Первоначальный[[#This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платеж]]+Y611),
AND(S611&gt;0,MAX((0&lt;&gt;S$12:S611)*ROW(S$12:S611),ROW($S$12))&gt;=MAX((1=Z$12:Z611)*ROW(Z$12:Z611),ROW($T$12)),TYPE(VLOOKUP("Да",(INDIRECT("AA"&amp;(MAX((1=Z$12:Z611)*ROW(Z$12:Z611),ROW($T$12))&amp;":AA"&amp;(ROW()-1)))),1,0))=16),MIN(LOOKUP(,-1/($Z$12:Z612=1),$C$12:C612)+LOOKUP(,-1/($Z$12:Z612=1),$H$12:H612)-SUM(INDIRECT("T"&amp;(MAX((1=Z$12:Z611)*ROW(Z$12:Z611),ROW($T$12))&amp;":T"&amp;(ROW()-1)))),Первоначальный[[#This Row],[Полученный платеж]]+Y611),
S611&gt;0,MIN(LOOKUP(,-1/($Z$12:Z612=1),$C$12:C612)+LOOKUP(,-1/($Z$12:Z612=1),$H$12:H612)-IF(Z611=1,0,SUM(INDIRECT("T"&amp;(MAX((1=Z$12:Z611)*ROW(Z$12:Z611)+1,ROW($T$12))&amp;":T"&amp;(ROW()-1))))),Первоначальный[[#This Row],[Полученный платеж]]+Y611)
)
)
)</f>
        <v>0</v>
      </c>
      <c r="U61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платеж]]+Y611-Первоначальный[[#This Row],[Полученный платёж по процентам]])</f>
        <v>0</v>
      </c>
      <c r="V612" s="55">
        <f t="shared" ca="1" si="109"/>
        <v>0</v>
      </c>
      <c r="W612" s="55" cm="1">
        <f t="array" aca="1" ref="W612" ca="1">IF(Первоначальный[[#This Row],[Итого остаток на начало периода]]&lt;1,0,
_xlfn.IFS(
AND(TYPE(VLOOKUP(1,$Z$12:Z612,1,0))=16,Первоначальный[[#This Row],[Досрочное погашение (да/"")]]=""),0,
AND(S611=0,Первоначальный[[#This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платеж]]+Y611-SUM(Первоначальный[[#This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комиссиям]]),VLOOKUP(LOOKUP(,-1/($Z$12:Z612=1),$A$12:A612),График[[Срок конец]:[Возврат основной суммы долга]],3,0)),
AND(S611=0,Первоначальный[[#This Row],[Дата платежа из графика]]="",Первоначальный[[#This Row],[Досрочное погашение (да/"")]]&lt;&gt;"Да"),0,
AND(S611=0,Первоначальный[[#This Row],[Досрочное погашение (да/"")]]=""),MIN(Первоначальный[[#This Row],[Полученный платеж]]+Y611-SUM(Первоначальный[[#This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комиссиям]]),VLOOKUP(LOOKUP(,-1/($Z$12:Z612=1),$A$12:A612),График[[Срок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платеж]]+Y611-SUM(Первоначальный[[#This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S611&gt;0,MIN(Первоначальный[[#This Row],[Полученный платеж]]+Y611-SUM(Первоначальный[[#This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комиссиям]]),SUM(INDIRECT("M"&amp;(MAX((1=S$12:S611)*ROW(S$12:S611),ROW($W$12))&amp;":M"&amp;(ROW()))))-SUM(INDIRECT("W"&amp;(MAX((1=S$12:S611)*ROW(S$12:S611),ROW($W$12))&amp;":W"&amp;(ROW()-1)))))
)
)</f>
        <v>0</v>
      </c>
      <c r="X612" s="55">
        <f t="shared" ca="1" si="110"/>
        <v>0</v>
      </c>
      <c r="Y612" s="101">
        <f t="shared" ca="1" si="117"/>
        <v>0</v>
      </c>
      <c r="Z612" s="133" t="str">
        <f>IF(TYPE((VLOOKUP(Первоначальный[[#This Row],[Дата платежа]],График[Срок конец],1,0)))=16,"",1)</f>
        <v/>
      </c>
      <c r="AA612" s="57"/>
      <c r="AB612" s="134"/>
      <c r="AC61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1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42740.549999999879</v>
      </c>
      <c r="AE61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1136.670000000003</v>
      </c>
      <c r="AF61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1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65409.449665573862</v>
      </c>
      <c r="AH612" s="55"/>
      <c r="AI612" s="55"/>
      <c r="AJ612" s="55"/>
      <c r="AK612" s="101">
        <f t="shared" ca="1" si="118"/>
        <v>258920.00966557374</v>
      </c>
      <c r="AL612" s="129">
        <f t="array" ref="AL612">MAX((УслРестрактов[Характеристика]="Дата реструктуризации")*(УслРестрактов[Значение]=Первоначальный!$A612),0)</f>
        <v>0</v>
      </c>
    </row>
    <row r="613" spans="1:38" x14ac:dyDescent="0.25">
      <c r="A613" s="97">
        <f t="shared" si="111"/>
        <v>44744</v>
      </c>
      <c r="B613" s="100">
        <f t="shared" ca="1" si="112"/>
        <v>149633.34</v>
      </c>
      <c r="C613" s="55">
        <f t="shared" ca="1" si="120"/>
        <v>42740.549999999879</v>
      </c>
      <c r="D613" s="55">
        <f t="shared" ca="1" si="120"/>
        <v>1136.670000000003</v>
      </c>
      <c r="E613" s="55">
        <f t="shared" ca="1" si="113"/>
        <v>0</v>
      </c>
      <c r="F613" s="55">
        <f t="shared" ca="1" si="114"/>
        <v>65409.449665573862</v>
      </c>
      <c r="G613" s="101">
        <f t="shared" ca="1" si="115"/>
        <v>258920.00966557374</v>
      </c>
      <c r="H613" s="100">
        <f ca="1">ROUND($B613*VLOOKUP($A613,$A$1:$B$10,2,1)/(365+IF(MOD(YEAR($A613),4),0,1)*($A613-$A612)),2)-Первоначальный[[#This Row],[Проценты на просроченный платеж по ОД за период]]</f>
        <v>77.11</v>
      </c>
      <c r="I613" s="55">
        <f t="shared" ca="1" si="116"/>
        <v>4.47</v>
      </c>
      <c r="J613" s="55">
        <v>0</v>
      </c>
      <c r="K613" s="55">
        <f t="shared" ca="1" si="119"/>
        <v>246.17850327868845</v>
      </c>
      <c r="L613" s="55">
        <v>0</v>
      </c>
      <c r="M613" s="113">
        <f>SUMIFS(График[Возврат основной суммы долга],График[Дата с учетом нерабочих дней],$A613)</f>
        <v>0</v>
      </c>
      <c r="N613" s="56">
        <f>SUMIFS(График[Возврат начисленных %],График[Дата с учетом нерабочих дней],$A613)</f>
        <v>0</v>
      </c>
      <c r="O613" s="101">
        <v>0</v>
      </c>
      <c r="P613" s="100" cm="1">
        <f t="array" aca="1" ref="P613" ca="1">MAX(IF(AA612="Да",0,SUM(INDIRECT("M"&amp;(MAX(("Да"=AA$12:AA612)*ROW(AA$12:AA612)+1,ROW($P$12))&amp;":M"&amp;(ROW()))))-SUM(INDIRECT("W"&amp;(MAX(("Да"=AA$12:AA612)*ROW(AA$12:AA612)+1,ROW($P$12))&amp;":W"&amp;(ROW()))))),0)</f>
        <v>8193.4399999999987</v>
      </c>
      <c r="Q613" s="99">
        <f ca="1">MAX(SUM($N$13:N613)-SUM($T$13:T613),0)</f>
        <v>41042.260655737693</v>
      </c>
      <c r="R613" s="99">
        <f ca="1">Первоначальный[[#This Row],[Просроченный платеж по ОД]]+Первоначальный[[#This Row],[Просроченный платеж по процентам]]</f>
        <v>49235.700655737688</v>
      </c>
      <c r="S613" s="120">
        <f ca="1">IF(Первоначальный[[#This Row],[Просроченный платеж]]&lt;1,0,S612+1)</f>
        <v>509</v>
      </c>
      <c r="T613" s="100" cm="1">
        <f t="array" aca="1" ref="T613" ca="1">IF(Первоначальный[[#This Row],[Итого остаток на начало периода]]&lt;1,0,
IF(
AND(TYPE(VLOOKUP(1,$Z$12:Z613,1,0))=16,Первоначальный[[#This Row],[Досрочное погашение (да/"")]]=""),0,
_xlfn.IFS(AND(S612=0,Первоначальный[[#This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платеж]]&lt;&gt;0),MIN(LOOKUP(,-1/($Z$12:Z613=1),$C$12:C613)+LOOKUP(,-1/($Z$12:Z613=1),$H$12:H613),Первоначальный[[#This Row],[Полученный платеж]]+Y612),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платеж]]+Y612,SUM(Первоначальный[[#This Row],[Остаток процентов на начало периода]],Первоначальный[[#This Row],[Проценты за период]])),
AND(S612=0,Первоначальный[[#This Row],[Дата платежа из графика]]=""),0,
AND(S612=0,Первоначальный[[#This Row],[Дата платежа из графика]]=1,MAX((0&lt;&gt;S$12:S612)*ROW(S$12:S612),ROW($S$12))&gt;=MAX((1=Z$12:Z612)*ROW(Z$12:Z612),ROW($T$12)),TYPE(VLOOKUP("Да",(INDIRECT("AA"&amp;(MAX((1=Z$12:Z612)*ROW(Z$12:Z612),ROW($T$12))&amp;":AA"&amp;(ROW()-1)))),1,0))=16),MIN(LOOKUP(,-1/($Z$12:Z613=1),$C$12:C613)+LOOKUP(,-1/($Z$12:Z613=1),$H$12:H613),Первоначальный[[#This Row],[Полученный платеж]]+Y612),
AND(S612=0,TYPE(VLOOKUP("Да",(INDIRECT("AA"&amp;(MAX((1=Z$12:Z612)*ROW(Z$12:Z612),ROW($T$12))&amp;":AA"&amp;(ROW()-1)))),1,0))&lt;&gt;16),MIN(LOOKUP(,-1/($Z$12:Z613=1),$C$12:C613)+LOOKUP(,-1/($Z$12:Z613=1),$H$12:H613)-IF(AA612="Да",0,SUM(INDIRECT("T"&amp;(MAX(("Да"=AA$12:AA612)*ROW(AA$12:AA612)+1,ROW($T$12))&amp;":T"&amp;(ROW()-1))))),Первоначальный[[#This Row],[Полученный платеж]]+Y612),
AND(S612=0,MAX((0&lt;&gt;N$12:N612)*ROW(N$12:N612),ROW($S$12))&gt;=MAX((1=Z$12:Z612)*ROW(Z$12:Z612),ROW($T$12))),MIN(LOOKUP(,-1/($Z$12:Z613=1),$C$12:C613)+LOOKUP(,-1/($Z$12:Z613=1),$H$12:H613)-IF(N612&lt;&gt;0,0,SUM(INDIRECT("T"&amp;(MAX((0&lt;&gt;N$12:N612)*ROW(N$12:N612)+1,ROW($T$12))&amp;":T"&amp;(ROW()-1))))),Первоначальный[[#This Row],[Полученный платеж]]+Y612),
AND(S612=0,Первоначальный[[#This Row],[Дата платежа из графика]]=1),MIN(LOOKUP(,-1/($Z$12:Z613=1),$C$12:C613)+LOOKUP(,-1/($Z$12:Z613=1),$H$12:H613)-IF(Z612=1,0,SUM(INDIRECT("T"&amp;(MAX((1=Z$12:Z612)*ROW(Z$12:Z612)+1,ROW($T$12))&amp;":T"&amp;(ROW()-1))))),Первоначальный[[#This Row],[Полученный платеж]]+Y612),
AND(Z612&gt;0,Первоначальный[[#This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платеж]]+Y612),
AND(S612&gt;0,MAX((0&lt;&gt;S$12:S612)*ROW(S$12:S612),ROW($S$12))&gt;=MAX((1=Z$12:Z612)*ROW(Z$12:Z612),ROW($T$12)),TYPE(VLOOKUP("Да",(INDIRECT("AA"&amp;(MAX((1=Z$12:Z612)*ROW(Z$12:Z612),ROW($T$12))&amp;":AA"&amp;(ROW()-1)))),1,0))=16),MIN(LOOKUP(,-1/($Z$12:Z613=1),$C$12:C613)+LOOKUP(,-1/($Z$12:Z613=1),$H$12:H613)-SUM(INDIRECT("T"&amp;(MAX((1=Z$12:Z612)*ROW(Z$12:Z612),ROW($T$12))&amp;":T"&amp;(ROW()-1)))),Первоначальный[[#This Row],[Полученный платеж]]+Y612),
S612&gt;0,MIN(LOOKUP(,-1/($Z$12:Z613=1),$C$12:C613)+LOOKUP(,-1/($Z$12:Z613=1),$H$12:H613)-IF(Z612=1,0,SUM(INDIRECT("T"&amp;(MAX((1=Z$12:Z612)*ROW(Z$12:Z612)+1,ROW($T$12))&amp;":T"&amp;(ROW()-1))))),Первоначальный[[#This Row],[Полученный платеж]]+Y612)
)
)
)</f>
        <v>0</v>
      </c>
      <c r="U61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платеж]]+Y612-Первоначальный[[#This Row],[Полученный платёж по процентам]])</f>
        <v>0</v>
      </c>
      <c r="V613" s="55">
        <f t="shared" ca="1" si="109"/>
        <v>0</v>
      </c>
      <c r="W613" s="55" cm="1">
        <f t="array" aca="1" ref="W613" ca="1">IF(Первоначальный[[#This Row],[Итого остаток на начало периода]]&lt;1,0,
_xlfn.IFS(
AND(TYPE(VLOOKUP(1,$Z$12:Z613,1,0))=16,Первоначальный[[#This Row],[Досрочное погашение (да/"")]]=""),0,
AND(S612=0,Первоначальный[[#This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платеж]]+Y612-SUM(Первоначальный[[#This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комиссиям]]),VLOOKUP(LOOKUP(,-1/($Z$12:Z613=1),$A$12:A613),График[[Срок конец]:[Возврат основной суммы долга]],3,0)),
AND(S612=0,Первоначальный[[#This Row],[Дата платежа из графика]]="",Первоначальный[[#This Row],[Досрочное погашение (да/"")]]&lt;&gt;"Да"),0,
AND(S612=0,Первоначальный[[#This Row],[Досрочное погашение (да/"")]]=""),MIN(Первоначальный[[#This Row],[Полученный платеж]]+Y612-SUM(Первоначальный[[#This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комиссиям]]),VLOOKUP(LOOKUP(,-1/($Z$12:Z613=1),$A$12:A613),График[[Срок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платеж]]+Y612-SUM(Первоначальный[[#This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S612&gt;0,MIN(Первоначальный[[#This Row],[Полученный платеж]]+Y612-SUM(Первоначальный[[#This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комиссиям]]),SUM(INDIRECT("M"&amp;(MAX((1=S$12:S612)*ROW(S$12:S612),ROW($W$12))&amp;":M"&amp;(ROW()))))-SUM(INDIRECT("W"&amp;(MAX((1=S$12:S612)*ROW(S$12:S612),ROW($W$12))&amp;":W"&amp;(ROW()-1)))))
)
)</f>
        <v>0</v>
      </c>
      <c r="X613" s="55">
        <f t="shared" ca="1" si="110"/>
        <v>0</v>
      </c>
      <c r="Y613" s="101">
        <f t="shared" ca="1" si="117"/>
        <v>0</v>
      </c>
      <c r="Z613" s="133" t="str">
        <f>IF(TYPE((VLOOKUP(Первоначальный[[#This Row],[Дата платежа]],График[Срок конец],1,0)))=16,"",1)</f>
        <v/>
      </c>
      <c r="AA613" s="57"/>
      <c r="AB613" s="134"/>
      <c r="AC61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1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42817.65999999988</v>
      </c>
      <c r="AE61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1141.1400000000031</v>
      </c>
      <c r="AF61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1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65655.628168852549</v>
      </c>
      <c r="AH613" s="55"/>
      <c r="AI613" s="55"/>
      <c r="AJ613" s="55"/>
      <c r="AK613" s="101">
        <f t="shared" ca="1" si="118"/>
        <v>259247.76816885243</v>
      </c>
      <c r="AL613" s="129">
        <f t="array" ref="AL613">MAX((УслРестрактов[Характеристика]="Дата реструктуризации")*(УслРестрактов[Значение]=Первоначальный!$A613),0)</f>
        <v>0</v>
      </c>
    </row>
    <row r="614" spans="1:38" x14ac:dyDescent="0.25">
      <c r="A614" s="97">
        <f t="shared" si="111"/>
        <v>44745</v>
      </c>
      <c r="B614" s="100">
        <f t="shared" ca="1" si="112"/>
        <v>149633.34</v>
      </c>
      <c r="C614" s="55">
        <f t="shared" ca="1" si="120"/>
        <v>42817.65999999988</v>
      </c>
      <c r="D614" s="55">
        <f t="shared" ca="1" si="120"/>
        <v>1141.1400000000031</v>
      </c>
      <c r="E614" s="55">
        <f t="shared" ca="1" si="113"/>
        <v>0</v>
      </c>
      <c r="F614" s="55">
        <f t="shared" ca="1" si="114"/>
        <v>65655.628168852549</v>
      </c>
      <c r="G614" s="101">
        <f t="shared" ca="1" si="115"/>
        <v>259247.76816885243</v>
      </c>
      <c r="H614" s="100">
        <f ca="1">ROUND($B614*VLOOKUP($A614,$A$1:$B$10,2,1)/(365+IF(MOD(YEAR($A614),4),0,1)*($A614-$A613)),2)-Первоначальный[[#This Row],[Проценты на просроченный платеж по ОД за период]]</f>
        <v>77.11</v>
      </c>
      <c r="I614" s="55">
        <f t="shared" ca="1" si="116"/>
        <v>4.47</v>
      </c>
      <c r="J614" s="55">
        <v>0</v>
      </c>
      <c r="K614" s="55">
        <f t="shared" ca="1" si="119"/>
        <v>246.17850327868845</v>
      </c>
      <c r="L614" s="55">
        <v>0</v>
      </c>
      <c r="M614" s="113">
        <f>SUMIFS(График[Возврат основной суммы долга],График[Дата с учетом нерабочих дней],$A614)</f>
        <v>0</v>
      </c>
      <c r="N614" s="56">
        <f>SUMIFS(График[Возврат начисленных %],График[Дата с учетом нерабочих дней],$A614)</f>
        <v>0</v>
      </c>
      <c r="O614" s="101">
        <v>0</v>
      </c>
      <c r="P614" s="100" cm="1">
        <f t="array" aca="1" ref="P614" ca="1">MAX(IF(AA613="Да",0,SUM(INDIRECT("M"&amp;(MAX(("Да"=AA$12:AA613)*ROW(AA$12:AA613)+1,ROW($P$12))&amp;":M"&amp;(ROW()))))-SUM(INDIRECT("W"&amp;(MAX(("Да"=AA$12:AA613)*ROW(AA$12:AA613)+1,ROW($P$12))&amp;":W"&amp;(ROW()))))),0)</f>
        <v>8193.4399999999987</v>
      </c>
      <c r="Q614" s="99">
        <f ca="1">MAX(SUM($N$13:N614)-SUM($T$13:T614),0)</f>
        <v>41042.260655737693</v>
      </c>
      <c r="R614" s="99">
        <f ca="1">Первоначальный[[#This Row],[Просроченный платеж по ОД]]+Первоначальный[[#This Row],[Просроченный платеж по процентам]]</f>
        <v>49235.700655737688</v>
      </c>
      <c r="S614" s="120">
        <f ca="1">IF(Первоначальный[[#This Row],[Просроченный платеж]]&lt;1,0,S613+1)</f>
        <v>510</v>
      </c>
      <c r="T614" s="100" cm="1">
        <f t="array" aca="1" ref="T614" ca="1">IF(Первоначальный[[#This Row],[Итого остаток на начало периода]]&lt;1,0,
IF(
AND(TYPE(VLOOKUP(1,$Z$12:Z614,1,0))=16,Первоначальный[[#This Row],[Досрочное погашение (да/"")]]=""),0,
_xlfn.IFS(AND(S613=0,Первоначальный[[#This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платеж]]&lt;&gt;0),MIN(LOOKUP(,-1/($Z$12:Z614=1),$C$12:C614)+LOOKUP(,-1/($Z$12:Z614=1),$H$12:H614),Первоначальный[[#This Row],[Полученный платеж]]+Y613),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платеж]]+Y613,SUM(Первоначальный[[#This Row],[Остаток процентов на начало периода]],Первоначальный[[#This Row],[Проценты за период]])),
AND(S613=0,Первоначальный[[#This Row],[Дата платежа из графика]]=""),0,
AND(S613=0,Первоначальный[[#This Row],[Дата платежа из графика]]=1,MAX((0&lt;&gt;S$12:S613)*ROW(S$12:S613),ROW($S$12))&gt;=MAX((1=Z$12:Z613)*ROW(Z$12:Z613),ROW($T$12)),TYPE(VLOOKUP("Да",(INDIRECT("AA"&amp;(MAX((1=Z$12:Z613)*ROW(Z$12:Z613),ROW($T$12))&amp;":AA"&amp;(ROW()-1)))),1,0))=16),MIN(LOOKUP(,-1/($Z$12:Z614=1),$C$12:C614)+LOOKUP(,-1/($Z$12:Z614=1),$H$12:H614),Первоначальный[[#This Row],[Полученный платеж]]+Y613),
AND(S613=0,TYPE(VLOOKUP("Да",(INDIRECT("AA"&amp;(MAX((1=Z$12:Z613)*ROW(Z$12:Z613),ROW($T$12))&amp;":AA"&amp;(ROW()-1)))),1,0))&lt;&gt;16),MIN(LOOKUP(,-1/($Z$12:Z614=1),$C$12:C614)+LOOKUP(,-1/($Z$12:Z614=1),$H$12:H614)-IF(AA613="Да",0,SUM(INDIRECT("T"&amp;(MAX(("Да"=AA$12:AA613)*ROW(AA$12:AA613)+1,ROW($T$12))&amp;":T"&amp;(ROW()-1))))),Первоначальный[[#This Row],[Полученный платеж]]+Y613),
AND(S613=0,MAX((0&lt;&gt;N$12:N613)*ROW(N$12:N613),ROW($S$12))&gt;=MAX((1=Z$12:Z613)*ROW(Z$12:Z613),ROW($T$12))),MIN(LOOKUP(,-1/($Z$12:Z614=1),$C$12:C614)+LOOKUP(,-1/($Z$12:Z614=1),$H$12:H614)-IF(N613&lt;&gt;0,0,SUM(INDIRECT("T"&amp;(MAX((0&lt;&gt;N$12:N613)*ROW(N$12:N613)+1,ROW($T$12))&amp;":T"&amp;(ROW()-1))))),Первоначальный[[#This Row],[Полученный платеж]]+Y613),
AND(S613=0,Первоначальный[[#This Row],[Дата платежа из графика]]=1),MIN(LOOKUP(,-1/($Z$12:Z614=1),$C$12:C614)+LOOKUP(,-1/($Z$12:Z614=1),$H$12:H614)-IF(Z613=1,0,SUM(INDIRECT("T"&amp;(MAX((1=Z$12:Z613)*ROW(Z$12:Z613)+1,ROW($T$12))&amp;":T"&amp;(ROW()-1))))),Первоначальный[[#This Row],[Полученный платеж]]+Y613),
AND(Z613&gt;0,Первоначальный[[#This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платеж]]+Y613),
AND(S613&gt;0,MAX((0&lt;&gt;S$12:S613)*ROW(S$12:S613),ROW($S$12))&gt;=MAX((1=Z$12:Z613)*ROW(Z$12:Z613),ROW($T$12)),TYPE(VLOOKUP("Да",(INDIRECT("AA"&amp;(MAX((1=Z$12:Z613)*ROW(Z$12:Z613),ROW($T$12))&amp;":AA"&amp;(ROW()-1)))),1,0))=16),MIN(LOOKUP(,-1/($Z$12:Z614=1),$C$12:C614)+LOOKUP(,-1/($Z$12:Z614=1),$H$12:H614)-SUM(INDIRECT("T"&amp;(MAX((1=Z$12:Z613)*ROW(Z$12:Z613),ROW($T$12))&amp;":T"&amp;(ROW()-1)))),Первоначальный[[#This Row],[Полученный платеж]]+Y613),
S613&gt;0,MIN(LOOKUP(,-1/($Z$12:Z614=1),$C$12:C614)+LOOKUP(,-1/($Z$12:Z614=1),$H$12:H614)-IF(Z613=1,0,SUM(INDIRECT("T"&amp;(MAX((1=Z$12:Z613)*ROW(Z$12:Z613)+1,ROW($T$12))&amp;":T"&amp;(ROW()-1))))),Первоначальный[[#This Row],[Полученный платеж]]+Y613)
)
)
)</f>
        <v>0</v>
      </c>
      <c r="U61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платеж]]+Y613-Первоначальный[[#This Row],[Полученный платёж по процентам]])</f>
        <v>0</v>
      </c>
      <c r="V614" s="55">
        <f t="shared" ca="1" si="109"/>
        <v>0</v>
      </c>
      <c r="W614" s="55" cm="1">
        <f t="array" aca="1" ref="W614" ca="1">IF(Первоначальный[[#This Row],[Итого остаток на начало периода]]&lt;1,0,
_xlfn.IFS(
AND(TYPE(VLOOKUP(1,$Z$12:Z614,1,0))=16,Первоначальный[[#This Row],[Досрочное погашение (да/"")]]=""),0,
AND(S613=0,Первоначальный[[#This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платеж]]+Y613-SUM(Первоначальный[[#This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комиссиям]]),VLOOKUP(LOOKUP(,-1/($Z$12:Z614=1),$A$12:A614),График[[Срок конец]:[Возврат основной суммы долга]],3,0)),
AND(S613=0,Первоначальный[[#This Row],[Дата платежа из графика]]="",Первоначальный[[#This Row],[Досрочное погашение (да/"")]]&lt;&gt;"Да"),0,
AND(S613=0,Первоначальный[[#This Row],[Досрочное погашение (да/"")]]=""),MIN(Первоначальный[[#This Row],[Полученный платеж]]+Y613-SUM(Первоначальный[[#This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комиссиям]]),VLOOKUP(LOOKUP(,-1/($Z$12:Z614=1),$A$12:A614),График[[Срок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платеж]]+Y613-SUM(Первоначальный[[#This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S613&gt;0,MIN(Первоначальный[[#This Row],[Полученный платеж]]+Y613-SUM(Первоначальный[[#This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комиссиям]]),SUM(INDIRECT("M"&amp;(MAX((1=S$12:S613)*ROW(S$12:S613),ROW($W$12))&amp;":M"&amp;(ROW()))))-SUM(INDIRECT("W"&amp;(MAX((1=S$12:S613)*ROW(S$12:S613),ROW($W$12))&amp;":W"&amp;(ROW()-1)))))
)
)</f>
        <v>0</v>
      </c>
      <c r="X614" s="55">
        <f t="shared" ca="1" si="110"/>
        <v>0</v>
      </c>
      <c r="Y614" s="101">
        <f t="shared" ca="1" si="117"/>
        <v>0</v>
      </c>
      <c r="Z614" s="133" t="str">
        <f>IF(TYPE((VLOOKUP(Первоначальный[[#This Row],[Дата платежа]],График[Срок конец],1,0)))=16,"",1)</f>
        <v/>
      </c>
      <c r="AA614" s="57"/>
      <c r="AB614" s="134"/>
      <c r="AC61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1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42894.76999999988</v>
      </c>
      <c r="AE61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1145.6100000000031</v>
      </c>
      <c r="AF61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1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65901.806672131235</v>
      </c>
      <c r="AH614" s="55"/>
      <c r="AI614" s="55"/>
      <c r="AJ614" s="55"/>
      <c r="AK614" s="101">
        <f t="shared" ca="1" si="118"/>
        <v>259575.52667213112</v>
      </c>
      <c r="AL614" s="129">
        <f t="array" ref="AL614">MAX((УслРестрактов[Характеристика]="Дата реструктуризации")*(УслРестрактов[Значение]=Первоначальный!$A614),0)</f>
        <v>0</v>
      </c>
    </row>
    <row r="615" spans="1:38" x14ac:dyDescent="0.25">
      <c r="A615" s="97">
        <f t="shared" si="111"/>
        <v>44746</v>
      </c>
      <c r="B615" s="100">
        <f t="shared" ca="1" si="112"/>
        <v>149633.34</v>
      </c>
      <c r="C615" s="55">
        <f t="shared" ca="1" si="120"/>
        <v>42894.76999999988</v>
      </c>
      <c r="D615" s="55">
        <f t="shared" ca="1" si="120"/>
        <v>1145.6100000000031</v>
      </c>
      <c r="E615" s="55">
        <f t="shared" ca="1" si="113"/>
        <v>0</v>
      </c>
      <c r="F615" s="55">
        <f t="shared" ca="1" si="114"/>
        <v>65901.806672131235</v>
      </c>
      <c r="G615" s="101">
        <f t="shared" ca="1" si="115"/>
        <v>259575.52667213112</v>
      </c>
      <c r="H615" s="100">
        <f ca="1">ROUND($B615*VLOOKUP($A615,$A$1:$B$10,2,1)/(365+IF(MOD(YEAR($A615),4),0,1)*($A615-$A614)),2)-Первоначальный[[#This Row],[Проценты на просроченный платеж по ОД за период]]</f>
        <v>77.11</v>
      </c>
      <c r="I615" s="55">
        <f t="shared" ca="1" si="116"/>
        <v>4.47</v>
      </c>
      <c r="J615" s="55">
        <v>0</v>
      </c>
      <c r="K615" s="55">
        <f t="shared" ca="1" si="119"/>
        <v>246.17850327868845</v>
      </c>
      <c r="L615" s="55">
        <v>0</v>
      </c>
      <c r="M615" s="113">
        <f>SUMIFS(График[Возврат основной суммы долга],График[Дата с учетом нерабочих дней],$A615)</f>
        <v>0</v>
      </c>
      <c r="N615" s="56">
        <f>SUMIFS(График[Возврат начисленных %],График[Дата с учетом нерабочих дней],$A615)</f>
        <v>0</v>
      </c>
      <c r="O615" s="101">
        <v>0</v>
      </c>
      <c r="P615" s="100" cm="1">
        <f t="array" aca="1" ref="P615" ca="1">MAX(IF(AA614="Да",0,SUM(INDIRECT("M"&amp;(MAX(("Да"=AA$12:AA614)*ROW(AA$12:AA614)+1,ROW($P$12))&amp;":M"&amp;(ROW()))))-SUM(INDIRECT("W"&amp;(MAX(("Да"=AA$12:AA614)*ROW(AA$12:AA614)+1,ROW($P$12))&amp;":W"&amp;(ROW()))))),0)</f>
        <v>8193.4399999999987</v>
      </c>
      <c r="Q615" s="99">
        <f ca="1">MAX(SUM($N$13:N615)-SUM($T$13:T615),0)</f>
        <v>41042.260655737693</v>
      </c>
      <c r="R615" s="99">
        <f ca="1">Первоначальный[[#This Row],[Просроченный платеж по ОД]]+Первоначальный[[#This Row],[Просроченный платеж по процентам]]</f>
        <v>49235.700655737688</v>
      </c>
      <c r="S615" s="120">
        <f ca="1">IF(Первоначальный[[#This Row],[Просроченный платеж]]&lt;1,0,S614+1)</f>
        <v>511</v>
      </c>
      <c r="T615" s="100" cm="1">
        <f t="array" aca="1" ref="T615" ca="1">IF(Первоначальный[[#This Row],[Итого остаток на начало периода]]&lt;1,0,
IF(
AND(TYPE(VLOOKUP(1,$Z$12:Z615,1,0))=16,Первоначальный[[#This Row],[Досрочное погашение (да/"")]]=""),0,
_xlfn.IFS(AND(S614=0,Первоначальный[[#This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платеж]]&lt;&gt;0),MIN(LOOKUP(,-1/($Z$12:Z615=1),$C$12:C615)+LOOKUP(,-1/($Z$12:Z615=1),$H$12:H615),Первоначальный[[#This Row],[Полученный платеж]]+Y614),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платеж]]+Y614,SUM(Первоначальный[[#This Row],[Остаток процентов на начало периода]],Первоначальный[[#This Row],[Проценты за период]])),
AND(S614=0,Первоначальный[[#This Row],[Дата платежа из графика]]=""),0,
AND(S614=0,Первоначальный[[#This Row],[Дата платежа из графика]]=1,MAX((0&lt;&gt;S$12:S614)*ROW(S$12:S614),ROW($S$12))&gt;=MAX((1=Z$12:Z614)*ROW(Z$12:Z614),ROW($T$12)),TYPE(VLOOKUP("Да",(INDIRECT("AA"&amp;(MAX((1=Z$12:Z614)*ROW(Z$12:Z614),ROW($T$12))&amp;":AA"&amp;(ROW()-1)))),1,0))=16),MIN(LOOKUP(,-1/($Z$12:Z615=1),$C$12:C615)+LOOKUP(,-1/($Z$12:Z615=1),$H$12:H615),Первоначальный[[#This Row],[Полученный платеж]]+Y614),
AND(S614=0,TYPE(VLOOKUP("Да",(INDIRECT("AA"&amp;(MAX((1=Z$12:Z614)*ROW(Z$12:Z614),ROW($T$12))&amp;":AA"&amp;(ROW()-1)))),1,0))&lt;&gt;16),MIN(LOOKUP(,-1/($Z$12:Z615=1),$C$12:C615)+LOOKUP(,-1/($Z$12:Z615=1),$H$12:H615)-IF(AA614="Да",0,SUM(INDIRECT("T"&amp;(MAX(("Да"=AA$12:AA614)*ROW(AA$12:AA614)+1,ROW($T$12))&amp;":T"&amp;(ROW()-1))))),Первоначальный[[#This Row],[Полученный платеж]]+Y614),
AND(S614=0,MAX((0&lt;&gt;N$12:N614)*ROW(N$12:N614),ROW($S$12))&gt;=MAX((1=Z$12:Z614)*ROW(Z$12:Z614),ROW($T$12))),MIN(LOOKUP(,-1/($Z$12:Z615=1),$C$12:C615)+LOOKUP(,-1/($Z$12:Z615=1),$H$12:H615)-IF(N614&lt;&gt;0,0,SUM(INDIRECT("T"&amp;(MAX((0&lt;&gt;N$12:N614)*ROW(N$12:N614)+1,ROW($T$12))&amp;":T"&amp;(ROW()-1))))),Первоначальный[[#This Row],[Полученный платеж]]+Y614),
AND(S614=0,Первоначальный[[#This Row],[Дата платежа из графика]]=1),MIN(LOOKUP(,-1/($Z$12:Z615=1),$C$12:C615)+LOOKUP(,-1/($Z$12:Z615=1),$H$12:H615)-IF(Z614=1,0,SUM(INDIRECT("T"&amp;(MAX((1=Z$12:Z614)*ROW(Z$12:Z614)+1,ROW($T$12))&amp;":T"&amp;(ROW()-1))))),Первоначальный[[#This Row],[Полученный платеж]]+Y614),
AND(Z614&gt;0,Первоначальный[[#This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платеж]]+Y614),
AND(S614&gt;0,MAX((0&lt;&gt;S$12:S614)*ROW(S$12:S614),ROW($S$12))&gt;=MAX((1=Z$12:Z614)*ROW(Z$12:Z614),ROW($T$12)),TYPE(VLOOKUP("Да",(INDIRECT("AA"&amp;(MAX((1=Z$12:Z614)*ROW(Z$12:Z614),ROW($T$12))&amp;":AA"&amp;(ROW()-1)))),1,0))=16),MIN(LOOKUP(,-1/($Z$12:Z615=1),$C$12:C615)+LOOKUP(,-1/($Z$12:Z615=1),$H$12:H615)-SUM(INDIRECT("T"&amp;(MAX((1=Z$12:Z614)*ROW(Z$12:Z614),ROW($T$12))&amp;":T"&amp;(ROW()-1)))),Первоначальный[[#This Row],[Полученный платеж]]+Y614),
S614&gt;0,MIN(LOOKUP(,-1/($Z$12:Z615=1),$C$12:C615)+LOOKUP(,-1/($Z$12:Z615=1),$H$12:H615)-IF(Z614=1,0,SUM(INDIRECT("T"&amp;(MAX((1=Z$12:Z614)*ROW(Z$12:Z614)+1,ROW($T$12))&amp;":T"&amp;(ROW()-1))))),Первоначальный[[#This Row],[Полученный платеж]]+Y614)
)
)
)</f>
        <v>0</v>
      </c>
      <c r="U61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платеж]]+Y614-Первоначальный[[#This Row],[Полученный платёж по процентам]])</f>
        <v>0</v>
      </c>
      <c r="V615" s="55">
        <f t="shared" ca="1" si="109"/>
        <v>0</v>
      </c>
      <c r="W615" s="55" cm="1">
        <f t="array" aca="1" ref="W615" ca="1">IF(Первоначальный[[#This Row],[Итого остаток на начало периода]]&lt;1,0,
_xlfn.IFS(
AND(TYPE(VLOOKUP(1,$Z$12:Z615,1,0))=16,Первоначальный[[#This Row],[Досрочное погашение (да/"")]]=""),0,
AND(S614=0,Первоначальный[[#This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платеж]]+Y614-SUM(Первоначальный[[#This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комиссиям]]),VLOOKUP(LOOKUP(,-1/($Z$12:Z615=1),$A$12:A615),График[[Срок конец]:[Возврат основной суммы долга]],3,0)),
AND(S614=0,Первоначальный[[#This Row],[Дата платежа из графика]]="",Первоначальный[[#This Row],[Досрочное погашение (да/"")]]&lt;&gt;"Да"),0,
AND(S614=0,Первоначальный[[#This Row],[Досрочное погашение (да/"")]]=""),MIN(Первоначальный[[#This Row],[Полученный платеж]]+Y614-SUM(Первоначальный[[#This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комиссиям]]),VLOOKUP(LOOKUP(,-1/($Z$12:Z615=1),$A$12:A615),График[[Срок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платеж]]+Y614-SUM(Первоначальный[[#This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S614&gt;0,MIN(Первоначальный[[#This Row],[Полученный платеж]]+Y614-SUM(Первоначальный[[#This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комиссиям]]),SUM(INDIRECT("M"&amp;(MAX((1=S$12:S614)*ROW(S$12:S614),ROW($W$12))&amp;":M"&amp;(ROW()))))-SUM(INDIRECT("W"&amp;(MAX((1=S$12:S614)*ROW(S$12:S614),ROW($W$12))&amp;":W"&amp;(ROW()-1)))))
)
)</f>
        <v>0</v>
      </c>
      <c r="X615" s="55">
        <f t="shared" ca="1" si="110"/>
        <v>0</v>
      </c>
      <c r="Y615" s="101">
        <f t="shared" ca="1" si="117"/>
        <v>0</v>
      </c>
      <c r="Z615" s="133" t="str">
        <f>IF(TYPE((VLOOKUP(Первоначальный[[#This Row],[Дата платежа]],График[Срок конец],1,0)))=16,"",1)</f>
        <v/>
      </c>
      <c r="AA615" s="57"/>
      <c r="AB615" s="134"/>
      <c r="AC61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1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42971.879999999881</v>
      </c>
      <c r="AE61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1150.0800000000031</v>
      </c>
      <c r="AF61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1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66147.985175409922</v>
      </c>
      <c r="AH615" s="55"/>
      <c r="AI615" s="55"/>
      <c r="AJ615" s="55"/>
      <c r="AK615" s="101">
        <f t="shared" ca="1" si="118"/>
        <v>259903.28517540981</v>
      </c>
      <c r="AL615" s="129">
        <f t="array" ref="AL615">MAX((УслРестрактов[Характеристика]="Дата реструктуризации")*(УслРестрактов[Значение]=Первоначальный!$A615),0)</f>
        <v>0</v>
      </c>
    </row>
    <row r="616" spans="1:38" x14ac:dyDescent="0.25">
      <c r="A616" s="97">
        <f t="shared" si="111"/>
        <v>44747</v>
      </c>
      <c r="B616" s="100">
        <f t="shared" ca="1" si="112"/>
        <v>149633.34</v>
      </c>
      <c r="C616" s="55">
        <f t="shared" ca="1" si="120"/>
        <v>42971.879999999881</v>
      </c>
      <c r="D616" s="55">
        <f t="shared" ca="1" si="120"/>
        <v>1150.0800000000031</v>
      </c>
      <c r="E616" s="55">
        <f t="shared" ca="1" si="113"/>
        <v>0</v>
      </c>
      <c r="F616" s="55">
        <f t="shared" ca="1" si="114"/>
        <v>66147.985175409922</v>
      </c>
      <c r="G616" s="101">
        <f t="shared" ca="1" si="115"/>
        <v>259903.28517540981</v>
      </c>
      <c r="H616" s="100">
        <f ca="1">ROUND($B616*VLOOKUP($A616,$A$1:$B$10,2,1)/(365+IF(MOD(YEAR($A616),4),0,1)*($A616-$A615)),2)-Первоначальный[[#This Row],[Проценты на просроченный платеж по ОД за период]]</f>
        <v>77.11</v>
      </c>
      <c r="I616" s="55">
        <f t="shared" ca="1" si="116"/>
        <v>4.47</v>
      </c>
      <c r="J616" s="55">
        <v>0</v>
      </c>
      <c r="K616" s="55">
        <f t="shared" ca="1" si="119"/>
        <v>246.17850327868845</v>
      </c>
      <c r="L616" s="55">
        <v>0</v>
      </c>
      <c r="M616" s="113">
        <f>SUMIFS(График[Возврат основной суммы долга],График[Дата с учетом нерабочих дней],$A616)</f>
        <v>0</v>
      </c>
      <c r="N616" s="56">
        <f>SUMIFS(График[Возврат начисленных %],График[Дата с учетом нерабочих дней],$A616)</f>
        <v>0</v>
      </c>
      <c r="O616" s="101">
        <v>0</v>
      </c>
      <c r="P616" s="100" cm="1">
        <f t="array" aca="1" ref="P616" ca="1">MAX(IF(AA615="Да",0,SUM(INDIRECT("M"&amp;(MAX(("Да"=AA$12:AA615)*ROW(AA$12:AA615)+1,ROW($P$12))&amp;":M"&amp;(ROW()))))-SUM(INDIRECT("W"&amp;(MAX(("Да"=AA$12:AA615)*ROW(AA$12:AA615)+1,ROW($P$12))&amp;":W"&amp;(ROW()))))),0)</f>
        <v>8193.4399999999987</v>
      </c>
      <c r="Q616" s="99">
        <f ca="1">MAX(SUM($N$13:N616)-SUM($T$13:T616),0)</f>
        <v>41042.260655737693</v>
      </c>
      <c r="R616" s="99">
        <f ca="1">Первоначальный[[#This Row],[Просроченный платеж по ОД]]+Первоначальный[[#This Row],[Просроченный платеж по процентам]]</f>
        <v>49235.700655737688</v>
      </c>
      <c r="S616" s="120">
        <f ca="1">IF(Первоначальный[[#This Row],[Просроченный платеж]]&lt;1,0,S615+1)</f>
        <v>512</v>
      </c>
      <c r="T616" s="100" cm="1">
        <f t="array" aca="1" ref="T616" ca="1">IF(Первоначальный[[#This Row],[Итого остаток на начало периода]]&lt;1,0,
IF(
AND(TYPE(VLOOKUP(1,$Z$12:Z616,1,0))=16,Первоначальный[[#This Row],[Досрочное погашение (да/"")]]=""),0,
_xlfn.IFS(AND(S615=0,Первоначальный[[#This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платеж]]&lt;&gt;0),MIN(LOOKUP(,-1/($Z$12:Z616=1),$C$12:C616)+LOOKUP(,-1/($Z$12:Z616=1),$H$12:H616),Первоначальный[[#This Row],[Полученный платеж]]+Y615),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платеж]]+Y615,SUM(Первоначальный[[#This Row],[Остаток процентов на начало периода]],Первоначальный[[#This Row],[Проценты за период]])),
AND(S615=0,Первоначальный[[#This Row],[Дата платежа из графика]]=""),0,
AND(S615=0,Первоначальный[[#This Row],[Дата платежа из графика]]=1,MAX((0&lt;&gt;S$12:S615)*ROW(S$12:S615),ROW($S$12))&gt;=MAX((1=Z$12:Z615)*ROW(Z$12:Z615),ROW($T$12)),TYPE(VLOOKUP("Да",(INDIRECT("AA"&amp;(MAX((1=Z$12:Z615)*ROW(Z$12:Z615),ROW($T$12))&amp;":AA"&amp;(ROW()-1)))),1,0))=16),MIN(LOOKUP(,-1/($Z$12:Z616=1),$C$12:C616)+LOOKUP(,-1/($Z$12:Z616=1),$H$12:H616),Первоначальный[[#This Row],[Полученный платеж]]+Y615),
AND(S615=0,TYPE(VLOOKUP("Да",(INDIRECT("AA"&amp;(MAX((1=Z$12:Z615)*ROW(Z$12:Z615),ROW($T$12))&amp;":AA"&amp;(ROW()-1)))),1,0))&lt;&gt;16),MIN(LOOKUP(,-1/($Z$12:Z616=1),$C$12:C616)+LOOKUP(,-1/($Z$12:Z616=1),$H$12:H616)-IF(AA615="Да",0,SUM(INDIRECT("T"&amp;(MAX(("Да"=AA$12:AA615)*ROW(AA$12:AA615)+1,ROW($T$12))&amp;":T"&amp;(ROW()-1))))),Первоначальный[[#This Row],[Полученный платеж]]+Y615),
AND(S615=0,MAX((0&lt;&gt;N$12:N615)*ROW(N$12:N615),ROW($S$12))&gt;=MAX((1=Z$12:Z615)*ROW(Z$12:Z615),ROW($T$12))),MIN(LOOKUP(,-1/($Z$12:Z616=1),$C$12:C616)+LOOKUP(,-1/($Z$12:Z616=1),$H$12:H616)-IF(N615&lt;&gt;0,0,SUM(INDIRECT("T"&amp;(MAX((0&lt;&gt;N$12:N615)*ROW(N$12:N615)+1,ROW($T$12))&amp;":T"&amp;(ROW()-1))))),Первоначальный[[#This Row],[Полученный платеж]]+Y615),
AND(S615=0,Первоначальный[[#This Row],[Дата платежа из графика]]=1),MIN(LOOKUP(,-1/($Z$12:Z616=1),$C$12:C616)+LOOKUP(,-1/($Z$12:Z616=1),$H$12:H616)-IF(Z615=1,0,SUM(INDIRECT("T"&amp;(MAX((1=Z$12:Z615)*ROW(Z$12:Z615)+1,ROW($T$12))&amp;":T"&amp;(ROW()-1))))),Первоначальный[[#This Row],[Полученный платеж]]+Y615),
AND(Z615&gt;0,Первоначальный[[#This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платеж]]+Y615),
AND(S615&gt;0,MAX((0&lt;&gt;S$12:S615)*ROW(S$12:S615),ROW($S$12))&gt;=MAX((1=Z$12:Z615)*ROW(Z$12:Z615),ROW($T$12)),TYPE(VLOOKUP("Да",(INDIRECT("AA"&amp;(MAX((1=Z$12:Z615)*ROW(Z$12:Z615),ROW($T$12))&amp;":AA"&amp;(ROW()-1)))),1,0))=16),MIN(LOOKUP(,-1/($Z$12:Z616=1),$C$12:C616)+LOOKUP(,-1/($Z$12:Z616=1),$H$12:H616)-SUM(INDIRECT("T"&amp;(MAX((1=Z$12:Z615)*ROW(Z$12:Z615),ROW($T$12))&amp;":T"&amp;(ROW()-1)))),Первоначальный[[#This Row],[Полученный платеж]]+Y615),
S615&gt;0,MIN(LOOKUP(,-1/($Z$12:Z616=1),$C$12:C616)+LOOKUP(,-1/($Z$12:Z616=1),$H$12:H616)-IF(Z615=1,0,SUM(INDIRECT("T"&amp;(MAX((1=Z$12:Z615)*ROW(Z$12:Z615)+1,ROW($T$12))&amp;":T"&amp;(ROW()-1))))),Первоначальный[[#This Row],[Полученный платеж]]+Y615)
)
)
)</f>
        <v>0</v>
      </c>
      <c r="U61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платеж]]+Y615-Первоначальный[[#This Row],[Полученный платёж по процентам]])</f>
        <v>0</v>
      </c>
      <c r="V616" s="55">
        <f t="shared" ca="1" si="109"/>
        <v>0</v>
      </c>
      <c r="W616" s="55" cm="1">
        <f t="array" aca="1" ref="W616" ca="1">IF(Первоначальный[[#This Row],[Итого остаток на начало периода]]&lt;1,0,
_xlfn.IFS(
AND(TYPE(VLOOKUP(1,$Z$12:Z616,1,0))=16,Первоначальный[[#This Row],[Досрочное погашение (да/"")]]=""),0,
AND(S615=0,Первоначальный[[#This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платеж]]+Y615-SUM(Первоначальный[[#This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комиссиям]]),VLOOKUP(LOOKUP(,-1/($Z$12:Z616=1),$A$12:A616),График[[Срок конец]:[Возврат основной суммы долга]],3,0)),
AND(S615=0,Первоначальный[[#This Row],[Дата платежа из графика]]="",Первоначальный[[#This Row],[Досрочное погашение (да/"")]]&lt;&gt;"Да"),0,
AND(S615=0,Первоначальный[[#This Row],[Досрочное погашение (да/"")]]=""),MIN(Первоначальный[[#This Row],[Полученный платеж]]+Y615-SUM(Первоначальный[[#This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комиссиям]]),VLOOKUP(LOOKUP(,-1/($Z$12:Z616=1),$A$12:A616),График[[Срок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платеж]]+Y615-SUM(Первоначальный[[#This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S615&gt;0,MIN(Первоначальный[[#This Row],[Полученный платеж]]+Y615-SUM(Первоначальный[[#This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комиссиям]]),SUM(INDIRECT("M"&amp;(MAX((1=S$12:S615)*ROW(S$12:S615),ROW($W$12))&amp;":M"&amp;(ROW()))))-SUM(INDIRECT("W"&amp;(MAX((1=S$12:S615)*ROW(S$12:S615),ROW($W$12))&amp;":W"&amp;(ROW()-1)))))
)
)</f>
        <v>0</v>
      </c>
      <c r="X616" s="55">
        <f t="shared" ca="1" si="110"/>
        <v>0</v>
      </c>
      <c r="Y616" s="101">
        <f t="shared" ca="1" si="117"/>
        <v>0</v>
      </c>
      <c r="Z616" s="133" t="str">
        <f>IF(TYPE((VLOOKUP(Первоначальный[[#This Row],[Дата платежа]],График[Срок конец],1,0)))=16,"",1)</f>
        <v/>
      </c>
      <c r="AA616" s="57"/>
      <c r="AB616" s="134"/>
      <c r="AC61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1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43048.989999999882</v>
      </c>
      <c r="AE61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1154.5500000000031</v>
      </c>
      <c r="AF61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1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66394.163678688608</v>
      </c>
      <c r="AH616" s="55"/>
      <c r="AI616" s="55"/>
      <c r="AJ616" s="55"/>
      <c r="AK616" s="101">
        <f t="shared" ca="1" si="118"/>
        <v>260231.0436786885</v>
      </c>
      <c r="AL616" s="129">
        <f t="array" ref="AL616">MAX((УслРестрактов[Характеристика]="Дата реструктуризации")*(УслРестрактов[Значение]=Первоначальный!$A616),0)</f>
        <v>0</v>
      </c>
    </row>
    <row r="617" spans="1:38" x14ac:dyDescent="0.25">
      <c r="A617" s="97">
        <f t="shared" si="111"/>
        <v>44748</v>
      </c>
      <c r="B617" s="100">
        <f t="shared" ca="1" si="112"/>
        <v>149633.34</v>
      </c>
      <c r="C617" s="55">
        <f t="shared" ca="1" si="120"/>
        <v>43048.989999999882</v>
      </c>
      <c r="D617" s="55">
        <f t="shared" ca="1" si="120"/>
        <v>1154.5500000000031</v>
      </c>
      <c r="E617" s="55">
        <f t="shared" ca="1" si="113"/>
        <v>0</v>
      </c>
      <c r="F617" s="55">
        <f t="shared" ca="1" si="114"/>
        <v>66394.163678688608</v>
      </c>
      <c r="G617" s="101">
        <f t="shared" ca="1" si="115"/>
        <v>260231.0436786885</v>
      </c>
      <c r="H617" s="100">
        <f ca="1">ROUND($B617*VLOOKUP($A617,$A$1:$B$10,2,1)/(365+IF(MOD(YEAR($A617),4),0,1)*($A617-$A616)),2)-Первоначальный[[#This Row],[Проценты на просроченный платеж по ОД за период]]</f>
        <v>77.11</v>
      </c>
      <c r="I617" s="55">
        <f t="shared" ca="1" si="116"/>
        <v>4.47</v>
      </c>
      <c r="J617" s="55">
        <v>0</v>
      </c>
      <c r="K617" s="55">
        <f t="shared" ca="1" si="119"/>
        <v>246.17850327868845</v>
      </c>
      <c r="L617" s="55">
        <v>0</v>
      </c>
      <c r="M617" s="113">
        <f>SUMIFS(График[Возврат основной суммы долга],График[Дата с учетом нерабочих дней],$A617)</f>
        <v>0</v>
      </c>
      <c r="N617" s="56">
        <f>SUMIFS(График[Возврат начисленных %],График[Дата с учетом нерабочих дней],$A617)</f>
        <v>0</v>
      </c>
      <c r="O617" s="101">
        <v>0</v>
      </c>
      <c r="P617" s="100" cm="1">
        <f t="array" aca="1" ref="P617" ca="1">MAX(IF(AA616="Да",0,SUM(INDIRECT("M"&amp;(MAX(("Да"=AA$12:AA616)*ROW(AA$12:AA616)+1,ROW($P$12))&amp;":M"&amp;(ROW()))))-SUM(INDIRECT("W"&amp;(MAX(("Да"=AA$12:AA616)*ROW(AA$12:AA616)+1,ROW($P$12))&amp;":W"&amp;(ROW()))))),0)</f>
        <v>8193.4399999999987</v>
      </c>
      <c r="Q617" s="99">
        <f ca="1">MAX(SUM($N$13:N617)-SUM($T$13:T617),0)</f>
        <v>41042.260655737693</v>
      </c>
      <c r="R617" s="99">
        <f ca="1">Первоначальный[[#This Row],[Просроченный платеж по ОД]]+Первоначальный[[#This Row],[Просроченный платеж по процентам]]</f>
        <v>49235.700655737688</v>
      </c>
      <c r="S617" s="120">
        <f ca="1">IF(Первоначальный[[#This Row],[Просроченный платеж]]&lt;1,0,S616+1)</f>
        <v>513</v>
      </c>
      <c r="T617" s="100" cm="1">
        <f t="array" aca="1" ref="T617" ca="1">IF(Первоначальный[[#This Row],[Итого остаток на начало периода]]&lt;1,0,
IF(
AND(TYPE(VLOOKUP(1,$Z$12:Z617,1,0))=16,Первоначальный[[#This Row],[Досрочное погашение (да/"")]]=""),0,
_xlfn.IFS(AND(S616=0,Первоначальный[[#This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платеж]]&lt;&gt;0),MIN(LOOKUP(,-1/($Z$12:Z617=1),$C$12:C617)+LOOKUP(,-1/($Z$12:Z617=1),$H$12:H617),Первоначальный[[#This Row],[Полученный платеж]]+Y616),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платеж]]+Y616,SUM(Первоначальный[[#This Row],[Остаток процентов на начало периода]],Первоначальный[[#This Row],[Проценты за период]])),
AND(S616=0,Первоначальный[[#This Row],[Дата платежа из графика]]=""),0,
AND(S616=0,Первоначальный[[#This Row],[Дата платежа из графика]]=1,MAX((0&lt;&gt;S$12:S616)*ROW(S$12:S616),ROW($S$12))&gt;=MAX((1=Z$12:Z616)*ROW(Z$12:Z616),ROW($T$12)),TYPE(VLOOKUP("Да",(INDIRECT("AA"&amp;(MAX((1=Z$12:Z616)*ROW(Z$12:Z616),ROW($T$12))&amp;":AA"&amp;(ROW()-1)))),1,0))=16),MIN(LOOKUP(,-1/($Z$12:Z617=1),$C$12:C617)+LOOKUP(,-1/($Z$12:Z617=1),$H$12:H617),Первоначальный[[#This Row],[Полученный платеж]]+Y616),
AND(S616=0,TYPE(VLOOKUP("Да",(INDIRECT("AA"&amp;(MAX((1=Z$12:Z616)*ROW(Z$12:Z616),ROW($T$12))&amp;":AA"&amp;(ROW()-1)))),1,0))&lt;&gt;16),MIN(LOOKUP(,-1/($Z$12:Z617=1),$C$12:C617)+LOOKUP(,-1/($Z$12:Z617=1),$H$12:H617)-IF(AA616="Да",0,SUM(INDIRECT("T"&amp;(MAX(("Да"=AA$12:AA616)*ROW(AA$12:AA616)+1,ROW($T$12))&amp;":T"&amp;(ROW()-1))))),Первоначальный[[#This Row],[Полученный платеж]]+Y616),
AND(S616=0,MAX((0&lt;&gt;N$12:N616)*ROW(N$12:N616),ROW($S$12))&gt;=MAX((1=Z$12:Z616)*ROW(Z$12:Z616),ROW($T$12))),MIN(LOOKUP(,-1/($Z$12:Z617=1),$C$12:C617)+LOOKUP(,-1/($Z$12:Z617=1),$H$12:H617)-IF(N616&lt;&gt;0,0,SUM(INDIRECT("T"&amp;(MAX((0&lt;&gt;N$12:N616)*ROW(N$12:N616)+1,ROW($T$12))&amp;":T"&amp;(ROW()-1))))),Первоначальный[[#This Row],[Полученный платеж]]+Y616),
AND(S616=0,Первоначальный[[#This Row],[Дата платежа из графика]]=1),MIN(LOOKUP(,-1/($Z$12:Z617=1),$C$12:C617)+LOOKUP(,-1/($Z$12:Z617=1),$H$12:H617)-IF(Z616=1,0,SUM(INDIRECT("T"&amp;(MAX((1=Z$12:Z616)*ROW(Z$12:Z616)+1,ROW($T$12))&amp;":T"&amp;(ROW()-1))))),Первоначальный[[#This Row],[Полученный платеж]]+Y616),
AND(Z616&gt;0,Первоначальный[[#This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платеж]]+Y616),
AND(S616&gt;0,MAX((0&lt;&gt;S$12:S616)*ROW(S$12:S616),ROW($S$12))&gt;=MAX((1=Z$12:Z616)*ROW(Z$12:Z616),ROW($T$12)),TYPE(VLOOKUP("Да",(INDIRECT("AA"&amp;(MAX((1=Z$12:Z616)*ROW(Z$12:Z616),ROW($T$12))&amp;":AA"&amp;(ROW()-1)))),1,0))=16),MIN(LOOKUP(,-1/($Z$12:Z617=1),$C$12:C617)+LOOKUP(,-1/($Z$12:Z617=1),$H$12:H617)-SUM(INDIRECT("T"&amp;(MAX((1=Z$12:Z616)*ROW(Z$12:Z616),ROW($T$12))&amp;":T"&amp;(ROW()-1)))),Первоначальный[[#This Row],[Полученный платеж]]+Y616),
S616&gt;0,MIN(LOOKUP(,-1/($Z$12:Z617=1),$C$12:C617)+LOOKUP(,-1/($Z$12:Z617=1),$H$12:H617)-IF(Z616=1,0,SUM(INDIRECT("T"&amp;(MAX((1=Z$12:Z616)*ROW(Z$12:Z616)+1,ROW($T$12))&amp;":T"&amp;(ROW()-1))))),Первоначальный[[#This Row],[Полученный платеж]]+Y616)
)
)
)</f>
        <v>0</v>
      </c>
      <c r="U61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платеж]]+Y616-Первоначальный[[#This Row],[Полученный платёж по процентам]])</f>
        <v>0</v>
      </c>
      <c r="V617" s="55">
        <f t="shared" ca="1" si="109"/>
        <v>0</v>
      </c>
      <c r="W617" s="55" cm="1">
        <f t="array" aca="1" ref="W617" ca="1">IF(Первоначальный[[#This Row],[Итого остаток на начало периода]]&lt;1,0,
_xlfn.IFS(
AND(TYPE(VLOOKUP(1,$Z$12:Z617,1,0))=16,Первоначальный[[#This Row],[Досрочное погашение (да/"")]]=""),0,
AND(S616=0,Первоначальный[[#This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платеж]]+Y616-SUM(Первоначальный[[#This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комиссиям]]),VLOOKUP(LOOKUP(,-1/($Z$12:Z617=1),$A$12:A617),График[[Срок конец]:[Возврат основной суммы долга]],3,0)),
AND(S616=0,Первоначальный[[#This Row],[Дата платежа из графика]]="",Первоначальный[[#This Row],[Досрочное погашение (да/"")]]&lt;&gt;"Да"),0,
AND(S616=0,Первоначальный[[#This Row],[Досрочное погашение (да/"")]]=""),MIN(Первоначальный[[#This Row],[Полученный платеж]]+Y616-SUM(Первоначальный[[#This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комиссиям]]),VLOOKUP(LOOKUP(,-1/($Z$12:Z617=1),$A$12:A617),График[[Срок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платеж]]+Y616-SUM(Первоначальный[[#This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S616&gt;0,MIN(Первоначальный[[#This Row],[Полученный платеж]]+Y616-SUM(Первоначальный[[#This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комиссиям]]),SUM(INDIRECT("M"&amp;(MAX((1=S$12:S616)*ROW(S$12:S616),ROW($W$12))&amp;":M"&amp;(ROW()))))-SUM(INDIRECT("W"&amp;(MAX((1=S$12:S616)*ROW(S$12:S616),ROW($W$12))&amp;":W"&amp;(ROW()-1)))))
)
)</f>
        <v>0</v>
      </c>
      <c r="X617" s="55">
        <f t="shared" ca="1" si="110"/>
        <v>0</v>
      </c>
      <c r="Y617" s="101">
        <f t="shared" ca="1" si="117"/>
        <v>0</v>
      </c>
      <c r="Z617" s="133" t="str">
        <f>IF(TYPE((VLOOKUP(Первоначальный[[#This Row],[Дата платежа]],График[Срок конец],1,0)))=16,"",1)</f>
        <v/>
      </c>
      <c r="AA617" s="57"/>
      <c r="AB617" s="134"/>
      <c r="AC61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1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43126.099999999882</v>
      </c>
      <c r="AE61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1159.0200000000032</v>
      </c>
      <c r="AF61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1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66640.342181967295</v>
      </c>
      <c r="AH617" s="55"/>
      <c r="AI617" s="55"/>
      <c r="AJ617" s="55"/>
      <c r="AK617" s="101">
        <f t="shared" ca="1" si="118"/>
        <v>260558.80218196718</v>
      </c>
      <c r="AL617" s="129">
        <f t="array" ref="AL617">MAX((УслРестрактов[Характеристика]="Дата реструктуризации")*(УслРестрактов[Значение]=Первоначальный!$A617),0)</f>
        <v>0</v>
      </c>
    </row>
    <row r="618" spans="1:38" x14ac:dyDescent="0.25">
      <c r="A618" s="97">
        <f t="shared" si="111"/>
        <v>44749</v>
      </c>
      <c r="B618" s="100">
        <f t="shared" ca="1" si="112"/>
        <v>149633.34</v>
      </c>
      <c r="C618" s="55">
        <f t="shared" ca="1" si="120"/>
        <v>43126.099999999882</v>
      </c>
      <c r="D618" s="55">
        <f t="shared" ca="1" si="120"/>
        <v>1159.0200000000032</v>
      </c>
      <c r="E618" s="55">
        <f t="shared" ca="1" si="113"/>
        <v>0</v>
      </c>
      <c r="F618" s="55">
        <f t="shared" ca="1" si="114"/>
        <v>66640.342181967295</v>
      </c>
      <c r="G618" s="101">
        <f t="shared" ca="1" si="115"/>
        <v>260558.80218196718</v>
      </c>
      <c r="H618" s="100">
        <f ca="1">ROUND($B618*VLOOKUP($A618,$A$1:$B$10,2,1)/(365+IF(MOD(YEAR($A618),4),0,1)*($A618-$A617)),2)-Первоначальный[[#This Row],[Проценты на просроченный платеж по ОД за период]]</f>
        <v>77.11</v>
      </c>
      <c r="I618" s="55">
        <f t="shared" ca="1" si="116"/>
        <v>4.47</v>
      </c>
      <c r="J618" s="55">
        <v>0</v>
      </c>
      <c r="K618" s="55">
        <f t="shared" ca="1" si="119"/>
        <v>246.17850327868845</v>
      </c>
      <c r="L618" s="55">
        <v>0</v>
      </c>
      <c r="M618" s="113">
        <f>SUMIFS(График[Возврат основной суммы долга],График[Дата с учетом нерабочих дней],$A618)</f>
        <v>0</v>
      </c>
      <c r="N618" s="56">
        <f>SUMIFS(График[Возврат начисленных %],График[Дата с учетом нерабочих дней],$A618)</f>
        <v>0</v>
      </c>
      <c r="O618" s="101">
        <v>0</v>
      </c>
      <c r="P618" s="100" cm="1">
        <f t="array" aca="1" ref="P618" ca="1">MAX(IF(AA617="Да",0,SUM(INDIRECT("M"&amp;(MAX(("Да"=AA$12:AA617)*ROW(AA$12:AA617)+1,ROW($P$12))&amp;":M"&amp;(ROW()))))-SUM(INDIRECT("W"&amp;(MAX(("Да"=AA$12:AA617)*ROW(AA$12:AA617)+1,ROW($P$12))&amp;":W"&amp;(ROW()))))),0)</f>
        <v>8193.4399999999987</v>
      </c>
      <c r="Q618" s="99">
        <f ca="1">MAX(SUM($N$13:N618)-SUM($T$13:T618),0)</f>
        <v>41042.260655737693</v>
      </c>
      <c r="R618" s="99">
        <f ca="1">Первоначальный[[#This Row],[Просроченный платеж по ОД]]+Первоначальный[[#This Row],[Просроченный платеж по процентам]]</f>
        <v>49235.700655737688</v>
      </c>
      <c r="S618" s="120">
        <f ca="1">IF(Первоначальный[[#This Row],[Просроченный платеж]]&lt;1,0,S617+1)</f>
        <v>514</v>
      </c>
      <c r="T618" s="100" cm="1">
        <f t="array" aca="1" ref="T618" ca="1">IF(Первоначальный[[#This Row],[Итого остаток на начало периода]]&lt;1,0,
IF(
AND(TYPE(VLOOKUP(1,$Z$12:Z618,1,0))=16,Первоначальный[[#This Row],[Досрочное погашение (да/"")]]=""),0,
_xlfn.IFS(AND(S617=0,Первоначальный[[#This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платеж]]&lt;&gt;0),MIN(LOOKUP(,-1/($Z$12:Z618=1),$C$12:C618)+LOOKUP(,-1/($Z$12:Z618=1),$H$12:H618),Первоначальный[[#This Row],[Полученный платеж]]+Y617),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платеж]]+Y617,SUM(Первоначальный[[#This Row],[Остаток процентов на начало периода]],Первоначальный[[#This Row],[Проценты за период]])),
AND(S617=0,Первоначальный[[#This Row],[Дата платежа из графика]]=""),0,
AND(S617=0,Первоначальный[[#This Row],[Дата платежа из графика]]=1,MAX((0&lt;&gt;S$12:S617)*ROW(S$12:S617),ROW($S$12))&gt;=MAX((1=Z$12:Z617)*ROW(Z$12:Z617),ROW($T$12)),TYPE(VLOOKUP("Да",(INDIRECT("AA"&amp;(MAX((1=Z$12:Z617)*ROW(Z$12:Z617),ROW($T$12))&amp;":AA"&amp;(ROW()-1)))),1,0))=16),MIN(LOOKUP(,-1/($Z$12:Z618=1),$C$12:C618)+LOOKUP(,-1/($Z$12:Z618=1),$H$12:H618),Первоначальный[[#This Row],[Полученный платеж]]+Y617),
AND(S617=0,TYPE(VLOOKUP("Да",(INDIRECT("AA"&amp;(MAX((1=Z$12:Z617)*ROW(Z$12:Z617),ROW($T$12))&amp;":AA"&amp;(ROW()-1)))),1,0))&lt;&gt;16),MIN(LOOKUP(,-1/($Z$12:Z618=1),$C$12:C618)+LOOKUP(,-1/($Z$12:Z618=1),$H$12:H618)-IF(AA617="Да",0,SUM(INDIRECT("T"&amp;(MAX(("Да"=AA$12:AA617)*ROW(AA$12:AA617)+1,ROW($T$12))&amp;":T"&amp;(ROW()-1))))),Первоначальный[[#This Row],[Полученный платеж]]+Y617),
AND(S617=0,MAX((0&lt;&gt;N$12:N617)*ROW(N$12:N617),ROW($S$12))&gt;=MAX((1=Z$12:Z617)*ROW(Z$12:Z617),ROW($T$12))),MIN(LOOKUP(,-1/($Z$12:Z618=1),$C$12:C618)+LOOKUP(,-1/($Z$12:Z618=1),$H$12:H618)-IF(N617&lt;&gt;0,0,SUM(INDIRECT("T"&amp;(MAX((0&lt;&gt;N$12:N617)*ROW(N$12:N617)+1,ROW($T$12))&amp;":T"&amp;(ROW()-1))))),Первоначальный[[#This Row],[Полученный платеж]]+Y617),
AND(S617=0,Первоначальный[[#This Row],[Дата платежа из графика]]=1),MIN(LOOKUP(,-1/($Z$12:Z618=1),$C$12:C618)+LOOKUP(,-1/($Z$12:Z618=1),$H$12:H618)-IF(Z617=1,0,SUM(INDIRECT("T"&amp;(MAX((1=Z$12:Z617)*ROW(Z$12:Z617)+1,ROW($T$12))&amp;":T"&amp;(ROW()-1))))),Первоначальный[[#This Row],[Полученный платеж]]+Y617),
AND(Z617&gt;0,Первоначальный[[#This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платеж]]+Y617),
AND(S617&gt;0,MAX((0&lt;&gt;S$12:S617)*ROW(S$12:S617),ROW($S$12))&gt;=MAX((1=Z$12:Z617)*ROW(Z$12:Z617),ROW($T$12)),TYPE(VLOOKUP("Да",(INDIRECT("AA"&amp;(MAX((1=Z$12:Z617)*ROW(Z$12:Z617),ROW($T$12))&amp;":AA"&amp;(ROW()-1)))),1,0))=16),MIN(LOOKUP(,-1/($Z$12:Z618=1),$C$12:C618)+LOOKUP(,-1/($Z$12:Z618=1),$H$12:H618)-SUM(INDIRECT("T"&amp;(MAX((1=Z$12:Z617)*ROW(Z$12:Z617),ROW($T$12))&amp;":T"&amp;(ROW()-1)))),Первоначальный[[#This Row],[Полученный платеж]]+Y617),
S617&gt;0,MIN(LOOKUP(,-1/($Z$12:Z618=1),$C$12:C618)+LOOKUP(,-1/($Z$12:Z618=1),$H$12:H618)-IF(Z617=1,0,SUM(INDIRECT("T"&amp;(MAX((1=Z$12:Z617)*ROW(Z$12:Z617)+1,ROW($T$12))&amp;":T"&amp;(ROW()-1))))),Первоначальный[[#This Row],[Полученный платеж]]+Y617)
)
)
)</f>
        <v>0</v>
      </c>
      <c r="U61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платеж]]+Y617-Первоначальный[[#This Row],[Полученный платёж по процентам]])</f>
        <v>0</v>
      </c>
      <c r="V618" s="55">
        <f t="shared" ca="1" si="109"/>
        <v>0</v>
      </c>
      <c r="W618" s="55" cm="1">
        <f t="array" aca="1" ref="W618" ca="1">IF(Первоначальный[[#This Row],[Итого остаток на начало периода]]&lt;1,0,
_xlfn.IFS(
AND(TYPE(VLOOKUP(1,$Z$12:Z618,1,0))=16,Первоначальный[[#This Row],[Досрочное погашение (да/"")]]=""),0,
AND(S617=0,Первоначальный[[#This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платеж]]+Y617-SUM(Первоначальный[[#This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комиссиям]]),VLOOKUP(LOOKUP(,-1/($Z$12:Z618=1),$A$12:A618),График[[Срок конец]:[Возврат основной суммы долга]],3,0)),
AND(S617=0,Первоначальный[[#This Row],[Дата платежа из графика]]="",Первоначальный[[#This Row],[Досрочное погашение (да/"")]]&lt;&gt;"Да"),0,
AND(S617=0,Первоначальный[[#This Row],[Досрочное погашение (да/"")]]=""),MIN(Первоначальный[[#This Row],[Полученный платеж]]+Y617-SUM(Первоначальный[[#This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комиссиям]]),VLOOKUP(LOOKUP(,-1/($Z$12:Z618=1),$A$12:A618),График[[Срок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платеж]]+Y617-SUM(Первоначальный[[#This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S617&gt;0,MIN(Первоначальный[[#This Row],[Полученный платеж]]+Y617-SUM(Первоначальный[[#This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комиссиям]]),SUM(INDIRECT("M"&amp;(MAX((1=S$12:S617)*ROW(S$12:S617),ROW($W$12))&amp;":M"&amp;(ROW()))))-SUM(INDIRECT("W"&amp;(MAX((1=S$12:S617)*ROW(S$12:S617),ROW($W$12))&amp;":W"&amp;(ROW()-1)))))
)
)</f>
        <v>0</v>
      </c>
      <c r="X618" s="55">
        <f t="shared" ca="1" si="110"/>
        <v>0</v>
      </c>
      <c r="Y618" s="101">
        <f t="shared" ca="1" si="117"/>
        <v>0</v>
      </c>
      <c r="Z618" s="133" t="str">
        <f>IF(TYPE((VLOOKUP(Первоначальный[[#This Row],[Дата платежа]],График[Срок конец],1,0)))=16,"",1)</f>
        <v/>
      </c>
      <c r="AA618" s="57"/>
      <c r="AB618" s="134"/>
      <c r="AC61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1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43203.209999999883</v>
      </c>
      <c r="AE61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1163.4900000000032</v>
      </c>
      <c r="AF61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1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66886.520685245981</v>
      </c>
      <c r="AH618" s="55"/>
      <c r="AI618" s="55"/>
      <c r="AJ618" s="55"/>
      <c r="AK618" s="101">
        <f t="shared" ca="1" si="118"/>
        <v>260886.56068524584</v>
      </c>
      <c r="AL618" s="129">
        <f t="array" ref="AL618">MAX((УслРестрактов[Характеристика]="Дата реструктуризации")*(УслРестрактов[Значение]=Первоначальный!$A618),0)</f>
        <v>0</v>
      </c>
    </row>
    <row r="619" spans="1:38" x14ac:dyDescent="0.25">
      <c r="A619" s="97">
        <f t="shared" si="111"/>
        <v>44750</v>
      </c>
      <c r="B619" s="100">
        <f t="shared" ca="1" si="112"/>
        <v>149633.34</v>
      </c>
      <c r="C619" s="55">
        <f t="shared" ca="1" si="120"/>
        <v>43203.209999999883</v>
      </c>
      <c r="D619" s="55">
        <f t="shared" ca="1" si="120"/>
        <v>1163.4900000000032</v>
      </c>
      <c r="E619" s="55">
        <f t="shared" ca="1" si="113"/>
        <v>0</v>
      </c>
      <c r="F619" s="55">
        <f t="shared" ca="1" si="114"/>
        <v>66886.520685245981</v>
      </c>
      <c r="G619" s="101">
        <f t="shared" ca="1" si="115"/>
        <v>260886.56068524584</v>
      </c>
      <c r="H619" s="100">
        <f ca="1">ROUND($B619*VLOOKUP($A619,$A$1:$B$10,2,1)/(365+IF(MOD(YEAR($A619),4),0,1)*($A619-$A618)),2)-Первоначальный[[#This Row],[Проценты на просроченный платеж по ОД за период]]</f>
        <v>77.11</v>
      </c>
      <c r="I619" s="55">
        <f t="shared" ca="1" si="116"/>
        <v>4.47</v>
      </c>
      <c r="J619" s="55">
        <v>0</v>
      </c>
      <c r="K619" s="55">
        <f t="shared" ca="1" si="119"/>
        <v>246.17850327868845</v>
      </c>
      <c r="L619" s="55">
        <v>0</v>
      </c>
      <c r="M619" s="113">
        <f>SUMIFS(График[Возврат основной суммы долга],График[Дата с учетом нерабочих дней],$A619)</f>
        <v>0</v>
      </c>
      <c r="N619" s="56">
        <f>SUMIFS(График[Возврат начисленных %],График[Дата с учетом нерабочих дней],$A619)</f>
        <v>0</v>
      </c>
      <c r="O619" s="101">
        <v>0</v>
      </c>
      <c r="P619" s="100" cm="1">
        <f t="array" aca="1" ref="P619" ca="1">MAX(IF(AA618="Да",0,SUM(INDIRECT("M"&amp;(MAX(("Да"=AA$12:AA618)*ROW(AA$12:AA618)+1,ROW($P$12))&amp;":M"&amp;(ROW()))))-SUM(INDIRECT("W"&amp;(MAX(("Да"=AA$12:AA618)*ROW(AA$12:AA618)+1,ROW($P$12))&amp;":W"&amp;(ROW()))))),0)</f>
        <v>8193.4399999999987</v>
      </c>
      <c r="Q619" s="99">
        <f ca="1">MAX(SUM($N$13:N619)-SUM($T$13:T619),0)</f>
        <v>41042.260655737693</v>
      </c>
      <c r="R619" s="99">
        <f ca="1">Первоначальный[[#This Row],[Просроченный платеж по ОД]]+Первоначальный[[#This Row],[Просроченный платеж по процентам]]</f>
        <v>49235.700655737688</v>
      </c>
      <c r="S619" s="120">
        <f ca="1">IF(Первоначальный[[#This Row],[Просроченный платеж]]&lt;1,0,S618+1)</f>
        <v>515</v>
      </c>
      <c r="T619" s="100" cm="1">
        <f t="array" aca="1" ref="T619" ca="1">IF(Первоначальный[[#This Row],[Итого остаток на начало периода]]&lt;1,0,
IF(
AND(TYPE(VLOOKUP(1,$Z$12:Z619,1,0))=16,Первоначальный[[#This Row],[Досрочное погашение (да/"")]]=""),0,
_xlfn.IFS(AND(S618=0,Первоначальный[[#This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платеж]]&lt;&gt;0),MIN(LOOKUP(,-1/($Z$12:Z619=1),$C$12:C619)+LOOKUP(,-1/($Z$12:Z619=1),$H$12:H619),Первоначальный[[#This Row],[Полученный платеж]]+Y618),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платеж]]+Y618,SUM(Первоначальный[[#This Row],[Остаток процентов на начало периода]],Первоначальный[[#This Row],[Проценты за период]])),
AND(S618=0,Первоначальный[[#This Row],[Дата платежа из графика]]=""),0,
AND(S618=0,Первоначальный[[#This Row],[Дата платежа из графика]]=1,MAX((0&lt;&gt;S$12:S618)*ROW(S$12:S618),ROW($S$12))&gt;=MAX((1=Z$12:Z618)*ROW(Z$12:Z618),ROW($T$12)),TYPE(VLOOKUP("Да",(INDIRECT("AA"&amp;(MAX((1=Z$12:Z618)*ROW(Z$12:Z618),ROW($T$12))&amp;":AA"&amp;(ROW()-1)))),1,0))=16),MIN(LOOKUP(,-1/($Z$12:Z619=1),$C$12:C619)+LOOKUP(,-1/($Z$12:Z619=1),$H$12:H619),Первоначальный[[#This Row],[Полученный платеж]]+Y618),
AND(S618=0,TYPE(VLOOKUP("Да",(INDIRECT("AA"&amp;(MAX((1=Z$12:Z618)*ROW(Z$12:Z618),ROW($T$12))&amp;":AA"&amp;(ROW()-1)))),1,0))&lt;&gt;16),MIN(LOOKUP(,-1/($Z$12:Z619=1),$C$12:C619)+LOOKUP(,-1/($Z$12:Z619=1),$H$12:H619)-IF(AA618="Да",0,SUM(INDIRECT("T"&amp;(MAX(("Да"=AA$12:AA618)*ROW(AA$12:AA618)+1,ROW($T$12))&amp;":T"&amp;(ROW()-1))))),Первоначальный[[#This Row],[Полученный платеж]]+Y618),
AND(S618=0,MAX((0&lt;&gt;N$12:N618)*ROW(N$12:N618),ROW($S$12))&gt;=MAX((1=Z$12:Z618)*ROW(Z$12:Z618),ROW($T$12))),MIN(LOOKUP(,-1/($Z$12:Z619=1),$C$12:C619)+LOOKUP(,-1/($Z$12:Z619=1),$H$12:H619)-IF(N618&lt;&gt;0,0,SUM(INDIRECT("T"&amp;(MAX((0&lt;&gt;N$12:N618)*ROW(N$12:N618)+1,ROW($T$12))&amp;":T"&amp;(ROW()-1))))),Первоначальный[[#This Row],[Полученный платеж]]+Y618),
AND(S618=0,Первоначальный[[#This Row],[Дата платежа из графика]]=1),MIN(LOOKUP(,-1/($Z$12:Z619=1),$C$12:C619)+LOOKUP(,-1/($Z$12:Z619=1),$H$12:H619)-IF(Z618=1,0,SUM(INDIRECT("T"&amp;(MAX((1=Z$12:Z618)*ROW(Z$12:Z618)+1,ROW($T$12))&amp;":T"&amp;(ROW()-1))))),Первоначальный[[#This Row],[Полученный платеж]]+Y618),
AND(Z618&gt;0,Первоначальный[[#This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платеж]]+Y618),
AND(S618&gt;0,MAX((0&lt;&gt;S$12:S618)*ROW(S$12:S618),ROW($S$12))&gt;=MAX((1=Z$12:Z618)*ROW(Z$12:Z618),ROW($T$12)),TYPE(VLOOKUP("Да",(INDIRECT("AA"&amp;(MAX((1=Z$12:Z618)*ROW(Z$12:Z618),ROW($T$12))&amp;":AA"&amp;(ROW()-1)))),1,0))=16),MIN(LOOKUP(,-1/($Z$12:Z619=1),$C$12:C619)+LOOKUP(,-1/($Z$12:Z619=1),$H$12:H619)-SUM(INDIRECT("T"&amp;(MAX((1=Z$12:Z618)*ROW(Z$12:Z618),ROW($T$12))&amp;":T"&amp;(ROW()-1)))),Первоначальный[[#This Row],[Полученный платеж]]+Y618),
S618&gt;0,MIN(LOOKUP(,-1/($Z$12:Z619=1),$C$12:C619)+LOOKUP(,-1/($Z$12:Z619=1),$H$12:H619)-IF(Z618=1,0,SUM(INDIRECT("T"&amp;(MAX((1=Z$12:Z618)*ROW(Z$12:Z618)+1,ROW($T$12))&amp;":T"&amp;(ROW()-1))))),Первоначальный[[#This Row],[Полученный платеж]]+Y618)
)
)
)</f>
        <v>0</v>
      </c>
      <c r="U61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платеж]]+Y618-Первоначальный[[#This Row],[Полученный платёж по процентам]])</f>
        <v>0</v>
      </c>
      <c r="V619" s="55">
        <f t="shared" ca="1" si="109"/>
        <v>0</v>
      </c>
      <c r="W619" s="55" cm="1">
        <f t="array" aca="1" ref="W619" ca="1">IF(Первоначальный[[#This Row],[Итого остаток на начало периода]]&lt;1,0,
_xlfn.IFS(
AND(TYPE(VLOOKUP(1,$Z$12:Z619,1,0))=16,Первоначальный[[#This Row],[Досрочное погашение (да/"")]]=""),0,
AND(S618=0,Первоначальный[[#This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платеж]]+Y618-SUM(Первоначальный[[#This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комиссиям]]),VLOOKUP(LOOKUP(,-1/($Z$12:Z619=1),$A$12:A619),График[[Срок конец]:[Возврат основной суммы долга]],3,0)),
AND(S618=0,Первоначальный[[#This Row],[Дата платежа из графика]]="",Первоначальный[[#This Row],[Досрочное погашение (да/"")]]&lt;&gt;"Да"),0,
AND(S618=0,Первоначальный[[#This Row],[Досрочное погашение (да/"")]]=""),MIN(Первоначальный[[#This Row],[Полученный платеж]]+Y618-SUM(Первоначальный[[#This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комиссиям]]),VLOOKUP(LOOKUP(,-1/($Z$12:Z619=1),$A$12:A619),График[[Срок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платеж]]+Y618-SUM(Первоначальный[[#This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S618&gt;0,MIN(Первоначальный[[#This Row],[Полученный платеж]]+Y618-SUM(Первоначальный[[#This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комиссиям]]),SUM(INDIRECT("M"&amp;(MAX((1=S$12:S618)*ROW(S$12:S618),ROW($W$12))&amp;":M"&amp;(ROW()))))-SUM(INDIRECT("W"&amp;(MAX((1=S$12:S618)*ROW(S$12:S618),ROW($W$12))&amp;":W"&amp;(ROW()-1)))))
)
)</f>
        <v>0</v>
      </c>
      <c r="X619" s="55">
        <f t="shared" ca="1" si="110"/>
        <v>0</v>
      </c>
      <c r="Y619" s="101">
        <f t="shared" ca="1" si="117"/>
        <v>0</v>
      </c>
      <c r="Z619" s="133" t="str">
        <f>IF(TYPE((VLOOKUP(Первоначальный[[#This Row],[Дата платежа]],График[Срок конец],1,0)))=16,"",1)</f>
        <v/>
      </c>
      <c r="AA619" s="57"/>
      <c r="AB619" s="134"/>
      <c r="AC61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1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43280.319999999883</v>
      </c>
      <c r="AE61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1167.9600000000032</v>
      </c>
      <c r="AF61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1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67132.699188524668</v>
      </c>
      <c r="AH619" s="55"/>
      <c r="AI619" s="55"/>
      <c r="AJ619" s="55"/>
      <c r="AK619" s="101">
        <f t="shared" ca="1" si="118"/>
        <v>261214.31918852456</v>
      </c>
      <c r="AL619" s="129">
        <f t="array" ref="AL619">MAX((УслРестрактов[Характеристика]="Дата реструктуризации")*(УслРестрактов[Значение]=Первоначальный!$A619),0)</f>
        <v>0</v>
      </c>
    </row>
    <row r="620" spans="1:38" x14ac:dyDescent="0.25">
      <c r="A620" s="97">
        <f t="shared" si="111"/>
        <v>44751</v>
      </c>
      <c r="B620" s="100">
        <f t="shared" ca="1" si="112"/>
        <v>149633.34</v>
      </c>
      <c r="C620" s="55">
        <f t="shared" ca="1" si="120"/>
        <v>43280.319999999883</v>
      </c>
      <c r="D620" s="55">
        <f t="shared" ca="1" si="120"/>
        <v>1167.9600000000032</v>
      </c>
      <c r="E620" s="55">
        <f t="shared" ca="1" si="113"/>
        <v>0</v>
      </c>
      <c r="F620" s="55">
        <f t="shared" ca="1" si="114"/>
        <v>67132.699188524668</v>
      </c>
      <c r="G620" s="101">
        <f t="shared" ca="1" si="115"/>
        <v>261214.31918852456</v>
      </c>
      <c r="H620" s="100">
        <f ca="1">ROUND($B620*VLOOKUP($A620,$A$1:$B$10,2,1)/(365+IF(MOD(YEAR($A620),4),0,1)*($A620-$A619)),2)-Первоначальный[[#This Row],[Проценты на просроченный платеж по ОД за период]]</f>
        <v>77.11</v>
      </c>
      <c r="I620" s="55">
        <f t="shared" ca="1" si="116"/>
        <v>4.47</v>
      </c>
      <c r="J620" s="55">
        <v>0</v>
      </c>
      <c r="K620" s="55">
        <f t="shared" ca="1" si="119"/>
        <v>246.17850327868845</v>
      </c>
      <c r="L620" s="55">
        <v>0</v>
      </c>
      <c r="M620" s="113">
        <f>SUMIFS(График[Возврат основной суммы долга],График[Дата с учетом нерабочих дней],$A620)</f>
        <v>0</v>
      </c>
      <c r="N620" s="56">
        <f>SUMIFS(График[Возврат начисленных %],График[Дата с учетом нерабочих дней],$A620)</f>
        <v>0</v>
      </c>
      <c r="O620" s="101">
        <v>0</v>
      </c>
      <c r="P620" s="100" cm="1">
        <f t="array" aca="1" ref="P620" ca="1">MAX(IF(AA619="Да",0,SUM(INDIRECT("M"&amp;(MAX(("Да"=AA$12:AA619)*ROW(AA$12:AA619)+1,ROW($P$12))&amp;":M"&amp;(ROW()))))-SUM(INDIRECT("W"&amp;(MAX(("Да"=AA$12:AA619)*ROW(AA$12:AA619)+1,ROW($P$12))&amp;":W"&amp;(ROW()))))),0)</f>
        <v>8193.4399999999987</v>
      </c>
      <c r="Q620" s="99">
        <f ca="1">MAX(SUM($N$13:N620)-SUM($T$13:T620),0)</f>
        <v>41042.260655737693</v>
      </c>
      <c r="R620" s="99">
        <f ca="1">Первоначальный[[#This Row],[Просроченный платеж по ОД]]+Первоначальный[[#This Row],[Просроченный платеж по процентам]]</f>
        <v>49235.700655737688</v>
      </c>
      <c r="S620" s="120">
        <f ca="1">IF(Первоначальный[[#This Row],[Просроченный платеж]]&lt;1,0,S619+1)</f>
        <v>516</v>
      </c>
      <c r="T620" s="100" cm="1">
        <f t="array" aca="1" ref="T620" ca="1">IF(Первоначальный[[#This Row],[Итого остаток на начало периода]]&lt;1,0,
IF(
AND(TYPE(VLOOKUP(1,$Z$12:Z620,1,0))=16,Первоначальный[[#This Row],[Досрочное погашение (да/"")]]=""),0,
_xlfn.IFS(AND(S619=0,Первоначальный[[#This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платеж]]&lt;&gt;0),MIN(LOOKUP(,-1/($Z$12:Z620=1),$C$12:C620)+LOOKUP(,-1/($Z$12:Z620=1),$H$12:H620),Первоначальный[[#This Row],[Полученный платеж]]+Y619),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платеж]]+Y619,SUM(Первоначальный[[#This Row],[Остаток процентов на начало периода]],Первоначальный[[#This Row],[Проценты за период]])),
AND(S619=0,Первоначальный[[#This Row],[Дата платежа из графика]]=""),0,
AND(S619=0,Первоначальный[[#This Row],[Дата платежа из графика]]=1,MAX((0&lt;&gt;S$12:S619)*ROW(S$12:S619),ROW($S$12))&gt;=MAX((1=Z$12:Z619)*ROW(Z$12:Z619),ROW($T$12)),TYPE(VLOOKUP("Да",(INDIRECT("AA"&amp;(MAX((1=Z$12:Z619)*ROW(Z$12:Z619),ROW($T$12))&amp;":AA"&amp;(ROW()-1)))),1,0))=16),MIN(LOOKUP(,-1/($Z$12:Z620=1),$C$12:C620)+LOOKUP(,-1/($Z$12:Z620=1),$H$12:H620),Первоначальный[[#This Row],[Полученный платеж]]+Y619),
AND(S619=0,TYPE(VLOOKUP("Да",(INDIRECT("AA"&amp;(MAX((1=Z$12:Z619)*ROW(Z$12:Z619),ROW($T$12))&amp;":AA"&amp;(ROW()-1)))),1,0))&lt;&gt;16),MIN(LOOKUP(,-1/($Z$12:Z620=1),$C$12:C620)+LOOKUP(,-1/($Z$12:Z620=1),$H$12:H620)-IF(AA619="Да",0,SUM(INDIRECT("T"&amp;(MAX(("Да"=AA$12:AA619)*ROW(AA$12:AA619)+1,ROW($T$12))&amp;":T"&amp;(ROW()-1))))),Первоначальный[[#This Row],[Полученный платеж]]+Y619),
AND(S619=0,MAX((0&lt;&gt;N$12:N619)*ROW(N$12:N619),ROW($S$12))&gt;=MAX((1=Z$12:Z619)*ROW(Z$12:Z619),ROW($T$12))),MIN(LOOKUP(,-1/($Z$12:Z620=1),$C$12:C620)+LOOKUP(,-1/($Z$12:Z620=1),$H$12:H620)-IF(N619&lt;&gt;0,0,SUM(INDIRECT("T"&amp;(MAX((0&lt;&gt;N$12:N619)*ROW(N$12:N619)+1,ROW($T$12))&amp;":T"&amp;(ROW()-1))))),Первоначальный[[#This Row],[Полученный платеж]]+Y619),
AND(S619=0,Первоначальный[[#This Row],[Дата платежа из графика]]=1),MIN(LOOKUP(,-1/($Z$12:Z620=1),$C$12:C620)+LOOKUP(,-1/($Z$12:Z620=1),$H$12:H620)-IF(Z619=1,0,SUM(INDIRECT("T"&amp;(MAX((1=Z$12:Z619)*ROW(Z$12:Z619)+1,ROW($T$12))&amp;":T"&amp;(ROW()-1))))),Первоначальный[[#This Row],[Полученный платеж]]+Y619),
AND(Z619&gt;0,Первоначальный[[#This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платеж]]+Y619),
AND(S619&gt;0,MAX((0&lt;&gt;S$12:S619)*ROW(S$12:S619),ROW($S$12))&gt;=MAX((1=Z$12:Z619)*ROW(Z$12:Z619),ROW($T$12)),TYPE(VLOOKUP("Да",(INDIRECT("AA"&amp;(MAX((1=Z$12:Z619)*ROW(Z$12:Z619),ROW($T$12))&amp;":AA"&amp;(ROW()-1)))),1,0))=16),MIN(LOOKUP(,-1/($Z$12:Z620=1),$C$12:C620)+LOOKUP(,-1/($Z$12:Z620=1),$H$12:H620)-SUM(INDIRECT("T"&amp;(MAX((1=Z$12:Z619)*ROW(Z$12:Z619),ROW($T$12))&amp;":T"&amp;(ROW()-1)))),Первоначальный[[#This Row],[Полученный платеж]]+Y619),
S619&gt;0,MIN(LOOKUP(,-1/($Z$12:Z620=1),$C$12:C620)+LOOKUP(,-1/($Z$12:Z620=1),$H$12:H620)-IF(Z619=1,0,SUM(INDIRECT("T"&amp;(MAX((1=Z$12:Z619)*ROW(Z$12:Z619)+1,ROW($T$12))&amp;":T"&amp;(ROW()-1))))),Первоначальный[[#This Row],[Полученный платеж]]+Y619)
)
)
)</f>
        <v>0</v>
      </c>
      <c r="U62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платеж]]+Y619-Первоначальный[[#This Row],[Полученный платёж по процентам]])</f>
        <v>0</v>
      </c>
      <c r="V620" s="55">
        <f t="shared" ca="1" si="109"/>
        <v>0</v>
      </c>
      <c r="W620" s="55" cm="1">
        <f t="array" aca="1" ref="W620" ca="1">IF(Первоначальный[[#This Row],[Итого остаток на начало периода]]&lt;1,0,
_xlfn.IFS(
AND(TYPE(VLOOKUP(1,$Z$12:Z620,1,0))=16,Первоначальный[[#This Row],[Досрочное погашение (да/"")]]=""),0,
AND(S619=0,Первоначальный[[#This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платеж]]+Y619-SUM(Первоначальный[[#This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комиссиям]]),VLOOKUP(LOOKUP(,-1/($Z$12:Z620=1),$A$12:A620),График[[Срок конец]:[Возврат основной суммы долга]],3,0)),
AND(S619=0,Первоначальный[[#This Row],[Дата платежа из графика]]="",Первоначальный[[#This Row],[Досрочное погашение (да/"")]]&lt;&gt;"Да"),0,
AND(S619=0,Первоначальный[[#This Row],[Досрочное погашение (да/"")]]=""),MIN(Первоначальный[[#This Row],[Полученный платеж]]+Y619-SUM(Первоначальный[[#This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комиссиям]]),VLOOKUP(LOOKUP(,-1/($Z$12:Z620=1),$A$12:A620),График[[Срок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платеж]]+Y619-SUM(Первоначальный[[#This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S619&gt;0,MIN(Первоначальный[[#This Row],[Полученный платеж]]+Y619-SUM(Первоначальный[[#This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комиссиям]]),SUM(INDIRECT("M"&amp;(MAX((1=S$12:S619)*ROW(S$12:S619),ROW($W$12))&amp;":M"&amp;(ROW()))))-SUM(INDIRECT("W"&amp;(MAX((1=S$12:S619)*ROW(S$12:S619),ROW($W$12))&amp;":W"&amp;(ROW()-1)))))
)
)</f>
        <v>0</v>
      </c>
      <c r="X620" s="55">
        <f t="shared" ca="1" si="110"/>
        <v>0</v>
      </c>
      <c r="Y620" s="101">
        <f t="shared" ca="1" si="117"/>
        <v>0</v>
      </c>
      <c r="Z620" s="133">
        <f>IF(TYPE((VLOOKUP(Первоначальный[[#This Row],[Дата платежа]],График[Срок конец],1,0)))=16,"",1)</f>
        <v>1</v>
      </c>
      <c r="AA620" s="57"/>
      <c r="AB620" s="134"/>
      <c r="AC62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2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43357.429999999884</v>
      </c>
      <c r="AE62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1172.4300000000032</v>
      </c>
      <c r="AF62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2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67378.877691803355</v>
      </c>
      <c r="AH620" s="55"/>
      <c r="AI620" s="55"/>
      <c r="AJ620" s="55"/>
      <c r="AK620" s="101">
        <f t="shared" ca="1" si="118"/>
        <v>261542.07769180322</v>
      </c>
      <c r="AL620" s="129">
        <f t="array" ref="AL620">MAX((УслРестрактов[Характеристика]="Дата реструктуризации")*(УслРестрактов[Значение]=Первоначальный!$A620),0)</f>
        <v>0</v>
      </c>
    </row>
    <row r="621" spans="1:38" x14ac:dyDescent="0.25">
      <c r="A621" s="97">
        <f t="shared" si="111"/>
        <v>44752</v>
      </c>
      <c r="B621" s="100">
        <f t="shared" ca="1" si="112"/>
        <v>149633.34</v>
      </c>
      <c r="C621" s="55">
        <f t="shared" ca="1" si="120"/>
        <v>43357.429999999884</v>
      </c>
      <c r="D621" s="55">
        <f t="shared" ca="1" si="120"/>
        <v>1172.4300000000032</v>
      </c>
      <c r="E621" s="55">
        <f t="shared" ca="1" si="113"/>
        <v>0</v>
      </c>
      <c r="F621" s="55">
        <f t="shared" ca="1" si="114"/>
        <v>67378.877691803355</v>
      </c>
      <c r="G621" s="101">
        <f t="shared" ca="1" si="115"/>
        <v>261542.07769180322</v>
      </c>
      <c r="H621" s="100">
        <f ca="1">ROUND($B621*VLOOKUP($A621,$A$1:$B$10,2,1)/(365+IF(MOD(YEAR($A621),4),0,1)*($A621-$A620)),2)-Первоначальный[[#This Row],[Проценты на просроченный платеж по ОД за период]]</f>
        <v>77.11</v>
      </c>
      <c r="I621" s="55">
        <f t="shared" ca="1" si="116"/>
        <v>4.47</v>
      </c>
      <c r="J621" s="55">
        <v>0</v>
      </c>
      <c r="K621" s="55">
        <f t="shared" ca="1" si="119"/>
        <v>246.17850327868845</v>
      </c>
      <c r="L621" s="55">
        <v>0</v>
      </c>
      <c r="M621" s="113">
        <f>SUMIFS(График[Возврат основной суммы долга],График[Дата с учетом нерабочих дней],$A621)</f>
        <v>0</v>
      </c>
      <c r="N621" s="56">
        <f>SUMIFS(График[Возврат начисленных %],График[Дата с учетом нерабочих дней],$A621)</f>
        <v>0</v>
      </c>
      <c r="O621" s="101">
        <v>0</v>
      </c>
      <c r="P621" s="100" cm="1">
        <f t="array" aca="1" ref="P621" ca="1">MAX(IF(AA620="Да",0,SUM(INDIRECT("M"&amp;(MAX(("Да"=AA$12:AA620)*ROW(AA$12:AA620)+1,ROW($P$12))&amp;":M"&amp;(ROW()))))-SUM(INDIRECT("W"&amp;(MAX(("Да"=AA$12:AA620)*ROW(AA$12:AA620)+1,ROW($P$12))&amp;":W"&amp;(ROW()))))),0)</f>
        <v>8193.4399999999987</v>
      </c>
      <c r="Q621" s="99">
        <f ca="1">MAX(SUM($N$13:N621)-SUM($T$13:T621),0)</f>
        <v>41042.260655737693</v>
      </c>
      <c r="R621" s="99">
        <f ca="1">Первоначальный[[#This Row],[Просроченный платеж по ОД]]+Первоначальный[[#This Row],[Просроченный платеж по процентам]]</f>
        <v>49235.700655737688</v>
      </c>
      <c r="S621" s="120">
        <f ca="1">IF(Первоначальный[[#This Row],[Просроченный платеж]]&lt;1,0,S620+1)</f>
        <v>517</v>
      </c>
      <c r="T621" s="100" cm="1">
        <f t="array" aca="1" ref="T621" ca="1">IF(Первоначальный[[#This Row],[Итого остаток на начало периода]]&lt;1,0,
IF(
AND(TYPE(VLOOKUP(1,$Z$12:Z621,1,0))=16,Первоначальный[[#This Row],[Досрочное погашение (да/"")]]=""),0,
_xlfn.IFS(AND(S620=0,Первоначальный[[#This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платеж]]&lt;&gt;0),MIN(LOOKUP(,-1/($Z$12:Z621=1),$C$12:C621)+LOOKUP(,-1/($Z$12:Z621=1),$H$12:H621),Первоначальный[[#This Row],[Полученный платеж]]+Y620),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платеж]]+Y620,SUM(Первоначальный[[#This Row],[Остаток процентов на начало периода]],Первоначальный[[#This Row],[Проценты за период]])),
AND(S620=0,Первоначальный[[#This Row],[Дата платежа из графика]]=""),0,
AND(S620=0,Первоначальный[[#This Row],[Дата платежа из графика]]=1,MAX((0&lt;&gt;S$12:S620)*ROW(S$12:S620),ROW($S$12))&gt;=MAX((1=Z$12:Z620)*ROW(Z$12:Z620),ROW($T$12)),TYPE(VLOOKUP("Да",(INDIRECT("AA"&amp;(MAX((1=Z$12:Z620)*ROW(Z$12:Z620),ROW($T$12))&amp;":AA"&amp;(ROW()-1)))),1,0))=16),MIN(LOOKUP(,-1/($Z$12:Z621=1),$C$12:C621)+LOOKUP(,-1/($Z$12:Z621=1),$H$12:H621),Первоначальный[[#This Row],[Полученный платеж]]+Y620),
AND(S620=0,TYPE(VLOOKUP("Да",(INDIRECT("AA"&amp;(MAX((1=Z$12:Z620)*ROW(Z$12:Z620),ROW($T$12))&amp;":AA"&amp;(ROW()-1)))),1,0))&lt;&gt;16),MIN(LOOKUP(,-1/($Z$12:Z621=1),$C$12:C621)+LOOKUP(,-1/($Z$12:Z621=1),$H$12:H621)-IF(AA620="Да",0,SUM(INDIRECT("T"&amp;(MAX(("Да"=AA$12:AA620)*ROW(AA$12:AA620)+1,ROW($T$12))&amp;":T"&amp;(ROW()-1))))),Первоначальный[[#This Row],[Полученный платеж]]+Y620),
AND(S620=0,MAX((0&lt;&gt;N$12:N620)*ROW(N$12:N620),ROW($S$12))&gt;=MAX((1=Z$12:Z620)*ROW(Z$12:Z620),ROW($T$12))),MIN(LOOKUP(,-1/($Z$12:Z621=1),$C$12:C621)+LOOKUP(,-1/($Z$12:Z621=1),$H$12:H621)-IF(N620&lt;&gt;0,0,SUM(INDIRECT("T"&amp;(MAX((0&lt;&gt;N$12:N620)*ROW(N$12:N620)+1,ROW($T$12))&amp;":T"&amp;(ROW()-1))))),Первоначальный[[#This Row],[Полученный платеж]]+Y620),
AND(S620=0,Первоначальный[[#This Row],[Дата платежа из графика]]=1),MIN(LOOKUP(,-1/($Z$12:Z621=1),$C$12:C621)+LOOKUP(,-1/($Z$12:Z621=1),$H$12:H621)-IF(Z620=1,0,SUM(INDIRECT("T"&amp;(MAX((1=Z$12:Z620)*ROW(Z$12:Z620)+1,ROW($T$12))&amp;":T"&amp;(ROW()-1))))),Первоначальный[[#This Row],[Полученный платеж]]+Y620),
AND(Z620&gt;0,Первоначальный[[#This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платеж]]+Y620),
AND(S620&gt;0,MAX((0&lt;&gt;S$12:S620)*ROW(S$12:S620),ROW($S$12))&gt;=MAX((1=Z$12:Z620)*ROW(Z$12:Z620),ROW($T$12)),TYPE(VLOOKUP("Да",(INDIRECT("AA"&amp;(MAX((1=Z$12:Z620)*ROW(Z$12:Z620),ROW($T$12))&amp;":AA"&amp;(ROW()-1)))),1,0))=16),MIN(LOOKUP(,-1/($Z$12:Z621=1),$C$12:C621)+LOOKUP(,-1/($Z$12:Z621=1),$H$12:H621)-SUM(INDIRECT("T"&amp;(MAX((1=Z$12:Z620)*ROW(Z$12:Z620),ROW($T$12))&amp;":T"&amp;(ROW()-1)))),Первоначальный[[#This Row],[Полученный платеж]]+Y620),
S620&gt;0,MIN(LOOKUP(,-1/($Z$12:Z621=1),$C$12:C621)+LOOKUP(,-1/($Z$12:Z621=1),$H$12:H621)-IF(Z620=1,0,SUM(INDIRECT("T"&amp;(MAX((1=Z$12:Z620)*ROW(Z$12:Z620)+1,ROW($T$12))&amp;":T"&amp;(ROW()-1))))),Первоначальный[[#This Row],[Полученный платеж]]+Y620)
)
)
)</f>
        <v>0</v>
      </c>
      <c r="U62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платеж]]+Y620-Первоначальный[[#This Row],[Полученный платёж по процентам]])</f>
        <v>0</v>
      </c>
      <c r="V621" s="55">
        <f t="shared" ca="1" si="109"/>
        <v>0</v>
      </c>
      <c r="W621" s="55" cm="1">
        <f t="array" aca="1" ref="W621" ca="1">IF(Первоначальный[[#This Row],[Итого остаток на начало периода]]&lt;1,0,
_xlfn.IFS(
AND(TYPE(VLOOKUP(1,$Z$12:Z621,1,0))=16,Первоначальный[[#This Row],[Досрочное погашение (да/"")]]=""),0,
AND(S620=0,Первоначальный[[#This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платеж]]+Y620-SUM(Первоначальный[[#This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комиссиям]]),VLOOKUP(LOOKUP(,-1/($Z$12:Z621=1),$A$12:A621),График[[Срок конец]:[Возврат основной суммы долга]],3,0)),
AND(S620=0,Первоначальный[[#This Row],[Дата платежа из графика]]="",Первоначальный[[#This Row],[Досрочное погашение (да/"")]]&lt;&gt;"Да"),0,
AND(S620=0,Первоначальный[[#This Row],[Досрочное погашение (да/"")]]=""),MIN(Первоначальный[[#This Row],[Полученный платеж]]+Y620-SUM(Первоначальный[[#This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комиссиям]]),VLOOKUP(LOOKUP(,-1/($Z$12:Z621=1),$A$12:A621),График[[Срок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платеж]]+Y620-SUM(Первоначальный[[#This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S620&gt;0,MIN(Первоначальный[[#This Row],[Полученный платеж]]+Y620-SUM(Первоначальный[[#This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комиссиям]]),SUM(INDIRECT("M"&amp;(MAX((1=S$12:S620)*ROW(S$12:S620),ROW($W$12))&amp;":M"&amp;(ROW()))))-SUM(INDIRECT("W"&amp;(MAX((1=S$12:S620)*ROW(S$12:S620),ROW($W$12))&amp;":W"&amp;(ROW()-1)))))
)
)</f>
        <v>0</v>
      </c>
      <c r="X621" s="55">
        <f t="shared" ca="1" si="110"/>
        <v>0</v>
      </c>
      <c r="Y621" s="101">
        <f t="shared" ca="1" si="117"/>
        <v>0</v>
      </c>
      <c r="Z621" s="133" t="str">
        <f>IF(TYPE((VLOOKUP(Первоначальный[[#This Row],[Дата платежа]],График[Срок конец],1,0)))=16,"",1)</f>
        <v/>
      </c>
      <c r="AA621" s="57"/>
      <c r="AB621" s="134"/>
      <c r="AC62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2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43434.539999999884</v>
      </c>
      <c r="AE62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1176.9000000000033</v>
      </c>
      <c r="AF62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2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67625.056195082041</v>
      </c>
      <c r="AH621" s="55"/>
      <c r="AI621" s="55"/>
      <c r="AJ621" s="55"/>
      <c r="AK621" s="101">
        <f t="shared" ca="1" si="118"/>
        <v>261869.83619508194</v>
      </c>
      <c r="AL621" s="129">
        <f t="array" ref="AL621">MAX((УслРестрактов[Характеристика]="Дата реструктуризации")*(УслРестрактов[Значение]=Первоначальный!$A621),0)</f>
        <v>0</v>
      </c>
    </row>
    <row r="622" spans="1:38" x14ac:dyDescent="0.25">
      <c r="A622" s="97">
        <f t="shared" si="111"/>
        <v>44753</v>
      </c>
      <c r="B622" s="100">
        <f t="shared" ca="1" si="112"/>
        <v>149633.34</v>
      </c>
      <c r="C622" s="55">
        <f t="shared" ca="1" si="120"/>
        <v>43434.539999999884</v>
      </c>
      <c r="D622" s="55">
        <f t="shared" ca="1" si="120"/>
        <v>1176.9000000000033</v>
      </c>
      <c r="E622" s="55">
        <f t="shared" ca="1" si="113"/>
        <v>0</v>
      </c>
      <c r="F622" s="55">
        <f t="shared" ca="1" si="114"/>
        <v>67625.056195082041</v>
      </c>
      <c r="G622" s="101">
        <f t="shared" ca="1" si="115"/>
        <v>261869.83619508194</v>
      </c>
      <c r="H622" s="100">
        <f ca="1">ROUND($B622*VLOOKUP($A622,$A$1:$B$10,2,1)/(365+IF(MOD(YEAR($A622),4),0,1)*($A622-$A621)),2)-Первоначальный[[#This Row],[Проценты на просроченный платеж по ОД за период]]</f>
        <v>77.11</v>
      </c>
      <c r="I622" s="55">
        <f t="shared" ca="1" si="116"/>
        <v>4.47</v>
      </c>
      <c r="J622" s="55">
        <v>0</v>
      </c>
      <c r="K622" s="55">
        <f t="shared" ca="1" si="119"/>
        <v>260.66350327868844</v>
      </c>
      <c r="L622" s="55">
        <v>0</v>
      </c>
      <c r="M622" s="113">
        <f>SUMIFS(График[Возврат основной суммы долга],График[Дата с учетом нерабочих дней],$A622)</f>
        <v>583.59000000000015</v>
      </c>
      <c r="N622" s="56">
        <f>SUMIFS(График[Возврат начисленных %],График[Дата с учетом нерабочих дней],$A622)</f>
        <v>2313.41</v>
      </c>
      <c r="O622" s="101">
        <v>0</v>
      </c>
      <c r="P622" s="100" cm="1">
        <f t="array" aca="1" ref="P622" ca="1">MAX(IF(AA621="Да",0,SUM(INDIRECT("M"&amp;(MAX(("Да"=AA$12:AA621)*ROW(AA$12:AA621)+1,ROW($P$12))&amp;":M"&amp;(ROW()))))-SUM(INDIRECT("W"&amp;(MAX(("Да"=AA$12:AA621)*ROW(AA$12:AA621)+1,ROW($P$12))&amp;":W"&amp;(ROW()))))),0)</f>
        <v>8777.0299999999988</v>
      </c>
      <c r="Q622" s="99">
        <f ca="1">MAX(SUM($N$13:N622)-SUM($T$13:T622),0)</f>
        <v>43355.670655737689</v>
      </c>
      <c r="R622" s="99">
        <f ca="1">Первоначальный[[#This Row],[Просроченный платеж по ОД]]+Первоначальный[[#This Row],[Просроченный платеж по процентам]]</f>
        <v>52132.700655737688</v>
      </c>
      <c r="S622" s="120">
        <f ca="1">IF(Первоначальный[[#This Row],[Просроченный платеж]]&lt;1,0,S621+1)</f>
        <v>518</v>
      </c>
      <c r="T622" s="100" cm="1">
        <f t="array" aca="1" ref="T622" ca="1">IF(Первоначальный[[#This Row],[Итого остаток на начало периода]]&lt;1,0,
IF(
AND(TYPE(VLOOKUP(1,$Z$12:Z622,1,0))=16,Первоначальный[[#This Row],[Досрочное погашение (да/"")]]=""),0,
_xlfn.IFS(AND(S621=0,Первоначальный[[#This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платеж]]&lt;&gt;0),MIN(LOOKUP(,-1/($Z$12:Z622=1),$C$12:C622)+LOOKUP(,-1/($Z$12:Z622=1),$H$12:H622),Первоначальный[[#This Row],[Полученный платеж]]+Y621),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платеж]]+Y621,SUM(Первоначальный[[#This Row],[Остаток процентов на начало периода]],Первоначальный[[#This Row],[Проценты за период]])),
AND(S621=0,Первоначальный[[#This Row],[Дата платежа из графика]]=""),0,
AND(S621=0,Первоначальный[[#This Row],[Дата платежа из графика]]=1,MAX((0&lt;&gt;S$12:S621)*ROW(S$12:S621),ROW($S$12))&gt;=MAX((1=Z$12:Z621)*ROW(Z$12:Z621),ROW($T$12)),TYPE(VLOOKUP("Да",(INDIRECT("AA"&amp;(MAX((1=Z$12:Z621)*ROW(Z$12:Z621),ROW($T$12))&amp;":AA"&amp;(ROW()-1)))),1,0))=16),MIN(LOOKUP(,-1/($Z$12:Z622=1),$C$12:C622)+LOOKUP(,-1/($Z$12:Z622=1),$H$12:H622),Первоначальный[[#This Row],[Полученный платеж]]+Y621),
AND(S621=0,TYPE(VLOOKUP("Да",(INDIRECT("AA"&amp;(MAX((1=Z$12:Z621)*ROW(Z$12:Z621),ROW($T$12))&amp;":AA"&amp;(ROW()-1)))),1,0))&lt;&gt;16),MIN(LOOKUP(,-1/($Z$12:Z622=1),$C$12:C622)+LOOKUP(,-1/($Z$12:Z622=1),$H$12:H622)-IF(AA621="Да",0,SUM(INDIRECT("T"&amp;(MAX(("Да"=AA$12:AA621)*ROW(AA$12:AA621)+1,ROW($T$12))&amp;":T"&amp;(ROW()-1))))),Первоначальный[[#This Row],[Полученный платеж]]+Y621),
AND(S621=0,MAX((0&lt;&gt;N$12:N621)*ROW(N$12:N621),ROW($S$12))&gt;=MAX((1=Z$12:Z621)*ROW(Z$12:Z621),ROW($T$12))),MIN(LOOKUP(,-1/($Z$12:Z622=1),$C$12:C622)+LOOKUP(,-1/($Z$12:Z622=1),$H$12:H622)-IF(N621&lt;&gt;0,0,SUM(INDIRECT("T"&amp;(MAX((0&lt;&gt;N$12:N621)*ROW(N$12:N621)+1,ROW($T$12))&amp;":T"&amp;(ROW()-1))))),Первоначальный[[#This Row],[Полученный платеж]]+Y621),
AND(S621=0,Первоначальный[[#This Row],[Дата платежа из графика]]=1),MIN(LOOKUP(,-1/($Z$12:Z622=1),$C$12:C622)+LOOKUP(,-1/($Z$12:Z622=1),$H$12:H622)-IF(Z621=1,0,SUM(INDIRECT("T"&amp;(MAX((1=Z$12:Z621)*ROW(Z$12:Z621)+1,ROW($T$12))&amp;":T"&amp;(ROW()-1))))),Первоначальный[[#This Row],[Полученный платеж]]+Y621),
AND(Z621&gt;0,Первоначальный[[#This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платеж]]+Y621),
AND(S621&gt;0,MAX((0&lt;&gt;S$12:S621)*ROW(S$12:S621),ROW($S$12))&gt;=MAX((1=Z$12:Z621)*ROW(Z$12:Z621),ROW($T$12)),TYPE(VLOOKUP("Да",(INDIRECT("AA"&amp;(MAX((1=Z$12:Z621)*ROW(Z$12:Z621),ROW($T$12))&amp;":AA"&amp;(ROW()-1)))),1,0))=16),MIN(LOOKUP(,-1/($Z$12:Z622=1),$C$12:C622)+LOOKUP(,-1/($Z$12:Z622=1),$H$12:H622)-SUM(INDIRECT("T"&amp;(MAX((1=Z$12:Z621)*ROW(Z$12:Z621),ROW($T$12))&amp;":T"&amp;(ROW()-1)))),Первоначальный[[#This Row],[Полученный платеж]]+Y621),
S621&gt;0,MIN(LOOKUP(,-1/($Z$12:Z622=1),$C$12:C622)+LOOKUP(,-1/($Z$12:Z622=1),$H$12:H622)-IF(Z621=1,0,SUM(INDIRECT("T"&amp;(MAX((1=Z$12:Z621)*ROW(Z$12:Z621)+1,ROW($T$12))&amp;":T"&amp;(ROW()-1))))),Первоначальный[[#This Row],[Полученный платеж]]+Y621)
)
)
)</f>
        <v>0</v>
      </c>
      <c r="U62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платеж]]+Y621-Первоначальный[[#This Row],[Полученный платёж по процентам]])</f>
        <v>0</v>
      </c>
      <c r="V622" s="55">
        <f t="shared" ca="1" si="109"/>
        <v>0</v>
      </c>
      <c r="W622" s="55" cm="1">
        <f t="array" aca="1" ref="W622" ca="1">IF(Первоначальный[[#This Row],[Итого остаток на начало периода]]&lt;1,0,
_xlfn.IFS(
AND(TYPE(VLOOKUP(1,$Z$12:Z622,1,0))=16,Первоначальный[[#This Row],[Досрочное погашение (да/"")]]=""),0,
AND(S621=0,Первоначальный[[#This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платеж]]+Y621-SUM(Первоначальный[[#This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комиссиям]]),VLOOKUP(LOOKUP(,-1/($Z$12:Z622=1),$A$12:A622),График[[Срок конец]:[Возврат основной суммы долга]],3,0)),
AND(S621=0,Первоначальный[[#This Row],[Дата платежа из графика]]="",Первоначальный[[#This Row],[Досрочное погашение (да/"")]]&lt;&gt;"Да"),0,
AND(S621=0,Первоначальный[[#This Row],[Досрочное погашение (да/"")]]=""),MIN(Первоначальный[[#This Row],[Полученный платеж]]+Y621-SUM(Первоначальный[[#This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комиссиям]]),VLOOKUP(LOOKUP(,-1/($Z$12:Z622=1),$A$12:A622),График[[Срок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платеж]]+Y621-SUM(Первоначальный[[#This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S621&gt;0,MIN(Первоначальный[[#This Row],[Полученный платеж]]+Y621-SUM(Первоначальный[[#This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комиссиям]]),SUM(INDIRECT("M"&amp;(MAX((1=S$12:S621)*ROW(S$12:S621),ROW($W$12))&amp;":M"&amp;(ROW()))))-SUM(INDIRECT("W"&amp;(MAX((1=S$12:S621)*ROW(S$12:S621),ROW($W$12))&amp;":W"&amp;(ROW()-1)))))
)
)</f>
        <v>0</v>
      </c>
      <c r="X622" s="55">
        <f t="shared" ca="1" si="110"/>
        <v>0</v>
      </c>
      <c r="Y622" s="101">
        <f t="shared" ca="1" si="117"/>
        <v>0</v>
      </c>
      <c r="Z622" s="133" t="str">
        <f>IF(TYPE((VLOOKUP(Первоначальный[[#This Row],[Дата платежа]],График[Срок конец],1,0)))=16,"",1)</f>
        <v/>
      </c>
      <c r="AA622" s="57"/>
      <c r="AB622" s="134"/>
      <c r="AC62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2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43511.649999999885</v>
      </c>
      <c r="AE62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1181.3700000000033</v>
      </c>
      <c r="AF62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2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67885.719698360728</v>
      </c>
      <c r="AH622" s="55"/>
      <c r="AI622" s="55"/>
      <c r="AJ622" s="55"/>
      <c r="AK622" s="101">
        <f t="shared" ca="1" si="118"/>
        <v>262212.07969836058</v>
      </c>
      <c r="AL622" s="129">
        <f t="array" ref="AL622">MAX((УслРестрактов[Характеристика]="Дата реструктуризации")*(УслРестрактов[Значение]=Первоначальный!$A622),0)</f>
        <v>0</v>
      </c>
    </row>
    <row r="623" spans="1:38" x14ac:dyDescent="0.25">
      <c r="A623" s="97">
        <f t="shared" si="111"/>
        <v>44754</v>
      </c>
      <c r="B623" s="100">
        <f t="shared" ca="1" si="112"/>
        <v>149633.34</v>
      </c>
      <c r="C623" s="55">
        <f t="shared" ca="1" si="120"/>
        <v>43511.649999999885</v>
      </c>
      <c r="D623" s="55">
        <f t="shared" ca="1" si="120"/>
        <v>1181.3700000000033</v>
      </c>
      <c r="E623" s="55">
        <f t="shared" ca="1" si="113"/>
        <v>0</v>
      </c>
      <c r="F623" s="55">
        <f t="shared" ca="1" si="114"/>
        <v>67885.719698360728</v>
      </c>
      <c r="G623" s="101">
        <f t="shared" ca="1" si="115"/>
        <v>262212.07969836058</v>
      </c>
      <c r="H623" s="100">
        <f ca="1">ROUND($B623*VLOOKUP($A623,$A$1:$B$10,2,1)/(365+IF(MOD(YEAR($A623),4),0,1)*($A623-$A622)),2)-Первоначальный[[#This Row],[Проценты на просроченный платеж по ОД за период]]</f>
        <v>76.789999999999992</v>
      </c>
      <c r="I623" s="55">
        <f t="shared" ca="1" si="116"/>
        <v>4.79</v>
      </c>
      <c r="J623" s="55">
        <v>0</v>
      </c>
      <c r="K623" s="55">
        <f t="shared" ca="1" si="119"/>
        <v>260.66350327868844</v>
      </c>
      <c r="L623" s="55">
        <v>0</v>
      </c>
      <c r="M623" s="113">
        <f>SUMIFS(График[Возврат основной суммы долга],График[Дата с учетом нерабочих дней],$A623)</f>
        <v>0</v>
      </c>
      <c r="N623" s="56">
        <f>SUMIFS(График[Возврат начисленных %],График[Дата с учетом нерабочих дней],$A623)</f>
        <v>0</v>
      </c>
      <c r="O623" s="101">
        <v>0</v>
      </c>
      <c r="P623" s="100" cm="1">
        <f t="array" aca="1" ref="P623" ca="1">MAX(IF(AA622="Да",0,SUM(INDIRECT("M"&amp;(MAX(("Да"=AA$12:AA622)*ROW(AA$12:AA622)+1,ROW($P$12))&amp;":M"&amp;(ROW()))))-SUM(INDIRECT("W"&amp;(MAX(("Да"=AA$12:AA622)*ROW(AA$12:AA622)+1,ROW($P$12))&amp;":W"&amp;(ROW()))))),0)</f>
        <v>8777.0299999999988</v>
      </c>
      <c r="Q623" s="99">
        <f ca="1">MAX(SUM($N$13:N623)-SUM($T$13:T623),0)</f>
        <v>43355.670655737689</v>
      </c>
      <c r="R623" s="99">
        <f ca="1">Первоначальный[[#This Row],[Просроченный платеж по ОД]]+Первоначальный[[#This Row],[Просроченный платеж по процентам]]</f>
        <v>52132.700655737688</v>
      </c>
      <c r="S623" s="120">
        <f ca="1">IF(Первоначальный[[#This Row],[Просроченный платеж]]&lt;1,0,S622+1)</f>
        <v>519</v>
      </c>
      <c r="T623" s="100" cm="1">
        <f t="array" aca="1" ref="T623" ca="1">IF(Первоначальный[[#This Row],[Итого остаток на начало периода]]&lt;1,0,
IF(
AND(TYPE(VLOOKUP(1,$Z$12:Z623,1,0))=16,Первоначальный[[#This Row],[Досрочное погашение (да/"")]]=""),0,
_xlfn.IFS(AND(S622=0,Первоначальный[[#This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платеж]]&lt;&gt;0),MIN(LOOKUP(,-1/($Z$12:Z623=1),$C$12:C623)+LOOKUP(,-1/($Z$12:Z623=1),$H$12:H623),Первоначальный[[#This Row],[Полученный платеж]]+Y622),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платеж]]+Y622,SUM(Первоначальный[[#This Row],[Остаток процентов на начало периода]],Первоначальный[[#This Row],[Проценты за период]])),
AND(S622=0,Первоначальный[[#This Row],[Дата платежа из графика]]=""),0,
AND(S622=0,Первоначальный[[#This Row],[Дата платежа из графика]]=1,MAX((0&lt;&gt;S$12:S622)*ROW(S$12:S622),ROW($S$12))&gt;=MAX((1=Z$12:Z622)*ROW(Z$12:Z622),ROW($T$12)),TYPE(VLOOKUP("Да",(INDIRECT("AA"&amp;(MAX((1=Z$12:Z622)*ROW(Z$12:Z622),ROW($T$12))&amp;":AA"&amp;(ROW()-1)))),1,0))=16),MIN(LOOKUP(,-1/($Z$12:Z623=1),$C$12:C623)+LOOKUP(,-1/($Z$12:Z623=1),$H$12:H623),Первоначальный[[#This Row],[Полученный платеж]]+Y622),
AND(S622=0,TYPE(VLOOKUP("Да",(INDIRECT("AA"&amp;(MAX((1=Z$12:Z622)*ROW(Z$12:Z622),ROW($T$12))&amp;":AA"&amp;(ROW()-1)))),1,0))&lt;&gt;16),MIN(LOOKUP(,-1/($Z$12:Z623=1),$C$12:C623)+LOOKUP(,-1/($Z$12:Z623=1),$H$12:H623)-IF(AA622="Да",0,SUM(INDIRECT("T"&amp;(MAX(("Да"=AA$12:AA622)*ROW(AA$12:AA622)+1,ROW($T$12))&amp;":T"&amp;(ROW()-1))))),Первоначальный[[#This Row],[Полученный платеж]]+Y622),
AND(S622=0,MAX((0&lt;&gt;N$12:N622)*ROW(N$12:N622),ROW($S$12))&gt;=MAX((1=Z$12:Z622)*ROW(Z$12:Z622),ROW($T$12))),MIN(LOOKUP(,-1/($Z$12:Z623=1),$C$12:C623)+LOOKUP(,-1/($Z$12:Z623=1),$H$12:H623)-IF(N622&lt;&gt;0,0,SUM(INDIRECT("T"&amp;(MAX((0&lt;&gt;N$12:N622)*ROW(N$12:N622)+1,ROW($T$12))&amp;":T"&amp;(ROW()-1))))),Первоначальный[[#This Row],[Полученный платеж]]+Y622),
AND(S622=0,Первоначальный[[#This Row],[Дата платежа из графика]]=1),MIN(LOOKUP(,-1/($Z$12:Z623=1),$C$12:C623)+LOOKUP(,-1/($Z$12:Z623=1),$H$12:H623)-IF(Z622=1,0,SUM(INDIRECT("T"&amp;(MAX((1=Z$12:Z622)*ROW(Z$12:Z622)+1,ROW($T$12))&amp;":T"&amp;(ROW()-1))))),Первоначальный[[#This Row],[Полученный платеж]]+Y622),
AND(Z622&gt;0,Первоначальный[[#This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платеж]]+Y622),
AND(S622&gt;0,MAX((0&lt;&gt;S$12:S622)*ROW(S$12:S622),ROW($S$12))&gt;=MAX((1=Z$12:Z622)*ROW(Z$12:Z622),ROW($T$12)),TYPE(VLOOKUP("Да",(INDIRECT("AA"&amp;(MAX((1=Z$12:Z622)*ROW(Z$12:Z622),ROW($T$12))&amp;":AA"&amp;(ROW()-1)))),1,0))=16),MIN(LOOKUP(,-1/($Z$12:Z623=1),$C$12:C623)+LOOKUP(,-1/($Z$12:Z623=1),$H$12:H623)-SUM(INDIRECT("T"&amp;(MAX((1=Z$12:Z622)*ROW(Z$12:Z622),ROW($T$12))&amp;":T"&amp;(ROW()-1)))),Первоначальный[[#This Row],[Полученный платеж]]+Y622),
S622&gt;0,MIN(LOOKUP(,-1/($Z$12:Z623=1),$C$12:C623)+LOOKUP(,-1/($Z$12:Z623=1),$H$12:H623)-IF(Z622=1,0,SUM(INDIRECT("T"&amp;(MAX((1=Z$12:Z622)*ROW(Z$12:Z622)+1,ROW($T$12))&amp;":T"&amp;(ROW()-1))))),Первоначальный[[#This Row],[Полученный платеж]]+Y622)
)
)
)</f>
        <v>0</v>
      </c>
      <c r="U62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платеж]]+Y622-Первоначальный[[#This Row],[Полученный платёж по процентам]])</f>
        <v>0</v>
      </c>
      <c r="V623" s="55">
        <f t="shared" ca="1" si="109"/>
        <v>0</v>
      </c>
      <c r="W623" s="55" cm="1">
        <f t="array" aca="1" ref="W623" ca="1">IF(Первоначальный[[#This Row],[Итого остаток на начало периода]]&lt;1,0,
_xlfn.IFS(
AND(TYPE(VLOOKUP(1,$Z$12:Z623,1,0))=16,Первоначальный[[#This Row],[Досрочное погашение (да/"")]]=""),0,
AND(S622=0,Первоначальный[[#This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платеж]]+Y622-SUM(Первоначальный[[#This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комиссиям]]),VLOOKUP(LOOKUP(,-1/($Z$12:Z623=1),$A$12:A623),График[[Срок конец]:[Возврат основной суммы долга]],3,0)),
AND(S622=0,Первоначальный[[#This Row],[Дата платежа из графика]]="",Первоначальный[[#This Row],[Досрочное погашение (да/"")]]&lt;&gt;"Да"),0,
AND(S622=0,Первоначальный[[#This Row],[Досрочное погашение (да/"")]]=""),MIN(Первоначальный[[#This Row],[Полученный платеж]]+Y622-SUM(Первоначальный[[#This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комиссиям]]),VLOOKUP(LOOKUP(,-1/($Z$12:Z623=1),$A$12:A623),График[[Срок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платеж]]+Y622-SUM(Первоначальный[[#This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S622&gt;0,MIN(Первоначальный[[#This Row],[Полученный платеж]]+Y622-SUM(Первоначальный[[#This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комиссиям]]),SUM(INDIRECT("M"&amp;(MAX((1=S$12:S622)*ROW(S$12:S622),ROW($W$12))&amp;":M"&amp;(ROW()))))-SUM(INDIRECT("W"&amp;(MAX((1=S$12:S622)*ROW(S$12:S622),ROW($W$12))&amp;":W"&amp;(ROW()-1)))))
)
)</f>
        <v>0</v>
      </c>
      <c r="X623" s="55">
        <f t="shared" ca="1" si="110"/>
        <v>0</v>
      </c>
      <c r="Y623" s="101">
        <f t="shared" ca="1" si="117"/>
        <v>0</v>
      </c>
      <c r="Z623" s="133" t="str">
        <f>IF(TYPE((VLOOKUP(Первоначальный[[#This Row],[Дата платежа]],График[Срок конец],1,0)))=16,"",1)</f>
        <v/>
      </c>
      <c r="AA623" s="57"/>
      <c r="AB623" s="134"/>
      <c r="AC62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2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43588.439999999886</v>
      </c>
      <c r="AE62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1186.1600000000033</v>
      </c>
      <c r="AF62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2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68146.383201639415</v>
      </c>
      <c r="AH623" s="55"/>
      <c r="AI623" s="55"/>
      <c r="AJ623" s="55"/>
      <c r="AK623" s="101">
        <f t="shared" ca="1" si="118"/>
        <v>262554.32320163929</v>
      </c>
      <c r="AL623" s="129">
        <f t="array" ref="AL623">MAX((УслРестрактов[Характеристика]="Дата реструктуризации")*(УслРестрактов[Значение]=Первоначальный!$A623),0)</f>
        <v>0</v>
      </c>
    </row>
    <row r="624" spans="1:38" x14ac:dyDescent="0.25">
      <c r="A624" s="97">
        <f t="shared" si="111"/>
        <v>44755</v>
      </c>
      <c r="B624" s="100">
        <f t="shared" ca="1" si="112"/>
        <v>149633.34</v>
      </c>
      <c r="C624" s="55">
        <f t="shared" ca="1" si="120"/>
        <v>43588.439999999886</v>
      </c>
      <c r="D624" s="55">
        <f t="shared" ca="1" si="120"/>
        <v>1186.1600000000033</v>
      </c>
      <c r="E624" s="55">
        <f t="shared" ca="1" si="113"/>
        <v>0</v>
      </c>
      <c r="F624" s="55">
        <f t="shared" ca="1" si="114"/>
        <v>68146.383201639415</v>
      </c>
      <c r="G624" s="101">
        <f t="shared" ca="1" si="115"/>
        <v>262554.32320163929</v>
      </c>
      <c r="H624" s="100">
        <f ca="1">ROUND($B624*VLOOKUP($A624,$A$1:$B$10,2,1)/(365+IF(MOD(YEAR($A624),4),0,1)*($A624-$A623)),2)-Первоначальный[[#This Row],[Проценты на просроченный платеж по ОД за период]]</f>
        <v>76.789999999999992</v>
      </c>
      <c r="I624" s="55">
        <f t="shared" ca="1" si="116"/>
        <v>4.79</v>
      </c>
      <c r="J624" s="55">
        <v>0</v>
      </c>
      <c r="K624" s="55">
        <f t="shared" ca="1" si="119"/>
        <v>260.66350327868844</v>
      </c>
      <c r="L624" s="55">
        <v>0</v>
      </c>
      <c r="M624" s="113">
        <f>SUMIFS(График[Возврат основной суммы долга],График[Дата с учетом нерабочих дней],$A624)</f>
        <v>0</v>
      </c>
      <c r="N624" s="56">
        <f>SUMIFS(График[Возврат начисленных %],График[Дата с учетом нерабочих дней],$A624)</f>
        <v>0</v>
      </c>
      <c r="O624" s="101">
        <v>0</v>
      </c>
      <c r="P624" s="100" cm="1">
        <f t="array" aca="1" ref="P624" ca="1">MAX(IF(AA623="Да",0,SUM(INDIRECT("M"&amp;(MAX(("Да"=AA$12:AA623)*ROW(AA$12:AA623)+1,ROW($P$12))&amp;":M"&amp;(ROW()))))-SUM(INDIRECT("W"&amp;(MAX(("Да"=AA$12:AA623)*ROW(AA$12:AA623)+1,ROW($P$12))&amp;":W"&amp;(ROW()))))),0)</f>
        <v>8777.0299999999988</v>
      </c>
      <c r="Q624" s="99">
        <f ca="1">MAX(SUM($N$13:N624)-SUM($T$13:T624),0)</f>
        <v>43355.670655737689</v>
      </c>
      <c r="R624" s="99">
        <f ca="1">Первоначальный[[#This Row],[Просроченный платеж по ОД]]+Первоначальный[[#This Row],[Просроченный платеж по процентам]]</f>
        <v>52132.700655737688</v>
      </c>
      <c r="S624" s="120">
        <f ca="1">IF(Первоначальный[[#This Row],[Просроченный платеж]]&lt;1,0,S623+1)</f>
        <v>520</v>
      </c>
      <c r="T624" s="100" cm="1">
        <f t="array" aca="1" ref="T624" ca="1">IF(Первоначальный[[#This Row],[Итого остаток на начало периода]]&lt;1,0,
IF(
AND(TYPE(VLOOKUP(1,$Z$12:Z624,1,0))=16,Первоначальный[[#This Row],[Досрочное погашение (да/"")]]=""),0,
_xlfn.IFS(AND(S623=0,Первоначальный[[#This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платеж]]&lt;&gt;0),MIN(LOOKUP(,-1/($Z$12:Z624=1),$C$12:C624)+LOOKUP(,-1/($Z$12:Z624=1),$H$12:H624),Первоначальный[[#This Row],[Полученный платеж]]+Y623),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платеж]]+Y623,SUM(Первоначальный[[#This Row],[Остаток процентов на начало периода]],Первоначальный[[#This Row],[Проценты за период]])),
AND(S623=0,Первоначальный[[#This Row],[Дата платежа из графика]]=""),0,
AND(S623=0,Первоначальный[[#This Row],[Дата платежа из графика]]=1,MAX((0&lt;&gt;S$12:S623)*ROW(S$12:S623),ROW($S$12))&gt;=MAX((1=Z$12:Z623)*ROW(Z$12:Z623),ROW($T$12)),TYPE(VLOOKUP("Да",(INDIRECT("AA"&amp;(MAX((1=Z$12:Z623)*ROW(Z$12:Z623),ROW($T$12))&amp;":AA"&amp;(ROW()-1)))),1,0))=16),MIN(LOOKUP(,-1/($Z$12:Z624=1),$C$12:C624)+LOOKUP(,-1/($Z$12:Z624=1),$H$12:H624),Первоначальный[[#This Row],[Полученный платеж]]+Y623),
AND(S623=0,TYPE(VLOOKUP("Да",(INDIRECT("AA"&amp;(MAX((1=Z$12:Z623)*ROW(Z$12:Z623),ROW($T$12))&amp;":AA"&amp;(ROW()-1)))),1,0))&lt;&gt;16),MIN(LOOKUP(,-1/($Z$12:Z624=1),$C$12:C624)+LOOKUP(,-1/($Z$12:Z624=1),$H$12:H624)-IF(AA623="Да",0,SUM(INDIRECT("T"&amp;(MAX(("Да"=AA$12:AA623)*ROW(AA$12:AA623)+1,ROW($T$12))&amp;":T"&amp;(ROW()-1))))),Первоначальный[[#This Row],[Полученный платеж]]+Y623),
AND(S623=0,MAX((0&lt;&gt;N$12:N623)*ROW(N$12:N623),ROW($S$12))&gt;=MAX((1=Z$12:Z623)*ROW(Z$12:Z623),ROW($T$12))),MIN(LOOKUP(,-1/($Z$12:Z624=1),$C$12:C624)+LOOKUP(,-1/($Z$12:Z624=1),$H$12:H624)-IF(N623&lt;&gt;0,0,SUM(INDIRECT("T"&amp;(MAX((0&lt;&gt;N$12:N623)*ROW(N$12:N623)+1,ROW($T$12))&amp;":T"&amp;(ROW()-1))))),Первоначальный[[#This Row],[Полученный платеж]]+Y623),
AND(S623=0,Первоначальный[[#This Row],[Дата платежа из графика]]=1),MIN(LOOKUP(,-1/($Z$12:Z624=1),$C$12:C624)+LOOKUP(,-1/($Z$12:Z624=1),$H$12:H624)-IF(Z623=1,0,SUM(INDIRECT("T"&amp;(MAX((1=Z$12:Z623)*ROW(Z$12:Z623)+1,ROW($T$12))&amp;":T"&amp;(ROW()-1))))),Первоначальный[[#This Row],[Полученный платеж]]+Y623),
AND(Z623&gt;0,Первоначальный[[#This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платеж]]+Y623),
AND(S623&gt;0,MAX((0&lt;&gt;S$12:S623)*ROW(S$12:S623),ROW($S$12))&gt;=MAX((1=Z$12:Z623)*ROW(Z$12:Z623),ROW($T$12)),TYPE(VLOOKUP("Да",(INDIRECT("AA"&amp;(MAX((1=Z$12:Z623)*ROW(Z$12:Z623),ROW($T$12))&amp;":AA"&amp;(ROW()-1)))),1,0))=16),MIN(LOOKUP(,-1/($Z$12:Z624=1),$C$12:C624)+LOOKUP(,-1/($Z$12:Z624=1),$H$12:H624)-SUM(INDIRECT("T"&amp;(MAX((1=Z$12:Z623)*ROW(Z$12:Z623),ROW($T$12))&amp;":T"&amp;(ROW()-1)))),Первоначальный[[#This Row],[Полученный платеж]]+Y623),
S623&gt;0,MIN(LOOKUP(,-1/($Z$12:Z624=1),$C$12:C624)+LOOKUP(,-1/($Z$12:Z624=1),$H$12:H624)-IF(Z623=1,0,SUM(INDIRECT("T"&amp;(MAX((1=Z$12:Z623)*ROW(Z$12:Z623)+1,ROW($T$12))&amp;":T"&amp;(ROW()-1))))),Первоначальный[[#This Row],[Полученный платеж]]+Y623)
)
)
)</f>
        <v>0</v>
      </c>
      <c r="U62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платеж]]+Y623-Первоначальный[[#This Row],[Полученный платёж по процентам]])</f>
        <v>0</v>
      </c>
      <c r="V624" s="55">
        <f t="shared" ca="1" si="109"/>
        <v>0</v>
      </c>
      <c r="W624" s="55" cm="1">
        <f t="array" aca="1" ref="W624" ca="1">IF(Первоначальный[[#This Row],[Итого остаток на начало периода]]&lt;1,0,
_xlfn.IFS(
AND(TYPE(VLOOKUP(1,$Z$12:Z624,1,0))=16,Первоначальный[[#This Row],[Досрочное погашение (да/"")]]=""),0,
AND(S623=0,Первоначальный[[#This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платеж]]+Y623-SUM(Первоначальный[[#This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комиссиям]]),VLOOKUP(LOOKUP(,-1/($Z$12:Z624=1),$A$12:A624),График[[Срок конец]:[Возврат основной суммы долга]],3,0)),
AND(S623=0,Первоначальный[[#This Row],[Дата платежа из графика]]="",Первоначальный[[#This Row],[Досрочное погашение (да/"")]]&lt;&gt;"Да"),0,
AND(S623=0,Первоначальный[[#This Row],[Досрочное погашение (да/"")]]=""),MIN(Первоначальный[[#This Row],[Полученный платеж]]+Y623-SUM(Первоначальный[[#This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комиссиям]]),VLOOKUP(LOOKUP(,-1/($Z$12:Z624=1),$A$12:A624),График[[Срок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платеж]]+Y623-SUM(Первоначальный[[#This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S623&gt;0,MIN(Первоначальный[[#This Row],[Полученный платеж]]+Y623-SUM(Первоначальный[[#This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комиссиям]]),SUM(INDIRECT("M"&amp;(MAX((1=S$12:S623)*ROW(S$12:S623),ROW($W$12))&amp;":M"&amp;(ROW()))))-SUM(INDIRECT("W"&amp;(MAX((1=S$12:S623)*ROW(S$12:S623),ROW($W$12))&amp;":W"&amp;(ROW()-1)))))
)
)</f>
        <v>0</v>
      </c>
      <c r="X624" s="55">
        <f t="shared" ca="1" si="110"/>
        <v>0</v>
      </c>
      <c r="Y624" s="101">
        <f t="shared" ca="1" si="117"/>
        <v>0</v>
      </c>
      <c r="Z624" s="133" t="str">
        <f>IF(TYPE((VLOOKUP(Первоначальный[[#This Row],[Дата платежа]],График[Срок конец],1,0)))=16,"",1)</f>
        <v/>
      </c>
      <c r="AA624" s="57"/>
      <c r="AB624" s="134"/>
      <c r="AC62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2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43665.229999999887</v>
      </c>
      <c r="AE62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1190.9500000000032</v>
      </c>
      <c r="AF62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2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68407.046704918102</v>
      </c>
      <c r="AH624" s="55"/>
      <c r="AI624" s="55"/>
      <c r="AJ624" s="55"/>
      <c r="AK624" s="101">
        <f t="shared" ca="1" si="118"/>
        <v>262896.56670491799</v>
      </c>
      <c r="AL624" s="129">
        <f t="array" ref="AL624">MAX((УслРестрактов[Характеристика]="Дата реструктуризации")*(УслРестрактов[Значение]=Первоначальный!$A624),0)</f>
        <v>0</v>
      </c>
    </row>
    <row r="625" spans="1:38" x14ac:dyDescent="0.25">
      <c r="A625" s="97">
        <f t="shared" si="111"/>
        <v>44756</v>
      </c>
      <c r="B625" s="100">
        <f t="shared" ca="1" si="112"/>
        <v>149633.34</v>
      </c>
      <c r="C625" s="55">
        <f t="shared" ca="1" si="120"/>
        <v>43665.229999999887</v>
      </c>
      <c r="D625" s="55">
        <f t="shared" ca="1" si="120"/>
        <v>1190.9500000000032</v>
      </c>
      <c r="E625" s="55">
        <f t="shared" ca="1" si="113"/>
        <v>0</v>
      </c>
      <c r="F625" s="55">
        <f t="shared" ca="1" si="114"/>
        <v>68407.046704918102</v>
      </c>
      <c r="G625" s="101">
        <f t="shared" ca="1" si="115"/>
        <v>262896.56670491799</v>
      </c>
      <c r="H625" s="100">
        <f ca="1">ROUND($B625*VLOOKUP($A625,$A$1:$B$10,2,1)/(365+IF(MOD(YEAR($A625),4),0,1)*($A625-$A624)),2)-Первоначальный[[#This Row],[Проценты на просроченный платеж по ОД за период]]</f>
        <v>76.789999999999992</v>
      </c>
      <c r="I625" s="55">
        <f t="shared" ca="1" si="116"/>
        <v>4.79</v>
      </c>
      <c r="J625" s="55">
        <v>0</v>
      </c>
      <c r="K625" s="55">
        <f t="shared" ca="1" si="119"/>
        <v>260.66350327868844</v>
      </c>
      <c r="L625" s="55">
        <v>0</v>
      </c>
      <c r="M625" s="113">
        <f>SUMIFS(График[Возврат основной суммы долга],График[Дата с учетом нерабочих дней],$A625)</f>
        <v>0</v>
      </c>
      <c r="N625" s="56">
        <f>SUMIFS(График[Возврат начисленных %],График[Дата с учетом нерабочих дней],$A625)</f>
        <v>0</v>
      </c>
      <c r="O625" s="101">
        <v>0</v>
      </c>
      <c r="P625" s="100" cm="1">
        <f t="array" aca="1" ref="P625" ca="1">MAX(IF(AA624="Да",0,SUM(INDIRECT("M"&amp;(MAX(("Да"=AA$12:AA624)*ROW(AA$12:AA624)+1,ROW($P$12))&amp;":M"&amp;(ROW()))))-SUM(INDIRECT("W"&amp;(MAX(("Да"=AA$12:AA624)*ROW(AA$12:AA624)+1,ROW($P$12))&amp;":W"&amp;(ROW()))))),0)</f>
        <v>8777.0299999999988</v>
      </c>
      <c r="Q625" s="99">
        <f ca="1">MAX(SUM($N$13:N625)-SUM($T$13:T625),0)</f>
        <v>43355.670655737689</v>
      </c>
      <c r="R625" s="99">
        <f ca="1">Первоначальный[[#This Row],[Просроченный платеж по ОД]]+Первоначальный[[#This Row],[Просроченный платеж по процентам]]</f>
        <v>52132.700655737688</v>
      </c>
      <c r="S625" s="120">
        <f ca="1">IF(Первоначальный[[#This Row],[Просроченный платеж]]&lt;1,0,S624+1)</f>
        <v>521</v>
      </c>
      <c r="T625" s="100" cm="1">
        <f t="array" aca="1" ref="T625" ca="1">IF(Первоначальный[[#This Row],[Итого остаток на начало периода]]&lt;1,0,
IF(
AND(TYPE(VLOOKUP(1,$Z$12:Z625,1,0))=16,Первоначальный[[#This Row],[Досрочное погашение (да/"")]]=""),0,
_xlfn.IFS(AND(S624=0,Первоначальный[[#This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платеж]]&lt;&gt;0),MIN(LOOKUP(,-1/($Z$12:Z625=1),$C$12:C625)+LOOKUP(,-1/($Z$12:Z625=1),$H$12:H625),Первоначальный[[#This Row],[Полученный платеж]]+Y624),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платеж]]+Y624,SUM(Первоначальный[[#This Row],[Остаток процентов на начало периода]],Первоначальный[[#This Row],[Проценты за период]])),
AND(S624=0,Первоначальный[[#This Row],[Дата платежа из графика]]=""),0,
AND(S624=0,Первоначальный[[#This Row],[Дата платежа из графика]]=1,MAX((0&lt;&gt;S$12:S624)*ROW(S$12:S624),ROW($S$12))&gt;=MAX((1=Z$12:Z624)*ROW(Z$12:Z624),ROW($T$12)),TYPE(VLOOKUP("Да",(INDIRECT("AA"&amp;(MAX((1=Z$12:Z624)*ROW(Z$12:Z624),ROW($T$12))&amp;":AA"&amp;(ROW()-1)))),1,0))=16),MIN(LOOKUP(,-1/($Z$12:Z625=1),$C$12:C625)+LOOKUP(,-1/($Z$12:Z625=1),$H$12:H625),Первоначальный[[#This Row],[Полученный платеж]]+Y624),
AND(S624=0,TYPE(VLOOKUP("Да",(INDIRECT("AA"&amp;(MAX((1=Z$12:Z624)*ROW(Z$12:Z624),ROW($T$12))&amp;":AA"&amp;(ROW()-1)))),1,0))&lt;&gt;16),MIN(LOOKUP(,-1/($Z$12:Z625=1),$C$12:C625)+LOOKUP(,-1/($Z$12:Z625=1),$H$12:H625)-IF(AA624="Да",0,SUM(INDIRECT("T"&amp;(MAX(("Да"=AA$12:AA624)*ROW(AA$12:AA624)+1,ROW($T$12))&amp;":T"&amp;(ROW()-1))))),Первоначальный[[#This Row],[Полученный платеж]]+Y624),
AND(S624=0,MAX((0&lt;&gt;N$12:N624)*ROW(N$12:N624),ROW($S$12))&gt;=MAX((1=Z$12:Z624)*ROW(Z$12:Z624),ROW($T$12))),MIN(LOOKUP(,-1/($Z$12:Z625=1),$C$12:C625)+LOOKUP(,-1/($Z$12:Z625=1),$H$12:H625)-IF(N624&lt;&gt;0,0,SUM(INDIRECT("T"&amp;(MAX((0&lt;&gt;N$12:N624)*ROW(N$12:N624)+1,ROW($T$12))&amp;":T"&amp;(ROW()-1))))),Первоначальный[[#This Row],[Полученный платеж]]+Y624),
AND(S624=0,Первоначальный[[#This Row],[Дата платежа из графика]]=1),MIN(LOOKUP(,-1/($Z$12:Z625=1),$C$12:C625)+LOOKUP(,-1/($Z$12:Z625=1),$H$12:H625)-IF(Z624=1,0,SUM(INDIRECT("T"&amp;(MAX((1=Z$12:Z624)*ROW(Z$12:Z624)+1,ROW($T$12))&amp;":T"&amp;(ROW()-1))))),Первоначальный[[#This Row],[Полученный платеж]]+Y624),
AND(Z624&gt;0,Первоначальный[[#This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платеж]]+Y624),
AND(S624&gt;0,MAX((0&lt;&gt;S$12:S624)*ROW(S$12:S624),ROW($S$12))&gt;=MAX((1=Z$12:Z624)*ROW(Z$12:Z624),ROW($T$12)),TYPE(VLOOKUP("Да",(INDIRECT("AA"&amp;(MAX((1=Z$12:Z624)*ROW(Z$12:Z624),ROW($T$12))&amp;":AA"&amp;(ROW()-1)))),1,0))=16),MIN(LOOKUP(,-1/($Z$12:Z625=1),$C$12:C625)+LOOKUP(,-1/($Z$12:Z625=1),$H$12:H625)-SUM(INDIRECT("T"&amp;(MAX((1=Z$12:Z624)*ROW(Z$12:Z624),ROW($T$12))&amp;":T"&amp;(ROW()-1)))),Первоначальный[[#This Row],[Полученный платеж]]+Y624),
S624&gt;0,MIN(LOOKUP(,-1/($Z$12:Z625=1),$C$12:C625)+LOOKUP(,-1/($Z$12:Z625=1),$H$12:H625)-IF(Z624=1,0,SUM(INDIRECT("T"&amp;(MAX((1=Z$12:Z624)*ROW(Z$12:Z624)+1,ROW($T$12))&amp;":T"&amp;(ROW()-1))))),Первоначальный[[#This Row],[Полученный платеж]]+Y624)
)
)
)</f>
        <v>0</v>
      </c>
      <c r="U62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платеж]]+Y624-Первоначальный[[#This Row],[Полученный платёж по процентам]])</f>
        <v>0</v>
      </c>
      <c r="V625" s="55">
        <f t="shared" ca="1" si="109"/>
        <v>0</v>
      </c>
      <c r="W625" s="55" cm="1">
        <f t="array" aca="1" ref="W625" ca="1">IF(Первоначальный[[#This Row],[Итого остаток на начало периода]]&lt;1,0,
_xlfn.IFS(
AND(TYPE(VLOOKUP(1,$Z$12:Z625,1,0))=16,Первоначальный[[#This Row],[Досрочное погашение (да/"")]]=""),0,
AND(S624=0,Первоначальный[[#This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платеж]]+Y624-SUM(Первоначальный[[#This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комиссиям]]),VLOOKUP(LOOKUP(,-1/($Z$12:Z625=1),$A$12:A625),График[[Срок конец]:[Возврат основной суммы долга]],3,0)),
AND(S624=0,Первоначальный[[#This Row],[Дата платежа из графика]]="",Первоначальный[[#This Row],[Досрочное погашение (да/"")]]&lt;&gt;"Да"),0,
AND(S624=0,Первоначальный[[#This Row],[Досрочное погашение (да/"")]]=""),MIN(Первоначальный[[#This Row],[Полученный платеж]]+Y624-SUM(Первоначальный[[#This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комиссиям]]),VLOOKUP(LOOKUP(,-1/($Z$12:Z625=1),$A$12:A625),График[[Срок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платеж]]+Y624-SUM(Первоначальный[[#This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S624&gt;0,MIN(Первоначальный[[#This Row],[Полученный платеж]]+Y624-SUM(Первоначальный[[#This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комиссиям]]),SUM(INDIRECT("M"&amp;(MAX((1=S$12:S624)*ROW(S$12:S624),ROW($W$12))&amp;":M"&amp;(ROW()))))-SUM(INDIRECT("W"&amp;(MAX((1=S$12:S624)*ROW(S$12:S624),ROW($W$12))&amp;":W"&amp;(ROW()-1)))))
)
)</f>
        <v>0</v>
      </c>
      <c r="X625" s="55">
        <f t="shared" ca="1" si="110"/>
        <v>0</v>
      </c>
      <c r="Y625" s="101">
        <f t="shared" ca="1" si="117"/>
        <v>0</v>
      </c>
      <c r="Z625" s="133" t="str">
        <f>IF(TYPE((VLOOKUP(Первоначальный[[#This Row],[Дата платежа]],График[Срок конец],1,0)))=16,"",1)</f>
        <v/>
      </c>
      <c r="AA625" s="57"/>
      <c r="AB625" s="134"/>
      <c r="AC62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2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43742.019999999888</v>
      </c>
      <c r="AE62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1195.7400000000032</v>
      </c>
      <c r="AF62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2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68667.71020819679</v>
      </c>
      <c r="AH625" s="55"/>
      <c r="AI625" s="55"/>
      <c r="AJ625" s="55"/>
      <c r="AK625" s="101">
        <f t="shared" ca="1" si="118"/>
        <v>263238.81020819664</v>
      </c>
      <c r="AL625" s="129">
        <f t="array" ref="AL625">MAX((УслРестрактов[Характеристика]="Дата реструктуризации")*(УслРестрактов[Значение]=Первоначальный!$A625),0)</f>
        <v>0</v>
      </c>
    </row>
    <row r="626" spans="1:38" x14ac:dyDescent="0.25">
      <c r="A626" s="97">
        <f t="shared" si="111"/>
        <v>44757</v>
      </c>
      <c r="B626" s="100">
        <f t="shared" ca="1" si="112"/>
        <v>149633.34</v>
      </c>
      <c r="C626" s="55">
        <f t="shared" ca="1" si="120"/>
        <v>43742.019999999888</v>
      </c>
      <c r="D626" s="55">
        <f t="shared" ca="1" si="120"/>
        <v>1195.7400000000032</v>
      </c>
      <c r="E626" s="55">
        <f t="shared" ca="1" si="113"/>
        <v>0</v>
      </c>
      <c r="F626" s="55">
        <f t="shared" ca="1" si="114"/>
        <v>68667.71020819679</v>
      </c>
      <c r="G626" s="101">
        <f t="shared" ca="1" si="115"/>
        <v>263238.81020819664</v>
      </c>
      <c r="H626" s="100">
        <f ca="1">ROUND($B626*VLOOKUP($A626,$A$1:$B$10,2,1)/(365+IF(MOD(YEAR($A626),4),0,1)*($A626-$A625)),2)-Первоначальный[[#This Row],[Проценты на просроченный платеж по ОД за период]]</f>
        <v>76.789999999999992</v>
      </c>
      <c r="I626" s="55">
        <f t="shared" ca="1" si="116"/>
        <v>4.79</v>
      </c>
      <c r="J626" s="55">
        <v>0</v>
      </c>
      <c r="K626" s="55">
        <f t="shared" ca="1" si="119"/>
        <v>260.66350327868844</v>
      </c>
      <c r="L626" s="55">
        <v>0</v>
      </c>
      <c r="M626" s="113">
        <f>SUMIFS(График[Возврат основной суммы долга],График[Дата с учетом нерабочих дней],$A626)</f>
        <v>0</v>
      </c>
      <c r="N626" s="56">
        <f>SUMIFS(График[Возврат начисленных %],График[Дата с учетом нерабочих дней],$A626)</f>
        <v>0</v>
      </c>
      <c r="O626" s="101">
        <v>0</v>
      </c>
      <c r="P626" s="100" cm="1">
        <f t="array" aca="1" ref="P626" ca="1">MAX(IF(AA625="Да",0,SUM(INDIRECT("M"&amp;(MAX(("Да"=AA$12:AA625)*ROW(AA$12:AA625)+1,ROW($P$12))&amp;":M"&amp;(ROW()))))-SUM(INDIRECT("W"&amp;(MAX(("Да"=AA$12:AA625)*ROW(AA$12:AA625)+1,ROW($P$12))&amp;":W"&amp;(ROW()))))),0)</f>
        <v>8777.0299999999988</v>
      </c>
      <c r="Q626" s="99">
        <f ca="1">MAX(SUM($N$13:N626)-SUM($T$13:T626),0)</f>
        <v>43355.670655737689</v>
      </c>
      <c r="R626" s="99">
        <f ca="1">Первоначальный[[#This Row],[Просроченный платеж по ОД]]+Первоначальный[[#This Row],[Просроченный платеж по процентам]]</f>
        <v>52132.700655737688</v>
      </c>
      <c r="S626" s="120">
        <f ca="1">IF(Первоначальный[[#This Row],[Просроченный платеж]]&lt;1,0,S625+1)</f>
        <v>522</v>
      </c>
      <c r="T626" s="100" cm="1">
        <f t="array" aca="1" ref="T626" ca="1">IF(Первоначальный[[#This Row],[Итого остаток на начало периода]]&lt;1,0,
IF(
AND(TYPE(VLOOKUP(1,$Z$12:Z626,1,0))=16,Первоначальный[[#This Row],[Досрочное погашение (да/"")]]=""),0,
_xlfn.IFS(AND(S625=0,Первоначальный[[#This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платеж]]&lt;&gt;0),MIN(LOOKUP(,-1/($Z$12:Z626=1),$C$12:C626)+LOOKUP(,-1/($Z$12:Z626=1),$H$12:H626),Первоначальный[[#This Row],[Полученный платеж]]+Y625),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платеж]]+Y625,SUM(Первоначальный[[#This Row],[Остаток процентов на начало периода]],Первоначальный[[#This Row],[Проценты за период]])),
AND(S625=0,Первоначальный[[#This Row],[Дата платежа из графика]]=""),0,
AND(S625=0,Первоначальный[[#This Row],[Дата платежа из графика]]=1,MAX((0&lt;&gt;S$12:S625)*ROW(S$12:S625),ROW($S$12))&gt;=MAX((1=Z$12:Z625)*ROW(Z$12:Z625),ROW($T$12)),TYPE(VLOOKUP("Да",(INDIRECT("AA"&amp;(MAX((1=Z$12:Z625)*ROW(Z$12:Z625),ROW($T$12))&amp;":AA"&amp;(ROW()-1)))),1,0))=16),MIN(LOOKUP(,-1/($Z$12:Z626=1),$C$12:C626)+LOOKUP(,-1/($Z$12:Z626=1),$H$12:H626),Первоначальный[[#This Row],[Полученный платеж]]+Y625),
AND(S625=0,TYPE(VLOOKUP("Да",(INDIRECT("AA"&amp;(MAX((1=Z$12:Z625)*ROW(Z$12:Z625),ROW($T$12))&amp;":AA"&amp;(ROW()-1)))),1,0))&lt;&gt;16),MIN(LOOKUP(,-1/($Z$12:Z626=1),$C$12:C626)+LOOKUP(,-1/($Z$12:Z626=1),$H$12:H626)-IF(AA625="Да",0,SUM(INDIRECT("T"&amp;(MAX(("Да"=AA$12:AA625)*ROW(AA$12:AA625)+1,ROW($T$12))&amp;":T"&amp;(ROW()-1))))),Первоначальный[[#This Row],[Полученный платеж]]+Y625),
AND(S625=0,MAX((0&lt;&gt;N$12:N625)*ROW(N$12:N625),ROW($S$12))&gt;=MAX((1=Z$12:Z625)*ROW(Z$12:Z625),ROW($T$12))),MIN(LOOKUP(,-1/($Z$12:Z626=1),$C$12:C626)+LOOKUP(,-1/($Z$12:Z626=1),$H$12:H626)-IF(N625&lt;&gt;0,0,SUM(INDIRECT("T"&amp;(MAX((0&lt;&gt;N$12:N625)*ROW(N$12:N625)+1,ROW($T$12))&amp;":T"&amp;(ROW()-1))))),Первоначальный[[#This Row],[Полученный платеж]]+Y625),
AND(S625=0,Первоначальный[[#This Row],[Дата платежа из графика]]=1),MIN(LOOKUP(,-1/($Z$12:Z626=1),$C$12:C626)+LOOKUP(,-1/($Z$12:Z626=1),$H$12:H626)-IF(Z625=1,0,SUM(INDIRECT("T"&amp;(MAX((1=Z$12:Z625)*ROW(Z$12:Z625)+1,ROW($T$12))&amp;":T"&amp;(ROW()-1))))),Первоначальный[[#This Row],[Полученный платеж]]+Y625),
AND(Z625&gt;0,Первоначальный[[#This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платеж]]+Y625),
AND(S625&gt;0,MAX((0&lt;&gt;S$12:S625)*ROW(S$12:S625),ROW($S$12))&gt;=MAX((1=Z$12:Z625)*ROW(Z$12:Z625),ROW($T$12)),TYPE(VLOOKUP("Да",(INDIRECT("AA"&amp;(MAX((1=Z$12:Z625)*ROW(Z$12:Z625),ROW($T$12))&amp;":AA"&amp;(ROW()-1)))),1,0))=16),MIN(LOOKUP(,-1/($Z$12:Z626=1),$C$12:C626)+LOOKUP(,-1/($Z$12:Z626=1),$H$12:H626)-SUM(INDIRECT("T"&amp;(MAX((1=Z$12:Z625)*ROW(Z$12:Z625),ROW($T$12))&amp;":T"&amp;(ROW()-1)))),Первоначальный[[#This Row],[Полученный платеж]]+Y625),
S625&gt;0,MIN(LOOKUP(,-1/($Z$12:Z626=1),$C$12:C626)+LOOKUP(,-1/($Z$12:Z626=1),$H$12:H626)-IF(Z625=1,0,SUM(INDIRECT("T"&amp;(MAX((1=Z$12:Z625)*ROW(Z$12:Z625)+1,ROW($T$12))&amp;":T"&amp;(ROW()-1))))),Первоначальный[[#This Row],[Полученный платеж]]+Y625)
)
)
)</f>
        <v>0</v>
      </c>
      <c r="U62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платеж]]+Y625-Первоначальный[[#This Row],[Полученный платёж по процентам]])</f>
        <v>0</v>
      </c>
      <c r="V626" s="55">
        <f t="shared" ca="1" si="109"/>
        <v>0</v>
      </c>
      <c r="W626" s="55" cm="1">
        <f t="array" aca="1" ref="W626" ca="1">IF(Первоначальный[[#This Row],[Итого остаток на начало периода]]&lt;1,0,
_xlfn.IFS(
AND(TYPE(VLOOKUP(1,$Z$12:Z626,1,0))=16,Первоначальный[[#This Row],[Досрочное погашение (да/"")]]=""),0,
AND(S625=0,Первоначальный[[#This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платеж]]+Y625-SUM(Первоначальный[[#This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комиссиям]]),VLOOKUP(LOOKUP(,-1/($Z$12:Z626=1),$A$12:A626),График[[Срок конец]:[Возврат основной суммы долга]],3,0)),
AND(S625=0,Первоначальный[[#This Row],[Дата платежа из графика]]="",Первоначальный[[#This Row],[Досрочное погашение (да/"")]]&lt;&gt;"Да"),0,
AND(S625=0,Первоначальный[[#This Row],[Досрочное погашение (да/"")]]=""),MIN(Первоначальный[[#This Row],[Полученный платеж]]+Y625-SUM(Первоначальный[[#This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комиссиям]]),VLOOKUP(LOOKUP(,-1/($Z$12:Z626=1),$A$12:A626),График[[Срок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платеж]]+Y625-SUM(Первоначальный[[#This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S625&gt;0,MIN(Первоначальный[[#This Row],[Полученный платеж]]+Y625-SUM(Первоначальный[[#This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комиссиям]]),SUM(INDIRECT("M"&amp;(MAX((1=S$12:S625)*ROW(S$12:S625),ROW($W$12))&amp;":M"&amp;(ROW()))))-SUM(INDIRECT("W"&amp;(MAX((1=S$12:S625)*ROW(S$12:S625),ROW($W$12))&amp;":W"&amp;(ROW()-1)))))
)
)</f>
        <v>0</v>
      </c>
      <c r="X626" s="55">
        <f t="shared" ca="1" si="110"/>
        <v>0</v>
      </c>
      <c r="Y626" s="101">
        <f t="shared" ca="1" si="117"/>
        <v>0</v>
      </c>
      <c r="Z626" s="133" t="str">
        <f>IF(TYPE((VLOOKUP(Первоначальный[[#This Row],[Дата платежа]],График[Срок конец],1,0)))=16,"",1)</f>
        <v/>
      </c>
      <c r="AA626" s="57"/>
      <c r="AB626" s="134"/>
      <c r="AC62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2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43818.809999999889</v>
      </c>
      <c r="AE62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1200.5300000000032</v>
      </c>
      <c r="AF62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2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68928.373711475477</v>
      </c>
      <c r="AH626" s="55"/>
      <c r="AI626" s="55"/>
      <c r="AJ626" s="55"/>
      <c r="AK626" s="101">
        <f t="shared" ca="1" si="118"/>
        <v>263581.05371147534</v>
      </c>
      <c r="AL626" s="129">
        <f t="array" ref="AL626">MAX((УслРестрактов[Характеристика]="Дата реструктуризации")*(УслРестрактов[Значение]=Первоначальный!$A626),0)</f>
        <v>0</v>
      </c>
    </row>
    <row r="627" spans="1:38" x14ac:dyDescent="0.25">
      <c r="A627" s="97">
        <f t="shared" si="111"/>
        <v>44758</v>
      </c>
      <c r="B627" s="100">
        <f t="shared" ca="1" si="112"/>
        <v>149633.34</v>
      </c>
      <c r="C627" s="55">
        <f t="shared" ca="1" si="120"/>
        <v>43818.809999999889</v>
      </c>
      <c r="D627" s="55">
        <f t="shared" ca="1" si="120"/>
        <v>1200.5300000000032</v>
      </c>
      <c r="E627" s="55">
        <f t="shared" ca="1" si="113"/>
        <v>0</v>
      </c>
      <c r="F627" s="55">
        <f t="shared" ca="1" si="114"/>
        <v>68928.373711475477</v>
      </c>
      <c r="G627" s="101">
        <f t="shared" ca="1" si="115"/>
        <v>263581.05371147534</v>
      </c>
      <c r="H627" s="100">
        <f ca="1">ROUND($B627*VLOOKUP($A627,$A$1:$B$10,2,1)/(365+IF(MOD(YEAR($A627),4),0,1)*($A627-$A626)),2)-Первоначальный[[#This Row],[Проценты на просроченный платеж по ОД за период]]</f>
        <v>76.789999999999992</v>
      </c>
      <c r="I627" s="55">
        <f t="shared" ca="1" si="116"/>
        <v>4.79</v>
      </c>
      <c r="J627" s="55">
        <v>0</v>
      </c>
      <c r="K627" s="55">
        <f t="shared" ca="1" si="119"/>
        <v>260.66350327868844</v>
      </c>
      <c r="L627" s="55">
        <v>0</v>
      </c>
      <c r="M627" s="113">
        <f>SUMIFS(График[Возврат основной суммы долга],График[Дата с учетом нерабочих дней],$A627)</f>
        <v>0</v>
      </c>
      <c r="N627" s="56">
        <f>SUMIFS(График[Возврат начисленных %],График[Дата с учетом нерабочих дней],$A627)</f>
        <v>0</v>
      </c>
      <c r="O627" s="101">
        <v>0</v>
      </c>
      <c r="P627" s="100" cm="1">
        <f t="array" aca="1" ref="P627" ca="1">MAX(IF(AA626="Да",0,SUM(INDIRECT("M"&amp;(MAX(("Да"=AA$12:AA626)*ROW(AA$12:AA626)+1,ROW($P$12))&amp;":M"&amp;(ROW()))))-SUM(INDIRECT("W"&amp;(MAX(("Да"=AA$12:AA626)*ROW(AA$12:AA626)+1,ROW($P$12))&amp;":W"&amp;(ROW()))))),0)</f>
        <v>8777.0299999999988</v>
      </c>
      <c r="Q627" s="99">
        <f ca="1">MAX(SUM($N$13:N627)-SUM($T$13:T627),0)</f>
        <v>43355.670655737689</v>
      </c>
      <c r="R627" s="99">
        <f ca="1">Первоначальный[[#This Row],[Просроченный платеж по ОД]]+Первоначальный[[#This Row],[Просроченный платеж по процентам]]</f>
        <v>52132.700655737688</v>
      </c>
      <c r="S627" s="120">
        <f ca="1">IF(Первоначальный[[#This Row],[Просроченный платеж]]&lt;1,0,S626+1)</f>
        <v>523</v>
      </c>
      <c r="T627" s="100" cm="1">
        <f t="array" aca="1" ref="T627" ca="1">IF(Первоначальный[[#This Row],[Итого остаток на начало периода]]&lt;1,0,
IF(
AND(TYPE(VLOOKUP(1,$Z$12:Z627,1,0))=16,Первоначальный[[#This Row],[Досрочное погашение (да/"")]]=""),0,
_xlfn.IFS(AND(S626=0,Первоначальный[[#This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платеж]]&lt;&gt;0),MIN(LOOKUP(,-1/($Z$12:Z627=1),$C$12:C627)+LOOKUP(,-1/($Z$12:Z627=1),$H$12:H627),Первоначальный[[#This Row],[Полученный платеж]]+Y626),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платеж]]+Y626,SUM(Первоначальный[[#This Row],[Остаток процентов на начало периода]],Первоначальный[[#This Row],[Проценты за период]])),
AND(S626=0,Первоначальный[[#This Row],[Дата платежа из графика]]=""),0,
AND(S626=0,Первоначальный[[#This Row],[Дата платежа из графика]]=1,MAX((0&lt;&gt;S$12:S626)*ROW(S$12:S626),ROW($S$12))&gt;=MAX((1=Z$12:Z626)*ROW(Z$12:Z626),ROW($T$12)),TYPE(VLOOKUP("Да",(INDIRECT("AA"&amp;(MAX((1=Z$12:Z626)*ROW(Z$12:Z626),ROW($T$12))&amp;":AA"&amp;(ROW()-1)))),1,0))=16),MIN(LOOKUP(,-1/($Z$12:Z627=1),$C$12:C627)+LOOKUP(,-1/($Z$12:Z627=1),$H$12:H627),Первоначальный[[#This Row],[Полученный платеж]]+Y626),
AND(S626=0,TYPE(VLOOKUP("Да",(INDIRECT("AA"&amp;(MAX((1=Z$12:Z626)*ROW(Z$12:Z626),ROW($T$12))&amp;":AA"&amp;(ROW()-1)))),1,0))&lt;&gt;16),MIN(LOOKUP(,-1/($Z$12:Z627=1),$C$12:C627)+LOOKUP(,-1/($Z$12:Z627=1),$H$12:H627)-IF(AA626="Да",0,SUM(INDIRECT("T"&amp;(MAX(("Да"=AA$12:AA626)*ROW(AA$12:AA626)+1,ROW($T$12))&amp;":T"&amp;(ROW()-1))))),Первоначальный[[#This Row],[Полученный платеж]]+Y626),
AND(S626=0,MAX((0&lt;&gt;N$12:N626)*ROW(N$12:N626),ROW($S$12))&gt;=MAX((1=Z$12:Z626)*ROW(Z$12:Z626),ROW($T$12))),MIN(LOOKUP(,-1/($Z$12:Z627=1),$C$12:C627)+LOOKUP(,-1/($Z$12:Z627=1),$H$12:H627)-IF(N626&lt;&gt;0,0,SUM(INDIRECT("T"&amp;(MAX((0&lt;&gt;N$12:N626)*ROW(N$12:N626)+1,ROW($T$12))&amp;":T"&amp;(ROW()-1))))),Первоначальный[[#This Row],[Полученный платеж]]+Y626),
AND(S626=0,Первоначальный[[#This Row],[Дата платежа из графика]]=1),MIN(LOOKUP(,-1/($Z$12:Z627=1),$C$12:C627)+LOOKUP(,-1/($Z$12:Z627=1),$H$12:H627)-IF(Z626=1,0,SUM(INDIRECT("T"&amp;(MAX((1=Z$12:Z626)*ROW(Z$12:Z626)+1,ROW($T$12))&amp;":T"&amp;(ROW()-1))))),Первоначальный[[#This Row],[Полученный платеж]]+Y626),
AND(Z626&gt;0,Первоначальный[[#This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платеж]]+Y626),
AND(S626&gt;0,MAX((0&lt;&gt;S$12:S626)*ROW(S$12:S626),ROW($S$12))&gt;=MAX((1=Z$12:Z626)*ROW(Z$12:Z626),ROW($T$12)),TYPE(VLOOKUP("Да",(INDIRECT("AA"&amp;(MAX((1=Z$12:Z626)*ROW(Z$12:Z626),ROW($T$12))&amp;":AA"&amp;(ROW()-1)))),1,0))=16),MIN(LOOKUP(,-1/($Z$12:Z627=1),$C$12:C627)+LOOKUP(,-1/($Z$12:Z627=1),$H$12:H627)-SUM(INDIRECT("T"&amp;(MAX((1=Z$12:Z626)*ROW(Z$12:Z626),ROW($T$12))&amp;":T"&amp;(ROW()-1)))),Первоначальный[[#This Row],[Полученный платеж]]+Y626),
S626&gt;0,MIN(LOOKUP(,-1/($Z$12:Z627=1),$C$12:C627)+LOOKUP(,-1/($Z$12:Z627=1),$H$12:H627)-IF(Z626=1,0,SUM(INDIRECT("T"&amp;(MAX((1=Z$12:Z626)*ROW(Z$12:Z626)+1,ROW($T$12))&amp;":T"&amp;(ROW()-1))))),Первоначальный[[#This Row],[Полученный платеж]]+Y626)
)
)
)</f>
        <v>0</v>
      </c>
      <c r="U62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платеж]]+Y626-Первоначальный[[#This Row],[Полученный платёж по процентам]])</f>
        <v>0</v>
      </c>
      <c r="V627" s="55">
        <f t="shared" ca="1" si="109"/>
        <v>0</v>
      </c>
      <c r="W627" s="55" cm="1">
        <f t="array" aca="1" ref="W627" ca="1">IF(Первоначальный[[#This Row],[Итого остаток на начало периода]]&lt;1,0,
_xlfn.IFS(
AND(TYPE(VLOOKUP(1,$Z$12:Z627,1,0))=16,Первоначальный[[#This Row],[Досрочное погашение (да/"")]]=""),0,
AND(S626=0,Первоначальный[[#This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платеж]]+Y626-SUM(Первоначальный[[#This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комиссиям]]),VLOOKUP(LOOKUP(,-1/($Z$12:Z627=1),$A$12:A627),График[[Срок конец]:[Возврат основной суммы долга]],3,0)),
AND(S626=0,Первоначальный[[#This Row],[Дата платежа из графика]]="",Первоначальный[[#This Row],[Досрочное погашение (да/"")]]&lt;&gt;"Да"),0,
AND(S626=0,Первоначальный[[#This Row],[Досрочное погашение (да/"")]]=""),MIN(Первоначальный[[#This Row],[Полученный платеж]]+Y626-SUM(Первоначальный[[#This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комиссиям]]),VLOOKUP(LOOKUP(,-1/($Z$12:Z627=1),$A$12:A627),График[[Срок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платеж]]+Y626-SUM(Первоначальный[[#This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S626&gt;0,MIN(Первоначальный[[#This Row],[Полученный платеж]]+Y626-SUM(Первоначальный[[#This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комиссиям]]),SUM(INDIRECT("M"&amp;(MAX((1=S$12:S626)*ROW(S$12:S626),ROW($W$12))&amp;":M"&amp;(ROW()))))-SUM(INDIRECT("W"&amp;(MAX((1=S$12:S626)*ROW(S$12:S626),ROW($W$12))&amp;":W"&amp;(ROW()-1)))))
)
)</f>
        <v>0</v>
      </c>
      <c r="X627" s="55">
        <f t="shared" ca="1" si="110"/>
        <v>0</v>
      </c>
      <c r="Y627" s="101">
        <f t="shared" ca="1" si="117"/>
        <v>0</v>
      </c>
      <c r="Z627" s="133" t="str">
        <f>IF(TYPE((VLOOKUP(Первоначальный[[#This Row],[Дата платежа]],График[Срок конец],1,0)))=16,"",1)</f>
        <v/>
      </c>
      <c r="AA627" s="57"/>
      <c r="AB627" s="134"/>
      <c r="AC62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2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43895.599999999889</v>
      </c>
      <c r="AE62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1205.3200000000031</v>
      </c>
      <c r="AF62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2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69189.037214754164</v>
      </c>
      <c r="AH627" s="55"/>
      <c r="AI627" s="55"/>
      <c r="AJ627" s="55"/>
      <c r="AK627" s="101">
        <f t="shared" ca="1" si="118"/>
        <v>263923.29721475404</v>
      </c>
      <c r="AL627" s="129">
        <f t="array" ref="AL627">MAX((УслРестрактов[Характеристика]="Дата реструктуризации")*(УслРестрактов[Значение]=Первоначальный!$A627),0)</f>
        <v>0</v>
      </c>
    </row>
    <row r="628" spans="1:38" x14ac:dyDescent="0.25">
      <c r="A628" s="97">
        <f t="shared" si="111"/>
        <v>44759</v>
      </c>
      <c r="B628" s="100">
        <f t="shared" ca="1" si="112"/>
        <v>149633.34</v>
      </c>
      <c r="C628" s="55">
        <f t="shared" ca="1" si="120"/>
        <v>43895.599999999889</v>
      </c>
      <c r="D628" s="55">
        <f t="shared" ca="1" si="120"/>
        <v>1205.3200000000031</v>
      </c>
      <c r="E628" s="55">
        <f t="shared" ca="1" si="113"/>
        <v>0</v>
      </c>
      <c r="F628" s="55">
        <f t="shared" ca="1" si="114"/>
        <v>69189.037214754164</v>
      </c>
      <c r="G628" s="101">
        <f t="shared" ca="1" si="115"/>
        <v>263923.29721475404</v>
      </c>
      <c r="H628" s="100">
        <f ca="1">ROUND($B628*VLOOKUP($A628,$A$1:$B$10,2,1)/(365+IF(MOD(YEAR($A628),4),0,1)*($A628-$A627)),2)-Первоначальный[[#This Row],[Проценты на просроченный платеж по ОД за период]]</f>
        <v>76.789999999999992</v>
      </c>
      <c r="I628" s="55">
        <f t="shared" ca="1" si="116"/>
        <v>4.79</v>
      </c>
      <c r="J628" s="55">
        <v>0</v>
      </c>
      <c r="K628" s="55">
        <f t="shared" ca="1" si="119"/>
        <v>260.66350327868844</v>
      </c>
      <c r="L628" s="55">
        <v>0</v>
      </c>
      <c r="M628" s="113">
        <f>SUMIFS(График[Возврат основной суммы долга],График[Дата с учетом нерабочих дней],$A628)</f>
        <v>0</v>
      </c>
      <c r="N628" s="56">
        <f>SUMIFS(График[Возврат начисленных %],График[Дата с учетом нерабочих дней],$A628)</f>
        <v>0</v>
      </c>
      <c r="O628" s="101">
        <v>0</v>
      </c>
      <c r="P628" s="100" cm="1">
        <f t="array" aca="1" ref="P628" ca="1">MAX(IF(AA627="Да",0,SUM(INDIRECT("M"&amp;(MAX(("Да"=AA$12:AA627)*ROW(AA$12:AA627)+1,ROW($P$12))&amp;":M"&amp;(ROW()))))-SUM(INDIRECT("W"&amp;(MAX(("Да"=AA$12:AA627)*ROW(AA$12:AA627)+1,ROW($P$12))&amp;":W"&amp;(ROW()))))),0)</f>
        <v>8777.0299999999988</v>
      </c>
      <c r="Q628" s="99">
        <f ca="1">MAX(SUM($N$13:N628)-SUM($T$13:T628),0)</f>
        <v>43355.670655737689</v>
      </c>
      <c r="R628" s="99">
        <f ca="1">Первоначальный[[#This Row],[Просроченный платеж по ОД]]+Первоначальный[[#This Row],[Просроченный платеж по процентам]]</f>
        <v>52132.700655737688</v>
      </c>
      <c r="S628" s="120">
        <f ca="1">IF(Первоначальный[[#This Row],[Просроченный платеж]]&lt;1,0,S627+1)</f>
        <v>524</v>
      </c>
      <c r="T628" s="100" cm="1">
        <f t="array" aca="1" ref="T628" ca="1">IF(Первоначальный[[#This Row],[Итого остаток на начало периода]]&lt;1,0,
IF(
AND(TYPE(VLOOKUP(1,$Z$12:Z628,1,0))=16,Первоначальный[[#This Row],[Досрочное погашение (да/"")]]=""),0,
_xlfn.IFS(AND(S627=0,Первоначальный[[#This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платеж]]&lt;&gt;0),MIN(LOOKUP(,-1/($Z$12:Z628=1),$C$12:C628)+LOOKUP(,-1/($Z$12:Z628=1),$H$12:H628),Первоначальный[[#This Row],[Полученный платеж]]+Y627),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платеж]]+Y627,SUM(Первоначальный[[#This Row],[Остаток процентов на начало периода]],Первоначальный[[#This Row],[Проценты за период]])),
AND(S627=0,Первоначальный[[#This Row],[Дата платежа из графика]]=""),0,
AND(S627=0,Первоначальный[[#This Row],[Дата платежа из графика]]=1,MAX((0&lt;&gt;S$12:S627)*ROW(S$12:S627),ROW($S$12))&gt;=MAX((1=Z$12:Z627)*ROW(Z$12:Z627),ROW($T$12)),TYPE(VLOOKUP("Да",(INDIRECT("AA"&amp;(MAX((1=Z$12:Z627)*ROW(Z$12:Z627),ROW($T$12))&amp;":AA"&amp;(ROW()-1)))),1,0))=16),MIN(LOOKUP(,-1/($Z$12:Z628=1),$C$12:C628)+LOOKUP(,-1/($Z$12:Z628=1),$H$12:H628),Первоначальный[[#This Row],[Полученный платеж]]+Y627),
AND(S627=0,TYPE(VLOOKUP("Да",(INDIRECT("AA"&amp;(MAX((1=Z$12:Z627)*ROW(Z$12:Z627),ROW($T$12))&amp;":AA"&amp;(ROW()-1)))),1,0))&lt;&gt;16),MIN(LOOKUP(,-1/($Z$12:Z628=1),$C$12:C628)+LOOKUP(,-1/($Z$12:Z628=1),$H$12:H628)-IF(AA627="Да",0,SUM(INDIRECT("T"&amp;(MAX(("Да"=AA$12:AA627)*ROW(AA$12:AA627)+1,ROW($T$12))&amp;":T"&amp;(ROW()-1))))),Первоначальный[[#This Row],[Полученный платеж]]+Y627),
AND(S627=0,MAX((0&lt;&gt;N$12:N627)*ROW(N$12:N627),ROW($S$12))&gt;=MAX((1=Z$12:Z627)*ROW(Z$12:Z627),ROW($T$12))),MIN(LOOKUP(,-1/($Z$12:Z628=1),$C$12:C628)+LOOKUP(,-1/($Z$12:Z628=1),$H$12:H628)-IF(N627&lt;&gt;0,0,SUM(INDIRECT("T"&amp;(MAX((0&lt;&gt;N$12:N627)*ROW(N$12:N627)+1,ROW($T$12))&amp;":T"&amp;(ROW()-1))))),Первоначальный[[#This Row],[Полученный платеж]]+Y627),
AND(S627=0,Первоначальный[[#This Row],[Дата платежа из графика]]=1),MIN(LOOKUP(,-1/($Z$12:Z628=1),$C$12:C628)+LOOKUP(,-1/($Z$12:Z628=1),$H$12:H628)-IF(Z627=1,0,SUM(INDIRECT("T"&amp;(MAX((1=Z$12:Z627)*ROW(Z$12:Z627)+1,ROW($T$12))&amp;":T"&amp;(ROW()-1))))),Первоначальный[[#This Row],[Полученный платеж]]+Y627),
AND(Z627&gt;0,Первоначальный[[#This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платеж]]+Y627),
AND(S627&gt;0,MAX((0&lt;&gt;S$12:S627)*ROW(S$12:S627),ROW($S$12))&gt;=MAX((1=Z$12:Z627)*ROW(Z$12:Z627),ROW($T$12)),TYPE(VLOOKUP("Да",(INDIRECT("AA"&amp;(MAX((1=Z$12:Z627)*ROW(Z$12:Z627),ROW($T$12))&amp;":AA"&amp;(ROW()-1)))),1,0))=16),MIN(LOOKUP(,-1/($Z$12:Z628=1),$C$12:C628)+LOOKUP(,-1/($Z$12:Z628=1),$H$12:H628)-SUM(INDIRECT("T"&amp;(MAX((1=Z$12:Z627)*ROW(Z$12:Z627),ROW($T$12))&amp;":T"&amp;(ROW()-1)))),Первоначальный[[#This Row],[Полученный платеж]]+Y627),
S627&gt;0,MIN(LOOKUP(,-1/($Z$12:Z628=1),$C$12:C628)+LOOKUP(,-1/($Z$12:Z628=1),$H$12:H628)-IF(Z627=1,0,SUM(INDIRECT("T"&amp;(MAX((1=Z$12:Z627)*ROW(Z$12:Z627)+1,ROW($T$12))&amp;":T"&amp;(ROW()-1))))),Первоначальный[[#This Row],[Полученный платеж]]+Y627)
)
)
)</f>
        <v>0</v>
      </c>
      <c r="U62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платеж]]+Y627-Первоначальный[[#This Row],[Полученный платёж по процентам]])</f>
        <v>0</v>
      </c>
      <c r="V628" s="55">
        <f t="shared" ca="1" si="109"/>
        <v>0</v>
      </c>
      <c r="W628" s="55" cm="1">
        <f t="array" aca="1" ref="W628" ca="1">IF(Первоначальный[[#This Row],[Итого остаток на начало периода]]&lt;1,0,
_xlfn.IFS(
AND(TYPE(VLOOKUP(1,$Z$12:Z628,1,0))=16,Первоначальный[[#This Row],[Досрочное погашение (да/"")]]=""),0,
AND(S627=0,Первоначальный[[#This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платеж]]+Y627-SUM(Первоначальный[[#This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комиссиям]]),VLOOKUP(LOOKUP(,-1/($Z$12:Z628=1),$A$12:A628),График[[Срок конец]:[Возврат основной суммы долга]],3,0)),
AND(S627=0,Первоначальный[[#This Row],[Дата платежа из графика]]="",Первоначальный[[#This Row],[Досрочное погашение (да/"")]]&lt;&gt;"Да"),0,
AND(S627=0,Первоначальный[[#This Row],[Досрочное погашение (да/"")]]=""),MIN(Первоначальный[[#This Row],[Полученный платеж]]+Y627-SUM(Первоначальный[[#This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комиссиям]]),VLOOKUP(LOOKUP(,-1/($Z$12:Z628=1),$A$12:A628),График[[Срок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платеж]]+Y627-SUM(Первоначальный[[#This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S627&gt;0,MIN(Первоначальный[[#This Row],[Полученный платеж]]+Y627-SUM(Первоначальный[[#This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комиссиям]]),SUM(INDIRECT("M"&amp;(MAX((1=S$12:S627)*ROW(S$12:S627),ROW($W$12))&amp;":M"&amp;(ROW()))))-SUM(INDIRECT("W"&amp;(MAX((1=S$12:S627)*ROW(S$12:S627),ROW($W$12))&amp;":W"&amp;(ROW()-1)))))
)
)</f>
        <v>0</v>
      </c>
      <c r="X628" s="55">
        <f t="shared" ca="1" si="110"/>
        <v>0</v>
      </c>
      <c r="Y628" s="101">
        <f t="shared" ca="1" si="117"/>
        <v>0</v>
      </c>
      <c r="Z628" s="133" t="str">
        <f>IF(TYPE((VLOOKUP(Первоначальный[[#This Row],[Дата платежа]],График[Срок конец],1,0)))=16,"",1)</f>
        <v/>
      </c>
      <c r="AA628" s="57"/>
      <c r="AB628" s="134"/>
      <c r="AC62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2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43972.38999999989</v>
      </c>
      <c r="AE62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1210.1100000000031</v>
      </c>
      <c r="AF62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2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69449.700718032851</v>
      </c>
      <c r="AH628" s="55"/>
      <c r="AI628" s="55"/>
      <c r="AJ628" s="55"/>
      <c r="AK628" s="101">
        <f t="shared" ca="1" si="118"/>
        <v>264265.54071803275</v>
      </c>
      <c r="AL628" s="129">
        <f t="array" ref="AL628">MAX((УслРестрактов[Характеристика]="Дата реструктуризации")*(УслРестрактов[Значение]=Первоначальный!$A628),0)</f>
        <v>0</v>
      </c>
    </row>
    <row r="629" spans="1:38" x14ac:dyDescent="0.25">
      <c r="A629" s="97">
        <f t="shared" si="111"/>
        <v>44760</v>
      </c>
      <c r="B629" s="100">
        <f t="shared" ca="1" si="112"/>
        <v>149633.34</v>
      </c>
      <c r="C629" s="55">
        <f t="shared" ca="1" si="120"/>
        <v>43972.38999999989</v>
      </c>
      <c r="D629" s="55">
        <f t="shared" ca="1" si="120"/>
        <v>1210.1100000000031</v>
      </c>
      <c r="E629" s="55">
        <f t="shared" ca="1" si="113"/>
        <v>0</v>
      </c>
      <c r="F629" s="55">
        <f t="shared" ca="1" si="114"/>
        <v>69449.700718032851</v>
      </c>
      <c r="G629" s="101">
        <f t="shared" ca="1" si="115"/>
        <v>264265.54071803275</v>
      </c>
      <c r="H629" s="100">
        <f ca="1">ROUND($B629*VLOOKUP($A629,$A$1:$B$10,2,1)/(365+IF(MOD(YEAR($A629),4),0,1)*($A629-$A628)),2)-Первоначальный[[#This Row],[Проценты на просроченный платеж по ОД за период]]</f>
        <v>76.789999999999992</v>
      </c>
      <c r="I629" s="55">
        <f t="shared" ca="1" si="116"/>
        <v>4.79</v>
      </c>
      <c r="J629" s="55">
        <v>0</v>
      </c>
      <c r="K629" s="55">
        <f t="shared" ca="1" si="119"/>
        <v>260.66350327868844</v>
      </c>
      <c r="L629" s="55">
        <v>0</v>
      </c>
      <c r="M629" s="113">
        <f>SUMIFS(График[Возврат основной суммы долга],График[Дата с учетом нерабочих дней],$A629)</f>
        <v>0</v>
      </c>
      <c r="N629" s="56">
        <f>SUMIFS(График[Возврат начисленных %],График[Дата с учетом нерабочих дней],$A629)</f>
        <v>0</v>
      </c>
      <c r="O629" s="101">
        <v>0</v>
      </c>
      <c r="P629" s="100" cm="1">
        <f t="array" aca="1" ref="P629" ca="1">MAX(IF(AA628="Да",0,SUM(INDIRECT("M"&amp;(MAX(("Да"=AA$12:AA628)*ROW(AA$12:AA628)+1,ROW($P$12))&amp;":M"&amp;(ROW()))))-SUM(INDIRECT("W"&amp;(MAX(("Да"=AA$12:AA628)*ROW(AA$12:AA628)+1,ROW($P$12))&amp;":W"&amp;(ROW()))))),0)</f>
        <v>8777.0299999999988</v>
      </c>
      <c r="Q629" s="99">
        <f ca="1">MAX(SUM($N$13:N629)-SUM($T$13:T629),0)</f>
        <v>43355.670655737689</v>
      </c>
      <c r="R629" s="99">
        <f ca="1">Первоначальный[[#This Row],[Просроченный платеж по ОД]]+Первоначальный[[#This Row],[Просроченный платеж по процентам]]</f>
        <v>52132.700655737688</v>
      </c>
      <c r="S629" s="120">
        <f ca="1">IF(Первоначальный[[#This Row],[Просроченный платеж]]&lt;1,0,S628+1)</f>
        <v>525</v>
      </c>
      <c r="T629" s="100" cm="1">
        <f t="array" aca="1" ref="T629" ca="1">IF(Первоначальный[[#This Row],[Итого остаток на начало периода]]&lt;1,0,
IF(
AND(TYPE(VLOOKUP(1,$Z$12:Z629,1,0))=16,Первоначальный[[#This Row],[Досрочное погашение (да/"")]]=""),0,
_xlfn.IFS(AND(S628=0,Первоначальный[[#This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платеж]]&lt;&gt;0),MIN(LOOKUP(,-1/($Z$12:Z629=1),$C$12:C629)+LOOKUP(,-1/($Z$12:Z629=1),$H$12:H629),Первоначальный[[#This Row],[Полученный платеж]]+Y628),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платеж]]+Y628,SUM(Первоначальный[[#This Row],[Остаток процентов на начало периода]],Первоначальный[[#This Row],[Проценты за период]])),
AND(S628=0,Первоначальный[[#This Row],[Дата платежа из графика]]=""),0,
AND(S628=0,Первоначальный[[#This Row],[Дата платежа из графика]]=1,MAX((0&lt;&gt;S$12:S628)*ROW(S$12:S628),ROW($S$12))&gt;=MAX((1=Z$12:Z628)*ROW(Z$12:Z628),ROW($T$12)),TYPE(VLOOKUP("Да",(INDIRECT("AA"&amp;(MAX((1=Z$12:Z628)*ROW(Z$12:Z628),ROW($T$12))&amp;":AA"&amp;(ROW()-1)))),1,0))=16),MIN(LOOKUP(,-1/($Z$12:Z629=1),$C$12:C629)+LOOKUP(,-1/($Z$12:Z629=1),$H$12:H629),Первоначальный[[#This Row],[Полученный платеж]]+Y628),
AND(S628=0,TYPE(VLOOKUP("Да",(INDIRECT("AA"&amp;(MAX((1=Z$12:Z628)*ROW(Z$12:Z628),ROW($T$12))&amp;":AA"&amp;(ROW()-1)))),1,0))&lt;&gt;16),MIN(LOOKUP(,-1/($Z$12:Z629=1),$C$12:C629)+LOOKUP(,-1/($Z$12:Z629=1),$H$12:H629)-IF(AA628="Да",0,SUM(INDIRECT("T"&amp;(MAX(("Да"=AA$12:AA628)*ROW(AA$12:AA628)+1,ROW($T$12))&amp;":T"&amp;(ROW()-1))))),Первоначальный[[#This Row],[Полученный платеж]]+Y628),
AND(S628=0,MAX((0&lt;&gt;N$12:N628)*ROW(N$12:N628),ROW($S$12))&gt;=MAX((1=Z$12:Z628)*ROW(Z$12:Z628),ROW($T$12))),MIN(LOOKUP(,-1/($Z$12:Z629=1),$C$12:C629)+LOOKUP(,-1/($Z$12:Z629=1),$H$12:H629)-IF(N628&lt;&gt;0,0,SUM(INDIRECT("T"&amp;(MAX((0&lt;&gt;N$12:N628)*ROW(N$12:N628)+1,ROW($T$12))&amp;":T"&amp;(ROW()-1))))),Первоначальный[[#This Row],[Полученный платеж]]+Y628),
AND(S628=0,Первоначальный[[#This Row],[Дата платежа из графика]]=1),MIN(LOOKUP(,-1/($Z$12:Z629=1),$C$12:C629)+LOOKUP(,-1/($Z$12:Z629=1),$H$12:H629)-IF(Z628=1,0,SUM(INDIRECT("T"&amp;(MAX((1=Z$12:Z628)*ROW(Z$12:Z628)+1,ROW($T$12))&amp;":T"&amp;(ROW()-1))))),Первоначальный[[#This Row],[Полученный платеж]]+Y628),
AND(Z628&gt;0,Первоначальный[[#This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платеж]]+Y628),
AND(S628&gt;0,MAX((0&lt;&gt;S$12:S628)*ROW(S$12:S628),ROW($S$12))&gt;=MAX((1=Z$12:Z628)*ROW(Z$12:Z628),ROW($T$12)),TYPE(VLOOKUP("Да",(INDIRECT("AA"&amp;(MAX((1=Z$12:Z628)*ROW(Z$12:Z628),ROW($T$12))&amp;":AA"&amp;(ROW()-1)))),1,0))=16),MIN(LOOKUP(,-1/($Z$12:Z629=1),$C$12:C629)+LOOKUP(,-1/($Z$12:Z629=1),$H$12:H629)-SUM(INDIRECT("T"&amp;(MAX((1=Z$12:Z628)*ROW(Z$12:Z628),ROW($T$12))&amp;":T"&amp;(ROW()-1)))),Первоначальный[[#This Row],[Полученный платеж]]+Y628),
S628&gt;0,MIN(LOOKUP(,-1/($Z$12:Z629=1),$C$12:C629)+LOOKUP(,-1/($Z$12:Z629=1),$H$12:H629)-IF(Z628=1,0,SUM(INDIRECT("T"&amp;(MAX((1=Z$12:Z628)*ROW(Z$12:Z628)+1,ROW($T$12))&amp;":T"&amp;(ROW()-1))))),Первоначальный[[#This Row],[Полученный платеж]]+Y628)
)
)
)</f>
        <v>0</v>
      </c>
      <c r="U62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платеж]]+Y628-Первоначальный[[#This Row],[Полученный платёж по процентам]])</f>
        <v>0</v>
      </c>
      <c r="V629" s="55">
        <f t="shared" ca="1" si="109"/>
        <v>0</v>
      </c>
      <c r="W629" s="55" cm="1">
        <f t="array" aca="1" ref="W629" ca="1">IF(Первоначальный[[#This Row],[Итого остаток на начало периода]]&lt;1,0,
_xlfn.IFS(
AND(TYPE(VLOOKUP(1,$Z$12:Z629,1,0))=16,Первоначальный[[#This Row],[Досрочное погашение (да/"")]]=""),0,
AND(S628=0,Первоначальный[[#This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платеж]]+Y628-SUM(Первоначальный[[#This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комиссиям]]),VLOOKUP(LOOKUP(,-1/($Z$12:Z629=1),$A$12:A629),График[[Срок конец]:[Возврат основной суммы долга]],3,0)),
AND(S628=0,Первоначальный[[#This Row],[Дата платежа из графика]]="",Первоначальный[[#This Row],[Досрочное погашение (да/"")]]&lt;&gt;"Да"),0,
AND(S628=0,Первоначальный[[#This Row],[Досрочное погашение (да/"")]]=""),MIN(Первоначальный[[#This Row],[Полученный платеж]]+Y628-SUM(Первоначальный[[#This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комиссиям]]),VLOOKUP(LOOKUP(,-1/($Z$12:Z629=1),$A$12:A629),График[[Срок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платеж]]+Y628-SUM(Первоначальный[[#This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S628&gt;0,MIN(Первоначальный[[#This Row],[Полученный платеж]]+Y628-SUM(Первоначальный[[#This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комиссиям]]),SUM(INDIRECT("M"&amp;(MAX((1=S$12:S628)*ROW(S$12:S628),ROW($W$12))&amp;":M"&amp;(ROW()))))-SUM(INDIRECT("W"&amp;(MAX((1=S$12:S628)*ROW(S$12:S628),ROW($W$12))&amp;":W"&amp;(ROW()-1)))))
)
)</f>
        <v>0</v>
      </c>
      <c r="X629" s="55">
        <f t="shared" ca="1" si="110"/>
        <v>0</v>
      </c>
      <c r="Y629" s="101">
        <f t="shared" ca="1" si="117"/>
        <v>0</v>
      </c>
      <c r="Z629" s="133" t="str">
        <f>IF(TYPE((VLOOKUP(Первоначальный[[#This Row],[Дата платежа]],График[Срок конец],1,0)))=16,"",1)</f>
        <v/>
      </c>
      <c r="AA629" s="57"/>
      <c r="AB629" s="134"/>
      <c r="AC62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2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44049.179999999891</v>
      </c>
      <c r="AE62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1214.900000000003</v>
      </c>
      <c r="AF62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2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69710.364221311538</v>
      </c>
      <c r="AH629" s="55"/>
      <c r="AI629" s="55"/>
      <c r="AJ629" s="55"/>
      <c r="AK629" s="101">
        <f t="shared" ca="1" si="118"/>
        <v>264607.78422131145</v>
      </c>
      <c r="AL629" s="129">
        <f t="array" ref="AL629">MAX((УслРестрактов[Характеристика]="Дата реструктуризации")*(УслРестрактов[Значение]=Первоначальный!$A629),0)</f>
        <v>0</v>
      </c>
    </row>
    <row r="630" spans="1:38" x14ac:dyDescent="0.25">
      <c r="A630" s="97">
        <f t="shared" si="111"/>
        <v>44761</v>
      </c>
      <c r="B630" s="100">
        <f t="shared" ca="1" si="112"/>
        <v>149633.34</v>
      </c>
      <c r="C630" s="55">
        <f t="shared" ca="1" si="120"/>
        <v>44049.179999999891</v>
      </c>
      <c r="D630" s="55">
        <f t="shared" ca="1" si="120"/>
        <v>1214.900000000003</v>
      </c>
      <c r="E630" s="55">
        <f t="shared" ca="1" si="113"/>
        <v>0</v>
      </c>
      <c r="F630" s="55">
        <f t="shared" ca="1" si="114"/>
        <v>69710.364221311538</v>
      </c>
      <c r="G630" s="101">
        <f t="shared" ca="1" si="115"/>
        <v>264607.78422131145</v>
      </c>
      <c r="H630" s="100">
        <f ca="1">ROUND($B630*VLOOKUP($A630,$A$1:$B$10,2,1)/(365+IF(MOD(YEAR($A630),4),0,1)*($A630-$A629)),2)-Первоначальный[[#This Row],[Проценты на просроченный платеж по ОД за период]]</f>
        <v>76.789999999999992</v>
      </c>
      <c r="I630" s="55">
        <f t="shared" ca="1" si="116"/>
        <v>4.79</v>
      </c>
      <c r="J630" s="55">
        <v>0</v>
      </c>
      <c r="K630" s="55">
        <f t="shared" ca="1" si="119"/>
        <v>260.66350327868844</v>
      </c>
      <c r="L630" s="55">
        <v>0</v>
      </c>
      <c r="M630" s="113">
        <f>SUMIFS(График[Возврат основной суммы долга],График[Дата с учетом нерабочих дней],$A630)</f>
        <v>0</v>
      </c>
      <c r="N630" s="56">
        <f>SUMIFS(График[Возврат начисленных %],График[Дата с учетом нерабочих дней],$A630)</f>
        <v>0</v>
      </c>
      <c r="O630" s="101">
        <v>0</v>
      </c>
      <c r="P630" s="100" cm="1">
        <f t="array" aca="1" ref="P630" ca="1">MAX(IF(AA629="Да",0,SUM(INDIRECT("M"&amp;(MAX(("Да"=AA$12:AA629)*ROW(AA$12:AA629)+1,ROW($P$12))&amp;":M"&amp;(ROW()))))-SUM(INDIRECT("W"&amp;(MAX(("Да"=AA$12:AA629)*ROW(AA$12:AA629)+1,ROW($P$12))&amp;":W"&amp;(ROW()))))),0)</f>
        <v>8777.0299999999988</v>
      </c>
      <c r="Q630" s="99">
        <f ca="1">MAX(SUM($N$13:N630)-SUM($T$13:T630),0)</f>
        <v>43355.670655737689</v>
      </c>
      <c r="R630" s="99">
        <f ca="1">Первоначальный[[#This Row],[Просроченный платеж по ОД]]+Первоначальный[[#This Row],[Просроченный платеж по процентам]]</f>
        <v>52132.700655737688</v>
      </c>
      <c r="S630" s="120">
        <f ca="1">IF(Первоначальный[[#This Row],[Просроченный платеж]]&lt;1,0,S629+1)</f>
        <v>526</v>
      </c>
      <c r="T630" s="100" cm="1">
        <f t="array" aca="1" ref="T630" ca="1">IF(Первоначальный[[#This Row],[Итого остаток на начало периода]]&lt;1,0,
IF(
AND(TYPE(VLOOKUP(1,$Z$12:Z630,1,0))=16,Первоначальный[[#This Row],[Досрочное погашение (да/"")]]=""),0,
_xlfn.IFS(AND(S629=0,Первоначальный[[#This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платеж]]&lt;&gt;0),MIN(LOOKUP(,-1/($Z$12:Z630=1),$C$12:C630)+LOOKUP(,-1/($Z$12:Z630=1),$H$12:H630),Первоначальный[[#This Row],[Полученный платеж]]+Y629),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платеж]]+Y629,SUM(Первоначальный[[#This Row],[Остаток процентов на начало периода]],Первоначальный[[#This Row],[Проценты за период]])),
AND(S629=0,Первоначальный[[#This Row],[Дата платежа из графика]]=""),0,
AND(S629=0,Первоначальный[[#This Row],[Дата платежа из графика]]=1,MAX((0&lt;&gt;S$12:S629)*ROW(S$12:S629),ROW($S$12))&gt;=MAX((1=Z$12:Z629)*ROW(Z$12:Z629),ROW($T$12)),TYPE(VLOOKUP("Да",(INDIRECT("AA"&amp;(MAX((1=Z$12:Z629)*ROW(Z$12:Z629),ROW($T$12))&amp;":AA"&amp;(ROW()-1)))),1,0))=16),MIN(LOOKUP(,-1/($Z$12:Z630=1),$C$12:C630)+LOOKUP(,-1/($Z$12:Z630=1),$H$12:H630),Первоначальный[[#This Row],[Полученный платеж]]+Y629),
AND(S629=0,TYPE(VLOOKUP("Да",(INDIRECT("AA"&amp;(MAX((1=Z$12:Z629)*ROW(Z$12:Z629),ROW($T$12))&amp;":AA"&amp;(ROW()-1)))),1,0))&lt;&gt;16),MIN(LOOKUP(,-1/($Z$12:Z630=1),$C$12:C630)+LOOKUP(,-1/($Z$12:Z630=1),$H$12:H630)-IF(AA629="Да",0,SUM(INDIRECT("T"&amp;(MAX(("Да"=AA$12:AA629)*ROW(AA$12:AA629)+1,ROW($T$12))&amp;":T"&amp;(ROW()-1))))),Первоначальный[[#This Row],[Полученный платеж]]+Y629),
AND(S629=0,MAX((0&lt;&gt;N$12:N629)*ROW(N$12:N629),ROW($S$12))&gt;=MAX((1=Z$12:Z629)*ROW(Z$12:Z629),ROW($T$12))),MIN(LOOKUP(,-1/($Z$12:Z630=1),$C$12:C630)+LOOKUP(,-1/($Z$12:Z630=1),$H$12:H630)-IF(N629&lt;&gt;0,0,SUM(INDIRECT("T"&amp;(MAX((0&lt;&gt;N$12:N629)*ROW(N$12:N629)+1,ROW($T$12))&amp;":T"&amp;(ROW()-1))))),Первоначальный[[#This Row],[Полученный платеж]]+Y629),
AND(S629=0,Первоначальный[[#This Row],[Дата платежа из графика]]=1),MIN(LOOKUP(,-1/($Z$12:Z630=1),$C$12:C630)+LOOKUP(,-1/($Z$12:Z630=1),$H$12:H630)-IF(Z629=1,0,SUM(INDIRECT("T"&amp;(MAX((1=Z$12:Z629)*ROW(Z$12:Z629)+1,ROW($T$12))&amp;":T"&amp;(ROW()-1))))),Первоначальный[[#This Row],[Полученный платеж]]+Y629),
AND(Z629&gt;0,Первоначальный[[#This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платеж]]+Y629),
AND(S629&gt;0,MAX((0&lt;&gt;S$12:S629)*ROW(S$12:S629),ROW($S$12))&gt;=MAX((1=Z$12:Z629)*ROW(Z$12:Z629),ROW($T$12)),TYPE(VLOOKUP("Да",(INDIRECT("AA"&amp;(MAX((1=Z$12:Z629)*ROW(Z$12:Z629),ROW($T$12))&amp;":AA"&amp;(ROW()-1)))),1,0))=16),MIN(LOOKUP(,-1/($Z$12:Z630=1),$C$12:C630)+LOOKUP(,-1/($Z$12:Z630=1),$H$12:H630)-SUM(INDIRECT("T"&amp;(MAX((1=Z$12:Z629)*ROW(Z$12:Z629),ROW($T$12))&amp;":T"&amp;(ROW()-1)))),Первоначальный[[#This Row],[Полученный платеж]]+Y629),
S629&gt;0,MIN(LOOKUP(,-1/($Z$12:Z630=1),$C$12:C630)+LOOKUP(,-1/($Z$12:Z630=1),$H$12:H630)-IF(Z629=1,0,SUM(INDIRECT("T"&amp;(MAX((1=Z$12:Z629)*ROW(Z$12:Z629)+1,ROW($T$12))&amp;":T"&amp;(ROW()-1))))),Первоначальный[[#This Row],[Полученный платеж]]+Y629)
)
)
)</f>
        <v>0</v>
      </c>
      <c r="U63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платеж]]+Y629-Первоначальный[[#This Row],[Полученный платёж по процентам]])</f>
        <v>0</v>
      </c>
      <c r="V630" s="55">
        <f t="shared" ca="1" si="109"/>
        <v>0</v>
      </c>
      <c r="W630" s="55" cm="1">
        <f t="array" aca="1" ref="W630" ca="1">IF(Первоначальный[[#This Row],[Итого остаток на начало периода]]&lt;1,0,
_xlfn.IFS(
AND(TYPE(VLOOKUP(1,$Z$12:Z630,1,0))=16,Первоначальный[[#This Row],[Досрочное погашение (да/"")]]=""),0,
AND(S629=0,Первоначальный[[#This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платеж]]+Y629-SUM(Первоначальный[[#This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комиссиям]]),VLOOKUP(LOOKUP(,-1/($Z$12:Z630=1),$A$12:A630),График[[Срок конец]:[Возврат основной суммы долга]],3,0)),
AND(S629=0,Первоначальный[[#This Row],[Дата платежа из графика]]="",Первоначальный[[#This Row],[Досрочное погашение (да/"")]]&lt;&gt;"Да"),0,
AND(S629=0,Первоначальный[[#This Row],[Досрочное погашение (да/"")]]=""),MIN(Первоначальный[[#This Row],[Полученный платеж]]+Y629-SUM(Первоначальный[[#This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комиссиям]]),VLOOKUP(LOOKUP(,-1/($Z$12:Z630=1),$A$12:A630),График[[Срок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платеж]]+Y629-SUM(Первоначальный[[#This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S629&gt;0,MIN(Первоначальный[[#This Row],[Полученный платеж]]+Y629-SUM(Первоначальный[[#This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комиссиям]]),SUM(INDIRECT("M"&amp;(MAX((1=S$12:S629)*ROW(S$12:S629),ROW($W$12))&amp;":M"&amp;(ROW()))))-SUM(INDIRECT("W"&amp;(MAX((1=S$12:S629)*ROW(S$12:S629),ROW($W$12))&amp;":W"&amp;(ROW()-1)))))
)
)</f>
        <v>0</v>
      </c>
      <c r="X630" s="55">
        <f t="shared" ca="1" si="110"/>
        <v>0</v>
      </c>
      <c r="Y630" s="101">
        <f t="shared" ca="1" si="117"/>
        <v>0</v>
      </c>
      <c r="Z630" s="133" t="str">
        <f>IF(TYPE((VLOOKUP(Первоначальный[[#This Row],[Дата платежа]],График[Срок конец],1,0)))=16,"",1)</f>
        <v/>
      </c>
      <c r="AA630" s="57"/>
      <c r="AB630" s="134"/>
      <c r="AC63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3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44125.969999999892</v>
      </c>
      <c r="AE63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1219.690000000003</v>
      </c>
      <c r="AF63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3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69971.027724590225</v>
      </c>
      <c r="AH630" s="55"/>
      <c r="AI630" s="55"/>
      <c r="AJ630" s="55"/>
      <c r="AK630" s="101">
        <f t="shared" ca="1" si="118"/>
        <v>264950.02772459009</v>
      </c>
      <c r="AL630" s="129">
        <f t="array" ref="AL630">MAX((УслРестрактов[Характеристика]="Дата реструктуризации")*(УслРестрактов[Значение]=Первоначальный!$A630),0)</f>
        <v>0</v>
      </c>
    </row>
    <row r="631" spans="1:38" x14ac:dyDescent="0.25">
      <c r="A631" s="97">
        <f t="shared" si="111"/>
        <v>44762</v>
      </c>
      <c r="B631" s="100">
        <f t="shared" ca="1" si="112"/>
        <v>149633.34</v>
      </c>
      <c r="C631" s="55">
        <f t="shared" ca="1" si="120"/>
        <v>44125.969999999892</v>
      </c>
      <c r="D631" s="55">
        <f t="shared" ca="1" si="120"/>
        <v>1219.690000000003</v>
      </c>
      <c r="E631" s="55">
        <f t="shared" ca="1" si="113"/>
        <v>0</v>
      </c>
      <c r="F631" s="55">
        <f t="shared" ca="1" si="114"/>
        <v>69971.027724590225</v>
      </c>
      <c r="G631" s="101">
        <f t="shared" ca="1" si="115"/>
        <v>264950.02772459009</v>
      </c>
      <c r="H631" s="100">
        <f ca="1">ROUND($B631*VLOOKUP($A631,$A$1:$B$10,2,1)/(365+IF(MOD(YEAR($A631),4),0,1)*($A631-$A630)),2)-Первоначальный[[#This Row],[Проценты на просроченный платеж по ОД за период]]</f>
        <v>76.789999999999992</v>
      </c>
      <c r="I631" s="55">
        <f t="shared" ca="1" si="116"/>
        <v>4.79</v>
      </c>
      <c r="J631" s="55">
        <v>0</v>
      </c>
      <c r="K631" s="55">
        <f t="shared" ca="1" si="119"/>
        <v>260.66350327868844</v>
      </c>
      <c r="L631" s="55">
        <v>0</v>
      </c>
      <c r="M631" s="113">
        <f>SUMIFS(График[Возврат основной суммы долга],График[Дата с учетом нерабочих дней],$A631)</f>
        <v>0</v>
      </c>
      <c r="N631" s="56">
        <f>SUMIFS(График[Возврат начисленных %],График[Дата с учетом нерабочих дней],$A631)</f>
        <v>0</v>
      </c>
      <c r="O631" s="101">
        <v>0</v>
      </c>
      <c r="P631" s="100" cm="1">
        <f t="array" aca="1" ref="P631" ca="1">MAX(IF(AA630="Да",0,SUM(INDIRECT("M"&amp;(MAX(("Да"=AA$12:AA630)*ROW(AA$12:AA630)+1,ROW($P$12))&amp;":M"&amp;(ROW()))))-SUM(INDIRECT("W"&amp;(MAX(("Да"=AA$12:AA630)*ROW(AA$12:AA630)+1,ROW($P$12))&amp;":W"&amp;(ROW()))))),0)</f>
        <v>8777.0299999999988</v>
      </c>
      <c r="Q631" s="99">
        <f ca="1">MAX(SUM($N$13:N631)-SUM($T$13:T631),0)</f>
        <v>43355.670655737689</v>
      </c>
      <c r="R631" s="99">
        <f ca="1">Первоначальный[[#This Row],[Просроченный платеж по ОД]]+Первоначальный[[#This Row],[Просроченный платеж по процентам]]</f>
        <v>52132.700655737688</v>
      </c>
      <c r="S631" s="120">
        <f ca="1">IF(Первоначальный[[#This Row],[Просроченный платеж]]&lt;1,0,S630+1)</f>
        <v>527</v>
      </c>
      <c r="T631" s="100" cm="1">
        <f t="array" aca="1" ref="T631" ca="1">IF(Первоначальный[[#This Row],[Итого остаток на начало периода]]&lt;1,0,
IF(
AND(TYPE(VLOOKUP(1,$Z$12:Z631,1,0))=16,Первоначальный[[#This Row],[Досрочное погашение (да/"")]]=""),0,
_xlfn.IFS(AND(S630=0,Первоначальный[[#This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платеж]]&lt;&gt;0),MIN(LOOKUP(,-1/($Z$12:Z631=1),$C$12:C631)+LOOKUP(,-1/($Z$12:Z631=1),$H$12:H631),Первоначальный[[#This Row],[Полученный платеж]]+Y630),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платеж]]+Y630,SUM(Первоначальный[[#This Row],[Остаток процентов на начало периода]],Первоначальный[[#This Row],[Проценты за период]])),
AND(S630=0,Первоначальный[[#This Row],[Дата платежа из графика]]=""),0,
AND(S630=0,Первоначальный[[#This Row],[Дата платежа из графика]]=1,MAX((0&lt;&gt;S$12:S630)*ROW(S$12:S630),ROW($S$12))&gt;=MAX((1=Z$12:Z630)*ROW(Z$12:Z630),ROW($T$12)),TYPE(VLOOKUP("Да",(INDIRECT("AA"&amp;(MAX((1=Z$12:Z630)*ROW(Z$12:Z630),ROW($T$12))&amp;":AA"&amp;(ROW()-1)))),1,0))=16),MIN(LOOKUP(,-1/($Z$12:Z631=1),$C$12:C631)+LOOKUP(,-1/($Z$12:Z631=1),$H$12:H631),Первоначальный[[#This Row],[Полученный платеж]]+Y630),
AND(S630=0,TYPE(VLOOKUP("Да",(INDIRECT("AA"&amp;(MAX((1=Z$12:Z630)*ROW(Z$12:Z630),ROW($T$12))&amp;":AA"&amp;(ROW()-1)))),1,0))&lt;&gt;16),MIN(LOOKUP(,-1/($Z$12:Z631=1),$C$12:C631)+LOOKUP(,-1/($Z$12:Z631=1),$H$12:H631)-IF(AA630="Да",0,SUM(INDIRECT("T"&amp;(MAX(("Да"=AA$12:AA630)*ROW(AA$12:AA630)+1,ROW($T$12))&amp;":T"&amp;(ROW()-1))))),Первоначальный[[#This Row],[Полученный платеж]]+Y630),
AND(S630=0,MAX((0&lt;&gt;N$12:N630)*ROW(N$12:N630),ROW($S$12))&gt;=MAX((1=Z$12:Z630)*ROW(Z$12:Z630),ROW($T$12))),MIN(LOOKUP(,-1/($Z$12:Z631=1),$C$12:C631)+LOOKUP(,-1/($Z$12:Z631=1),$H$12:H631)-IF(N630&lt;&gt;0,0,SUM(INDIRECT("T"&amp;(MAX((0&lt;&gt;N$12:N630)*ROW(N$12:N630)+1,ROW($T$12))&amp;":T"&amp;(ROW()-1))))),Первоначальный[[#This Row],[Полученный платеж]]+Y630),
AND(S630=0,Первоначальный[[#This Row],[Дата платежа из графика]]=1),MIN(LOOKUP(,-1/($Z$12:Z631=1),$C$12:C631)+LOOKUP(,-1/($Z$12:Z631=1),$H$12:H631)-IF(Z630=1,0,SUM(INDIRECT("T"&amp;(MAX((1=Z$12:Z630)*ROW(Z$12:Z630)+1,ROW($T$12))&amp;":T"&amp;(ROW()-1))))),Первоначальный[[#This Row],[Полученный платеж]]+Y630),
AND(Z630&gt;0,Первоначальный[[#This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платеж]]+Y630),
AND(S630&gt;0,MAX((0&lt;&gt;S$12:S630)*ROW(S$12:S630),ROW($S$12))&gt;=MAX((1=Z$12:Z630)*ROW(Z$12:Z630),ROW($T$12)),TYPE(VLOOKUP("Да",(INDIRECT("AA"&amp;(MAX((1=Z$12:Z630)*ROW(Z$12:Z630),ROW($T$12))&amp;":AA"&amp;(ROW()-1)))),1,0))=16),MIN(LOOKUP(,-1/($Z$12:Z631=1),$C$12:C631)+LOOKUP(,-1/($Z$12:Z631=1),$H$12:H631)-SUM(INDIRECT("T"&amp;(MAX((1=Z$12:Z630)*ROW(Z$12:Z630),ROW($T$12))&amp;":T"&amp;(ROW()-1)))),Первоначальный[[#This Row],[Полученный платеж]]+Y630),
S630&gt;0,MIN(LOOKUP(,-1/($Z$12:Z631=1),$C$12:C631)+LOOKUP(,-1/($Z$12:Z631=1),$H$12:H631)-IF(Z630=1,0,SUM(INDIRECT("T"&amp;(MAX((1=Z$12:Z630)*ROW(Z$12:Z630)+1,ROW($T$12))&amp;":T"&amp;(ROW()-1))))),Первоначальный[[#This Row],[Полученный платеж]]+Y630)
)
)
)</f>
        <v>0</v>
      </c>
      <c r="U63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платеж]]+Y630-Первоначальный[[#This Row],[Полученный платёж по процентам]])</f>
        <v>0</v>
      </c>
      <c r="V631" s="55">
        <f t="shared" ca="1" si="109"/>
        <v>0</v>
      </c>
      <c r="W631" s="55" cm="1">
        <f t="array" aca="1" ref="W631" ca="1">IF(Первоначальный[[#This Row],[Итого остаток на начало периода]]&lt;1,0,
_xlfn.IFS(
AND(TYPE(VLOOKUP(1,$Z$12:Z631,1,0))=16,Первоначальный[[#This Row],[Досрочное погашение (да/"")]]=""),0,
AND(S630=0,Первоначальный[[#This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платеж]]+Y630-SUM(Первоначальный[[#This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комиссиям]]),VLOOKUP(LOOKUP(,-1/($Z$12:Z631=1),$A$12:A631),График[[Срок конец]:[Возврат основной суммы долга]],3,0)),
AND(S630=0,Первоначальный[[#This Row],[Дата платежа из графика]]="",Первоначальный[[#This Row],[Досрочное погашение (да/"")]]&lt;&gt;"Да"),0,
AND(S630=0,Первоначальный[[#This Row],[Досрочное погашение (да/"")]]=""),MIN(Первоначальный[[#This Row],[Полученный платеж]]+Y630-SUM(Первоначальный[[#This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комиссиям]]),VLOOKUP(LOOKUP(,-1/($Z$12:Z631=1),$A$12:A631),График[[Срок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платеж]]+Y630-SUM(Первоначальный[[#This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S630&gt;0,MIN(Первоначальный[[#This Row],[Полученный платеж]]+Y630-SUM(Первоначальный[[#This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комиссиям]]),SUM(INDIRECT("M"&amp;(MAX((1=S$12:S630)*ROW(S$12:S630),ROW($W$12))&amp;":M"&amp;(ROW()))))-SUM(INDIRECT("W"&amp;(MAX((1=S$12:S630)*ROW(S$12:S630),ROW($W$12))&amp;":W"&amp;(ROW()-1)))))
)
)</f>
        <v>0</v>
      </c>
      <c r="X631" s="55">
        <f t="shared" ca="1" si="110"/>
        <v>0</v>
      </c>
      <c r="Y631" s="101">
        <f t="shared" ca="1" si="117"/>
        <v>0</v>
      </c>
      <c r="Z631" s="133" t="str">
        <f>IF(TYPE((VLOOKUP(Первоначальный[[#This Row],[Дата платежа]],График[Срок конец],1,0)))=16,"",1)</f>
        <v/>
      </c>
      <c r="AA631" s="57"/>
      <c r="AB631" s="134"/>
      <c r="AC63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3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44202.759999999893</v>
      </c>
      <c r="AE63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1224.480000000003</v>
      </c>
      <c r="AF63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3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70231.691227868912</v>
      </c>
      <c r="AH631" s="55"/>
      <c r="AI631" s="55"/>
      <c r="AJ631" s="55"/>
      <c r="AK631" s="101">
        <f t="shared" ca="1" si="118"/>
        <v>265292.2712278688</v>
      </c>
      <c r="AL631" s="129">
        <f t="array" ref="AL631">MAX((УслРестрактов[Характеристика]="Дата реструктуризации")*(УслРестрактов[Значение]=Первоначальный!$A631),0)</f>
        <v>0</v>
      </c>
    </row>
    <row r="632" spans="1:38" x14ac:dyDescent="0.25">
      <c r="A632" s="97">
        <f t="shared" si="111"/>
        <v>44763</v>
      </c>
      <c r="B632" s="100">
        <f t="shared" ca="1" si="112"/>
        <v>149633.34</v>
      </c>
      <c r="C632" s="55">
        <f t="shared" ca="1" si="120"/>
        <v>44202.759999999893</v>
      </c>
      <c r="D632" s="55">
        <f t="shared" ca="1" si="120"/>
        <v>1224.480000000003</v>
      </c>
      <c r="E632" s="55">
        <f t="shared" ca="1" si="113"/>
        <v>0</v>
      </c>
      <c r="F632" s="55">
        <f t="shared" ca="1" si="114"/>
        <v>70231.691227868912</v>
      </c>
      <c r="G632" s="101">
        <f t="shared" ca="1" si="115"/>
        <v>265292.2712278688</v>
      </c>
      <c r="H632" s="100">
        <f ca="1">ROUND($B632*VLOOKUP($A632,$A$1:$B$10,2,1)/(365+IF(MOD(YEAR($A632),4),0,1)*($A632-$A631)),2)-Первоначальный[[#This Row],[Проценты на просроченный платеж по ОД за период]]</f>
        <v>76.789999999999992</v>
      </c>
      <c r="I632" s="55">
        <f t="shared" ca="1" si="116"/>
        <v>4.79</v>
      </c>
      <c r="J632" s="55">
        <v>0</v>
      </c>
      <c r="K632" s="55">
        <f t="shared" ca="1" si="119"/>
        <v>260.66350327868844</v>
      </c>
      <c r="L632" s="55">
        <v>0</v>
      </c>
      <c r="M632" s="113">
        <f>SUMIFS(График[Возврат основной суммы долга],График[Дата с учетом нерабочих дней],$A632)</f>
        <v>0</v>
      </c>
      <c r="N632" s="56">
        <f>SUMIFS(График[Возврат начисленных %],График[Дата с учетом нерабочих дней],$A632)</f>
        <v>0</v>
      </c>
      <c r="O632" s="101">
        <v>0</v>
      </c>
      <c r="P632" s="100" cm="1">
        <f t="array" aca="1" ref="P632" ca="1">MAX(IF(AA631="Да",0,SUM(INDIRECT("M"&amp;(MAX(("Да"=AA$12:AA631)*ROW(AA$12:AA631)+1,ROW($P$12))&amp;":M"&amp;(ROW()))))-SUM(INDIRECT("W"&amp;(MAX(("Да"=AA$12:AA631)*ROW(AA$12:AA631)+1,ROW($P$12))&amp;":W"&amp;(ROW()))))),0)</f>
        <v>8777.0299999999988</v>
      </c>
      <c r="Q632" s="99">
        <f ca="1">MAX(SUM($N$13:N632)-SUM($T$13:T632),0)</f>
        <v>43355.670655737689</v>
      </c>
      <c r="R632" s="99">
        <f ca="1">Первоначальный[[#This Row],[Просроченный платеж по ОД]]+Первоначальный[[#This Row],[Просроченный платеж по процентам]]</f>
        <v>52132.700655737688</v>
      </c>
      <c r="S632" s="120">
        <f ca="1">IF(Первоначальный[[#This Row],[Просроченный платеж]]&lt;1,0,S631+1)</f>
        <v>528</v>
      </c>
      <c r="T632" s="100" cm="1">
        <f t="array" aca="1" ref="T632" ca="1">IF(Первоначальный[[#This Row],[Итого остаток на начало периода]]&lt;1,0,
IF(
AND(TYPE(VLOOKUP(1,$Z$12:Z632,1,0))=16,Первоначальный[[#This Row],[Досрочное погашение (да/"")]]=""),0,
_xlfn.IFS(AND(S631=0,Первоначальный[[#This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платеж]]&lt;&gt;0),MIN(LOOKUP(,-1/($Z$12:Z632=1),$C$12:C632)+LOOKUP(,-1/($Z$12:Z632=1),$H$12:H632),Первоначальный[[#This Row],[Полученный платеж]]+Y631),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платеж]]+Y631,SUM(Первоначальный[[#This Row],[Остаток процентов на начало периода]],Первоначальный[[#This Row],[Проценты за период]])),
AND(S631=0,Первоначальный[[#This Row],[Дата платежа из графика]]=""),0,
AND(S631=0,Первоначальный[[#This Row],[Дата платежа из графика]]=1,MAX((0&lt;&gt;S$12:S631)*ROW(S$12:S631),ROW($S$12))&gt;=MAX((1=Z$12:Z631)*ROW(Z$12:Z631),ROW($T$12)),TYPE(VLOOKUP("Да",(INDIRECT("AA"&amp;(MAX((1=Z$12:Z631)*ROW(Z$12:Z631),ROW($T$12))&amp;":AA"&amp;(ROW()-1)))),1,0))=16),MIN(LOOKUP(,-1/($Z$12:Z632=1),$C$12:C632)+LOOKUP(,-1/($Z$12:Z632=1),$H$12:H632),Первоначальный[[#This Row],[Полученный платеж]]+Y631),
AND(S631=0,TYPE(VLOOKUP("Да",(INDIRECT("AA"&amp;(MAX((1=Z$12:Z631)*ROW(Z$12:Z631),ROW($T$12))&amp;":AA"&amp;(ROW()-1)))),1,0))&lt;&gt;16),MIN(LOOKUP(,-1/($Z$12:Z632=1),$C$12:C632)+LOOKUP(,-1/($Z$12:Z632=1),$H$12:H632)-IF(AA631="Да",0,SUM(INDIRECT("T"&amp;(MAX(("Да"=AA$12:AA631)*ROW(AA$12:AA631)+1,ROW($T$12))&amp;":T"&amp;(ROW()-1))))),Первоначальный[[#This Row],[Полученный платеж]]+Y631),
AND(S631=0,MAX((0&lt;&gt;N$12:N631)*ROW(N$12:N631),ROW($S$12))&gt;=MAX((1=Z$12:Z631)*ROW(Z$12:Z631),ROW($T$12))),MIN(LOOKUP(,-1/($Z$12:Z632=1),$C$12:C632)+LOOKUP(,-1/($Z$12:Z632=1),$H$12:H632)-IF(N631&lt;&gt;0,0,SUM(INDIRECT("T"&amp;(MAX((0&lt;&gt;N$12:N631)*ROW(N$12:N631)+1,ROW($T$12))&amp;":T"&amp;(ROW()-1))))),Первоначальный[[#This Row],[Полученный платеж]]+Y631),
AND(S631=0,Первоначальный[[#This Row],[Дата платежа из графика]]=1),MIN(LOOKUP(,-1/($Z$12:Z632=1),$C$12:C632)+LOOKUP(,-1/($Z$12:Z632=1),$H$12:H632)-IF(Z631=1,0,SUM(INDIRECT("T"&amp;(MAX((1=Z$12:Z631)*ROW(Z$12:Z631)+1,ROW($T$12))&amp;":T"&amp;(ROW()-1))))),Первоначальный[[#This Row],[Полученный платеж]]+Y631),
AND(Z631&gt;0,Первоначальный[[#This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платеж]]+Y631),
AND(S631&gt;0,MAX((0&lt;&gt;S$12:S631)*ROW(S$12:S631),ROW($S$12))&gt;=MAX((1=Z$12:Z631)*ROW(Z$12:Z631),ROW($T$12)),TYPE(VLOOKUP("Да",(INDIRECT("AA"&amp;(MAX((1=Z$12:Z631)*ROW(Z$12:Z631),ROW($T$12))&amp;":AA"&amp;(ROW()-1)))),1,0))=16),MIN(LOOKUP(,-1/($Z$12:Z632=1),$C$12:C632)+LOOKUP(,-1/($Z$12:Z632=1),$H$12:H632)-SUM(INDIRECT("T"&amp;(MAX((1=Z$12:Z631)*ROW(Z$12:Z631),ROW($T$12))&amp;":T"&amp;(ROW()-1)))),Первоначальный[[#This Row],[Полученный платеж]]+Y631),
S631&gt;0,MIN(LOOKUP(,-1/($Z$12:Z632=1),$C$12:C632)+LOOKUP(,-1/($Z$12:Z632=1),$H$12:H632)-IF(Z631=1,0,SUM(INDIRECT("T"&amp;(MAX((1=Z$12:Z631)*ROW(Z$12:Z631)+1,ROW($T$12))&amp;":T"&amp;(ROW()-1))))),Первоначальный[[#This Row],[Полученный платеж]]+Y631)
)
)
)</f>
        <v>0</v>
      </c>
      <c r="U63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платеж]]+Y631-Первоначальный[[#This Row],[Полученный платёж по процентам]])</f>
        <v>0</v>
      </c>
      <c r="V632" s="55">
        <f t="shared" ca="1" si="109"/>
        <v>0</v>
      </c>
      <c r="W632" s="55" cm="1">
        <f t="array" aca="1" ref="W632" ca="1">IF(Первоначальный[[#This Row],[Итого остаток на начало периода]]&lt;1,0,
_xlfn.IFS(
AND(TYPE(VLOOKUP(1,$Z$12:Z632,1,0))=16,Первоначальный[[#This Row],[Досрочное погашение (да/"")]]=""),0,
AND(S631=0,Первоначальный[[#This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платеж]]+Y631-SUM(Первоначальный[[#This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комиссиям]]),VLOOKUP(LOOKUP(,-1/($Z$12:Z632=1),$A$12:A632),График[[Срок конец]:[Возврат основной суммы долга]],3,0)),
AND(S631=0,Первоначальный[[#This Row],[Дата платежа из графика]]="",Первоначальный[[#This Row],[Досрочное погашение (да/"")]]&lt;&gt;"Да"),0,
AND(S631=0,Первоначальный[[#This Row],[Досрочное погашение (да/"")]]=""),MIN(Первоначальный[[#This Row],[Полученный платеж]]+Y631-SUM(Первоначальный[[#This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комиссиям]]),VLOOKUP(LOOKUP(,-1/($Z$12:Z632=1),$A$12:A632),График[[Срок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платеж]]+Y631-SUM(Первоначальный[[#This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S631&gt;0,MIN(Первоначальный[[#This Row],[Полученный платеж]]+Y631-SUM(Первоначальный[[#This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комиссиям]]),SUM(INDIRECT("M"&amp;(MAX((1=S$12:S631)*ROW(S$12:S631),ROW($W$12))&amp;":M"&amp;(ROW()))))-SUM(INDIRECT("W"&amp;(MAX((1=S$12:S631)*ROW(S$12:S631),ROW($W$12))&amp;":W"&amp;(ROW()-1)))))
)
)</f>
        <v>0</v>
      </c>
      <c r="X632" s="55">
        <f t="shared" ca="1" si="110"/>
        <v>0</v>
      </c>
      <c r="Y632" s="101">
        <f t="shared" ca="1" si="117"/>
        <v>0</v>
      </c>
      <c r="Z632" s="133" t="str">
        <f>IF(TYPE((VLOOKUP(Первоначальный[[#This Row],[Дата платежа]],График[Срок конец],1,0)))=16,"",1)</f>
        <v/>
      </c>
      <c r="AA632" s="57"/>
      <c r="AB632" s="134"/>
      <c r="AC63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3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44279.549999999894</v>
      </c>
      <c r="AE63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1229.2700000000029</v>
      </c>
      <c r="AF63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3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70492.3547311476</v>
      </c>
      <c r="AH632" s="55"/>
      <c r="AI632" s="55"/>
      <c r="AJ632" s="55"/>
      <c r="AK632" s="101">
        <f t="shared" ca="1" si="118"/>
        <v>265634.5147311475</v>
      </c>
      <c r="AL632" s="129">
        <f t="array" ref="AL632">MAX((УслРестрактов[Характеристика]="Дата реструктуризации")*(УслРестрактов[Значение]=Первоначальный!$A632),0)</f>
        <v>0</v>
      </c>
    </row>
    <row r="633" spans="1:38" x14ac:dyDescent="0.25">
      <c r="A633" s="97">
        <f t="shared" si="111"/>
        <v>44764</v>
      </c>
      <c r="B633" s="100">
        <f t="shared" ca="1" si="112"/>
        <v>149633.34</v>
      </c>
      <c r="C633" s="55">
        <f t="shared" ca="1" si="120"/>
        <v>44279.549999999894</v>
      </c>
      <c r="D633" s="55">
        <f t="shared" ca="1" si="120"/>
        <v>1229.2700000000029</v>
      </c>
      <c r="E633" s="55">
        <f t="shared" ca="1" si="113"/>
        <v>0</v>
      </c>
      <c r="F633" s="55">
        <f t="shared" ca="1" si="114"/>
        <v>70492.3547311476</v>
      </c>
      <c r="G633" s="101">
        <f t="shared" ca="1" si="115"/>
        <v>265634.5147311475</v>
      </c>
      <c r="H633" s="100">
        <f ca="1">ROUND($B633*VLOOKUP($A633,$A$1:$B$10,2,1)/(365+IF(MOD(YEAR($A633),4),0,1)*($A633-$A632)),2)-Первоначальный[[#This Row],[Проценты на просроченный платеж по ОД за период]]</f>
        <v>76.789999999999992</v>
      </c>
      <c r="I633" s="55">
        <f t="shared" ca="1" si="116"/>
        <v>4.79</v>
      </c>
      <c r="J633" s="55">
        <v>0</v>
      </c>
      <c r="K633" s="55">
        <f t="shared" ca="1" si="119"/>
        <v>260.66350327868844</v>
      </c>
      <c r="L633" s="55">
        <v>0</v>
      </c>
      <c r="M633" s="113">
        <f>SUMIFS(График[Возврат основной суммы долга],График[Дата с учетом нерабочих дней],$A633)</f>
        <v>0</v>
      </c>
      <c r="N633" s="56">
        <f>SUMIFS(График[Возврат начисленных %],График[Дата с учетом нерабочих дней],$A633)</f>
        <v>0</v>
      </c>
      <c r="O633" s="101">
        <v>0</v>
      </c>
      <c r="P633" s="100" cm="1">
        <f t="array" aca="1" ref="P633" ca="1">MAX(IF(AA632="Да",0,SUM(INDIRECT("M"&amp;(MAX(("Да"=AA$12:AA632)*ROW(AA$12:AA632)+1,ROW($P$12))&amp;":M"&amp;(ROW()))))-SUM(INDIRECT("W"&amp;(MAX(("Да"=AA$12:AA632)*ROW(AA$12:AA632)+1,ROW($P$12))&amp;":W"&amp;(ROW()))))),0)</f>
        <v>8777.0299999999988</v>
      </c>
      <c r="Q633" s="99">
        <f ca="1">MAX(SUM($N$13:N633)-SUM($T$13:T633),0)</f>
        <v>43355.670655737689</v>
      </c>
      <c r="R633" s="99">
        <f ca="1">Первоначальный[[#This Row],[Просроченный платеж по ОД]]+Первоначальный[[#This Row],[Просроченный платеж по процентам]]</f>
        <v>52132.700655737688</v>
      </c>
      <c r="S633" s="120">
        <f ca="1">IF(Первоначальный[[#This Row],[Просроченный платеж]]&lt;1,0,S632+1)</f>
        <v>529</v>
      </c>
      <c r="T633" s="100" cm="1">
        <f t="array" aca="1" ref="T633" ca="1">IF(Первоначальный[[#This Row],[Итого остаток на начало периода]]&lt;1,0,
IF(
AND(TYPE(VLOOKUP(1,$Z$12:Z633,1,0))=16,Первоначальный[[#This Row],[Досрочное погашение (да/"")]]=""),0,
_xlfn.IFS(AND(S632=0,Первоначальный[[#This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платеж]]&lt;&gt;0),MIN(LOOKUP(,-1/($Z$12:Z633=1),$C$12:C633)+LOOKUP(,-1/($Z$12:Z633=1),$H$12:H633),Первоначальный[[#This Row],[Полученный платеж]]+Y632),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платеж]]+Y632,SUM(Первоначальный[[#This Row],[Остаток процентов на начало периода]],Первоначальный[[#This Row],[Проценты за период]])),
AND(S632=0,Первоначальный[[#This Row],[Дата платежа из графика]]=""),0,
AND(S632=0,Первоначальный[[#This Row],[Дата платежа из графика]]=1,MAX((0&lt;&gt;S$12:S632)*ROW(S$12:S632),ROW($S$12))&gt;=MAX((1=Z$12:Z632)*ROW(Z$12:Z632),ROW($T$12)),TYPE(VLOOKUP("Да",(INDIRECT("AA"&amp;(MAX((1=Z$12:Z632)*ROW(Z$12:Z632),ROW($T$12))&amp;":AA"&amp;(ROW()-1)))),1,0))=16),MIN(LOOKUP(,-1/($Z$12:Z633=1),$C$12:C633)+LOOKUP(,-1/($Z$12:Z633=1),$H$12:H633),Первоначальный[[#This Row],[Полученный платеж]]+Y632),
AND(S632=0,TYPE(VLOOKUP("Да",(INDIRECT("AA"&amp;(MAX((1=Z$12:Z632)*ROW(Z$12:Z632),ROW($T$12))&amp;":AA"&amp;(ROW()-1)))),1,0))&lt;&gt;16),MIN(LOOKUP(,-1/($Z$12:Z633=1),$C$12:C633)+LOOKUP(,-1/($Z$12:Z633=1),$H$12:H633)-IF(AA632="Да",0,SUM(INDIRECT("T"&amp;(MAX(("Да"=AA$12:AA632)*ROW(AA$12:AA632)+1,ROW($T$12))&amp;":T"&amp;(ROW()-1))))),Первоначальный[[#This Row],[Полученный платеж]]+Y632),
AND(S632=0,MAX((0&lt;&gt;N$12:N632)*ROW(N$12:N632),ROW($S$12))&gt;=MAX((1=Z$12:Z632)*ROW(Z$12:Z632),ROW($T$12))),MIN(LOOKUP(,-1/($Z$12:Z633=1),$C$12:C633)+LOOKUP(,-1/($Z$12:Z633=1),$H$12:H633)-IF(N632&lt;&gt;0,0,SUM(INDIRECT("T"&amp;(MAX((0&lt;&gt;N$12:N632)*ROW(N$12:N632)+1,ROW($T$12))&amp;":T"&amp;(ROW()-1))))),Первоначальный[[#This Row],[Полученный платеж]]+Y632),
AND(S632=0,Первоначальный[[#This Row],[Дата платежа из графика]]=1),MIN(LOOKUP(,-1/($Z$12:Z633=1),$C$12:C633)+LOOKUP(,-1/($Z$12:Z633=1),$H$12:H633)-IF(Z632=1,0,SUM(INDIRECT("T"&amp;(MAX((1=Z$12:Z632)*ROW(Z$12:Z632)+1,ROW($T$12))&amp;":T"&amp;(ROW()-1))))),Первоначальный[[#This Row],[Полученный платеж]]+Y632),
AND(Z632&gt;0,Первоначальный[[#This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платеж]]+Y632),
AND(S632&gt;0,MAX((0&lt;&gt;S$12:S632)*ROW(S$12:S632),ROW($S$12))&gt;=MAX((1=Z$12:Z632)*ROW(Z$12:Z632),ROW($T$12)),TYPE(VLOOKUP("Да",(INDIRECT("AA"&amp;(MAX((1=Z$12:Z632)*ROW(Z$12:Z632),ROW($T$12))&amp;":AA"&amp;(ROW()-1)))),1,0))=16),MIN(LOOKUP(,-1/($Z$12:Z633=1),$C$12:C633)+LOOKUP(,-1/($Z$12:Z633=1),$H$12:H633)-SUM(INDIRECT("T"&amp;(MAX((1=Z$12:Z632)*ROW(Z$12:Z632),ROW($T$12))&amp;":T"&amp;(ROW()-1)))),Первоначальный[[#This Row],[Полученный платеж]]+Y632),
S632&gt;0,MIN(LOOKUP(,-1/($Z$12:Z633=1),$C$12:C633)+LOOKUP(,-1/($Z$12:Z633=1),$H$12:H633)-IF(Z632=1,0,SUM(INDIRECT("T"&amp;(MAX((1=Z$12:Z632)*ROW(Z$12:Z632)+1,ROW($T$12))&amp;":T"&amp;(ROW()-1))))),Первоначальный[[#This Row],[Полученный платеж]]+Y632)
)
)
)</f>
        <v>0</v>
      </c>
      <c r="U63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платеж]]+Y632-Первоначальный[[#This Row],[Полученный платёж по процентам]])</f>
        <v>0</v>
      </c>
      <c r="V633" s="55">
        <f t="shared" ca="1" si="109"/>
        <v>0</v>
      </c>
      <c r="W633" s="55" cm="1">
        <f t="array" aca="1" ref="W633" ca="1">IF(Первоначальный[[#This Row],[Итого остаток на начало периода]]&lt;1,0,
_xlfn.IFS(
AND(TYPE(VLOOKUP(1,$Z$12:Z633,1,0))=16,Первоначальный[[#This Row],[Досрочное погашение (да/"")]]=""),0,
AND(S632=0,Первоначальный[[#This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платеж]]+Y632-SUM(Первоначальный[[#This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комиссиям]]),VLOOKUP(LOOKUP(,-1/($Z$12:Z633=1),$A$12:A633),График[[Срок конец]:[Возврат основной суммы долга]],3,0)),
AND(S632=0,Первоначальный[[#This Row],[Дата платежа из графика]]="",Первоначальный[[#This Row],[Досрочное погашение (да/"")]]&lt;&gt;"Да"),0,
AND(S632=0,Первоначальный[[#This Row],[Досрочное погашение (да/"")]]=""),MIN(Первоначальный[[#This Row],[Полученный платеж]]+Y632-SUM(Первоначальный[[#This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комиссиям]]),VLOOKUP(LOOKUP(,-1/($Z$12:Z633=1),$A$12:A633),График[[Срок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платеж]]+Y632-SUM(Первоначальный[[#This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S632&gt;0,MIN(Первоначальный[[#This Row],[Полученный платеж]]+Y632-SUM(Первоначальный[[#This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комиссиям]]),SUM(INDIRECT("M"&amp;(MAX((1=S$12:S632)*ROW(S$12:S632),ROW($W$12))&amp;":M"&amp;(ROW()))))-SUM(INDIRECT("W"&amp;(MAX((1=S$12:S632)*ROW(S$12:S632),ROW($W$12))&amp;":W"&amp;(ROW()-1)))))
)
)</f>
        <v>0</v>
      </c>
      <c r="X633" s="55">
        <f t="shared" ca="1" si="110"/>
        <v>0</v>
      </c>
      <c r="Y633" s="101">
        <f t="shared" ca="1" si="117"/>
        <v>0</v>
      </c>
      <c r="Z633" s="133" t="str">
        <f>IF(TYPE((VLOOKUP(Первоначальный[[#This Row],[Дата платежа]],График[Срок конец],1,0)))=16,"",1)</f>
        <v/>
      </c>
      <c r="AA633" s="57"/>
      <c r="AB633" s="134"/>
      <c r="AC63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3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44356.339999999895</v>
      </c>
      <c r="AE63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1234.0600000000029</v>
      </c>
      <c r="AF63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3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70753.018234426287</v>
      </c>
      <c r="AH633" s="55"/>
      <c r="AI633" s="55"/>
      <c r="AJ633" s="55"/>
      <c r="AK633" s="101">
        <f t="shared" ca="1" si="118"/>
        <v>265976.75823442615</v>
      </c>
      <c r="AL633" s="129">
        <f t="array" ref="AL633">MAX((УслРестрактов[Характеристика]="Дата реструктуризации")*(УслРестрактов[Значение]=Первоначальный!$A633),0)</f>
        <v>0</v>
      </c>
    </row>
    <row r="634" spans="1:38" x14ac:dyDescent="0.25">
      <c r="A634" s="97">
        <f t="shared" si="111"/>
        <v>44765</v>
      </c>
      <c r="B634" s="100">
        <f t="shared" ca="1" si="112"/>
        <v>149633.34</v>
      </c>
      <c r="C634" s="55">
        <f t="shared" ca="1" si="120"/>
        <v>44356.339999999895</v>
      </c>
      <c r="D634" s="55">
        <f t="shared" ca="1" si="120"/>
        <v>1234.0600000000029</v>
      </c>
      <c r="E634" s="55">
        <f t="shared" ca="1" si="113"/>
        <v>0</v>
      </c>
      <c r="F634" s="55">
        <f t="shared" ca="1" si="114"/>
        <v>70753.018234426287</v>
      </c>
      <c r="G634" s="101">
        <f t="shared" ca="1" si="115"/>
        <v>265976.75823442615</v>
      </c>
      <c r="H634" s="100">
        <f ca="1">ROUND($B634*VLOOKUP($A634,$A$1:$B$10,2,1)/(365+IF(MOD(YEAR($A634),4),0,1)*($A634-$A633)),2)-Первоначальный[[#This Row],[Проценты на просроченный платеж по ОД за период]]</f>
        <v>76.789999999999992</v>
      </c>
      <c r="I634" s="55">
        <f t="shared" ca="1" si="116"/>
        <v>4.79</v>
      </c>
      <c r="J634" s="55">
        <v>0</v>
      </c>
      <c r="K634" s="55">
        <f t="shared" ca="1" si="119"/>
        <v>260.66350327868844</v>
      </c>
      <c r="L634" s="55">
        <v>0</v>
      </c>
      <c r="M634" s="113">
        <f>SUMIFS(График[Возврат основной суммы долга],График[Дата с учетом нерабочих дней],$A634)</f>
        <v>0</v>
      </c>
      <c r="N634" s="56">
        <f>SUMIFS(График[Возврат начисленных %],График[Дата с учетом нерабочих дней],$A634)</f>
        <v>0</v>
      </c>
      <c r="O634" s="101">
        <v>0</v>
      </c>
      <c r="P634" s="100" cm="1">
        <f t="array" aca="1" ref="P634" ca="1">MAX(IF(AA633="Да",0,SUM(INDIRECT("M"&amp;(MAX(("Да"=AA$12:AA633)*ROW(AA$12:AA633)+1,ROW($P$12))&amp;":M"&amp;(ROW()))))-SUM(INDIRECT("W"&amp;(MAX(("Да"=AA$12:AA633)*ROW(AA$12:AA633)+1,ROW($P$12))&amp;":W"&amp;(ROW()))))),0)</f>
        <v>8777.0299999999988</v>
      </c>
      <c r="Q634" s="99">
        <f ca="1">MAX(SUM($N$13:N634)-SUM($T$13:T634),0)</f>
        <v>43355.670655737689</v>
      </c>
      <c r="R634" s="99">
        <f ca="1">Первоначальный[[#This Row],[Просроченный платеж по ОД]]+Первоначальный[[#This Row],[Просроченный платеж по процентам]]</f>
        <v>52132.700655737688</v>
      </c>
      <c r="S634" s="120">
        <f ca="1">IF(Первоначальный[[#This Row],[Просроченный платеж]]&lt;1,0,S633+1)</f>
        <v>530</v>
      </c>
      <c r="T634" s="100" cm="1">
        <f t="array" aca="1" ref="T634" ca="1">IF(Первоначальный[[#This Row],[Итого остаток на начало периода]]&lt;1,0,
IF(
AND(TYPE(VLOOKUP(1,$Z$12:Z634,1,0))=16,Первоначальный[[#This Row],[Досрочное погашение (да/"")]]=""),0,
_xlfn.IFS(AND(S633=0,Первоначальный[[#This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платеж]]&lt;&gt;0),MIN(LOOKUP(,-1/($Z$12:Z634=1),$C$12:C634)+LOOKUP(,-1/($Z$12:Z634=1),$H$12:H634),Первоначальный[[#This Row],[Полученный платеж]]+Y633),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платеж]]+Y633,SUM(Первоначальный[[#This Row],[Остаток процентов на начало периода]],Первоначальный[[#This Row],[Проценты за период]])),
AND(S633=0,Первоначальный[[#This Row],[Дата платежа из графика]]=""),0,
AND(S633=0,Первоначальный[[#This Row],[Дата платежа из графика]]=1,MAX((0&lt;&gt;S$12:S633)*ROW(S$12:S633),ROW($S$12))&gt;=MAX((1=Z$12:Z633)*ROW(Z$12:Z633),ROW($T$12)),TYPE(VLOOKUP("Да",(INDIRECT("AA"&amp;(MAX((1=Z$12:Z633)*ROW(Z$12:Z633),ROW($T$12))&amp;":AA"&amp;(ROW()-1)))),1,0))=16),MIN(LOOKUP(,-1/($Z$12:Z634=1),$C$12:C634)+LOOKUP(,-1/($Z$12:Z634=1),$H$12:H634),Первоначальный[[#This Row],[Полученный платеж]]+Y633),
AND(S633=0,TYPE(VLOOKUP("Да",(INDIRECT("AA"&amp;(MAX((1=Z$12:Z633)*ROW(Z$12:Z633),ROW($T$12))&amp;":AA"&amp;(ROW()-1)))),1,0))&lt;&gt;16),MIN(LOOKUP(,-1/($Z$12:Z634=1),$C$12:C634)+LOOKUP(,-1/($Z$12:Z634=1),$H$12:H634)-IF(AA633="Да",0,SUM(INDIRECT("T"&amp;(MAX(("Да"=AA$12:AA633)*ROW(AA$12:AA633)+1,ROW($T$12))&amp;":T"&amp;(ROW()-1))))),Первоначальный[[#This Row],[Полученный платеж]]+Y633),
AND(S633=0,MAX((0&lt;&gt;N$12:N633)*ROW(N$12:N633),ROW($S$12))&gt;=MAX((1=Z$12:Z633)*ROW(Z$12:Z633),ROW($T$12))),MIN(LOOKUP(,-1/($Z$12:Z634=1),$C$12:C634)+LOOKUP(,-1/($Z$12:Z634=1),$H$12:H634)-IF(N633&lt;&gt;0,0,SUM(INDIRECT("T"&amp;(MAX((0&lt;&gt;N$12:N633)*ROW(N$12:N633)+1,ROW($T$12))&amp;":T"&amp;(ROW()-1))))),Первоначальный[[#This Row],[Полученный платеж]]+Y633),
AND(S633=0,Первоначальный[[#This Row],[Дата платежа из графика]]=1),MIN(LOOKUP(,-1/($Z$12:Z634=1),$C$12:C634)+LOOKUP(,-1/($Z$12:Z634=1),$H$12:H634)-IF(Z633=1,0,SUM(INDIRECT("T"&amp;(MAX((1=Z$12:Z633)*ROW(Z$12:Z633)+1,ROW($T$12))&amp;":T"&amp;(ROW()-1))))),Первоначальный[[#This Row],[Полученный платеж]]+Y633),
AND(Z633&gt;0,Первоначальный[[#This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платеж]]+Y633),
AND(S633&gt;0,MAX((0&lt;&gt;S$12:S633)*ROW(S$12:S633),ROW($S$12))&gt;=MAX((1=Z$12:Z633)*ROW(Z$12:Z633),ROW($T$12)),TYPE(VLOOKUP("Да",(INDIRECT("AA"&amp;(MAX((1=Z$12:Z633)*ROW(Z$12:Z633),ROW($T$12))&amp;":AA"&amp;(ROW()-1)))),1,0))=16),MIN(LOOKUP(,-1/($Z$12:Z634=1),$C$12:C634)+LOOKUP(,-1/($Z$12:Z634=1),$H$12:H634)-SUM(INDIRECT("T"&amp;(MAX((1=Z$12:Z633)*ROW(Z$12:Z633),ROW($T$12))&amp;":T"&amp;(ROW()-1)))),Первоначальный[[#This Row],[Полученный платеж]]+Y633),
S633&gt;0,MIN(LOOKUP(,-1/($Z$12:Z634=1),$C$12:C634)+LOOKUP(,-1/($Z$12:Z634=1),$H$12:H634)-IF(Z633=1,0,SUM(INDIRECT("T"&amp;(MAX((1=Z$12:Z633)*ROW(Z$12:Z633)+1,ROW($T$12))&amp;":T"&amp;(ROW()-1))))),Первоначальный[[#This Row],[Полученный платеж]]+Y633)
)
)
)</f>
        <v>0</v>
      </c>
      <c r="U63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платеж]]+Y633-Первоначальный[[#This Row],[Полученный платёж по процентам]])</f>
        <v>0</v>
      </c>
      <c r="V634" s="55">
        <f t="shared" ca="1" si="109"/>
        <v>0</v>
      </c>
      <c r="W634" s="55" cm="1">
        <f t="array" aca="1" ref="W634" ca="1">IF(Первоначальный[[#This Row],[Итого остаток на начало периода]]&lt;1,0,
_xlfn.IFS(
AND(TYPE(VLOOKUP(1,$Z$12:Z634,1,0))=16,Первоначальный[[#This Row],[Досрочное погашение (да/"")]]=""),0,
AND(S633=0,Первоначальный[[#This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платеж]]+Y633-SUM(Первоначальный[[#This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комиссиям]]),VLOOKUP(LOOKUP(,-1/($Z$12:Z634=1),$A$12:A634),График[[Срок конец]:[Возврат основной суммы долга]],3,0)),
AND(S633=0,Первоначальный[[#This Row],[Дата платежа из графика]]="",Первоначальный[[#This Row],[Досрочное погашение (да/"")]]&lt;&gt;"Да"),0,
AND(S633=0,Первоначальный[[#This Row],[Досрочное погашение (да/"")]]=""),MIN(Первоначальный[[#This Row],[Полученный платеж]]+Y633-SUM(Первоначальный[[#This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комиссиям]]),VLOOKUP(LOOKUP(,-1/($Z$12:Z634=1),$A$12:A634),График[[Срок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платеж]]+Y633-SUM(Первоначальный[[#This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S633&gt;0,MIN(Первоначальный[[#This Row],[Полученный платеж]]+Y633-SUM(Первоначальный[[#This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комиссиям]]),SUM(INDIRECT("M"&amp;(MAX((1=S$12:S633)*ROW(S$12:S633),ROW($W$12))&amp;":M"&amp;(ROW()))))-SUM(INDIRECT("W"&amp;(MAX((1=S$12:S633)*ROW(S$12:S633),ROW($W$12))&amp;":W"&amp;(ROW()-1)))))
)
)</f>
        <v>0</v>
      </c>
      <c r="X634" s="55">
        <f t="shared" ca="1" si="110"/>
        <v>0</v>
      </c>
      <c r="Y634" s="101">
        <f t="shared" ca="1" si="117"/>
        <v>0</v>
      </c>
      <c r="Z634" s="133" t="str">
        <f>IF(TYPE((VLOOKUP(Первоначальный[[#This Row],[Дата платежа]],График[Срок конец],1,0)))=16,"",1)</f>
        <v/>
      </c>
      <c r="AA634" s="57"/>
      <c r="AB634" s="134"/>
      <c r="AC63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3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44433.129999999896</v>
      </c>
      <c r="AE63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1238.8500000000029</v>
      </c>
      <c r="AF63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3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71013.681737704974</v>
      </c>
      <c r="AH634" s="55"/>
      <c r="AI634" s="55"/>
      <c r="AJ634" s="55"/>
      <c r="AK634" s="101">
        <f t="shared" ca="1" si="118"/>
        <v>266319.00173770485</v>
      </c>
      <c r="AL634" s="129">
        <f t="array" ref="AL634">MAX((УслРестрактов[Характеристика]="Дата реструктуризации")*(УслРестрактов[Значение]=Первоначальный!$A634),0)</f>
        <v>0</v>
      </c>
    </row>
    <row r="635" spans="1:38" x14ac:dyDescent="0.25">
      <c r="A635" s="97">
        <f t="shared" si="111"/>
        <v>44766</v>
      </c>
      <c r="B635" s="100">
        <f t="shared" ca="1" si="112"/>
        <v>149633.34</v>
      </c>
      <c r="C635" s="55">
        <f t="shared" ca="1" si="120"/>
        <v>44433.129999999896</v>
      </c>
      <c r="D635" s="55">
        <f t="shared" ca="1" si="120"/>
        <v>1238.8500000000029</v>
      </c>
      <c r="E635" s="55">
        <f t="shared" ca="1" si="113"/>
        <v>0</v>
      </c>
      <c r="F635" s="55">
        <f t="shared" ca="1" si="114"/>
        <v>71013.681737704974</v>
      </c>
      <c r="G635" s="101">
        <f t="shared" ca="1" si="115"/>
        <v>266319.00173770485</v>
      </c>
      <c r="H635" s="100">
        <f ca="1">ROUND($B635*VLOOKUP($A635,$A$1:$B$10,2,1)/(365+IF(MOD(YEAR($A635),4),0,1)*($A635-$A634)),2)-Первоначальный[[#This Row],[Проценты на просроченный платеж по ОД за период]]</f>
        <v>76.789999999999992</v>
      </c>
      <c r="I635" s="55">
        <f t="shared" ca="1" si="116"/>
        <v>4.79</v>
      </c>
      <c r="J635" s="55">
        <v>0</v>
      </c>
      <c r="K635" s="55">
        <f t="shared" ca="1" si="119"/>
        <v>260.66350327868844</v>
      </c>
      <c r="L635" s="55">
        <v>0</v>
      </c>
      <c r="M635" s="113">
        <f>SUMIFS(График[Возврат основной суммы долга],График[Дата с учетом нерабочих дней],$A635)</f>
        <v>0</v>
      </c>
      <c r="N635" s="56">
        <f>SUMIFS(График[Возврат начисленных %],График[Дата с учетом нерабочих дней],$A635)</f>
        <v>0</v>
      </c>
      <c r="O635" s="101">
        <v>0</v>
      </c>
      <c r="P635" s="100" cm="1">
        <f t="array" aca="1" ref="P635" ca="1">MAX(IF(AA634="Да",0,SUM(INDIRECT("M"&amp;(MAX(("Да"=AA$12:AA634)*ROW(AA$12:AA634)+1,ROW($P$12))&amp;":M"&amp;(ROW()))))-SUM(INDIRECT("W"&amp;(MAX(("Да"=AA$12:AA634)*ROW(AA$12:AA634)+1,ROW($P$12))&amp;":W"&amp;(ROW()))))),0)</f>
        <v>8777.0299999999988</v>
      </c>
      <c r="Q635" s="99">
        <f ca="1">MAX(SUM($N$13:N635)-SUM($T$13:T635),0)</f>
        <v>43355.670655737689</v>
      </c>
      <c r="R635" s="99">
        <f ca="1">Первоначальный[[#This Row],[Просроченный платеж по ОД]]+Первоначальный[[#This Row],[Просроченный платеж по процентам]]</f>
        <v>52132.700655737688</v>
      </c>
      <c r="S635" s="120">
        <f ca="1">IF(Первоначальный[[#This Row],[Просроченный платеж]]&lt;1,0,S634+1)</f>
        <v>531</v>
      </c>
      <c r="T635" s="100" cm="1">
        <f t="array" aca="1" ref="T635" ca="1">IF(Первоначальный[[#This Row],[Итого остаток на начало периода]]&lt;1,0,
IF(
AND(TYPE(VLOOKUP(1,$Z$12:Z635,1,0))=16,Первоначальный[[#This Row],[Досрочное погашение (да/"")]]=""),0,
_xlfn.IFS(AND(S634=0,Первоначальный[[#This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платеж]]&lt;&gt;0),MIN(LOOKUP(,-1/($Z$12:Z635=1),$C$12:C635)+LOOKUP(,-1/($Z$12:Z635=1),$H$12:H635),Первоначальный[[#This Row],[Полученный платеж]]+Y634),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платеж]]+Y634,SUM(Первоначальный[[#This Row],[Остаток процентов на начало периода]],Первоначальный[[#This Row],[Проценты за период]])),
AND(S634=0,Первоначальный[[#This Row],[Дата платежа из графика]]=""),0,
AND(S634=0,Первоначальный[[#This Row],[Дата платежа из графика]]=1,MAX((0&lt;&gt;S$12:S634)*ROW(S$12:S634),ROW($S$12))&gt;=MAX((1=Z$12:Z634)*ROW(Z$12:Z634),ROW($T$12)),TYPE(VLOOKUP("Да",(INDIRECT("AA"&amp;(MAX((1=Z$12:Z634)*ROW(Z$12:Z634),ROW($T$12))&amp;":AA"&amp;(ROW()-1)))),1,0))=16),MIN(LOOKUP(,-1/($Z$12:Z635=1),$C$12:C635)+LOOKUP(,-1/($Z$12:Z635=1),$H$12:H635),Первоначальный[[#This Row],[Полученный платеж]]+Y634),
AND(S634=0,TYPE(VLOOKUP("Да",(INDIRECT("AA"&amp;(MAX((1=Z$12:Z634)*ROW(Z$12:Z634),ROW($T$12))&amp;":AA"&amp;(ROW()-1)))),1,0))&lt;&gt;16),MIN(LOOKUP(,-1/($Z$12:Z635=1),$C$12:C635)+LOOKUP(,-1/($Z$12:Z635=1),$H$12:H635)-IF(AA634="Да",0,SUM(INDIRECT("T"&amp;(MAX(("Да"=AA$12:AA634)*ROW(AA$12:AA634)+1,ROW($T$12))&amp;":T"&amp;(ROW()-1))))),Первоначальный[[#This Row],[Полученный платеж]]+Y634),
AND(S634=0,MAX((0&lt;&gt;N$12:N634)*ROW(N$12:N634),ROW($S$12))&gt;=MAX((1=Z$12:Z634)*ROW(Z$12:Z634),ROW($T$12))),MIN(LOOKUP(,-1/($Z$12:Z635=1),$C$12:C635)+LOOKUP(,-1/($Z$12:Z635=1),$H$12:H635)-IF(N634&lt;&gt;0,0,SUM(INDIRECT("T"&amp;(MAX((0&lt;&gt;N$12:N634)*ROW(N$12:N634)+1,ROW($T$12))&amp;":T"&amp;(ROW()-1))))),Первоначальный[[#This Row],[Полученный платеж]]+Y634),
AND(S634=0,Первоначальный[[#This Row],[Дата платежа из графика]]=1),MIN(LOOKUP(,-1/($Z$12:Z635=1),$C$12:C635)+LOOKUP(,-1/($Z$12:Z635=1),$H$12:H635)-IF(Z634=1,0,SUM(INDIRECT("T"&amp;(MAX((1=Z$12:Z634)*ROW(Z$12:Z634)+1,ROW($T$12))&amp;":T"&amp;(ROW()-1))))),Первоначальный[[#This Row],[Полученный платеж]]+Y634),
AND(Z634&gt;0,Первоначальный[[#This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платеж]]+Y634),
AND(S634&gt;0,MAX((0&lt;&gt;S$12:S634)*ROW(S$12:S634),ROW($S$12))&gt;=MAX((1=Z$12:Z634)*ROW(Z$12:Z634),ROW($T$12)),TYPE(VLOOKUP("Да",(INDIRECT("AA"&amp;(MAX((1=Z$12:Z634)*ROW(Z$12:Z634),ROW($T$12))&amp;":AA"&amp;(ROW()-1)))),1,0))=16),MIN(LOOKUP(,-1/($Z$12:Z635=1),$C$12:C635)+LOOKUP(,-1/($Z$12:Z635=1),$H$12:H635)-SUM(INDIRECT("T"&amp;(MAX((1=Z$12:Z634)*ROW(Z$12:Z634),ROW($T$12))&amp;":T"&amp;(ROW()-1)))),Первоначальный[[#This Row],[Полученный платеж]]+Y634),
S634&gt;0,MIN(LOOKUP(,-1/($Z$12:Z635=1),$C$12:C635)+LOOKUP(,-1/($Z$12:Z635=1),$H$12:H635)-IF(Z634=1,0,SUM(INDIRECT("T"&amp;(MAX((1=Z$12:Z634)*ROW(Z$12:Z634)+1,ROW($T$12))&amp;":T"&amp;(ROW()-1))))),Первоначальный[[#This Row],[Полученный платеж]]+Y634)
)
)
)</f>
        <v>0</v>
      </c>
      <c r="U63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платеж]]+Y634-Первоначальный[[#This Row],[Полученный платёж по процентам]])</f>
        <v>0</v>
      </c>
      <c r="V635" s="55">
        <f t="shared" ca="1" si="109"/>
        <v>0</v>
      </c>
      <c r="W635" s="55" cm="1">
        <f t="array" aca="1" ref="W635" ca="1">IF(Первоначальный[[#This Row],[Итого остаток на начало периода]]&lt;1,0,
_xlfn.IFS(
AND(TYPE(VLOOKUP(1,$Z$12:Z635,1,0))=16,Первоначальный[[#This Row],[Досрочное погашение (да/"")]]=""),0,
AND(S634=0,Первоначальный[[#This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платеж]]+Y634-SUM(Первоначальный[[#This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комиссиям]]),VLOOKUP(LOOKUP(,-1/($Z$12:Z635=1),$A$12:A635),График[[Срок конец]:[Возврат основной суммы долга]],3,0)),
AND(S634=0,Первоначальный[[#This Row],[Дата платежа из графика]]="",Первоначальный[[#This Row],[Досрочное погашение (да/"")]]&lt;&gt;"Да"),0,
AND(S634=0,Первоначальный[[#This Row],[Досрочное погашение (да/"")]]=""),MIN(Первоначальный[[#This Row],[Полученный платеж]]+Y634-SUM(Первоначальный[[#This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комиссиям]]),VLOOKUP(LOOKUP(,-1/($Z$12:Z635=1),$A$12:A635),График[[Срок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платеж]]+Y634-SUM(Первоначальный[[#This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S634&gt;0,MIN(Первоначальный[[#This Row],[Полученный платеж]]+Y634-SUM(Первоначальный[[#This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комиссиям]]),SUM(INDIRECT("M"&amp;(MAX((1=S$12:S634)*ROW(S$12:S634),ROW($W$12))&amp;":M"&amp;(ROW()))))-SUM(INDIRECT("W"&amp;(MAX((1=S$12:S634)*ROW(S$12:S634),ROW($W$12))&amp;":W"&amp;(ROW()-1)))))
)
)</f>
        <v>0</v>
      </c>
      <c r="X635" s="55">
        <f t="shared" ca="1" si="110"/>
        <v>0</v>
      </c>
      <c r="Y635" s="101">
        <f t="shared" ca="1" si="117"/>
        <v>0</v>
      </c>
      <c r="Z635" s="133" t="str">
        <f>IF(TYPE((VLOOKUP(Первоначальный[[#This Row],[Дата платежа]],График[Срок конец],1,0)))=16,"",1)</f>
        <v/>
      </c>
      <c r="AA635" s="57"/>
      <c r="AB635" s="134"/>
      <c r="AC63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3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44509.919999999896</v>
      </c>
      <c r="AE63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1243.6400000000028</v>
      </c>
      <c r="AF63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3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71274.345240983661</v>
      </c>
      <c r="AH635" s="55"/>
      <c r="AI635" s="55"/>
      <c r="AJ635" s="55"/>
      <c r="AK635" s="101">
        <f t="shared" ca="1" si="118"/>
        <v>266661.24524098355</v>
      </c>
      <c r="AL635" s="129">
        <f t="array" ref="AL635">MAX((УслРестрактов[Характеристика]="Дата реструктуризации")*(УслРестрактов[Значение]=Первоначальный!$A635),0)</f>
        <v>0</v>
      </c>
    </row>
    <row r="636" spans="1:38" x14ac:dyDescent="0.25">
      <c r="A636" s="97">
        <f t="shared" si="111"/>
        <v>44767</v>
      </c>
      <c r="B636" s="100">
        <f t="shared" ca="1" si="112"/>
        <v>149633.34</v>
      </c>
      <c r="C636" s="55">
        <f t="shared" ca="1" si="120"/>
        <v>44509.919999999896</v>
      </c>
      <c r="D636" s="55">
        <f t="shared" ca="1" si="120"/>
        <v>1243.6400000000028</v>
      </c>
      <c r="E636" s="55">
        <f t="shared" ca="1" si="113"/>
        <v>0</v>
      </c>
      <c r="F636" s="55">
        <f t="shared" ca="1" si="114"/>
        <v>71274.345240983661</v>
      </c>
      <c r="G636" s="101">
        <f t="shared" ca="1" si="115"/>
        <v>266661.24524098355</v>
      </c>
      <c r="H636" s="100">
        <f ca="1">ROUND($B636*VLOOKUP($A636,$A$1:$B$10,2,1)/(365+IF(MOD(YEAR($A636),4),0,1)*($A636-$A635)),2)-Первоначальный[[#This Row],[Проценты на просроченный платеж по ОД за период]]</f>
        <v>76.789999999999992</v>
      </c>
      <c r="I636" s="55">
        <f t="shared" ca="1" si="116"/>
        <v>4.79</v>
      </c>
      <c r="J636" s="55">
        <v>0</v>
      </c>
      <c r="K636" s="55">
        <f t="shared" ca="1" si="119"/>
        <v>260.66350327868844</v>
      </c>
      <c r="L636" s="55">
        <v>0</v>
      </c>
      <c r="M636" s="113">
        <f>SUMIFS(График[Возврат основной суммы долга],График[Дата с учетом нерабочих дней],$A636)</f>
        <v>0</v>
      </c>
      <c r="N636" s="56">
        <f>SUMIFS(График[Возврат начисленных %],График[Дата с учетом нерабочих дней],$A636)</f>
        <v>0</v>
      </c>
      <c r="O636" s="101">
        <v>0</v>
      </c>
      <c r="P636" s="100" cm="1">
        <f t="array" aca="1" ref="P636" ca="1">MAX(IF(AA635="Да",0,SUM(INDIRECT("M"&amp;(MAX(("Да"=AA$12:AA635)*ROW(AA$12:AA635)+1,ROW($P$12))&amp;":M"&amp;(ROW()))))-SUM(INDIRECT("W"&amp;(MAX(("Да"=AA$12:AA635)*ROW(AA$12:AA635)+1,ROW($P$12))&amp;":W"&amp;(ROW()))))),0)</f>
        <v>8777.0299999999988</v>
      </c>
      <c r="Q636" s="99">
        <f ca="1">MAX(SUM($N$13:N636)-SUM($T$13:T636),0)</f>
        <v>43355.670655737689</v>
      </c>
      <c r="R636" s="99">
        <f ca="1">Первоначальный[[#This Row],[Просроченный платеж по ОД]]+Первоначальный[[#This Row],[Просроченный платеж по процентам]]</f>
        <v>52132.700655737688</v>
      </c>
      <c r="S636" s="120">
        <f ca="1">IF(Первоначальный[[#This Row],[Просроченный платеж]]&lt;1,0,S635+1)</f>
        <v>532</v>
      </c>
      <c r="T636" s="100" cm="1">
        <f t="array" aca="1" ref="T636" ca="1">IF(Первоначальный[[#This Row],[Итого остаток на начало периода]]&lt;1,0,
IF(
AND(TYPE(VLOOKUP(1,$Z$12:Z636,1,0))=16,Первоначальный[[#This Row],[Досрочное погашение (да/"")]]=""),0,
_xlfn.IFS(AND(S635=0,Первоначальный[[#This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платеж]]&lt;&gt;0),MIN(LOOKUP(,-1/($Z$12:Z636=1),$C$12:C636)+LOOKUP(,-1/($Z$12:Z636=1),$H$12:H636),Первоначальный[[#This Row],[Полученный платеж]]+Y635),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платеж]]+Y635,SUM(Первоначальный[[#This Row],[Остаток процентов на начало периода]],Первоначальный[[#This Row],[Проценты за период]])),
AND(S635=0,Первоначальный[[#This Row],[Дата платежа из графика]]=""),0,
AND(S635=0,Первоначальный[[#This Row],[Дата платежа из графика]]=1,MAX((0&lt;&gt;S$12:S635)*ROW(S$12:S635),ROW($S$12))&gt;=MAX((1=Z$12:Z635)*ROW(Z$12:Z635),ROW($T$12)),TYPE(VLOOKUP("Да",(INDIRECT("AA"&amp;(MAX((1=Z$12:Z635)*ROW(Z$12:Z635),ROW($T$12))&amp;":AA"&amp;(ROW()-1)))),1,0))=16),MIN(LOOKUP(,-1/($Z$12:Z636=1),$C$12:C636)+LOOKUP(,-1/($Z$12:Z636=1),$H$12:H636),Первоначальный[[#This Row],[Полученный платеж]]+Y635),
AND(S635=0,TYPE(VLOOKUP("Да",(INDIRECT("AA"&amp;(MAX((1=Z$12:Z635)*ROW(Z$12:Z635),ROW($T$12))&amp;":AA"&amp;(ROW()-1)))),1,0))&lt;&gt;16),MIN(LOOKUP(,-1/($Z$12:Z636=1),$C$12:C636)+LOOKUP(,-1/($Z$12:Z636=1),$H$12:H636)-IF(AA635="Да",0,SUM(INDIRECT("T"&amp;(MAX(("Да"=AA$12:AA635)*ROW(AA$12:AA635)+1,ROW($T$12))&amp;":T"&amp;(ROW()-1))))),Первоначальный[[#This Row],[Полученный платеж]]+Y635),
AND(S635=0,MAX((0&lt;&gt;N$12:N635)*ROW(N$12:N635),ROW($S$12))&gt;=MAX((1=Z$12:Z635)*ROW(Z$12:Z635),ROW($T$12))),MIN(LOOKUP(,-1/($Z$12:Z636=1),$C$12:C636)+LOOKUP(,-1/($Z$12:Z636=1),$H$12:H636)-IF(N635&lt;&gt;0,0,SUM(INDIRECT("T"&amp;(MAX((0&lt;&gt;N$12:N635)*ROW(N$12:N635)+1,ROW($T$12))&amp;":T"&amp;(ROW()-1))))),Первоначальный[[#This Row],[Полученный платеж]]+Y635),
AND(S635=0,Первоначальный[[#This Row],[Дата платежа из графика]]=1),MIN(LOOKUP(,-1/($Z$12:Z636=1),$C$12:C636)+LOOKUP(,-1/($Z$12:Z636=1),$H$12:H636)-IF(Z635=1,0,SUM(INDIRECT("T"&amp;(MAX((1=Z$12:Z635)*ROW(Z$12:Z635)+1,ROW($T$12))&amp;":T"&amp;(ROW()-1))))),Первоначальный[[#This Row],[Полученный платеж]]+Y635),
AND(Z635&gt;0,Первоначальный[[#This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платеж]]+Y635),
AND(S635&gt;0,MAX((0&lt;&gt;S$12:S635)*ROW(S$12:S635),ROW($S$12))&gt;=MAX((1=Z$12:Z635)*ROW(Z$12:Z635),ROW($T$12)),TYPE(VLOOKUP("Да",(INDIRECT("AA"&amp;(MAX((1=Z$12:Z635)*ROW(Z$12:Z635),ROW($T$12))&amp;":AA"&amp;(ROW()-1)))),1,0))=16),MIN(LOOKUP(,-1/($Z$12:Z636=1),$C$12:C636)+LOOKUP(,-1/($Z$12:Z636=1),$H$12:H636)-SUM(INDIRECT("T"&amp;(MAX((1=Z$12:Z635)*ROW(Z$12:Z635),ROW($T$12))&amp;":T"&amp;(ROW()-1)))),Первоначальный[[#This Row],[Полученный платеж]]+Y635),
S635&gt;0,MIN(LOOKUP(,-1/($Z$12:Z636=1),$C$12:C636)+LOOKUP(,-1/($Z$12:Z636=1),$H$12:H636)-IF(Z635=1,0,SUM(INDIRECT("T"&amp;(MAX((1=Z$12:Z635)*ROW(Z$12:Z635)+1,ROW($T$12))&amp;":T"&amp;(ROW()-1))))),Первоначальный[[#This Row],[Полученный платеж]]+Y635)
)
)
)</f>
        <v>0</v>
      </c>
      <c r="U63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платеж]]+Y635-Первоначальный[[#This Row],[Полученный платёж по процентам]])</f>
        <v>0</v>
      </c>
      <c r="V636" s="55">
        <f t="shared" ca="1" si="109"/>
        <v>0</v>
      </c>
      <c r="W636" s="55" cm="1">
        <f t="array" aca="1" ref="W636" ca="1">IF(Первоначальный[[#This Row],[Итого остаток на начало периода]]&lt;1,0,
_xlfn.IFS(
AND(TYPE(VLOOKUP(1,$Z$12:Z636,1,0))=16,Первоначальный[[#This Row],[Досрочное погашение (да/"")]]=""),0,
AND(S635=0,Первоначальный[[#This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платеж]]+Y635-SUM(Первоначальный[[#This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комиссиям]]),VLOOKUP(LOOKUP(,-1/($Z$12:Z636=1),$A$12:A636),График[[Срок конец]:[Возврат основной суммы долга]],3,0)),
AND(S635=0,Первоначальный[[#This Row],[Дата платежа из графика]]="",Первоначальный[[#This Row],[Досрочное погашение (да/"")]]&lt;&gt;"Да"),0,
AND(S635=0,Первоначальный[[#This Row],[Досрочное погашение (да/"")]]=""),MIN(Первоначальный[[#This Row],[Полученный платеж]]+Y635-SUM(Первоначальный[[#This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комиссиям]]),VLOOKUP(LOOKUP(,-1/($Z$12:Z636=1),$A$12:A636),График[[Срок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платеж]]+Y635-SUM(Первоначальный[[#This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S635&gt;0,MIN(Первоначальный[[#This Row],[Полученный платеж]]+Y635-SUM(Первоначальный[[#This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комиссиям]]),SUM(INDIRECT("M"&amp;(MAX((1=S$12:S635)*ROW(S$12:S635),ROW($W$12))&amp;":M"&amp;(ROW()))))-SUM(INDIRECT("W"&amp;(MAX((1=S$12:S635)*ROW(S$12:S635),ROW($W$12))&amp;":W"&amp;(ROW()-1)))))
)
)</f>
        <v>0</v>
      </c>
      <c r="X636" s="55">
        <f t="shared" ca="1" si="110"/>
        <v>0</v>
      </c>
      <c r="Y636" s="101">
        <f t="shared" ca="1" si="117"/>
        <v>0</v>
      </c>
      <c r="Z636" s="133" t="str">
        <f>IF(TYPE((VLOOKUP(Первоначальный[[#This Row],[Дата платежа]],График[Срок конец],1,0)))=16,"",1)</f>
        <v/>
      </c>
      <c r="AA636" s="57"/>
      <c r="AB636" s="134"/>
      <c r="AC63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3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44586.709999999897</v>
      </c>
      <c r="AE63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1248.4300000000028</v>
      </c>
      <c r="AF63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3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71535.008744262348</v>
      </c>
      <c r="AH636" s="55"/>
      <c r="AI636" s="55"/>
      <c r="AJ636" s="55"/>
      <c r="AK636" s="101">
        <f t="shared" ca="1" si="118"/>
        <v>267003.48874426226</v>
      </c>
      <c r="AL636" s="129">
        <f t="array" ref="AL636">MAX((УслРестрактов[Характеристика]="Дата реструктуризации")*(УслРестрактов[Значение]=Первоначальный!$A636),0)</f>
        <v>0</v>
      </c>
    </row>
    <row r="637" spans="1:38" x14ac:dyDescent="0.25">
      <c r="A637" s="97">
        <f t="shared" si="111"/>
        <v>44768</v>
      </c>
      <c r="B637" s="100">
        <f t="shared" ca="1" si="112"/>
        <v>149633.34</v>
      </c>
      <c r="C637" s="55">
        <f t="shared" ca="1" si="120"/>
        <v>44586.709999999897</v>
      </c>
      <c r="D637" s="55">
        <f t="shared" ca="1" si="120"/>
        <v>1248.4300000000028</v>
      </c>
      <c r="E637" s="55">
        <f t="shared" ca="1" si="113"/>
        <v>0</v>
      </c>
      <c r="F637" s="55">
        <f t="shared" ca="1" si="114"/>
        <v>71535.008744262348</v>
      </c>
      <c r="G637" s="101">
        <f t="shared" ca="1" si="115"/>
        <v>267003.48874426226</v>
      </c>
      <c r="H637" s="100">
        <f ca="1">ROUND($B637*VLOOKUP($A637,$A$1:$B$10,2,1)/(365+IF(MOD(YEAR($A637),4),0,1)*($A637-$A636)),2)-Первоначальный[[#This Row],[Проценты на просроченный платеж по ОД за период]]</f>
        <v>76.789999999999992</v>
      </c>
      <c r="I637" s="55">
        <f t="shared" ca="1" si="116"/>
        <v>4.79</v>
      </c>
      <c r="J637" s="55">
        <v>0</v>
      </c>
      <c r="K637" s="55">
        <f t="shared" ca="1" si="119"/>
        <v>260.66350327868844</v>
      </c>
      <c r="L637" s="55">
        <v>0</v>
      </c>
      <c r="M637" s="113">
        <f>SUMIFS(График[Возврат основной суммы долга],График[Дата с учетом нерабочих дней],$A637)</f>
        <v>0</v>
      </c>
      <c r="N637" s="56">
        <f>SUMIFS(График[Возврат начисленных %],График[Дата с учетом нерабочих дней],$A637)</f>
        <v>0</v>
      </c>
      <c r="O637" s="101">
        <v>0</v>
      </c>
      <c r="P637" s="100" cm="1">
        <f t="array" aca="1" ref="P637" ca="1">MAX(IF(AA636="Да",0,SUM(INDIRECT("M"&amp;(MAX(("Да"=AA$12:AA636)*ROW(AA$12:AA636)+1,ROW($P$12))&amp;":M"&amp;(ROW()))))-SUM(INDIRECT("W"&amp;(MAX(("Да"=AA$12:AA636)*ROW(AA$12:AA636)+1,ROW($P$12))&amp;":W"&amp;(ROW()))))),0)</f>
        <v>8777.0299999999988</v>
      </c>
      <c r="Q637" s="99">
        <f ca="1">MAX(SUM($N$13:N637)-SUM($T$13:T637),0)</f>
        <v>43355.670655737689</v>
      </c>
      <c r="R637" s="99">
        <f ca="1">Первоначальный[[#This Row],[Просроченный платеж по ОД]]+Первоначальный[[#This Row],[Просроченный платеж по процентам]]</f>
        <v>52132.700655737688</v>
      </c>
      <c r="S637" s="120">
        <f ca="1">IF(Первоначальный[[#This Row],[Просроченный платеж]]&lt;1,0,S636+1)</f>
        <v>533</v>
      </c>
      <c r="T637" s="100" cm="1">
        <f t="array" aca="1" ref="T637" ca="1">IF(Первоначальный[[#This Row],[Итого остаток на начало периода]]&lt;1,0,
IF(
AND(TYPE(VLOOKUP(1,$Z$12:Z637,1,0))=16,Первоначальный[[#This Row],[Досрочное погашение (да/"")]]=""),0,
_xlfn.IFS(AND(S636=0,Первоначальный[[#This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платеж]]&lt;&gt;0),MIN(LOOKUP(,-1/($Z$12:Z637=1),$C$12:C637)+LOOKUP(,-1/($Z$12:Z637=1),$H$12:H637),Первоначальный[[#This Row],[Полученный платеж]]+Y636),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платеж]]+Y636,SUM(Первоначальный[[#This Row],[Остаток процентов на начало периода]],Первоначальный[[#This Row],[Проценты за период]])),
AND(S636=0,Первоначальный[[#This Row],[Дата платежа из графика]]=""),0,
AND(S636=0,Первоначальный[[#This Row],[Дата платежа из графика]]=1,MAX((0&lt;&gt;S$12:S636)*ROW(S$12:S636),ROW($S$12))&gt;=MAX((1=Z$12:Z636)*ROW(Z$12:Z636),ROW($T$12)),TYPE(VLOOKUP("Да",(INDIRECT("AA"&amp;(MAX((1=Z$12:Z636)*ROW(Z$12:Z636),ROW($T$12))&amp;":AA"&amp;(ROW()-1)))),1,0))=16),MIN(LOOKUP(,-1/($Z$12:Z637=1),$C$12:C637)+LOOKUP(,-1/($Z$12:Z637=1),$H$12:H637),Первоначальный[[#This Row],[Полученный платеж]]+Y636),
AND(S636=0,TYPE(VLOOKUP("Да",(INDIRECT("AA"&amp;(MAX((1=Z$12:Z636)*ROW(Z$12:Z636),ROW($T$12))&amp;":AA"&amp;(ROW()-1)))),1,0))&lt;&gt;16),MIN(LOOKUP(,-1/($Z$12:Z637=1),$C$12:C637)+LOOKUP(,-1/($Z$12:Z637=1),$H$12:H637)-IF(AA636="Да",0,SUM(INDIRECT("T"&amp;(MAX(("Да"=AA$12:AA636)*ROW(AA$12:AA636)+1,ROW($T$12))&amp;":T"&amp;(ROW()-1))))),Первоначальный[[#This Row],[Полученный платеж]]+Y636),
AND(S636=0,MAX((0&lt;&gt;N$12:N636)*ROW(N$12:N636),ROW($S$12))&gt;=MAX((1=Z$12:Z636)*ROW(Z$12:Z636),ROW($T$12))),MIN(LOOKUP(,-1/($Z$12:Z637=1),$C$12:C637)+LOOKUP(,-1/($Z$12:Z637=1),$H$12:H637)-IF(N636&lt;&gt;0,0,SUM(INDIRECT("T"&amp;(MAX((0&lt;&gt;N$12:N636)*ROW(N$12:N636)+1,ROW($T$12))&amp;":T"&amp;(ROW()-1))))),Первоначальный[[#This Row],[Полученный платеж]]+Y636),
AND(S636=0,Первоначальный[[#This Row],[Дата платежа из графика]]=1),MIN(LOOKUP(,-1/($Z$12:Z637=1),$C$12:C637)+LOOKUP(,-1/($Z$12:Z637=1),$H$12:H637)-IF(Z636=1,0,SUM(INDIRECT("T"&amp;(MAX((1=Z$12:Z636)*ROW(Z$12:Z636)+1,ROW($T$12))&amp;":T"&amp;(ROW()-1))))),Первоначальный[[#This Row],[Полученный платеж]]+Y636),
AND(Z636&gt;0,Первоначальный[[#This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платеж]]+Y636),
AND(S636&gt;0,MAX((0&lt;&gt;S$12:S636)*ROW(S$12:S636),ROW($S$12))&gt;=MAX((1=Z$12:Z636)*ROW(Z$12:Z636),ROW($T$12)),TYPE(VLOOKUP("Да",(INDIRECT("AA"&amp;(MAX((1=Z$12:Z636)*ROW(Z$12:Z636),ROW($T$12))&amp;":AA"&amp;(ROW()-1)))),1,0))=16),MIN(LOOKUP(,-1/($Z$12:Z637=1),$C$12:C637)+LOOKUP(,-1/($Z$12:Z637=1),$H$12:H637)-SUM(INDIRECT("T"&amp;(MAX((1=Z$12:Z636)*ROW(Z$12:Z636),ROW($T$12))&amp;":T"&amp;(ROW()-1)))),Первоначальный[[#This Row],[Полученный платеж]]+Y636),
S636&gt;0,MIN(LOOKUP(,-1/($Z$12:Z637=1),$C$12:C637)+LOOKUP(,-1/($Z$12:Z637=1),$H$12:H637)-IF(Z636=1,0,SUM(INDIRECT("T"&amp;(MAX((1=Z$12:Z636)*ROW(Z$12:Z636)+1,ROW($T$12))&amp;":T"&amp;(ROW()-1))))),Первоначальный[[#This Row],[Полученный платеж]]+Y636)
)
)
)</f>
        <v>0</v>
      </c>
      <c r="U63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платеж]]+Y636-Первоначальный[[#This Row],[Полученный платёж по процентам]])</f>
        <v>0</v>
      </c>
      <c r="V637" s="55">
        <f t="shared" ca="1" si="109"/>
        <v>0</v>
      </c>
      <c r="W637" s="55" cm="1">
        <f t="array" aca="1" ref="W637" ca="1">IF(Первоначальный[[#This Row],[Итого остаток на начало периода]]&lt;1,0,
_xlfn.IFS(
AND(TYPE(VLOOKUP(1,$Z$12:Z637,1,0))=16,Первоначальный[[#This Row],[Досрочное погашение (да/"")]]=""),0,
AND(S636=0,Первоначальный[[#This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платеж]]+Y636-SUM(Первоначальный[[#This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комиссиям]]),VLOOKUP(LOOKUP(,-1/($Z$12:Z637=1),$A$12:A637),График[[Срок конец]:[Возврат основной суммы долга]],3,0)),
AND(S636=0,Первоначальный[[#This Row],[Дата платежа из графика]]="",Первоначальный[[#This Row],[Досрочное погашение (да/"")]]&lt;&gt;"Да"),0,
AND(S636=0,Первоначальный[[#This Row],[Досрочное погашение (да/"")]]=""),MIN(Первоначальный[[#This Row],[Полученный платеж]]+Y636-SUM(Первоначальный[[#This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комиссиям]]),VLOOKUP(LOOKUP(,-1/($Z$12:Z637=1),$A$12:A637),График[[Срок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платеж]]+Y636-SUM(Первоначальный[[#This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S636&gt;0,MIN(Первоначальный[[#This Row],[Полученный платеж]]+Y636-SUM(Первоначальный[[#This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комиссиям]]),SUM(INDIRECT("M"&amp;(MAX((1=S$12:S636)*ROW(S$12:S636),ROW($W$12))&amp;":M"&amp;(ROW()))))-SUM(INDIRECT("W"&amp;(MAX((1=S$12:S636)*ROW(S$12:S636),ROW($W$12))&amp;":W"&amp;(ROW()-1)))))
)
)</f>
        <v>0</v>
      </c>
      <c r="X637" s="55">
        <f t="shared" ca="1" si="110"/>
        <v>0</v>
      </c>
      <c r="Y637" s="101">
        <f t="shared" ca="1" si="117"/>
        <v>0</v>
      </c>
      <c r="Z637" s="133" t="str">
        <f>IF(TYPE((VLOOKUP(Первоначальный[[#This Row],[Дата платежа]],График[Срок конец],1,0)))=16,"",1)</f>
        <v/>
      </c>
      <c r="AA637" s="57"/>
      <c r="AB637" s="134"/>
      <c r="AC63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3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44663.499999999898</v>
      </c>
      <c r="AE63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1253.2200000000028</v>
      </c>
      <c r="AF63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3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71795.672247541035</v>
      </c>
      <c r="AH637" s="55"/>
      <c r="AI637" s="55"/>
      <c r="AJ637" s="55"/>
      <c r="AK637" s="101">
        <f t="shared" ca="1" si="118"/>
        <v>267345.73224754096</v>
      </c>
      <c r="AL637" s="129">
        <f t="array" ref="AL637">MAX((УслРестрактов[Характеристика]="Дата реструктуризации")*(УслРестрактов[Значение]=Первоначальный!$A637),0)</f>
        <v>0</v>
      </c>
    </row>
    <row r="638" spans="1:38" x14ac:dyDescent="0.25">
      <c r="A638" s="97">
        <f t="shared" si="111"/>
        <v>44769</v>
      </c>
      <c r="B638" s="100">
        <f t="shared" ca="1" si="112"/>
        <v>149633.34</v>
      </c>
      <c r="C638" s="55">
        <f t="shared" ca="1" si="120"/>
        <v>44663.499999999898</v>
      </c>
      <c r="D638" s="55">
        <f t="shared" ca="1" si="120"/>
        <v>1253.2200000000028</v>
      </c>
      <c r="E638" s="55">
        <f t="shared" ca="1" si="113"/>
        <v>0</v>
      </c>
      <c r="F638" s="55">
        <f t="shared" ca="1" si="114"/>
        <v>71795.672247541035</v>
      </c>
      <c r="G638" s="101">
        <f t="shared" ca="1" si="115"/>
        <v>267345.73224754096</v>
      </c>
      <c r="H638" s="100">
        <f ca="1">ROUND($B638*VLOOKUP($A638,$A$1:$B$10,2,1)/(365+IF(MOD(YEAR($A638),4),0,1)*($A638-$A637)),2)-Первоначальный[[#This Row],[Проценты на просроченный платеж по ОД за период]]</f>
        <v>76.789999999999992</v>
      </c>
      <c r="I638" s="55">
        <f t="shared" ca="1" si="116"/>
        <v>4.79</v>
      </c>
      <c r="J638" s="55">
        <v>0</v>
      </c>
      <c r="K638" s="55">
        <f t="shared" ca="1" si="119"/>
        <v>260.66350327868844</v>
      </c>
      <c r="L638" s="55">
        <v>0</v>
      </c>
      <c r="M638" s="113">
        <f>SUMIFS(График[Возврат основной суммы долга],График[Дата с учетом нерабочих дней],$A638)</f>
        <v>0</v>
      </c>
      <c r="N638" s="56">
        <f>SUMIFS(График[Возврат начисленных %],График[Дата с учетом нерабочих дней],$A638)</f>
        <v>0</v>
      </c>
      <c r="O638" s="101">
        <v>0</v>
      </c>
      <c r="P638" s="100" cm="1">
        <f t="array" aca="1" ref="P638" ca="1">MAX(IF(AA637="Да",0,SUM(INDIRECT("M"&amp;(MAX(("Да"=AA$12:AA637)*ROW(AA$12:AA637)+1,ROW($P$12))&amp;":M"&amp;(ROW()))))-SUM(INDIRECT("W"&amp;(MAX(("Да"=AA$12:AA637)*ROW(AA$12:AA637)+1,ROW($P$12))&amp;":W"&amp;(ROW()))))),0)</f>
        <v>8777.0299999999988</v>
      </c>
      <c r="Q638" s="99">
        <f ca="1">MAX(SUM($N$13:N638)-SUM($T$13:T638),0)</f>
        <v>43355.670655737689</v>
      </c>
      <c r="R638" s="99">
        <f ca="1">Первоначальный[[#This Row],[Просроченный платеж по ОД]]+Первоначальный[[#This Row],[Просроченный платеж по процентам]]</f>
        <v>52132.700655737688</v>
      </c>
      <c r="S638" s="120">
        <f ca="1">IF(Первоначальный[[#This Row],[Просроченный платеж]]&lt;1,0,S637+1)</f>
        <v>534</v>
      </c>
      <c r="T638" s="100" cm="1">
        <f t="array" aca="1" ref="T638" ca="1">IF(Первоначальный[[#This Row],[Итого остаток на начало периода]]&lt;1,0,
IF(
AND(TYPE(VLOOKUP(1,$Z$12:Z638,1,0))=16,Первоначальный[[#This Row],[Досрочное погашение (да/"")]]=""),0,
_xlfn.IFS(AND(S637=0,Первоначальный[[#This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платеж]]&lt;&gt;0),MIN(LOOKUP(,-1/($Z$12:Z638=1),$C$12:C638)+LOOKUP(,-1/($Z$12:Z638=1),$H$12:H638),Первоначальный[[#This Row],[Полученный платеж]]+Y637),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платеж]]+Y637,SUM(Первоначальный[[#This Row],[Остаток процентов на начало периода]],Первоначальный[[#This Row],[Проценты за период]])),
AND(S637=0,Первоначальный[[#This Row],[Дата платежа из графика]]=""),0,
AND(S637=0,Первоначальный[[#This Row],[Дата платежа из графика]]=1,MAX((0&lt;&gt;S$12:S637)*ROW(S$12:S637),ROW($S$12))&gt;=MAX((1=Z$12:Z637)*ROW(Z$12:Z637),ROW($T$12)),TYPE(VLOOKUP("Да",(INDIRECT("AA"&amp;(MAX((1=Z$12:Z637)*ROW(Z$12:Z637),ROW($T$12))&amp;":AA"&amp;(ROW()-1)))),1,0))=16),MIN(LOOKUP(,-1/($Z$12:Z638=1),$C$12:C638)+LOOKUP(,-1/($Z$12:Z638=1),$H$12:H638),Первоначальный[[#This Row],[Полученный платеж]]+Y637),
AND(S637=0,TYPE(VLOOKUP("Да",(INDIRECT("AA"&amp;(MAX((1=Z$12:Z637)*ROW(Z$12:Z637),ROW($T$12))&amp;":AA"&amp;(ROW()-1)))),1,0))&lt;&gt;16),MIN(LOOKUP(,-1/($Z$12:Z638=1),$C$12:C638)+LOOKUP(,-1/($Z$12:Z638=1),$H$12:H638)-IF(AA637="Да",0,SUM(INDIRECT("T"&amp;(MAX(("Да"=AA$12:AA637)*ROW(AA$12:AA637)+1,ROW($T$12))&amp;":T"&amp;(ROW()-1))))),Первоначальный[[#This Row],[Полученный платеж]]+Y637),
AND(S637=0,MAX((0&lt;&gt;N$12:N637)*ROW(N$12:N637),ROW($S$12))&gt;=MAX((1=Z$12:Z637)*ROW(Z$12:Z637),ROW($T$12))),MIN(LOOKUP(,-1/($Z$12:Z638=1),$C$12:C638)+LOOKUP(,-1/($Z$12:Z638=1),$H$12:H638)-IF(N637&lt;&gt;0,0,SUM(INDIRECT("T"&amp;(MAX((0&lt;&gt;N$12:N637)*ROW(N$12:N637)+1,ROW($T$12))&amp;":T"&amp;(ROW()-1))))),Первоначальный[[#This Row],[Полученный платеж]]+Y637),
AND(S637=0,Первоначальный[[#This Row],[Дата платежа из графика]]=1),MIN(LOOKUP(,-1/($Z$12:Z638=1),$C$12:C638)+LOOKUP(,-1/($Z$12:Z638=1),$H$12:H638)-IF(Z637=1,0,SUM(INDIRECT("T"&amp;(MAX((1=Z$12:Z637)*ROW(Z$12:Z637)+1,ROW($T$12))&amp;":T"&amp;(ROW()-1))))),Первоначальный[[#This Row],[Полученный платеж]]+Y637),
AND(Z637&gt;0,Первоначальный[[#This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платеж]]+Y637),
AND(S637&gt;0,MAX((0&lt;&gt;S$12:S637)*ROW(S$12:S637),ROW($S$12))&gt;=MAX((1=Z$12:Z637)*ROW(Z$12:Z637),ROW($T$12)),TYPE(VLOOKUP("Да",(INDIRECT("AA"&amp;(MAX((1=Z$12:Z637)*ROW(Z$12:Z637),ROW($T$12))&amp;":AA"&amp;(ROW()-1)))),1,0))=16),MIN(LOOKUP(,-1/($Z$12:Z638=1),$C$12:C638)+LOOKUP(,-1/($Z$12:Z638=1),$H$12:H638)-SUM(INDIRECT("T"&amp;(MAX((1=Z$12:Z637)*ROW(Z$12:Z637),ROW($T$12))&amp;":T"&amp;(ROW()-1)))),Первоначальный[[#This Row],[Полученный платеж]]+Y637),
S637&gt;0,MIN(LOOKUP(,-1/($Z$12:Z638=1),$C$12:C638)+LOOKUP(,-1/($Z$12:Z638=1),$H$12:H638)-IF(Z637=1,0,SUM(INDIRECT("T"&amp;(MAX((1=Z$12:Z637)*ROW(Z$12:Z637)+1,ROW($T$12))&amp;":T"&amp;(ROW()-1))))),Первоначальный[[#This Row],[Полученный платеж]]+Y637)
)
)
)</f>
        <v>0</v>
      </c>
      <c r="U63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платеж]]+Y637-Первоначальный[[#This Row],[Полученный платёж по процентам]])</f>
        <v>0</v>
      </c>
      <c r="V638" s="55">
        <f t="shared" ca="1" si="109"/>
        <v>0</v>
      </c>
      <c r="W638" s="55" cm="1">
        <f t="array" aca="1" ref="W638" ca="1">IF(Первоначальный[[#This Row],[Итого остаток на начало периода]]&lt;1,0,
_xlfn.IFS(
AND(TYPE(VLOOKUP(1,$Z$12:Z638,1,0))=16,Первоначальный[[#This Row],[Досрочное погашение (да/"")]]=""),0,
AND(S637=0,Первоначальный[[#This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платеж]]+Y637-SUM(Первоначальный[[#This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комиссиям]]),VLOOKUP(LOOKUP(,-1/($Z$12:Z638=1),$A$12:A638),График[[Срок конец]:[Возврат основной суммы долга]],3,0)),
AND(S637=0,Первоначальный[[#This Row],[Дата платежа из графика]]="",Первоначальный[[#This Row],[Досрочное погашение (да/"")]]&lt;&gt;"Да"),0,
AND(S637=0,Первоначальный[[#This Row],[Досрочное погашение (да/"")]]=""),MIN(Первоначальный[[#This Row],[Полученный платеж]]+Y637-SUM(Первоначальный[[#This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комиссиям]]),VLOOKUP(LOOKUP(,-1/($Z$12:Z638=1),$A$12:A638),График[[Срок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платеж]]+Y637-SUM(Первоначальный[[#This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S637&gt;0,MIN(Первоначальный[[#This Row],[Полученный платеж]]+Y637-SUM(Первоначальный[[#This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комиссиям]]),SUM(INDIRECT("M"&amp;(MAX((1=S$12:S637)*ROW(S$12:S637),ROW($W$12))&amp;":M"&amp;(ROW()))))-SUM(INDIRECT("W"&amp;(MAX((1=S$12:S637)*ROW(S$12:S637),ROW($W$12))&amp;":W"&amp;(ROW()-1)))))
)
)</f>
        <v>0</v>
      </c>
      <c r="X638" s="55">
        <f t="shared" ca="1" si="110"/>
        <v>0</v>
      </c>
      <c r="Y638" s="101">
        <f t="shared" ca="1" si="117"/>
        <v>0</v>
      </c>
      <c r="Z638" s="133" t="str">
        <f>IF(TYPE((VLOOKUP(Первоначальный[[#This Row],[Дата платежа]],График[Срок конец],1,0)))=16,"",1)</f>
        <v/>
      </c>
      <c r="AA638" s="57"/>
      <c r="AB638" s="134"/>
      <c r="AC63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3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44740.289999999899</v>
      </c>
      <c r="AE63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1258.0100000000027</v>
      </c>
      <c r="AF63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3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72056.335750819722</v>
      </c>
      <c r="AH638" s="55"/>
      <c r="AI638" s="55"/>
      <c r="AJ638" s="55"/>
      <c r="AK638" s="101">
        <f t="shared" ca="1" si="118"/>
        <v>267687.97575081961</v>
      </c>
      <c r="AL638" s="129">
        <f t="array" ref="AL638">MAX((УслРестрактов[Характеристика]="Дата реструктуризации")*(УслРестрактов[Значение]=Первоначальный!$A638),0)</f>
        <v>0</v>
      </c>
    </row>
    <row r="639" spans="1:38" x14ac:dyDescent="0.25">
      <c r="A639" s="97">
        <f t="shared" si="111"/>
        <v>44770</v>
      </c>
      <c r="B639" s="100">
        <f t="shared" ca="1" si="112"/>
        <v>149633.34</v>
      </c>
      <c r="C639" s="55">
        <f t="shared" ca="1" si="120"/>
        <v>44740.289999999899</v>
      </c>
      <c r="D639" s="55">
        <f t="shared" ca="1" si="120"/>
        <v>1258.0100000000027</v>
      </c>
      <c r="E639" s="55">
        <f t="shared" ca="1" si="113"/>
        <v>0</v>
      </c>
      <c r="F639" s="55">
        <f t="shared" ca="1" si="114"/>
        <v>72056.335750819722</v>
      </c>
      <c r="G639" s="101">
        <f t="shared" ca="1" si="115"/>
        <v>267687.97575081961</v>
      </c>
      <c r="H639" s="100">
        <f ca="1">ROUND($B639*VLOOKUP($A639,$A$1:$B$10,2,1)/(365+IF(MOD(YEAR($A639),4),0,1)*($A639-$A638)),2)-Первоначальный[[#This Row],[Проценты на просроченный платеж по ОД за период]]</f>
        <v>76.789999999999992</v>
      </c>
      <c r="I639" s="55">
        <f t="shared" ca="1" si="116"/>
        <v>4.79</v>
      </c>
      <c r="J639" s="55">
        <v>0</v>
      </c>
      <c r="K639" s="55">
        <f t="shared" ca="1" si="119"/>
        <v>260.66350327868844</v>
      </c>
      <c r="L639" s="55">
        <v>0</v>
      </c>
      <c r="M639" s="113">
        <f>SUMIFS(График[Возврат основной суммы долга],График[Дата с учетом нерабочих дней],$A639)</f>
        <v>0</v>
      </c>
      <c r="N639" s="56">
        <f>SUMIFS(График[Возврат начисленных %],График[Дата с учетом нерабочих дней],$A639)</f>
        <v>0</v>
      </c>
      <c r="O639" s="101">
        <v>0</v>
      </c>
      <c r="P639" s="100" cm="1">
        <f t="array" aca="1" ref="P639" ca="1">MAX(IF(AA638="Да",0,SUM(INDIRECT("M"&amp;(MAX(("Да"=AA$12:AA638)*ROW(AA$12:AA638)+1,ROW($P$12))&amp;":M"&amp;(ROW()))))-SUM(INDIRECT("W"&amp;(MAX(("Да"=AA$12:AA638)*ROW(AA$12:AA638)+1,ROW($P$12))&amp;":W"&amp;(ROW()))))),0)</f>
        <v>8777.0299999999988</v>
      </c>
      <c r="Q639" s="99">
        <f ca="1">MAX(SUM($N$13:N639)-SUM($T$13:T639),0)</f>
        <v>43355.670655737689</v>
      </c>
      <c r="R639" s="99">
        <f ca="1">Первоначальный[[#This Row],[Просроченный платеж по ОД]]+Первоначальный[[#This Row],[Просроченный платеж по процентам]]</f>
        <v>52132.700655737688</v>
      </c>
      <c r="S639" s="120">
        <f ca="1">IF(Первоначальный[[#This Row],[Просроченный платеж]]&lt;1,0,S638+1)</f>
        <v>535</v>
      </c>
      <c r="T639" s="100" cm="1">
        <f t="array" aca="1" ref="T639" ca="1">IF(Первоначальный[[#This Row],[Итого остаток на начало периода]]&lt;1,0,
IF(
AND(TYPE(VLOOKUP(1,$Z$12:Z639,1,0))=16,Первоначальный[[#This Row],[Досрочное погашение (да/"")]]=""),0,
_xlfn.IFS(AND(S638=0,Первоначальный[[#This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платеж]]&lt;&gt;0),MIN(LOOKUP(,-1/($Z$12:Z639=1),$C$12:C639)+LOOKUP(,-1/($Z$12:Z639=1),$H$12:H639),Первоначальный[[#This Row],[Полученный платеж]]+Y638),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платеж]]+Y638,SUM(Первоначальный[[#This Row],[Остаток процентов на начало периода]],Первоначальный[[#This Row],[Проценты за период]])),
AND(S638=0,Первоначальный[[#This Row],[Дата платежа из графика]]=""),0,
AND(S638=0,Первоначальный[[#This Row],[Дата платежа из графика]]=1,MAX((0&lt;&gt;S$12:S638)*ROW(S$12:S638),ROW($S$12))&gt;=MAX((1=Z$12:Z638)*ROW(Z$12:Z638),ROW($T$12)),TYPE(VLOOKUP("Да",(INDIRECT("AA"&amp;(MAX((1=Z$12:Z638)*ROW(Z$12:Z638),ROW($T$12))&amp;":AA"&amp;(ROW()-1)))),1,0))=16),MIN(LOOKUP(,-1/($Z$12:Z639=1),$C$12:C639)+LOOKUP(,-1/($Z$12:Z639=1),$H$12:H639),Первоначальный[[#This Row],[Полученный платеж]]+Y638),
AND(S638=0,TYPE(VLOOKUP("Да",(INDIRECT("AA"&amp;(MAX((1=Z$12:Z638)*ROW(Z$12:Z638),ROW($T$12))&amp;":AA"&amp;(ROW()-1)))),1,0))&lt;&gt;16),MIN(LOOKUP(,-1/($Z$12:Z639=1),$C$12:C639)+LOOKUP(,-1/($Z$12:Z639=1),$H$12:H639)-IF(AA638="Да",0,SUM(INDIRECT("T"&amp;(MAX(("Да"=AA$12:AA638)*ROW(AA$12:AA638)+1,ROW($T$12))&amp;":T"&amp;(ROW()-1))))),Первоначальный[[#This Row],[Полученный платеж]]+Y638),
AND(S638=0,MAX((0&lt;&gt;N$12:N638)*ROW(N$12:N638),ROW($S$12))&gt;=MAX((1=Z$12:Z638)*ROW(Z$12:Z638),ROW($T$12))),MIN(LOOKUP(,-1/($Z$12:Z639=1),$C$12:C639)+LOOKUP(,-1/($Z$12:Z639=1),$H$12:H639)-IF(N638&lt;&gt;0,0,SUM(INDIRECT("T"&amp;(MAX((0&lt;&gt;N$12:N638)*ROW(N$12:N638)+1,ROW($T$12))&amp;":T"&amp;(ROW()-1))))),Первоначальный[[#This Row],[Полученный платеж]]+Y638),
AND(S638=0,Первоначальный[[#This Row],[Дата платежа из графика]]=1),MIN(LOOKUP(,-1/($Z$12:Z639=1),$C$12:C639)+LOOKUP(,-1/($Z$12:Z639=1),$H$12:H639)-IF(Z638=1,0,SUM(INDIRECT("T"&amp;(MAX((1=Z$12:Z638)*ROW(Z$12:Z638)+1,ROW($T$12))&amp;":T"&amp;(ROW()-1))))),Первоначальный[[#This Row],[Полученный платеж]]+Y638),
AND(Z638&gt;0,Первоначальный[[#This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платеж]]+Y638),
AND(S638&gt;0,MAX((0&lt;&gt;S$12:S638)*ROW(S$12:S638),ROW($S$12))&gt;=MAX((1=Z$12:Z638)*ROW(Z$12:Z638),ROW($T$12)),TYPE(VLOOKUP("Да",(INDIRECT("AA"&amp;(MAX((1=Z$12:Z638)*ROW(Z$12:Z638),ROW($T$12))&amp;":AA"&amp;(ROW()-1)))),1,0))=16),MIN(LOOKUP(,-1/($Z$12:Z639=1),$C$12:C639)+LOOKUP(,-1/($Z$12:Z639=1),$H$12:H639)-SUM(INDIRECT("T"&amp;(MAX((1=Z$12:Z638)*ROW(Z$12:Z638),ROW($T$12))&amp;":T"&amp;(ROW()-1)))),Первоначальный[[#This Row],[Полученный платеж]]+Y638),
S638&gt;0,MIN(LOOKUP(,-1/($Z$12:Z639=1),$C$12:C639)+LOOKUP(,-1/($Z$12:Z639=1),$H$12:H639)-IF(Z638=1,0,SUM(INDIRECT("T"&amp;(MAX((1=Z$12:Z638)*ROW(Z$12:Z638)+1,ROW($T$12))&amp;":T"&amp;(ROW()-1))))),Первоначальный[[#This Row],[Полученный платеж]]+Y638)
)
)
)</f>
        <v>0</v>
      </c>
      <c r="U63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платеж]]+Y638-Первоначальный[[#This Row],[Полученный платёж по процентам]])</f>
        <v>0</v>
      </c>
      <c r="V639" s="55">
        <f t="shared" ca="1" si="109"/>
        <v>0</v>
      </c>
      <c r="W639" s="55" cm="1">
        <f t="array" aca="1" ref="W639" ca="1">IF(Первоначальный[[#This Row],[Итого остаток на начало периода]]&lt;1,0,
_xlfn.IFS(
AND(TYPE(VLOOKUP(1,$Z$12:Z639,1,0))=16,Первоначальный[[#This Row],[Досрочное погашение (да/"")]]=""),0,
AND(S638=0,Первоначальный[[#This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платеж]]+Y638-SUM(Первоначальный[[#This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комиссиям]]),VLOOKUP(LOOKUP(,-1/($Z$12:Z639=1),$A$12:A639),График[[Срок конец]:[Возврат основной суммы долга]],3,0)),
AND(S638=0,Первоначальный[[#This Row],[Дата платежа из графика]]="",Первоначальный[[#This Row],[Досрочное погашение (да/"")]]&lt;&gt;"Да"),0,
AND(S638=0,Первоначальный[[#This Row],[Досрочное погашение (да/"")]]=""),MIN(Первоначальный[[#This Row],[Полученный платеж]]+Y638-SUM(Первоначальный[[#This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комиссиям]]),VLOOKUP(LOOKUP(,-1/($Z$12:Z639=1),$A$12:A639),График[[Срок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платеж]]+Y638-SUM(Первоначальный[[#This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S638&gt;0,MIN(Первоначальный[[#This Row],[Полученный платеж]]+Y638-SUM(Первоначальный[[#This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комиссиям]]),SUM(INDIRECT("M"&amp;(MAX((1=S$12:S638)*ROW(S$12:S638),ROW($W$12))&amp;":M"&amp;(ROW()))))-SUM(INDIRECT("W"&amp;(MAX((1=S$12:S638)*ROW(S$12:S638),ROW($W$12))&amp;":W"&amp;(ROW()-1)))))
)
)</f>
        <v>0</v>
      </c>
      <c r="X639" s="55">
        <f t="shared" ca="1" si="110"/>
        <v>0</v>
      </c>
      <c r="Y639" s="101">
        <f t="shared" ca="1" si="117"/>
        <v>0</v>
      </c>
      <c r="Z639" s="133" t="str">
        <f>IF(TYPE((VLOOKUP(Первоначальный[[#This Row],[Дата платежа]],График[Срок конец],1,0)))=16,"",1)</f>
        <v/>
      </c>
      <c r="AA639" s="57"/>
      <c r="AB639" s="134"/>
      <c r="AC63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3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44817.0799999999</v>
      </c>
      <c r="AE63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1262.8000000000027</v>
      </c>
      <c r="AF63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3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72316.999254098409</v>
      </c>
      <c r="AH639" s="55"/>
      <c r="AI639" s="55"/>
      <c r="AJ639" s="55"/>
      <c r="AK639" s="101">
        <f t="shared" ca="1" si="118"/>
        <v>268030.21925409831</v>
      </c>
      <c r="AL639" s="129">
        <f t="array" ref="AL639">MAX((УслРестрактов[Характеристика]="Дата реструктуризации")*(УслРестрактов[Значение]=Первоначальный!$A639),0)</f>
        <v>0</v>
      </c>
    </row>
    <row r="640" spans="1:38" x14ac:dyDescent="0.25">
      <c r="A640" s="97">
        <f t="shared" si="111"/>
        <v>44771</v>
      </c>
      <c r="B640" s="100">
        <f t="shared" ca="1" si="112"/>
        <v>149633.34</v>
      </c>
      <c r="C640" s="55">
        <f t="shared" ca="1" si="120"/>
        <v>44817.0799999999</v>
      </c>
      <c r="D640" s="55">
        <f t="shared" ca="1" si="120"/>
        <v>1262.8000000000027</v>
      </c>
      <c r="E640" s="55">
        <f t="shared" ca="1" si="113"/>
        <v>0</v>
      </c>
      <c r="F640" s="55">
        <f t="shared" ca="1" si="114"/>
        <v>72316.999254098409</v>
      </c>
      <c r="G640" s="101">
        <f t="shared" ca="1" si="115"/>
        <v>268030.21925409831</v>
      </c>
      <c r="H640" s="100">
        <f ca="1">ROUND($B640*VLOOKUP($A640,$A$1:$B$10,2,1)/(365+IF(MOD(YEAR($A640),4),0,1)*($A640-$A639)),2)-Первоначальный[[#This Row],[Проценты на просроченный платеж по ОД за период]]</f>
        <v>76.789999999999992</v>
      </c>
      <c r="I640" s="55">
        <f t="shared" ca="1" si="116"/>
        <v>4.79</v>
      </c>
      <c r="J640" s="55">
        <v>0</v>
      </c>
      <c r="K640" s="55">
        <f t="shared" ca="1" si="119"/>
        <v>260.66350327868844</v>
      </c>
      <c r="L640" s="55">
        <v>0</v>
      </c>
      <c r="M640" s="113">
        <f>SUMIFS(График[Возврат основной суммы долга],График[Дата с учетом нерабочих дней],$A640)</f>
        <v>0</v>
      </c>
      <c r="N640" s="56">
        <f>SUMIFS(График[Возврат начисленных %],График[Дата с учетом нерабочих дней],$A640)</f>
        <v>0</v>
      </c>
      <c r="O640" s="101">
        <v>0</v>
      </c>
      <c r="P640" s="100" cm="1">
        <f t="array" aca="1" ref="P640" ca="1">MAX(IF(AA639="Да",0,SUM(INDIRECT("M"&amp;(MAX(("Да"=AA$12:AA639)*ROW(AA$12:AA639)+1,ROW($P$12))&amp;":M"&amp;(ROW()))))-SUM(INDIRECT("W"&amp;(MAX(("Да"=AA$12:AA639)*ROW(AA$12:AA639)+1,ROW($P$12))&amp;":W"&amp;(ROW()))))),0)</f>
        <v>8777.0299999999988</v>
      </c>
      <c r="Q640" s="99">
        <f ca="1">MAX(SUM($N$13:N640)-SUM($T$13:T640),0)</f>
        <v>43355.670655737689</v>
      </c>
      <c r="R640" s="99">
        <f ca="1">Первоначальный[[#This Row],[Просроченный платеж по ОД]]+Первоначальный[[#This Row],[Просроченный платеж по процентам]]</f>
        <v>52132.700655737688</v>
      </c>
      <c r="S640" s="120">
        <f ca="1">IF(Первоначальный[[#This Row],[Просроченный платеж]]&lt;1,0,S639+1)</f>
        <v>536</v>
      </c>
      <c r="T640" s="100" cm="1">
        <f t="array" aca="1" ref="T640" ca="1">IF(Первоначальный[[#This Row],[Итого остаток на начало периода]]&lt;1,0,
IF(
AND(TYPE(VLOOKUP(1,$Z$12:Z640,1,0))=16,Первоначальный[[#This Row],[Досрочное погашение (да/"")]]=""),0,
_xlfn.IFS(AND(S639=0,Первоначальный[[#This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платеж]]&lt;&gt;0),MIN(LOOKUP(,-1/($Z$12:Z640=1),$C$12:C640)+LOOKUP(,-1/($Z$12:Z640=1),$H$12:H640),Первоначальный[[#This Row],[Полученный платеж]]+Y639),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платеж]]+Y639,SUM(Первоначальный[[#This Row],[Остаток процентов на начало периода]],Первоначальный[[#This Row],[Проценты за период]])),
AND(S639=0,Первоначальный[[#This Row],[Дата платежа из графика]]=""),0,
AND(S639=0,Первоначальный[[#This Row],[Дата платежа из графика]]=1,MAX((0&lt;&gt;S$12:S639)*ROW(S$12:S639),ROW($S$12))&gt;=MAX((1=Z$12:Z639)*ROW(Z$12:Z639),ROW($T$12)),TYPE(VLOOKUP("Да",(INDIRECT("AA"&amp;(MAX((1=Z$12:Z639)*ROW(Z$12:Z639),ROW($T$12))&amp;":AA"&amp;(ROW()-1)))),1,0))=16),MIN(LOOKUP(,-1/($Z$12:Z640=1),$C$12:C640)+LOOKUP(,-1/($Z$12:Z640=1),$H$12:H640),Первоначальный[[#This Row],[Полученный платеж]]+Y639),
AND(S639=0,TYPE(VLOOKUP("Да",(INDIRECT("AA"&amp;(MAX((1=Z$12:Z639)*ROW(Z$12:Z639),ROW($T$12))&amp;":AA"&amp;(ROW()-1)))),1,0))&lt;&gt;16),MIN(LOOKUP(,-1/($Z$12:Z640=1),$C$12:C640)+LOOKUP(,-1/($Z$12:Z640=1),$H$12:H640)-IF(AA639="Да",0,SUM(INDIRECT("T"&amp;(MAX(("Да"=AA$12:AA639)*ROW(AA$12:AA639)+1,ROW($T$12))&amp;":T"&amp;(ROW()-1))))),Первоначальный[[#This Row],[Полученный платеж]]+Y639),
AND(S639=0,MAX((0&lt;&gt;N$12:N639)*ROW(N$12:N639),ROW($S$12))&gt;=MAX((1=Z$12:Z639)*ROW(Z$12:Z639),ROW($T$12))),MIN(LOOKUP(,-1/($Z$12:Z640=1),$C$12:C640)+LOOKUP(,-1/($Z$12:Z640=1),$H$12:H640)-IF(N639&lt;&gt;0,0,SUM(INDIRECT("T"&amp;(MAX((0&lt;&gt;N$12:N639)*ROW(N$12:N639)+1,ROW($T$12))&amp;":T"&amp;(ROW()-1))))),Первоначальный[[#This Row],[Полученный платеж]]+Y639),
AND(S639=0,Первоначальный[[#This Row],[Дата платежа из графика]]=1),MIN(LOOKUP(,-1/($Z$12:Z640=1),$C$12:C640)+LOOKUP(,-1/($Z$12:Z640=1),$H$12:H640)-IF(Z639=1,0,SUM(INDIRECT("T"&amp;(MAX((1=Z$12:Z639)*ROW(Z$12:Z639)+1,ROW($T$12))&amp;":T"&amp;(ROW()-1))))),Первоначальный[[#This Row],[Полученный платеж]]+Y639),
AND(Z639&gt;0,Первоначальный[[#This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платеж]]+Y639),
AND(S639&gt;0,MAX((0&lt;&gt;S$12:S639)*ROW(S$12:S639),ROW($S$12))&gt;=MAX((1=Z$12:Z639)*ROW(Z$12:Z639),ROW($T$12)),TYPE(VLOOKUP("Да",(INDIRECT("AA"&amp;(MAX((1=Z$12:Z639)*ROW(Z$12:Z639),ROW($T$12))&amp;":AA"&amp;(ROW()-1)))),1,0))=16),MIN(LOOKUP(,-1/($Z$12:Z640=1),$C$12:C640)+LOOKUP(,-1/($Z$12:Z640=1),$H$12:H640)-SUM(INDIRECT("T"&amp;(MAX((1=Z$12:Z639)*ROW(Z$12:Z639),ROW($T$12))&amp;":T"&amp;(ROW()-1)))),Первоначальный[[#This Row],[Полученный платеж]]+Y639),
S639&gt;0,MIN(LOOKUP(,-1/($Z$12:Z640=1),$C$12:C640)+LOOKUP(,-1/($Z$12:Z640=1),$H$12:H640)-IF(Z639=1,0,SUM(INDIRECT("T"&amp;(MAX((1=Z$12:Z639)*ROW(Z$12:Z639)+1,ROW($T$12))&amp;":T"&amp;(ROW()-1))))),Первоначальный[[#This Row],[Полученный платеж]]+Y639)
)
)
)</f>
        <v>0</v>
      </c>
      <c r="U64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платеж]]+Y639-Первоначальный[[#This Row],[Полученный платёж по процентам]])</f>
        <v>0</v>
      </c>
      <c r="V640" s="55">
        <f t="shared" ca="1" si="109"/>
        <v>0</v>
      </c>
      <c r="W640" s="55" cm="1">
        <f t="array" aca="1" ref="W640" ca="1">IF(Первоначальный[[#This Row],[Итого остаток на начало периода]]&lt;1,0,
_xlfn.IFS(
AND(TYPE(VLOOKUP(1,$Z$12:Z640,1,0))=16,Первоначальный[[#This Row],[Досрочное погашение (да/"")]]=""),0,
AND(S639=0,Первоначальный[[#This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платеж]]+Y639-SUM(Первоначальный[[#This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комиссиям]]),VLOOKUP(LOOKUP(,-1/($Z$12:Z640=1),$A$12:A640),График[[Срок конец]:[Возврат основной суммы долга]],3,0)),
AND(S639=0,Первоначальный[[#This Row],[Дата платежа из графика]]="",Первоначальный[[#This Row],[Досрочное погашение (да/"")]]&lt;&gt;"Да"),0,
AND(S639=0,Первоначальный[[#This Row],[Досрочное погашение (да/"")]]=""),MIN(Первоначальный[[#This Row],[Полученный платеж]]+Y639-SUM(Первоначальный[[#This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комиссиям]]),VLOOKUP(LOOKUP(,-1/($Z$12:Z640=1),$A$12:A640),График[[Срок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платеж]]+Y639-SUM(Первоначальный[[#This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S639&gt;0,MIN(Первоначальный[[#This Row],[Полученный платеж]]+Y639-SUM(Первоначальный[[#This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комиссиям]]),SUM(INDIRECT("M"&amp;(MAX((1=S$12:S639)*ROW(S$12:S639),ROW($W$12))&amp;":M"&amp;(ROW()))))-SUM(INDIRECT("W"&amp;(MAX((1=S$12:S639)*ROW(S$12:S639),ROW($W$12))&amp;":W"&amp;(ROW()-1)))))
)
)</f>
        <v>0</v>
      </c>
      <c r="X640" s="55">
        <f t="shared" ca="1" si="110"/>
        <v>0</v>
      </c>
      <c r="Y640" s="101">
        <f t="shared" ca="1" si="117"/>
        <v>0</v>
      </c>
      <c r="Z640" s="133" t="str">
        <f>IF(TYPE((VLOOKUP(Первоначальный[[#This Row],[Дата платежа]],График[Срок конец],1,0)))=16,"",1)</f>
        <v/>
      </c>
      <c r="AA640" s="57"/>
      <c r="AB640" s="134"/>
      <c r="AC64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4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44893.869999999901</v>
      </c>
      <c r="AE64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1267.5900000000026</v>
      </c>
      <c r="AF64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4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72577.662757377097</v>
      </c>
      <c r="AH640" s="55"/>
      <c r="AI640" s="55"/>
      <c r="AJ640" s="55"/>
      <c r="AK640" s="101">
        <f t="shared" ca="1" si="118"/>
        <v>268372.46275737701</v>
      </c>
      <c r="AL640" s="129">
        <f t="array" ref="AL640">MAX((УслРестрактов[Характеристика]="Дата реструктуризации")*(УслРестрактов[Значение]=Первоначальный!$A640),0)</f>
        <v>0</v>
      </c>
    </row>
    <row r="641" spans="1:38" x14ac:dyDescent="0.25">
      <c r="A641" s="97">
        <f t="shared" si="111"/>
        <v>44772</v>
      </c>
      <c r="B641" s="100">
        <f t="shared" ca="1" si="112"/>
        <v>149633.34</v>
      </c>
      <c r="C641" s="55">
        <f t="shared" ca="1" si="120"/>
        <v>44893.869999999901</v>
      </c>
      <c r="D641" s="55">
        <f t="shared" ca="1" si="120"/>
        <v>1267.5900000000026</v>
      </c>
      <c r="E641" s="55">
        <f t="shared" ca="1" si="113"/>
        <v>0</v>
      </c>
      <c r="F641" s="55">
        <f t="shared" ca="1" si="114"/>
        <v>72577.662757377097</v>
      </c>
      <c r="G641" s="101">
        <f t="shared" ca="1" si="115"/>
        <v>268372.46275737701</v>
      </c>
      <c r="H641" s="100">
        <f ca="1">ROUND($B641*VLOOKUP($A641,$A$1:$B$10,2,1)/(365+IF(MOD(YEAR($A641),4),0,1)*($A641-$A640)),2)-Первоначальный[[#This Row],[Проценты на просроченный платеж по ОД за период]]</f>
        <v>76.789999999999992</v>
      </c>
      <c r="I641" s="55">
        <f t="shared" ca="1" si="116"/>
        <v>4.79</v>
      </c>
      <c r="J641" s="55">
        <v>0</v>
      </c>
      <c r="K641" s="55">
        <f t="shared" ca="1" si="119"/>
        <v>260.66350327868844</v>
      </c>
      <c r="L641" s="55">
        <v>0</v>
      </c>
      <c r="M641" s="113">
        <f>SUMIFS(График[Возврат основной суммы долга],График[Дата с учетом нерабочих дней],$A641)</f>
        <v>0</v>
      </c>
      <c r="N641" s="56">
        <f>SUMIFS(График[Возврат начисленных %],График[Дата с учетом нерабочих дней],$A641)</f>
        <v>0</v>
      </c>
      <c r="O641" s="101">
        <v>0</v>
      </c>
      <c r="P641" s="100" cm="1">
        <f t="array" aca="1" ref="P641" ca="1">MAX(IF(AA640="Да",0,SUM(INDIRECT("M"&amp;(MAX(("Да"=AA$12:AA640)*ROW(AA$12:AA640)+1,ROW($P$12))&amp;":M"&amp;(ROW()))))-SUM(INDIRECT("W"&amp;(MAX(("Да"=AA$12:AA640)*ROW(AA$12:AA640)+1,ROW($P$12))&amp;":W"&amp;(ROW()))))),0)</f>
        <v>8777.0299999999988</v>
      </c>
      <c r="Q641" s="99">
        <f ca="1">MAX(SUM($N$13:N641)-SUM($T$13:T641),0)</f>
        <v>43355.670655737689</v>
      </c>
      <c r="R641" s="99">
        <f ca="1">Первоначальный[[#This Row],[Просроченный платеж по ОД]]+Первоначальный[[#This Row],[Просроченный платеж по процентам]]</f>
        <v>52132.700655737688</v>
      </c>
      <c r="S641" s="120">
        <f ca="1">IF(Первоначальный[[#This Row],[Просроченный платеж]]&lt;1,0,S640+1)</f>
        <v>537</v>
      </c>
      <c r="T641" s="100" cm="1">
        <f t="array" aca="1" ref="T641" ca="1">IF(Первоначальный[[#This Row],[Итого остаток на начало периода]]&lt;1,0,
IF(
AND(TYPE(VLOOKUP(1,$Z$12:Z641,1,0))=16,Первоначальный[[#This Row],[Досрочное погашение (да/"")]]=""),0,
_xlfn.IFS(AND(S640=0,Первоначальный[[#This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платеж]]&lt;&gt;0),MIN(LOOKUP(,-1/($Z$12:Z641=1),$C$12:C641)+LOOKUP(,-1/($Z$12:Z641=1),$H$12:H641),Первоначальный[[#This Row],[Полученный платеж]]+Y640),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платеж]]+Y640,SUM(Первоначальный[[#This Row],[Остаток процентов на начало периода]],Первоначальный[[#This Row],[Проценты за период]])),
AND(S640=0,Первоначальный[[#This Row],[Дата платежа из графика]]=""),0,
AND(S640=0,Первоначальный[[#This Row],[Дата платежа из графика]]=1,MAX((0&lt;&gt;S$12:S640)*ROW(S$12:S640),ROW($S$12))&gt;=MAX((1=Z$12:Z640)*ROW(Z$12:Z640),ROW($T$12)),TYPE(VLOOKUP("Да",(INDIRECT("AA"&amp;(MAX((1=Z$12:Z640)*ROW(Z$12:Z640),ROW($T$12))&amp;":AA"&amp;(ROW()-1)))),1,0))=16),MIN(LOOKUP(,-1/($Z$12:Z641=1),$C$12:C641)+LOOKUP(,-1/($Z$12:Z641=1),$H$12:H641),Первоначальный[[#This Row],[Полученный платеж]]+Y640),
AND(S640=0,TYPE(VLOOKUP("Да",(INDIRECT("AA"&amp;(MAX((1=Z$12:Z640)*ROW(Z$12:Z640),ROW($T$12))&amp;":AA"&amp;(ROW()-1)))),1,0))&lt;&gt;16),MIN(LOOKUP(,-1/($Z$12:Z641=1),$C$12:C641)+LOOKUP(,-1/($Z$12:Z641=1),$H$12:H641)-IF(AA640="Да",0,SUM(INDIRECT("T"&amp;(MAX(("Да"=AA$12:AA640)*ROW(AA$12:AA640)+1,ROW($T$12))&amp;":T"&amp;(ROW()-1))))),Первоначальный[[#This Row],[Полученный платеж]]+Y640),
AND(S640=0,MAX((0&lt;&gt;N$12:N640)*ROW(N$12:N640),ROW($S$12))&gt;=MAX((1=Z$12:Z640)*ROW(Z$12:Z640),ROW($T$12))),MIN(LOOKUP(,-1/($Z$12:Z641=1),$C$12:C641)+LOOKUP(,-1/($Z$12:Z641=1),$H$12:H641)-IF(N640&lt;&gt;0,0,SUM(INDIRECT("T"&amp;(MAX((0&lt;&gt;N$12:N640)*ROW(N$12:N640)+1,ROW($T$12))&amp;":T"&amp;(ROW()-1))))),Первоначальный[[#This Row],[Полученный платеж]]+Y640),
AND(S640=0,Первоначальный[[#This Row],[Дата платежа из графика]]=1),MIN(LOOKUP(,-1/($Z$12:Z641=1),$C$12:C641)+LOOKUP(,-1/($Z$12:Z641=1),$H$12:H641)-IF(Z640=1,0,SUM(INDIRECT("T"&amp;(MAX((1=Z$12:Z640)*ROW(Z$12:Z640)+1,ROW($T$12))&amp;":T"&amp;(ROW()-1))))),Первоначальный[[#This Row],[Полученный платеж]]+Y640),
AND(Z640&gt;0,Первоначальный[[#This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платеж]]+Y640),
AND(S640&gt;0,MAX((0&lt;&gt;S$12:S640)*ROW(S$12:S640),ROW($S$12))&gt;=MAX((1=Z$12:Z640)*ROW(Z$12:Z640),ROW($T$12)),TYPE(VLOOKUP("Да",(INDIRECT("AA"&amp;(MAX((1=Z$12:Z640)*ROW(Z$12:Z640),ROW($T$12))&amp;":AA"&amp;(ROW()-1)))),1,0))=16),MIN(LOOKUP(,-1/($Z$12:Z641=1),$C$12:C641)+LOOKUP(,-1/($Z$12:Z641=1),$H$12:H641)-SUM(INDIRECT("T"&amp;(MAX((1=Z$12:Z640)*ROW(Z$12:Z640),ROW($T$12))&amp;":T"&amp;(ROW()-1)))),Первоначальный[[#This Row],[Полученный платеж]]+Y640),
S640&gt;0,MIN(LOOKUP(,-1/($Z$12:Z641=1),$C$12:C641)+LOOKUP(,-1/($Z$12:Z641=1),$H$12:H641)-IF(Z640=1,0,SUM(INDIRECT("T"&amp;(MAX((1=Z$12:Z640)*ROW(Z$12:Z640)+1,ROW($T$12))&amp;":T"&amp;(ROW()-1))))),Первоначальный[[#This Row],[Полученный платеж]]+Y640)
)
)
)</f>
        <v>0</v>
      </c>
      <c r="U64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платеж]]+Y640-Первоначальный[[#This Row],[Полученный платёж по процентам]])</f>
        <v>0</v>
      </c>
      <c r="V641" s="55">
        <f t="shared" ca="1" si="109"/>
        <v>0</v>
      </c>
      <c r="W641" s="55" cm="1">
        <f t="array" aca="1" ref="W641" ca="1">IF(Первоначальный[[#This Row],[Итого остаток на начало периода]]&lt;1,0,
_xlfn.IFS(
AND(TYPE(VLOOKUP(1,$Z$12:Z641,1,0))=16,Первоначальный[[#This Row],[Досрочное погашение (да/"")]]=""),0,
AND(S640=0,Первоначальный[[#This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платеж]]+Y640-SUM(Первоначальный[[#This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комиссиям]]),VLOOKUP(LOOKUP(,-1/($Z$12:Z641=1),$A$12:A641),График[[Срок конец]:[Возврат основной суммы долга]],3,0)),
AND(S640=0,Первоначальный[[#This Row],[Дата платежа из графика]]="",Первоначальный[[#This Row],[Досрочное погашение (да/"")]]&lt;&gt;"Да"),0,
AND(S640=0,Первоначальный[[#This Row],[Досрочное погашение (да/"")]]=""),MIN(Первоначальный[[#This Row],[Полученный платеж]]+Y640-SUM(Первоначальный[[#This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комиссиям]]),VLOOKUP(LOOKUP(,-1/($Z$12:Z641=1),$A$12:A641),График[[Срок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платеж]]+Y640-SUM(Первоначальный[[#This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S640&gt;0,MIN(Первоначальный[[#This Row],[Полученный платеж]]+Y640-SUM(Первоначальный[[#This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комиссиям]]),SUM(INDIRECT("M"&amp;(MAX((1=S$12:S640)*ROW(S$12:S640),ROW($W$12))&amp;":M"&amp;(ROW()))))-SUM(INDIRECT("W"&amp;(MAX((1=S$12:S640)*ROW(S$12:S640),ROW($W$12))&amp;":W"&amp;(ROW()-1)))))
)
)</f>
        <v>0</v>
      </c>
      <c r="X641" s="55">
        <f t="shared" ca="1" si="110"/>
        <v>0</v>
      </c>
      <c r="Y641" s="101">
        <f t="shared" ca="1" si="117"/>
        <v>0</v>
      </c>
      <c r="Z641" s="133" t="str">
        <f>IF(TYPE((VLOOKUP(Первоначальный[[#This Row],[Дата платежа]],График[Срок конец],1,0)))=16,"",1)</f>
        <v/>
      </c>
      <c r="AA641" s="57"/>
      <c r="AB641" s="134"/>
      <c r="AC64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4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44970.659999999902</v>
      </c>
      <c r="AE64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1272.3800000000026</v>
      </c>
      <c r="AF64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4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72838.326260655784</v>
      </c>
      <c r="AH641" s="55"/>
      <c r="AI641" s="55"/>
      <c r="AJ641" s="55"/>
      <c r="AK641" s="101">
        <f t="shared" ca="1" si="118"/>
        <v>268714.70626065566</v>
      </c>
      <c r="AL641" s="129">
        <f t="array" ref="AL641">MAX((УслРестрактов[Характеристика]="Дата реструктуризации")*(УслРестрактов[Значение]=Первоначальный!$A641),0)</f>
        <v>0</v>
      </c>
    </row>
    <row r="642" spans="1:38" x14ac:dyDescent="0.25">
      <c r="A642" s="97">
        <f t="shared" si="111"/>
        <v>44773</v>
      </c>
      <c r="B642" s="100">
        <f t="shared" ca="1" si="112"/>
        <v>149633.34</v>
      </c>
      <c r="C642" s="55">
        <f t="shared" ca="1" si="120"/>
        <v>44970.659999999902</v>
      </c>
      <c r="D642" s="55">
        <f t="shared" ca="1" si="120"/>
        <v>1272.3800000000026</v>
      </c>
      <c r="E642" s="55">
        <f t="shared" ca="1" si="113"/>
        <v>0</v>
      </c>
      <c r="F642" s="55">
        <f t="shared" ca="1" si="114"/>
        <v>72838.326260655784</v>
      </c>
      <c r="G642" s="101">
        <f t="shared" ca="1" si="115"/>
        <v>268714.70626065566</v>
      </c>
      <c r="H642" s="100">
        <f ca="1">ROUND($B642*VLOOKUP($A642,$A$1:$B$10,2,1)/(365+IF(MOD(YEAR($A642),4),0,1)*($A642-$A641)),2)-Первоначальный[[#This Row],[Проценты на просроченный платеж по ОД за период]]</f>
        <v>76.789999999999992</v>
      </c>
      <c r="I642" s="55">
        <f t="shared" ca="1" si="116"/>
        <v>4.79</v>
      </c>
      <c r="J642" s="55">
        <v>0</v>
      </c>
      <c r="K642" s="55">
        <f t="shared" ca="1" si="119"/>
        <v>260.66350327868844</v>
      </c>
      <c r="L642" s="55">
        <v>0</v>
      </c>
      <c r="M642" s="113">
        <f>SUMIFS(График[Возврат основной суммы долга],График[Дата с учетом нерабочих дней],$A642)</f>
        <v>0</v>
      </c>
      <c r="N642" s="56">
        <f>SUMIFS(График[Возврат начисленных %],График[Дата с учетом нерабочих дней],$A642)</f>
        <v>0</v>
      </c>
      <c r="O642" s="101">
        <v>0</v>
      </c>
      <c r="P642" s="100" cm="1">
        <f t="array" aca="1" ref="P642" ca="1">MAX(IF(AA641="Да",0,SUM(INDIRECT("M"&amp;(MAX(("Да"=AA$12:AA641)*ROW(AA$12:AA641)+1,ROW($P$12))&amp;":M"&amp;(ROW()))))-SUM(INDIRECT("W"&amp;(MAX(("Да"=AA$12:AA641)*ROW(AA$12:AA641)+1,ROW($P$12))&amp;":W"&amp;(ROW()))))),0)</f>
        <v>8777.0299999999988</v>
      </c>
      <c r="Q642" s="99">
        <f ca="1">MAX(SUM($N$13:N642)-SUM($T$13:T642),0)</f>
        <v>43355.670655737689</v>
      </c>
      <c r="R642" s="99">
        <f ca="1">Первоначальный[[#This Row],[Просроченный платеж по ОД]]+Первоначальный[[#This Row],[Просроченный платеж по процентам]]</f>
        <v>52132.700655737688</v>
      </c>
      <c r="S642" s="120">
        <f ca="1">IF(Первоначальный[[#This Row],[Просроченный платеж]]&lt;1,0,S641+1)</f>
        <v>538</v>
      </c>
      <c r="T642" s="100" cm="1">
        <f t="array" aca="1" ref="T642" ca="1">IF(Первоначальный[[#This Row],[Итого остаток на начало периода]]&lt;1,0,
IF(
AND(TYPE(VLOOKUP(1,$Z$12:Z642,1,0))=16,Первоначальный[[#This Row],[Досрочное погашение (да/"")]]=""),0,
_xlfn.IFS(AND(S641=0,Первоначальный[[#This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платеж]]&lt;&gt;0),MIN(LOOKUP(,-1/($Z$12:Z642=1),$C$12:C642)+LOOKUP(,-1/($Z$12:Z642=1),$H$12:H642),Первоначальный[[#This Row],[Полученный платеж]]+Y641),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платеж]]+Y641,SUM(Первоначальный[[#This Row],[Остаток процентов на начало периода]],Первоначальный[[#This Row],[Проценты за период]])),
AND(S641=0,Первоначальный[[#This Row],[Дата платежа из графика]]=""),0,
AND(S641=0,Первоначальный[[#This Row],[Дата платежа из графика]]=1,MAX((0&lt;&gt;S$12:S641)*ROW(S$12:S641),ROW($S$12))&gt;=MAX((1=Z$12:Z641)*ROW(Z$12:Z641),ROW($T$12)),TYPE(VLOOKUP("Да",(INDIRECT("AA"&amp;(MAX((1=Z$12:Z641)*ROW(Z$12:Z641),ROW($T$12))&amp;":AA"&amp;(ROW()-1)))),1,0))=16),MIN(LOOKUP(,-1/($Z$12:Z642=1),$C$12:C642)+LOOKUP(,-1/($Z$12:Z642=1),$H$12:H642),Первоначальный[[#This Row],[Полученный платеж]]+Y641),
AND(S641=0,TYPE(VLOOKUP("Да",(INDIRECT("AA"&amp;(MAX((1=Z$12:Z641)*ROW(Z$12:Z641),ROW($T$12))&amp;":AA"&amp;(ROW()-1)))),1,0))&lt;&gt;16),MIN(LOOKUP(,-1/($Z$12:Z642=1),$C$12:C642)+LOOKUP(,-1/($Z$12:Z642=1),$H$12:H642)-IF(AA641="Да",0,SUM(INDIRECT("T"&amp;(MAX(("Да"=AA$12:AA641)*ROW(AA$12:AA641)+1,ROW($T$12))&amp;":T"&amp;(ROW()-1))))),Первоначальный[[#This Row],[Полученный платеж]]+Y641),
AND(S641=0,MAX((0&lt;&gt;N$12:N641)*ROW(N$12:N641),ROW($S$12))&gt;=MAX((1=Z$12:Z641)*ROW(Z$12:Z641),ROW($T$12))),MIN(LOOKUP(,-1/($Z$12:Z642=1),$C$12:C642)+LOOKUP(,-1/($Z$12:Z642=1),$H$12:H642)-IF(N641&lt;&gt;0,0,SUM(INDIRECT("T"&amp;(MAX((0&lt;&gt;N$12:N641)*ROW(N$12:N641)+1,ROW($T$12))&amp;":T"&amp;(ROW()-1))))),Первоначальный[[#This Row],[Полученный платеж]]+Y641),
AND(S641=0,Первоначальный[[#This Row],[Дата платежа из графика]]=1),MIN(LOOKUP(,-1/($Z$12:Z642=1),$C$12:C642)+LOOKUP(,-1/($Z$12:Z642=1),$H$12:H642)-IF(Z641=1,0,SUM(INDIRECT("T"&amp;(MAX((1=Z$12:Z641)*ROW(Z$12:Z641)+1,ROW($T$12))&amp;":T"&amp;(ROW()-1))))),Первоначальный[[#This Row],[Полученный платеж]]+Y641),
AND(Z641&gt;0,Первоначальный[[#This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платеж]]+Y641),
AND(S641&gt;0,MAX((0&lt;&gt;S$12:S641)*ROW(S$12:S641),ROW($S$12))&gt;=MAX((1=Z$12:Z641)*ROW(Z$12:Z641),ROW($T$12)),TYPE(VLOOKUP("Да",(INDIRECT("AA"&amp;(MAX((1=Z$12:Z641)*ROW(Z$12:Z641),ROW($T$12))&amp;":AA"&amp;(ROW()-1)))),1,0))=16),MIN(LOOKUP(,-1/($Z$12:Z642=1),$C$12:C642)+LOOKUP(,-1/($Z$12:Z642=1),$H$12:H642)-SUM(INDIRECT("T"&amp;(MAX((1=Z$12:Z641)*ROW(Z$12:Z641),ROW($T$12))&amp;":T"&amp;(ROW()-1)))),Первоначальный[[#This Row],[Полученный платеж]]+Y641),
S641&gt;0,MIN(LOOKUP(,-1/($Z$12:Z642=1),$C$12:C642)+LOOKUP(,-1/($Z$12:Z642=1),$H$12:H642)-IF(Z641=1,0,SUM(INDIRECT("T"&amp;(MAX((1=Z$12:Z641)*ROW(Z$12:Z641)+1,ROW($T$12))&amp;":T"&amp;(ROW()-1))))),Первоначальный[[#This Row],[Полученный платеж]]+Y641)
)
)
)</f>
        <v>0</v>
      </c>
      <c r="U64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платеж]]+Y641-Первоначальный[[#This Row],[Полученный платёж по процентам]])</f>
        <v>0</v>
      </c>
      <c r="V642" s="55">
        <f t="shared" ca="1" si="109"/>
        <v>0</v>
      </c>
      <c r="W642" s="55" cm="1">
        <f t="array" aca="1" ref="W642" ca="1">IF(Первоначальный[[#This Row],[Итого остаток на начало периода]]&lt;1,0,
_xlfn.IFS(
AND(TYPE(VLOOKUP(1,$Z$12:Z642,1,0))=16,Первоначальный[[#This Row],[Досрочное погашение (да/"")]]=""),0,
AND(S641=0,Первоначальный[[#This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платеж]]+Y641-SUM(Первоначальный[[#This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комиссиям]]),VLOOKUP(LOOKUP(,-1/($Z$12:Z642=1),$A$12:A642),График[[Срок конец]:[Возврат основной суммы долга]],3,0)),
AND(S641=0,Первоначальный[[#This Row],[Дата платежа из графика]]="",Первоначальный[[#This Row],[Досрочное погашение (да/"")]]&lt;&gt;"Да"),0,
AND(S641=0,Первоначальный[[#This Row],[Досрочное погашение (да/"")]]=""),MIN(Первоначальный[[#This Row],[Полученный платеж]]+Y641-SUM(Первоначальный[[#This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комиссиям]]),VLOOKUP(LOOKUP(,-1/($Z$12:Z642=1),$A$12:A642),График[[Срок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платеж]]+Y641-SUM(Первоначальный[[#This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S641&gt;0,MIN(Первоначальный[[#This Row],[Полученный платеж]]+Y641-SUM(Первоначальный[[#This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комиссиям]]),SUM(INDIRECT("M"&amp;(MAX((1=S$12:S641)*ROW(S$12:S641),ROW($W$12))&amp;":M"&amp;(ROW()))))-SUM(INDIRECT("W"&amp;(MAX((1=S$12:S641)*ROW(S$12:S641),ROW($W$12))&amp;":W"&amp;(ROW()-1)))))
)
)</f>
        <v>0</v>
      </c>
      <c r="X642" s="55">
        <f t="shared" ca="1" si="110"/>
        <v>0</v>
      </c>
      <c r="Y642" s="101">
        <f t="shared" ca="1" si="117"/>
        <v>0</v>
      </c>
      <c r="Z642" s="133" t="str">
        <f>IF(TYPE((VLOOKUP(Первоначальный[[#This Row],[Дата платежа]],График[Срок конец],1,0)))=16,"",1)</f>
        <v/>
      </c>
      <c r="AA642" s="57"/>
      <c r="AB642" s="134"/>
      <c r="AC64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4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45047.449999999903</v>
      </c>
      <c r="AE64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1277.1700000000026</v>
      </c>
      <c r="AF64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4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73098.989763934471</v>
      </c>
      <c r="AH642" s="55"/>
      <c r="AI642" s="55"/>
      <c r="AJ642" s="55"/>
      <c r="AK642" s="101">
        <f t="shared" ca="1" si="118"/>
        <v>269056.94976393436</v>
      </c>
      <c r="AL642" s="129">
        <f t="array" ref="AL642">MAX((УслРестрактов[Характеристика]="Дата реструктуризации")*(УслРестрактов[Значение]=Первоначальный!$A642),0)</f>
        <v>0</v>
      </c>
    </row>
    <row r="643" spans="1:38" x14ac:dyDescent="0.25">
      <c r="A643" s="97">
        <f t="shared" si="111"/>
        <v>44774</v>
      </c>
      <c r="B643" s="100">
        <f t="shared" ca="1" si="112"/>
        <v>149633.34</v>
      </c>
      <c r="C643" s="55">
        <f t="shared" ca="1" si="120"/>
        <v>45047.449999999903</v>
      </c>
      <c r="D643" s="55">
        <f t="shared" ca="1" si="120"/>
        <v>1277.1700000000026</v>
      </c>
      <c r="E643" s="55">
        <f t="shared" ca="1" si="113"/>
        <v>0</v>
      </c>
      <c r="F643" s="55">
        <f t="shared" ca="1" si="114"/>
        <v>73098.989763934471</v>
      </c>
      <c r="G643" s="101">
        <f t="shared" ca="1" si="115"/>
        <v>269056.94976393436</v>
      </c>
      <c r="H643" s="100">
        <f ca="1">ROUND($B643*VLOOKUP($A643,$A$1:$B$10,2,1)/(365+IF(MOD(YEAR($A643),4),0,1)*($A643-$A642)),2)-Первоначальный[[#This Row],[Проценты на просроченный платеж по ОД за период]]</f>
        <v>76.789999999999992</v>
      </c>
      <c r="I643" s="55">
        <f t="shared" ca="1" si="116"/>
        <v>4.79</v>
      </c>
      <c r="J643" s="55">
        <v>0</v>
      </c>
      <c r="K643" s="55">
        <f t="shared" ca="1" si="119"/>
        <v>260.66350327868844</v>
      </c>
      <c r="L643" s="55">
        <v>0</v>
      </c>
      <c r="M643" s="113">
        <f>SUMIFS(График[Возврат основной суммы долга],График[Дата с учетом нерабочих дней],$A643)</f>
        <v>0</v>
      </c>
      <c r="N643" s="56">
        <f>SUMIFS(График[Возврат начисленных %],График[Дата с учетом нерабочих дней],$A643)</f>
        <v>0</v>
      </c>
      <c r="O643" s="101">
        <v>0</v>
      </c>
      <c r="P643" s="100" cm="1">
        <f t="array" aca="1" ref="P643" ca="1">MAX(IF(AA642="Да",0,SUM(INDIRECT("M"&amp;(MAX(("Да"=AA$12:AA642)*ROW(AA$12:AA642)+1,ROW($P$12))&amp;":M"&amp;(ROW()))))-SUM(INDIRECT("W"&amp;(MAX(("Да"=AA$12:AA642)*ROW(AA$12:AA642)+1,ROW($P$12))&amp;":W"&amp;(ROW()))))),0)</f>
        <v>8777.0299999999988</v>
      </c>
      <c r="Q643" s="99">
        <f ca="1">MAX(SUM($N$13:N643)-SUM($T$13:T643),0)</f>
        <v>43355.670655737689</v>
      </c>
      <c r="R643" s="99">
        <f ca="1">Первоначальный[[#This Row],[Просроченный платеж по ОД]]+Первоначальный[[#This Row],[Просроченный платеж по процентам]]</f>
        <v>52132.700655737688</v>
      </c>
      <c r="S643" s="120">
        <f ca="1">IF(Первоначальный[[#This Row],[Просроченный платеж]]&lt;1,0,S642+1)</f>
        <v>539</v>
      </c>
      <c r="T643" s="100" cm="1">
        <f t="array" aca="1" ref="T643" ca="1">IF(Первоначальный[[#This Row],[Итого остаток на начало периода]]&lt;1,0,
IF(
AND(TYPE(VLOOKUP(1,$Z$12:Z643,1,0))=16,Первоначальный[[#This Row],[Досрочное погашение (да/"")]]=""),0,
_xlfn.IFS(AND(S642=0,Первоначальный[[#This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платеж]]&lt;&gt;0),MIN(LOOKUP(,-1/($Z$12:Z643=1),$C$12:C643)+LOOKUP(,-1/($Z$12:Z643=1),$H$12:H643),Первоначальный[[#This Row],[Полученный платеж]]+Y642),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платеж]]+Y642,SUM(Первоначальный[[#This Row],[Остаток процентов на начало периода]],Первоначальный[[#This Row],[Проценты за период]])),
AND(S642=0,Первоначальный[[#This Row],[Дата платежа из графика]]=""),0,
AND(S642=0,Первоначальный[[#This Row],[Дата платежа из графика]]=1,MAX((0&lt;&gt;S$12:S642)*ROW(S$12:S642),ROW($S$12))&gt;=MAX((1=Z$12:Z642)*ROW(Z$12:Z642),ROW($T$12)),TYPE(VLOOKUP("Да",(INDIRECT("AA"&amp;(MAX((1=Z$12:Z642)*ROW(Z$12:Z642),ROW($T$12))&amp;":AA"&amp;(ROW()-1)))),1,0))=16),MIN(LOOKUP(,-1/($Z$12:Z643=1),$C$12:C643)+LOOKUP(,-1/($Z$12:Z643=1),$H$12:H643),Первоначальный[[#This Row],[Полученный платеж]]+Y642),
AND(S642=0,TYPE(VLOOKUP("Да",(INDIRECT("AA"&amp;(MAX((1=Z$12:Z642)*ROW(Z$12:Z642),ROW($T$12))&amp;":AA"&amp;(ROW()-1)))),1,0))&lt;&gt;16),MIN(LOOKUP(,-1/($Z$12:Z643=1),$C$12:C643)+LOOKUP(,-1/($Z$12:Z643=1),$H$12:H643)-IF(AA642="Да",0,SUM(INDIRECT("T"&amp;(MAX(("Да"=AA$12:AA642)*ROW(AA$12:AA642)+1,ROW($T$12))&amp;":T"&amp;(ROW()-1))))),Первоначальный[[#This Row],[Полученный платеж]]+Y642),
AND(S642=0,MAX((0&lt;&gt;N$12:N642)*ROW(N$12:N642),ROW($S$12))&gt;=MAX((1=Z$12:Z642)*ROW(Z$12:Z642),ROW($T$12))),MIN(LOOKUP(,-1/($Z$12:Z643=1),$C$12:C643)+LOOKUP(,-1/($Z$12:Z643=1),$H$12:H643)-IF(N642&lt;&gt;0,0,SUM(INDIRECT("T"&amp;(MAX((0&lt;&gt;N$12:N642)*ROW(N$12:N642)+1,ROW($T$12))&amp;":T"&amp;(ROW()-1))))),Первоначальный[[#This Row],[Полученный платеж]]+Y642),
AND(S642=0,Первоначальный[[#This Row],[Дата платежа из графика]]=1),MIN(LOOKUP(,-1/($Z$12:Z643=1),$C$12:C643)+LOOKUP(,-1/($Z$12:Z643=1),$H$12:H643)-IF(Z642=1,0,SUM(INDIRECT("T"&amp;(MAX((1=Z$12:Z642)*ROW(Z$12:Z642)+1,ROW($T$12))&amp;":T"&amp;(ROW()-1))))),Первоначальный[[#This Row],[Полученный платеж]]+Y642),
AND(Z642&gt;0,Первоначальный[[#This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платеж]]+Y642),
AND(S642&gt;0,MAX((0&lt;&gt;S$12:S642)*ROW(S$12:S642),ROW($S$12))&gt;=MAX((1=Z$12:Z642)*ROW(Z$12:Z642),ROW($T$12)),TYPE(VLOOKUP("Да",(INDIRECT("AA"&amp;(MAX((1=Z$12:Z642)*ROW(Z$12:Z642),ROW($T$12))&amp;":AA"&amp;(ROW()-1)))),1,0))=16),MIN(LOOKUP(,-1/($Z$12:Z643=1),$C$12:C643)+LOOKUP(,-1/($Z$12:Z643=1),$H$12:H643)-SUM(INDIRECT("T"&amp;(MAX((1=Z$12:Z642)*ROW(Z$12:Z642),ROW($T$12))&amp;":T"&amp;(ROW()-1)))),Первоначальный[[#This Row],[Полученный платеж]]+Y642),
S642&gt;0,MIN(LOOKUP(,-1/($Z$12:Z643=1),$C$12:C643)+LOOKUP(,-1/($Z$12:Z643=1),$H$12:H643)-IF(Z642=1,0,SUM(INDIRECT("T"&amp;(MAX((1=Z$12:Z642)*ROW(Z$12:Z642)+1,ROW($T$12))&amp;":T"&amp;(ROW()-1))))),Первоначальный[[#This Row],[Полученный платеж]]+Y642)
)
)
)</f>
        <v>0</v>
      </c>
      <c r="U64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платеж]]+Y642-Первоначальный[[#This Row],[Полученный платёж по процентам]])</f>
        <v>0</v>
      </c>
      <c r="V643" s="55">
        <f t="shared" ca="1" si="109"/>
        <v>0</v>
      </c>
      <c r="W643" s="55" cm="1">
        <f t="array" aca="1" ref="W643" ca="1">IF(Первоначальный[[#This Row],[Итого остаток на начало периода]]&lt;1,0,
_xlfn.IFS(
AND(TYPE(VLOOKUP(1,$Z$12:Z643,1,0))=16,Первоначальный[[#This Row],[Досрочное погашение (да/"")]]=""),0,
AND(S642=0,Первоначальный[[#This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платеж]]+Y642-SUM(Первоначальный[[#This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комиссиям]]),VLOOKUP(LOOKUP(,-1/($Z$12:Z643=1),$A$12:A643),График[[Срок конец]:[Возврат основной суммы долга]],3,0)),
AND(S642=0,Первоначальный[[#This Row],[Дата платежа из графика]]="",Первоначальный[[#This Row],[Досрочное погашение (да/"")]]&lt;&gt;"Да"),0,
AND(S642=0,Первоначальный[[#This Row],[Досрочное погашение (да/"")]]=""),MIN(Первоначальный[[#This Row],[Полученный платеж]]+Y642-SUM(Первоначальный[[#This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комиссиям]]),VLOOKUP(LOOKUP(,-1/($Z$12:Z643=1),$A$12:A643),График[[Срок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платеж]]+Y642-SUM(Первоначальный[[#This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S642&gt;0,MIN(Первоначальный[[#This Row],[Полученный платеж]]+Y642-SUM(Первоначальный[[#This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комиссиям]]),SUM(INDIRECT("M"&amp;(MAX((1=S$12:S642)*ROW(S$12:S642),ROW($W$12))&amp;":M"&amp;(ROW()))))-SUM(INDIRECT("W"&amp;(MAX((1=S$12:S642)*ROW(S$12:S642),ROW($W$12))&amp;":W"&amp;(ROW()-1)))))
)
)</f>
        <v>0</v>
      </c>
      <c r="X643" s="55">
        <f t="shared" ca="1" si="110"/>
        <v>0</v>
      </c>
      <c r="Y643" s="101">
        <f t="shared" ca="1" si="117"/>
        <v>0</v>
      </c>
      <c r="Z643" s="133" t="str">
        <f>IF(TYPE((VLOOKUP(Первоначальный[[#This Row],[Дата платежа]],График[Срок конец],1,0)))=16,"",1)</f>
        <v/>
      </c>
      <c r="AA643" s="57"/>
      <c r="AB643" s="134"/>
      <c r="AC64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4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45124.239999999903</v>
      </c>
      <c r="AE64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1281.9600000000025</v>
      </c>
      <c r="AF64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4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73359.653267213158</v>
      </c>
      <c r="AH643" s="55"/>
      <c r="AI643" s="55"/>
      <c r="AJ643" s="55"/>
      <c r="AK643" s="101">
        <f t="shared" ca="1" si="118"/>
        <v>269399.19326721306</v>
      </c>
      <c r="AL643" s="129">
        <f t="array" ref="AL643">MAX((УслРестрактов[Характеристика]="Дата реструктуризации")*(УслРестрактов[Значение]=Первоначальный!$A643),0)</f>
        <v>0</v>
      </c>
    </row>
    <row r="644" spans="1:38" x14ac:dyDescent="0.25">
      <c r="A644" s="97">
        <f t="shared" si="111"/>
        <v>44775</v>
      </c>
      <c r="B644" s="100">
        <f t="shared" ca="1" si="112"/>
        <v>149633.34</v>
      </c>
      <c r="C644" s="55">
        <f t="shared" ca="1" si="120"/>
        <v>45124.239999999903</v>
      </c>
      <c r="D644" s="55">
        <f t="shared" ca="1" si="120"/>
        <v>1281.9600000000025</v>
      </c>
      <c r="E644" s="55">
        <f t="shared" ca="1" si="113"/>
        <v>0</v>
      </c>
      <c r="F644" s="55">
        <f t="shared" ca="1" si="114"/>
        <v>73359.653267213158</v>
      </c>
      <c r="G644" s="101">
        <f t="shared" ca="1" si="115"/>
        <v>269399.19326721306</v>
      </c>
      <c r="H644" s="100">
        <f ca="1">ROUND($B644*VLOOKUP($A644,$A$1:$B$10,2,1)/(365+IF(MOD(YEAR($A644),4),0,1)*($A644-$A643)),2)-Первоначальный[[#This Row],[Проценты на просроченный платеж по ОД за период]]</f>
        <v>76.789999999999992</v>
      </c>
      <c r="I644" s="55">
        <f t="shared" ca="1" si="116"/>
        <v>4.79</v>
      </c>
      <c r="J644" s="55">
        <v>0</v>
      </c>
      <c r="K644" s="55">
        <f t="shared" ca="1" si="119"/>
        <v>260.66350327868844</v>
      </c>
      <c r="L644" s="55">
        <v>0</v>
      </c>
      <c r="M644" s="113">
        <f>SUMIFS(График[Возврат основной суммы долга],График[Дата с учетом нерабочих дней],$A644)</f>
        <v>0</v>
      </c>
      <c r="N644" s="56">
        <f>SUMIFS(График[Возврат начисленных %],График[Дата с учетом нерабочих дней],$A644)</f>
        <v>0</v>
      </c>
      <c r="O644" s="101">
        <v>0</v>
      </c>
      <c r="P644" s="100" cm="1">
        <f t="array" aca="1" ref="P644" ca="1">MAX(IF(AA643="Да",0,SUM(INDIRECT("M"&amp;(MAX(("Да"=AA$12:AA643)*ROW(AA$12:AA643)+1,ROW($P$12))&amp;":M"&amp;(ROW()))))-SUM(INDIRECT("W"&amp;(MAX(("Да"=AA$12:AA643)*ROW(AA$12:AA643)+1,ROW($P$12))&amp;":W"&amp;(ROW()))))),0)</f>
        <v>8777.0299999999988</v>
      </c>
      <c r="Q644" s="99">
        <f ca="1">MAX(SUM($N$13:N644)-SUM($T$13:T644),0)</f>
        <v>43355.670655737689</v>
      </c>
      <c r="R644" s="99">
        <f ca="1">Первоначальный[[#This Row],[Просроченный платеж по ОД]]+Первоначальный[[#This Row],[Просроченный платеж по процентам]]</f>
        <v>52132.700655737688</v>
      </c>
      <c r="S644" s="120">
        <f ca="1">IF(Первоначальный[[#This Row],[Просроченный платеж]]&lt;1,0,S643+1)</f>
        <v>540</v>
      </c>
      <c r="T644" s="100" cm="1">
        <f t="array" aca="1" ref="T644" ca="1">IF(Первоначальный[[#This Row],[Итого остаток на начало периода]]&lt;1,0,
IF(
AND(TYPE(VLOOKUP(1,$Z$12:Z644,1,0))=16,Первоначальный[[#This Row],[Досрочное погашение (да/"")]]=""),0,
_xlfn.IFS(AND(S643=0,Первоначальный[[#This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платеж]]&lt;&gt;0),MIN(LOOKUP(,-1/($Z$12:Z644=1),$C$12:C644)+LOOKUP(,-1/($Z$12:Z644=1),$H$12:H644),Первоначальный[[#This Row],[Полученный платеж]]+Y643),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платеж]]+Y643,SUM(Первоначальный[[#This Row],[Остаток процентов на начало периода]],Первоначальный[[#This Row],[Проценты за период]])),
AND(S643=0,Первоначальный[[#This Row],[Дата платежа из графика]]=""),0,
AND(S643=0,Первоначальный[[#This Row],[Дата платежа из графика]]=1,MAX((0&lt;&gt;S$12:S643)*ROW(S$12:S643),ROW($S$12))&gt;=MAX((1=Z$12:Z643)*ROW(Z$12:Z643),ROW($T$12)),TYPE(VLOOKUP("Да",(INDIRECT("AA"&amp;(MAX((1=Z$12:Z643)*ROW(Z$12:Z643),ROW($T$12))&amp;":AA"&amp;(ROW()-1)))),1,0))=16),MIN(LOOKUP(,-1/($Z$12:Z644=1),$C$12:C644)+LOOKUP(,-1/($Z$12:Z644=1),$H$12:H644),Первоначальный[[#This Row],[Полученный платеж]]+Y643),
AND(S643=0,TYPE(VLOOKUP("Да",(INDIRECT("AA"&amp;(MAX((1=Z$12:Z643)*ROW(Z$12:Z643),ROW($T$12))&amp;":AA"&amp;(ROW()-1)))),1,0))&lt;&gt;16),MIN(LOOKUP(,-1/($Z$12:Z644=1),$C$12:C644)+LOOKUP(,-1/($Z$12:Z644=1),$H$12:H644)-IF(AA643="Да",0,SUM(INDIRECT("T"&amp;(MAX(("Да"=AA$12:AA643)*ROW(AA$12:AA643)+1,ROW($T$12))&amp;":T"&amp;(ROW()-1))))),Первоначальный[[#This Row],[Полученный платеж]]+Y643),
AND(S643=0,MAX((0&lt;&gt;N$12:N643)*ROW(N$12:N643),ROW($S$12))&gt;=MAX((1=Z$12:Z643)*ROW(Z$12:Z643),ROW($T$12))),MIN(LOOKUP(,-1/($Z$12:Z644=1),$C$12:C644)+LOOKUP(,-1/($Z$12:Z644=1),$H$12:H644)-IF(N643&lt;&gt;0,0,SUM(INDIRECT("T"&amp;(MAX((0&lt;&gt;N$12:N643)*ROW(N$12:N643)+1,ROW($T$12))&amp;":T"&amp;(ROW()-1))))),Первоначальный[[#This Row],[Полученный платеж]]+Y643),
AND(S643=0,Первоначальный[[#This Row],[Дата платежа из графика]]=1),MIN(LOOKUP(,-1/($Z$12:Z644=1),$C$12:C644)+LOOKUP(,-1/($Z$12:Z644=1),$H$12:H644)-IF(Z643=1,0,SUM(INDIRECT("T"&amp;(MAX((1=Z$12:Z643)*ROW(Z$12:Z643)+1,ROW($T$12))&amp;":T"&amp;(ROW()-1))))),Первоначальный[[#This Row],[Полученный платеж]]+Y643),
AND(Z643&gt;0,Первоначальный[[#This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платеж]]+Y643),
AND(S643&gt;0,MAX((0&lt;&gt;S$12:S643)*ROW(S$12:S643),ROW($S$12))&gt;=MAX((1=Z$12:Z643)*ROW(Z$12:Z643),ROW($T$12)),TYPE(VLOOKUP("Да",(INDIRECT("AA"&amp;(MAX((1=Z$12:Z643)*ROW(Z$12:Z643),ROW($T$12))&amp;":AA"&amp;(ROW()-1)))),1,0))=16),MIN(LOOKUP(,-1/($Z$12:Z644=1),$C$12:C644)+LOOKUP(,-1/($Z$12:Z644=1),$H$12:H644)-SUM(INDIRECT("T"&amp;(MAX((1=Z$12:Z643)*ROW(Z$12:Z643),ROW($T$12))&amp;":T"&amp;(ROW()-1)))),Первоначальный[[#This Row],[Полученный платеж]]+Y643),
S643&gt;0,MIN(LOOKUP(,-1/($Z$12:Z644=1),$C$12:C644)+LOOKUP(,-1/($Z$12:Z644=1),$H$12:H644)-IF(Z643=1,0,SUM(INDIRECT("T"&amp;(MAX((1=Z$12:Z643)*ROW(Z$12:Z643)+1,ROW($T$12))&amp;":T"&amp;(ROW()-1))))),Первоначальный[[#This Row],[Полученный платеж]]+Y643)
)
)
)</f>
        <v>0</v>
      </c>
      <c r="U64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платеж]]+Y643-Первоначальный[[#This Row],[Полученный платёж по процентам]])</f>
        <v>0</v>
      </c>
      <c r="V644" s="55">
        <f t="shared" ca="1" si="109"/>
        <v>0</v>
      </c>
      <c r="W644" s="55" cm="1">
        <f t="array" aca="1" ref="W644" ca="1">IF(Первоначальный[[#This Row],[Итого остаток на начало периода]]&lt;1,0,
_xlfn.IFS(
AND(TYPE(VLOOKUP(1,$Z$12:Z644,1,0))=16,Первоначальный[[#This Row],[Досрочное погашение (да/"")]]=""),0,
AND(S643=0,Первоначальный[[#This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платеж]]+Y643-SUM(Первоначальный[[#This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комиссиям]]),VLOOKUP(LOOKUP(,-1/($Z$12:Z644=1),$A$12:A644),График[[Срок конец]:[Возврат основной суммы долга]],3,0)),
AND(S643=0,Первоначальный[[#This Row],[Дата платежа из графика]]="",Первоначальный[[#This Row],[Досрочное погашение (да/"")]]&lt;&gt;"Да"),0,
AND(S643=0,Первоначальный[[#This Row],[Досрочное погашение (да/"")]]=""),MIN(Первоначальный[[#This Row],[Полученный платеж]]+Y643-SUM(Первоначальный[[#This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комиссиям]]),VLOOKUP(LOOKUP(,-1/($Z$12:Z644=1),$A$12:A644),График[[Срок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платеж]]+Y643-SUM(Первоначальный[[#This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S643&gt;0,MIN(Первоначальный[[#This Row],[Полученный платеж]]+Y643-SUM(Первоначальный[[#This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комиссиям]]),SUM(INDIRECT("M"&amp;(MAX((1=S$12:S643)*ROW(S$12:S643),ROW($W$12))&amp;":M"&amp;(ROW()))))-SUM(INDIRECT("W"&amp;(MAX((1=S$12:S643)*ROW(S$12:S643),ROW($W$12))&amp;":W"&amp;(ROW()-1)))))
)
)</f>
        <v>0</v>
      </c>
      <c r="X644" s="55">
        <f t="shared" ca="1" si="110"/>
        <v>0</v>
      </c>
      <c r="Y644" s="101">
        <f t="shared" ca="1" si="117"/>
        <v>0</v>
      </c>
      <c r="Z644" s="133" t="str">
        <f>IF(TYPE((VLOOKUP(Первоначальный[[#This Row],[Дата платежа]],График[Срок конец],1,0)))=16,"",1)</f>
        <v/>
      </c>
      <c r="AA644" s="57"/>
      <c r="AB644" s="134"/>
      <c r="AC64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4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45201.029999999904</v>
      </c>
      <c r="AE64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1286.7500000000025</v>
      </c>
      <c r="AF64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4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73620.316770491845</v>
      </c>
      <c r="AH644" s="55"/>
      <c r="AI644" s="55"/>
      <c r="AJ644" s="55"/>
      <c r="AK644" s="101">
        <f t="shared" ca="1" si="118"/>
        <v>269741.43677049177</v>
      </c>
      <c r="AL644" s="129">
        <f t="array" ref="AL644">MAX((УслРестрактов[Характеристика]="Дата реструктуризации")*(УслРестрактов[Значение]=Первоначальный!$A644),0)</f>
        <v>0</v>
      </c>
    </row>
    <row r="645" spans="1:38" x14ac:dyDescent="0.25">
      <c r="A645" s="97">
        <f t="shared" si="111"/>
        <v>44776</v>
      </c>
      <c r="B645" s="100">
        <f t="shared" ca="1" si="112"/>
        <v>149633.34</v>
      </c>
      <c r="C645" s="55">
        <f t="shared" ca="1" si="120"/>
        <v>45201.029999999904</v>
      </c>
      <c r="D645" s="55">
        <f t="shared" ca="1" si="120"/>
        <v>1286.7500000000025</v>
      </c>
      <c r="E645" s="55">
        <f t="shared" ca="1" si="113"/>
        <v>0</v>
      </c>
      <c r="F645" s="55">
        <f t="shared" ca="1" si="114"/>
        <v>73620.316770491845</v>
      </c>
      <c r="G645" s="101">
        <f t="shared" ca="1" si="115"/>
        <v>269741.43677049177</v>
      </c>
      <c r="H645" s="100">
        <f ca="1">ROUND($B645*VLOOKUP($A645,$A$1:$B$10,2,1)/(365+IF(MOD(YEAR($A645),4),0,1)*($A645-$A644)),2)-Первоначальный[[#This Row],[Проценты на просроченный платеж по ОД за период]]</f>
        <v>76.789999999999992</v>
      </c>
      <c r="I645" s="55">
        <f t="shared" ca="1" si="116"/>
        <v>4.79</v>
      </c>
      <c r="J645" s="55">
        <v>0</v>
      </c>
      <c r="K645" s="55">
        <f t="shared" ca="1" si="119"/>
        <v>260.66350327868844</v>
      </c>
      <c r="L645" s="55">
        <v>0</v>
      </c>
      <c r="M645" s="113">
        <f>SUMIFS(График[Возврат основной суммы долга],График[Дата с учетом нерабочих дней],$A645)</f>
        <v>0</v>
      </c>
      <c r="N645" s="56">
        <f>SUMIFS(График[Возврат начисленных %],График[Дата с учетом нерабочих дней],$A645)</f>
        <v>0</v>
      </c>
      <c r="O645" s="101">
        <v>0</v>
      </c>
      <c r="P645" s="100" cm="1">
        <f t="array" aca="1" ref="P645" ca="1">MAX(IF(AA644="Да",0,SUM(INDIRECT("M"&amp;(MAX(("Да"=AA$12:AA644)*ROW(AA$12:AA644)+1,ROW($P$12))&amp;":M"&amp;(ROW()))))-SUM(INDIRECT("W"&amp;(MAX(("Да"=AA$12:AA644)*ROW(AA$12:AA644)+1,ROW($P$12))&amp;":W"&amp;(ROW()))))),0)</f>
        <v>8777.0299999999988</v>
      </c>
      <c r="Q645" s="99">
        <f ca="1">MAX(SUM($N$13:N645)-SUM($T$13:T645),0)</f>
        <v>43355.670655737689</v>
      </c>
      <c r="R645" s="99">
        <f ca="1">Первоначальный[[#This Row],[Просроченный платеж по ОД]]+Первоначальный[[#This Row],[Просроченный платеж по процентам]]</f>
        <v>52132.700655737688</v>
      </c>
      <c r="S645" s="120">
        <f ca="1">IF(Первоначальный[[#This Row],[Просроченный платеж]]&lt;1,0,S644+1)</f>
        <v>541</v>
      </c>
      <c r="T645" s="100" cm="1">
        <f t="array" aca="1" ref="T645" ca="1">IF(Первоначальный[[#This Row],[Итого остаток на начало периода]]&lt;1,0,
IF(
AND(TYPE(VLOOKUP(1,$Z$12:Z645,1,0))=16,Первоначальный[[#This Row],[Досрочное погашение (да/"")]]=""),0,
_xlfn.IFS(AND(S644=0,Первоначальный[[#This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платеж]]&lt;&gt;0),MIN(LOOKUP(,-1/($Z$12:Z645=1),$C$12:C645)+LOOKUP(,-1/($Z$12:Z645=1),$H$12:H645),Первоначальный[[#This Row],[Полученный платеж]]+Y644),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платеж]]+Y644,SUM(Первоначальный[[#This Row],[Остаток процентов на начало периода]],Первоначальный[[#This Row],[Проценты за период]])),
AND(S644=0,Первоначальный[[#This Row],[Дата платежа из графика]]=""),0,
AND(S644=0,Первоначальный[[#This Row],[Дата платежа из графика]]=1,MAX((0&lt;&gt;S$12:S644)*ROW(S$12:S644),ROW($S$12))&gt;=MAX((1=Z$12:Z644)*ROW(Z$12:Z644),ROW($T$12)),TYPE(VLOOKUP("Да",(INDIRECT("AA"&amp;(MAX((1=Z$12:Z644)*ROW(Z$12:Z644),ROW($T$12))&amp;":AA"&amp;(ROW()-1)))),1,0))=16),MIN(LOOKUP(,-1/($Z$12:Z645=1),$C$12:C645)+LOOKUP(,-1/($Z$12:Z645=1),$H$12:H645),Первоначальный[[#This Row],[Полученный платеж]]+Y644),
AND(S644=0,TYPE(VLOOKUP("Да",(INDIRECT("AA"&amp;(MAX((1=Z$12:Z644)*ROW(Z$12:Z644),ROW($T$12))&amp;":AA"&amp;(ROW()-1)))),1,0))&lt;&gt;16),MIN(LOOKUP(,-1/($Z$12:Z645=1),$C$12:C645)+LOOKUP(,-1/($Z$12:Z645=1),$H$12:H645)-IF(AA644="Да",0,SUM(INDIRECT("T"&amp;(MAX(("Да"=AA$12:AA644)*ROW(AA$12:AA644)+1,ROW($T$12))&amp;":T"&amp;(ROW()-1))))),Первоначальный[[#This Row],[Полученный платеж]]+Y644),
AND(S644=0,MAX((0&lt;&gt;N$12:N644)*ROW(N$12:N644),ROW($S$12))&gt;=MAX((1=Z$12:Z644)*ROW(Z$12:Z644),ROW($T$12))),MIN(LOOKUP(,-1/($Z$12:Z645=1),$C$12:C645)+LOOKUP(,-1/($Z$12:Z645=1),$H$12:H645)-IF(N644&lt;&gt;0,0,SUM(INDIRECT("T"&amp;(MAX((0&lt;&gt;N$12:N644)*ROW(N$12:N644)+1,ROW($T$12))&amp;":T"&amp;(ROW()-1))))),Первоначальный[[#This Row],[Полученный платеж]]+Y644),
AND(S644=0,Первоначальный[[#This Row],[Дата платежа из графика]]=1),MIN(LOOKUP(,-1/($Z$12:Z645=1),$C$12:C645)+LOOKUP(,-1/($Z$12:Z645=1),$H$12:H645)-IF(Z644=1,0,SUM(INDIRECT("T"&amp;(MAX((1=Z$12:Z644)*ROW(Z$12:Z644)+1,ROW($T$12))&amp;":T"&amp;(ROW()-1))))),Первоначальный[[#This Row],[Полученный платеж]]+Y644),
AND(Z644&gt;0,Первоначальный[[#This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платеж]]+Y644),
AND(S644&gt;0,MAX((0&lt;&gt;S$12:S644)*ROW(S$12:S644),ROW($S$12))&gt;=MAX((1=Z$12:Z644)*ROW(Z$12:Z644),ROW($T$12)),TYPE(VLOOKUP("Да",(INDIRECT("AA"&amp;(MAX((1=Z$12:Z644)*ROW(Z$12:Z644),ROW($T$12))&amp;":AA"&amp;(ROW()-1)))),1,0))=16),MIN(LOOKUP(,-1/($Z$12:Z645=1),$C$12:C645)+LOOKUP(,-1/($Z$12:Z645=1),$H$12:H645)-SUM(INDIRECT("T"&amp;(MAX((1=Z$12:Z644)*ROW(Z$12:Z644),ROW($T$12))&amp;":T"&amp;(ROW()-1)))),Первоначальный[[#This Row],[Полученный платеж]]+Y644),
S644&gt;0,MIN(LOOKUP(,-1/($Z$12:Z645=1),$C$12:C645)+LOOKUP(,-1/($Z$12:Z645=1),$H$12:H645)-IF(Z644=1,0,SUM(INDIRECT("T"&amp;(MAX((1=Z$12:Z644)*ROW(Z$12:Z644)+1,ROW($T$12))&amp;":T"&amp;(ROW()-1))))),Первоначальный[[#This Row],[Полученный платеж]]+Y644)
)
)
)</f>
        <v>0</v>
      </c>
      <c r="U64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платеж]]+Y644-Первоначальный[[#This Row],[Полученный платёж по процентам]])</f>
        <v>0</v>
      </c>
      <c r="V645" s="55">
        <f t="shared" ca="1" si="109"/>
        <v>0</v>
      </c>
      <c r="W645" s="55" cm="1">
        <f t="array" aca="1" ref="W645" ca="1">IF(Первоначальный[[#This Row],[Итого остаток на начало периода]]&lt;1,0,
_xlfn.IFS(
AND(TYPE(VLOOKUP(1,$Z$12:Z645,1,0))=16,Первоначальный[[#This Row],[Досрочное погашение (да/"")]]=""),0,
AND(S644=0,Первоначальный[[#This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платеж]]+Y644-SUM(Первоначальный[[#This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комиссиям]]),VLOOKUP(LOOKUP(,-1/($Z$12:Z645=1),$A$12:A645),График[[Срок конец]:[Возврат основной суммы долга]],3,0)),
AND(S644=0,Первоначальный[[#This Row],[Дата платежа из графика]]="",Первоначальный[[#This Row],[Досрочное погашение (да/"")]]&lt;&gt;"Да"),0,
AND(S644=0,Первоначальный[[#This Row],[Досрочное погашение (да/"")]]=""),MIN(Первоначальный[[#This Row],[Полученный платеж]]+Y644-SUM(Первоначальный[[#This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комиссиям]]),VLOOKUP(LOOKUP(,-1/($Z$12:Z645=1),$A$12:A645),График[[Срок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платеж]]+Y644-SUM(Первоначальный[[#This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S644&gt;0,MIN(Первоначальный[[#This Row],[Полученный платеж]]+Y644-SUM(Первоначальный[[#This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комиссиям]]),SUM(INDIRECT("M"&amp;(MAX((1=S$12:S644)*ROW(S$12:S644),ROW($W$12))&amp;":M"&amp;(ROW()))))-SUM(INDIRECT("W"&amp;(MAX((1=S$12:S644)*ROW(S$12:S644),ROW($W$12))&amp;":W"&amp;(ROW()-1)))))
)
)</f>
        <v>0</v>
      </c>
      <c r="X645" s="55">
        <f t="shared" ca="1" si="110"/>
        <v>0</v>
      </c>
      <c r="Y645" s="101">
        <f t="shared" ca="1" si="117"/>
        <v>0</v>
      </c>
      <c r="Z645" s="133" t="str">
        <f>IF(TYPE((VLOOKUP(Первоначальный[[#This Row],[Дата платежа]],График[Срок конец],1,0)))=16,"",1)</f>
        <v/>
      </c>
      <c r="AA645" s="57"/>
      <c r="AB645" s="134"/>
      <c r="AC64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4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45277.819999999905</v>
      </c>
      <c r="AE64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1291.5400000000025</v>
      </c>
      <c r="AF64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4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73880.980273770532</v>
      </c>
      <c r="AH645" s="55"/>
      <c r="AI645" s="55"/>
      <c r="AJ645" s="55"/>
      <c r="AK645" s="101">
        <f t="shared" ca="1" si="118"/>
        <v>270083.68027377047</v>
      </c>
      <c r="AL645" s="129">
        <f t="array" ref="AL645">MAX((УслРестрактов[Характеристика]="Дата реструктуризации")*(УслРестрактов[Значение]=Первоначальный!$A645),0)</f>
        <v>0</v>
      </c>
    </row>
    <row r="646" spans="1:38" x14ac:dyDescent="0.25">
      <c r="A646" s="97">
        <f t="shared" si="111"/>
        <v>44777</v>
      </c>
      <c r="B646" s="100">
        <f t="shared" ca="1" si="112"/>
        <v>149633.34</v>
      </c>
      <c r="C646" s="55">
        <f t="shared" ca="1" si="120"/>
        <v>45277.819999999905</v>
      </c>
      <c r="D646" s="55">
        <f t="shared" ca="1" si="120"/>
        <v>1291.5400000000025</v>
      </c>
      <c r="E646" s="55">
        <f t="shared" ca="1" si="113"/>
        <v>0</v>
      </c>
      <c r="F646" s="55">
        <f t="shared" ca="1" si="114"/>
        <v>73880.980273770532</v>
      </c>
      <c r="G646" s="101">
        <f t="shared" ca="1" si="115"/>
        <v>270083.68027377047</v>
      </c>
      <c r="H646" s="100">
        <f ca="1">ROUND($B646*VLOOKUP($A646,$A$1:$B$10,2,1)/(365+IF(MOD(YEAR($A646),4),0,1)*($A646-$A645)),2)-Первоначальный[[#This Row],[Проценты на просроченный платеж по ОД за период]]</f>
        <v>76.789999999999992</v>
      </c>
      <c r="I646" s="55">
        <f t="shared" ca="1" si="116"/>
        <v>4.79</v>
      </c>
      <c r="J646" s="55">
        <v>0</v>
      </c>
      <c r="K646" s="55">
        <f t="shared" ca="1" si="119"/>
        <v>260.66350327868844</v>
      </c>
      <c r="L646" s="55">
        <v>0</v>
      </c>
      <c r="M646" s="113">
        <f>SUMIFS(График[Возврат основной суммы долга],График[Дата с учетом нерабочих дней],$A646)</f>
        <v>0</v>
      </c>
      <c r="N646" s="56">
        <f>SUMIFS(График[Возврат начисленных %],График[Дата с учетом нерабочих дней],$A646)</f>
        <v>0</v>
      </c>
      <c r="O646" s="101">
        <v>0</v>
      </c>
      <c r="P646" s="100" cm="1">
        <f t="array" aca="1" ref="P646" ca="1">MAX(IF(AA645="Да",0,SUM(INDIRECT("M"&amp;(MAX(("Да"=AA$12:AA645)*ROW(AA$12:AA645)+1,ROW($P$12))&amp;":M"&amp;(ROW()))))-SUM(INDIRECT("W"&amp;(MAX(("Да"=AA$12:AA645)*ROW(AA$12:AA645)+1,ROW($P$12))&amp;":W"&amp;(ROW()))))),0)</f>
        <v>8777.0299999999988</v>
      </c>
      <c r="Q646" s="99">
        <f ca="1">MAX(SUM($N$13:N646)-SUM($T$13:T646),0)</f>
        <v>43355.670655737689</v>
      </c>
      <c r="R646" s="99">
        <f ca="1">Первоначальный[[#This Row],[Просроченный платеж по ОД]]+Первоначальный[[#This Row],[Просроченный платеж по процентам]]</f>
        <v>52132.700655737688</v>
      </c>
      <c r="S646" s="120">
        <f ca="1">IF(Первоначальный[[#This Row],[Просроченный платеж]]&lt;1,0,S645+1)</f>
        <v>542</v>
      </c>
      <c r="T646" s="100" cm="1">
        <f t="array" aca="1" ref="T646" ca="1">IF(Первоначальный[[#This Row],[Итого остаток на начало периода]]&lt;1,0,
IF(
AND(TYPE(VLOOKUP(1,$Z$12:Z646,1,0))=16,Первоначальный[[#This Row],[Досрочное погашение (да/"")]]=""),0,
_xlfn.IFS(AND(S645=0,Первоначальный[[#This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платеж]]&lt;&gt;0),MIN(LOOKUP(,-1/($Z$12:Z646=1),$C$12:C646)+LOOKUP(,-1/($Z$12:Z646=1),$H$12:H646),Первоначальный[[#This Row],[Полученный платеж]]+Y645),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платеж]]+Y645,SUM(Первоначальный[[#This Row],[Остаток процентов на начало периода]],Первоначальный[[#This Row],[Проценты за период]])),
AND(S645=0,Первоначальный[[#This Row],[Дата платежа из графика]]=""),0,
AND(S645=0,Первоначальный[[#This Row],[Дата платежа из графика]]=1,MAX((0&lt;&gt;S$12:S645)*ROW(S$12:S645),ROW($S$12))&gt;=MAX((1=Z$12:Z645)*ROW(Z$12:Z645),ROW($T$12)),TYPE(VLOOKUP("Да",(INDIRECT("AA"&amp;(MAX((1=Z$12:Z645)*ROW(Z$12:Z645),ROW($T$12))&amp;":AA"&amp;(ROW()-1)))),1,0))=16),MIN(LOOKUP(,-1/($Z$12:Z646=1),$C$12:C646)+LOOKUP(,-1/($Z$12:Z646=1),$H$12:H646),Первоначальный[[#This Row],[Полученный платеж]]+Y645),
AND(S645=0,TYPE(VLOOKUP("Да",(INDIRECT("AA"&amp;(MAX((1=Z$12:Z645)*ROW(Z$12:Z645),ROW($T$12))&amp;":AA"&amp;(ROW()-1)))),1,0))&lt;&gt;16),MIN(LOOKUP(,-1/($Z$12:Z646=1),$C$12:C646)+LOOKUP(,-1/($Z$12:Z646=1),$H$12:H646)-IF(AA645="Да",0,SUM(INDIRECT("T"&amp;(MAX(("Да"=AA$12:AA645)*ROW(AA$12:AA645)+1,ROW($T$12))&amp;":T"&amp;(ROW()-1))))),Первоначальный[[#This Row],[Полученный платеж]]+Y645),
AND(S645=0,MAX((0&lt;&gt;N$12:N645)*ROW(N$12:N645),ROW($S$12))&gt;=MAX((1=Z$12:Z645)*ROW(Z$12:Z645),ROW($T$12))),MIN(LOOKUP(,-1/($Z$12:Z646=1),$C$12:C646)+LOOKUP(,-1/($Z$12:Z646=1),$H$12:H646)-IF(N645&lt;&gt;0,0,SUM(INDIRECT("T"&amp;(MAX((0&lt;&gt;N$12:N645)*ROW(N$12:N645)+1,ROW($T$12))&amp;":T"&amp;(ROW()-1))))),Первоначальный[[#This Row],[Полученный платеж]]+Y645),
AND(S645=0,Первоначальный[[#This Row],[Дата платежа из графика]]=1),MIN(LOOKUP(,-1/($Z$12:Z646=1),$C$12:C646)+LOOKUP(,-1/($Z$12:Z646=1),$H$12:H646)-IF(Z645=1,0,SUM(INDIRECT("T"&amp;(MAX((1=Z$12:Z645)*ROW(Z$12:Z645)+1,ROW($T$12))&amp;":T"&amp;(ROW()-1))))),Первоначальный[[#This Row],[Полученный платеж]]+Y645),
AND(Z645&gt;0,Первоначальный[[#This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платеж]]+Y645),
AND(S645&gt;0,MAX((0&lt;&gt;S$12:S645)*ROW(S$12:S645),ROW($S$12))&gt;=MAX((1=Z$12:Z645)*ROW(Z$12:Z645),ROW($T$12)),TYPE(VLOOKUP("Да",(INDIRECT("AA"&amp;(MAX((1=Z$12:Z645)*ROW(Z$12:Z645),ROW($T$12))&amp;":AA"&amp;(ROW()-1)))),1,0))=16),MIN(LOOKUP(,-1/($Z$12:Z646=1),$C$12:C646)+LOOKUP(,-1/($Z$12:Z646=1),$H$12:H646)-SUM(INDIRECT("T"&amp;(MAX((1=Z$12:Z645)*ROW(Z$12:Z645),ROW($T$12))&amp;":T"&amp;(ROW()-1)))),Первоначальный[[#This Row],[Полученный платеж]]+Y645),
S645&gt;0,MIN(LOOKUP(,-1/($Z$12:Z646=1),$C$12:C646)+LOOKUP(,-1/($Z$12:Z646=1),$H$12:H646)-IF(Z645=1,0,SUM(INDIRECT("T"&amp;(MAX((1=Z$12:Z645)*ROW(Z$12:Z645)+1,ROW($T$12))&amp;":T"&amp;(ROW()-1))))),Первоначальный[[#This Row],[Полученный платеж]]+Y645)
)
)
)</f>
        <v>0</v>
      </c>
      <c r="U64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платеж]]+Y645-Первоначальный[[#This Row],[Полученный платёж по процентам]])</f>
        <v>0</v>
      </c>
      <c r="V646" s="55">
        <f t="shared" ca="1" si="109"/>
        <v>0</v>
      </c>
      <c r="W646" s="55" cm="1">
        <f t="array" aca="1" ref="W646" ca="1">IF(Первоначальный[[#This Row],[Итого остаток на начало периода]]&lt;1,0,
_xlfn.IFS(
AND(TYPE(VLOOKUP(1,$Z$12:Z646,1,0))=16,Первоначальный[[#This Row],[Досрочное погашение (да/"")]]=""),0,
AND(S645=0,Первоначальный[[#This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платеж]]+Y645-SUM(Первоначальный[[#This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комиссиям]]),VLOOKUP(LOOKUP(,-1/($Z$12:Z646=1),$A$12:A646),График[[Срок конец]:[Возврат основной суммы долга]],3,0)),
AND(S645=0,Первоначальный[[#This Row],[Дата платежа из графика]]="",Первоначальный[[#This Row],[Досрочное погашение (да/"")]]&lt;&gt;"Да"),0,
AND(S645=0,Первоначальный[[#This Row],[Досрочное погашение (да/"")]]=""),MIN(Первоначальный[[#This Row],[Полученный платеж]]+Y645-SUM(Первоначальный[[#This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комиссиям]]),VLOOKUP(LOOKUP(,-1/($Z$12:Z646=1),$A$12:A646),График[[Срок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платеж]]+Y645-SUM(Первоначальный[[#This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S645&gt;0,MIN(Первоначальный[[#This Row],[Полученный платеж]]+Y645-SUM(Первоначальный[[#This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комиссиям]]),SUM(INDIRECT("M"&amp;(MAX((1=S$12:S645)*ROW(S$12:S645),ROW($W$12))&amp;":M"&amp;(ROW()))))-SUM(INDIRECT("W"&amp;(MAX((1=S$12:S645)*ROW(S$12:S645),ROW($W$12))&amp;":W"&amp;(ROW()-1)))))
)
)</f>
        <v>0</v>
      </c>
      <c r="X646" s="55">
        <f t="shared" ca="1" si="110"/>
        <v>0</v>
      </c>
      <c r="Y646" s="101">
        <f t="shared" ca="1" si="117"/>
        <v>0</v>
      </c>
      <c r="Z646" s="133" t="str">
        <f>IF(TYPE((VLOOKUP(Первоначальный[[#This Row],[Дата платежа]],График[Срок конец],1,0)))=16,"",1)</f>
        <v/>
      </c>
      <c r="AA646" s="57"/>
      <c r="AB646" s="134"/>
      <c r="AC64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4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45354.609999999906</v>
      </c>
      <c r="AE64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1296.3300000000024</v>
      </c>
      <c r="AF64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4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74141.643777049219</v>
      </c>
      <c r="AH646" s="55"/>
      <c r="AI646" s="55"/>
      <c r="AJ646" s="55"/>
      <c r="AK646" s="101">
        <f t="shared" ca="1" si="118"/>
        <v>270425.92377704912</v>
      </c>
      <c r="AL646" s="129">
        <f t="array" ref="AL646">MAX((УслРестрактов[Характеристика]="Дата реструктуризации")*(УслРестрактов[Значение]=Первоначальный!$A646),0)</f>
        <v>0</v>
      </c>
    </row>
    <row r="647" spans="1:38" x14ac:dyDescent="0.25">
      <c r="A647" s="97">
        <f t="shared" si="111"/>
        <v>44778</v>
      </c>
      <c r="B647" s="100">
        <f t="shared" ca="1" si="112"/>
        <v>149633.34</v>
      </c>
      <c r="C647" s="55">
        <f t="shared" ca="1" si="120"/>
        <v>45354.609999999906</v>
      </c>
      <c r="D647" s="55">
        <f t="shared" ca="1" si="120"/>
        <v>1296.3300000000024</v>
      </c>
      <c r="E647" s="55">
        <f t="shared" ca="1" si="113"/>
        <v>0</v>
      </c>
      <c r="F647" s="55">
        <f t="shared" ca="1" si="114"/>
        <v>74141.643777049219</v>
      </c>
      <c r="G647" s="101">
        <f t="shared" ca="1" si="115"/>
        <v>270425.92377704912</v>
      </c>
      <c r="H647" s="100">
        <f ca="1">ROUND($B647*VLOOKUP($A647,$A$1:$B$10,2,1)/(365+IF(MOD(YEAR($A647),4),0,1)*($A647-$A646)),2)-Первоначальный[[#This Row],[Проценты на просроченный платеж по ОД за период]]</f>
        <v>76.789999999999992</v>
      </c>
      <c r="I647" s="55">
        <f t="shared" ca="1" si="116"/>
        <v>4.79</v>
      </c>
      <c r="J647" s="55">
        <v>0</v>
      </c>
      <c r="K647" s="55">
        <f t="shared" ca="1" si="119"/>
        <v>260.66350327868844</v>
      </c>
      <c r="L647" s="55">
        <v>0</v>
      </c>
      <c r="M647" s="113">
        <f>SUMIFS(График[Возврат основной суммы долга],График[Дата с учетом нерабочих дней],$A647)</f>
        <v>0</v>
      </c>
      <c r="N647" s="56">
        <f>SUMIFS(График[Возврат начисленных %],График[Дата с учетом нерабочих дней],$A647)</f>
        <v>0</v>
      </c>
      <c r="O647" s="101">
        <v>0</v>
      </c>
      <c r="P647" s="100" cm="1">
        <f t="array" aca="1" ref="P647" ca="1">MAX(IF(AA646="Да",0,SUM(INDIRECT("M"&amp;(MAX(("Да"=AA$12:AA646)*ROW(AA$12:AA646)+1,ROW($P$12))&amp;":M"&amp;(ROW()))))-SUM(INDIRECT("W"&amp;(MAX(("Да"=AA$12:AA646)*ROW(AA$12:AA646)+1,ROW($P$12))&amp;":W"&amp;(ROW()))))),0)</f>
        <v>8777.0299999999988</v>
      </c>
      <c r="Q647" s="99">
        <f ca="1">MAX(SUM($N$13:N647)-SUM($T$13:T647),0)</f>
        <v>43355.670655737689</v>
      </c>
      <c r="R647" s="99">
        <f ca="1">Первоначальный[[#This Row],[Просроченный платеж по ОД]]+Первоначальный[[#This Row],[Просроченный платеж по процентам]]</f>
        <v>52132.700655737688</v>
      </c>
      <c r="S647" s="120">
        <f ca="1">IF(Первоначальный[[#This Row],[Просроченный платеж]]&lt;1,0,S646+1)</f>
        <v>543</v>
      </c>
      <c r="T647" s="100" cm="1">
        <f t="array" aca="1" ref="T647" ca="1">IF(Первоначальный[[#This Row],[Итого остаток на начало периода]]&lt;1,0,
IF(
AND(TYPE(VLOOKUP(1,$Z$12:Z647,1,0))=16,Первоначальный[[#This Row],[Досрочное погашение (да/"")]]=""),0,
_xlfn.IFS(AND(S646=0,Первоначальный[[#This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платеж]]&lt;&gt;0),MIN(LOOKUP(,-1/($Z$12:Z647=1),$C$12:C647)+LOOKUP(,-1/($Z$12:Z647=1),$H$12:H647),Первоначальный[[#This Row],[Полученный платеж]]+Y646),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платеж]]+Y646,SUM(Первоначальный[[#This Row],[Остаток процентов на начало периода]],Первоначальный[[#This Row],[Проценты за период]])),
AND(S646=0,Первоначальный[[#This Row],[Дата платежа из графика]]=""),0,
AND(S646=0,Первоначальный[[#This Row],[Дата платежа из графика]]=1,MAX((0&lt;&gt;S$12:S646)*ROW(S$12:S646),ROW($S$12))&gt;=MAX((1=Z$12:Z646)*ROW(Z$12:Z646),ROW($T$12)),TYPE(VLOOKUP("Да",(INDIRECT("AA"&amp;(MAX((1=Z$12:Z646)*ROW(Z$12:Z646),ROW($T$12))&amp;":AA"&amp;(ROW()-1)))),1,0))=16),MIN(LOOKUP(,-1/($Z$12:Z647=1),$C$12:C647)+LOOKUP(,-1/($Z$12:Z647=1),$H$12:H647),Первоначальный[[#This Row],[Полученный платеж]]+Y646),
AND(S646=0,TYPE(VLOOKUP("Да",(INDIRECT("AA"&amp;(MAX((1=Z$12:Z646)*ROW(Z$12:Z646),ROW($T$12))&amp;":AA"&amp;(ROW()-1)))),1,0))&lt;&gt;16),MIN(LOOKUP(,-1/($Z$12:Z647=1),$C$12:C647)+LOOKUP(,-1/($Z$12:Z647=1),$H$12:H647)-IF(AA646="Да",0,SUM(INDIRECT("T"&amp;(MAX(("Да"=AA$12:AA646)*ROW(AA$12:AA646)+1,ROW($T$12))&amp;":T"&amp;(ROW()-1))))),Первоначальный[[#This Row],[Полученный платеж]]+Y646),
AND(S646=0,MAX((0&lt;&gt;N$12:N646)*ROW(N$12:N646),ROW($S$12))&gt;=MAX((1=Z$12:Z646)*ROW(Z$12:Z646),ROW($T$12))),MIN(LOOKUP(,-1/($Z$12:Z647=1),$C$12:C647)+LOOKUP(,-1/($Z$12:Z647=1),$H$12:H647)-IF(N646&lt;&gt;0,0,SUM(INDIRECT("T"&amp;(MAX((0&lt;&gt;N$12:N646)*ROW(N$12:N646)+1,ROW($T$12))&amp;":T"&amp;(ROW()-1))))),Первоначальный[[#This Row],[Полученный платеж]]+Y646),
AND(S646=0,Первоначальный[[#This Row],[Дата платежа из графика]]=1),MIN(LOOKUP(,-1/($Z$12:Z647=1),$C$12:C647)+LOOKUP(,-1/($Z$12:Z647=1),$H$12:H647)-IF(Z646=1,0,SUM(INDIRECT("T"&amp;(MAX((1=Z$12:Z646)*ROW(Z$12:Z646)+1,ROW($T$12))&amp;":T"&amp;(ROW()-1))))),Первоначальный[[#This Row],[Полученный платеж]]+Y646),
AND(Z646&gt;0,Первоначальный[[#This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платеж]]+Y646),
AND(S646&gt;0,MAX((0&lt;&gt;S$12:S646)*ROW(S$12:S646),ROW($S$12))&gt;=MAX((1=Z$12:Z646)*ROW(Z$12:Z646),ROW($T$12)),TYPE(VLOOKUP("Да",(INDIRECT("AA"&amp;(MAX((1=Z$12:Z646)*ROW(Z$12:Z646),ROW($T$12))&amp;":AA"&amp;(ROW()-1)))),1,0))=16),MIN(LOOKUP(,-1/($Z$12:Z647=1),$C$12:C647)+LOOKUP(,-1/($Z$12:Z647=1),$H$12:H647)-SUM(INDIRECT("T"&amp;(MAX((1=Z$12:Z646)*ROW(Z$12:Z646),ROW($T$12))&amp;":T"&amp;(ROW()-1)))),Первоначальный[[#This Row],[Полученный платеж]]+Y646),
S646&gt;0,MIN(LOOKUP(,-1/($Z$12:Z647=1),$C$12:C647)+LOOKUP(,-1/($Z$12:Z647=1),$H$12:H647)-IF(Z646=1,0,SUM(INDIRECT("T"&amp;(MAX((1=Z$12:Z646)*ROW(Z$12:Z646)+1,ROW($T$12))&amp;":T"&amp;(ROW()-1))))),Первоначальный[[#This Row],[Полученный платеж]]+Y646)
)
)
)</f>
        <v>0</v>
      </c>
      <c r="U64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платеж]]+Y646-Первоначальный[[#This Row],[Полученный платёж по процентам]])</f>
        <v>0</v>
      </c>
      <c r="V647" s="55">
        <f t="shared" ca="1" si="109"/>
        <v>0</v>
      </c>
      <c r="W647" s="55" cm="1">
        <f t="array" aca="1" ref="W647" ca="1">IF(Первоначальный[[#This Row],[Итого остаток на начало периода]]&lt;1,0,
_xlfn.IFS(
AND(TYPE(VLOOKUP(1,$Z$12:Z647,1,0))=16,Первоначальный[[#This Row],[Досрочное погашение (да/"")]]=""),0,
AND(S646=0,Первоначальный[[#This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платеж]]+Y646-SUM(Первоначальный[[#This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комиссиям]]),VLOOKUP(LOOKUP(,-1/($Z$12:Z647=1),$A$12:A647),График[[Срок конец]:[Возврат основной суммы долга]],3,0)),
AND(S646=0,Первоначальный[[#This Row],[Дата платежа из графика]]="",Первоначальный[[#This Row],[Досрочное погашение (да/"")]]&lt;&gt;"Да"),0,
AND(S646=0,Первоначальный[[#This Row],[Досрочное погашение (да/"")]]=""),MIN(Первоначальный[[#This Row],[Полученный платеж]]+Y646-SUM(Первоначальный[[#This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комиссиям]]),VLOOKUP(LOOKUP(,-1/($Z$12:Z647=1),$A$12:A647),График[[Срок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платеж]]+Y646-SUM(Первоначальный[[#This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S646&gt;0,MIN(Первоначальный[[#This Row],[Полученный платеж]]+Y646-SUM(Первоначальный[[#This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комиссиям]]),SUM(INDIRECT("M"&amp;(MAX((1=S$12:S646)*ROW(S$12:S646),ROW($W$12))&amp;":M"&amp;(ROW()))))-SUM(INDIRECT("W"&amp;(MAX((1=S$12:S646)*ROW(S$12:S646),ROW($W$12))&amp;":W"&amp;(ROW()-1)))))
)
)</f>
        <v>0</v>
      </c>
      <c r="X647" s="55">
        <f t="shared" ca="1" si="110"/>
        <v>0</v>
      </c>
      <c r="Y647" s="101">
        <f t="shared" ca="1" si="117"/>
        <v>0</v>
      </c>
      <c r="Z647" s="133" t="str">
        <f>IF(TYPE((VLOOKUP(Первоначальный[[#This Row],[Дата платежа]],График[Срок конец],1,0)))=16,"",1)</f>
        <v/>
      </c>
      <c r="AA647" s="57"/>
      <c r="AB647" s="134"/>
      <c r="AC64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4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45431.399999999907</v>
      </c>
      <c r="AE64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1301.1200000000024</v>
      </c>
      <c r="AF64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4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74402.307280327906</v>
      </c>
      <c r="AH647" s="55"/>
      <c r="AI647" s="55"/>
      <c r="AJ647" s="55"/>
      <c r="AK647" s="101">
        <f t="shared" ca="1" si="118"/>
        <v>270768.16728032782</v>
      </c>
      <c r="AL647" s="129">
        <f t="array" ref="AL647">MAX((УслРестрактов[Характеристика]="Дата реструктуризации")*(УслРестрактов[Значение]=Первоначальный!$A647),0)</f>
        <v>0</v>
      </c>
    </row>
    <row r="648" spans="1:38" x14ac:dyDescent="0.25">
      <c r="A648" s="97">
        <f t="shared" si="111"/>
        <v>44779</v>
      </c>
      <c r="B648" s="100">
        <f t="shared" ca="1" si="112"/>
        <v>149633.34</v>
      </c>
      <c r="C648" s="55">
        <f t="shared" ca="1" si="120"/>
        <v>45431.399999999907</v>
      </c>
      <c r="D648" s="55">
        <f t="shared" ca="1" si="120"/>
        <v>1301.1200000000024</v>
      </c>
      <c r="E648" s="55">
        <f t="shared" ca="1" si="113"/>
        <v>0</v>
      </c>
      <c r="F648" s="55">
        <f t="shared" ca="1" si="114"/>
        <v>74402.307280327906</v>
      </c>
      <c r="G648" s="101">
        <f t="shared" ca="1" si="115"/>
        <v>270768.16728032782</v>
      </c>
      <c r="H648" s="100">
        <f ca="1">ROUND($B648*VLOOKUP($A648,$A$1:$B$10,2,1)/(365+IF(MOD(YEAR($A648),4),0,1)*($A648-$A647)),2)-Первоначальный[[#This Row],[Проценты на просроченный платеж по ОД за период]]</f>
        <v>76.789999999999992</v>
      </c>
      <c r="I648" s="55">
        <f t="shared" ca="1" si="116"/>
        <v>4.79</v>
      </c>
      <c r="J648" s="55">
        <v>0</v>
      </c>
      <c r="K648" s="55">
        <f t="shared" ca="1" si="119"/>
        <v>260.66350327868844</v>
      </c>
      <c r="L648" s="55">
        <v>0</v>
      </c>
      <c r="M648" s="113">
        <f>SUMIFS(График[Возврат основной суммы долга],График[Дата с учетом нерабочих дней],$A648)</f>
        <v>0</v>
      </c>
      <c r="N648" s="56">
        <f>SUMIFS(График[Возврат начисленных %],График[Дата с учетом нерабочих дней],$A648)</f>
        <v>0</v>
      </c>
      <c r="O648" s="101">
        <v>0</v>
      </c>
      <c r="P648" s="100" cm="1">
        <f t="array" aca="1" ref="P648" ca="1">MAX(IF(AA647="Да",0,SUM(INDIRECT("M"&amp;(MAX(("Да"=AA$12:AA647)*ROW(AA$12:AA647)+1,ROW($P$12))&amp;":M"&amp;(ROW()))))-SUM(INDIRECT("W"&amp;(MAX(("Да"=AA$12:AA647)*ROW(AA$12:AA647)+1,ROW($P$12))&amp;":W"&amp;(ROW()))))),0)</f>
        <v>8777.0299999999988</v>
      </c>
      <c r="Q648" s="99">
        <f ca="1">MAX(SUM($N$13:N648)-SUM($T$13:T648),0)</f>
        <v>43355.670655737689</v>
      </c>
      <c r="R648" s="99">
        <f ca="1">Первоначальный[[#This Row],[Просроченный платеж по ОД]]+Первоначальный[[#This Row],[Просроченный платеж по процентам]]</f>
        <v>52132.700655737688</v>
      </c>
      <c r="S648" s="120">
        <f ca="1">IF(Первоначальный[[#This Row],[Просроченный платеж]]&lt;1,0,S647+1)</f>
        <v>544</v>
      </c>
      <c r="T648" s="100" cm="1">
        <f t="array" aca="1" ref="T648" ca="1">IF(Первоначальный[[#This Row],[Итого остаток на начало периода]]&lt;1,0,
IF(
AND(TYPE(VLOOKUP(1,$Z$12:Z648,1,0))=16,Первоначальный[[#This Row],[Досрочное погашение (да/"")]]=""),0,
_xlfn.IFS(AND(S647=0,Первоначальный[[#This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платеж]]&lt;&gt;0),MIN(LOOKUP(,-1/($Z$12:Z648=1),$C$12:C648)+LOOKUP(,-1/($Z$12:Z648=1),$H$12:H648),Первоначальный[[#This Row],[Полученный платеж]]+Y647),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платеж]]+Y647,SUM(Первоначальный[[#This Row],[Остаток процентов на начало периода]],Первоначальный[[#This Row],[Проценты за период]])),
AND(S647=0,Первоначальный[[#This Row],[Дата платежа из графика]]=""),0,
AND(S647=0,Первоначальный[[#This Row],[Дата платежа из графика]]=1,MAX((0&lt;&gt;S$12:S647)*ROW(S$12:S647),ROW($S$12))&gt;=MAX((1=Z$12:Z647)*ROW(Z$12:Z647),ROW($T$12)),TYPE(VLOOKUP("Да",(INDIRECT("AA"&amp;(MAX((1=Z$12:Z647)*ROW(Z$12:Z647),ROW($T$12))&amp;":AA"&amp;(ROW()-1)))),1,0))=16),MIN(LOOKUP(,-1/($Z$12:Z648=1),$C$12:C648)+LOOKUP(,-1/($Z$12:Z648=1),$H$12:H648),Первоначальный[[#This Row],[Полученный платеж]]+Y647),
AND(S647=0,TYPE(VLOOKUP("Да",(INDIRECT("AA"&amp;(MAX((1=Z$12:Z647)*ROW(Z$12:Z647),ROW($T$12))&amp;":AA"&amp;(ROW()-1)))),1,0))&lt;&gt;16),MIN(LOOKUP(,-1/($Z$12:Z648=1),$C$12:C648)+LOOKUP(,-1/($Z$12:Z648=1),$H$12:H648)-IF(AA647="Да",0,SUM(INDIRECT("T"&amp;(MAX(("Да"=AA$12:AA647)*ROW(AA$12:AA647)+1,ROW($T$12))&amp;":T"&amp;(ROW()-1))))),Первоначальный[[#This Row],[Полученный платеж]]+Y647),
AND(S647=0,MAX((0&lt;&gt;N$12:N647)*ROW(N$12:N647),ROW($S$12))&gt;=MAX((1=Z$12:Z647)*ROW(Z$12:Z647),ROW($T$12))),MIN(LOOKUP(,-1/($Z$12:Z648=1),$C$12:C648)+LOOKUP(,-1/($Z$12:Z648=1),$H$12:H648)-IF(N647&lt;&gt;0,0,SUM(INDIRECT("T"&amp;(MAX((0&lt;&gt;N$12:N647)*ROW(N$12:N647)+1,ROW($T$12))&amp;":T"&amp;(ROW()-1))))),Первоначальный[[#This Row],[Полученный платеж]]+Y647),
AND(S647=0,Первоначальный[[#This Row],[Дата платежа из графика]]=1),MIN(LOOKUP(,-1/($Z$12:Z648=1),$C$12:C648)+LOOKUP(,-1/($Z$12:Z648=1),$H$12:H648)-IF(Z647=1,0,SUM(INDIRECT("T"&amp;(MAX((1=Z$12:Z647)*ROW(Z$12:Z647)+1,ROW($T$12))&amp;":T"&amp;(ROW()-1))))),Первоначальный[[#This Row],[Полученный платеж]]+Y647),
AND(Z647&gt;0,Первоначальный[[#This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платеж]]+Y647),
AND(S647&gt;0,MAX((0&lt;&gt;S$12:S647)*ROW(S$12:S647),ROW($S$12))&gt;=MAX((1=Z$12:Z647)*ROW(Z$12:Z647),ROW($T$12)),TYPE(VLOOKUP("Да",(INDIRECT("AA"&amp;(MAX((1=Z$12:Z647)*ROW(Z$12:Z647),ROW($T$12))&amp;":AA"&amp;(ROW()-1)))),1,0))=16),MIN(LOOKUP(,-1/($Z$12:Z648=1),$C$12:C648)+LOOKUP(,-1/($Z$12:Z648=1),$H$12:H648)-SUM(INDIRECT("T"&amp;(MAX((1=Z$12:Z647)*ROW(Z$12:Z647),ROW($T$12))&amp;":T"&amp;(ROW()-1)))),Первоначальный[[#This Row],[Полученный платеж]]+Y647),
S647&gt;0,MIN(LOOKUP(,-1/($Z$12:Z648=1),$C$12:C648)+LOOKUP(,-1/($Z$12:Z648=1),$H$12:H648)-IF(Z647=1,0,SUM(INDIRECT("T"&amp;(MAX((1=Z$12:Z647)*ROW(Z$12:Z647)+1,ROW($T$12))&amp;":T"&amp;(ROW()-1))))),Первоначальный[[#This Row],[Полученный платеж]]+Y647)
)
)
)</f>
        <v>0</v>
      </c>
      <c r="U64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платеж]]+Y647-Первоначальный[[#This Row],[Полученный платёж по процентам]])</f>
        <v>0</v>
      </c>
      <c r="V648" s="55">
        <f t="shared" ca="1" si="109"/>
        <v>0</v>
      </c>
      <c r="W648" s="55" cm="1">
        <f t="array" aca="1" ref="W648" ca="1">IF(Первоначальный[[#This Row],[Итого остаток на начало периода]]&lt;1,0,
_xlfn.IFS(
AND(TYPE(VLOOKUP(1,$Z$12:Z648,1,0))=16,Первоначальный[[#This Row],[Досрочное погашение (да/"")]]=""),0,
AND(S647=0,Первоначальный[[#This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платеж]]+Y647-SUM(Первоначальный[[#This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комиссиям]]),VLOOKUP(LOOKUP(,-1/($Z$12:Z648=1),$A$12:A648),График[[Срок конец]:[Возврат основной суммы долга]],3,0)),
AND(S647=0,Первоначальный[[#This Row],[Дата платежа из графика]]="",Первоначальный[[#This Row],[Досрочное погашение (да/"")]]&lt;&gt;"Да"),0,
AND(S647=0,Первоначальный[[#This Row],[Досрочное погашение (да/"")]]=""),MIN(Первоначальный[[#This Row],[Полученный платеж]]+Y647-SUM(Первоначальный[[#This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комиссиям]]),VLOOKUP(LOOKUP(,-1/($Z$12:Z648=1),$A$12:A648),График[[Срок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платеж]]+Y647-SUM(Первоначальный[[#This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S647&gt;0,MIN(Первоначальный[[#This Row],[Полученный платеж]]+Y647-SUM(Первоначальный[[#This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комиссиям]]),SUM(INDIRECT("M"&amp;(MAX((1=S$12:S647)*ROW(S$12:S647),ROW($W$12))&amp;":M"&amp;(ROW()))))-SUM(INDIRECT("W"&amp;(MAX((1=S$12:S647)*ROW(S$12:S647),ROW($W$12))&amp;":W"&amp;(ROW()-1)))))
)
)</f>
        <v>0</v>
      </c>
      <c r="X648" s="55">
        <f t="shared" ca="1" si="110"/>
        <v>0</v>
      </c>
      <c r="Y648" s="101">
        <f t="shared" ca="1" si="117"/>
        <v>0</v>
      </c>
      <c r="Z648" s="133" t="str">
        <f>IF(TYPE((VLOOKUP(Первоначальный[[#This Row],[Дата платежа]],График[Срок конец],1,0)))=16,"",1)</f>
        <v/>
      </c>
      <c r="AA648" s="57"/>
      <c r="AB648" s="134"/>
      <c r="AC64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4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45508.189999999908</v>
      </c>
      <c r="AE64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1305.9100000000024</v>
      </c>
      <c r="AF64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4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74662.970783606594</v>
      </c>
      <c r="AH648" s="55"/>
      <c r="AI648" s="55"/>
      <c r="AJ648" s="55"/>
      <c r="AK648" s="101">
        <f t="shared" ca="1" si="118"/>
        <v>271110.41078360652</v>
      </c>
      <c r="AL648" s="129">
        <f t="array" ref="AL648">MAX((УслРестрактов[Характеристика]="Дата реструктуризации")*(УслРестрактов[Значение]=Первоначальный!$A648),0)</f>
        <v>0</v>
      </c>
    </row>
    <row r="649" spans="1:38" x14ac:dyDescent="0.25">
      <c r="A649" s="97">
        <f t="shared" si="111"/>
        <v>44780</v>
      </c>
      <c r="B649" s="100">
        <f t="shared" ca="1" si="112"/>
        <v>149633.34</v>
      </c>
      <c r="C649" s="55">
        <f t="shared" ca="1" si="120"/>
        <v>45508.189999999908</v>
      </c>
      <c r="D649" s="55">
        <f t="shared" ca="1" si="120"/>
        <v>1305.9100000000024</v>
      </c>
      <c r="E649" s="55">
        <f t="shared" ca="1" si="113"/>
        <v>0</v>
      </c>
      <c r="F649" s="55">
        <f t="shared" ca="1" si="114"/>
        <v>74662.970783606594</v>
      </c>
      <c r="G649" s="101">
        <f t="shared" ca="1" si="115"/>
        <v>271110.41078360652</v>
      </c>
      <c r="H649" s="100">
        <f ca="1">ROUND($B649*VLOOKUP($A649,$A$1:$B$10,2,1)/(365+IF(MOD(YEAR($A649),4),0,1)*($A649-$A648)),2)-Первоначальный[[#This Row],[Проценты на просроченный платеж по ОД за период]]</f>
        <v>76.789999999999992</v>
      </c>
      <c r="I649" s="55">
        <f t="shared" ca="1" si="116"/>
        <v>4.79</v>
      </c>
      <c r="J649" s="55">
        <v>0</v>
      </c>
      <c r="K649" s="55">
        <f t="shared" ca="1" si="119"/>
        <v>260.66350327868844</v>
      </c>
      <c r="L649" s="55">
        <v>0</v>
      </c>
      <c r="M649" s="113">
        <f>SUMIFS(График[Возврат основной суммы долга],График[Дата с учетом нерабочих дней],$A649)</f>
        <v>0</v>
      </c>
      <c r="N649" s="56">
        <f>SUMIFS(График[Возврат начисленных %],График[Дата с учетом нерабочих дней],$A649)</f>
        <v>0</v>
      </c>
      <c r="O649" s="101">
        <v>0</v>
      </c>
      <c r="P649" s="100" cm="1">
        <f t="array" aca="1" ref="P649" ca="1">MAX(IF(AA648="Да",0,SUM(INDIRECT("M"&amp;(MAX(("Да"=AA$12:AA648)*ROW(AA$12:AA648)+1,ROW($P$12))&amp;":M"&amp;(ROW()))))-SUM(INDIRECT("W"&amp;(MAX(("Да"=AA$12:AA648)*ROW(AA$12:AA648)+1,ROW($P$12))&amp;":W"&amp;(ROW()))))),0)</f>
        <v>8777.0299999999988</v>
      </c>
      <c r="Q649" s="99">
        <f ca="1">MAX(SUM($N$13:N649)-SUM($T$13:T649),0)</f>
        <v>43355.670655737689</v>
      </c>
      <c r="R649" s="99">
        <f ca="1">Первоначальный[[#This Row],[Просроченный платеж по ОД]]+Первоначальный[[#This Row],[Просроченный платеж по процентам]]</f>
        <v>52132.700655737688</v>
      </c>
      <c r="S649" s="120">
        <f ca="1">IF(Первоначальный[[#This Row],[Просроченный платеж]]&lt;1,0,S648+1)</f>
        <v>545</v>
      </c>
      <c r="T649" s="100" cm="1">
        <f t="array" aca="1" ref="T649" ca="1">IF(Первоначальный[[#This Row],[Итого остаток на начало периода]]&lt;1,0,
IF(
AND(TYPE(VLOOKUP(1,$Z$12:Z649,1,0))=16,Первоначальный[[#This Row],[Досрочное погашение (да/"")]]=""),0,
_xlfn.IFS(AND(S648=0,Первоначальный[[#This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платеж]]&lt;&gt;0),MIN(LOOKUP(,-1/($Z$12:Z649=1),$C$12:C649)+LOOKUP(,-1/($Z$12:Z649=1),$H$12:H649),Первоначальный[[#This Row],[Полученный платеж]]+Y648),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платеж]]+Y648,SUM(Первоначальный[[#This Row],[Остаток процентов на начало периода]],Первоначальный[[#This Row],[Проценты за период]])),
AND(S648=0,Первоначальный[[#This Row],[Дата платежа из графика]]=""),0,
AND(S648=0,Первоначальный[[#This Row],[Дата платежа из графика]]=1,MAX((0&lt;&gt;S$12:S648)*ROW(S$12:S648),ROW($S$12))&gt;=MAX((1=Z$12:Z648)*ROW(Z$12:Z648),ROW($T$12)),TYPE(VLOOKUP("Да",(INDIRECT("AA"&amp;(MAX((1=Z$12:Z648)*ROW(Z$12:Z648),ROW($T$12))&amp;":AA"&amp;(ROW()-1)))),1,0))=16),MIN(LOOKUP(,-1/($Z$12:Z649=1),$C$12:C649)+LOOKUP(,-1/($Z$12:Z649=1),$H$12:H649),Первоначальный[[#This Row],[Полученный платеж]]+Y648),
AND(S648=0,TYPE(VLOOKUP("Да",(INDIRECT("AA"&amp;(MAX((1=Z$12:Z648)*ROW(Z$12:Z648),ROW($T$12))&amp;":AA"&amp;(ROW()-1)))),1,0))&lt;&gt;16),MIN(LOOKUP(,-1/($Z$12:Z649=1),$C$12:C649)+LOOKUP(,-1/($Z$12:Z649=1),$H$12:H649)-IF(AA648="Да",0,SUM(INDIRECT("T"&amp;(MAX(("Да"=AA$12:AA648)*ROW(AA$12:AA648)+1,ROW($T$12))&amp;":T"&amp;(ROW()-1))))),Первоначальный[[#This Row],[Полученный платеж]]+Y648),
AND(S648=0,MAX((0&lt;&gt;N$12:N648)*ROW(N$12:N648),ROW($S$12))&gt;=MAX((1=Z$12:Z648)*ROW(Z$12:Z648),ROW($T$12))),MIN(LOOKUP(,-1/($Z$12:Z649=1),$C$12:C649)+LOOKUP(,-1/($Z$12:Z649=1),$H$12:H649)-IF(N648&lt;&gt;0,0,SUM(INDIRECT("T"&amp;(MAX((0&lt;&gt;N$12:N648)*ROW(N$12:N648)+1,ROW($T$12))&amp;":T"&amp;(ROW()-1))))),Первоначальный[[#This Row],[Полученный платеж]]+Y648),
AND(S648=0,Первоначальный[[#This Row],[Дата платежа из графика]]=1),MIN(LOOKUP(,-1/($Z$12:Z649=1),$C$12:C649)+LOOKUP(,-1/($Z$12:Z649=1),$H$12:H649)-IF(Z648=1,0,SUM(INDIRECT("T"&amp;(MAX((1=Z$12:Z648)*ROW(Z$12:Z648)+1,ROW($T$12))&amp;":T"&amp;(ROW()-1))))),Первоначальный[[#This Row],[Полученный платеж]]+Y648),
AND(Z648&gt;0,Первоначальный[[#This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платеж]]+Y648),
AND(S648&gt;0,MAX((0&lt;&gt;S$12:S648)*ROW(S$12:S648),ROW($S$12))&gt;=MAX((1=Z$12:Z648)*ROW(Z$12:Z648),ROW($T$12)),TYPE(VLOOKUP("Да",(INDIRECT("AA"&amp;(MAX((1=Z$12:Z648)*ROW(Z$12:Z648),ROW($T$12))&amp;":AA"&amp;(ROW()-1)))),1,0))=16),MIN(LOOKUP(,-1/($Z$12:Z649=1),$C$12:C649)+LOOKUP(,-1/($Z$12:Z649=1),$H$12:H649)-SUM(INDIRECT("T"&amp;(MAX((1=Z$12:Z648)*ROW(Z$12:Z648),ROW($T$12))&amp;":T"&amp;(ROW()-1)))),Первоначальный[[#This Row],[Полученный платеж]]+Y648),
S648&gt;0,MIN(LOOKUP(,-1/($Z$12:Z649=1),$C$12:C649)+LOOKUP(,-1/($Z$12:Z649=1),$H$12:H649)-IF(Z648=1,0,SUM(INDIRECT("T"&amp;(MAX((1=Z$12:Z648)*ROW(Z$12:Z648)+1,ROW($T$12))&amp;":T"&amp;(ROW()-1))))),Первоначальный[[#This Row],[Полученный платеж]]+Y648)
)
)
)</f>
        <v>0</v>
      </c>
      <c r="U64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платеж]]+Y648-Первоначальный[[#This Row],[Полученный платёж по процентам]])</f>
        <v>0</v>
      </c>
      <c r="V649" s="55">
        <f t="shared" ca="1" si="109"/>
        <v>0</v>
      </c>
      <c r="W649" s="55" cm="1">
        <f t="array" aca="1" ref="W649" ca="1">IF(Первоначальный[[#This Row],[Итого остаток на начало периода]]&lt;1,0,
_xlfn.IFS(
AND(TYPE(VLOOKUP(1,$Z$12:Z649,1,0))=16,Первоначальный[[#This Row],[Досрочное погашение (да/"")]]=""),0,
AND(S648=0,Первоначальный[[#This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платеж]]+Y648-SUM(Первоначальный[[#This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комиссиям]]),VLOOKUP(LOOKUP(,-1/($Z$12:Z649=1),$A$12:A649),График[[Срок конец]:[Возврат основной суммы долга]],3,0)),
AND(S648=0,Первоначальный[[#This Row],[Дата платежа из графика]]="",Первоначальный[[#This Row],[Досрочное погашение (да/"")]]&lt;&gt;"Да"),0,
AND(S648=0,Первоначальный[[#This Row],[Досрочное погашение (да/"")]]=""),MIN(Первоначальный[[#This Row],[Полученный платеж]]+Y648-SUM(Первоначальный[[#This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комиссиям]]),VLOOKUP(LOOKUP(,-1/($Z$12:Z649=1),$A$12:A649),График[[Срок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платеж]]+Y648-SUM(Первоначальный[[#This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S648&gt;0,MIN(Первоначальный[[#This Row],[Полученный платеж]]+Y648-SUM(Первоначальный[[#This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комиссиям]]),SUM(INDIRECT("M"&amp;(MAX((1=S$12:S648)*ROW(S$12:S648),ROW($W$12))&amp;":M"&amp;(ROW()))))-SUM(INDIRECT("W"&amp;(MAX((1=S$12:S648)*ROW(S$12:S648),ROW($W$12))&amp;":W"&amp;(ROW()-1)))))
)
)</f>
        <v>0</v>
      </c>
      <c r="X649" s="55">
        <f t="shared" ca="1" si="110"/>
        <v>0</v>
      </c>
      <c r="Y649" s="101">
        <f t="shared" ca="1" si="117"/>
        <v>0</v>
      </c>
      <c r="Z649" s="133" t="str">
        <f>IF(TYPE((VLOOKUP(Первоначальный[[#This Row],[Дата платежа]],График[Срок конец],1,0)))=16,"",1)</f>
        <v/>
      </c>
      <c r="AA649" s="57"/>
      <c r="AB649" s="134"/>
      <c r="AC64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4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45584.979999999909</v>
      </c>
      <c r="AE64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1310.7000000000023</v>
      </c>
      <c r="AF64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4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74923.634286885281</v>
      </c>
      <c r="AH649" s="55"/>
      <c r="AI649" s="55"/>
      <c r="AJ649" s="55"/>
      <c r="AK649" s="101">
        <f t="shared" ca="1" si="118"/>
        <v>271452.65428688517</v>
      </c>
      <c r="AL649" s="129">
        <f t="array" ref="AL649">MAX((УслРестрактов[Характеристика]="Дата реструктуризации")*(УслРестрактов[Значение]=Первоначальный!$A649),0)</f>
        <v>0</v>
      </c>
    </row>
    <row r="650" spans="1:38" x14ac:dyDescent="0.25">
      <c r="A650" s="97">
        <f t="shared" si="111"/>
        <v>44781</v>
      </c>
      <c r="B650" s="100">
        <f t="shared" ca="1" si="112"/>
        <v>149633.34</v>
      </c>
      <c r="C650" s="55">
        <f t="shared" ca="1" si="120"/>
        <v>45584.979999999909</v>
      </c>
      <c r="D650" s="55">
        <f t="shared" ca="1" si="120"/>
        <v>1310.7000000000023</v>
      </c>
      <c r="E650" s="55">
        <f t="shared" ca="1" si="113"/>
        <v>0</v>
      </c>
      <c r="F650" s="55">
        <f t="shared" ca="1" si="114"/>
        <v>74923.634286885281</v>
      </c>
      <c r="G650" s="101">
        <f t="shared" ca="1" si="115"/>
        <v>271452.65428688517</v>
      </c>
      <c r="H650" s="100">
        <f ca="1">ROUND($B650*VLOOKUP($A650,$A$1:$B$10,2,1)/(365+IF(MOD(YEAR($A650),4),0,1)*($A650-$A649)),2)-Первоначальный[[#This Row],[Проценты на просроченный платеж по ОД за период]]</f>
        <v>76.789999999999992</v>
      </c>
      <c r="I650" s="55">
        <f t="shared" ca="1" si="116"/>
        <v>4.79</v>
      </c>
      <c r="J650" s="55">
        <v>0</v>
      </c>
      <c r="K650" s="55">
        <f t="shared" ca="1" si="119"/>
        <v>260.66350327868844</v>
      </c>
      <c r="L650" s="55">
        <v>0</v>
      </c>
      <c r="M650" s="113">
        <f>SUMIFS(График[Возврат основной суммы долга],График[Дата с учетом нерабочих дней],$A650)</f>
        <v>0</v>
      </c>
      <c r="N650" s="56">
        <f>SUMIFS(График[Возврат начисленных %],График[Дата с учетом нерабочих дней],$A650)</f>
        <v>0</v>
      </c>
      <c r="O650" s="101">
        <v>0</v>
      </c>
      <c r="P650" s="100" cm="1">
        <f t="array" aca="1" ref="P650" ca="1">MAX(IF(AA649="Да",0,SUM(INDIRECT("M"&amp;(MAX(("Да"=AA$12:AA649)*ROW(AA$12:AA649)+1,ROW($P$12))&amp;":M"&amp;(ROW()))))-SUM(INDIRECT("W"&amp;(MAX(("Да"=AA$12:AA649)*ROW(AA$12:AA649)+1,ROW($P$12))&amp;":W"&amp;(ROW()))))),0)</f>
        <v>8777.0299999999988</v>
      </c>
      <c r="Q650" s="99">
        <f ca="1">MAX(SUM($N$13:N650)-SUM($T$13:T650),0)</f>
        <v>43355.670655737689</v>
      </c>
      <c r="R650" s="99">
        <f ca="1">Первоначальный[[#This Row],[Просроченный платеж по ОД]]+Первоначальный[[#This Row],[Просроченный платеж по процентам]]</f>
        <v>52132.700655737688</v>
      </c>
      <c r="S650" s="120">
        <f ca="1">IF(Первоначальный[[#This Row],[Просроченный платеж]]&lt;1,0,S649+1)</f>
        <v>546</v>
      </c>
      <c r="T650" s="100" cm="1">
        <f t="array" aca="1" ref="T650" ca="1">IF(Первоначальный[[#This Row],[Итого остаток на начало периода]]&lt;1,0,
IF(
AND(TYPE(VLOOKUP(1,$Z$12:Z650,1,0))=16,Первоначальный[[#This Row],[Досрочное погашение (да/"")]]=""),0,
_xlfn.IFS(AND(S649=0,Первоначальный[[#This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платеж]]&lt;&gt;0),MIN(LOOKUP(,-1/($Z$12:Z650=1),$C$12:C650)+LOOKUP(,-1/($Z$12:Z650=1),$H$12:H650),Первоначальный[[#This Row],[Полученный платеж]]+Y649),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платеж]]+Y649,SUM(Первоначальный[[#This Row],[Остаток процентов на начало периода]],Первоначальный[[#This Row],[Проценты за период]])),
AND(S649=0,Первоначальный[[#This Row],[Дата платежа из графика]]=""),0,
AND(S649=0,Первоначальный[[#This Row],[Дата платежа из графика]]=1,MAX((0&lt;&gt;S$12:S649)*ROW(S$12:S649),ROW($S$12))&gt;=MAX((1=Z$12:Z649)*ROW(Z$12:Z649),ROW($T$12)),TYPE(VLOOKUP("Да",(INDIRECT("AA"&amp;(MAX((1=Z$12:Z649)*ROW(Z$12:Z649),ROW($T$12))&amp;":AA"&amp;(ROW()-1)))),1,0))=16),MIN(LOOKUP(,-1/($Z$12:Z650=1),$C$12:C650)+LOOKUP(,-1/($Z$12:Z650=1),$H$12:H650),Первоначальный[[#This Row],[Полученный платеж]]+Y649),
AND(S649=0,TYPE(VLOOKUP("Да",(INDIRECT("AA"&amp;(MAX((1=Z$12:Z649)*ROW(Z$12:Z649),ROW($T$12))&amp;":AA"&amp;(ROW()-1)))),1,0))&lt;&gt;16),MIN(LOOKUP(,-1/($Z$12:Z650=1),$C$12:C650)+LOOKUP(,-1/($Z$12:Z650=1),$H$12:H650)-IF(AA649="Да",0,SUM(INDIRECT("T"&amp;(MAX(("Да"=AA$12:AA649)*ROW(AA$12:AA649)+1,ROW($T$12))&amp;":T"&amp;(ROW()-1))))),Первоначальный[[#This Row],[Полученный платеж]]+Y649),
AND(S649=0,MAX((0&lt;&gt;N$12:N649)*ROW(N$12:N649),ROW($S$12))&gt;=MAX((1=Z$12:Z649)*ROW(Z$12:Z649),ROW($T$12))),MIN(LOOKUP(,-1/($Z$12:Z650=1),$C$12:C650)+LOOKUP(,-1/($Z$12:Z650=1),$H$12:H650)-IF(N649&lt;&gt;0,0,SUM(INDIRECT("T"&amp;(MAX((0&lt;&gt;N$12:N649)*ROW(N$12:N649)+1,ROW($T$12))&amp;":T"&amp;(ROW()-1))))),Первоначальный[[#This Row],[Полученный платеж]]+Y649),
AND(S649=0,Первоначальный[[#This Row],[Дата платежа из графика]]=1),MIN(LOOKUP(,-1/($Z$12:Z650=1),$C$12:C650)+LOOKUP(,-1/($Z$12:Z650=1),$H$12:H650)-IF(Z649=1,0,SUM(INDIRECT("T"&amp;(MAX((1=Z$12:Z649)*ROW(Z$12:Z649)+1,ROW($T$12))&amp;":T"&amp;(ROW()-1))))),Первоначальный[[#This Row],[Полученный платеж]]+Y649),
AND(Z649&gt;0,Первоначальный[[#This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платеж]]+Y649),
AND(S649&gt;0,MAX((0&lt;&gt;S$12:S649)*ROW(S$12:S649),ROW($S$12))&gt;=MAX((1=Z$12:Z649)*ROW(Z$12:Z649),ROW($T$12)),TYPE(VLOOKUP("Да",(INDIRECT("AA"&amp;(MAX((1=Z$12:Z649)*ROW(Z$12:Z649),ROW($T$12))&amp;":AA"&amp;(ROW()-1)))),1,0))=16),MIN(LOOKUP(,-1/($Z$12:Z650=1),$C$12:C650)+LOOKUP(,-1/($Z$12:Z650=1),$H$12:H650)-SUM(INDIRECT("T"&amp;(MAX((1=Z$12:Z649)*ROW(Z$12:Z649),ROW($T$12))&amp;":T"&amp;(ROW()-1)))),Первоначальный[[#This Row],[Полученный платеж]]+Y649),
S649&gt;0,MIN(LOOKUP(,-1/($Z$12:Z650=1),$C$12:C650)+LOOKUP(,-1/($Z$12:Z650=1),$H$12:H650)-IF(Z649=1,0,SUM(INDIRECT("T"&amp;(MAX((1=Z$12:Z649)*ROW(Z$12:Z649)+1,ROW($T$12))&amp;":T"&amp;(ROW()-1))))),Первоначальный[[#This Row],[Полученный платеж]]+Y649)
)
)
)</f>
        <v>0</v>
      </c>
      <c r="U65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платеж]]+Y649-Первоначальный[[#This Row],[Полученный платёж по процентам]])</f>
        <v>0</v>
      </c>
      <c r="V650" s="55">
        <f t="shared" ca="1" si="109"/>
        <v>0</v>
      </c>
      <c r="W650" s="55" cm="1">
        <f t="array" aca="1" ref="W650" ca="1">IF(Первоначальный[[#This Row],[Итого остаток на начало периода]]&lt;1,0,
_xlfn.IFS(
AND(TYPE(VLOOKUP(1,$Z$12:Z650,1,0))=16,Первоначальный[[#This Row],[Досрочное погашение (да/"")]]=""),0,
AND(S649=0,Первоначальный[[#This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платеж]]+Y649-SUM(Первоначальный[[#This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комиссиям]]),VLOOKUP(LOOKUP(,-1/($Z$12:Z650=1),$A$12:A650),График[[Срок конец]:[Возврат основной суммы долга]],3,0)),
AND(S649=0,Первоначальный[[#This Row],[Дата платежа из графика]]="",Первоначальный[[#This Row],[Досрочное погашение (да/"")]]&lt;&gt;"Да"),0,
AND(S649=0,Первоначальный[[#This Row],[Досрочное погашение (да/"")]]=""),MIN(Первоначальный[[#This Row],[Полученный платеж]]+Y649-SUM(Первоначальный[[#This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комиссиям]]),VLOOKUP(LOOKUP(,-1/($Z$12:Z650=1),$A$12:A650),График[[Срок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платеж]]+Y649-SUM(Первоначальный[[#This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S649&gt;0,MIN(Первоначальный[[#This Row],[Полученный платеж]]+Y649-SUM(Первоначальный[[#This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комиссиям]]),SUM(INDIRECT("M"&amp;(MAX((1=S$12:S649)*ROW(S$12:S649),ROW($W$12))&amp;":M"&amp;(ROW()))))-SUM(INDIRECT("W"&amp;(MAX((1=S$12:S649)*ROW(S$12:S649),ROW($W$12))&amp;":W"&amp;(ROW()-1)))))
)
)</f>
        <v>0</v>
      </c>
      <c r="X650" s="55">
        <f t="shared" ca="1" si="110"/>
        <v>0</v>
      </c>
      <c r="Y650" s="101">
        <f t="shared" ca="1" si="117"/>
        <v>0</v>
      </c>
      <c r="Z650" s="133" t="str">
        <f>IF(TYPE((VLOOKUP(Первоначальный[[#This Row],[Дата платежа]],График[Срок конец],1,0)))=16,"",1)</f>
        <v/>
      </c>
      <c r="AA650" s="57"/>
      <c r="AB650" s="134"/>
      <c r="AC65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5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45661.769999999909</v>
      </c>
      <c r="AE65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1315.4900000000023</v>
      </c>
      <c r="AF65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5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75184.297790163968</v>
      </c>
      <c r="AH650" s="55"/>
      <c r="AI650" s="55"/>
      <c r="AJ650" s="55"/>
      <c r="AK650" s="101">
        <f t="shared" ca="1" si="118"/>
        <v>271794.89779016387</v>
      </c>
      <c r="AL650" s="129">
        <f t="array" ref="AL650">MAX((УслРестрактов[Характеристика]="Дата реструктуризации")*(УслРестрактов[Значение]=Первоначальный!$A650),0)</f>
        <v>0</v>
      </c>
    </row>
    <row r="651" spans="1:38" x14ac:dyDescent="0.25">
      <c r="A651" s="97">
        <f t="shared" si="111"/>
        <v>44782</v>
      </c>
      <c r="B651" s="100">
        <f t="shared" ca="1" si="112"/>
        <v>149633.34</v>
      </c>
      <c r="C651" s="55">
        <f t="shared" ca="1" si="120"/>
        <v>45661.769999999909</v>
      </c>
      <c r="D651" s="55">
        <f t="shared" ca="1" si="120"/>
        <v>1315.4900000000023</v>
      </c>
      <c r="E651" s="55">
        <f t="shared" ca="1" si="113"/>
        <v>0</v>
      </c>
      <c r="F651" s="55">
        <f t="shared" ca="1" si="114"/>
        <v>75184.297790163968</v>
      </c>
      <c r="G651" s="101">
        <f t="shared" ca="1" si="115"/>
        <v>271794.89779016387</v>
      </c>
      <c r="H651" s="100">
        <f ca="1">ROUND($B651*VLOOKUP($A651,$A$1:$B$10,2,1)/(365+IF(MOD(YEAR($A651),4),0,1)*($A651-$A650)),2)-Первоначальный[[#This Row],[Проценты на просроченный платеж по ОД за период]]</f>
        <v>76.789999999999992</v>
      </c>
      <c r="I651" s="55">
        <f t="shared" ca="1" si="116"/>
        <v>4.79</v>
      </c>
      <c r="J651" s="55">
        <v>0</v>
      </c>
      <c r="K651" s="55">
        <f t="shared" ca="1" si="119"/>
        <v>275.14850327868845</v>
      </c>
      <c r="L651" s="55">
        <v>0</v>
      </c>
      <c r="M651" s="113">
        <f>SUMIFS(График[Возврат основной суммы долга],График[Дата с учетом нерабочих дней],$A651)</f>
        <v>516.34000000000015</v>
      </c>
      <c r="N651" s="56">
        <f>SUMIFS(График[Возврат начисленных %],График[Дата с учетом нерабочих дней],$A651)</f>
        <v>2380.66</v>
      </c>
      <c r="O651" s="101">
        <v>0</v>
      </c>
      <c r="P651" s="100" cm="1">
        <f t="array" aca="1" ref="P651" ca="1">MAX(IF(AA650="Да",0,SUM(INDIRECT("M"&amp;(MAX(("Да"=AA$12:AA650)*ROW(AA$12:AA650)+1,ROW($P$12))&amp;":M"&amp;(ROW()))))-SUM(INDIRECT("W"&amp;(MAX(("Да"=AA$12:AA650)*ROW(AA$12:AA650)+1,ROW($P$12))&amp;":W"&amp;(ROW()))))),0)</f>
        <v>9293.369999999999</v>
      </c>
      <c r="Q651" s="99">
        <f ca="1">MAX(SUM($N$13:N651)-SUM($T$13:T651),0)</f>
        <v>45736.330655737693</v>
      </c>
      <c r="R651" s="99">
        <f ca="1">Первоначальный[[#This Row],[Просроченный платеж по ОД]]+Первоначальный[[#This Row],[Просроченный платеж по процентам]]</f>
        <v>55029.700655737688</v>
      </c>
      <c r="S651" s="120">
        <f ca="1">IF(Первоначальный[[#This Row],[Просроченный платеж]]&lt;1,0,S650+1)</f>
        <v>547</v>
      </c>
      <c r="T651" s="100" cm="1">
        <f t="array" aca="1" ref="T651" ca="1">IF(Первоначальный[[#This Row],[Итого остаток на начало периода]]&lt;1,0,
IF(
AND(TYPE(VLOOKUP(1,$Z$12:Z651,1,0))=16,Первоначальный[[#This Row],[Досрочное погашение (да/"")]]=""),0,
_xlfn.IFS(AND(S650=0,Первоначальный[[#This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платеж]]&lt;&gt;0),MIN(LOOKUP(,-1/($Z$12:Z651=1),$C$12:C651)+LOOKUP(,-1/($Z$12:Z651=1),$H$12:H651),Первоначальный[[#This Row],[Полученный платеж]]+Y650),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платеж]]+Y650,SUM(Первоначальный[[#This Row],[Остаток процентов на начало периода]],Первоначальный[[#This Row],[Проценты за период]])),
AND(S650=0,Первоначальный[[#This Row],[Дата платежа из графика]]=""),0,
AND(S650=0,Первоначальный[[#This Row],[Дата платежа из графика]]=1,MAX((0&lt;&gt;S$12:S650)*ROW(S$12:S650),ROW($S$12))&gt;=MAX((1=Z$12:Z650)*ROW(Z$12:Z650),ROW($T$12)),TYPE(VLOOKUP("Да",(INDIRECT("AA"&amp;(MAX((1=Z$12:Z650)*ROW(Z$12:Z650),ROW($T$12))&amp;":AA"&amp;(ROW()-1)))),1,0))=16),MIN(LOOKUP(,-1/($Z$12:Z651=1),$C$12:C651)+LOOKUP(,-1/($Z$12:Z651=1),$H$12:H651),Первоначальный[[#This Row],[Полученный платеж]]+Y650),
AND(S650=0,TYPE(VLOOKUP("Да",(INDIRECT("AA"&amp;(MAX((1=Z$12:Z650)*ROW(Z$12:Z650),ROW($T$12))&amp;":AA"&amp;(ROW()-1)))),1,0))&lt;&gt;16),MIN(LOOKUP(,-1/($Z$12:Z651=1),$C$12:C651)+LOOKUP(,-1/($Z$12:Z651=1),$H$12:H651)-IF(AA650="Да",0,SUM(INDIRECT("T"&amp;(MAX(("Да"=AA$12:AA650)*ROW(AA$12:AA650)+1,ROW($T$12))&amp;":T"&amp;(ROW()-1))))),Первоначальный[[#This Row],[Полученный платеж]]+Y650),
AND(S650=0,MAX((0&lt;&gt;N$12:N650)*ROW(N$12:N650),ROW($S$12))&gt;=MAX((1=Z$12:Z650)*ROW(Z$12:Z650),ROW($T$12))),MIN(LOOKUP(,-1/($Z$12:Z651=1),$C$12:C651)+LOOKUP(,-1/($Z$12:Z651=1),$H$12:H651)-IF(N650&lt;&gt;0,0,SUM(INDIRECT("T"&amp;(MAX((0&lt;&gt;N$12:N650)*ROW(N$12:N650)+1,ROW($T$12))&amp;":T"&amp;(ROW()-1))))),Первоначальный[[#This Row],[Полученный платеж]]+Y650),
AND(S650=0,Первоначальный[[#This Row],[Дата платежа из графика]]=1),MIN(LOOKUP(,-1/($Z$12:Z651=1),$C$12:C651)+LOOKUP(,-1/($Z$12:Z651=1),$H$12:H651)-IF(Z650=1,0,SUM(INDIRECT("T"&amp;(MAX((1=Z$12:Z650)*ROW(Z$12:Z650)+1,ROW($T$12))&amp;":T"&amp;(ROW()-1))))),Первоначальный[[#This Row],[Полученный платеж]]+Y650),
AND(Z650&gt;0,Первоначальный[[#This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платеж]]+Y650),
AND(S650&gt;0,MAX((0&lt;&gt;S$12:S650)*ROW(S$12:S650),ROW($S$12))&gt;=MAX((1=Z$12:Z650)*ROW(Z$12:Z650),ROW($T$12)),TYPE(VLOOKUP("Да",(INDIRECT("AA"&amp;(MAX((1=Z$12:Z650)*ROW(Z$12:Z650),ROW($T$12))&amp;":AA"&amp;(ROW()-1)))),1,0))=16),MIN(LOOKUP(,-1/($Z$12:Z651=1),$C$12:C651)+LOOKUP(,-1/($Z$12:Z651=1),$H$12:H651)-SUM(INDIRECT("T"&amp;(MAX((1=Z$12:Z650)*ROW(Z$12:Z650),ROW($T$12))&amp;":T"&amp;(ROW()-1)))),Первоначальный[[#This Row],[Полученный платеж]]+Y650),
S650&gt;0,MIN(LOOKUP(,-1/($Z$12:Z651=1),$C$12:C651)+LOOKUP(,-1/($Z$12:Z651=1),$H$12:H651)-IF(Z650=1,0,SUM(INDIRECT("T"&amp;(MAX((1=Z$12:Z650)*ROW(Z$12:Z650)+1,ROW($T$12))&amp;":T"&amp;(ROW()-1))))),Первоначальный[[#This Row],[Полученный платеж]]+Y650)
)
)
)</f>
        <v>0</v>
      </c>
      <c r="U65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платеж]]+Y650-Первоначальный[[#This Row],[Полученный платёж по процентам]])</f>
        <v>0</v>
      </c>
      <c r="V651" s="55">
        <f t="shared" ca="1" si="109"/>
        <v>0</v>
      </c>
      <c r="W651" s="55" cm="1">
        <f t="array" aca="1" ref="W651" ca="1">IF(Первоначальный[[#This Row],[Итого остаток на начало периода]]&lt;1,0,
_xlfn.IFS(
AND(TYPE(VLOOKUP(1,$Z$12:Z651,1,0))=16,Первоначальный[[#This Row],[Досрочное погашение (да/"")]]=""),0,
AND(S650=0,Первоначальный[[#This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платеж]]+Y650-SUM(Первоначальный[[#This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комиссиям]]),VLOOKUP(LOOKUP(,-1/($Z$12:Z651=1),$A$12:A651),График[[Срок конец]:[Возврат основной суммы долга]],3,0)),
AND(S650=0,Первоначальный[[#This Row],[Дата платежа из графика]]="",Первоначальный[[#This Row],[Досрочное погашение (да/"")]]&lt;&gt;"Да"),0,
AND(S650=0,Первоначальный[[#This Row],[Досрочное погашение (да/"")]]=""),MIN(Первоначальный[[#This Row],[Полученный платеж]]+Y650-SUM(Первоначальный[[#This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комиссиям]]),VLOOKUP(LOOKUP(,-1/($Z$12:Z651=1),$A$12:A651),График[[Срок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платеж]]+Y650-SUM(Первоначальный[[#This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S650&gt;0,MIN(Первоначальный[[#This Row],[Полученный платеж]]+Y650-SUM(Первоначальный[[#This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комиссиям]]),SUM(INDIRECT("M"&amp;(MAX((1=S$12:S650)*ROW(S$12:S650),ROW($W$12))&amp;":M"&amp;(ROW()))))-SUM(INDIRECT("W"&amp;(MAX((1=S$12:S650)*ROW(S$12:S650),ROW($W$12))&amp;":W"&amp;(ROW()-1)))))
)
)</f>
        <v>0</v>
      </c>
      <c r="X651" s="55">
        <f t="shared" ca="1" si="110"/>
        <v>0</v>
      </c>
      <c r="Y651" s="101">
        <f t="shared" ca="1" si="117"/>
        <v>0</v>
      </c>
      <c r="Z651" s="133">
        <f>IF(TYPE((VLOOKUP(Первоначальный[[#This Row],[Дата платежа]],График[Срок конец],1,0)))=16,"",1)</f>
        <v>1</v>
      </c>
      <c r="AA651" s="57"/>
      <c r="AB651" s="134"/>
      <c r="AC65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5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45738.55999999991</v>
      </c>
      <c r="AE65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1320.2800000000022</v>
      </c>
      <c r="AF65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5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75459.446293442656</v>
      </c>
      <c r="AH651" s="55"/>
      <c r="AI651" s="55"/>
      <c r="AJ651" s="55"/>
      <c r="AK651" s="101">
        <f t="shared" ca="1" si="118"/>
        <v>272151.62629344256</v>
      </c>
      <c r="AL651" s="129">
        <f t="array" ref="AL651">MAX((УслРестрактов[Характеристика]="Дата реструктуризации")*(УслРестрактов[Значение]=Первоначальный!$A651),0)</f>
        <v>0</v>
      </c>
    </row>
    <row r="652" spans="1:38" x14ac:dyDescent="0.25">
      <c r="A652" s="97">
        <f t="shared" si="111"/>
        <v>44783</v>
      </c>
      <c r="B652" s="100">
        <f t="shared" ca="1" si="112"/>
        <v>149633.34</v>
      </c>
      <c r="C652" s="55">
        <f t="shared" ca="1" si="120"/>
        <v>45738.55999999991</v>
      </c>
      <c r="D652" s="55">
        <f t="shared" ca="1" si="120"/>
        <v>1320.2800000000022</v>
      </c>
      <c r="E652" s="55">
        <f t="shared" ca="1" si="113"/>
        <v>0</v>
      </c>
      <c r="F652" s="55">
        <f t="shared" ca="1" si="114"/>
        <v>75459.446293442656</v>
      </c>
      <c r="G652" s="101">
        <f t="shared" ca="1" si="115"/>
        <v>272151.62629344256</v>
      </c>
      <c r="H652" s="100">
        <f ca="1">ROUND($B652*VLOOKUP($A652,$A$1:$B$10,2,1)/(365+IF(MOD(YEAR($A652),4),0,1)*($A652-$A651)),2)-Первоначальный[[#This Row],[Проценты на просроченный платеж по ОД за период]]</f>
        <v>76.509999999999991</v>
      </c>
      <c r="I652" s="55">
        <f t="shared" ca="1" si="116"/>
        <v>5.07</v>
      </c>
      <c r="J652" s="55">
        <v>0</v>
      </c>
      <c r="K652" s="55">
        <f t="shared" ca="1" si="119"/>
        <v>275.14850327868845</v>
      </c>
      <c r="L652" s="55">
        <v>0</v>
      </c>
      <c r="M652" s="113">
        <f>SUMIFS(График[Возврат основной суммы долга],График[Дата с учетом нерабочих дней],$A652)</f>
        <v>0</v>
      </c>
      <c r="N652" s="56">
        <f>SUMIFS(График[Возврат начисленных %],График[Дата с учетом нерабочих дней],$A652)</f>
        <v>0</v>
      </c>
      <c r="O652" s="101">
        <v>0</v>
      </c>
      <c r="P652" s="100" cm="1">
        <f t="array" aca="1" ref="P652" ca="1">MAX(IF(AA651="Да",0,SUM(INDIRECT("M"&amp;(MAX(("Да"=AA$12:AA651)*ROW(AA$12:AA651)+1,ROW($P$12))&amp;":M"&amp;(ROW()))))-SUM(INDIRECT("W"&amp;(MAX(("Да"=AA$12:AA651)*ROW(AA$12:AA651)+1,ROW($P$12))&amp;":W"&amp;(ROW()))))),0)</f>
        <v>9293.369999999999</v>
      </c>
      <c r="Q652" s="99">
        <f ca="1">MAX(SUM($N$13:N652)-SUM($T$13:T652),0)</f>
        <v>45736.330655737693</v>
      </c>
      <c r="R652" s="99">
        <f ca="1">Первоначальный[[#This Row],[Просроченный платеж по ОД]]+Первоначальный[[#This Row],[Просроченный платеж по процентам]]</f>
        <v>55029.700655737688</v>
      </c>
      <c r="S652" s="120">
        <f ca="1">IF(Первоначальный[[#This Row],[Просроченный платеж]]&lt;1,0,S651+1)</f>
        <v>548</v>
      </c>
      <c r="T652" s="100" cm="1">
        <f t="array" aca="1" ref="T652" ca="1">IF(Первоначальный[[#This Row],[Итого остаток на начало периода]]&lt;1,0,
IF(
AND(TYPE(VLOOKUP(1,$Z$12:Z652,1,0))=16,Первоначальный[[#This Row],[Досрочное погашение (да/"")]]=""),0,
_xlfn.IFS(AND(S651=0,Первоначальный[[#This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платеж]]&lt;&gt;0),MIN(LOOKUP(,-1/($Z$12:Z652=1),$C$12:C652)+LOOKUP(,-1/($Z$12:Z652=1),$H$12:H652),Первоначальный[[#This Row],[Полученный платеж]]+Y651),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платеж]]+Y651,SUM(Первоначальный[[#This Row],[Остаток процентов на начало периода]],Первоначальный[[#This Row],[Проценты за период]])),
AND(S651=0,Первоначальный[[#This Row],[Дата платежа из графика]]=""),0,
AND(S651=0,Первоначальный[[#This Row],[Дата платежа из графика]]=1,MAX((0&lt;&gt;S$12:S651)*ROW(S$12:S651),ROW($S$12))&gt;=MAX((1=Z$12:Z651)*ROW(Z$12:Z651),ROW($T$12)),TYPE(VLOOKUP("Да",(INDIRECT("AA"&amp;(MAX((1=Z$12:Z651)*ROW(Z$12:Z651),ROW($T$12))&amp;":AA"&amp;(ROW()-1)))),1,0))=16),MIN(LOOKUP(,-1/($Z$12:Z652=1),$C$12:C652)+LOOKUP(,-1/($Z$12:Z652=1),$H$12:H652),Первоначальный[[#This Row],[Полученный платеж]]+Y651),
AND(S651=0,TYPE(VLOOKUP("Да",(INDIRECT("AA"&amp;(MAX((1=Z$12:Z651)*ROW(Z$12:Z651),ROW($T$12))&amp;":AA"&amp;(ROW()-1)))),1,0))&lt;&gt;16),MIN(LOOKUP(,-1/($Z$12:Z652=1),$C$12:C652)+LOOKUP(,-1/($Z$12:Z652=1),$H$12:H652)-IF(AA651="Да",0,SUM(INDIRECT("T"&amp;(MAX(("Да"=AA$12:AA651)*ROW(AA$12:AA651)+1,ROW($T$12))&amp;":T"&amp;(ROW()-1))))),Первоначальный[[#This Row],[Полученный платеж]]+Y651),
AND(S651=0,MAX((0&lt;&gt;N$12:N651)*ROW(N$12:N651),ROW($S$12))&gt;=MAX((1=Z$12:Z651)*ROW(Z$12:Z651),ROW($T$12))),MIN(LOOKUP(,-1/($Z$12:Z652=1),$C$12:C652)+LOOKUP(,-1/($Z$12:Z652=1),$H$12:H652)-IF(N651&lt;&gt;0,0,SUM(INDIRECT("T"&amp;(MAX((0&lt;&gt;N$12:N651)*ROW(N$12:N651)+1,ROW($T$12))&amp;":T"&amp;(ROW()-1))))),Первоначальный[[#This Row],[Полученный платеж]]+Y651),
AND(S651=0,Первоначальный[[#This Row],[Дата платежа из графика]]=1),MIN(LOOKUP(,-1/($Z$12:Z652=1),$C$12:C652)+LOOKUP(,-1/($Z$12:Z652=1),$H$12:H652)-IF(Z651=1,0,SUM(INDIRECT("T"&amp;(MAX((1=Z$12:Z651)*ROW(Z$12:Z651)+1,ROW($T$12))&amp;":T"&amp;(ROW()-1))))),Первоначальный[[#This Row],[Полученный платеж]]+Y651),
AND(Z651&gt;0,Первоначальный[[#This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платеж]]+Y651),
AND(S651&gt;0,MAX((0&lt;&gt;S$12:S651)*ROW(S$12:S651),ROW($S$12))&gt;=MAX((1=Z$12:Z651)*ROW(Z$12:Z651),ROW($T$12)),TYPE(VLOOKUP("Да",(INDIRECT("AA"&amp;(MAX((1=Z$12:Z651)*ROW(Z$12:Z651),ROW($T$12))&amp;":AA"&amp;(ROW()-1)))),1,0))=16),MIN(LOOKUP(,-1/($Z$12:Z652=1),$C$12:C652)+LOOKUP(,-1/($Z$12:Z652=1),$H$12:H652)-SUM(INDIRECT("T"&amp;(MAX((1=Z$12:Z651)*ROW(Z$12:Z651),ROW($T$12))&amp;":T"&amp;(ROW()-1)))),Первоначальный[[#This Row],[Полученный платеж]]+Y651),
S651&gt;0,MIN(LOOKUP(,-1/($Z$12:Z652=1),$C$12:C652)+LOOKUP(,-1/($Z$12:Z652=1),$H$12:H652)-IF(Z651=1,0,SUM(INDIRECT("T"&amp;(MAX((1=Z$12:Z651)*ROW(Z$12:Z651)+1,ROW($T$12))&amp;":T"&amp;(ROW()-1))))),Первоначальный[[#This Row],[Полученный платеж]]+Y651)
)
)
)</f>
        <v>0</v>
      </c>
      <c r="U65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платеж]]+Y651-Первоначальный[[#This Row],[Полученный платёж по процентам]])</f>
        <v>0</v>
      </c>
      <c r="V652" s="55">
        <f t="shared" ca="1" si="109"/>
        <v>0</v>
      </c>
      <c r="W652" s="55" cm="1">
        <f t="array" aca="1" ref="W652" ca="1">IF(Первоначальный[[#This Row],[Итого остаток на начало периода]]&lt;1,0,
_xlfn.IFS(
AND(TYPE(VLOOKUP(1,$Z$12:Z652,1,0))=16,Первоначальный[[#This Row],[Досрочное погашение (да/"")]]=""),0,
AND(S651=0,Первоначальный[[#This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платеж]]+Y651-SUM(Первоначальный[[#This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комиссиям]]),VLOOKUP(LOOKUP(,-1/($Z$12:Z652=1),$A$12:A652),График[[Срок конец]:[Возврат основной суммы долга]],3,0)),
AND(S651=0,Первоначальный[[#This Row],[Дата платежа из графика]]="",Первоначальный[[#This Row],[Досрочное погашение (да/"")]]&lt;&gt;"Да"),0,
AND(S651=0,Первоначальный[[#This Row],[Досрочное погашение (да/"")]]=""),MIN(Первоначальный[[#This Row],[Полученный платеж]]+Y651-SUM(Первоначальный[[#This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комиссиям]]),VLOOKUP(LOOKUP(,-1/($Z$12:Z652=1),$A$12:A652),График[[Срок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платеж]]+Y651-SUM(Первоначальный[[#This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S651&gt;0,MIN(Первоначальный[[#This Row],[Полученный платеж]]+Y651-SUM(Первоначальный[[#This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комиссиям]]),SUM(INDIRECT("M"&amp;(MAX((1=S$12:S651)*ROW(S$12:S651),ROW($W$12))&amp;":M"&amp;(ROW()))))-SUM(INDIRECT("W"&amp;(MAX((1=S$12:S651)*ROW(S$12:S651),ROW($W$12))&amp;":W"&amp;(ROW()-1)))))
)
)</f>
        <v>0</v>
      </c>
      <c r="X652" s="55">
        <f t="shared" ca="1" si="110"/>
        <v>0</v>
      </c>
      <c r="Y652" s="101">
        <f t="shared" ca="1" si="117"/>
        <v>0</v>
      </c>
      <c r="Z652" s="133" t="str">
        <f>IF(TYPE((VLOOKUP(Первоначальный[[#This Row],[Дата платежа]],График[Срок конец],1,0)))=16,"",1)</f>
        <v/>
      </c>
      <c r="AA652" s="57"/>
      <c r="AB652" s="134"/>
      <c r="AC65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5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45815.069999999912</v>
      </c>
      <c r="AE65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1325.3500000000022</v>
      </c>
      <c r="AF65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5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75734.594796721343</v>
      </c>
      <c r="AH652" s="55"/>
      <c r="AI652" s="55"/>
      <c r="AJ652" s="55"/>
      <c r="AK652" s="101">
        <f t="shared" ca="1" si="118"/>
        <v>272508.35479672125</v>
      </c>
      <c r="AL652" s="129">
        <f t="array" ref="AL652">MAX((УслРестрактов[Характеристика]="Дата реструктуризации")*(УслРестрактов[Значение]=Первоначальный!$A652),0)</f>
        <v>0</v>
      </c>
    </row>
    <row r="653" spans="1:38" x14ac:dyDescent="0.25">
      <c r="A653" s="97">
        <f t="shared" si="111"/>
        <v>44784</v>
      </c>
      <c r="B653" s="100">
        <f t="shared" ca="1" si="112"/>
        <v>149633.34</v>
      </c>
      <c r="C653" s="55">
        <f t="shared" ca="1" si="120"/>
        <v>45815.069999999912</v>
      </c>
      <c r="D653" s="55">
        <f t="shared" ca="1" si="120"/>
        <v>1325.3500000000022</v>
      </c>
      <c r="E653" s="55">
        <f t="shared" ca="1" si="113"/>
        <v>0</v>
      </c>
      <c r="F653" s="55">
        <f t="shared" ca="1" si="114"/>
        <v>75734.594796721343</v>
      </c>
      <c r="G653" s="101">
        <f t="shared" ca="1" si="115"/>
        <v>272508.35479672125</v>
      </c>
      <c r="H653" s="100">
        <f ca="1">ROUND($B653*VLOOKUP($A653,$A$1:$B$10,2,1)/(365+IF(MOD(YEAR($A653),4),0,1)*($A653-$A652)),2)-Первоначальный[[#This Row],[Проценты на просроченный платеж по ОД за период]]</f>
        <v>76.509999999999991</v>
      </c>
      <c r="I653" s="55">
        <f t="shared" ca="1" si="116"/>
        <v>5.07</v>
      </c>
      <c r="J653" s="55">
        <v>0</v>
      </c>
      <c r="K653" s="55">
        <f t="shared" ca="1" si="119"/>
        <v>275.14850327868845</v>
      </c>
      <c r="L653" s="55">
        <v>0</v>
      </c>
      <c r="M653" s="113">
        <f>SUMIFS(График[Возврат основной суммы долга],График[Дата с учетом нерабочих дней],$A653)</f>
        <v>0</v>
      </c>
      <c r="N653" s="56">
        <f>SUMIFS(График[Возврат начисленных %],График[Дата с учетом нерабочих дней],$A653)</f>
        <v>0</v>
      </c>
      <c r="O653" s="101">
        <v>0</v>
      </c>
      <c r="P653" s="100" cm="1">
        <f t="array" aca="1" ref="P653" ca="1">MAX(IF(AA652="Да",0,SUM(INDIRECT("M"&amp;(MAX(("Да"=AA$12:AA652)*ROW(AA$12:AA652)+1,ROW($P$12))&amp;":M"&amp;(ROW()))))-SUM(INDIRECT("W"&amp;(MAX(("Да"=AA$12:AA652)*ROW(AA$12:AA652)+1,ROW($P$12))&amp;":W"&amp;(ROW()))))),0)</f>
        <v>9293.369999999999</v>
      </c>
      <c r="Q653" s="99">
        <f ca="1">MAX(SUM($N$13:N653)-SUM($T$13:T653),0)</f>
        <v>45736.330655737693</v>
      </c>
      <c r="R653" s="99">
        <f ca="1">Первоначальный[[#This Row],[Просроченный платеж по ОД]]+Первоначальный[[#This Row],[Просроченный платеж по процентам]]</f>
        <v>55029.700655737688</v>
      </c>
      <c r="S653" s="120">
        <f ca="1">IF(Первоначальный[[#This Row],[Просроченный платеж]]&lt;1,0,S652+1)</f>
        <v>549</v>
      </c>
      <c r="T653" s="100" cm="1">
        <f t="array" aca="1" ref="T653" ca="1">IF(Первоначальный[[#This Row],[Итого остаток на начало периода]]&lt;1,0,
IF(
AND(TYPE(VLOOKUP(1,$Z$12:Z653,1,0))=16,Первоначальный[[#This Row],[Досрочное погашение (да/"")]]=""),0,
_xlfn.IFS(AND(S652=0,Первоначальный[[#This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платеж]]&lt;&gt;0),MIN(LOOKUP(,-1/($Z$12:Z653=1),$C$12:C653)+LOOKUP(,-1/($Z$12:Z653=1),$H$12:H653),Первоначальный[[#This Row],[Полученный платеж]]+Y652),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платеж]]+Y652,SUM(Первоначальный[[#This Row],[Остаток процентов на начало периода]],Первоначальный[[#This Row],[Проценты за период]])),
AND(S652=0,Первоначальный[[#This Row],[Дата платежа из графика]]=""),0,
AND(S652=0,Первоначальный[[#This Row],[Дата платежа из графика]]=1,MAX((0&lt;&gt;S$12:S652)*ROW(S$12:S652),ROW($S$12))&gt;=MAX((1=Z$12:Z652)*ROW(Z$12:Z652),ROW($T$12)),TYPE(VLOOKUP("Да",(INDIRECT("AA"&amp;(MAX((1=Z$12:Z652)*ROW(Z$12:Z652),ROW($T$12))&amp;":AA"&amp;(ROW()-1)))),1,0))=16),MIN(LOOKUP(,-1/($Z$12:Z653=1),$C$12:C653)+LOOKUP(,-1/($Z$12:Z653=1),$H$12:H653),Первоначальный[[#This Row],[Полученный платеж]]+Y652),
AND(S652=0,TYPE(VLOOKUP("Да",(INDIRECT("AA"&amp;(MAX((1=Z$12:Z652)*ROW(Z$12:Z652),ROW($T$12))&amp;":AA"&amp;(ROW()-1)))),1,0))&lt;&gt;16),MIN(LOOKUP(,-1/($Z$12:Z653=1),$C$12:C653)+LOOKUP(,-1/($Z$12:Z653=1),$H$12:H653)-IF(AA652="Да",0,SUM(INDIRECT("T"&amp;(MAX(("Да"=AA$12:AA652)*ROW(AA$12:AA652)+1,ROW($T$12))&amp;":T"&amp;(ROW()-1))))),Первоначальный[[#This Row],[Полученный платеж]]+Y652),
AND(S652=0,MAX((0&lt;&gt;N$12:N652)*ROW(N$12:N652),ROW($S$12))&gt;=MAX((1=Z$12:Z652)*ROW(Z$12:Z652),ROW($T$12))),MIN(LOOKUP(,-1/($Z$12:Z653=1),$C$12:C653)+LOOKUP(,-1/($Z$12:Z653=1),$H$12:H653)-IF(N652&lt;&gt;0,0,SUM(INDIRECT("T"&amp;(MAX((0&lt;&gt;N$12:N652)*ROW(N$12:N652)+1,ROW($T$12))&amp;":T"&amp;(ROW()-1))))),Первоначальный[[#This Row],[Полученный платеж]]+Y652),
AND(S652=0,Первоначальный[[#This Row],[Дата платежа из графика]]=1),MIN(LOOKUP(,-1/($Z$12:Z653=1),$C$12:C653)+LOOKUP(,-1/($Z$12:Z653=1),$H$12:H653)-IF(Z652=1,0,SUM(INDIRECT("T"&amp;(MAX((1=Z$12:Z652)*ROW(Z$12:Z652)+1,ROW($T$12))&amp;":T"&amp;(ROW()-1))))),Первоначальный[[#This Row],[Полученный платеж]]+Y652),
AND(Z652&gt;0,Первоначальный[[#This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платеж]]+Y652),
AND(S652&gt;0,MAX((0&lt;&gt;S$12:S652)*ROW(S$12:S652),ROW($S$12))&gt;=MAX((1=Z$12:Z652)*ROW(Z$12:Z652),ROW($T$12)),TYPE(VLOOKUP("Да",(INDIRECT("AA"&amp;(MAX((1=Z$12:Z652)*ROW(Z$12:Z652),ROW($T$12))&amp;":AA"&amp;(ROW()-1)))),1,0))=16),MIN(LOOKUP(,-1/($Z$12:Z653=1),$C$12:C653)+LOOKUP(,-1/($Z$12:Z653=1),$H$12:H653)-SUM(INDIRECT("T"&amp;(MAX((1=Z$12:Z652)*ROW(Z$12:Z652),ROW($T$12))&amp;":T"&amp;(ROW()-1)))),Первоначальный[[#This Row],[Полученный платеж]]+Y652),
S652&gt;0,MIN(LOOKUP(,-1/($Z$12:Z653=1),$C$12:C653)+LOOKUP(,-1/($Z$12:Z653=1),$H$12:H653)-IF(Z652=1,0,SUM(INDIRECT("T"&amp;(MAX((1=Z$12:Z652)*ROW(Z$12:Z652)+1,ROW($T$12))&amp;":T"&amp;(ROW()-1))))),Первоначальный[[#This Row],[Полученный платеж]]+Y652)
)
)
)</f>
        <v>0</v>
      </c>
      <c r="U65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платеж]]+Y652-Первоначальный[[#This Row],[Полученный платёж по процентам]])</f>
        <v>0</v>
      </c>
      <c r="V653" s="55">
        <f t="shared" ref="V653:V716" ca="1" si="121">MAX(MIN(SUM(O653,Y652)-SUM(T653:T653),SUM(E653,J653)),0)</f>
        <v>0</v>
      </c>
      <c r="W653" s="55" cm="1">
        <f t="array" aca="1" ref="W653" ca="1">IF(Первоначальный[[#This Row],[Итого остаток на начало периода]]&lt;1,0,
_xlfn.IFS(
AND(TYPE(VLOOKUP(1,$Z$12:Z653,1,0))=16,Первоначальный[[#This Row],[Досрочное погашение (да/"")]]=""),0,
AND(S652=0,Первоначальный[[#This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платеж]]+Y652-SUM(Первоначальный[[#This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комиссиям]]),VLOOKUP(LOOKUP(,-1/($Z$12:Z653=1),$A$12:A653),График[[Срок конец]:[Возврат основной суммы долга]],3,0)),
AND(S652=0,Первоначальный[[#This Row],[Дата платежа из графика]]="",Первоначальный[[#This Row],[Досрочное погашение (да/"")]]&lt;&gt;"Да"),0,
AND(S652=0,Первоначальный[[#This Row],[Досрочное погашение (да/"")]]=""),MIN(Первоначальный[[#This Row],[Полученный платеж]]+Y652-SUM(Первоначальный[[#This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комиссиям]]),VLOOKUP(LOOKUP(,-1/($Z$12:Z653=1),$A$12:A653),График[[Срок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платеж]]+Y652-SUM(Первоначальный[[#This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S652&gt;0,MIN(Первоначальный[[#This Row],[Полученный платеж]]+Y652-SUM(Первоначальный[[#This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комиссиям]]),SUM(INDIRECT("M"&amp;(MAX((1=S$12:S652)*ROW(S$12:S652),ROW($W$12))&amp;":M"&amp;(ROW()))))-SUM(INDIRECT("W"&amp;(MAX((1=S$12:S652)*ROW(S$12:S652),ROW($W$12))&amp;":W"&amp;(ROW()-1)))))
)
)</f>
        <v>0</v>
      </c>
      <c r="X653" s="55">
        <f t="shared" ref="X653:X716" ca="1" si="122">MAX(MIN(SUM(O653,Y652)-SUM(T653:W653),SUM(F653,K653)),0)</f>
        <v>0</v>
      </c>
      <c r="Y653" s="101">
        <f t="shared" ca="1" si="117"/>
        <v>0</v>
      </c>
      <c r="Z653" s="133" t="str">
        <f>IF(TYPE((VLOOKUP(Первоначальный[[#This Row],[Дата платежа]],График[Срок конец],1,0)))=16,"",1)</f>
        <v/>
      </c>
      <c r="AA653" s="57"/>
      <c r="AB653" s="134"/>
      <c r="AC65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5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45891.579999999914</v>
      </c>
      <c r="AE65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1330.4200000000021</v>
      </c>
      <c r="AF65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5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76009.743300000031</v>
      </c>
      <c r="AH653" s="55"/>
      <c r="AI653" s="55"/>
      <c r="AJ653" s="55"/>
      <c r="AK653" s="101">
        <f t="shared" ca="1" si="118"/>
        <v>272865.08329999994</v>
      </c>
      <c r="AL653" s="129">
        <f t="array" ref="AL653">MAX((УслРестрактов[Характеристика]="Дата реструктуризации")*(УслРестрактов[Значение]=Первоначальный!$A653),0)</f>
        <v>0</v>
      </c>
    </row>
    <row r="654" spans="1:38" x14ac:dyDescent="0.25">
      <c r="A654" s="97">
        <f t="shared" ref="A654:A717" si="123">A653+1</f>
        <v>44785</v>
      </c>
      <c r="B654" s="100">
        <f t="shared" ref="B654:B717" ca="1" si="124">AC653</f>
        <v>149633.34</v>
      </c>
      <c r="C654" s="55">
        <f t="shared" ca="1" si="120"/>
        <v>45891.579999999914</v>
      </c>
      <c r="D654" s="55">
        <f t="shared" ca="1" si="120"/>
        <v>1330.4200000000021</v>
      </c>
      <c r="E654" s="55">
        <f t="shared" ref="E654:E717" ca="1" si="125">AF653</f>
        <v>0</v>
      </c>
      <c r="F654" s="55">
        <f t="shared" ref="F654:F717" ca="1" si="126">AG653+AH653</f>
        <v>76009.743300000031</v>
      </c>
      <c r="G654" s="101">
        <f t="shared" ref="G654:G717" ca="1" si="127">AK653</f>
        <v>272865.08329999994</v>
      </c>
      <c r="H654" s="100">
        <f ca="1">ROUND($B654*VLOOKUP($A654,$A$1:$B$10,2,1)/(365+IF(MOD(YEAR($A654),4),0,1)*($A654-$A653)),2)-Первоначальный[[#This Row],[Проценты на просроченный платеж по ОД за период]]</f>
        <v>76.509999999999991</v>
      </c>
      <c r="I654" s="55">
        <f t="shared" ref="I654:I717" ca="1" si="128">ROUND(P653*VLOOKUP($A654,$A$1:$B$10,2,1)/(365+IF(MOD(YEAR($A654),4),0,1)*($A654-$A653)),2)</f>
        <v>5.07</v>
      </c>
      <c r="J654" s="55">
        <v>0</v>
      </c>
      <c r="K654" s="55">
        <f t="shared" ca="1" si="119"/>
        <v>275.14850327868845</v>
      </c>
      <c r="L654" s="55">
        <v>0</v>
      </c>
      <c r="M654" s="113">
        <f>SUMIFS(График[Возврат основной суммы долга],График[Дата с учетом нерабочих дней],$A654)</f>
        <v>0</v>
      </c>
      <c r="N654" s="56">
        <f>SUMIFS(График[Возврат начисленных %],График[Дата с учетом нерабочих дней],$A654)</f>
        <v>0</v>
      </c>
      <c r="O654" s="101">
        <v>0</v>
      </c>
      <c r="P654" s="100" cm="1">
        <f t="array" aca="1" ref="P654" ca="1">MAX(IF(AA653="Да",0,SUM(INDIRECT("M"&amp;(MAX(("Да"=AA$12:AA653)*ROW(AA$12:AA653)+1,ROW($P$12))&amp;":M"&amp;(ROW()))))-SUM(INDIRECT("W"&amp;(MAX(("Да"=AA$12:AA653)*ROW(AA$12:AA653)+1,ROW($P$12))&amp;":W"&amp;(ROW()))))),0)</f>
        <v>9293.369999999999</v>
      </c>
      <c r="Q654" s="99">
        <f ca="1">MAX(SUM($N$13:N654)-SUM($T$13:T654),0)</f>
        <v>45736.330655737693</v>
      </c>
      <c r="R654" s="99">
        <f ca="1">Первоначальный[[#This Row],[Просроченный платеж по ОД]]+Первоначальный[[#This Row],[Просроченный платеж по процентам]]</f>
        <v>55029.700655737688</v>
      </c>
      <c r="S654" s="120">
        <f ca="1">IF(Первоначальный[[#This Row],[Просроченный платеж]]&lt;1,0,S653+1)</f>
        <v>550</v>
      </c>
      <c r="T654" s="100" cm="1">
        <f t="array" aca="1" ref="T654" ca="1">IF(Первоначальный[[#This Row],[Итого остаток на начало периода]]&lt;1,0,
IF(
AND(TYPE(VLOOKUP(1,$Z$12:Z654,1,0))=16,Первоначальный[[#This Row],[Досрочное погашение (да/"")]]=""),0,
_xlfn.IFS(AND(S653=0,Первоначальный[[#This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платеж]]&lt;&gt;0),MIN(LOOKUP(,-1/($Z$12:Z654=1),$C$12:C654)+LOOKUP(,-1/($Z$12:Z654=1),$H$12:H654),Первоначальный[[#This Row],[Полученный платеж]]+Y653),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платеж]]+Y653,SUM(Первоначальный[[#This Row],[Остаток процентов на начало периода]],Первоначальный[[#This Row],[Проценты за период]])),
AND(S653=0,Первоначальный[[#This Row],[Дата платежа из графика]]=""),0,
AND(S653=0,Первоначальный[[#This Row],[Дата платежа из графика]]=1,MAX((0&lt;&gt;S$12:S653)*ROW(S$12:S653),ROW($S$12))&gt;=MAX((1=Z$12:Z653)*ROW(Z$12:Z653),ROW($T$12)),TYPE(VLOOKUP("Да",(INDIRECT("AA"&amp;(MAX((1=Z$12:Z653)*ROW(Z$12:Z653),ROW($T$12))&amp;":AA"&amp;(ROW()-1)))),1,0))=16),MIN(LOOKUP(,-1/($Z$12:Z654=1),$C$12:C654)+LOOKUP(,-1/($Z$12:Z654=1),$H$12:H654),Первоначальный[[#This Row],[Полученный платеж]]+Y653),
AND(S653=0,TYPE(VLOOKUP("Да",(INDIRECT("AA"&amp;(MAX((1=Z$12:Z653)*ROW(Z$12:Z653),ROW($T$12))&amp;":AA"&amp;(ROW()-1)))),1,0))&lt;&gt;16),MIN(LOOKUP(,-1/($Z$12:Z654=1),$C$12:C654)+LOOKUP(,-1/($Z$12:Z654=1),$H$12:H654)-IF(AA653="Да",0,SUM(INDIRECT("T"&amp;(MAX(("Да"=AA$12:AA653)*ROW(AA$12:AA653)+1,ROW($T$12))&amp;":T"&amp;(ROW()-1))))),Первоначальный[[#This Row],[Полученный платеж]]+Y653),
AND(S653=0,MAX((0&lt;&gt;N$12:N653)*ROW(N$12:N653),ROW($S$12))&gt;=MAX((1=Z$12:Z653)*ROW(Z$12:Z653),ROW($T$12))),MIN(LOOKUP(,-1/($Z$12:Z654=1),$C$12:C654)+LOOKUP(,-1/($Z$12:Z654=1),$H$12:H654)-IF(N653&lt;&gt;0,0,SUM(INDIRECT("T"&amp;(MAX((0&lt;&gt;N$12:N653)*ROW(N$12:N653)+1,ROW($T$12))&amp;":T"&amp;(ROW()-1))))),Первоначальный[[#This Row],[Полученный платеж]]+Y653),
AND(S653=0,Первоначальный[[#This Row],[Дата платежа из графика]]=1),MIN(LOOKUP(,-1/($Z$12:Z654=1),$C$12:C654)+LOOKUP(,-1/($Z$12:Z654=1),$H$12:H654)-IF(Z653=1,0,SUM(INDIRECT("T"&amp;(MAX((1=Z$12:Z653)*ROW(Z$12:Z653)+1,ROW($T$12))&amp;":T"&amp;(ROW()-1))))),Первоначальный[[#This Row],[Полученный платеж]]+Y653),
AND(Z653&gt;0,Первоначальный[[#This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платеж]]+Y653),
AND(S653&gt;0,MAX((0&lt;&gt;S$12:S653)*ROW(S$12:S653),ROW($S$12))&gt;=MAX((1=Z$12:Z653)*ROW(Z$12:Z653),ROW($T$12)),TYPE(VLOOKUP("Да",(INDIRECT("AA"&amp;(MAX((1=Z$12:Z653)*ROW(Z$12:Z653),ROW($T$12))&amp;":AA"&amp;(ROW()-1)))),1,0))=16),MIN(LOOKUP(,-1/($Z$12:Z654=1),$C$12:C654)+LOOKUP(,-1/($Z$12:Z654=1),$H$12:H654)-SUM(INDIRECT("T"&amp;(MAX((1=Z$12:Z653)*ROW(Z$12:Z653),ROW($T$12))&amp;":T"&amp;(ROW()-1)))),Первоначальный[[#This Row],[Полученный платеж]]+Y653),
S653&gt;0,MIN(LOOKUP(,-1/($Z$12:Z654=1),$C$12:C654)+LOOKUP(,-1/($Z$12:Z654=1),$H$12:H654)-IF(Z653=1,0,SUM(INDIRECT("T"&amp;(MAX((1=Z$12:Z653)*ROW(Z$12:Z653)+1,ROW($T$12))&amp;":T"&amp;(ROW()-1))))),Первоначальный[[#This Row],[Полученный платеж]]+Y653)
)
)
)</f>
        <v>0</v>
      </c>
      <c r="U65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платеж]]+Y653-Первоначальный[[#This Row],[Полученный платёж по процентам]])</f>
        <v>0</v>
      </c>
      <c r="V654" s="55">
        <f t="shared" ca="1" si="121"/>
        <v>0</v>
      </c>
      <c r="W654" s="55" cm="1">
        <f t="array" aca="1" ref="W654" ca="1">IF(Первоначальный[[#This Row],[Итого остаток на начало периода]]&lt;1,0,
_xlfn.IFS(
AND(TYPE(VLOOKUP(1,$Z$12:Z654,1,0))=16,Первоначальный[[#This Row],[Досрочное погашение (да/"")]]=""),0,
AND(S653=0,Первоначальный[[#This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платеж]]+Y653-SUM(Первоначальный[[#This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комиссиям]]),VLOOKUP(LOOKUP(,-1/($Z$12:Z654=1),$A$12:A654),График[[Срок конец]:[Возврат основной суммы долга]],3,0)),
AND(S653=0,Первоначальный[[#This Row],[Дата платежа из графика]]="",Первоначальный[[#This Row],[Досрочное погашение (да/"")]]&lt;&gt;"Да"),0,
AND(S653=0,Первоначальный[[#This Row],[Досрочное погашение (да/"")]]=""),MIN(Первоначальный[[#This Row],[Полученный платеж]]+Y653-SUM(Первоначальный[[#This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комиссиям]]),VLOOKUP(LOOKUP(,-1/($Z$12:Z654=1),$A$12:A654),График[[Срок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платеж]]+Y653-SUM(Первоначальный[[#This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S653&gt;0,MIN(Первоначальный[[#This Row],[Полученный платеж]]+Y653-SUM(Первоначальный[[#This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комиссиям]]),SUM(INDIRECT("M"&amp;(MAX((1=S$12:S653)*ROW(S$12:S653),ROW($W$12))&amp;":M"&amp;(ROW()))))-SUM(INDIRECT("W"&amp;(MAX((1=S$12:S653)*ROW(S$12:S653),ROW($W$12))&amp;":W"&amp;(ROW()-1)))))
)
)</f>
        <v>0</v>
      </c>
      <c r="X654" s="55">
        <f t="shared" ca="1" si="122"/>
        <v>0</v>
      </c>
      <c r="Y654" s="101">
        <f t="shared" ref="Y654:Y717" ca="1" si="129">ROUND(Y653+O654-SUM(T654:X654),2)</f>
        <v>0</v>
      </c>
      <c r="Z654" s="133" t="str">
        <f>IF(TYPE((VLOOKUP(Первоначальный[[#This Row],[Дата платежа]],График[Срок конец],1,0)))=16,"",1)</f>
        <v/>
      </c>
      <c r="AA654" s="57"/>
      <c r="AB654" s="134"/>
      <c r="AC65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5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45968.089999999916</v>
      </c>
      <c r="AE65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1335.4900000000021</v>
      </c>
      <c r="AF65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5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76284.891803278719</v>
      </c>
      <c r="AH654" s="55"/>
      <c r="AI654" s="55"/>
      <c r="AJ654" s="55"/>
      <c r="AK654" s="101">
        <f t="shared" ref="AK654:AK717" ca="1" si="130">SUM(AC654:AJ654)</f>
        <v>273221.81180327863</v>
      </c>
      <c r="AL654" s="129">
        <f t="array" ref="AL654">MAX((УслРестрактов[Характеристика]="Дата реструктуризации")*(УслРестрактов[Значение]=Первоначальный!$A654),0)</f>
        <v>0</v>
      </c>
    </row>
    <row r="655" spans="1:38" x14ac:dyDescent="0.25">
      <c r="A655" s="97">
        <f t="shared" si="123"/>
        <v>44786</v>
      </c>
      <c r="B655" s="100">
        <f t="shared" ca="1" si="124"/>
        <v>149633.34</v>
      </c>
      <c r="C655" s="55">
        <f t="shared" ca="1" si="120"/>
        <v>45968.089999999916</v>
      </c>
      <c r="D655" s="55">
        <f t="shared" ca="1" si="120"/>
        <v>1335.4900000000021</v>
      </c>
      <c r="E655" s="55">
        <f t="shared" ca="1" si="125"/>
        <v>0</v>
      </c>
      <c r="F655" s="55">
        <f t="shared" ca="1" si="126"/>
        <v>76284.891803278719</v>
      </c>
      <c r="G655" s="101">
        <f t="shared" ca="1" si="127"/>
        <v>273221.81180327863</v>
      </c>
      <c r="H655" s="100">
        <f ca="1">ROUND($B655*VLOOKUP($A655,$A$1:$B$10,2,1)/(365+IF(MOD(YEAR($A655),4),0,1)*($A655-$A654)),2)-Первоначальный[[#This Row],[Проценты на просроченный платеж по ОД за период]]</f>
        <v>76.509999999999991</v>
      </c>
      <c r="I655" s="55">
        <f t="shared" ca="1" si="128"/>
        <v>5.07</v>
      </c>
      <c r="J655" s="55">
        <v>0</v>
      </c>
      <c r="K655" s="55">
        <f t="shared" ref="K655:K718" ca="1" si="131">IF(S655&lt;&gt;0,R655*$B$7,0)</f>
        <v>275.14850327868845</v>
      </c>
      <c r="L655" s="55">
        <v>0</v>
      </c>
      <c r="M655" s="113">
        <f>SUMIFS(График[Возврат основной суммы долга],График[Дата с учетом нерабочих дней],$A655)</f>
        <v>0</v>
      </c>
      <c r="N655" s="56">
        <f>SUMIFS(График[Возврат начисленных %],График[Дата с учетом нерабочих дней],$A655)</f>
        <v>0</v>
      </c>
      <c r="O655" s="101">
        <v>0</v>
      </c>
      <c r="P655" s="100" cm="1">
        <f t="array" aca="1" ref="P655" ca="1">MAX(IF(AA654="Да",0,SUM(INDIRECT("M"&amp;(MAX(("Да"=AA$12:AA654)*ROW(AA$12:AA654)+1,ROW($P$12))&amp;":M"&amp;(ROW()))))-SUM(INDIRECT("W"&amp;(MAX(("Да"=AA$12:AA654)*ROW(AA$12:AA654)+1,ROW($P$12))&amp;":W"&amp;(ROW()))))),0)</f>
        <v>9293.369999999999</v>
      </c>
      <c r="Q655" s="99">
        <f ca="1">MAX(SUM($N$13:N655)-SUM($T$13:T655),0)</f>
        <v>45736.330655737693</v>
      </c>
      <c r="R655" s="99">
        <f ca="1">Первоначальный[[#This Row],[Просроченный платеж по ОД]]+Первоначальный[[#This Row],[Просроченный платеж по процентам]]</f>
        <v>55029.700655737688</v>
      </c>
      <c r="S655" s="120">
        <f ca="1">IF(Первоначальный[[#This Row],[Просроченный платеж]]&lt;1,0,S654+1)</f>
        <v>551</v>
      </c>
      <c r="T655" s="100" cm="1">
        <f t="array" aca="1" ref="T655" ca="1">IF(Первоначальный[[#This Row],[Итого остаток на начало периода]]&lt;1,0,
IF(
AND(TYPE(VLOOKUP(1,$Z$12:Z655,1,0))=16,Первоначальный[[#This Row],[Досрочное погашение (да/"")]]=""),0,
_xlfn.IFS(AND(S654=0,Первоначальный[[#This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платеж]]&lt;&gt;0),MIN(LOOKUP(,-1/($Z$12:Z655=1),$C$12:C655)+LOOKUP(,-1/($Z$12:Z655=1),$H$12:H655),Первоначальный[[#This Row],[Полученный платеж]]+Y654),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платеж]]+Y654,SUM(Первоначальный[[#This Row],[Остаток процентов на начало периода]],Первоначальный[[#This Row],[Проценты за период]])),
AND(S654=0,Первоначальный[[#This Row],[Дата платежа из графика]]=""),0,
AND(S654=0,Первоначальный[[#This Row],[Дата платежа из графика]]=1,MAX((0&lt;&gt;S$12:S654)*ROW(S$12:S654),ROW($S$12))&gt;=MAX((1=Z$12:Z654)*ROW(Z$12:Z654),ROW($T$12)),TYPE(VLOOKUP("Да",(INDIRECT("AA"&amp;(MAX((1=Z$12:Z654)*ROW(Z$12:Z654),ROW($T$12))&amp;":AA"&amp;(ROW()-1)))),1,0))=16),MIN(LOOKUP(,-1/($Z$12:Z655=1),$C$12:C655)+LOOKUP(,-1/($Z$12:Z655=1),$H$12:H655),Первоначальный[[#This Row],[Полученный платеж]]+Y654),
AND(S654=0,TYPE(VLOOKUP("Да",(INDIRECT("AA"&amp;(MAX((1=Z$12:Z654)*ROW(Z$12:Z654),ROW($T$12))&amp;":AA"&amp;(ROW()-1)))),1,0))&lt;&gt;16),MIN(LOOKUP(,-1/($Z$12:Z655=1),$C$12:C655)+LOOKUP(,-1/($Z$12:Z655=1),$H$12:H655)-IF(AA654="Да",0,SUM(INDIRECT("T"&amp;(MAX(("Да"=AA$12:AA654)*ROW(AA$12:AA654)+1,ROW($T$12))&amp;":T"&amp;(ROW()-1))))),Первоначальный[[#This Row],[Полученный платеж]]+Y654),
AND(S654=0,MAX((0&lt;&gt;N$12:N654)*ROW(N$12:N654),ROW($S$12))&gt;=MAX((1=Z$12:Z654)*ROW(Z$12:Z654),ROW($T$12))),MIN(LOOKUP(,-1/($Z$12:Z655=1),$C$12:C655)+LOOKUP(,-1/($Z$12:Z655=1),$H$12:H655)-IF(N654&lt;&gt;0,0,SUM(INDIRECT("T"&amp;(MAX((0&lt;&gt;N$12:N654)*ROW(N$12:N654)+1,ROW($T$12))&amp;":T"&amp;(ROW()-1))))),Первоначальный[[#This Row],[Полученный платеж]]+Y654),
AND(S654=0,Первоначальный[[#This Row],[Дата платежа из графика]]=1),MIN(LOOKUP(,-1/($Z$12:Z655=1),$C$12:C655)+LOOKUP(,-1/($Z$12:Z655=1),$H$12:H655)-IF(Z654=1,0,SUM(INDIRECT("T"&amp;(MAX((1=Z$12:Z654)*ROW(Z$12:Z654)+1,ROW($T$12))&amp;":T"&amp;(ROW()-1))))),Первоначальный[[#This Row],[Полученный платеж]]+Y654),
AND(Z654&gt;0,Первоначальный[[#This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платеж]]+Y654),
AND(S654&gt;0,MAX((0&lt;&gt;S$12:S654)*ROW(S$12:S654),ROW($S$12))&gt;=MAX((1=Z$12:Z654)*ROW(Z$12:Z654),ROW($T$12)),TYPE(VLOOKUP("Да",(INDIRECT("AA"&amp;(MAX((1=Z$12:Z654)*ROW(Z$12:Z654),ROW($T$12))&amp;":AA"&amp;(ROW()-1)))),1,0))=16),MIN(LOOKUP(,-1/($Z$12:Z655=1),$C$12:C655)+LOOKUP(,-1/($Z$12:Z655=1),$H$12:H655)-SUM(INDIRECT("T"&amp;(MAX((1=Z$12:Z654)*ROW(Z$12:Z654),ROW($T$12))&amp;":T"&amp;(ROW()-1)))),Первоначальный[[#This Row],[Полученный платеж]]+Y654),
S654&gt;0,MIN(LOOKUP(,-1/($Z$12:Z655=1),$C$12:C655)+LOOKUP(,-1/($Z$12:Z655=1),$H$12:H655)-IF(Z654=1,0,SUM(INDIRECT("T"&amp;(MAX((1=Z$12:Z654)*ROW(Z$12:Z654)+1,ROW($T$12))&amp;":T"&amp;(ROW()-1))))),Первоначальный[[#This Row],[Полученный платеж]]+Y654)
)
)
)</f>
        <v>0</v>
      </c>
      <c r="U65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платеж]]+Y654-Первоначальный[[#This Row],[Полученный платёж по процентам]])</f>
        <v>0</v>
      </c>
      <c r="V655" s="55">
        <f t="shared" ca="1" si="121"/>
        <v>0</v>
      </c>
      <c r="W655" s="55" cm="1">
        <f t="array" aca="1" ref="W655" ca="1">IF(Первоначальный[[#This Row],[Итого остаток на начало периода]]&lt;1,0,
_xlfn.IFS(
AND(TYPE(VLOOKUP(1,$Z$12:Z655,1,0))=16,Первоначальный[[#This Row],[Досрочное погашение (да/"")]]=""),0,
AND(S654=0,Первоначальный[[#This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платеж]]+Y654-SUM(Первоначальный[[#This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комиссиям]]),VLOOKUP(LOOKUP(,-1/($Z$12:Z655=1),$A$12:A655),График[[Срок конец]:[Возврат основной суммы долга]],3,0)),
AND(S654=0,Первоначальный[[#This Row],[Дата платежа из графика]]="",Первоначальный[[#This Row],[Досрочное погашение (да/"")]]&lt;&gt;"Да"),0,
AND(S654=0,Первоначальный[[#This Row],[Досрочное погашение (да/"")]]=""),MIN(Первоначальный[[#This Row],[Полученный платеж]]+Y654-SUM(Первоначальный[[#This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комиссиям]]),VLOOKUP(LOOKUP(,-1/($Z$12:Z655=1),$A$12:A655),График[[Срок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платеж]]+Y654-SUM(Первоначальный[[#This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S654&gt;0,MIN(Первоначальный[[#This Row],[Полученный платеж]]+Y654-SUM(Первоначальный[[#This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комиссиям]]),SUM(INDIRECT("M"&amp;(MAX((1=S$12:S654)*ROW(S$12:S654),ROW($W$12))&amp;":M"&amp;(ROW()))))-SUM(INDIRECT("W"&amp;(MAX((1=S$12:S654)*ROW(S$12:S654),ROW($W$12))&amp;":W"&amp;(ROW()-1)))))
)
)</f>
        <v>0</v>
      </c>
      <c r="X655" s="55">
        <f t="shared" ca="1" si="122"/>
        <v>0</v>
      </c>
      <c r="Y655" s="101">
        <f t="shared" ca="1" si="129"/>
        <v>0</v>
      </c>
      <c r="Z655" s="133" t="str">
        <f>IF(TYPE((VLOOKUP(Первоначальный[[#This Row],[Дата платежа]],График[Срок конец],1,0)))=16,"",1)</f>
        <v/>
      </c>
      <c r="AA655" s="57"/>
      <c r="AB655" s="134"/>
      <c r="AC65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5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46044.599999999919</v>
      </c>
      <c r="AE65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1340.560000000002</v>
      </c>
      <c r="AF65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5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76560.040306557406</v>
      </c>
      <c r="AH655" s="55"/>
      <c r="AI655" s="55"/>
      <c r="AJ655" s="55"/>
      <c r="AK655" s="101">
        <f t="shared" ca="1" si="130"/>
        <v>273578.54030655732</v>
      </c>
      <c r="AL655" s="129">
        <f t="array" ref="AL655">MAX((УслРестрактов[Характеристика]="Дата реструктуризации")*(УслРестрактов[Значение]=Первоначальный!$A655),0)</f>
        <v>0</v>
      </c>
    </row>
    <row r="656" spans="1:38" x14ac:dyDescent="0.25">
      <c r="A656" s="97">
        <f t="shared" si="123"/>
        <v>44787</v>
      </c>
      <c r="B656" s="100">
        <f t="shared" ca="1" si="124"/>
        <v>149633.34</v>
      </c>
      <c r="C656" s="55">
        <f t="shared" ca="1" si="120"/>
        <v>46044.599999999919</v>
      </c>
      <c r="D656" s="55">
        <f t="shared" ca="1" si="120"/>
        <v>1340.560000000002</v>
      </c>
      <c r="E656" s="55">
        <f t="shared" ca="1" si="125"/>
        <v>0</v>
      </c>
      <c r="F656" s="55">
        <f t="shared" ca="1" si="126"/>
        <v>76560.040306557406</v>
      </c>
      <c r="G656" s="101">
        <f t="shared" ca="1" si="127"/>
        <v>273578.54030655732</v>
      </c>
      <c r="H656" s="100">
        <f ca="1">ROUND($B656*VLOOKUP($A656,$A$1:$B$10,2,1)/(365+IF(MOD(YEAR($A656),4),0,1)*($A656-$A655)),2)-Первоначальный[[#This Row],[Проценты на просроченный платеж по ОД за период]]</f>
        <v>76.509999999999991</v>
      </c>
      <c r="I656" s="55">
        <f t="shared" ca="1" si="128"/>
        <v>5.07</v>
      </c>
      <c r="J656" s="55">
        <v>0</v>
      </c>
      <c r="K656" s="55">
        <f t="shared" ca="1" si="131"/>
        <v>275.14850327868845</v>
      </c>
      <c r="L656" s="55">
        <v>0</v>
      </c>
      <c r="M656" s="113">
        <f>SUMIFS(График[Возврат основной суммы долга],График[Дата с учетом нерабочих дней],$A656)</f>
        <v>0</v>
      </c>
      <c r="N656" s="56">
        <f>SUMIFS(График[Возврат начисленных %],График[Дата с учетом нерабочих дней],$A656)</f>
        <v>0</v>
      </c>
      <c r="O656" s="101">
        <v>0</v>
      </c>
      <c r="P656" s="100" cm="1">
        <f t="array" aca="1" ref="P656" ca="1">MAX(IF(AA655="Да",0,SUM(INDIRECT("M"&amp;(MAX(("Да"=AA$12:AA655)*ROW(AA$12:AA655)+1,ROW($P$12))&amp;":M"&amp;(ROW()))))-SUM(INDIRECT("W"&amp;(MAX(("Да"=AA$12:AA655)*ROW(AA$12:AA655)+1,ROW($P$12))&amp;":W"&amp;(ROW()))))),0)</f>
        <v>9293.369999999999</v>
      </c>
      <c r="Q656" s="99">
        <f ca="1">MAX(SUM($N$13:N656)-SUM($T$13:T656),0)</f>
        <v>45736.330655737693</v>
      </c>
      <c r="R656" s="99">
        <f ca="1">Первоначальный[[#This Row],[Просроченный платеж по ОД]]+Первоначальный[[#This Row],[Просроченный платеж по процентам]]</f>
        <v>55029.700655737688</v>
      </c>
      <c r="S656" s="120">
        <f ca="1">IF(Первоначальный[[#This Row],[Просроченный платеж]]&lt;1,0,S655+1)</f>
        <v>552</v>
      </c>
      <c r="T656" s="100" cm="1">
        <f t="array" aca="1" ref="T656" ca="1">IF(Первоначальный[[#This Row],[Итого остаток на начало периода]]&lt;1,0,
IF(
AND(TYPE(VLOOKUP(1,$Z$12:Z656,1,0))=16,Первоначальный[[#This Row],[Досрочное погашение (да/"")]]=""),0,
_xlfn.IFS(AND(S655=0,Первоначальный[[#This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платеж]]&lt;&gt;0),MIN(LOOKUP(,-1/($Z$12:Z656=1),$C$12:C656)+LOOKUP(,-1/($Z$12:Z656=1),$H$12:H656),Первоначальный[[#This Row],[Полученный платеж]]+Y655),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платеж]]+Y655,SUM(Первоначальный[[#This Row],[Остаток процентов на начало периода]],Первоначальный[[#This Row],[Проценты за период]])),
AND(S655=0,Первоначальный[[#This Row],[Дата платежа из графика]]=""),0,
AND(S655=0,Первоначальный[[#This Row],[Дата платежа из графика]]=1,MAX((0&lt;&gt;S$12:S655)*ROW(S$12:S655),ROW($S$12))&gt;=MAX((1=Z$12:Z655)*ROW(Z$12:Z655),ROW($T$12)),TYPE(VLOOKUP("Да",(INDIRECT("AA"&amp;(MAX((1=Z$12:Z655)*ROW(Z$12:Z655),ROW($T$12))&amp;":AA"&amp;(ROW()-1)))),1,0))=16),MIN(LOOKUP(,-1/($Z$12:Z656=1),$C$12:C656)+LOOKUP(,-1/($Z$12:Z656=1),$H$12:H656),Первоначальный[[#This Row],[Полученный платеж]]+Y655),
AND(S655=0,TYPE(VLOOKUP("Да",(INDIRECT("AA"&amp;(MAX((1=Z$12:Z655)*ROW(Z$12:Z655),ROW($T$12))&amp;":AA"&amp;(ROW()-1)))),1,0))&lt;&gt;16),MIN(LOOKUP(,-1/($Z$12:Z656=1),$C$12:C656)+LOOKUP(,-1/($Z$12:Z656=1),$H$12:H656)-IF(AA655="Да",0,SUM(INDIRECT("T"&amp;(MAX(("Да"=AA$12:AA655)*ROW(AA$12:AA655)+1,ROW($T$12))&amp;":T"&amp;(ROW()-1))))),Первоначальный[[#This Row],[Полученный платеж]]+Y655),
AND(S655=0,MAX((0&lt;&gt;N$12:N655)*ROW(N$12:N655),ROW($S$12))&gt;=MAX((1=Z$12:Z655)*ROW(Z$12:Z655),ROW($T$12))),MIN(LOOKUP(,-1/($Z$12:Z656=1),$C$12:C656)+LOOKUP(,-1/($Z$12:Z656=1),$H$12:H656)-IF(N655&lt;&gt;0,0,SUM(INDIRECT("T"&amp;(MAX((0&lt;&gt;N$12:N655)*ROW(N$12:N655)+1,ROW($T$12))&amp;":T"&amp;(ROW()-1))))),Первоначальный[[#This Row],[Полученный платеж]]+Y655),
AND(S655=0,Первоначальный[[#This Row],[Дата платежа из графика]]=1),MIN(LOOKUP(,-1/($Z$12:Z656=1),$C$12:C656)+LOOKUP(,-1/($Z$12:Z656=1),$H$12:H656)-IF(Z655=1,0,SUM(INDIRECT("T"&amp;(MAX((1=Z$12:Z655)*ROW(Z$12:Z655)+1,ROW($T$12))&amp;":T"&amp;(ROW()-1))))),Первоначальный[[#This Row],[Полученный платеж]]+Y655),
AND(Z655&gt;0,Первоначальный[[#This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платеж]]+Y655),
AND(S655&gt;0,MAX((0&lt;&gt;S$12:S655)*ROW(S$12:S655),ROW($S$12))&gt;=MAX((1=Z$12:Z655)*ROW(Z$12:Z655),ROW($T$12)),TYPE(VLOOKUP("Да",(INDIRECT("AA"&amp;(MAX((1=Z$12:Z655)*ROW(Z$12:Z655),ROW($T$12))&amp;":AA"&amp;(ROW()-1)))),1,0))=16),MIN(LOOKUP(,-1/($Z$12:Z656=1),$C$12:C656)+LOOKUP(,-1/($Z$12:Z656=1),$H$12:H656)-SUM(INDIRECT("T"&amp;(MAX((1=Z$12:Z655)*ROW(Z$12:Z655),ROW($T$12))&amp;":T"&amp;(ROW()-1)))),Первоначальный[[#This Row],[Полученный платеж]]+Y655),
S655&gt;0,MIN(LOOKUP(,-1/($Z$12:Z656=1),$C$12:C656)+LOOKUP(,-1/($Z$12:Z656=1),$H$12:H656)-IF(Z655=1,0,SUM(INDIRECT("T"&amp;(MAX((1=Z$12:Z655)*ROW(Z$12:Z655)+1,ROW($T$12))&amp;":T"&amp;(ROW()-1))))),Первоначальный[[#This Row],[Полученный платеж]]+Y655)
)
)
)</f>
        <v>0</v>
      </c>
      <c r="U65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платеж]]+Y655-Первоначальный[[#This Row],[Полученный платёж по процентам]])</f>
        <v>0</v>
      </c>
      <c r="V656" s="55">
        <f t="shared" ca="1" si="121"/>
        <v>0</v>
      </c>
      <c r="W656" s="55" cm="1">
        <f t="array" aca="1" ref="W656" ca="1">IF(Первоначальный[[#This Row],[Итого остаток на начало периода]]&lt;1,0,
_xlfn.IFS(
AND(TYPE(VLOOKUP(1,$Z$12:Z656,1,0))=16,Первоначальный[[#This Row],[Досрочное погашение (да/"")]]=""),0,
AND(S655=0,Первоначальный[[#This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платеж]]+Y655-SUM(Первоначальный[[#This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комиссиям]]),VLOOKUP(LOOKUP(,-1/($Z$12:Z656=1),$A$12:A656),График[[Срок конец]:[Возврат основной суммы долга]],3,0)),
AND(S655=0,Первоначальный[[#This Row],[Дата платежа из графика]]="",Первоначальный[[#This Row],[Досрочное погашение (да/"")]]&lt;&gt;"Да"),0,
AND(S655=0,Первоначальный[[#This Row],[Досрочное погашение (да/"")]]=""),MIN(Первоначальный[[#This Row],[Полученный платеж]]+Y655-SUM(Первоначальный[[#This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комиссиям]]),VLOOKUP(LOOKUP(,-1/($Z$12:Z656=1),$A$12:A656),График[[Срок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платеж]]+Y655-SUM(Первоначальный[[#This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S655&gt;0,MIN(Первоначальный[[#This Row],[Полученный платеж]]+Y655-SUM(Первоначальный[[#This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комиссиям]]),SUM(INDIRECT("M"&amp;(MAX((1=S$12:S655)*ROW(S$12:S655),ROW($W$12))&amp;":M"&amp;(ROW()))))-SUM(INDIRECT("W"&amp;(MAX((1=S$12:S655)*ROW(S$12:S655),ROW($W$12))&amp;":W"&amp;(ROW()-1)))))
)
)</f>
        <v>0</v>
      </c>
      <c r="X656" s="55">
        <f t="shared" ca="1" si="122"/>
        <v>0</v>
      </c>
      <c r="Y656" s="101">
        <f t="shared" ca="1" si="129"/>
        <v>0</v>
      </c>
      <c r="Z656" s="133" t="str">
        <f>IF(TYPE((VLOOKUP(Первоначальный[[#This Row],[Дата платежа]],График[Срок конец],1,0)))=16,"",1)</f>
        <v/>
      </c>
      <c r="AA656" s="57"/>
      <c r="AB656" s="134"/>
      <c r="AC65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5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46121.109999999921</v>
      </c>
      <c r="AE65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1345.6300000000019</v>
      </c>
      <c r="AF65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5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76835.188809836094</v>
      </c>
      <c r="AH656" s="55"/>
      <c r="AI656" s="55"/>
      <c r="AJ656" s="55"/>
      <c r="AK656" s="101">
        <f t="shared" ca="1" si="130"/>
        <v>273935.26880983601</v>
      </c>
      <c r="AL656" s="129">
        <f t="array" ref="AL656">MAX((УслРестрактов[Характеристика]="Дата реструктуризации")*(УслРестрактов[Значение]=Первоначальный!$A656),0)</f>
        <v>0</v>
      </c>
    </row>
    <row r="657" spans="1:38" x14ac:dyDescent="0.25">
      <c r="A657" s="97">
        <f t="shared" si="123"/>
        <v>44788</v>
      </c>
      <c r="B657" s="100">
        <f t="shared" ca="1" si="124"/>
        <v>149633.34</v>
      </c>
      <c r="C657" s="55">
        <f t="shared" ca="1" si="120"/>
        <v>46121.109999999921</v>
      </c>
      <c r="D657" s="55">
        <f t="shared" ca="1" si="120"/>
        <v>1345.6300000000019</v>
      </c>
      <c r="E657" s="55">
        <f t="shared" ca="1" si="125"/>
        <v>0</v>
      </c>
      <c r="F657" s="55">
        <f t="shared" ca="1" si="126"/>
        <v>76835.188809836094</v>
      </c>
      <c r="G657" s="101">
        <f t="shared" ca="1" si="127"/>
        <v>273935.26880983601</v>
      </c>
      <c r="H657" s="100">
        <f ca="1">ROUND($B657*VLOOKUP($A657,$A$1:$B$10,2,1)/(365+IF(MOD(YEAR($A657),4),0,1)*($A657-$A656)),2)-Первоначальный[[#This Row],[Проценты на просроченный платеж по ОД за период]]</f>
        <v>76.509999999999991</v>
      </c>
      <c r="I657" s="55">
        <f t="shared" ca="1" si="128"/>
        <v>5.07</v>
      </c>
      <c r="J657" s="55">
        <v>0</v>
      </c>
      <c r="K657" s="55">
        <f t="shared" ca="1" si="131"/>
        <v>275.14850327868845</v>
      </c>
      <c r="L657" s="55">
        <v>0</v>
      </c>
      <c r="M657" s="113">
        <f>SUMIFS(График[Возврат основной суммы долга],График[Дата с учетом нерабочих дней],$A657)</f>
        <v>0</v>
      </c>
      <c r="N657" s="56">
        <f>SUMIFS(График[Возврат начисленных %],График[Дата с учетом нерабочих дней],$A657)</f>
        <v>0</v>
      </c>
      <c r="O657" s="101">
        <v>0</v>
      </c>
      <c r="P657" s="100" cm="1">
        <f t="array" aca="1" ref="P657" ca="1">MAX(IF(AA656="Да",0,SUM(INDIRECT("M"&amp;(MAX(("Да"=AA$12:AA656)*ROW(AA$12:AA656)+1,ROW($P$12))&amp;":M"&amp;(ROW()))))-SUM(INDIRECT("W"&amp;(MAX(("Да"=AA$12:AA656)*ROW(AA$12:AA656)+1,ROW($P$12))&amp;":W"&amp;(ROW()))))),0)</f>
        <v>9293.369999999999</v>
      </c>
      <c r="Q657" s="99">
        <f ca="1">MAX(SUM($N$13:N657)-SUM($T$13:T657),0)</f>
        <v>45736.330655737693</v>
      </c>
      <c r="R657" s="99">
        <f ca="1">Первоначальный[[#This Row],[Просроченный платеж по ОД]]+Первоначальный[[#This Row],[Просроченный платеж по процентам]]</f>
        <v>55029.700655737688</v>
      </c>
      <c r="S657" s="120">
        <f ca="1">IF(Первоначальный[[#This Row],[Просроченный платеж]]&lt;1,0,S656+1)</f>
        <v>553</v>
      </c>
      <c r="T657" s="100" cm="1">
        <f t="array" aca="1" ref="T657" ca="1">IF(Первоначальный[[#This Row],[Итого остаток на начало периода]]&lt;1,0,
IF(
AND(TYPE(VLOOKUP(1,$Z$12:Z657,1,0))=16,Первоначальный[[#This Row],[Досрочное погашение (да/"")]]=""),0,
_xlfn.IFS(AND(S656=0,Первоначальный[[#This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платеж]]&lt;&gt;0),MIN(LOOKUP(,-1/($Z$12:Z657=1),$C$12:C657)+LOOKUP(,-1/($Z$12:Z657=1),$H$12:H657),Первоначальный[[#This Row],[Полученный платеж]]+Y656),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платеж]]+Y656,SUM(Первоначальный[[#This Row],[Остаток процентов на начало периода]],Первоначальный[[#This Row],[Проценты за период]])),
AND(S656=0,Первоначальный[[#This Row],[Дата платежа из графика]]=""),0,
AND(S656=0,Первоначальный[[#This Row],[Дата платежа из графика]]=1,MAX((0&lt;&gt;S$12:S656)*ROW(S$12:S656),ROW($S$12))&gt;=MAX((1=Z$12:Z656)*ROW(Z$12:Z656),ROW($T$12)),TYPE(VLOOKUP("Да",(INDIRECT("AA"&amp;(MAX((1=Z$12:Z656)*ROW(Z$12:Z656),ROW($T$12))&amp;":AA"&amp;(ROW()-1)))),1,0))=16),MIN(LOOKUP(,-1/($Z$12:Z657=1),$C$12:C657)+LOOKUP(,-1/($Z$12:Z657=1),$H$12:H657),Первоначальный[[#This Row],[Полученный платеж]]+Y656),
AND(S656=0,TYPE(VLOOKUP("Да",(INDIRECT("AA"&amp;(MAX((1=Z$12:Z656)*ROW(Z$12:Z656),ROW($T$12))&amp;":AA"&amp;(ROW()-1)))),1,0))&lt;&gt;16),MIN(LOOKUP(,-1/($Z$12:Z657=1),$C$12:C657)+LOOKUP(,-1/($Z$12:Z657=1),$H$12:H657)-IF(AA656="Да",0,SUM(INDIRECT("T"&amp;(MAX(("Да"=AA$12:AA656)*ROW(AA$12:AA656)+1,ROW($T$12))&amp;":T"&amp;(ROW()-1))))),Первоначальный[[#This Row],[Полученный платеж]]+Y656),
AND(S656=0,MAX((0&lt;&gt;N$12:N656)*ROW(N$12:N656),ROW($S$12))&gt;=MAX((1=Z$12:Z656)*ROW(Z$12:Z656),ROW($T$12))),MIN(LOOKUP(,-1/($Z$12:Z657=1),$C$12:C657)+LOOKUP(,-1/($Z$12:Z657=1),$H$12:H657)-IF(N656&lt;&gt;0,0,SUM(INDIRECT("T"&amp;(MAX((0&lt;&gt;N$12:N656)*ROW(N$12:N656)+1,ROW($T$12))&amp;":T"&amp;(ROW()-1))))),Первоначальный[[#This Row],[Полученный платеж]]+Y656),
AND(S656=0,Первоначальный[[#This Row],[Дата платежа из графика]]=1),MIN(LOOKUP(,-1/($Z$12:Z657=1),$C$12:C657)+LOOKUP(,-1/($Z$12:Z657=1),$H$12:H657)-IF(Z656=1,0,SUM(INDIRECT("T"&amp;(MAX((1=Z$12:Z656)*ROW(Z$12:Z656)+1,ROW($T$12))&amp;":T"&amp;(ROW()-1))))),Первоначальный[[#This Row],[Полученный платеж]]+Y656),
AND(Z656&gt;0,Первоначальный[[#This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платеж]]+Y656),
AND(S656&gt;0,MAX((0&lt;&gt;S$12:S656)*ROW(S$12:S656),ROW($S$12))&gt;=MAX((1=Z$12:Z656)*ROW(Z$12:Z656),ROW($T$12)),TYPE(VLOOKUP("Да",(INDIRECT("AA"&amp;(MAX((1=Z$12:Z656)*ROW(Z$12:Z656),ROW($T$12))&amp;":AA"&amp;(ROW()-1)))),1,0))=16),MIN(LOOKUP(,-1/($Z$12:Z657=1),$C$12:C657)+LOOKUP(,-1/($Z$12:Z657=1),$H$12:H657)-SUM(INDIRECT("T"&amp;(MAX((1=Z$12:Z656)*ROW(Z$12:Z656),ROW($T$12))&amp;":T"&amp;(ROW()-1)))),Первоначальный[[#This Row],[Полученный платеж]]+Y656),
S656&gt;0,MIN(LOOKUP(,-1/($Z$12:Z657=1),$C$12:C657)+LOOKUP(,-1/($Z$12:Z657=1),$H$12:H657)-IF(Z656=1,0,SUM(INDIRECT("T"&amp;(MAX((1=Z$12:Z656)*ROW(Z$12:Z656)+1,ROW($T$12))&amp;":T"&amp;(ROW()-1))))),Первоначальный[[#This Row],[Полученный платеж]]+Y656)
)
)
)</f>
        <v>0</v>
      </c>
      <c r="U65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платеж]]+Y656-Первоначальный[[#This Row],[Полученный платёж по процентам]])</f>
        <v>0</v>
      </c>
      <c r="V657" s="55">
        <f t="shared" ca="1" si="121"/>
        <v>0</v>
      </c>
      <c r="W657" s="55" cm="1">
        <f t="array" aca="1" ref="W657" ca="1">IF(Первоначальный[[#This Row],[Итого остаток на начало периода]]&lt;1,0,
_xlfn.IFS(
AND(TYPE(VLOOKUP(1,$Z$12:Z657,1,0))=16,Первоначальный[[#This Row],[Досрочное погашение (да/"")]]=""),0,
AND(S656=0,Первоначальный[[#This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платеж]]+Y656-SUM(Первоначальный[[#This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комиссиям]]),VLOOKUP(LOOKUP(,-1/($Z$12:Z657=1),$A$12:A657),График[[Срок конец]:[Возврат основной суммы долга]],3,0)),
AND(S656=0,Первоначальный[[#This Row],[Дата платежа из графика]]="",Первоначальный[[#This Row],[Досрочное погашение (да/"")]]&lt;&gt;"Да"),0,
AND(S656=0,Первоначальный[[#This Row],[Досрочное погашение (да/"")]]=""),MIN(Первоначальный[[#This Row],[Полученный платеж]]+Y656-SUM(Первоначальный[[#This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комиссиям]]),VLOOKUP(LOOKUP(,-1/($Z$12:Z657=1),$A$12:A657),График[[Срок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платеж]]+Y656-SUM(Первоначальный[[#This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S656&gt;0,MIN(Первоначальный[[#This Row],[Полученный платеж]]+Y656-SUM(Первоначальный[[#This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комиссиям]]),SUM(INDIRECT("M"&amp;(MAX((1=S$12:S656)*ROW(S$12:S656),ROW($W$12))&amp;":M"&amp;(ROW()))))-SUM(INDIRECT("W"&amp;(MAX((1=S$12:S656)*ROW(S$12:S656),ROW($W$12))&amp;":W"&amp;(ROW()-1)))))
)
)</f>
        <v>0</v>
      </c>
      <c r="X657" s="55">
        <f t="shared" ca="1" si="122"/>
        <v>0</v>
      </c>
      <c r="Y657" s="101">
        <f t="shared" ca="1" si="129"/>
        <v>0</v>
      </c>
      <c r="Z657" s="133" t="str">
        <f>IF(TYPE((VLOOKUP(Первоначальный[[#This Row],[Дата платежа]],График[Срок конец],1,0)))=16,"",1)</f>
        <v/>
      </c>
      <c r="AA657" s="57"/>
      <c r="AB657" s="134"/>
      <c r="AC65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5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46197.619999999923</v>
      </c>
      <c r="AE65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1350.7000000000019</v>
      </c>
      <c r="AF65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5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77110.337313114782</v>
      </c>
      <c r="AH657" s="55"/>
      <c r="AI657" s="55"/>
      <c r="AJ657" s="55"/>
      <c r="AK657" s="101">
        <f t="shared" ca="1" si="130"/>
        <v>274291.9973131147</v>
      </c>
      <c r="AL657" s="129">
        <f t="array" ref="AL657">MAX((УслРестрактов[Характеристика]="Дата реструктуризации")*(УслРестрактов[Значение]=Первоначальный!$A657),0)</f>
        <v>0</v>
      </c>
    </row>
    <row r="658" spans="1:38" x14ac:dyDescent="0.25">
      <c r="A658" s="97">
        <f t="shared" si="123"/>
        <v>44789</v>
      </c>
      <c r="B658" s="100">
        <f t="shared" ca="1" si="124"/>
        <v>149633.34</v>
      </c>
      <c r="C658" s="55">
        <f t="shared" ca="1" si="120"/>
        <v>46197.619999999923</v>
      </c>
      <c r="D658" s="55">
        <f t="shared" ca="1" si="120"/>
        <v>1350.7000000000019</v>
      </c>
      <c r="E658" s="55">
        <f t="shared" ca="1" si="125"/>
        <v>0</v>
      </c>
      <c r="F658" s="55">
        <f t="shared" ca="1" si="126"/>
        <v>77110.337313114782</v>
      </c>
      <c r="G658" s="101">
        <f t="shared" ca="1" si="127"/>
        <v>274291.9973131147</v>
      </c>
      <c r="H658" s="100">
        <f ca="1">ROUND($B658*VLOOKUP($A658,$A$1:$B$10,2,1)/(365+IF(MOD(YEAR($A658),4),0,1)*($A658-$A657)),2)-Первоначальный[[#This Row],[Проценты на просроченный платеж по ОД за период]]</f>
        <v>76.509999999999991</v>
      </c>
      <c r="I658" s="55">
        <f t="shared" ca="1" si="128"/>
        <v>5.07</v>
      </c>
      <c r="J658" s="55">
        <v>0</v>
      </c>
      <c r="K658" s="55">
        <f t="shared" ca="1" si="131"/>
        <v>275.14850327868845</v>
      </c>
      <c r="L658" s="55">
        <v>0</v>
      </c>
      <c r="M658" s="113">
        <f>SUMIFS(График[Возврат основной суммы долга],График[Дата с учетом нерабочих дней],$A658)</f>
        <v>0</v>
      </c>
      <c r="N658" s="56">
        <f>SUMIFS(График[Возврат начисленных %],График[Дата с учетом нерабочих дней],$A658)</f>
        <v>0</v>
      </c>
      <c r="O658" s="101">
        <v>0</v>
      </c>
      <c r="P658" s="100" cm="1">
        <f t="array" aca="1" ref="P658" ca="1">MAX(IF(AA657="Да",0,SUM(INDIRECT("M"&amp;(MAX(("Да"=AA$12:AA657)*ROW(AA$12:AA657)+1,ROW($P$12))&amp;":M"&amp;(ROW()))))-SUM(INDIRECT("W"&amp;(MAX(("Да"=AA$12:AA657)*ROW(AA$12:AA657)+1,ROW($P$12))&amp;":W"&amp;(ROW()))))),0)</f>
        <v>9293.369999999999</v>
      </c>
      <c r="Q658" s="99">
        <f ca="1">MAX(SUM($N$13:N658)-SUM($T$13:T658),0)</f>
        <v>45736.330655737693</v>
      </c>
      <c r="R658" s="99">
        <f ca="1">Первоначальный[[#This Row],[Просроченный платеж по ОД]]+Первоначальный[[#This Row],[Просроченный платеж по процентам]]</f>
        <v>55029.700655737688</v>
      </c>
      <c r="S658" s="120">
        <f ca="1">IF(Первоначальный[[#This Row],[Просроченный платеж]]&lt;1,0,S657+1)</f>
        <v>554</v>
      </c>
      <c r="T658" s="100" cm="1">
        <f t="array" aca="1" ref="T658" ca="1">IF(Первоначальный[[#This Row],[Итого остаток на начало периода]]&lt;1,0,
IF(
AND(TYPE(VLOOKUP(1,$Z$12:Z658,1,0))=16,Первоначальный[[#This Row],[Досрочное погашение (да/"")]]=""),0,
_xlfn.IFS(AND(S657=0,Первоначальный[[#This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платеж]]&lt;&gt;0),MIN(LOOKUP(,-1/($Z$12:Z658=1),$C$12:C658)+LOOKUP(,-1/($Z$12:Z658=1),$H$12:H658),Первоначальный[[#This Row],[Полученный платеж]]+Y657),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платеж]]+Y657,SUM(Первоначальный[[#This Row],[Остаток процентов на начало периода]],Первоначальный[[#This Row],[Проценты за период]])),
AND(S657=0,Первоначальный[[#This Row],[Дата платежа из графика]]=""),0,
AND(S657=0,Первоначальный[[#This Row],[Дата платежа из графика]]=1,MAX((0&lt;&gt;S$12:S657)*ROW(S$12:S657),ROW($S$12))&gt;=MAX((1=Z$12:Z657)*ROW(Z$12:Z657),ROW($T$12)),TYPE(VLOOKUP("Да",(INDIRECT("AA"&amp;(MAX((1=Z$12:Z657)*ROW(Z$12:Z657),ROW($T$12))&amp;":AA"&amp;(ROW()-1)))),1,0))=16),MIN(LOOKUP(,-1/($Z$12:Z658=1),$C$12:C658)+LOOKUP(,-1/($Z$12:Z658=1),$H$12:H658),Первоначальный[[#This Row],[Полученный платеж]]+Y657),
AND(S657=0,TYPE(VLOOKUP("Да",(INDIRECT("AA"&amp;(MAX((1=Z$12:Z657)*ROW(Z$12:Z657),ROW($T$12))&amp;":AA"&amp;(ROW()-1)))),1,0))&lt;&gt;16),MIN(LOOKUP(,-1/($Z$12:Z658=1),$C$12:C658)+LOOKUP(,-1/($Z$12:Z658=1),$H$12:H658)-IF(AA657="Да",0,SUM(INDIRECT("T"&amp;(MAX(("Да"=AA$12:AA657)*ROW(AA$12:AA657)+1,ROW($T$12))&amp;":T"&amp;(ROW()-1))))),Первоначальный[[#This Row],[Полученный платеж]]+Y657),
AND(S657=0,MAX((0&lt;&gt;N$12:N657)*ROW(N$12:N657),ROW($S$12))&gt;=MAX((1=Z$12:Z657)*ROW(Z$12:Z657),ROW($T$12))),MIN(LOOKUP(,-1/($Z$12:Z658=1),$C$12:C658)+LOOKUP(,-1/($Z$12:Z658=1),$H$12:H658)-IF(N657&lt;&gt;0,0,SUM(INDIRECT("T"&amp;(MAX((0&lt;&gt;N$12:N657)*ROW(N$12:N657)+1,ROW($T$12))&amp;":T"&amp;(ROW()-1))))),Первоначальный[[#This Row],[Полученный платеж]]+Y657),
AND(S657=0,Первоначальный[[#This Row],[Дата платежа из графика]]=1),MIN(LOOKUP(,-1/($Z$12:Z658=1),$C$12:C658)+LOOKUP(,-1/($Z$12:Z658=1),$H$12:H658)-IF(Z657=1,0,SUM(INDIRECT("T"&amp;(MAX((1=Z$12:Z657)*ROW(Z$12:Z657)+1,ROW($T$12))&amp;":T"&amp;(ROW()-1))))),Первоначальный[[#This Row],[Полученный платеж]]+Y657),
AND(Z657&gt;0,Первоначальный[[#This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платеж]]+Y657),
AND(S657&gt;0,MAX((0&lt;&gt;S$12:S657)*ROW(S$12:S657),ROW($S$12))&gt;=MAX((1=Z$12:Z657)*ROW(Z$12:Z657),ROW($T$12)),TYPE(VLOOKUP("Да",(INDIRECT("AA"&amp;(MAX((1=Z$12:Z657)*ROW(Z$12:Z657),ROW($T$12))&amp;":AA"&amp;(ROW()-1)))),1,0))=16),MIN(LOOKUP(,-1/($Z$12:Z658=1),$C$12:C658)+LOOKUP(,-1/($Z$12:Z658=1),$H$12:H658)-SUM(INDIRECT("T"&amp;(MAX((1=Z$12:Z657)*ROW(Z$12:Z657),ROW($T$12))&amp;":T"&amp;(ROW()-1)))),Первоначальный[[#This Row],[Полученный платеж]]+Y657),
S657&gt;0,MIN(LOOKUP(,-1/($Z$12:Z658=1),$C$12:C658)+LOOKUP(,-1/($Z$12:Z658=1),$H$12:H658)-IF(Z657=1,0,SUM(INDIRECT("T"&amp;(MAX((1=Z$12:Z657)*ROW(Z$12:Z657)+1,ROW($T$12))&amp;":T"&amp;(ROW()-1))))),Первоначальный[[#This Row],[Полученный платеж]]+Y657)
)
)
)</f>
        <v>0</v>
      </c>
      <c r="U65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платеж]]+Y657-Первоначальный[[#This Row],[Полученный платёж по процентам]])</f>
        <v>0</v>
      </c>
      <c r="V658" s="55">
        <f t="shared" ca="1" si="121"/>
        <v>0</v>
      </c>
      <c r="W658" s="55" cm="1">
        <f t="array" aca="1" ref="W658" ca="1">IF(Первоначальный[[#This Row],[Итого остаток на начало периода]]&lt;1,0,
_xlfn.IFS(
AND(TYPE(VLOOKUP(1,$Z$12:Z658,1,0))=16,Первоначальный[[#This Row],[Досрочное погашение (да/"")]]=""),0,
AND(S657=0,Первоначальный[[#This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платеж]]+Y657-SUM(Первоначальный[[#This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комиссиям]]),VLOOKUP(LOOKUP(,-1/($Z$12:Z658=1),$A$12:A658),График[[Срок конец]:[Возврат основной суммы долга]],3,0)),
AND(S657=0,Первоначальный[[#This Row],[Дата платежа из графика]]="",Первоначальный[[#This Row],[Досрочное погашение (да/"")]]&lt;&gt;"Да"),0,
AND(S657=0,Первоначальный[[#This Row],[Досрочное погашение (да/"")]]=""),MIN(Первоначальный[[#This Row],[Полученный платеж]]+Y657-SUM(Первоначальный[[#This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комиссиям]]),VLOOKUP(LOOKUP(,-1/($Z$12:Z658=1),$A$12:A658),График[[Срок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платеж]]+Y657-SUM(Первоначальный[[#This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S657&gt;0,MIN(Первоначальный[[#This Row],[Полученный платеж]]+Y657-SUM(Первоначальный[[#This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комиссиям]]),SUM(INDIRECT("M"&amp;(MAX((1=S$12:S657)*ROW(S$12:S657),ROW($W$12))&amp;":M"&amp;(ROW()))))-SUM(INDIRECT("W"&amp;(MAX((1=S$12:S657)*ROW(S$12:S657),ROW($W$12))&amp;":W"&amp;(ROW()-1)))))
)
)</f>
        <v>0</v>
      </c>
      <c r="X658" s="55">
        <f t="shared" ca="1" si="122"/>
        <v>0</v>
      </c>
      <c r="Y658" s="101">
        <f t="shared" ca="1" si="129"/>
        <v>0</v>
      </c>
      <c r="Z658" s="133" t="str">
        <f>IF(TYPE((VLOOKUP(Первоначальный[[#This Row],[Дата платежа]],График[Срок конец],1,0)))=16,"",1)</f>
        <v/>
      </c>
      <c r="AA658" s="57"/>
      <c r="AB658" s="134"/>
      <c r="AC65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5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46274.129999999925</v>
      </c>
      <c r="AE65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1355.7700000000018</v>
      </c>
      <c r="AF65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5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77385.48581639347</v>
      </c>
      <c r="AH658" s="55"/>
      <c r="AI658" s="55"/>
      <c r="AJ658" s="55"/>
      <c r="AK658" s="101">
        <f t="shared" ca="1" si="130"/>
        <v>274648.72581639339</v>
      </c>
      <c r="AL658" s="129">
        <f t="array" ref="AL658">MAX((УслРестрактов[Характеристика]="Дата реструктуризации")*(УслРестрактов[Значение]=Первоначальный!$A658),0)</f>
        <v>0</v>
      </c>
    </row>
    <row r="659" spans="1:38" x14ac:dyDescent="0.25">
      <c r="A659" s="97">
        <f t="shared" si="123"/>
        <v>44790</v>
      </c>
      <c r="B659" s="100">
        <f t="shared" ca="1" si="124"/>
        <v>149633.34</v>
      </c>
      <c r="C659" s="55">
        <f t="shared" ca="1" si="120"/>
        <v>46274.129999999925</v>
      </c>
      <c r="D659" s="55">
        <f t="shared" ca="1" si="120"/>
        <v>1355.7700000000018</v>
      </c>
      <c r="E659" s="55">
        <f t="shared" ca="1" si="125"/>
        <v>0</v>
      </c>
      <c r="F659" s="55">
        <f t="shared" ca="1" si="126"/>
        <v>77385.48581639347</v>
      </c>
      <c r="G659" s="101">
        <f t="shared" ca="1" si="127"/>
        <v>274648.72581639339</v>
      </c>
      <c r="H659" s="100">
        <f ca="1">ROUND($B659*VLOOKUP($A659,$A$1:$B$10,2,1)/(365+IF(MOD(YEAR($A659),4),0,1)*($A659-$A658)),2)-Первоначальный[[#This Row],[Проценты на просроченный платеж по ОД за период]]</f>
        <v>76.509999999999991</v>
      </c>
      <c r="I659" s="55">
        <f t="shared" ca="1" si="128"/>
        <v>5.07</v>
      </c>
      <c r="J659" s="55">
        <v>0</v>
      </c>
      <c r="K659" s="55">
        <f t="shared" ca="1" si="131"/>
        <v>275.14850327868845</v>
      </c>
      <c r="L659" s="55">
        <v>0</v>
      </c>
      <c r="M659" s="113">
        <f>SUMIFS(График[Возврат основной суммы долга],График[Дата с учетом нерабочих дней],$A659)</f>
        <v>0</v>
      </c>
      <c r="N659" s="56">
        <f>SUMIFS(График[Возврат начисленных %],График[Дата с учетом нерабочих дней],$A659)</f>
        <v>0</v>
      </c>
      <c r="O659" s="101">
        <v>0</v>
      </c>
      <c r="P659" s="100" cm="1">
        <f t="array" aca="1" ref="P659" ca="1">MAX(IF(AA658="Да",0,SUM(INDIRECT("M"&amp;(MAX(("Да"=AA$12:AA658)*ROW(AA$12:AA658)+1,ROW($P$12))&amp;":M"&amp;(ROW()))))-SUM(INDIRECT("W"&amp;(MAX(("Да"=AA$12:AA658)*ROW(AA$12:AA658)+1,ROW($P$12))&amp;":W"&amp;(ROW()))))),0)</f>
        <v>9293.369999999999</v>
      </c>
      <c r="Q659" s="99">
        <f ca="1">MAX(SUM($N$13:N659)-SUM($T$13:T659),0)</f>
        <v>45736.330655737693</v>
      </c>
      <c r="R659" s="99">
        <f ca="1">Первоначальный[[#This Row],[Просроченный платеж по ОД]]+Первоначальный[[#This Row],[Просроченный платеж по процентам]]</f>
        <v>55029.700655737688</v>
      </c>
      <c r="S659" s="120">
        <f ca="1">IF(Первоначальный[[#This Row],[Просроченный платеж]]&lt;1,0,S658+1)</f>
        <v>555</v>
      </c>
      <c r="T659" s="100" cm="1">
        <f t="array" aca="1" ref="T659" ca="1">IF(Первоначальный[[#This Row],[Итого остаток на начало периода]]&lt;1,0,
IF(
AND(TYPE(VLOOKUP(1,$Z$12:Z659,1,0))=16,Первоначальный[[#This Row],[Досрочное погашение (да/"")]]=""),0,
_xlfn.IFS(AND(S658=0,Первоначальный[[#This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платеж]]&lt;&gt;0),MIN(LOOKUP(,-1/($Z$12:Z659=1),$C$12:C659)+LOOKUP(,-1/($Z$12:Z659=1),$H$12:H659),Первоначальный[[#This Row],[Полученный платеж]]+Y658),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платеж]]+Y658,SUM(Первоначальный[[#This Row],[Остаток процентов на начало периода]],Первоначальный[[#This Row],[Проценты за период]])),
AND(S658=0,Первоначальный[[#This Row],[Дата платежа из графика]]=""),0,
AND(S658=0,Первоначальный[[#This Row],[Дата платежа из графика]]=1,MAX((0&lt;&gt;S$12:S658)*ROW(S$12:S658),ROW($S$12))&gt;=MAX((1=Z$12:Z658)*ROW(Z$12:Z658),ROW($T$12)),TYPE(VLOOKUP("Да",(INDIRECT("AA"&amp;(MAX((1=Z$12:Z658)*ROW(Z$12:Z658),ROW($T$12))&amp;":AA"&amp;(ROW()-1)))),1,0))=16),MIN(LOOKUP(,-1/($Z$12:Z659=1),$C$12:C659)+LOOKUP(,-1/($Z$12:Z659=1),$H$12:H659),Первоначальный[[#This Row],[Полученный платеж]]+Y658),
AND(S658=0,TYPE(VLOOKUP("Да",(INDIRECT("AA"&amp;(MAX((1=Z$12:Z658)*ROW(Z$12:Z658),ROW($T$12))&amp;":AA"&amp;(ROW()-1)))),1,0))&lt;&gt;16),MIN(LOOKUP(,-1/($Z$12:Z659=1),$C$12:C659)+LOOKUP(,-1/($Z$12:Z659=1),$H$12:H659)-IF(AA658="Да",0,SUM(INDIRECT("T"&amp;(MAX(("Да"=AA$12:AA658)*ROW(AA$12:AA658)+1,ROW($T$12))&amp;":T"&amp;(ROW()-1))))),Первоначальный[[#This Row],[Полученный платеж]]+Y658),
AND(S658=0,MAX((0&lt;&gt;N$12:N658)*ROW(N$12:N658),ROW($S$12))&gt;=MAX((1=Z$12:Z658)*ROW(Z$12:Z658),ROW($T$12))),MIN(LOOKUP(,-1/($Z$12:Z659=1),$C$12:C659)+LOOKUP(,-1/($Z$12:Z659=1),$H$12:H659)-IF(N658&lt;&gt;0,0,SUM(INDIRECT("T"&amp;(MAX((0&lt;&gt;N$12:N658)*ROW(N$12:N658)+1,ROW($T$12))&amp;":T"&amp;(ROW()-1))))),Первоначальный[[#This Row],[Полученный платеж]]+Y658),
AND(S658=0,Первоначальный[[#This Row],[Дата платежа из графика]]=1),MIN(LOOKUP(,-1/($Z$12:Z659=1),$C$12:C659)+LOOKUP(,-1/($Z$12:Z659=1),$H$12:H659)-IF(Z658=1,0,SUM(INDIRECT("T"&amp;(MAX((1=Z$12:Z658)*ROW(Z$12:Z658)+1,ROW($T$12))&amp;":T"&amp;(ROW()-1))))),Первоначальный[[#This Row],[Полученный платеж]]+Y658),
AND(Z658&gt;0,Первоначальный[[#This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платеж]]+Y658),
AND(S658&gt;0,MAX((0&lt;&gt;S$12:S658)*ROW(S$12:S658),ROW($S$12))&gt;=MAX((1=Z$12:Z658)*ROW(Z$12:Z658),ROW($T$12)),TYPE(VLOOKUP("Да",(INDIRECT("AA"&amp;(MAX((1=Z$12:Z658)*ROW(Z$12:Z658),ROW($T$12))&amp;":AA"&amp;(ROW()-1)))),1,0))=16),MIN(LOOKUP(,-1/($Z$12:Z659=1),$C$12:C659)+LOOKUP(,-1/($Z$12:Z659=1),$H$12:H659)-SUM(INDIRECT("T"&amp;(MAX((1=Z$12:Z658)*ROW(Z$12:Z658),ROW($T$12))&amp;":T"&amp;(ROW()-1)))),Первоначальный[[#This Row],[Полученный платеж]]+Y658),
S658&gt;0,MIN(LOOKUP(,-1/($Z$12:Z659=1),$C$12:C659)+LOOKUP(,-1/($Z$12:Z659=1),$H$12:H659)-IF(Z658=1,0,SUM(INDIRECT("T"&amp;(MAX((1=Z$12:Z658)*ROW(Z$12:Z658)+1,ROW($T$12))&amp;":T"&amp;(ROW()-1))))),Первоначальный[[#This Row],[Полученный платеж]]+Y658)
)
)
)</f>
        <v>0</v>
      </c>
      <c r="U65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платеж]]+Y658-Первоначальный[[#This Row],[Полученный платёж по процентам]])</f>
        <v>0</v>
      </c>
      <c r="V659" s="55">
        <f t="shared" ca="1" si="121"/>
        <v>0</v>
      </c>
      <c r="W659" s="55" cm="1">
        <f t="array" aca="1" ref="W659" ca="1">IF(Первоначальный[[#This Row],[Итого остаток на начало периода]]&lt;1,0,
_xlfn.IFS(
AND(TYPE(VLOOKUP(1,$Z$12:Z659,1,0))=16,Первоначальный[[#This Row],[Досрочное погашение (да/"")]]=""),0,
AND(S658=0,Первоначальный[[#This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платеж]]+Y658-SUM(Первоначальный[[#This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комиссиям]]),VLOOKUP(LOOKUP(,-1/($Z$12:Z659=1),$A$12:A659),График[[Срок конец]:[Возврат основной суммы долга]],3,0)),
AND(S658=0,Первоначальный[[#This Row],[Дата платежа из графика]]="",Первоначальный[[#This Row],[Досрочное погашение (да/"")]]&lt;&gt;"Да"),0,
AND(S658=0,Первоначальный[[#This Row],[Досрочное погашение (да/"")]]=""),MIN(Первоначальный[[#This Row],[Полученный платеж]]+Y658-SUM(Первоначальный[[#This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комиссиям]]),VLOOKUP(LOOKUP(,-1/($Z$12:Z659=1),$A$12:A659),График[[Срок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платеж]]+Y658-SUM(Первоначальный[[#This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S658&gt;0,MIN(Первоначальный[[#This Row],[Полученный платеж]]+Y658-SUM(Первоначальный[[#This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комиссиям]]),SUM(INDIRECT("M"&amp;(MAX((1=S$12:S658)*ROW(S$12:S658),ROW($W$12))&amp;":M"&amp;(ROW()))))-SUM(INDIRECT("W"&amp;(MAX((1=S$12:S658)*ROW(S$12:S658),ROW($W$12))&amp;":W"&amp;(ROW()-1)))))
)
)</f>
        <v>0</v>
      </c>
      <c r="X659" s="55">
        <f t="shared" ca="1" si="122"/>
        <v>0</v>
      </c>
      <c r="Y659" s="101">
        <f t="shared" ca="1" si="129"/>
        <v>0</v>
      </c>
      <c r="Z659" s="133" t="str">
        <f>IF(TYPE((VLOOKUP(Первоначальный[[#This Row],[Дата платежа]],График[Срок конец],1,0)))=16,"",1)</f>
        <v/>
      </c>
      <c r="AA659" s="57"/>
      <c r="AB659" s="134"/>
      <c r="AC65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5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46350.639999999927</v>
      </c>
      <c r="AE65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1360.8400000000017</v>
      </c>
      <c r="AF65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5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77660.634319672157</v>
      </c>
      <c r="AH659" s="55"/>
      <c r="AI659" s="55"/>
      <c r="AJ659" s="55"/>
      <c r="AK659" s="101">
        <f t="shared" ca="1" si="130"/>
        <v>275005.45431967208</v>
      </c>
      <c r="AL659" s="129">
        <f t="array" ref="AL659">MAX((УслРестрактов[Характеристика]="Дата реструктуризации")*(УслРестрактов[Значение]=Первоначальный!$A659),0)</f>
        <v>0</v>
      </c>
    </row>
    <row r="660" spans="1:38" x14ac:dyDescent="0.25">
      <c r="A660" s="97">
        <f t="shared" si="123"/>
        <v>44791</v>
      </c>
      <c r="B660" s="100">
        <f t="shared" ca="1" si="124"/>
        <v>149633.34</v>
      </c>
      <c r="C660" s="55">
        <f t="shared" ca="1" si="120"/>
        <v>46350.639999999927</v>
      </c>
      <c r="D660" s="55">
        <f t="shared" ca="1" si="120"/>
        <v>1360.8400000000017</v>
      </c>
      <c r="E660" s="55">
        <f t="shared" ca="1" si="125"/>
        <v>0</v>
      </c>
      <c r="F660" s="55">
        <f t="shared" ca="1" si="126"/>
        <v>77660.634319672157</v>
      </c>
      <c r="G660" s="101">
        <f t="shared" ca="1" si="127"/>
        <v>275005.45431967208</v>
      </c>
      <c r="H660" s="100">
        <f ca="1">ROUND($B660*VLOOKUP($A660,$A$1:$B$10,2,1)/(365+IF(MOD(YEAR($A660),4),0,1)*($A660-$A659)),2)-Первоначальный[[#This Row],[Проценты на просроченный платеж по ОД за период]]</f>
        <v>76.509999999999991</v>
      </c>
      <c r="I660" s="55">
        <f t="shared" ca="1" si="128"/>
        <v>5.07</v>
      </c>
      <c r="J660" s="55">
        <v>0</v>
      </c>
      <c r="K660" s="55">
        <f t="shared" ca="1" si="131"/>
        <v>275.14850327868845</v>
      </c>
      <c r="L660" s="55">
        <v>0</v>
      </c>
      <c r="M660" s="113">
        <f>SUMIFS(График[Возврат основной суммы долга],График[Дата с учетом нерабочих дней],$A660)</f>
        <v>0</v>
      </c>
      <c r="N660" s="56">
        <f>SUMIFS(График[Возврат начисленных %],График[Дата с учетом нерабочих дней],$A660)</f>
        <v>0</v>
      </c>
      <c r="O660" s="101">
        <v>0</v>
      </c>
      <c r="P660" s="100" cm="1">
        <f t="array" aca="1" ref="P660" ca="1">MAX(IF(AA659="Да",0,SUM(INDIRECT("M"&amp;(MAX(("Да"=AA$12:AA659)*ROW(AA$12:AA659)+1,ROW($P$12))&amp;":M"&amp;(ROW()))))-SUM(INDIRECT("W"&amp;(MAX(("Да"=AA$12:AA659)*ROW(AA$12:AA659)+1,ROW($P$12))&amp;":W"&amp;(ROW()))))),0)</f>
        <v>9293.369999999999</v>
      </c>
      <c r="Q660" s="99">
        <f ca="1">MAX(SUM($N$13:N660)-SUM($T$13:T660),0)</f>
        <v>45736.330655737693</v>
      </c>
      <c r="R660" s="99">
        <f ca="1">Первоначальный[[#This Row],[Просроченный платеж по ОД]]+Первоначальный[[#This Row],[Просроченный платеж по процентам]]</f>
        <v>55029.700655737688</v>
      </c>
      <c r="S660" s="120">
        <f ca="1">IF(Первоначальный[[#This Row],[Просроченный платеж]]&lt;1,0,S659+1)</f>
        <v>556</v>
      </c>
      <c r="T660" s="100" cm="1">
        <f t="array" aca="1" ref="T660" ca="1">IF(Первоначальный[[#This Row],[Итого остаток на начало периода]]&lt;1,0,
IF(
AND(TYPE(VLOOKUP(1,$Z$12:Z660,1,0))=16,Первоначальный[[#This Row],[Досрочное погашение (да/"")]]=""),0,
_xlfn.IFS(AND(S659=0,Первоначальный[[#This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платеж]]&lt;&gt;0),MIN(LOOKUP(,-1/($Z$12:Z660=1),$C$12:C660)+LOOKUP(,-1/($Z$12:Z660=1),$H$12:H660),Первоначальный[[#This Row],[Полученный платеж]]+Y659),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платеж]]+Y659,SUM(Первоначальный[[#This Row],[Остаток процентов на начало периода]],Первоначальный[[#This Row],[Проценты за период]])),
AND(S659=0,Первоначальный[[#This Row],[Дата платежа из графика]]=""),0,
AND(S659=0,Первоначальный[[#This Row],[Дата платежа из графика]]=1,MAX((0&lt;&gt;S$12:S659)*ROW(S$12:S659),ROW($S$12))&gt;=MAX((1=Z$12:Z659)*ROW(Z$12:Z659),ROW($T$12)),TYPE(VLOOKUP("Да",(INDIRECT("AA"&amp;(MAX((1=Z$12:Z659)*ROW(Z$12:Z659),ROW($T$12))&amp;":AA"&amp;(ROW()-1)))),1,0))=16),MIN(LOOKUP(,-1/($Z$12:Z660=1),$C$12:C660)+LOOKUP(,-1/($Z$12:Z660=1),$H$12:H660),Первоначальный[[#This Row],[Полученный платеж]]+Y659),
AND(S659=0,TYPE(VLOOKUP("Да",(INDIRECT("AA"&amp;(MAX((1=Z$12:Z659)*ROW(Z$12:Z659),ROW($T$12))&amp;":AA"&amp;(ROW()-1)))),1,0))&lt;&gt;16),MIN(LOOKUP(,-1/($Z$12:Z660=1),$C$12:C660)+LOOKUP(,-1/($Z$12:Z660=1),$H$12:H660)-IF(AA659="Да",0,SUM(INDIRECT("T"&amp;(MAX(("Да"=AA$12:AA659)*ROW(AA$12:AA659)+1,ROW($T$12))&amp;":T"&amp;(ROW()-1))))),Первоначальный[[#This Row],[Полученный платеж]]+Y659),
AND(S659=0,MAX((0&lt;&gt;N$12:N659)*ROW(N$12:N659),ROW($S$12))&gt;=MAX((1=Z$12:Z659)*ROW(Z$12:Z659),ROW($T$12))),MIN(LOOKUP(,-1/($Z$12:Z660=1),$C$12:C660)+LOOKUP(,-1/($Z$12:Z660=1),$H$12:H660)-IF(N659&lt;&gt;0,0,SUM(INDIRECT("T"&amp;(MAX((0&lt;&gt;N$12:N659)*ROW(N$12:N659)+1,ROW($T$12))&amp;":T"&amp;(ROW()-1))))),Первоначальный[[#This Row],[Полученный платеж]]+Y659),
AND(S659=0,Первоначальный[[#This Row],[Дата платежа из графика]]=1),MIN(LOOKUP(,-1/($Z$12:Z660=1),$C$12:C660)+LOOKUP(,-1/($Z$12:Z660=1),$H$12:H660)-IF(Z659=1,0,SUM(INDIRECT("T"&amp;(MAX((1=Z$12:Z659)*ROW(Z$12:Z659)+1,ROW($T$12))&amp;":T"&amp;(ROW()-1))))),Первоначальный[[#This Row],[Полученный платеж]]+Y659),
AND(Z659&gt;0,Первоначальный[[#This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платеж]]+Y659),
AND(S659&gt;0,MAX((0&lt;&gt;S$12:S659)*ROW(S$12:S659),ROW($S$12))&gt;=MAX((1=Z$12:Z659)*ROW(Z$12:Z659),ROW($T$12)),TYPE(VLOOKUP("Да",(INDIRECT("AA"&amp;(MAX((1=Z$12:Z659)*ROW(Z$12:Z659),ROW($T$12))&amp;":AA"&amp;(ROW()-1)))),1,0))=16),MIN(LOOKUP(,-1/($Z$12:Z660=1),$C$12:C660)+LOOKUP(,-1/($Z$12:Z660=1),$H$12:H660)-SUM(INDIRECT("T"&amp;(MAX((1=Z$12:Z659)*ROW(Z$12:Z659),ROW($T$12))&amp;":T"&amp;(ROW()-1)))),Первоначальный[[#This Row],[Полученный платеж]]+Y659),
S659&gt;0,MIN(LOOKUP(,-1/($Z$12:Z660=1),$C$12:C660)+LOOKUP(,-1/($Z$12:Z660=1),$H$12:H660)-IF(Z659=1,0,SUM(INDIRECT("T"&amp;(MAX((1=Z$12:Z659)*ROW(Z$12:Z659)+1,ROW($T$12))&amp;":T"&amp;(ROW()-1))))),Первоначальный[[#This Row],[Полученный платеж]]+Y659)
)
)
)</f>
        <v>0</v>
      </c>
      <c r="U66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платеж]]+Y659-Первоначальный[[#This Row],[Полученный платёж по процентам]])</f>
        <v>0</v>
      </c>
      <c r="V660" s="55">
        <f t="shared" ca="1" si="121"/>
        <v>0</v>
      </c>
      <c r="W660" s="55" cm="1">
        <f t="array" aca="1" ref="W660" ca="1">IF(Первоначальный[[#This Row],[Итого остаток на начало периода]]&lt;1,0,
_xlfn.IFS(
AND(TYPE(VLOOKUP(1,$Z$12:Z660,1,0))=16,Первоначальный[[#This Row],[Досрочное погашение (да/"")]]=""),0,
AND(S659=0,Первоначальный[[#This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платеж]]+Y659-SUM(Первоначальный[[#This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комиссиям]]),VLOOKUP(LOOKUP(,-1/($Z$12:Z660=1),$A$12:A660),График[[Срок конец]:[Возврат основной суммы долга]],3,0)),
AND(S659=0,Первоначальный[[#This Row],[Дата платежа из графика]]="",Первоначальный[[#This Row],[Досрочное погашение (да/"")]]&lt;&gt;"Да"),0,
AND(S659=0,Первоначальный[[#This Row],[Досрочное погашение (да/"")]]=""),MIN(Первоначальный[[#This Row],[Полученный платеж]]+Y659-SUM(Первоначальный[[#This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комиссиям]]),VLOOKUP(LOOKUP(,-1/($Z$12:Z660=1),$A$12:A660),График[[Срок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платеж]]+Y659-SUM(Первоначальный[[#This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S659&gt;0,MIN(Первоначальный[[#This Row],[Полученный платеж]]+Y659-SUM(Первоначальный[[#This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комиссиям]]),SUM(INDIRECT("M"&amp;(MAX((1=S$12:S659)*ROW(S$12:S659),ROW($W$12))&amp;":M"&amp;(ROW()))))-SUM(INDIRECT("W"&amp;(MAX((1=S$12:S659)*ROW(S$12:S659),ROW($W$12))&amp;":W"&amp;(ROW()-1)))))
)
)</f>
        <v>0</v>
      </c>
      <c r="X660" s="55">
        <f t="shared" ca="1" si="122"/>
        <v>0</v>
      </c>
      <c r="Y660" s="101">
        <f t="shared" ca="1" si="129"/>
        <v>0</v>
      </c>
      <c r="Z660" s="133" t="str">
        <f>IF(TYPE((VLOOKUP(Первоначальный[[#This Row],[Дата платежа]],График[Срок конец],1,0)))=16,"",1)</f>
        <v/>
      </c>
      <c r="AA660" s="57"/>
      <c r="AB660" s="134"/>
      <c r="AC66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6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46427.149999999929</v>
      </c>
      <c r="AE66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1365.9100000000017</v>
      </c>
      <c r="AF66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6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77935.782822950845</v>
      </c>
      <c r="AH660" s="55"/>
      <c r="AI660" s="55"/>
      <c r="AJ660" s="55"/>
      <c r="AK660" s="101">
        <f t="shared" ca="1" si="130"/>
        <v>275362.18282295077</v>
      </c>
      <c r="AL660" s="129">
        <f t="array" ref="AL660">MAX((УслРестрактов[Характеристика]="Дата реструктуризации")*(УслРестрактов[Значение]=Первоначальный!$A660),0)</f>
        <v>0</v>
      </c>
    </row>
    <row r="661" spans="1:38" x14ac:dyDescent="0.25">
      <c r="A661" s="97">
        <f t="shared" si="123"/>
        <v>44792</v>
      </c>
      <c r="B661" s="100">
        <f t="shared" ca="1" si="124"/>
        <v>149633.34</v>
      </c>
      <c r="C661" s="55">
        <f t="shared" ca="1" si="120"/>
        <v>46427.149999999929</v>
      </c>
      <c r="D661" s="55">
        <f t="shared" ca="1" si="120"/>
        <v>1365.9100000000017</v>
      </c>
      <c r="E661" s="55">
        <f t="shared" ca="1" si="125"/>
        <v>0</v>
      </c>
      <c r="F661" s="55">
        <f t="shared" ca="1" si="126"/>
        <v>77935.782822950845</v>
      </c>
      <c r="G661" s="101">
        <f t="shared" ca="1" si="127"/>
        <v>275362.18282295077</v>
      </c>
      <c r="H661" s="100">
        <f ca="1">ROUND($B661*VLOOKUP($A661,$A$1:$B$10,2,1)/(365+IF(MOD(YEAR($A661),4),0,1)*($A661-$A660)),2)-Первоначальный[[#This Row],[Проценты на просроченный платеж по ОД за период]]</f>
        <v>76.509999999999991</v>
      </c>
      <c r="I661" s="55">
        <f t="shared" ca="1" si="128"/>
        <v>5.07</v>
      </c>
      <c r="J661" s="55">
        <v>0</v>
      </c>
      <c r="K661" s="55">
        <f t="shared" ca="1" si="131"/>
        <v>275.14850327868845</v>
      </c>
      <c r="L661" s="55">
        <v>0</v>
      </c>
      <c r="M661" s="113">
        <f>SUMIFS(График[Возврат основной суммы долга],График[Дата с учетом нерабочих дней],$A661)</f>
        <v>0</v>
      </c>
      <c r="N661" s="56">
        <f>SUMIFS(График[Возврат начисленных %],График[Дата с учетом нерабочих дней],$A661)</f>
        <v>0</v>
      </c>
      <c r="O661" s="101">
        <v>0</v>
      </c>
      <c r="P661" s="100" cm="1">
        <f t="array" aca="1" ref="P661" ca="1">MAX(IF(AA660="Да",0,SUM(INDIRECT("M"&amp;(MAX(("Да"=AA$12:AA660)*ROW(AA$12:AA660)+1,ROW($P$12))&amp;":M"&amp;(ROW()))))-SUM(INDIRECT("W"&amp;(MAX(("Да"=AA$12:AA660)*ROW(AA$12:AA660)+1,ROW($P$12))&amp;":W"&amp;(ROW()))))),0)</f>
        <v>9293.369999999999</v>
      </c>
      <c r="Q661" s="99">
        <f ca="1">MAX(SUM($N$13:N661)-SUM($T$13:T661),0)</f>
        <v>45736.330655737693</v>
      </c>
      <c r="R661" s="99">
        <f ca="1">Первоначальный[[#This Row],[Просроченный платеж по ОД]]+Первоначальный[[#This Row],[Просроченный платеж по процентам]]</f>
        <v>55029.700655737688</v>
      </c>
      <c r="S661" s="120">
        <f ca="1">IF(Первоначальный[[#This Row],[Просроченный платеж]]&lt;1,0,S660+1)</f>
        <v>557</v>
      </c>
      <c r="T661" s="100" cm="1">
        <f t="array" aca="1" ref="T661" ca="1">IF(Первоначальный[[#This Row],[Итого остаток на начало периода]]&lt;1,0,
IF(
AND(TYPE(VLOOKUP(1,$Z$12:Z661,1,0))=16,Первоначальный[[#This Row],[Досрочное погашение (да/"")]]=""),0,
_xlfn.IFS(AND(S660=0,Первоначальный[[#This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платеж]]&lt;&gt;0),MIN(LOOKUP(,-1/($Z$12:Z661=1),$C$12:C661)+LOOKUP(,-1/($Z$12:Z661=1),$H$12:H661),Первоначальный[[#This Row],[Полученный платеж]]+Y660),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платеж]]+Y660,SUM(Первоначальный[[#This Row],[Остаток процентов на начало периода]],Первоначальный[[#This Row],[Проценты за период]])),
AND(S660=0,Первоначальный[[#This Row],[Дата платежа из графика]]=""),0,
AND(S660=0,Первоначальный[[#This Row],[Дата платежа из графика]]=1,MAX((0&lt;&gt;S$12:S660)*ROW(S$12:S660),ROW($S$12))&gt;=MAX((1=Z$12:Z660)*ROW(Z$12:Z660),ROW($T$12)),TYPE(VLOOKUP("Да",(INDIRECT("AA"&amp;(MAX((1=Z$12:Z660)*ROW(Z$12:Z660),ROW($T$12))&amp;":AA"&amp;(ROW()-1)))),1,0))=16),MIN(LOOKUP(,-1/($Z$12:Z661=1),$C$12:C661)+LOOKUP(,-1/($Z$12:Z661=1),$H$12:H661),Первоначальный[[#This Row],[Полученный платеж]]+Y660),
AND(S660=0,TYPE(VLOOKUP("Да",(INDIRECT("AA"&amp;(MAX((1=Z$12:Z660)*ROW(Z$12:Z660),ROW($T$12))&amp;":AA"&amp;(ROW()-1)))),1,0))&lt;&gt;16),MIN(LOOKUP(,-1/($Z$12:Z661=1),$C$12:C661)+LOOKUP(,-1/($Z$12:Z661=1),$H$12:H661)-IF(AA660="Да",0,SUM(INDIRECT("T"&amp;(MAX(("Да"=AA$12:AA660)*ROW(AA$12:AA660)+1,ROW($T$12))&amp;":T"&amp;(ROW()-1))))),Первоначальный[[#This Row],[Полученный платеж]]+Y660),
AND(S660=0,MAX((0&lt;&gt;N$12:N660)*ROW(N$12:N660),ROW($S$12))&gt;=MAX((1=Z$12:Z660)*ROW(Z$12:Z660),ROW($T$12))),MIN(LOOKUP(,-1/($Z$12:Z661=1),$C$12:C661)+LOOKUP(,-1/($Z$12:Z661=1),$H$12:H661)-IF(N660&lt;&gt;0,0,SUM(INDIRECT("T"&amp;(MAX((0&lt;&gt;N$12:N660)*ROW(N$12:N660)+1,ROW($T$12))&amp;":T"&amp;(ROW()-1))))),Первоначальный[[#This Row],[Полученный платеж]]+Y660),
AND(S660=0,Первоначальный[[#This Row],[Дата платежа из графика]]=1),MIN(LOOKUP(,-1/($Z$12:Z661=1),$C$12:C661)+LOOKUP(,-1/($Z$12:Z661=1),$H$12:H661)-IF(Z660=1,0,SUM(INDIRECT("T"&amp;(MAX((1=Z$12:Z660)*ROW(Z$12:Z660)+1,ROW($T$12))&amp;":T"&amp;(ROW()-1))))),Первоначальный[[#This Row],[Полученный платеж]]+Y660),
AND(Z660&gt;0,Первоначальный[[#This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платеж]]+Y660),
AND(S660&gt;0,MAX((0&lt;&gt;S$12:S660)*ROW(S$12:S660),ROW($S$12))&gt;=MAX((1=Z$12:Z660)*ROW(Z$12:Z660),ROW($T$12)),TYPE(VLOOKUP("Да",(INDIRECT("AA"&amp;(MAX((1=Z$12:Z660)*ROW(Z$12:Z660),ROW($T$12))&amp;":AA"&amp;(ROW()-1)))),1,0))=16),MIN(LOOKUP(,-1/($Z$12:Z661=1),$C$12:C661)+LOOKUP(,-1/($Z$12:Z661=1),$H$12:H661)-SUM(INDIRECT("T"&amp;(MAX((1=Z$12:Z660)*ROW(Z$12:Z660),ROW($T$12))&amp;":T"&amp;(ROW()-1)))),Первоначальный[[#This Row],[Полученный платеж]]+Y660),
S660&gt;0,MIN(LOOKUP(,-1/($Z$12:Z661=1),$C$12:C661)+LOOKUP(,-1/($Z$12:Z661=1),$H$12:H661)-IF(Z660=1,0,SUM(INDIRECT("T"&amp;(MAX((1=Z$12:Z660)*ROW(Z$12:Z660)+1,ROW($T$12))&amp;":T"&amp;(ROW()-1))))),Первоначальный[[#This Row],[Полученный платеж]]+Y660)
)
)
)</f>
        <v>0</v>
      </c>
      <c r="U66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платеж]]+Y660-Первоначальный[[#This Row],[Полученный платёж по процентам]])</f>
        <v>0</v>
      </c>
      <c r="V661" s="55">
        <f t="shared" ca="1" si="121"/>
        <v>0</v>
      </c>
      <c r="W661" s="55" cm="1">
        <f t="array" aca="1" ref="W661" ca="1">IF(Первоначальный[[#This Row],[Итого остаток на начало периода]]&lt;1,0,
_xlfn.IFS(
AND(TYPE(VLOOKUP(1,$Z$12:Z661,1,0))=16,Первоначальный[[#This Row],[Досрочное погашение (да/"")]]=""),0,
AND(S660=0,Первоначальный[[#This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платеж]]+Y660-SUM(Первоначальный[[#This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комиссиям]]),VLOOKUP(LOOKUP(,-1/($Z$12:Z661=1),$A$12:A661),График[[Срок конец]:[Возврат основной суммы долга]],3,0)),
AND(S660=0,Первоначальный[[#This Row],[Дата платежа из графика]]="",Первоначальный[[#This Row],[Досрочное погашение (да/"")]]&lt;&gt;"Да"),0,
AND(S660=0,Первоначальный[[#This Row],[Досрочное погашение (да/"")]]=""),MIN(Первоначальный[[#This Row],[Полученный платеж]]+Y660-SUM(Первоначальный[[#This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комиссиям]]),VLOOKUP(LOOKUP(,-1/($Z$12:Z661=1),$A$12:A661),График[[Срок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платеж]]+Y660-SUM(Первоначальный[[#This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S660&gt;0,MIN(Первоначальный[[#This Row],[Полученный платеж]]+Y660-SUM(Первоначальный[[#This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комиссиям]]),SUM(INDIRECT("M"&amp;(MAX((1=S$12:S660)*ROW(S$12:S660),ROW($W$12))&amp;":M"&amp;(ROW()))))-SUM(INDIRECT("W"&amp;(MAX((1=S$12:S660)*ROW(S$12:S660),ROW($W$12))&amp;":W"&amp;(ROW()-1)))))
)
)</f>
        <v>0</v>
      </c>
      <c r="X661" s="55">
        <f t="shared" ca="1" si="122"/>
        <v>0</v>
      </c>
      <c r="Y661" s="101">
        <f t="shared" ca="1" si="129"/>
        <v>0</v>
      </c>
      <c r="Z661" s="133" t="str">
        <f>IF(TYPE((VLOOKUP(Первоначальный[[#This Row],[Дата платежа]],График[Срок конец],1,0)))=16,"",1)</f>
        <v/>
      </c>
      <c r="AA661" s="57"/>
      <c r="AB661" s="134"/>
      <c r="AC66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6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46503.659999999931</v>
      </c>
      <c r="AE66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1370.9800000000016</v>
      </c>
      <c r="AF66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6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78210.931326229533</v>
      </c>
      <c r="AH661" s="55"/>
      <c r="AI661" s="55"/>
      <c r="AJ661" s="55"/>
      <c r="AK661" s="101">
        <f t="shared" ca="1" si="130"/>
        <v>275718.91132622946</v>
      </c>
      <c r="AL661" s="129">
        <f t="array" ref="AL661">MAX((УслРестрактов[Характеристика]="Дата реструктуризации")*(УслРестрактов[Значение]=Первоначальный!$A661),0)</f>
        <v>0</v>
      </c>
    </row>
    <row r="662" spans="1:38" x14ac:dyDescent="0.25">
      <c r="A662" s="97">
        <f t="shared" si="123"/>
        <v>44793</v>
      </c>
      <c r="B662" s="100">
        <f t="shared" ca="1" si="124"/>
        <v>149633.34</v>
      </c>
      <c r="C662" s="55">
        <f t="shared" ca="1" si="120"/>
        <v>46503.659999999931</v>
      </c>
      <c r="D662" s="55">
        <f t="shared" ca="1" si="120"/>
        <v>1370.9800000000016</v>
      </c>
      <c r="E662" s="55">
        <f t="shared" ca="1" si="125"/>
        <v>0</v>
      </c>
      <c r="F662" s="55">
        <f t="shared" ca="1" si="126"/>
        <v>78210.931326229533</v>
      </c>
      <c r="G662" s="101">
        <f t="shared" ca="1" si="127"/>
        <v>275718.91132622946</v>
      </c>
      <c r="H662" s="100">
        <f ca="1">ROUND($B662*VLOOKUP($A662,$A$1:$B$10,2,1)/(365+IF(MOD(YEAR($A662),4),0,1)*($A662-$A661)),2)-Первоначальный[[#This Row],[Проценты на просроченный платеж по ОД за период]]</f>
        <v>76.509999999999991</v>
      </c>
      <c r="I662" s="55">
        <f t="shared" ca="1" si="128"/>
        <v>5.07</v>
      </c>
      <c r="J662" s="55">
        <v>0</v>
      </c>
      <c r="K662" s="55">
        <f t="shared" ca="1" si="131"/>
        <v>275.14850327868845</v>
      </c>
      <c r="L662" s="55">
        <v>0</v>
      </c>
      <c r="M662" s="113">
        <f>SUMIFS(График[Возврат основной суммы долга],График[Дата с учетом нерабочих дней],$A662)</f>
        <v>0</v>
      </c>
      <c r="N662" s="56">
        <f>SUMIFS(График[Возврат начисленных %],График[Дата с учетом нерабочих дней],$A662)</f>
        <v>0</v>
      </c>
      <c r="O662" s="101">
        <v>0</v>
      </c>
      <c r="P662" s="100" cm="1">
        <f t="array" aca="1" ref="P662" ca="1">MAX(IF(AA661="Да",0,SUM(INDIRECT("M"&amp;(MAX(("Да"=AA$12:AA661)*ROW(AA$12:AA661)+1,ROW($P$12))&amp;":M"&amp;(ROW()))))-SUM(INDIRECT("W"&amp;(MAX(("Да"=AA$12:AA661)*ROW(AA$12:AA661)+1,ROW($P$12))&amp;":W"&amp;(ROW()))))),0)</f>
        <v>9293.369999999999</v>
      </c>
      <c r="Q662" s="99">
        <f ca="1">MAX(SUM($N$13:N662)-SUM($T$13:T662),0)</f>
        <v>45736.330655737693</v>
      </c>
      <c r="R662" s="99">
        <f ca="1">Первоначальный[[#This Row],[Просроченный платеж по ОД]]+Первоначальный[[#This Row],[Просроченный платеж по процентам]]</f>
        <v>55029.700655737688</v>
      </c>
      <c r="S662" s="120">
        <f ca="1">IF(Первоначальный[[#This Row],[Просроченный платеж]]&lt;1,0,S661+1)</f>
        <v>558</v>
      </c>
      <c r="T662" s="100" cm="1">
        <f t="array" aca="1" ref="T662" ca="1">IF(Первоначальный[[#This Row],[Итого остаток на начало периода]]&lt;1,0,
IF(
AND(TYPE(VLOOKUP(1,$Z$12:Z662,1,0))=16,Первоначальный[[#This Row],[Досрочное погашение (да/"")]]=""),0,
_xlfn.IFS(AND(S661=0,Первоначальный[[#This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платеж]]&lt;&gt;0),MIN(LOOKUP(,-1/($Z$12:Z662=1),$C$12:C662)+LOOKUP(,-1/($Z$12:Z662=1),$H$12:H662),Первоначальный[[#This Row],[Полученный платеж]]+Y661),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платеж]]+Y661,SUM(Первоначальный[[#This Row],[Остаток процентов на начало периода]],Первоначальный[[#This Row],[Проценты за период]])),
AND(S661=0,Первоначальный[[#This Row],[Дата платежа из графика]]=""),0,
AND(S661=0,Первоначальный[[#This Row],[Дата платежа из графика]]=1,MAX((0&lt;&gt;S$12:S661)*ROW(S$12:S661),ROW($S$12))&gt;=MAX((1=Z$12:Z661)*ROW(Z$12:Z661),ROW($T$12)),TYPE(VLOOKUP("Да",(INDIRECT("AA"&amp;(MAX((1=Z$12:Z661)*ROW(Z$12:Z661),ROW($T$12))&amp;":AA"&amp;(ROW()-1)))),1,0))=16),MIN(LOOKUP(,-1/($Z$12:Z662=1),$C$12:C662)+LOOKUP(,-1/($Z$12:Z662=1),$H$12:H662),Первоначальный[[#This Row],[Полученный платеж]]+Y661),
AND(S661=0,TYPE(VLOOKUP("Да",(INDIRECT("AA"&amp;(MAX((1=Z$12:Z661)*ROW(Z$12:Z661),ROW($T$12))&amp;":AA"&amp;(ROW()-1)))),1,0))&lt;&gt;16),MIN(LOOKUP(,-1/($Z$12:Z662=1),$C$12:C662)+LOOKUP(,-1/($Z$12:Z662=1),$H$12:H662)-IF(AA661="Да",0,SUM(INDIRECT("T"&amp;(MAX(("Да"=AA$12:AA661)*ROW(AA$12:AA661)+1,ROW($T$12))&amp;":T"&amp;(ROW()-1))))),Первоначальный[[#This Row],[Полученный платеж]]+Y661),
AND(S661=0,MAX((0&lt;&gt;N$12:N661)*ROW(N$12:N661),ROW($S$12))&gt;=MAX((1=Z$12:Z661)*ROW(Z$12:Z661),ROW($T$12))),MIN(LOOKUP(,-1/($Z$12:Z662=1),$C$12:C662)+LOOKUP(,-1/($Z$12:Z662=1),$H$12:H662)-IF(N661&lt;&gt;0,0,SUM(INDIRECT("T"&amp;(MAX((0&lt;&gt;N$12:N661)*ROW(N$12:N661)+1,ROW($T$12))&amp;":T"&amp;(ROW()-1))))),Первоначальный[[#This Row],[Полученный платеж]]+Y661),
AND(S661=0,Первоначальный[[#This Row],[Дата платежа из графика]]=1),MIN(LOOKUP(,-1/($Z$12:Z662=1),$C$12:C662)+LOOKUP(,-1/($Z$12:Z662=1),$H$12:H662)-IF(Z661=1,0,SUM(INDIRECT("T"&amp;(MAX((1=Z$12:Z661)*ROW(Z$12:Z661)+1,ROW($T$12))&amp;":T"&amp;(ROW()-1))))),Первоначальный[[#This Row],[Полученный платеж]]+Y661),
AND(Z661&gt;0,Первоначальный[[#This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платеж]]+Y661),
AND(S661&gt;0,MAX((0&lt;&gt;S$12:S661)*ROW(S$12:S661),ROW($S$12))&gt;=MAX((1=Z$12:Z661)*ROW(Z$12:Z661),ROW($T$12)),TYPE(VLOOKUP("Да",(INDIRECT("AA"&amp;(MAX((1=Z$12:Z661)*ROW(Z$12:Z661),ROW($T$12))&amp;":AA"&amp;(ROW()-1)))),1,0))=16),MIN(LOOKUP(,-1/($Z$12:Z662=1),$C$12:C662)+LOOKUP(,-1/($Z$12:Z662=1),$H$12:H662)-SUM(INDIRECT("T"&amp;(MAX((1=Z$12:Z661)*ROW(Z$12:Z661),ROW($T$12))&amp;":T"&amp;(ROW()-1)))),Первоначальный[[#This Row],[Полученный платеж]]+Y661),
S661&gt;0,MIN(LOOKUP(,-1/($Z$12:Z662=1),$C$12:C662)+LOOKUP(,-1/($Z$12:Z662=1),$H$12:H662)-IF(Z661=1,0,SUM(INDIRECT("T"&amp;(MAX((1=Z$12:Z661)*ROW(Z$12:Z661)+1,ROW($T$12))&amp;":T"&amp;(ROW()-1))))),Первоначальный[[#This Row],[Полученный платеж]]+Y661)
)
)
)</f>
        <v>0</v>
      </c>
      <c r="U66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платеж]]+Y661-Первоначальный[[#This Row],[Полученный платёж по процентам]])</f>
        <v>0</v>
      </c>
      <c r="V662" s="55">
        <f t="shared" ca="1" si="121"/>
        <v>0</v>
      </c>
      <c r="W662" s="55" cm="1">
        <f t="array" aca="1" ref="W662" ca="1">IF(Первоначальный[[#This Row],[Итого остаток на начало периода]]&lt;1,0,
_xlfn.IFS(
AND(TYPE(VLOOKUP(1,$Z$12:Z662,1,0))=16,Первоначальный[[#This Row],[Досрочное погашение (да/"")]]=""),0,
AND(S661=0,Первоначальный[[#This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платеж]]+Y661-SUM(Первоначальный[[#This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комиссиям]]),VLOOKUP(LOOKUP(,-1/($Z$12:Z662=1),$A$12:A662),График[[Срок конец]:[Возврат основной суммы долга]],3,0)),
AND(S661=0,Первоначальный[[#This Row],[Дата платежа из графика]]="",Первоначальный[[#This Row],[Досрочное погашение (да/"")]]&lt;&gt;"Да"),0,
AND(S661=0,Первоначальный[[#This Row],[Досрочное погашение (да/"")]]=""),MIN(Первоначальный[[#This Row],[Полученный платеж]]+Y661-SUM(Первоначальный[[#This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комиссиям]]),VLOOKUP(LOOKUP(,-1/($Z$12:Z662=1),$A$12:A662),График[[Срок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платеж]]+Y661-SUM(Первоначальный[[#This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S661&gt;0,MIN(Первоначальный[[#This Row],[Полученный платеж]]+Y661-SUM(Первоначальный[[#This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комиссиям]]),SUM(INDIRECT("M"&amp;(MAX((1=S$12:S661)*ROW(S$12:S661),ROW($W$12))&amp;":M"&amp;(ROW()))))-SUM(INDIRECT("W"&amp;(MAX((1=S$12:S661)*ROW(S$12:S661),ROW($W$12))&amp;":W"&amp;(ROW()-1)))))
)
)</f>
        <v>0</v>
      </c>
      <c r="X662" s="55">
        <f t="shared" ca="1" si="122"/>
        <v>0</v>
      </c>
      <c r="Y662" s="101">
        <f t="shared" ca="1" si="129"/>
        <v>0</v>
      </c>
      <c r="Z662" s="133" t="str">
        <f>IF(TYPE((VLOOKUP(Первоначальный[[#This Row],[Дата платежа]],График[Срок конец],1,0)))=16,"",1)</f>
        <v/>
      </c>
      <c r="AA662" s="57"/>
      <c r="AB662" s="134"/>
      <c r="AC66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6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46580.169999999933</v>
      </c>
      <c r="AE66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1376.0500000000015</v>
      </c>
      <c r="AF66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6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78486.07982950822</v>
      </c>
      <c r="AH662" s="55"/>
      <c r="AI662" s="55"/>
      <c r="AJ662" s="55"/>
      <c r="AK662" s="101">
        <f t="shared" ca="1" si="130"/>
        <v>276075.63982950815</v>
      </c>
      <c r="AL662" s="129">
        <f t="array" ref="AL662">MAX((УслРестрактов[Характеристика]="Дата реструктуризации")*(УслРестрактов[Значение]=Первоначальный!$A662),0)</f>
        <v>0</v>
      </c>
    </row>
    <row r="663" spans="1:38" x14ac:dyDescent="0.25">
      <c r="A663" s="97">
        <f t="shared" si="123"/>
        <v>44794</v>
      </c>
      <c r="B663" s="100">
        <f t="shared" ca="1" si="124"/>
        <v>149633.34</v>
      </c>
      <c r="C663" s="55">
        <f t="shared" ca="1" si="120"/>
        <v>46580.169999999933</v>
      </c>
      <c r="D663" s="55">
        <f t="shared" ca="1" si="120"/>
        <v>1376.0500000000015</v>
      </c>
      <c r="E663" s="55">
        <f t="shared" ca="1" si="125"/>
        <v>0</v>
      </c>
      <c r="F663" s="55">
        <f t="shared" ca="1" si="126"/>
        <v>78486.07982950822</v>
      </c>
      <c r="G663" s="101">
        <f t="shared" ca="1" si="127"/>
        <v>276075.63982950815</v>
      </c>
      <c r="H663" s="100">
        <f ca="1">ROUND($B663*VLOOKUP($A663,$A$1:$B$10,2,1)/(365+IF(MOD(YEAR($A663),4),0,1)*($A663-$A662)),2)-Первоначальный[[#This Row],[Проценты на просроченный платеж по ОД за период]]</f>
        <v>76.509999999999991</v>
      </c>
      <c r="I663" s="55">
        <f t="shared" ca="1" si="128"/>
        <v>5.07</v>
      </c>
      <c r="J663" s="55">
        <v>0</v>
      </c>
      <c r="K663" s="55">
        <f t="shared" ca="1" si="131"/>
        <v>275.14850327868845</v>
      </c>
      <c r="L663" s="55">
        <v>0</v>
      </c>
      <c r="M663" s="113">
        <f>SUMIFS(График[Возврат основной суммы долга],График[Дата с учетом нерабочих дней],$A663)</f>
        <v>0</v>
      </c>
      <c r="N663" s="56">
        <f>SUMIFS(График[Возврат начисленных %],График[Дата с учетом нерабочих дней],$A663)</f>
        <v>0</v>
      </c>
      <c r="O663" s="101">
        <v>0</v>
      </c>
      <c r="P663" s="100" cm="1">
        <f t="array" aca="1" ref="P663" ca="1">MAX(IF(AA662="Да",0,SUM(INDIRECT("M"&amp;(MAX(("Да"=AA$12:AA662)*ROW(AA$12:AA662)+1,ROW($P$12))&amp;":M"&amp;(ROW()))))-SUM(INDIRECT("W"&amp;(MAX(("Да"=AA$12:AA662)*ROW(AA$12:AA662)+1,ROW($P$12))&amp;":W"&amp;(ROW()))))),0)</f>
        <v>9293.369999999999</v>
      </c>
      <c r="Q663" s="99">
        <f ca="1">MAX(SUM($N$13:N663)-SUM($T$13:T663),0)</f>
        <v>45736.330655737693</v>
      </c>
      <c r="R663" s="99">
        <f ca="1">Первоначальный[[#This Row],[Просроченный платеж по ОД]]+Первоначальный[[#This Row],[Просроченный платеж по процентам]]</f>
        <v>55029.700655737688</v>
      </c>
      <c r="S663" s="120">
        <f ca="1">IF(Первоначальный[[#This Row],[Просроченный платеж]]&lt;1,0,S662+1)</f>
        <v>559</v>
      </c>
      <c r="T663" s="100" cm="1">
        <f t="array" aca="1" ref="T663" ca="1">IF(Первоначальный[[#This Row],[Итого остаток на начало периода]]&lt;1,0,
IF(
AND(TYPE(VLOOKUP(1,$Z$12:Z663,1,0))=16,Первоначальный[[#This Row],[Досрочное погашение (да/"")]]=""),0,
_xlfn.IFS(AND(S662=0,Первоначальный[[#This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платеж]]&lt;&gt;0),MIN(LOOKUP(,-1/($Z$12:Z663=1),$C$12:C663)+LOOKUP(,-1/($Z$12:Z663=1),$H$12:H663),Первоначальный[[#This Row],[Полученный платеж]]+Y662),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платеж]]+Y662,SUM(Первоначальный[[#This Row],[Остаток процентов на начало периода]],Первоначальный[[#This Row],[Проценты за период]])),
AND(S662=0,Первоначальный[[#This Row],[Дата платежа из графика]]=""),0,
AND(S662=0,Первоначальный[[#This Row],[Дата платежа из графика]]=1,MAX((0&lt;&gt;S$12:S662)*ROW(S$12:S662),ROW($S$12))&gt;=MAX((1=Z$12:Z662)*ROW(Z$12:Z662),ROW($T$12)),TYPE(VLOOKUP("Да",(INDIRECT("AA"&amp;(MAX((1=Z$12:Z662)*ROW(Z$12:Z662),ROW($T$12))&amp;":AA"&amp;(ROW()-1)))),1,0))=16),MIN(LOOKUP(,-1/($Z$12:Z663=1),$C$12:C663)+LOOKUP(,-1/($Z$12:Z663=1),$H$12:H663),Первоначальный[[#This Row],[Полученный платеж]]+Y662),
AND(S662=0,TYPE(VLOOKUP("Да",(INDIRECT("AA"&amp;(MAX((1=Z$12:Z662)*ROW(Z$12:Z662),ROW($T$12))&amp;":AA"&amp;(ROW()-1)))),1,0))&lt;&gt;16),MIN(LOOKUP(,-1/($Z$12:Z663=1),$C$12:C663)+LOOKUP(,-1/($Z$12:Z663=1),$H$12:H663)-IF(AA662="Да",0,SUM(INDIRECT("T"&amp;(MAX(("Да"=AA$12:AA662)*ROW(AA$12:AA662)+1,ROW($T$12))&amp;":T"&amp;(ROW()-1))))),Первоначальный[[#This Row],[Полученный платеж]]+Y662),
AND(S662=0,MAX((0&lt;&gt;N$12:N662)*ROW(N$12:N662),ROW($S$12))&gt;=MAX((1=Z$12:Z662)*ROW(Z$12:Z662),ROW($T$12))),MIN(LOOKUP(,-1/($Z$12:Z663=1),$C$12:C663)+LOOKUP(,-1/($Z$12:Z663=1),$H$12:H663)-IF(N662&lt;&gt;0,0,SUM(INDIRECT("T"&amp;(MAX((0&lt;&gt;N$12:N662)*ROW(N$12:N662)+1,ROW($T$12))&amp;":T"&amp;(ROW()-1))))),Первоначальный[[#This Row],[Полученный платеж]]+Y662),
AND(S662=0,Первоначальный[[#This Row],[Дата платежа из графика]]=1),MIN(LOOKUP(,-1/($Z$12:Z663=1),$C$12:C663)+LOOKUP(,-1/($Z$12:Z663=1),$H$12:H663)-IF(Z662=1,0,SUM(INDIRECT("T"&amp;(MAX((1=Z$12:Z662)*ROW(Z$12:Z662)+1,ROW($T$12))&amp;":T"&amp;(ROW()-1))))),Первоначальный[[#This Row],[Полученный платеж]]+Y662),
AND(Z662&gt;0,Первоначальный[[#This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платеж]]+Y662),
AND(S662&gt;0,MAX((0&lt;&gt;S$12:S662)*ROW(S$12:S662),ROW($S$12))&gt;=MAX((1=Z$12:Z662)*ROW(Z$12:Z662),ROW($T$12)),TYPE(VLOOKUP("Да",(INDIRECT("AA"&amp;(MAX((1=Z$12:Z662)*ROW(Z$12:Z662),ROW($T$12))&amp;":AA"&amp;(ROW()-1)))),1,0))=16),MIN(LOOKUP(,-1/($Z$12:Z663=1),$C$12:C663)+LOOKUP(,-1/($Z$12:Z663=1),$H$12:H663)-SUM(INDIRECT("T"&amp;(MAX((1=Z$12:Z662)*ROW(Z$12:Z662),ROW($T$12))&amp;":T"&amp;(ROW()-1)))),Первоначальный[[#This Row],[Полученный платеж]]+Y662),
S662&gt;0,MIN(LOOKUP(,-1/($Z$12:Z663=1),$C$12:C663)+LOOKUP(,-1/($Z$12:Z663=1),$H$12:H663)-IF(Z662=1,0,SUM(INDIRECT("T"&amp;(MAX((1=Z$12:Z662)*ROW(Z$12:Z662)+1,ROW($T$12))&amp;":T"&amp;(ROW()-1))))),Первоначальный[[#This Row],[Полученный платеж]]+Y662)
)
)
)</f>
        <v>0</v>
      </c>
      <c r="U66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платеж]]+Y662-Первоначальный[[#This Row],[Полученный платёж по процентам]])</f>
        <v>0</v>
      </c>
      <c r="V663" s="55">
        <f t="shared" ca="1" si="121"/>
        <v>0</v>
      </c>
      <c r="W663" s="55" cm="1">
        <f t="array" aca="1" ref="W663" ca="1">IF(Первоначальный[[#This Row],[Итого остаток на начало периода]]&lt;1,0,
_xlfn.IFS(
AND(TYPE(VLOOKUP(1,$Z$12:Z663,1,0))=16,Первоначальный[[#This Row],[Досрочное погашение (да/"")]]=""),0,
AND(S662=0,Первоначальный[[#This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платеж]]+Y662-SUM(Первоначальный[[#This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комиссиям]]),VLOOKUP(LOOKUP(,-1/($Z$12:Z663=1),$A$12:A663),График[[Срок конец]:[Возврат основной суммы долга]],3,0)),
AND(S662=0,Первоначальный[[#This Row],[Дата платежа из графика]]="",Первоначальный[[#This Row],[Досрочное погашение (да/"")]]&lt;&gt;"Да"),0,
AND(S662=0,Первоначальный[[#This Row],[Досрочное погашение (да/"")]]=""),MIN(Первоначальный[[#This Row],[Полученный платеж]]+Y662-SUM(Первоначальный[[#This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комиссиям]]),VLOOKUP(LOOKUP(,-1/($Z$12:Z663=1),$A$12:A663),График[[Срок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платеж]]+Y662-SUM(Первоначальный[[#This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S662&gt;0,MIN(Первоначальный[[#This Row],[Полученный платеж]]+Y662-SUM(Первоначальный[[#This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комиссиям]]),SUM(INDIRECT("M"&amp;(MAX((1=S$12:S662)*ROW(S$12:S662),ROW($W$12))&amp;":M"&amp;(ROW()))))-SUM(INDIRECT("W"&amp;(MAX((1=S$12:S662)*ROW(S$12:S662),ROW($W$12))&amp;":W"&amp;(ROW()-1)))))
)
)</f>
        <v>0</v>
      </c>
      <c r="X663" s="55">
        <f t="shared" ca="1" si="122"/>
        <v>0</v>
      </c>
      <c r="Y663" s="101">
        <f t="shared" ca="1" si="129"/>
        <v>0</v>
      </c>
      <c r="Z663" s="133" t="str">
        <f>IF(TYPE((VLOOKUP(Первоначальный[[#This Row],[Дата платежа]],График[Срок конец],1,0)))=16,"",1)</f>
        <v/>
      </c>
      <c r="AA663" s="57"/>
      <c r="AB663" s="134"/>
      <c r="AC66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6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46656.679999999935</v>
      </c>
      <c r="AE66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1381.1200000000015</v>
      </c>
      <c r="AF66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6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78761.228332786908</v>
      </c>
      <c r="AH663" s="55"/>
      <c r="AI663" s="55"/>
      <c r="AJ663" s="55"/>
      <c r="AK663" s="101">
        <f t="shared" ca="1" si="130"/>
        <v>276432.36833278683</v>
      </c>
      <c r="AL663" s="129">
        <f t="array" ref="AL663">MAX((УслРестрактов[Характеристика]="Дата реструктуризации")*(УслРестрактов[Значение]=Первоначальный!$A663),0)</f>
        <v>0</v>
      </c>
    </row>
    <row r="664" spans="1:38" x14ac:dyDescent="0.25">
      <c r="A664" s="97">
        <f t="shared" si="123"/>
        <v>44795</v>
      </c>
      <c r="B664" s="100">
        <f t="shared" ca="1" si="124"/>
        <v>149633.34</v>
      </c>
      <c r="C664" s="55">
        <f t="shared" ca="1" si="120"/>
        <v>46656.679999999935</v>
      </c>
      <c r="D664" s="55">
        <f t="shared" ca="1" si="120"/>
        <v>1381.1200000000015</v>
      </c>
      <c r="E664" s="55">
        <f t="shared" ca="1" si="125"/>
        <v>0</v>
      </c>
      <c r="F664" s="55">
        <f t="shared" ca="1" si="126"/>
        <v>78761.228332786908</v>
      </c>
      <c r="G664" s="101">
        <f t="shared" ca="1" si="127"/>
        <v>276432.36833278683</v>
      </c>
      <c r="H664" s="100">
        <f ca="1">ROUND($B664*VLOOKUP($A664,$A$1:$B$10,2,1)/(365+IF(MOD(YEAR($A664),4),0,1)*($A664-$A663)),2)-Первоначальный[[#This Row],[Проценты на просроченный платеж по ОД за период]]</f>
        <v>76.509999999999991</v>
      </c>
      <c r="I664" s="55">
        <f t="shared" ca="1" si="128"/>
        <v>5.07</v>
      </c>
      <c r="J664" s="55">
        <v>0</v>
      </c>
      <c r="K664" s="55">
        <f t="shared" ca="1" si="131"/>
        <v>275.14850327868845</v>
      </c>
      <c r="L664" s="55">
        <v>0</v>
      </c>
      <c r="M664" s="113">
        <f>SUMIFS(График[Возврат основной суммы долга],График[Дата с учетом нерабочих дней],$A664)</f>
        <v>0</v>
      </c>
      <c r="N664" s="56">
        <f>SUMIFS(График[Возврат начисленных %],График[Дата с учетом нерабочих дней],$A664)</f>
        <v>0</v>
      </c>
      <c r="O664" s="101">
        <v>0</v>
      </c>
      <c r="P664" s="100" cm="1">
        <f t="array" aca="1" ref="P664" ca="1">MAX(IF(AA663="Да",0,SUM(INDIRECT("M"&amp;(MAX(("Да"=AA$12:AA663)*ROW(AA$12:AA663)+1,ROW($P$12))&amp;":M"&amp;(ROW()))))-SUM(INDIRECT("W"&amp;(MAX(("Да"=AA$12:AA663)*ROW(AA$12:AA663)+1,ROW($P$12))&amp;":W"&amp;(ROW()))))),0)</f>
        <v>9293.369999999999</v>
      </c>
      <c r="Q664" s="99">
        <f ca="1">MAX(SUM($N$13:N664)-SUM($T$13:T664),0)</f>
        <v>45736.330655737693</v>
      </c>
      <c r="R664" s="99">
        <f ca="1">Первоначальный[[#This Row],[Просроченный платеж по ОД]]+Первоначальный[[#This Row],[Просроченный платеж по процентам]]</f>
        <v>55029.700655737688</v>
      </c>
      <c r="S664" s="120">
        <f ca="1">IF(Первоначальный[[#This Row],[Просроченный платеж]]&lt;1,0,S663+1)</f>
        <v>560</v>
      </c>
      <c r="T664" s="100" cm="1">
        <f t="array" aca="1" ref="T664" ca="1">IF(Первоначальный[[#This Row],[Итого остаток на начало периода]]&lt;1,0,
IF(
AND(TYPE(VLOOKUP(1,$Z$12:Z664,1,0))=16,Первоначальный[[#This Row],[Досрочное погашение (да/"")]]=""),0,
_xlfn.IFS(AND(S663=0,Первоначальный[[#This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платеж]]&lt;&gt;0),MIN(LOOKUP(,-1/($Z$12:Z664=1),$C$12:C664)+LOOKUP(,-1/($Z$12:Z664=1),$H$12:H664),Первоначальный[[#This Row],[Полученный платеж]]+Y663),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платеж]]+Y663,SUM(Первоначальный[[#This Row],[Остаток процентов на начало периода]],Первоначальный[[#This Row],[Проценты за период]])),
AND(S663=0,Первоначальный[[#This Row],[Дата платежа из графика]]=""),0,
AND(S663=0,Первоначальный[[#This Row],[Дата платежа из графика]]=1,MAX((0&lt;&gt;S$12:S663)*ROW(S$12:S663),ROW($S$12))&gt;=MAX((1=Z$12:Z663)*ROW(Z$12:Z663),ROW($T$12)),TYPE(VLOOKUP("Да",(INDIRECT("AA"&amp;(MAX((1=Z$12:Z663)*ROW(Z$12:Z663),ROW($T$12))&amp;":AA"&amp;(ROW()-1)))),1,0))=16),MIN(LOOKUP(,-1/($Z$12:Z664=1),$C$12:C664)+LOOKUP(,-1/($Z$12:Z664=1),$H$12:H664),Первоначальный[[#This Row],[Полученный платеж]]+Y663),
AND(S663=0,TYPE(VLOOKUP("Да",(INDIRECT("AA"&amp;(MAX((1=Z$12:Z663)*ROW(Z$12:Z663),ROW($T$12))&amp;":AA"&amp;(ROW()-1)))),1,0))&lt;&gt;16),MIN(LOOKUP(,-1/($Z$12:Z664=1),$C$12:C664)+LOOKUP(,-1/($Z$12:Z664=1),$H$12:H664)-IF(AA663="Да",0,SUM(INDIRECT("T"&amp;(MAX(("Да"=AA$12:AA663)*ROW(AA$12:AA663)+1,ROW($T$12))&amp;":T"&amp;(ROW()-1))))),Первоначальный[[#This Row],[Полученный платеж]]+Y663),
AND(S663=0,MAX((0&lt;&gt;N$12:N663)*ROW(N$12:N663),ROW($S$12))&gt;=MAX((1=Z$12:Z663)*ROW(Z$12:Z663),ROW($T$12))),MIN(LOOKUP(,-1/($Z$12:Z664=1),$C$12:C664)+LOOKUP(,-1/($Z$12:Z664=1),$H$12:H664)-IF(N663&lt;&gt;0,0,SUM(INDIRECT("T"&amp;(MAX((0&lt;&gt;N$12:N663)*ROW(N$12:N663)+1,ROW($T$12))&amp;":T"&amp;(ROW()-1))))),Первоначальный[[#This Row],[Полученный платеж]]+Y663),
AND(S663=0,Первоначальный[[#This Row],[Дата платежа из графика]]=1),MIN(LOOKUP(,-1/($Z$12:Z664=1),$C$12:C664)+LOOKUP(,-1/($Z$12:Z664=1),$H$12:H664)-IF(Z663=1,0,SUM(INDIRECT("T"&amp;(MAX((1=Z$12:Z663)*ROW(Z$12:Z663)+1,ROW($T$12))&amp;":T"&amp;(ROW()-1))))),Первоначальный[[#This Row],[Полученный платеж]]+Y663),
AND(Z663&gt;0,Первоначальный[[#This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платеж]]+Y663),
AND(S663&gt;0,MAX((0&lt;&gt;S$12:S663)*ROW(S$12:S663),ROW($S$12))&gt;=MAX((1=Z$12:Z663)*ROW(Z$12:Z663),ROW($T$12)),TYPE(VLOOKUP("Да",(INDIRECT("AA"&amp;(MAX((1=Z$12:Z663)*ROW(Z$12:Z663),ROW($T$12))&amp;":AA"&amp;(ROW()-1)))),1,0))=16),MIN(LOOKUP(,-1/($Z$12:Z664=1),$C$12:C664)+LOOKUP(,-1/($Z$12:Z664=1),$H$12:H664)-SUM(INDIRECT("T"&amp;(MAX((1=Z$12:Z663)*ROW(Z$12:Z663),ROW($T$12))&amp;":T"&amp;(ROW()-1)))),Первоначальный[[#This Row],[Полученный платеж]]+Y663),
S663&gt;0,MIN(LOOKUP(,-1/($Z$12:Z664=1),$C$12:C664)+LOOKUP(,-1/($Z$12:Z664=1),$H$12:H664)-IF(Z663=1,0,SUM(INDIRECT("T"&amp;(MAX((1=Z$12:Z663)*ROW(Z$12:Z663)+1,ROW($T$12))&amp;":T"&amp;(ROW()-1))))),Первоначальный[[#This Row],[Полученный платеж]]+Y663)
)
)
)</f>
        <v>0</v>
      </c>
      <c r="U66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платеж]]+Y663-Первоначальный[[#This Row],[Полученный платёж по процентам]])</f>
        <v>0</v>
      </c>
      <c r="V664" s="55">
        <f t="shared" ca="1" si="121"/>
        <v>0</v>
      </c>
      <c r="W664" s="55" cm="1">
        <f t="array" aca="1" ref="W664" ca="1">IF(Первоначальный[[#This Row],[Итого остаток на начало периода]]&lt;1,0,
_xlfn.IFS(
AND(TYPE(VLOOKUP(1,$Z$12:Z664,1,0))=16,Первоначальный[[#This Row],[Досрочное погашение (да/"")]]=""),0,
AND(S663=0,Первоначальный[[#This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платеж]]+Y663-SUM(Первоначальный[[#This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комиссиям]]),VLOOKUP(LOOKUP(,-1/($Z$12:Z664=1),$A$12:A664),График[[Срок конец]:[Возврат основной суммы долга]],3,0)),
AND(S663=0,Первоначальный[[#This Row],[Дата платежа из графика]]="",Первоначальный[[#This Row],[Досрочное погашение (да/"")]]&lt;&gt;"Да"),0,
AND(S663=0,Первоначальный[[#This Row],[Досрочное погашение (да/"")]]=""),MIN(Первоначальный[[#This Row],[Полученный платеж]]+Y663-SUM(Первоначальный[[#This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комиссиям]]),VLOOKUP(LOOKUP(,-1/($Z$12:Z664=1),$A$12:A664),График[[Срок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платеж]]+Y663-SUM(Первоначальный[[#This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S663&gt;0,MIN(Первоначальный[[#This Row],[Полученный платеж]]+Y663-SUM(Первоначальный[[#This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комиссиям]]),SUM(INDIRECT("M"&amp;(MAX((1=S$12:S663)*ROW(S$12:S663),ROW($W$12))&amp;":M"&amp;(ROW()))))-SUM(INDIRECT("W"&amp;(MAX((1=S$12:S663)*ROW(S$12:S663),ROW($W$12))&amp;":W"&amp;(ROW()-1)))))
)
)</f>
        <v>0</v>
      </c>
      <c r="X664" s="55">
        <f t="shared" ca="1" si="122"/>
        <v>0</v>
      </c>
      <c r="Y664" s="101">
        <f t="shared" ca="1" si="129"/>
        <v>0</v>
      </c>
      <c r="Z664" s="133" t="str">
        <f>IF(TYPE((VLOOKUP(Первоначальный[[#This Row],[Дата платежа]],График[Срок конец],1,0)))=16,"",1)</f>
        <v/>
      </c>
      <c r="AA664" s="57"/>
      <c r="AB664" s="134"/>
      <c r="AC66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6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46733.189999999937</v>
      </c>
      <c r="AE66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1386.1900000000014</v>
      </c>
      <c r="AF66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6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79036.376836065596</v>
      </c>
      <c r="AH664" s="55"/>
      <c r="AI664" s="55"/>
      <c r="AJ664" s="55"/>
      <c r="AK664" s="101">
        <f t="shared" ca="1" si="130"/>
        <v>276789.09683606552</v>
      </c>
      <c r="AL664" s="129">
        <f t="array" ref="AL664">MAX((УслРестрактов[Характеристика]="Дата реструктуризации")*(УслРестрактов[Значение]=Первоначальный!$A664),0)</f>
        <v>0</v>
      </c>
    </row>
    <row r="665" spans="1:38" x14ac:dyDescent="0.25">
      <c r="A665" s="97">
        <f t="shared" si="123"/>
        <v>44796</v>
      </c>
      <c r="B665" s="100">
        <f t="shared" ca="1" si="124"/>
        <v>149633.34</v>
      </c>
      <c r="C665" s="55">
        <f t="shared" ca="1" si="120"/>
        <v>46733.189999999937</v>
      </c>
      <c r="D665" s="55">
        <f t="shared" ca="1" si="120"/>
        <v>1386.1900000000014</v>
      </c>
      <c r="E665" s="55">
        <f t="shared" ca="1" si="125"/>
        <v>0</v>
      </c>
      <c r="F665" s="55">
        <f t="shared" ca="1" si="126"/>
        <v>79036.376836065596</v>
      </c>
      <c r="G665" s="101">
        <f t="shared" ca="1" si="127"/>
        <v>276789.09683606552</v>
      </c>
      <c r="H665" s="100">
        <f ca="1">ROUND($B665*VLOOKUP($A665,$A$1:$B$10,2,1)/(365+IF(MOD(YEAR($A665),4),0,1)*($A665-$A664)),2)-Первоначальный[[#This Row],[Проценты на просроченный платеж по ОД за период]]</f>
        <v>76.509999999999991</v>
      </c>
      <c r="I665" s="55">
        <f t="shared" ca="1" si="128"/>
        <v>5.07</v>
      </c>
      <c r="J665" s="55">
        <v>0</v>
      </c>
      <c r="K665" s="55">
        <f t="shared" ca="1" si="131"/>
        <v>275.14850327868845</v>
      </c>
      <c r="L665" s="55">
        <v>0</v>
      </c>
      <c r="M665" s="113">
        <f>SUMIFS(График[Возврат основной суммы долга],График[Дата с учетом нерабочих дней],$A665)</f>
        <v>0</v>
      </c>
      <c r="N665" s="56">
        <f>SUMIFS(График[Возврат начисленных %],График[Дата с учетом нерабочих дней],$A665)</f>
        <v>0</v>
      </c>
      <c r="O665" s="101">
        <v>0</v>
      </c>
      <c r="P665" s="100" cm="1">
        <f t="array" aca="1" ref="P665" ca="1">MAX(IF(AA664="Да",0,SUM(INDIRECT("M"&amp;(MAX(("Да"=AA$12:AA664)*ROW(AA$12:AA664)+1,ROW($P$12))&amp;":M"&amp;(ROW()))))-SUM(INDIRECT("W"&amp;(MAX(("Да"=AA$12:AA664)*ROW(AA$12:AA664)+1,ROW($P$12))&amp;":W"&amp;(ROW()))))),0)</f>
        <v>9293.369999999999</v>
      </c>
      <c r="Q665" s="99">
        <f ca="1">MAX(SUM($N$13:N665)-SUM($T$13:T665),0)</f>
        <v>45736.330655737693</v>
      </c>
      <c r="R665" s="99">
        <f ca="1">Первоначальный[[#This Row],[Просроченный платеж по ОД]]+Первоначальный[[#This Row],[Просроченный платеж по процентам]]</f>
        <v>55029.700655737688</v>
      </c>
      <c r="S665" s="120">
        <f ca="1">IF(Первоначальный[[#This Row],[Просроченный платеж]]&lt;1,0,S664+1)</f>
        <v>561</v>
      </c>
      <c r="T665" s="100" cm="1">
        <f t="array" aca="1" ref="T665" ca="1">IF(Первоначальный[[#This Row],[Итого остаток на начало периода]]&lt;1,0,
IF(
AND(TYPE(VLOOKUP(1,$Z$12:Z665,1,0))=16,Первоначальный[[#This Row],[Досрочное погашение (да/"")]]=""),0,
_xlfn.IFS(AND(S664=0,Первоначальный[[#This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платеж]]&lt;&gt;0),MIN(LOOKUP(,-1/($Z$12:Z665=1),$C$12:C665)+LOOKUP(,-1/($Z$12:Z665=1),$H$12:H665),Первоначальный[[#This Row],[Полученный платеж]]+Y664),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платеж]]+Y664,SUM(Первоначальный[[#This Row],[Остаток процентов на начало периода]],Первоначальный[[#This Row],[Проценты за период]])),
AND(S664=0,Первоначальный[[#This Row],[Дата платежа из графика]]=""),0,
AND(S664=0,Первоначальный[[#This Row],[Дата платежа из графика]]=1,MAX((0&lt;&gt;S$12:S664)*ROW(S$12:S664),ROW($S$12))&gt;=MAX((1=Z$12:Z664)*ROW(Z$12:Z664),ROW($T$12)),TYPE(VLOOKUP("Да",(INDIRECT("AA"&amp;(MAX((1=Z$12:Z664)*ROW(Z$12:Z664),ROW($T$12))&amp;":AA"&amp;(ROW()-1)))),1,0))=16),MIN(LOOKUP(,-1/($Z$12:Z665=1),$C$12:C665)+LOOKUP(,-1/($Z$12:Z665=1),$H$12:H665),Первоначальный[[#This Row],[Полученный платеж]]+Y664),
AND(S664=0,TYPE(VLOOKUP("Да",(INDIRECT("AA"&amp;(MAX((1=Z$12:Z664)*ROW(Z$12:Z664),ROW($T$12))&amp;":AA"&amp;(ROW()-1)))),1,0))&lt;&gt;16),MIN(LOOKUP(,-1/($Z$12:Z665=1),$C$12:C665)+LOOKUP(,-1/($Z$12:Z665=1),$H$12:H665)-IF(AA664="Да",0,SUM(INDIRECT("T"&amp;(MAX(("Да"=AA$12:AA664)*ROW(AA$12:AA664)+1,ROW($T$12))&amp;":T"&amp;(ROW()-1))))),Первоначальный[[#This Row],[Полученный платеж]]+Y664),
AND(S664=0,MAX((0&lt;&gt;N$12:N664)*ROW(N$12:N664),ROW($S$12))&gt;=MAX((1=Z$12:Z664)*ROW(Z$12:Z664),ROW($T$12))),MIN(LOOKUP(,-1/($Z$12:Z665=1),$C$12:C665)+LOOKUP(,-1/($Z$12:Z665=1),$H$12:H665)-IF(N664&lt;&gt;0,0,SUM(INDIRECT("T"&amp;(MAX((0&lt;&gt;N$12:N664)*ROW(N$12:N664)+1,ROW($T$12))&amp;":T"&amp;(ROW()-1))))),Первоначальный[[#This Row],[Полученный платеж]]+Y664),
AND(S664=0,Первоначальный[[#This Row],[Дата платежа из графика]]=1),MIN(LOOKUP(,-1/($Z$12:Z665=1),$C$12:C665)+LOOKUP(,-1/($Z$12:Z665=1),$H$12:H665)-IF(Z664=1,0,SUM(INDIRECT("T"&amp;(MAX((1=Z$12:Z664)*ROW(Z$12:Z664)+1,ROW($T$12))&amp;":T"&amp;(ROW()-1))))),Первоначальный[[#This Row],[Полученный платеж]]+Y664),
AND(Z664&gt;0,Первоначальный[[#This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платеж]]+Y664),
AND(S664&gt;0,MAX((0&lt;&gt;S$12:S664)*ROW(S$12:S664),ROW($S$12))&gt;=MAX((1=Z$12:Z664)*ROW(Z$12:Z664),ROW($T$12)),TYPE(VLOOKUP("Да",(INDIRECT("AA"&amp;(MAX((1=Z$12:Z664)*ROW(Z$12:Z664),ROW($T$12))&amp;":AA"&amp;(ROW()-1)))),1,0))=16),MIN(LOOKUP(,-1/($Z$12:Z665=1),$C$12:C665)+LOOKUP(,-1/($Z$12:Z665=1),$H$12:H665)-SUM(INDIRECT("T"&amp;(MAX((1=Z$12:Z664)*ROW(Z$12:Z664),ROW($T$12))&amp;":T"&amp;(ROW()-1)))),Первоначальный[[#This Row],[Полученный платеж]]+Y664),
S664&gt;0,MIN(LOOKUP(,-1/($Z$12:Z665=1),$C$12:C665)+LOOKUP(,-1/($Z$12:Z665=1),$H$12:H665)-IF(Z664=1,0,SUM(INDIRECT("T"&amp;(MAX((1=Z$12:Z664)*ROW(Z$12:Z664)+1,ROW($T$12))&amp;":T"&amp;(ROW()-1))))),Первоначальный[[#This Row],[Полученный платеж]]+Y664)
)
)
)</f>
        <v>0</v>
      </c>
      <c r="U66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платеж]]+Y664-Первоначальный[[#This Row],[Полученный платёж по процентам]])</f>
        <v>0</v>
      </c>
      <c r="V665" s="55">
        <f t="shared" ca="1" si="121"/>
        <v>0</v>
      </c>
      <c r="W665" s="55" cm="1">
        <f t="array" aca="1" ref="W665" ca="1">IF(Первоначальный[[#This Row],[Итого остаток на начало периода]]&lt;1,0,
_xlfn.IFS(
AND(TYPE(VLOOKUP(1,$Z$12:Z665,1,0))=16,Первоначальный[[#This Row],[Досрочное погашение (да/"")]]=""),0,
AND(S664=0,Первоначальный[[#This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платеж]]+Y664-SUM(Первоначальный[[#This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комиссиям]]),VLOOKUP(LOOKUP(,-1/($Z$12:Z665=1),$A$12:A665),График[[Срок конец]:[Возврат основной суммы долга]],3,0)),
AND(S664=0,Первоначальный[[#This Row],[Дата платежа из графика]]="",Первоначальный[[#This Row],[Досрочное погашение (да/"")]]&lt;&gt;"Да"),0,
AND(S664=0,Первоначальный[[#This Row],[Досрочное погашение (да/"")]]=""),MIN(Первоначальный[[#This Row],[Полученный платеж]]+Y664-SUM(Первоначальный[[#This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комиссиям]]),VLOOKUP(LOOKUP(,-1/($Z$12:Z665=1),$A$12:A665),График[[Срок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платеж]]+Y664-SUM(Первоначальный[[#This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S664&gt;0,MIN(Первоначальный[[#This Row],[Полученный платеж]]+Y664-SUM(Первоначальный[[#This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комиссиям]]),SUM(INDIRECT("M"&amp;(MAX((1=S$12:S664)*ROW(S$12:S664),ROW($W$12))&amp;":M"&amp;(ROW()))))-SUM(INDIRECT("W"&amp;(MAX((1=S$12:S664)*ROW(S$12:S664),ROW($W$12))&amp;":W"&amp;(ROW()-1)))))
)
)</f>
        <v>0</v>
      </c>
      <c r="X665" s="55">
        <f t="shared" ca="1" si="122"/>
        <v>0</v>
      </c>
      <c r="Y665" s="101">
        <f t="shared" ca="1" si="129"/>
        <v>0</v>
      </c>
      <c r="Z665" s="133" t="str">
        <f>IF(TYPE((VLOOKUP(Первоначальный[[#This Row],[Дата платежа]],График[Срок конец],1,0)))=16,"",1)</f>
        <v/>
      </c>
      <c r="AA665" s="57"/>
      <c r="AB665" s="134"/>
      <c r="AC66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6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46809.699999999939</v>
      </c>
      <c r="AE66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1391.2600000000014</v>
      </c>
      <c r="AF66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6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79311.525339344284</v>
      </c>
      <c r="AH665" s="55"/>
      <c r="AI665" s="55"/>
      <c r="AJ665" s="55"/>
      <c r="AK665" s="101">
        <f t="shared" ca="1" si="130"/>
        <v>277145.82533934421</v>
      </c>
      <c r="AL665" s="129">
        <f t="array" ref="AL665">MAX((УслРестрактов[Характеристика]="Дата реструктуризации")*(УслРестрактов[Значение]=Первоначальный!$A665),0)</f>
        <v>0</v>
      </c>
    </row>
    <row r="666" spans="1:38" x14ac:dyDescent="0.25">
      <c r="A666" s="97">
        <f t="shared" si="123"/>
        <v>44797</v>
      </c>
      <c r="B666" s="100">
        <f t="shared" ca="1" si="124"/>
        <v>149633.34</v>
      </c>
      <c r="C666" s="55">
        <f t="shared" ca="1" si="120"/>
        <v>46809.699999999939</v>
      </c>
      <c r="D666" s="55">
        <f t="shared" ca="1" si="120"/>
        <v>1391.2600000000014</v>
      </c>
      <c r="E666" s="55">
        <f t="shared" ca="1" si="125"/>
        <v>0</v>
      </c>
      <c r="F666" s="55">
        <f t="shared" ca="1" si="126"/>
        <v>79311.525339344284</v>
      </c>
      <c r="G666" s="101">
        <f t="shared" ca="1" si="127"/>
        <v>277145.82533934421</v>
      </c>
      <c r="H666" s="100">
        <f ca="1">ROUND($B666*VLOOKUP($A666,$A$1:$B$10,2,1)/(365+IF(MOD(YEAR($A666),4),0,1)*($A666-$A665)),2)-Первоначальный[[#This Row],[Проценты на просроченный платеж по ОД за период]]</f>
        <v>76.509999999999991</v>
      </c>
      <c r="I666" s="55">
        <f t="shared" ca="1" si="128"/>
        <v>5.07</v>
      </c>
      <c r="J666" s="55">
        <v>0</v>
      </c>
      <c r="K666" s="55">
        <f t="shared" ca="1" si="131"/>
        <v>275.14850327868845</v>
      </c>
      <c r="L666" s="55">
        <v>0</v>
      </c>
      <c r="M666" s="113">
        <f>SUMIFS(График[Возврат основной суммы долга],График[Дата с учетом нерабочих дней],$A666)</f>
        <v>0</v>
      </c>
      <c r="N666" s="56">
        <f>SUMIFS(График[Возврат начисленных %],График[Дата с учетом нерабочих дней],$A666)</f>
        <v>0</v>
      </c>
      <c r="O666" s="101">
        <v>0</v>
      </c>
      <c r="P666" s="100" cm="1">
        <f t="array" aca="1" ref="P666" ca="1">MAX(IF(AA665="Да",0,SUM(INDIRECT("M"&amp;(MAX(("Да"=AA$12:AA665)*ROW(AA$12:AA665)+1,ROW($P$12))&amp;":M"&amp;(ROW()))))-SUM(INDIRECT("W"&amp;(MAX(("Да"=AA$12:AA665)*ROW(AA$12:AA665)+1,ROW($P$12))&amp;":W"&amp;(ROW()))))),0)</f>
        <v>9293.369999999999</v>
      </c>
      <c r="Q666" s="99">
        <f ca="1">MAX(SUM($N$13:N666)-SUM($T$13:T666),0)</f>
        <v>45736.330655737693</v>
      </c>
      <c r="R666" s="99">
        <f ca="1">Первоначальный[[#This Row],[Просроченный платеж по ОД]]+Первоначальный[[#This Row],[Просроченный платеж по процентам]]</f>
        <v>55029.700655737688</v>
      </c>
      <c r="S666" s="120">
        <f ca="1">IF(Первоначальный[[#This Row],[Просроченный платеж]]&lt;1,0,S665+1)</f>
        <v>562</v>
      </c>
      <c r="T666" s="100" cm="1">
        <f t="array" aca="1" ref="T666" ca="1">IF(Первоначальный[[#This Row],[Итого остаток на начало периода]]&lt;1,0,
IF(
AND(TYPE(VLOOKUP(1,$Z$12:Z666,1,0))=16,Первоначальный[[#This Row],[Досрочное погашение (да/"")]]=""),0,
_xlfn.IFS(AND(S665=0,Первоначальный[[#This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платеж]]&lt;&gt;0),MIN(LOOKUP(,-1/($Z$12:Z666=1),$C$12:C666)+LOOKUP(,-1/($Z$12:Z666=1),$H$12:H666),Первоначальный[[#This Row],[Полученный платеж]]+Y665),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платеж]]+Y665,SUM(Первоначальный[[#This Row],[Остаток процентов на начало периода]],Первоначальный[[#This Row],[Проценты за период]])),
AND(S665=0,Первоначальный[[#This Row],[Дата платежа из графика]]=""),0,
AND(S665=0,Первоначальный[[#This Row],[Дата платежа из графика]]=1,MAX((0&lt;&gt;S$12:S665)*ROW(S$12:S665),ROW($S$12))&gt;=MAX((1=Z$12:Z665)*ROW(Z$12:Z665),ROW($T$12)),TYPE(VLOOKUP("Да",(INDIRECT("AA"&amp;(MAX((1=Z$12:Z665)*ROW(Z$12:Z665),ROW($T$12))&amp;":AA"&amp;(ROW()-1)))),1,0))=16),MIN(LOOKUP(,-1/($Z$12:Z666=1),$C$12:C666)+LOOKUP(,-1/($Z$12:Z666=1),$H$12:H666),Первоначальный[[#This Row],[Полученный платеж]]+Y665),
AND(S665=0,TYPE(VLOOKUP("Да",(INDIRECT("AA"&amp;(MAX((1=Z$12:Z665)*ROW(Z$12:Z665),ROW($T$12))&amp;":AA"&amp;(ROW()-1)))),1,0))&lt;&gt;16),MIN(LOOKUP(,-1/($Z$12:Z666=1),$C$12:C666)+LOOKUP(,-1/($Z$12:Z666=1),$H$12:H666)-IF(AA665="Да",0,SUM(INDIRECT("T"&amp;(MAX(("Да"=AA$12:AA665)*ROW(AA$12:AA665)+1,ROW($T$12))&amp;":T"&amp;(ROW()-1))))),Первоначальный[[#This Row],[Полученный платеж]]+Y665),
AND(S665=0,MAX((0&lt;&gt;N$12:N665)*ROW(N$12:N665),ROW($S$12))&gt;=MAX((1=Z$12:Z665)*ROW(Z$12:Z665),ROW($T$12))),MIN(LOOKUP(,-1/($Z$12:Z666=1),$C$12:C666)+LOOKUP(,-1/($Z$12:Z666=1),$H$12:H666)-IF(N665&lt;&gt;0,0,SUM(INDIRECT("T"&amp;(MAX((0&lt;&gt;N$12:N665)*ROW(N$12:N665)+1,ROW($T$12))&amp;":T"&amp;(ROW()-1))))),Первоначальный[[#This Row],[Полученный платеж]]+Y665),
AND(S665=0,Первоначальный[[#This Row],[Дата платежа из графика]]=1),MIN(LOOKUP(,-1/($Z$12:Z666=1),$C$12:C666)+LOOKUP(,-1/($Z$12:Z666=1),$H$12:H666)-IF(Z665=1,0,SUM(INDIRECT("T"&amp;(MAX((1=Z$12:Z665)*ROW(Z$12:Z665)+1,ROW($T$12))&amp;":T"&amp;(ROW()-1))))),Первоначальный[[#This Row],[Полученный платеж]]+Y665),
AND(Z665&gt;0,Первоначальный[[#This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платеж]]+Y665),
AND(S665&gt;0,MAX((0&lt;&gt;S$12:S665)*ROW(S$12:S665),ROW($S$12))&gt;=MAX((1=Z$12:Z665)*ROW(Z$12:Z665),ROW($T$12)),TYPE(VLOOKUP("Да",(INDIRECT("AA"&amp;(MAX((1=Z$12:Z665)*ROW(Z$12:Z665),ROW($T$12))&amp;":AA"&amp;(ROW()-1)))),1,0))=16),MIN(LOOKUP(,-1/($Z$12:Z666=1),$C$12:C666)+LOOKUP(,-1/($Z$12:Z666=1),$H$12:H666)-SUM(INDIRECT("T"&amp;(MAX((1=Z$12:Z665)*ROW(Z$12:Z665),ROW($T$12))&amp;":T"&amp;(ROW()-1)))),Первоначальный[[#This Row],[Полученный платеж]]+Y665),
S665&gt;0,MIN(LOOKUP(,-1/($Z$12:Z666=1),$C$12:C666)+LOOKUP(,-1/($Z$12:Z666=1),$H$12:H666)-IF(Z665=1,0,SUM(INDIRECT("T"&amp;(MAX((1=Z$12:Z665)*ROW(Z$12:Z665)+1,ROW($T$12))&amp;":T"&amp;(ROW()-1))))),Первоначальный[[#This Row],[Полученный платеж]]+Y665)
)
)
)</f>
        <v>0</v>
      </c>
      <c r="U66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платеж]]+Y665-Первоначальный[[#This Row],[Полученный платёж по процентам]])</f>
        <v>0</v>
      </c>
      <c r="V666" s="55">
        <f t="shared" ca="1" si="121"/>
        <v>0</v>
      </c>
      <c r="W666" s="55" cm="1">
        <f t="array" aca="1" ref="W666" ca="1">IF(Первоначальный[[#This Row],[Итого остаток на начало периода]]&lt;1,0,
_xlfn.IFS(
AND(TYPE(VLOOKUP(1,$Z$12:Z666,1,0))=16,Первоначальный[[#This Row],[Досрочное погашение (да/"")]]=""),0,
AND(S665=0,Первоначальный[[#This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платеж]]+Y665-SUM(Первоначальный[[#This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комиссиям]]),VLOOKUP(LOOKUP(,-1/($Z$12:Z666=1),$A$12:A666),График[[Срок конец]:[Возврат основной суммы долга]],3,0)),
AND(S665=0,Первоначальный[[#This Row],[Дата платежа из графика]]="",Первоначальный[[#This Row],[Досрочное погашение (да/"")]]&lt;&gt;"Да"),0,
AND(S665=0,Первоначальный[[#This Row],[Досрочное погашение (да/"")]]=""),MIN(Первоначальный[[#This Row],[Полученный платеж]]+Y665-SUM(Первоначальный[[#This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комиссиям]]),VLOOKUP(LOOKUP(,-1/($Z$12:Z666=1),$A$12:A666),График[[Срок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платеж]]+Y665-SUM(Первоначальный[[#This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S665&gt;0,MIN(Первоначальный[[#This Row],[Полученный платеж]]+Y665-SUM(Первоначальный[[#This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комиссиям]]),SUM(INDIRECT("M"&amp;(MAX((1=S$12:S665)*ROW(S$12:S665),ROW($W$12))&amp;":M"&amp;(ROW()))))-SUM(INDIRECT("W"&amp;(MAX((1=S$12:S665)*ROW(S$12:S665),ROW($W$12))&amp;":W"&amp;(ROW()-1)))))
)
)</f>
        <v>0</v>
      </c>
      <c r="X666" s="55">
        <f t="shared" ca="1" si="122"/>
        <v>0</v>
      </c>
      <c r="Y666" s="101">
        <f t="shared" ca="1" si="129"/>
        <v>0</v>
      </c>
      <c r="Z666" s="133" t="str">
        <f>IF(TYPE((VLOOKUP(Первоначальный[[#This Row],[Дата платежа]],График[Срок конец],1,0)))=16,"",1)</f>
        <v/>
      </c>
      <c r="AA666" s="57"/>
      <c r="AB666" s="134"/>
      <c r="AC66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6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46886.209999999941</v>
      </c>
      <c r="AE66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1396.3300000000013</v>
      </c>
      <c r="AF66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6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79586.673842622971</v>
      </c>
      <c r="AH666" s="55"/>
      <c r="AI666" s="55"/>
      <c r="AJ666" s="55"/>
      <c r="AK666" s="101">
        <f t="shared" ca="1" si="130"/>
        <v>277502.5538426229</v>
      </c>
      <c r="AL666" s="129">
        <f t="array" ref="AL666">MAX((УслРестрактов[Характеристика]="Дата реструктуризации")*(УслРестрактов[Значение]=Первоначальный!$A666),0)</f>
        <v>0</v>
      </c>
    </row>
    <row r="667" spans="1:38" x14ac:dyDescent="0.25">
      <c r="A667" s="97">
        <f t="shared" si="123"/>
        <v>44798</v>
      </c>
      <c r="B667" s="100">
        <f t="shared" ca="1" si="124"/>
        <v>149633.34</v>
      </c>
      <c r="C667" s="55">
        <f t="shared" ca="1" si="120"/>
        <v>46886.209999999941</v>
      </c>
      <c r="D667" s="55">
        <f t="shared" ca="1" si="120"/>
        <v>1396.3300000000013</v>
      </c>
      <c r="E667" s="55">
        <f t="shared" ca="1" si="125"/>
        <v>0</v>
      </c>
      <c r="F667" s="55">
        <f t="shared" ca="1" si="126"/>
        <v>79586.673842622971</v>
      </c>
      <c r="G667" s="101">
        <f t="shared" ca="1" si="127"/>
        <v>277502.5538426229</v>
      </c>
      <c r="H667" s="100">
        <f ca="1">ROUND($B667*VLOOKUP($A667,$A$1:$B$10,2,1)/(365+IF(MOD(YEAR($A667),4),0,1)*($A667-$A666)),2)-Первоначальный[[#This Row],[Проценты на просроченный платеж по ОД за период]]</f>
        <v>76.509999999999991</v>
      </c>
      <c r="I667" s="55">
        <f t="shared" ca="1" si="128"/>
        <v>5.07</v>
      </c>
      <c r="J667" s="55">
        <v>0</v>
      </c>
      <c r="K667" s="55">
        <f t="shared" ca="1" si="131"/>
        <v>275.14850327868845</v>
      </c>
      <c r="L667" s="55">
        <v>0</v>
      </c>
      <c r="M667" s="113">
        <f>SUMIFS(График[Возврат основной суммы долга],График[Дата с учетом нерабочих дней],$A667)</f>
        <v>0</v>
      </c>
      <c r="N667" s="56">
        <f>SUMIFS(График[Возврат начисленных %],График[Дата с учетом нерабочих дней],$A667)</f>
        <v>0</v>
      </c>
      <c r="O667" s="101">
        <v>0</v>
      </c>
      <c r="P667" s="100" cm="1">
        <f t="array" aca="1" ref="P667" ca="1">MAX(IF(AA666="Да",0,SUM(INDIRECT("M"&amp;(MAX(("Да"=AA$12:AA666)*ROW(AA$12:AA666)+1,ROW($P$12))&amp;":M"&amp;(ROW()))))-SUM(INDIRECT("W"&amp;(MAX(("Да"=AA$12:AA666)*ROW(AA$12:AA666)+1,ROW($P$12))&amp;":W"&amp;(ROW()))))),0)</f>
        <v>9293.369999999999</v>
      </c>
      <c r="Q667" s="99">
        <f ca="1">MAX(SUM($N$13:N667)-SUM($T$13:T667),0)</f>
        <v>45736.330655737693</v>
      </c>
      <c r="R667" s="99">
        <f ca="1">Первоначальный[[#This Row],[Просроченный платеж по ОД]]+Первоначальный[[#This Row],[Просроченный платеж по процентам]]</f>
        <v>55029.700655737688</v>
      </c>
      <c r="S667" s="120">
        <f ca="1">IF(Первоначальный[[#This Row],[Просроченный платеж]]&lt;1,0,S666+1)</f>
        <v>563</v>
      </c>
      <c r="T667" s="100" cm="1">
        <f t="array" aca="1" ref="T667" ca="1">IF(Первоначальный[[#This Row],[Итого остаток на начало периода]]&lt;1,0,
IF(
AND(TYPE(VLOOKUP(1,$Z$12:Z667,1,0))=16,Первоначальный[[#This Row],[Досрочное погашение (да/"")]]=""),0,
_xlfn.IFS(AND(S666=0,Первоначальный[[#This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платеж]]&lt;&gt;0),MIN(LOOKUP(,-1/($Z$12:Z667=1),$C$12:C667)+LOOKUP(,-1/($Z$12:Z667=1),$H$12:H667),Первоначальный[[#This Row],[Полученный платеж]]+Y666),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платеж]]+Y666,SUM(Первоначальный[[#This Row],[Остаток процентов на начало периода]],Первоначальный[[#This Row],[Проценты за период]])),
AND(S666=0,Первоначальный[[#This Row],[Дата платежа из графика]]=""),0,
AND(S666=0,Первоначальный[[#This Row],[Дата платежа из графика]]=1,MAX((0&lt;&gt;S$12:S666)*ROW(S$12:S666),ROW($S$12))&gt;=MAX((1=Z$12:Z666)*ROW(Z$12:Z666),ROW($T$12)),TYPE(VLOOKUP("Да",(INDIRECT("AA"&amp;(MAX((1=Z$12:Z666)*ROW(Z$12:Z666),ROW($T$12))&amp;":AA"&amp;(ROW()-1)))),1,0))=16),MIN(LOOKUP(,-1/($Z$12:Z667=1),$C$12:C667)+LOOKUP(,-1/($Z$12:Z667=1),$H$12:H667),Первоначальный[[#This Row],[Полученный платеж]]+Y666),
AND(S666=0,TYPE(VLOOKUP("Да",(INDIRECT("AA"&amp;(MAX((1=Z$12:Z666)*ROW(Z$12:Z666),ROW($T$12))&amp;":AA"&amp;(ROW()-1)))),1,0))&lt;&gt;16),MIN(LOOKUP(,-1/($Z$12:Z667=1),$C$12:C667)+LOOKUP(,-1/($Z$12:Z667=1),$H$12:H667)-IF(AA666="Да",0,SUM(INDIRECT("T"&amp;(MAX(("Да"=AA$12:AA666)*ROW(AA$12:AA666)+1,ROW($T$12))&amp;":T"&amp;(ROW()-1))))),Первоначальный[[#This Row],[Полученный платеж]]+Y666),
AND(S666=0,MAX((0&lt;&gt;N$12:N666)*ROW(N$12:N666),ROW($S$12))&gt;=MAX((1=Z$12:Z666)*ROW(Z$12:Z666),ROW($T$12))),MIN(LOOKUP(,-1/($Z$12:Z667=1),$C$12:C667)+LOOKUP(,-1/($Z$12:Z667=1),$H$12:H667)-IF(N666&lt;&gt;0,0,SUM(INDIRECT("T"&amp;(MAX((0&lt;&gt;N$12:N666)*ROW(N$12:N666)+1,ROW($T$12))&amp;":T"&amp;(ROW()-1))))),Первоначальный[[#This Row],[Полученный платеж]]+Y666),
AND(S666=0,Первоначальный[[#This Row],[Дата платежа из графика]]=1),MIN(LOOKUP(,-1/($Z$12:Z667=1),$C$12:C667)+LOOKUP(,-1/($Z$12:Z667=1),$H$12:H667)-IF(Z666=1,0,SUM(INDIRECT("T"&amp;(MAX((1=Z$12:Z666)*ROW(Z$12:Z666)+1,ROW($T$12))&amp;":T"&amp;(ROW()-1))))),Первоначальный[[#This Row],[Полученный платеж]]+Y666),
AND(Z666&gt;0,Первоначальный[[#This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платеж]]+Y666),
AND(S666&gt;0,MAX((0&lt;&gt;S$12:S666)*ROW(S$12:S666),ROW($S$12))&gt;=MAX((1=Z$12:Z666)*ROW(Z$12:Z666),ROW($T$12)),TYPE(VLOOKUP("Да",(INDIRECT("AA"&amp;(MAX((1=Z$12:Z666)*ROW(Z$12:Z666),ROW($T$12))&amp;":AA"&amp;(ROW()-1)))),1,0))=16),MIN(LOOKUP(,-1/($Z$12:Z667=1),$C$12:C667)+LOOKUP(,-1/($Z$12:Z667=1),$H$12:H667)-SUM(INDIRECT("T"&amp;(MAX((1=Z$12:Z666)*ROW(Z$12:Z666),ROW($T$12))&amp;":T"&amp;(ROW()-1)))),Первоначальный[[#This Row],[Полученный платеж]]+Y666),
S666&gt;0,MIN(LOOKUP(,-1/($Z$12:Z667=1),$C$12:C667)+LOOKUP(,-1/($Z$12:Z667=1),$H$12:H667)-IF(Z666=1,0,SUM(INDIRECT("T"&amp;(MAX((1=Z$12:Z666)*ROW(Z$12:Z666)+1,ROW($T$12))&amp;":T"&amp;(ROW()-1))))),Первоначальный[[#This Row],[Полученный платеж]]+Y666)
)
)
)</f>
        <v>0</v>
      </c>
      <c r="U66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платеж]]+Y666-Первоначальный[[#This Row],[Полученный платёж по процентам]])</f>
        <v>0</v>
      </c>
      <c r="V667" s="55">
        <f t="shared" ca="1" si="121"/>
        <v>0</v>
      </c>
      <c r="W667" s="55" cm="1">
        <f t="array" aca="1" ref="W667" ca="1">IF(Первоначальный[[#This Row],[Итого остаток на начало периода]]&lt;1,0,
_xlfn.IFS(
AND(TYPE(VLOOKUP(1,$Z$12:Z667,1,0))=16,Первоначальный[[#This Row],[Досрочное погашение (да/"")]]=""),0,
AND(S666=0,Первоначальный[[#This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платеж]]+Y666-SUM(Первоначальный[[#This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комиссиям]]),VLOOKUP(LOOKUP(,-1/($Z$12:Z667=1),$A$12:A667),График[[Срок конец]:[Возврат основной суммы долга]],3,0)),
AND(S666=0,Первоначальный[[#This Row],[Дата платежа из графика]]="",Первоначальный[[#This Row],[Досрочное погашение (да/"")]]&lt;&gt;"Да"),0,
AND(S666=0,Первоначальный[[#This Row],[Досрочное погашение (да/"")]]=""),MIN(Первоначальный[[#This Row],[Полученный платеж]]+Y666-SUM(Первоначальный[[#This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комиссиям]]),VLOOKUP(LOOKUP(,-1/($Z$12:Z667=1),$A$12:A667),График[[Срок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платеж]]+Y666-SUM(Первоначальный[[#This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S666&gt;0,MIN(Первоначальный[[#This Row],[Полученный платеж]]+Y666-SUM(Первоначальный[[#This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комиссиям]]),SUM(INDIRECT("M"&amp;(MAX((1=S$12:S666)*ROW(S$12:S666),ROW($W$12))&amp;":M"&amp;(ROW()))))-SUM(INDIRECT("W"&amp;(MAX((1=S$12:S666)*ROW(S$12:S666),ROW($W$12))&amp;":W"&amp;(ROW()-1)))))
)
)</f>
        <v>0</v>
      </c>
      <c r="X667" s="55">
        <f t="shared" ca="1" si="122"/>
        <v>0</v>
      </c>
      <c r="Y667" s="101">
        <f t="shared" ca="1" si="129"/>
        <v>0</v>
      </c>
      <c r="Z667" s="133" t="str">
        <f>IF(TYPE((VLOOKUP(Первоначальный[[#This Row],[Дата платежа]],График[Срок конец],1,0)))=16,"",1)</f>
        <v/>
      </c>
      <c r="AA667" s="57"/>
      <c r="AB667" s="134"/>
      <c r="AC66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6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46962.719999999943</v>
      </c>
      <c r="AE66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1401.4000000000012</v>
      </c>
      <c r="AF66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6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79861.822345901659</v>
      </c>
      <c r="AH667" s="55"/>
      <c r="AI667" s="55"/>
      <c r="AJ667" s="55"/>
      <c r="AK667" s="101">
        <f t="shared" ca="1" si="130"/>
        <v>277859.28234590159</v>
      </c>
      <c r="AL667" s="129">
        <f t="array" ref="AL667">MAX((УслРестрактов[Характеристика]="Дата реструктуризации")*(УслРестрактов[Значение]=Первоначальный!$A667),0)</f>
        <v>0</v>
      </c>
    </row>
    <row r="668" spans="1:38" x14ac:dyDescent="0.25">
      <c r="A668" s="97">
        <f t="shared" si="123"/>
        <v>44799</v>
      </c>
      <c r="B668" s="100">
        <f t="shared" ca="1" si="124"/>
        <v>149633.34</v>
      </c>
      <c r="C668" s="55">
        <f t="shared" ca="1" si="120"/>
        <v>46962.719999999943</v>
      </c>
      <c r="D668" s="55">
        <f t="shared" ca="1" si="120"/>
        <v>1401.4000000000012</v>
      </c>
      <c r="E668" s="55">
        <f t="shared" ca="1" si="125"/>
        <v>0</v>
      </c>
      <c r="F668" s="55">
        <f t="shared" ca="1" si="126"/>
        <v>79861.822345901659</v>
      </c>
      <c r="G668" s="101">
        <f t="shared" ca="1" si="127"/>
        <v>277859.28234590159</v>
      </c>
      <c r="H668" s="100">
        <f ca="1">ROUND($B668*VLOOKUP($A668,$A$1:$B$10,2,1)/(365+IF(MOD(YEAR($A668),4),0,1)*($A668-$A667)),2)-Первоначальный[[#This Row],[Проценты на просроченный платеж по ОД за период]]</f>
        <v>76.509999999999991</v>
      </c>
      <c r="I668" s="55">
        <f t="shared" ca="1" si="128"/>
        <v>5.07</v>
      </c>
      <c r="J668" s="55">
        <v>0</v>
      </c>
      <c r="K668" s="55">
        <f t="shared" ca="1" si="131"/>
        <v>275.14850327868845</v>
      </c>
      <c r="L668" s="55">
        <v>0</v>
      </c>
      <c r="M668" s="113">
        <f>SUMIFS(График[Возврат основной суммы долга],График[Дата с учетом нерабочих дней],$A668)</f>
        <v>0</v>
      </c>
      <c r="N668" s="56">
        <f>SUMIFS(График[Возврат начисленных %],График[Дата с учетом нерабочих дней],$A668)</f>
        <v>0</v>
      </c>
      <c r="O668" s="101">
        <v>0</v>
      </c>
      <c r="P668" s="100" cm="1">
        <f t="array" aca="1" ref="P668" ca="1">MAX(IF(AA667="Да",0,SUM(INDIRECT("M"&amp;(MAX(("Да"=AA$12:AA667)*ROW(AA$12:AA667)+1,ROW($P$12))&amp;":M"&amp;(ROW()))))-SUM(INDIRECT("W"&amp;(MAX(("Да"=AA$12:AA667)*ROW(AA$12:AA667)+1,ROW($P$12))&amp;":W"&amp;(ROW()))))),0)</f>
        <v>9293.369999999999</v>
      </c>
      <c r="Q668" s="99">
        <f ca="1">MAX(SUM($N$13:N668)-SUM($T$13:T668),0)</f>
        <v>45736.330655737693</v>
      </c>
      <c r="R668" s="99">
        <f ca="1">Первоначальный[[#This Row],[Просроченный платеж по ОД]]+Первоначальный[[#This Row],[Просроченный платеж по процентам]]</f>
        <v>55029.700655737688</v>
      </c>
      <c r="S668" s="120">
        <f ca="1">IF(Первоначальный[[#This Row],[Просроченный платеж]]&lt;1,0,S667+1)</f>
        <v>564</v>
      </c>
      <c r="T668" s="100" cm="1">
        <f t="array" aca="1" ref="T668" ca="1">IF(Первоначальный[[#This Row],[Итого остаток на начало периода]]&lt;1,0,
IF(
AND(TYPE(VLOOKUP(1,$Z$12:Z668,1,0))=16,Первоначальный[[#This Row],[Досрочное погашение (да/"")]]=""),0,
_xlfn.IFS(AND(S667=0,Первоначальный[[#This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платеж]]&lt;&gt;0),MIN(LOOKUP(,-1/($Z$12:Z668=1),$C$12:C668)+LOOKUP(,-1/($Z$12:Z668=1),$H$12:H668),Первоначальный[[#This Row],[Полученный платеж]]+Y667),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платеж]]+Y667,SUM(Первоначальный[[#This Row],[Остаток процентов на начало периода]],Первоначальный[[#This Row],[Проценты за период]])),
AND(S667=0,Первоначальный[[#This Row],[Дата платежа из графика]]=""),0,
AND(S667=0,Первоначальный[[#This Row],[Дата платежа из графика]]=1,MAX((0&lt;&gt;S$12:S667)*ROW(S$12:S667),ROW($S$12))&gt;=MAX((1=Z$12:Z667)*ROW(Z$12:Z667),ROW($T$12)),TYPE(VLOOKUP("Да",(INDIRECT("AA"&amp;(MAX((1=Z$12:Z667)*ROW(Z$12:Z667),ROW($T$12))&amp;":AA"&amp;(ROW()-1)))),1,0))=16),MIN(LOOKUP(,-1/($Z$12:Z668=1),$C$12:C668)+LOOKUP(,-1/($Z$12:Z668=1),$H$12:H668),Первоначальный[[#This Row],[Полученный платеж]]+Y667),
AND(S667=0,TYPE(VLOOKUP("Да",(INDIRECT("AA"&amp;(MAX((1=Z$12:Z667)*ROW(Z$12:Z667),ROW($T$12))&amp;":AA"&amp;(ROW()-1)))),1,0))&lt;&gt;16),MIN(LOOKUP(,-1/($Z$12:Z668=1),$C$12:C668)+LOOKUP(,-1/($Z$12:Z668=1),$H$12:H668)-IF(AA667="Да",0,SUM(INDIRECT("T"&amp;(MAX(("Да"=AA$12:AA667)*ROW(AA$12:AA667)+1,ROW($T$12))&amp;":T"&amp;(ROW()-1))))),Первоначальный[[#This Row],[Полученный платеж]]+Y667),
AND(S667=0,MAX((0&lt;&gt;N$12:N667)*ROW(N$12:N667),ROW($S$12))&gt;=MAX((1=Z$12:Z667)*ROW(Z$12:Z667),ROW($T$12))),MIN(LOOKUP(,-1/($Z$12:Z668=1),$C$12:C668)+LOOKUP(,-1/($Z$12:Z668=1),$H$12:H668)-IF(N667&lt;&gt;0,0,SUM(INDIRECT("T"&amp;(MAX((0&lt;&gt;N$12:N667)*ROW(N$12:N667)+1,ROW($T$12))&amp;":T"&amp;(ROW()-1))))),Первоначальный[[#This Row],[Полученный платеж]]+Y667),
AND(S667=0,Первоначальный[[#This Row],[Дата платежа из графика]]=1),MIN(LOOKUP(,-1/($Z$12:Z668=1),$C$12:C668)+LOOKUP(,-1/($Z$12:Z668=1),$H$12:H668)-IF(Z667=1,0,SUM(INDIRECT("T"&amp;(MAX((1=Z$12:Z667)*ROW(Z$12:Z667)+1,ROW($T$12))&amp;":T"&amp;(ROW()-1))))),Первоначальный[[#This Row],[Полученный платеж]]+Y667),
AND(Z667&gt;0,Первоначальный[[#This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платеж]]+Y667),
AND(S667&gt;0,MAX((0&lt;&gt;S$12:S667)*ROW(S$12:S667),ROW($S$12))&gt;=MAX((1=Z$12:Z667)*ROW(Z$12:Z667),ROW($T$12)),TYPE(VLOOKUP("Да",(INDIRECT("AA"&amp;(MAX((1=Z$12:Z667)*ROW(Z$12:Z667),ROW($T$12))&amp;":AA"&amp;(ROW()-1)))),1,0))=16),MIN(LOOKUP(,-1/($Z$12:Z668=1),$C$12:C668)+LOOKUP(,-1/($Z$12:Z668=1),$H$12:H668)-SUM(INDIRECT("T"&amp;(MAX((1=Z$12:Z667)*ROW(Z$12:Z667),ROW($T$12))&amp;":T"&amp;(ROW()-1)))),Первоначальный[[#This Row],[Полученный платеж]]+Y667),
S667&gt;0,MIN(LOOKUP(,-1/($Z$12:Z668=1),$C$12:C668)+LOOKUP(,-1/($Z$12:Z668=1),$H$12:H668)-IF(Z667=1,0,SUM(INDIRECT("T"&amp;(MAX((1=Z$12:Z667)*ROW(Z$12:Z667)+1,ROW($T$12))&amp;":T"&amp;(ROW()-1))))),Первоначальный[[#This Row],[Полученный платеж]]+Y667)
)
)
)</f>
        <v>0</v>
      </c>
      <c r="U66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платеж]]+Y667-Первоначальный[[#This Row],[Полученный платёж по процентам]])</f>
        <v>0</v>
      </c>
      <c r="V668" s="55">
        <f t="shared" ca="1" si="121"/>
        <v>0</v>
      </c>
      <c r="W668" s="55" cm="1">
        <f t="array" aca="1" ref="W668" ca="1">IF(Первоначальный[[#This Row],[Итого остаток на начало периода]]&lt;1,0,
_xlfn.IFS(
AND(TYPE(VLOOKUP(1,$Z$12:Z668,1,0))=16,Первоначальный[[#This Row],[Досрочное погашение (да/"")]]=""),0,
AND(S667=0,Первоначальный[[#This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платеж]]+Y667-SUM(Первоначальный[[#This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комиссиям]]),VLOOKUP(LOOKUP(,-1/($Z$12:Z668=1),$A$12:A668),График[[Срок конец]:[Возврат основной суммы долга]],3,0)),
AND(S667=0,Первоначальный[[#This Row],[Дата платежа из графика]]="",Первоначальный[[#This Row],[Досрочное погашение (да/"")]]&lt;&gt;"Да"),0,
AND(S667=0,Первоначальный[[#This Row],[Досрочное погашение (да/"")]]=""),MIN(Первоначальный[[#This Row],[Полученный платеж]]+Y667-SUM(Первоначальный[[#This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комиссиям]]),VLOOKUP(LOOKUP(,-1/($Z$12:Z668=1),$A$12:A668),График[[Срок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платеж]]+Y667-SUM(Первоначальный[[#This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S667&gt;0,MIN(Первоначальный[[#This Row],[Полученный платеж]]+Y667-SUM(Первоначальный[[#This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комиссиям]]),SUM(INDIRECT("M"&amp;(MAX((1=S$12:S667)*ROW(S$12:S667),ROW($W$12))&amp;":M"&amp;(ROW()))))-SUM(INDIRECT("W"&amp;(MAX((1=S$12:S667)*ROW(S$12:S667),ROW($W$12))&amp;":W"&amp;(ROW()-1)))))
)
)</f>
        <v>0</v>
      </c>
      <c r="X668" s="55">
        <f t="shared" ca="1" si="122"/>
        <v>0</v>
      </c>
      <c r="Y668" s="101">
        <f t="shared" ca="1" si="129"/>
        <v>0</v>
      </c>
      <c r="Z668" s="133" t="str">
        <f>IF(TYPE((VLOOKUP(Первоначальный[[#This Row],[Дата платежа]],График[Срок конец],1,0)))=16,"",1)</f>
        <v/>
      </c>
      <c r="AA668" s="57"/>
      <c r="AB668" s="134"/>
      <c r="AC66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6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47039.229999999945</v>
      </c>
      <c r="AE66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1406.4700000000012</v>
      </c>
      <c r="AF66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6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80136.970849180347</v>
      </c>
      <c r="AH668" s="55"/>
      <c r="AI668" s="55"/>
      <c r="AJ668" s="55"/>
      <c r="AK668" s="101">
        <f t="shared" ca="1" si="130"/>
        <v>278216.01084918028</v>
      </c>
      <c r="AL668" s="129">
        <f t="array" ref="AL668">MAX((УслРестрактов[Характеристика]="Дата реструктуризации")*(УслРестрактов[Значение]=Первоначальный!$A668),0)</f>
        <v>0</v>
      </c>
    </row>
    <row r="669" spans="1:38" x14ac:dyDescent="0.25">
      <c r="A669" s="97">
        <f t="shared" si="123"/>
        <v>44800</v>
      </c>
      <c r="B669" s="100">
        <f t="shared" ca="1" si="124"/>
        <v>149633.34</v>
      </c>
      <c r="C669" s="55">
        <f t="shared" ref="C669:D732" ca="1" si="132">AD668+AI668</f>
        <v>47039.229999999945</v>
      </c>
      <c r="D669" s="55">
        <f t="shared" ca="1" si="132"/>
        <v>1406.4700000000012</v>
      </c>
      <c r="E669" s="55">
        <f t="shared" ca="1" si="125"/>
        <v>0</v>
      </c>
      <c r="F669" s="55">
        <f t="shared" ca="1" si="126"/>
        <v>80136.970849180347</v>
      </c>
      <c r="G669" s="101">
        <f t="shared" ca="1" si="127"/>
        <v>278216.01084918028</v>
      </c>
      <c r="H669" s="100">
        <f ca="1">ROUND($B669*VLOOKUP($A669,$A$1:$B$10,2,1)/(365+IF(MOD(YEAR($A669),4),0,1)*($A669-$A668)),2)-Первоначальный[[#This Row],[Проценты на просроченный платеж по ОД за период]]</f>
        <v>76.509999999999991</v>
      </c>
      <c r="I669" s="55">
        <f t="shared" ca="1" si="128"/>
        <v>5.07</v>
      </c>
      <c r="J669" s="55">
        <v>0</v>
      </c>
      <c r="K669" s="55">
        <f t="shared" ca="1" si="131"/>
        <v>275.14850327868845</v>
      </c>
      <c r="L669" s="55">
        <v>0</v>
      </c>
      <c r="M669" s="113">
        <f>SUMIFS(График[Возврат основной суммы долга],График[Дата с учетом нерабочих дней],$A669)</f>
        <v>0</v>
      </c>
      <c r="N669" s="56">
        <f>SUMIFS(График[Возврат начисленных %],График[Дата с учетом нерабочих дней],$A669)</f>
        <v>0</v>
      </c>
      <c r="O669" s="101">
        <v>0</v>
      </c>
      <c r="P669" s="100" cm="1">
        <f t="array" aca="1" ref="P669" ca="1">MAX(IF(AA668="Да",0,SUM(INDIRECT("M"&amp;(MAX(("Да"=AA$12:AA668)*ROW(AA$12:AA668)+1,ROW($P$12))&amp;":M"&amp;(ROW()))))-SUM(INDIRECT("W"&amp;(MAX(("Да"=AA$12:AA668)*ROW(AA$12:AA668)+1,ROW($P$12))&amp;":W"&amp;(ROW()))))),0)</f>
        <v>9293.369999999999</v>
      </c>
      <c r="Q669" s="99">
        <f ca="1">MAX(SUM($N$13:N669)-SUM($T$13:T669),0)</f>
        <v>45736.330655737693</v>
      </c>
      <c r="R669" s="99">
        <f ca="1">Первоначальный[[#This Row],[Просроченный платеж по ОД]]+Первоначальный[[#This Row],[Просроченный платеж по процентам]]</f>
        <v>55029.700655737688</v>
      </c>
      <c r="S669" s="120">
        <f ca="1">IF(Первоначальный[[#This Row],[Просроченный платеж]]&lt;1,0,S668+1)</f>
        <v>565</v>
      </c>
      <c r="T669" s="100" cm="1">
        <f t="array" aca="1" ref="T669" ca="1">IF(Первоначальный[[#This Row],[Итого остаток на начало периода]]&lt;1,0,
IF(
AND(TYPE(VLOOKUP(1,$Z$12:Z669,1,0))=16,Первоначальный[[#This Row],[Досрочное погашение (да/"")]]=""),0,
_xlfn.IFS(AND(S668=0,Первоначальный[[#This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платеж]]&lt;&gt;0),MIN(LOOKUP(,-1/($Z$12:Z669=1),$C$12:C669)+LOOKUP(,-1/($Z$12:Z669=1),$H$12:H669),Первоначальный[[#This Row],[Полученный платеж]]+Y668),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платеж]]+Y668,SUM(Первоначальный[[#This Row],[Остаток процентов на начало периода]],Первоначальный[[#This Row],[Проценты за период]])),
AND(S668=0,Первоначальный[[#This Row],[Дата платежа из графика]]=""),0,
AND(S668=0,Первоначальный[[#This Row],[Дата платежа из графика]]=1,MAX((0&lt;&gt;S$12:S668)*ROW(S$12:S668),ROW($S$12))&gt;=MAX((1=Z$12:Z668)*ROW(Z$12:Z668),ROW($T$12)),TYPE(VLOOKUP("Да",(INDIRECT("AA"&amp;(MAX((1=Z$12:Z668)*ROW(Z$12:Z668),ROW($T$12))&amp;":AA"&amp;(ROW()-1)))),1,0))=16),MIN(LOOKUP(,-1/($Z$12:Z669=1),$C$12:C669)+LOOKUP(,-1/($Z$12:Z669=1),$H$12:H669),Первоначальный[[#This Row],[Полученный платеж]]+Y668),
AND(S668=0,TYPE(VLOOKUP("Да",(INDIRECT("AA"&amp;(MAX((1=Z$12:Z668)*ROW(Z$12:Z668),ROW($T$12))&amp;":AA"&amp;(ROW()-1)))),1,0))&lt;&gt;16),MIN(LOOKUP(,-1/($Z$12:Z669=1),$C$12:C669)+LOOKUP(,-1/($Z$12:Z669=1),$H$12:H669)-IF(AA668="Да",0,SUM(INDIRECT("T"&amp;(MAX(("Да"=AA$12:AA668)*ROW(AA$12:AA668)+1,ROW($T$12))&amp;":T"&amp;(ROW()-1))))),Первоначальный[[#This Row],[Полученный платеж]]+Y668),
AND(S668=0,MAX((0&lt;&gt;N$12:N668)*ROW(N$12:N668),ROW($S$12))&gt;=MAX((1=Z$12:Z668)*ROW(Z$12:Z668),ROW($T$12))),MIN(LOOKUP(,-1/($Z$12:Z669=1),$C$12:C669)+LOOKUP(,-1/($Z$12:Z669=1),$H$12:H669)-IF(N668&lt;&gt;0,0,SUM(INDIRECT("T"&amp;(MAX((0&lt;&gt;N$12:N668)*ROW(N$12:N668)+1,ROW($T$12))&amp;":T"&amp;(ROW()-1))))),Первоначальный[[#This Row],[Полученный платеж]]+Y668),
AND(S668=0,Первоначальный[[#This Row],[Дата платежа из графика]]=1),MIN(LOOKUP(,-1/($Z$12:Z669=1),$C$12:C669)+LOOKUP(,-1/($Z$12:Z669=1),$H$12:H669)-IF(Z668=1,0,SUM(INDIRECT("T"&amp;(MAX((1=Z$12:Z668)*ROW(Z$12:Z668)+1,ROW($T$12))&amp;":T"&amp;(ROW()-1))))),Первоначальный[[#This Row],[Полученный платеж]]+Y668),
AND(Z668&gt;0,Первоначальный[[#This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платеж]]+Y668),
AND(S668&gt;0,MAX((0&lt;&gt;S$12:S668)*ROW(S$12:S668),ROW($S$12))&gt;=MAX((1=Z$12:Z668)*ROW(Z$12:Z668),ROW($T$12)),TYPE(VLOOKUP("Да",(INDIRECT("AA"&amp;(MAX((1=Z$12:Z668)*ROW(Z$12:Z668),ROW($T$12))&amp;":AA"&amp;(ROW()-1)))),1,0))=16),MIN(LOOKUP(,-1/($Z$12:Z669=1),$C$12:C669)+LOOKUP(,-1/($Z$12:Z669=1),$H$12:H669)-SUM(INDIRECT("T"&amp;(MAX((1=Z$12:Z668)*ROW(Z$12:Z668),ROW($T$12))&amp;":T"&amp;(ROW()-1)))),Первоначальный[[#This Row],[Полученный платеж]]+Y668),
S668&gt;0,MIN(LOOKUP(,-1/($Z$12:Z669=1),$C$12:C669)+LOOKUP(,-1/($Z$12:Z669=1),$H$12:H669)-IF(Z668=1,0,SUM(INDIRECT("T"&amp;(MAX((1=Z$12:Z668)*ROW(Z$12:Z668)+1,ROW($T$12))&amp;":T"&amp;(ROW()-1))))),Первоначальный[[#This Row],[Полученный платеж]]+Y668)
)
)
)</f>
        <v>0</v>
      </c>
      <c r="U66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платеж]]+Y668-Первоначальный[[#This Row],[Полученный платёж по процентам]])</f>
        <v>0</v>
      </c>
      <c r="V669" s="55">
        <f t="shared" ca="1" si="121"/>
        <v>0</v>
      </c>
      <c r="W669" s="55" cm="1">
        <f t="array" aca="1" ref="W669" ca="1">IF(Первоначальный[[#This Row],[Итого остаток на начало периода]]&lt;1,0,
_xlfn.IFS(
AND(TYPE(VLOOKUP(1,$Z$12:Z669,1,0))=16,Первоначальный[[#This Row],[Досрочное погашение (да/"")]]=""),0,
AND(S668=0,Первоначальный[[#This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платеж]]+Y668-SUM(Первоначальный[[#This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комиссиям]]),VLOOKUP(LOOKUP(,-1/($Z$12:Z669=1),$A$12:A669),График[[Срок конец]:[Возврат основной суммы долга]],3,0)),
AND(S668=0,Первоначальный[[#This Row],[Дата платежа из графика]]="",Первоначальный[[#This Row],[Досрочное погашение (да/"")]]&lt;&gt;"Да"),0,
AND(S668=0,Первоначальный[[#This Row],[Досрочное погашение (да/"")]]=""),MIN(Первоначальный[[#This Row],[Полученный платеж]]+Y668-SUM(Первоначальный[[#This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комиссиям]]),VLOOKUP(LOOKUP(,-1/($Z$12:Z669=1),$A$12:A669),График[[Срок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платеж]]+Y668-SUM(Первоначальный[[#This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S668&gt;0,MIN(Первоначальный[[#This Row],[Полученный платеж]]+Y668-SUM(Первоначальный[[#This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комиссиям]]),SUM(INDIRECT("M"&amp;(MAX((1=S$12:S668)*ROW(S$12:S668),ROW($W$12))&amp;":M"&amp;(ROW()))))-SUM(INDIRECT("W"&amp;(MAX((1=S$12:S668)*ROW(S$12:S668),ROW($W$12))&amp;":W"&amp;(ROW()-1)))))
)
)</f>
        <v>0</v>
      </c>
      <c r="X669" s="55">
        <f t="shared" ca="1" si="122"/>
        <v>0</v>
      </c>
      <c r="Y669" s="101">
        <f t="shared" ca="1" si="129"/>
        <v>0</v>
      </c>
      <c r="Z669" s="133" t="str">
        <f>IF(TYPE((VLOOKUP(Первоначальный[[#This Row],[Дата платежа]],График[Срок конец],1,0)))=16,"",1)</f>
        <v/>
      </c>
      <c r="AA669" s="57"/>
      <c r="AB669" s="134"/>
      <c r="AC66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6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47115.739999999947</v>
      </c>
      <c r="AE66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1411.5400000000011</v>
      </c>
      <c r="AF66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6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80412.119352459034</v>
      </c>
      <c r="AH669" s="55"/>
      <c r="AI669" s="55"/>
      <c r="AJ669" s="55"/>
      <c r="AK669" s="101">
        <f t="shared" ca="1" si="130"/>
        <v>278572.73935245897</v>
      </c>
      <c r="AL669" s="129">
        <f t="array" ref="AL669">MAX((УслРестрактов[Характеристика]="Дата реструктуризации")*(УслРестрактов[Значение]=Первоначальный!$A669),0)</f>
        <v>0</v>
      </c>
    </row>
    <row r="670" spans="1:38" x14ac:dyDescent="0.25">
      <c r="A670" s="97">
        <f t="shared" si="123"/>
        <v>44801</v>
      </c>
      <c r="B670" s="100">
        <f t="shared" ca="1" si="124"/>
        <v>149633.34</v>
      </c>
      <c r="C670" s="55">
        <f t="shared" ca="1" si="132"/>
        <v>47115.739999999947</v>
      </c>
      <c r="D670" s="55">
        <f t="shared" ca="1" si="132"/>
        <v>1411.5400000000011</v>
      </c>
      <c r="E670" s="55">
        <f t="shared" ca="1" si="125"/>
        <v>0</v>
      </c>
      <c r="F670" s="55">
        <f t="shared" ca="1" si="126"/>
        <v>80412.119352459034</v>
      </c>
      <c r="G670" s="101">
        <f t="shared" ca="1" si="127"/>
        <v>278572.73935245897</v>
      </c>
      <c r="H670" s="100">
        <f ca="1">ROUND($B670*VLOOKUP($A670,$A$1:$B$10,2,1)/(365+IF(MOD(YEAR($A670),4),0,1)*($A670-$A669)),2)-Первоначальный[[#This Row],[Проценты на просроченный платеж по ОД за период]]</f>
        <v>76.509999999999991</v>
      </c>
      <c r="I670" s="55">
        <f t="shared" ca="1" si="128"/>
        <v>5.07</v>
      </c>
      <c r="J670" s="55">
        <v>0</v>
      </c>
      <c r="K670" s="55">
        <f t="shared" ca="1" si="131"/>
        <v>275.14850327868845</v>
      </c>
      <c r="L670" s="55">
        <v>0</v>
      </c>
      <c r="M670" s="113">
        <f>SUMIFS(График[Возврат основной суммы долга],График[Дата с учетом нерабочих дней],$A670)</f>
        <v>0</v>
      </c>
      <c r="N670" s="56">
        <f>SUMIFS(График[Возврат начисленных %],График[Дата с учетом нерабочих дней],$A670)</f>
        <v>0</v>
      </c>
      <c r="O670" s="101">
        <v>0</v>
      </c>
      <c r="P670" s="100" cm="1">
        <f t="array" aca="1" ref="P670" ca="1">MAX(IF(AA669="Да",0,SUM(INDIRECT("M"&amp;(MAX(("Да"=AA$12:AA669)*ROW(AA$12:AA669)+1,ROW($P$12))&amp;":M"&amp;(ROW()))))-SUM(INDIRECT("W"&amp;(MAX(("Да"=AA$12:AA669)*ROW(AA$12:AA669)+1,ROW($P$12))&amp;":W"&amp;(ROW()))))),0)</f>
        <v>9293.369999999999</v>
      </c>
      <c r="Q670" s="99">
        <f ca="1">MAX(SUM($N$13:N670)-SUM($T$13:T670),0)</f>
        <v>45736.330655737693</v>
      </c>
      <c r="R670" s="99">
        <f ca="1">Первоначальный[[#This Row],[Просроченный платеж по ОД]]+Первоначальный[[#This Row],[Просроченный платеж по процентам]]</f>
        <v>55029.700655737688</v>
      </c>
      <c r="S670" s="120">
        <f ca="1">IF(Первоначальный[[#This Row],[Просроченный платеж]]&lt;1,0,S669+1)</f>
        <v>566</v>
      </c>
      <c r="T670" s="100" cm="1">
        <f t="array" aca="1" ref="T670" ca="1">IF(Первоначальный[[#This Row],[Итого остаток на начало периода]]&lt;1,0,
IF(
AND(TYPE(VLOOKUP(1,$Z$12:Z670,1,0))=16,Первоначальный[[#This Row],[Досрочное погашение (да/"")]]=""),0,
_xlfn.IFS(AND(S669=0,Первоначальный[[#This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платеж]]&lt;&gt;0),MIN(LOOKUP(,-1/($Z$12:Z670=1),$C$12:C670)+LOOKUP(,-1/($Z$12:Z670=1),$H$12:H670),Первоначальный[[#This Row],[Полученный платеж]]+Y669),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платеж]]+Y669,SUM(Первоначальный[[#This Row],[Остаток процентов на начало периода]],Первоначальный[[#This Row],[Проценты за период]])),
AND(S669=0,Первоначальный[[#This Row],[Дата платежа из графика]]=""),0,
AND(S669=0,Первоначальный[[#This Row],[Дата платежа из графика]]=1,MAX((0&lt;&gt;S$12:S669)*ROW(S$12:S669),ROW($S$12))&gt;=MAX((1=Z$12:Z669)*ROW(Z$12:Z669),ROW($T$12)),TYPE(VLOOKUP("Да",(INDIRECT("AA"&amp;(MAX((1=Z$12:Z669)*ROW(Z$12:Z669),ROW($T$12))&amp;":AA"&amp;(ROW()-1)))),1,0))=16),MIN(LOOKUP(,-1/($Z$12:Z670=1),$C$12:C670)+LOOKUP(,-1/($Z$12:Z670=1),$H$12:H670),Первоначальный[[#This Row],[Полученный платеж]]+Y669),
AND(S669=0,TYPE(VLOOKUP("Да",(INDIRECT("AA"&amp;(MAX((1=Z$12:Z669)*ROW(Z$12:Z669),ROW($T$12))&amp;":AA"&amp;(ROW()-1)))),1,0))&lt;&gt;16),MIN(LOOKUP(,-1/($Z$12:Z670=1),$C$12:C670)+LOOKUP(,-1/($Z$12:Z670=1),$H$12:H670)-IF(AA669="Да",0,SUM(INDIRECT("T"&amp;(MAX(("Да"=AA$12:AA669)*ROW(AA$12:AA669)+1,ROW($T$12))&amp;":T"&amp;(ROW()-1))))),Первоначальный[[#This Row],[Полученный платеж]]+Y669),
AND(S669=0,MAX((0&lt;&gt;N$12:N669)*ROW(N$12:N669),ROW($S$12))&gt;=MAX((1=Z$12:Z669)*ROW(Z$12:Z669),ROW($T$12))),MIN(LOOKUP(,-1/($Z$12:Z670=1),$C$12:C670)+LOOKUP(,-1/($Z$12:Z670=1),$H$12:H670)-IF(N669&lt;&gt;0,0,SUM(INDIRECT("T"&amp;(MAX((0&lt;&gt;N$12:N669)*ROW(N$12:N669)+1,ROW($T$12))&amp;":T"&amp;(ROW()-1))))),Первоначальный[[#This Row],[Полученный платеж]]+Y669),
AND(S669=0,Первоначальный[[#This Row],[Дата платежа из графика]]=1),MIN(LOOKUP(,-1/($Z$12:Z670=1),$C$12:C670)+LOOKUP(,-1/($Z$12:Z670=1),$H$12:H670)-IF(Z669=1,0,SUM(INDIRECT("T"&amp;(MAX((1=Z$12:Z669)*ROW(Z$12:Z669)+1,ROW($T$12))&amp;":T"&amp;(ROW()-1))))),Первоначальный[[#This Row],[Полученный платеж]]+Y669),
AND(Z669&gt;0,Первоначальный[[#This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платеж]]+Y669),
AND(S669&gt;0,MAX((0&lt;&gt;S$12:S669)*ROW(S$12:S669),ROW($S$12))&gt;=MAX((1=Z$12:Z669)*ROW(Z$12:Z669),ROW($T$12)),TYPE(VLOOKUP("Да",(INDIRECT("AA"&amp;(MAX((1=Z$12:Z669)*ROW(Z$12:Z669),ROW($T$12))&amp;":AA"&amp;(ROW()-1)))),1,0))=16),MIN(LOOKUP(,-1/($Z$12:Z670=1),$C$12:C670)+LOOKUP(,-1/($Z$12:Z670=1),$H$12:H670)-SUM(INDIRECT("T"&amp;(MAX((1=Z$12:Z669)*ROW(Z$12:Z669),ROW($T$12))&amp;":T"&amp;(ROW()-1)))),Первоначальный[[#This Row],[Полученный платеж]]+Y669),
S669&gt;0,MIN(LOOKUP(,-1/($Z$12:Z670=1),$C$12:C670)+LOOKUP(,-1/($Z$12:Z670=1),$H$12:H670)-IF(Z669=1,0,SUM(INDIRECT("T"&amp;(MAX((1=Z$12:Z669)*ROW(Z$12:Z669)+1,ROW($T$12))&amp;":T"&amp;(ROW()-1))))),Первоначальный[[#This Row],[Полученный платеж]]+Y669)
)
)
)</f>
        <v>0</v>
      </c>
      <c r="U67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платеж]]+Y669-Первоначальный[[#This Row],[Полученный платёж по процентам]])</f>
        <v>0</v>
      </c>
      <c r="V670" s="55">
        <f t="shared" ca="1" si="121"/>
        <v>0</v>
      </c>
      <c r="W670" s="55" cm="1">
        <f t="array" aca="1" ref="W670" ca="1">IF(Первоначальный[[#This Row],[Итого остаток на начало периода]]&lt;1,0,
_xlfn.IFS(
AND(TYPE(VLOOKUP(1,$Z$12:Z670,1,0))=16,Первоначальный[[#This Row],[Досрочное погашение (да/"")]]=""),0,
AND(S669=0,Первоначальный[[#This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платеж]]+Y669-SUM(Первоначальный[[#This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комиссиям]]),VLOOKUP(LOOKUP(,-1/($Z$12:Z670=1),$A$12:A670),График[[Срок конец]:[Возврат основной суммы долга]],3,0)),
AND(S669=0,Первоначальный[[#This Row],[Дата платежа из графика]]="",Первоначальный[[#This Row],[Досрочное погашение (да/"")]]&lt;&gt;"Да"),0,
AND(S669=0,Первоначальный[[#This Row],[Досрочное погашение (да/"")]]=""),MIN(Первоначальный[[#This Row],[Полученный платеж]]+Y669-SUM(Первоначальный[[#This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комиссиям]]),VLOOKUP(LOOKUP(,-1/($Z$12:Z670=1),$A$12:A670),График[[Срок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платеж]]+Y669-SUM(Первоначальный[[#This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S669&gt;0,MIN(Первоначальный[[#This Row],[Полученный платеж]]+Y669-SUM(Первоначальный[[#This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комиссиям]]),SUM(INDIRECT("M"&amp;(MAX((1=S$12:S669)*ROW(S$12:S669),ROW($W$12))&amp;":M"&amp;(ROW()))))-SUM(INDIRECT("W"&amp;(MAX((1=S$12:S669)*ROW(S$12:S669),ROW($W$12))&amp;":W"&amp;(ROW()-1)))))
)
)</f>
        <v>0</v>
      </c>
      <c r="X670" s="55">
        <f t="shared" ca="1" si="122"/>
        <v>0</v>
      </c>
      <c r="Y670" s="101">
        <f t="shared" ca="1" si="129"/>
        <v>0</v>
      </c>
      <c r="Z670" s="133" t="str">
        <f>IF(TYPE((VLOOKUP(Первоначальный[[#This Row],[Дата платежа]],График[Срок конец],1,0)))=16,"",1)</f>
        <v/>
      </c>
      <c r="AA670" s="57"/>
      <c r="AB670" s="134"/>
      <c r="AC67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7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47192.249999999949</v>
      </c>
      <c r="AE67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1416.610000000001</v>
      </c>
      <c r="AF67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7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80687.267855737722</v>
      </c>
      <c r="AH670" s="55"/>
      <c r="AI670" s="55"/>
      <c r="AJ670" s="55"/>
      <c r="AK670" s="101">
        <f t="shared" ca="1" si="130"/>
        <v>278929.46785573766</v>
      </c>
      <c r="AL670" s="129">
        <f t="array" ref="AL670">MAX((УслРестрактов[Характеристика]="Дата реструктуризации")*(УслРестрактов[Значение]=Первоначальный!$A670),0)</f>
        <v>0</v>
      </c>
    </row>
    <row r="671" spans="1:38" x14ac:dyDescent="0.25">
      <c r="A671" s="97">
        <f t="shared" si="123"/>
        <v>44802</v>
      </c>
      <c r="B671" s="100">
        <f t="shared" ca="1" si="124"/>
        <v>149633.34</v>
      </c>
      <c r="C671" s="55">
        <f t="shared" ca="1" si="132"/>
        <v>47192.249999999949</v>
      </c>
      <c r="D671" s="55">
        <f t="shared" ca="1" si="132"/>
        <v>1416.610000000001</v>
      </c>
      <c r="E671" s="55">
        <f t="shared" ca="1" si="125"/>
        <v>0</v>
      </c>
      <c r="F671" s="55">
        <f t="shared" ca="1" si="126"/>
        <v>80687.267855737722</v>
      </c>
      <c r="G671" s="101">
        <f t="shared" ca="1" si="127"/>
        <v>278929.46785573766</v>
      </c>
      <c r="H671" s="100">
        <f ca="1">ROUND($B671*VLOOKUP($A671,$A$1:$B$10,2,1)/(365+IF(MOD(YEAR($A671),4),0,1)*($A671-$A670)),2)-Первоначальный[[#This Row],[Проценты на просроченный платеж по ОД за период]]</f>
        <v>76.509999999999991</v>
      </c>
      <c r="I671" s="55">
        <f t="shared" ca="1" si="128"/>
        <v>5.07</v>
      </c>
      <c r="J671" s="55">
        <v>0</v>
      </c>
      <c r="K671" s="55">
        <f t="shared" ca="1" si="131"/>
        <v>275.14850327868845</v>
      </c>
      <c r="L671" s="55">
        <v>0</v>
      </c>
      <c r="M671" s="113">
        <f>SUMIFS(График[Возврат основной суммы долга],График[Дата с учетом нерабочих дней],$A671)</f>
        <v>0</v>
      </c>
      <c r="N671" s="56">
        <f>SUMIFS(График[Возврат начисленных %],График[Дата с учетом нерабочих дней],$A671)</f>
        <v>0</v>
      </c>
      <c r="O671" s="101">
        <v>0</v>
      </c>
      <c r="P671" s="100" cm="1">
        <f t="array" aca="1" ref="P671" ca="1">MAX(IF(AA670="Да",0,SUM(INDIRECT("M"&amp;(MAX(("Да"=AA$12:AA670)*ROW(AA$12:AA670)+1,ROW($P$12))&amp;":M"&amp;(ROW()))))-SUM(INDIRECT("W"&amp;(MAX(("Да"=AA$12:AA670)*ROW(AA$12:AA670)+1,ROW($P$12))&amp;":W"&amp;(ROW()))))),0)</f>
        <v>9293.369999999999</v>
      </c>
      <c r="Q671" s="99">
        <f ca="1">MAX(SUM($N$13:N671)-SUM($T$13:T671),0)</f>
        <v>45736.330655737693</v>
      </c>
      <c r="R671" s="99">
        <f ca="1">Первоначальный[[#This Row],[Просроченный платеж по ОД]]+Первоначальный[[#This Row],[Просроченный платеж по процентам]]</f>
        <v>55029.700655737688</v>
      </c>
      <c r="S671" s="120">
        <f ca="1">IF(Первоначальный[[#This Row],[Просроченный платеж]]&lt;1,0,S670+1)</f>
        <v>567</v>
      </c>
      <c r="T671" s="100" cm="1">
        <f t="array" aca="1" ref="T671" ca="1">IF(Первоначальный[[#This Row],[Итого остаток на начало периода]]&lt;1,0,
IF(
AND(TYPE(VLOOKUP(1,$Z$12:Z671,1,0))=16,Первоначальный[[#This Row],[Досрочное погашение (да/"")]]=""),0,
_xlfn.IFS(AND(S670=0,Первоначальный[[#This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платеж]]&lt;&gt;0),MIN(LOOKUP(,-1/($Z$12:Z671=1),$C$12:C671)+LOOKUP(,-1/($Z$12:Z671=1),$H$12:H671),Первоначальный[[#This Row],[Полученный платеж]]+Y670),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платеж]]+Y670,SUM(Первоначальный[[#This Row],[Остаток процентов на начало периода]],Первоначальный[[#This Row],[Проценты за период]])),
AND(S670=0,Первоначальный[[#This Row],[Дата платежа из графика]]=""),0,
AND(S670=0,Первоначальный[[#This Row],[Дата платежа из графика]]=1,MAX((0&lt;&gt;S$12:S670)*ROW(S$12:S670),ROW($S$12))&gt;=MAX((1=Z$12:Z670)*ROW(Z$12:Z670),ROW($T$12)),TYPE(VLOOKUP("Да",(INDIRECT("AA"&amp;(MAX((1=Z$12:Z670)*ROW(Z$12:Z670),ROW($T$12))&amp;":AA"&amp;(ROW()-1)))),1,0))=16),MIN(LOOKUP(,-1/($Z$12:Z671=1),$C$12:C671)+LOOKUP(,-1/($Z$12:Z671=1),$H$12:H671),Первоначальный[[#This Row],[Полученный платеж]]+Y670),
AND(S670=0,TYPE(VLOOKUP("Да",(INDIRECT("AA"&amp;(MAX((1=Z$12:Z670)*ROW(Z$12:Z670),ROW($T$12))&amp;":AA"&amp;(ROW()-1)))),1,0))&lt;&gt;16),MIN(LOOKUP(,-1/($Z$12:Z671=1),$C$12:C671)+LOOKUP(,-1/($Z$12:Z671=1),$H$12:H671)-IF(AA670="Да",0,SUM(INDIRECT("T"&amp;(MAX(("Да"=AA$12:AA670)*ROW(AA$12:AA670)+1,ROW($T$12))&amp;":T"&amp;(ROW()-1))))),Первоначальный[[#This Row],[Полученный платеж]]+Y670),
AND(S670=0,MAX((0&lt;&gt;N$12:N670)*ROW(N$12:N670),ROW($S$12))&gt;=MAX((1=Z$12:Z670)*ROW(Z$12:Z670),ROW($T$12))),MIN(LOOKUP(,-1/($Z$12:Z671=1),$C$12:C671)+LOOKUP(,-1/($Z$12:Z671=1),$H$12:H671)-IF(N670&lt;&gt;0,0,SUM(INDIRECT("T"&amp;(MAX((0&lt;&gt;N$12:N670)*ROW(N$12:N670)+1,ROW($T$12))&amp;":T"&amp;(ROW()-1))))),Первоначальный[[#This Row],[Полученный платеж]]+Y670),
AND(S670=0,Первоначальный[[#This Row],[Дата платежа из графика]]=1),MIN(LOOKUP(,-1/($Z$12:Z671=1),$C$12:C671)+LOOKUP(,-1/($Z$12:Z671=1),$H$12:H671)-IF(Z670=1,0,SUM(INDIRECT("T"&amp;(MAX((1=Z$12:Z670)*ROW(Z$12:Z670)+1,ROW($T$12))&amp;":T"&amp;(ROW()-1))))),Первоначальный[[#This Row],[Полученный платеж]]+Y670),
AND(Z670&gt;0,Первоначальный[[#This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платеж]]+Y670),
AND(S670&gt;0,MAX((0&lt;&gt;S$12:S670)*ROW(S$12:S670),ROW($S$12))&gt;=MAX((1=Z$12:Z670)*ROW(Z$12:Z670),ROW($T$12)),TYPE(VLOOKUP("Да",(INDIRECT("AA"&amp;(MAX((1=Z$12:Z670)*ROW(Z$12:Z670),ROW($T$12))&amp;":AA"&amp;(ROW()-1)))),1,0))=16),MIN(LOOKUP(,-1/($Z$12:Z671=1),$C$12:C671)+LOOKUP(,-1/($Z$12:Z671=1),$H$12:H671)-SUM(INDIRECT("T"&amp;(MAX((1=Z$12:Z670)*ROW(Z$12:Z670),ROW($T$12))&amp;":T"&amp;(ROW()-1)))),Первоначальный[[#This Row],[Полученный платеж]]+Y670),
S670&gt;0,MIN(LOOKUP(,-1/($Z$12:Z671=1),$C$12:C671)+LOOKUP(,-1/($Z$12:Z671=1),$H$12:H671)-IF(Z670=1,0,SUM(INDIRECT("T"&amp;(MAX((1=Z$12:Z670)*ROW(Z$12:Z670)+1,ROW($T$12))&amp;":T"&amp;(ROW()-1))))),Первоначальный[[#This Row],[Полученный платеж]]+Y670)
)
)
)</f>
        <v>0</v>
      </c>
      <c r="U67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платеж]]+Y670-Первоначальный[[#This Row],[Полученный платёж по процентам]])</f>
        <v>0</v>
      </c>
      <c r="V671" s="55">
        <f t="shared" ca="1" si="121"/>
        <v>0</v>
      </c>
      <c r="W671" s="55" cm="1">
        <f t="array" aca="1" ref="W671" ca="1">IF(Первоначальный[[#This Row],[Итого остаток на начало периода]]&lt;1,0,
_xlfn.IFS(
AND(TYPE(VLOOKUP(1,$Z$12:Z671,1,0))=16,Первоначальный[[#This Row],[Досрочное погашение (да/"")]]=""),0,
AND(S670=0,Первоначальный[[#This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платеж]]+Y670-SUM(Первоначальный[[#This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комиссиям]]),VLOOKUP(LOOKUP(,-1/($Z$12:Z671=1),$A$12:A671),График[[Срок конец]:[Возврат основной суммы долга]],3,0)),
AND(S670=0,Первоначальный[[#This Row],[Дата платежа из графика]]="",Первоначальный[[#This Row],[Досрочное погашение (да/"")]]&lt;&gt;"Да"),0,
AND(S670=0,Первоначальный[[#This Row],[Досрочное погашение (да/"")]]=""),MIN(Первоначальный[[#This Row],[Полученный платеж]]+Y670-SUM(Первоначальный[[#This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комиссиям]]),VLOOKUP(LOOKUP(,-1/($Z$12:Z671=1),$A$12:A671),График[[Срок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платеж]]+Y670-SUM(Первоначальный[[#This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S670&gt;0,MIN(Первоначальный[[#This Row],[Полученный платеж]]+Y670-SUM(Первоначальный[[#This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комиссиям]]),SUM(INDIRECT("M"&amp;(MAX((1=S$12:S670)*ROW(S$12:S670),ROW($W$12))&amp;":M"&amp;(ROW()))))-SUM(INDIRECT("W"&amp;(MAX((1=S$12:S670)*ROW(S$12:S670),ROW($W$12))&amp;":W"&amp;(ROW()-1)))))
)
)</f>
        <v>0</v>
      </c>
      <c r="X671" s="55">
        <f t="shared" ca="1" si="122"/>
        <v>0</v>
      </c>
      <c r="Y671" s="101">
        <f t="shared" ca="1" si="129"/>
        <v>0</v>
      </c>
      <c r="Z671" s="133" t="str">
        <f>IF(TYPE((VLOOKUP(Первоначальный[[#This Row],[Дата платежа]],График[Срок конец],1,0)))=16,"",1)</f>
        <v/>
      </c>
      <c r="AA671" s="57"/>
      <c r="AB671" s="134"/>
      <c r="AC67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7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47268.759999999951</v>
      </c>
      <c r="AE67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1421.680000000001</v>
      </c>
      <c r="AF67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7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80962.41635901641</v>
      </c>
      <c r="AH671" s="55"/>
      <c r="AI671" s="55"/>
      <c r="AJ671" s="55"/>
      <c r="AK671" s="101">
        <f t="shared" ca="1" si="130"/>
        <v>279286.19635901635</v>
      </c>
      <c r="AL671" s="129">
        <f t="array" ref="AL671">MAX((УслРестрактов[Характеристика]="Дата реструктуризации")*(УслРестрактов[Значение]=Первоначальный!$A671),0)</f>
        <v>0</v>
      </c>
    </row>
    <row r="672" spans="1:38" x14ac:dyDescent="0.25">
      <c r="A672" s="97">
        <f t="shared" si="123"/>
        <v>44803</v>
      </c>
      <c r="B672" s="100">
        <f t="shared" ca="1" si="124"/>
        <v>149633.34</v>
      </c>
      <c r="C672" s="55">
        <f t="shared" ca="1" si="132"/>
        <v>47268.759999999951</v>
      </c>
      <c r="D672" s="55">
        <f t="shared" ca="1" si="132"/>
        <v>1421.680000000001</v>
      </c>
      <c r="E672" s="55">
        <f t="shared" ca="1" si="125"/>
        <v>0</v>
      </c>
      <c r="F672" s="55">
        <f t="shared" ca="1" si="126"/>
        <v>80962.41635901641</v>
      </c>
      <c r="G672" s="101">
        <f t="shared" ca="1" si="127"/>
        <v>279286.19635901635</v>
      </c>
      <c r="H672" s="100">
        <f ca="1">ROUND($B672*VLOOKUP($A672,$A$1:$B$10,2,1)/(365+IF(MOD(YEAR($A672),4),0,1)*($A672-$A671)),2)-Первоначальный[[#This Row],[Проценты на просроченный платеж по ОД за период]]</f>
        <v>76.509999999999991</v>
      </c>
      <c r="I672" s="55">
        <f t="shared" ca="1" si="128"/>
        <v>5.07</v>
      </c>
      <c r="J672" s="55">
        <v>0</v>
      </c>
      <c r="K672" s="55">
        <f t="shared" ca="1" si="131"/>
        <v>275.14850327868845</v>
      </c>
      <c r="L672" s="55">
        <v>0</v>
      </c>
      <c r="M672" s="113">
        <f>SUMIFS(График[Возврат основной суммы долга],График[Дата с учетом нерабочих дней],$A672)</f>
        <v>0</v>
      </c>
      <c r="N672" s="56">
        <f>SUMIFS(График[Возврат начисленных %],График[Дата с учетом нерабочих дней],$A672)</f>
        <v>0</v>
      </c>
      <c r="O672" s="101">
        <v>0</v>
      </c>
      <c r="P672" s="100" cm="1">
        <f t="array" aca="1" ref="P672" ca="1">MAX(IF(AA671="Да",0,SUM(INDIRECT("M"&amp;(MAX(("Да"=AA$12:AA671)*ROW(AA$12:AA671)+1,ROW($P$12))&amp;":M"&amp;(ROW()))))-SUM(INDIRECT("W"&amp;(MAX(("Да"=AA$12:AA671)*ROW(AA$12:AA671)+1,ROW($P$12))&amp;":W"&amp;(ROW()))))),0)</f>
        <v>9293.369999999999</v>
      </c>
      <c r="Q672" s="99">
        <f ca="1">MAX(SUM($N$13:N672)-SUM($T$13:T672),0)</f>
        <v>45736.330655737693</v>
      </c>
      <c r="R672" s="99">
        <f ca="1">Первоначальный[[#This Row],[Просроченный платеж по ОД]]+Первоначальный[[#This Row],[Просроченный платеж по процентам]]</f>
        <v>55029.700655737688</v>
      </c>
      <c r="S672" s="120">
        <f ca="1">IF(Первоначальный[[#This Row],[Просроченный платеж]]&lt;1,0,S671+1)</f>
        <v>568</v>
      </c>
      <c r="T672" s="100" cm="1">
        <f t="array" aca="1" ref="T672" ca="1">IF(Первоначальный[[#This Row],[Итого остаток на начало периода]]&lt;1,0,
IF(
AND(TYPE(VLOOKUP(1,$Z$12:Z672,1,0))=16,Первоначальный[[#This Row],[Досрочное погашение (да/"")]]=""),0,
_xlfn.IFS(AND(S671=0,Первоначальный[[#This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платеж]]&lt;&gt;0),MIN(LOOKUP(,-1/($Z$12:Z672=1),$C$12:C672)+LOOKUP(,-1/($Z$12:Z672=1),$H$12:H672),Первоначальный[[#This Row],[Полученный платеж]]+Y671),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платеж]]+Y671,SUM(Первоначальный[[#This Row],[Остаток процентов на начало периода]],Первоначальный[[#This Row],[Проценты за период]])),
AND(S671=0,Первоначальный[[#This Row],[Дата платежа из графика]]=""),0,
AND(S671=0,Первоначальный[[#This Row],[Дата платежа из графика]]=1,MAX((0&lt;&gt;S$12:S671)*ROW(S$12:S671),ROW($S$12))&gt;=MAX((1=Z$12:Z671)*ROW(Z$12:Z671),ROW($T$12)),TYPE(VLOOKUP("Да",(INDIRECT("AA"&amp;(MAX((1=Z$12:Z671)*ROW(Z$12:Z671),ROW($T$12))&amp;":AA"&amp;(ROW()-1)))),1,0))=16),MIN(LOOKUP(,-1/($Z$12:Z672=1),$C$12:C672)+LOOKUP(,-1/($Z$12:Z672=1),$H$12:H672),Первоначальный[[#This Row],[Полученный платеж]]+Y671),
AND(S671=0,TYPE(VLOOKUP("Да",(INDIRECT("AA"&amp;(MAX((1=Z$12:Z671)*ROW(Z$12:Z671),ROW($T$12))&amp;":AA"&amp;(ROW()-1)))),1,0))&lt;&gt;16),MIN(LOOKUP(,-1/($Z$12:Z672=1),$C$12:C672)+LOOKUP(,-1/($Z$12:Z672=1),$H$12:H672)-IF(AA671="Да",0,SUM(INDIRECT("T"&amp;(MAX(("Да"=AA$12:AA671)*ROW(AA$12:AA671)+1,ROW($T$12))&amp;":T"&amp;(ROW()-1))))),Первоначальный[[#This Row],[Полученный платеж]]+Y671),
AND(S671=0,MAX((0&lt;&gt;N$12:N671)*ROW(N$12:N671),ROW($S$12))&gt;=MAX((1=Z$12:Z671)*ROW(Z$12:Z671),ROW($T$12))),MIN(LOOKUP(,-1/($Z$12:Z672=1),$C$12:C672)+LOOKUP(,-1/($Z$12:Z672=1),$H$12:H672)-IF(N671&lt;&gt;0,0,SUM(INDIRECT("T"&amp;(MAX((0&lt;&gt;N$12:N671)*ROW(N$12:N671)+1,ROW($T$12))&amp;":T"&amp;(ROW()-1))))),Первоначальный[[#This Row],[Полученный платеж]]+Y671),
AND(S671=0,Первоначальный[[#This Row],[Дата платежа из графика]]=1),MIN(LOOKUP(,-1/($Z$12:Z672=1),$C$12:C672)+LOOKUP(,-1/($Z$12:Z672=1),$H$12:H672)-IF(Z671=1,0,SUM(INDIRECT("T"&amp;(MAX((1=Z$12:Z671)*ROW(Z$12:Z671)+1,ROW($T$12))&amp;":T"&amp;(ROW()-1))))),Первоначальный[[#This Row],[Полученный платеж]]+Y671),
AND(Z671&gt;0,Первоначальный[[#This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платеж]]+Y671),
AND(S671&gt;0,MAX((0&lt;&gt;S$12:S671)*ROW(S$12:S671),ROW($S$12))&gt;=MAX((1=Z$12:Z671)*ROW(Z$12:Z671),ROW($T$12)),TYPE(VLOOKUP("Да",(INDIRECT("AA"&amp;(MAX((1=Z$12:Z671)*ROW(Z$12:Z671),ROW($T$12))&amp;":AA"&amp;(ROW()-1)))),1,0))=16),MIN(LOOKUP(,-1/($Z$12:Z672=1),$C$12:C672)+LOOKUP(,-1/($Z$12:Z672=1),$H$12:H672)-SUM(INDIRECT("T"&amp;(MAX((1=Z$12:Z671)*ROW(Z$12:Z671),ROW($T$12))&amp;":T"&amp;(ROW()-1)))),Первоначальный[[#This Row],[Полученный платеж]]+Y671),
S671&gt;0,MIN(LOOKUP(,-1/($Z$12:Z672=1),$C$12:C672)+LOOKUP(,-1/($Z$12:Z672=1),$H$12:H672)-IF(Z671=1,0,SUM(INDIRECT("T"&amp;(MAX((1=Z$12:Z671)*ROW(Z$12:Z671)+1,ROW($T$12))&amp;":T"&amp;(ROW()-1))))),Первоначальный[[#This Row],[Полученный платеж]]+Y671)
)
)
)</f>
        <v>0</v>
      </c>
      <c r="U67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платеж]]+Y671-Первоначальный[[#This Row],[Полученный платёж по процентам]])</f>
        <v>0</v>
      </c>
      <c r="V672" s="55">
        <f t="shared" ca="1" si="121"/>
        <v>0</v>
      </c>
      <c r="W672" s="55" cm="1">
        <f t="array" aca="1" ref="W672" ca="1">IF(Первоначальный[[#This Row],[Итого остаток на начало периода]]&lt;1,0,
_xlfn.IFS(
AND(TYPE(VLOOKUP(1,$Z$12:Z672,1,0))=16,Первоначальный[[#This Row],[Досрочное погашение (да/"")]]=""),0,
AND(S671=0,Первоначальный[[#This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платеж]]+Y671-SUM(Первоначальный[[#This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комиссиям]]),VLOOKUP(LOOKUP(,-1/($Z$12:Z672=1),$A$12:A672),График[[Срок конец]:[Возврат основной суммы долга]],3,0)),
AND(S671=0,Первоначальный[[#This Row],[Дата платежа из графика]]="",Первоначальный[[#This Row],[Досрочное погашение (да/"")]]&lt;&gt;"Да"),0,
AND(S671=0,Первоначальный[[#This Row],[Досрочное погашение (да/"")]]=""),MIN(Первоначальный[[#This Row],[Полученный платеж]]+Y671-SUM(Первоначальный[[#This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комиссиям]]),VLOOKUP(LOOKUP(,-1/($Z$12:Z672=1),$A$12:A672),График[[Срок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платеж]]+Y671-SUM(Первоначальный[[#This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S671&gt;0,MIN(Первоначальный[[#This Row],[Полученный платеж]]+Y671-SUM(Первоначальный[[#This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комиссиям]]),SUM(INDIRECT("M"&amp;(MAX((1=S$12:S671)*ROW(S$12:S671),ROW($W$12))&amp;":M"&amp;(ROW()))))-SUM(INDIRECT("W"&amp;(MAX((1=S$12:S671)*ROW(S$12:S671),ROW($W$12))&amp;":W"&amp;(ROW()-1)))))
)
)</f>
        <v>0</v>
      </c>
      <c r="X672" s="55">
        <f t="shared" ca="1" si="122"/>
        <v>0</v>
      </c>
      <c r="Y672" s="101">
        <f t="shared" ca="1" si="129"/>
        <v>0</v>
      </c>
      <c r="Z672" s="133" t="str">
        <f>IF(TYPE((VLOOKUP(Первоначальный[[#This Row],[Дата платежа]],График[Срок конец],1,0)))=16,"",1)</f>
        <v/>
      </c>
      <c r="AA672" s="57"/>
      <c r="AB672" s="134"/>
      <c r="AC67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7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47345.269999999953</v>
      </c>
      <c r="AE67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1426.7500000000009</v>
      </c>
      <c r="AF67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7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81237.564862295098</v>
      </c>
      <c r="AH672" s="55"/>
      <c r="AI672" s="55"/>
      <c r="AJ672" s="55"/>
      <c r="AK672" s="101">
        <f t="shared" ca="1" si="130"/>
        <v>279642.92486229504</v>
      </c>
      <c r="AL672" s="129">
        <f t="array" ref="AL672">MAX((УслРестрактов[Характеристика]="Дата реструктуризации")*(УслРестрактов[Значение]=Первоначальный!$A672),0)</f>
        <v>0</v>
      </c>
    </row>
    <row r="673" spans="1:38" x14ac:dyDescent="0.25">
      <c r="A673" s="97">
        <f t="shared" si="123"/>
        <v>44804</v>
      </c>
      <c r="B673" s="100">
        <f t="shared" ca="1" si="124"/>
        <v>149633.34</v>
      </c>
      <c r="C673" s="55">
        <f t="shared" ca="1" si="132"/>
        <v>47345.269999999953</v>
      </c>
      <c r="D673" s="55">
        <f t="shared" ca="1" si="132"/>
        <v>1426.7500000000009</v>
      </c>
      <c r="E673" s="55">
        <f t="shared" ca="1" si="125"/>
        <v>0</v>
      </c>
      <c r="F673" s="55">
        <f t="shared" ca="1" si="126"/>
        <v>81237.564862295098</v>
      </c>
      <c r="G673" s="101">
        <f t="shared" ca="1" si="127"/>
        <v>279642.92486229504</v>
      </c>
      <c r="H673" s="100">
        <f ca="1">ROUND($B673*VLOOKUP($A673,$A$1:$B$10,2,1)/(365+IF(MOD(YEAR($A673),4),0,1)*($A673-$A672)),2)-Первоначальный[[#This Row],[Проценты на просроченный платеж по ОД за период]]</f>
        <v>76.509999999999991</v>
      </c>
      <c r="I673" s="55">
        <f t="shared" ca="1" si="128"/>
        <v>5.07</v>
      </c>
      <c r="J673" s="55">
        <v>0</v>
      </c>
      <c r="K673" s="55">
        <f t="shared" ca="1" si="131"/>
        <v>275.14850327868845</v>
      </c>
      <c r="L673" s="55">
        <v>0</v>
      </c>
      <c r="M673" s="113">
        <f>SUMIFS(График[Возврат основной суммы долга],График[Дата с учетом нерабочих дней],$A673)</f>
        <v>0</v>
      </c>
      <c r="N673" s="56">
        <f>SUMIFS(График[Возврат начисленных %],График[Дата с учетом нерабочих дней],$A673)</f>
        <v>0</v>
      </c>
      <c r="O673" s="101">
        <v>0</v>
      </c>
      <c r="P673" s="100" cm="1">
        <f t="array" aca="1" ref="P673" ca="1">MAX(IF(AA672="Да",0,SUM(INDIRECT("M"&amp;(MAX(("Да"=AA$12:AA672)*ROW(AA$12:AA672)+1,ROW($P$12))&amp;":M"&amp;(ROW()))))-SUM(INDIRECT("W"&amp;(MAX(("Да"=AA$12:AA672)*ROW(AA$12:AA672)+1,ROW($P$12))&amp;":W"&amp;(ROW()))))),0)</f>
        <v>9293.369999999999</v>
      </c>
      <c r="Q673" s="99">
        <f ca="1">MAX(SUM($N$13:N673)-SUM($T$13:T673),0)</f>
        <v>45736.330655737693</v>
      </c>
      <c r="R673" s="99">
        <f ca="1">Первоначальный[[#This Row],[Просроченный платеж по ОД]]+Первоначальный[[#This Row],[Просроченный платеж по процентам]]</f>
        <v>55029.700655737688</v>
      </c>
      <c r="S673" s="120">
        <f ca="1">IF(Первоначальный[[#This Row],[Просроченный платеж]]&lt;1,0,S672+1)</f>
        <v>569</v>
      </c>
      <c r="T673" s="100" cm="1">
        <f t="array" aca="1" ref="T673" ca="1">IF(Первоначальный[[#This Row],[Итого остаток на начало периода]]&lt;1,0,
IF(
AND(TYPE(VLOOKUP(1,$Z$12:Z673,1,0))=16,Первоначальный[[#This Row],[Досрочное погашение (да/"")]]=""),0,
_xlfn.IFS(AND(S672=0,Первоначальный[[#This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платеж]]&lt;&gt;0),MIN(LOOKUP(,-1/($Z$12:Z673=1),$C$12:C673)+LOOKUP(,-1/($Z$12:Z673=1),$H$12:H673),Первоначальный[[#This Row],[Полученный платеж]]+Y672),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платеж]]+Y672,SUM(Первоначальный[[#This Row],[Остаток процентов на начало периода]],Первоначальный[[#This Row],[Проценты за период]])),
AND(S672=0,Первоначальный[[#This Row],[Дата платежа из графика]]=""),0,
AND(S672=0,Первоначальный[[#This Row],[Дата платежа из графика]]=1,MAX((0&lt;&gt;S$12:S672)*ROW(S$12:S672),ROW($S$12))&gt;=MAX((1=Z$12:Z672)*ROW(Z$12:Z672),ROW($T$12)),TYPE(VLOOKUP("Да",(INDIRECT("AA"&amp;(MAX((1=Z$12:Z672)*ROW(Z$12:Z672),ROW($T$12))&amp;":AA"&amp;(ROW()-1)))),1,0))=16),MIN(LOOKUP(,-1/($Z$12:Z673=1),$C$12:C673)+LOOKUP(,-1/($Z$12:Z673=1),$H$12:H673),Первоначальный[[#This Row],[Полученный платеж]]+Y672),
AND(S672=0,TYPE(VLOOKUP("Да",(INDIRECT("AA"&amp;(MAX((1=Z$12:Z672)*ROW(Z$12:Z672),ROW($T$12))&amp;":AA"&amp;(ROW()-1)))),1,0))&lt;&gt;16),MIN(LOOKUP(,-1/($Z$12:Z673=1),$C$12:C673)+LOOKUP(,-1/($Z$12:Z673=1),$H$12:H673)-IF(AA672="Да",0,SUM(INDIRECT("T"&amp;(MAX(("Да"=AA$12:AA672)*ROW(AA$12:AA672)+1,ROW($T$12))&amp;":T"&amp;(ROW()-1))))),Первоначальный[[#This Row],[Полученный платеж]]+Y672),
AND(S672=0,MAX((0&lt;&gt;N$12:N672)*ROW(N$12:N672),ROW($S$12))&gt;=MAX((1=Z$12:Z672)*ROW(Z$12:Z672),ROW($T$12))),MIN(LOOKUP(,-1/($Z$12:Z673=1),$C$12:C673)+LOOKUP(,-1/($Z$12:Z673=1),$H$12:H673)-IF(N672&lt;&gt;0,0,SUM(INDIRECT("T"&amp;(MAX((0&lt;&gt;N$12:N672)*ROW(N$12:N672)+1,ROW($T$12))&amp;":T"&amp;(ROW()-1))))),Первоначальный[[#This Row],[Полученный платеж]]+Y672),
AND(S672=0,Первоначальный[[#This Row],[Дата платежа из графика]]=1),MIN(LOOKUP(,-1/($Z$12:Z673=1),$C$12:C673)+LOOKUP(,-1/($Z$12:Z673=1),$H$12:H673)-IF(Z672=1,0,SUM(INDIRECT("T"&amp;(MAX((1=Z$12:Z672)*ROW(Z$12:Z672)+1,ROW($T$12))&amp;":T"&amp;(ROW()-1))))),Первоначальный[[#This Row],[Полученный платеж]]+Y672),
AND(Z672&gt;0,Первоначальный[[#This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платеж]]+Y672),
AND(S672&gt;0,MAX((0&lt;&gt;S$12:S672)*ROW(S$12:S672),ROW($S$12))&gt;=MAX((1=Z$12:Z672)*ROW(Z$12:Z672),ROW($T$12)),TYPE(VLOOKUP("Да",(INDIRECT("AA"&amp;(MAX((1=Z$12:Z672)*ROW(Z$12:Z672),ROW($T$12))&amp;":AA"&amp;(ROW()-1)))),1,0))=16),MIN(LOOKUP(,-1/($Z$12:Z673=1),$C$12:C673)+LOOKUP(,-1/($Z$12:Z673=1),$H$12:H673)-SUM(INDIRECT("T"&amp;(MAX((1=Z$12:Z672)*ROW(Z$12:Z672),ROW($T$12))&amp;":T"&amp;(ROW()-1)))),Первоначальный[[#This Row],[Полученный платеж]]+Y672),
S672&gt;0,MIN(LOOKUP(,-1/($Z$12:Z673=1),$C$12:C673)+LOOKUP(,-1/($Z$12:Z673=1),$H$12:H673)-IF(Z672=1,0,SUM(INDIRECT("T"&amp;(MAX((1=Z$12:Z672)*ROW(Z$12:Z672)+1,ROW($T$12))&amp;":T"&amp;(ROW()-1))))),Первоначальный[[#This Row],[Полученный платеж]]+Y672)
)
)
)</f>
        <v>0</v>
      </c>
      <c r="U67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платеж]]+Y672-Первоначальный[[#This Row],[Полученный платёж по процентам]])</f>
        <v>0</v>
      </c>
      <c r="V673" s="55">
        <f t="shared" ca="1" si="121"/>
        <v>0</v>
      </c>
      <c r="W673" s="55" cm="1">
        <f t="array" aca="1" ref="W673" ca="1">IF(Первоначальный[[#This Row],[Итого остаток на начало периода]]&lt;1,0,
_xlfn.IFS(
AND(TYPE(VLOOKUP(1,$Z$12:Z673,1,0))=16,Первоначальный[[#This Row],[Досрочное погашение (да/"")]]=""),0,
AND(S672=0,Первоначальный[[#This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платеж]]+Y672-SUM(Первоначальный[[#This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комиссиям]]),VLOOKUP(LOOKUP(,-1/($Z$12:Z673=1),$A$12:A673),График[[Срок конец]:[Возврат основной суммы долга]],3,0)),
AND(S672=0,Первоначальный[[#This Row],[Дата платежа из графика]]="",Первоначальный[[#This Row],[Досрочное погашение (да/"")]]&lt;&gt;"Да"),0,
AND(S672=0,Первоначальный[[#This Row],[Досрочное погашение (да/"")]]=""),MIN(Первоначальный[[#This Row],[Полученный платеж]]+Y672-SUM(Первоначальный[[#This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комиссиям]]),VLOOKUP(LOOKUP(,-1/($Z$12:Z673=1),$A$12:A673),График[[Срок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платеж]]+Y672-SUM(Первоначальный[[#This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S672&gt;0,MIN(Первоначальный[[#This Row],[Полученный платеж]]+Y672-SUM(Первоначальный[[#This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комиссиям]]),SUM(INDIRECT("M"&amp;(MAX((1=S$12:S672)*ROW(S$12:S672),ROW($W$12))&amp;":M"&amp;(ROW()))))-SUM(INDIRECT("W"&amp;(MAX((1=S$12:S672)*ROW(S$12:S672),ROW($W$12))&amp;":W"&amp;(ROW()-1)))))
)
)</f>
        <v>0</v>
      </c>
      <c r="X673" s="55">
        <f t="shared" ca="1" si="122"/>
        <v>0</v>
      </c>
      <c r="Y673" s="101">
        <f t="shared" ca="1" si="129"/>
        <v>0</v>
      </c>
      <c r="Z673" s="133" t="str">
        <f>IF(TYPE((VLOOKUP(Первоначальный[[#This Row],[Дата платежа]],График[Срок конец],1,0)))=16,"",1)</f>
        <v/>
      </c>
      <c r="AA673" s="57"/>
      <c r="AB673" s="134"/>
      <c r="AC67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7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47421.779999999955</v>
      </c>
      <c r="AE67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1431.8200000000008</v>
      </c>
      <c r="AF67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7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81512.713365573785</v>
      </c>
      <c r="AH673" s="55"/>
      <c r="AI673" s="55"/>
      <c r="AJ673" s="55"/>
      <c r="AK673" s="101">
        <f t="shared" ca="1" si="130"/>
        <v>279999.65336557373</v>
      </c>
      <c r="AL673" s="129">
        <f t="array" ref="AL673">MAX((УслРестрактов[Характеристика]="Дата реструктуризации")*(УслРестрактов[Значение]=Первоначальный!$A673),0)</f>
        <v>0</v>
      </c>
    </row>
    <row r="674" spans="1:38" x14ac:dyDescent="0.25">
      <c r="A674" s="97">
        <f t="shared" si="123"/>
        <v>44805</v>
      </c>
      <c r="B674" s="100">
        <f t="shared" ca="1" si="124"/>
        <v>149633.34</v>
      </c>
      <c r="C674" s="55">
        <f t="shared" ca="1" si="132"/>
        <v>47421.779999999955</v>
      </c>
      <c r="D674" s="55">
        <f t="shared" ca="1" si="132"/>
        <v>1431.8200000000008</v>
      </c>
      <c r="E674" s="55">
        <f t="shared" ca="1" si="125"/>
        <v>0</v>
      </c>
      <c r="F674" s="55">
        <f t="shared" ca="1" si="126"/>
        <v>81512.713365573785</v>
      </c>
      <c r="G674" s="101">
        <f t="shared" ca="1" si="127"/>
        <v>279999.65336557373</v>
      </c>
      <c r="H674" s="100">
        <f ca="1">ROUND($B674*VLOOKUP($A674,$A$1:$B$10,2,1)/(365+IF(MOD(YEAR($A674),4),0,1)*($A674-$A673)),2)-Первоначальный[[#This Row],[Проценты на просроченный платеж по ОД за период]]</f>
        <v>76.509999999999991</v>
      </c>
      <c r="I674" s="55">
        <f t="shared" ca="1" si="128"/>
        <v>5.07</v>
      </c>
      <c r="J674" s="55">
        <v>0</v>
      </c>
      <c r="K674" s="55">
        <f t="shared" ca="1" si="131"/>
        <v>275.14850327868845</v>
      </c>
      <c r="L674" s="55">
        <v>0</v>
      </c>
      <c r="M674" s="113">
        <f>SUMIFS(График[Возврат основной суммы долга],График[Дата с учетом нерабочих дней],$A674)</f>
        <v>0</v>
      </c>
      <c r="N674" s="56">
        <f>SUMIFS(График[Возврат начисленных %],График[Дата с учетом нерабочих дней],$A674)</f>
        <v>0</v>
      </c>
      <c r="O674" s="101">
        <v>0</v>
      </c>
      <c r="P674" s="100" cm="1">
        <f t="array" aca="1" ref="P674" ca="1">MAX(IF(AA673="Да",0,SUM(INDIRECT("M"&amp;(MAX(("Да"=AA$12:AA673)*ROW(AA$12:AA673)+1,ROW($P$12))&amp;":M"&amp;(ROW()))))-SUM(INDIRECT("W"&amp;(MAX(("Да"=AA$12:AA673)*ROW(AA$12:AA673)+1,ROW($P$12))&amp;":W"&amp;(ROW()))))),0)</f>
        <v>9293.369999999999</v>
      </c>
      <c r="Q674" s="99">
        <f ca="1">MAX(SUM($N$13:N674)-SUM($T$13:T674),0)</f>
        <v>45736.330655737693</v>
      </c>
      <c r="R674" s="99">
        <f ca="1">Первоначальный[[#This Row],[Просроченный платеж по ОД]]+Первоначальный[[#This Row],[Просроченный платеж по процентам]]</f>
        <v>55029.700655737688</v>
      </c>
      <c r="S674" s="120">
        <f ca="1">IF(Первоначальный[[#This Row],[Просроченный платеж]]&lt;1,0,S673+1)</f>
        <v>570</v>
      </c>
      <c r="T674" s="100" cm="1">
        <f t="array" aca="1" ref="T674" ca="1">IF(Первоначальный[[#This Row],[Итого остаток на начало периода]]&lt;1,0,
IF(
AND(TYPE(VLOOKUP(1,$Z$12:Z674,1,0))=16,Первоначальный[[#This Row],[Досрочное погашение (да/"")]]=""),0,
_xlfn.IFS(AND(S673=0,Первоначальный[[#This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платеж]]&lt;&gt;0),MIN(LOOKUP(,-1/($Z$12:Z674=1),$C$12:C674)+LOOKUP(,-1/($Z$12:Z674=1),$H$12:H674),Первоначальный[[#This Row],[Полученный платеж]]+Y673),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платеж]]+Y673,SUM(Первоначальный[[#This Row],[Остаток процентов на начало периода]],Первоначальный[[#This Row],[Проценты за период]])),
AND(S673=0,Первоначальный[[#This Row],[Дата платежа из графика]]=""),0,
AND(S673=0,Первоначальный[[#This Row],[Дата платежа из графика]]=1,MAX((0&lt;&gt;S$12:S673)*ROW(S$12:S673),ROW($S$12))&gt;=MAX((1=Z$12:Z673)*ROW(Z$12:Z673),ROW($T$12)),TYPE(VLOOKUP("Да",(INDIRECT("AA"&amp;(MAX((1=Z$12:Z673)*ROW(Z$12:Z673),ROW($T$12))&amp;":AA"&amp;(ROW()-1)))),1,0))=16),MIN(LOOKUP(,-1/($Z$12:Z674=1),$C$12:C674)+LOOKUP(,-1/($Z$12:Z674=1),$H$12:H674),Первоначальный[[#This Row],[Полученный платеж]]+Y673),
AND(S673=0,TYPE(VLOOKUP("Да",(INDIRECT("AA"&amp;(MAX((1=Z$12:Z673)*ROW(Z$12:Z673),ROW($T$12))&amp;":AA"&amp;(ROW()-1)))),1,0))&lt;&gt;16),MIN(LOOKUP(,-1/($Z$12:Z674=1),$C$12:C674)+LOOKUP(,-1/($Z$12:Z674=1),$H$12:H674)-IF(AA673="Да",0,SUM(INDIRECT("T"&amp;(MAX(("Да"=AA$12:AA673)*ROW(AA$12:AA673)+1,ROW($T$12))&amp;":T"&amp;(ROW()-1))))),Первоначальный[[#This Row],[Полученный платеж]]+Y673),
AND(S673=0,MAX((0&lt;&gt;N$12:N673)*ROW(N$12:N673),ROW($S$12))&gt;=MAX((1=Z$12:Z673)*ROW(Z$12:Z673),ROW($T$12))),MIN(LOOKUP(,-1/($Z$12:Z674=1),$C$12:C674)+LOOKUP(,-1/($Z$12:Z674=1),$H$12:H674)-IF(N673&lt;&gt;0,0,SUM(INDIRECT("T"&amp;(MAX((0&lt;&gt;N$12:N673)*ROW(N$12:N673)+1,ROW($T$12))&amp;":T"&amp;(ROW()-1))))),Первоначальный[[#This Row],[Полученный платеж]]+Y673),
AND(S673=0,Первоначальный[[#This Row],[Дата платежа из графика]]=1),MIN(LOOKUP(,-1/($Z$12:Z674=1),$C$12:C674)+LOOKUP(,-1/($Z$12:Z674=1),$H$12:H674)-IF(Z673=1,0,SUM(INDIRECT("T"&amp;(MAX((1=Z$12:Z673)*ROW(Z$12:Z673)+1,ROW($T$12))&amp;":T"&amp;(ROW()-1))))),Первоначальный[[#This Row],[Полученный платеж]]+Y673),
AND(Z673&gt;0,Первоначальный[[#This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платеж]]+Y673),
AND(S673&gt;0,MAX((0&lt;&gt;S$12:S673)*ROW(S$12:S673),ROW($S$12))&gt;=MAX((1=Z$12:Z673)*ROW(Z$12:Z673),ROW($T$12)),TYPE(VLOOKUP("Да",(INDIRECT("AA"&amp;(MAX((1=Z$12:Z673)*ROW(Z$12:Z673),ROW($T$12))&amp;":AA"&amp;(ROW()-1)))),1,0))=16),MIN(LOOKUP(,-1/($Z$12:Z674=1),$C$12:C674)+LOOKUP(,-1/($Z$12:Z674=1),$H$12:H674)-SUM(INDIRECT("T"&amp;(MAX((1=Z$12:Z673)*ROW(Z$12:Z673),ROW($T$12))&amp;":T"&amp;(ROW()-1)))),Первоначальный[[#This Row],[Полученный платеж]]+Y673),
S673&gt;0,MIN(LOOKUP(,-1/($Z$12:Z674=1),$C$12:C674)+LOOKUP(,-1/($Z$12:Z674=1),$H$12:H674)-IF(Z673=1,0,SUM(INDIRECT("T"&amp;(MAX((1=Z$12:Z673)*ROW(Z$12:Z673)+1,ROW($T$12))&amp;":T"&amp;(ROW()-1))))),Первоначальный[[#This Row],[Полученный платеж]]+Y673)
)
)
)</f>
        <v>0</v>
      </c>
      <c r="U67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платеж]]+Y673-Первоначальный[[#This Row],[Полученный платёж по процентам]])</f>
        <v>0</v>
      </c>
      <c r="V674" s="55">
        <f t="shared" ca="1" si="121"/>
        <v>0</v>
      </c>
      <c r="W674" s="55" cm="1">
        <f t="array" aca="1" ref="W674" ca="1">IF(Первоначальный[[#This Row],[Итого остаток на начало периода]]&lt;1,0,
_xlfn.IFS(
AND(TYPE(VLOOKUP(1,$Z$12:Z674,1,0))=16,Первоначальный[[#This Row],[Досрочное погашение (да/"")]]=""),0,
AND(S673=0,Первоначальный[[#This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платеж]]+Y673-SUM(Первоначальный[[#This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комиссиям]]),VLOOKUP(LOOKUP(,-1/($Z$12:Z674=1),$A$12:A674),График[[Срок конец]:[Возврат основной суммы долга]],3,0)),
AND(S673=0,Первоначальный[[#This Row],[Дата платежа из графика]]="",Первоначальный[[#This Row],[Досрочное погашение (да/"")]]&lt;&gt;"Да"),0,
AND(S673=0,Первоначальный[[#This Row],[Досрочное погашение (да/"")]]=""),MIN(Первоначальный[[#This Row],[Полученный платеж]]+Y673-SUM(Первоначальный[[#This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комиссиям]]),VLOOKUP(LOOKUP(,-1/($Z$12:Z674=1),$A$12:A674),График[[Срок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платеж]]+Y673-SUM(Первоначальный[[#This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S673&gt;0,MIN(Первоначальный[[#This Row],[Полученный платеж]]+Y673-SUM(Первоначальный[[#This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комиссиям]]),SUM(INDIRECT("M"&amp;(MAX((1=S$12:S673)*ROW(S$12:S673),ROW($W$12))&amp;":M"&amp;(ROW()))))-SUM(INDIRECT("W"&amp;(MAX((1=S$12:S673)*ROW(S$12:S673),ROW($W$12))&amp;":W"&amp;(ROW()-1)))))
)
)</f>
        <v>0</v>
      </c>
      <c r="X674" s="55">
        <f t="shared" ca="1" si="122"/>
        <v>0</v>
      </c>
      <c r="Y674" s="101">
        <f t="shared" ca="1" si="129"/>
        <v>0</v>
      </c>
      <c r="Z674" s="133" t="str">
        <f>IF(TYPE((VLOOKUP(Первоначальный[[#This Row],[Дата платежа]],График[Срок конец],1,0)))=16,"",1)</f>
        <v/>
      </c>
      <c r="AA674" s="57"/>
      <c r="AB674" s="134"/>
      <c r="AC67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7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47498.289999999957</v>
      </c>
      <c r="AE67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1436.8900000000008</v>
      </c>
      <c r="AF67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7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81787.861868852473</v>
      </c>
      <c r="AH674" s="55"/>
      <c r="AI674" s="55"/>
      <c r="AJ674" s="55"/>
      <c r="AK674" s="101">
        <f t="shared" ca="1" si="130"/>
        <v>280356.38186885242</v>
      </c>
      <c r="AL674" s="129">
        <f t="array" ref="AL674">MAX((УслРестрактов[Характеристика]="Дата реструктуризации")*(УслРестрактов[Значение]=Первоначальный!$A674),0)</f>
        <v>0</v>
      </c>
    </row>
    <row r="675" spans="1:38" x14ac:dyDescent="0.25">
      <c r="A675" s="97">
        <f t="shared" si="123"/>
        <v>44806</v>
      </c>
      <c r="B675" s="100">
        <f t="shared" ca="1" si="124"/>
        <v>149633.34</v>
      </c>
      <c r="C675" s="55">
        <f t="shared" ca="1" si="132"/>
        <v>47498.289999999957</v>
      </c>
      <c r="D675" s="55">
        <f t="shared" ca="1" si="132"/>
        <v>1436.8900000000008</v>
      </c>
      <c r="E675" s="55">
        <f t="shared" ca="1" si="125"/>
        <v>0</v>
      </c>
      <c r="F675" s="55">
        <f t="shared" ca="1" si="126"/>
        <v>81787.861868852473</v>
      </c>
      <c r="G675" s="101">
        <f t="shared" ca="1" si="127"/>
        <v>280356.38186885242</v>
      </c>
      <c r="H675" s="100">
        <f ca="1">ROUND($B675*VLOOKUP($A675,$A$1:$B$10,2,1)/(365+IF(MOD(YEAR($A675),4),0,1)*($A675-$A674)),2)-Первоначальный[[#This Row],[Проценты на просроченный платеж по ОД за период]]</f>
        <v>76.509999999999991</v>
      </c>
      <c r="I675" s="55">
        <f t="shared" ca="1" si="128"/>
        <v>5.07</v>
      </c>
      <c r="J675" s="55">
        <v>0</v>
      </c>
      <c r="K675" s="55">
        <f t="shared" ca="1" si="131"/>
        <v>275.14850327868845</v>
      </c>
      <c r="L675" s="55">
        <v>0</v>
      </c>
      <c r="M675" s="113">
        <f>SUMIFS(График[Возврат основной суммы долга],График[Дата с учетом нерабочих дней],$A675)</f>
        <v>0</v>
      </c>
      <c r="N675" s="56">
        <f>SUMIFS(График[Возврат начисленных %],График[Дата с учетом нерабочих дней],$A675)</f>
        <v>0</v>
      </c>
      <c r="O675" s="101">
        <v>0</v>
      </c>
      <c r="P675" s="100" cm="1">
        <f t="array" aca="1" ref="P675" ca="1">MAX(IF(AA674="Да",0,SUM(INDIRECT("M"&amp;(MAX(("Да"=AA$12:AA674)*ROW(AA$12:AA674)+1,ROW($P$12))&amp;":M"&amp;(ROW()))))-SUM(INDIRECT("W"&amp;(MAX(("Да"=AA$12:AA674)*ROW(AA$12:AA674)+1,ROW($P$12))&amp;":W"&amp;(ROW()))))),0)</f>
        <v>9293.369999999999</v>
      </c>
      <c r="Q675" s="99">
        <f ca="1">MAX(SUM($N$13:N675)-SUM($T$13:T675),0)</f>
        <v>45736.330655737693</v>
      </c>
      <c r="R675" s="99">
        <f ca="1">Первоначальный[[#This Row],[Просроченный платеж по ОД]]+Первоначальный[[#This Row],[Просроченный платеж по процентам]]</f>
        <v>55029.700655737688</v>
      </c>
      <c r="S675" s="120">
        <f ca="1">IF(Первоначальный[[#This Row],[Просроченный платеж]]&lt;1,0,S674+1)</f>
        <v>571</v>
      </c>
      <c r="T675" s="100" cm="1">
        <f t="array" aca="1" ref="T675" ca="1">IF(Первоначальный[[#This Row],[Итого остаток на начало периода]]&lt;1,0,
IF(
AND(TYPE(VLOOKUP(1,$Z$12:Z675,1,0))=16,Первоначальный[[#This Row],[Досрочное погашение (да/"")]]=""),0,
_xlfn.IFS(AND(S674=0,Первоначальный[[#This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платеж]]&lt;&gt;0),MIN(LOOKUP(,-1/($Z$12:Z675=1),$C$12:C675)+LOOKUP(,-1/($Z$12:Z675=1),$H$12:H675),Первоначальный[[#This Row],[Полученный платеж]]+Y674),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платеж]]+Y674,SUM(Первоначальный[[#This Row],[Остаток процентов на начало периода]],Первоначальный[[#This Row],[Проценты за период]])),
AND(S674=0,Первоначальный[[#This Row],[Дата платежа из графика]]=""),0,
AND(S674=0,Первоначальный[[#This Row],[Дата платежа из графика]]=1,MAX((0&lt;&gt;S$12:S674)*ROW(S$12:S674),ROW($S$12))&gt;=MAX((1=Z$12:Z674)*ROW(Z$12:Z674),ROW($T$12)),TYPE(VLOOKUP("Да",(INDIRECT("AA"&amp;(MAX((1=Z$12:Z674)*ROW(Z$12:Z674),ROW($T$12))&amp;":AA"&amp;(ROW()-1)))),1,0))=16),MIN(LOOKUP(,-1/($Z$12:Z675=1),$C$12:C675)+LOOKUP(,-1/($Z$12:Z675=1),$H$12:H675),Первоначальный[[#This Row],[Полученный платеж]]+Y674),
AND(S674=0,TYPE(VLOOKUP("Да",(INDIRECT("AA"&amp;(MAX((1=Z$12:Z674)*ROW(Z$12:Z674),ROW($T$12))&amp;":AA"&amp;(ROW()-1)))),1,0))&lt;&gt;16),MIN(LOOKUP(,-1/($Z$12:Z675=1),$C$12:C675)+LOOKUP(,-1/($Z$12:Z675=1),$H$12:H675)-IF(AA674="Да",0,SUM(INDIRECT("T"&amp;(MAX(("Да"=AA$12:AA674)*ROW(AA$12:AA674)+1,ROW($T$12))&amp;":T"&amp;(ROW()-1))))),Первоначальный[[#This Row],[Полученный платеж]]+Y674),
AND(S674=0,MAX((0&lt;&gt;N$12:N674)*ROW(N$12:N674),ROW($S$12))&gt;=MAX((1=Z$12:Z674)*ROW(Z$12:Z674),ROW($T$12))),MIN(LOOKUP(,-1/($Z$12:Z675=1),$C$12:C675)+LOOKUP(,-1/($Z$12:Z675=1),$H$12:H675)-IF(N674&lt;&gt;0,0,SUM(INDIRECT("T"&amp;(MAX((0&lt;&gt;N$12:N674)*ROW(N$12:N674)+1,ROW($T$12))&amp;":T"&amp;(ROW()-1))))),Первоначальный[[#This Row],[Полученный платеж]]+Y674),
AND(S674=0,Первоначальный[[#This Row],[Дата платежа из графика]]=1),MIN(LOOKUP(,-1/($Z$12:Z675=1),$C$12:C675)+LOOKUP(,-1/($Z$12:Z675=1),$H$12:H675)-IF(Z674=1,0,SUM(INDIRECT("T"&amp;(MAX((1=Z$12:Z674)*ROW(Z$12:Z674)+1,ROW($T$12))&amp;":T"&amp;(ROW()-1))))),Первоначальный[[#This Row],[Полученный платеж]]+Y674),
AND(Z674&gt;0,Первоначальный[[#This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платеж]]+Y674),
AND(S674&gt;0,MAX((0&lt;&gt;S$12:S674)*ROW(S$12:S674),ROW($S$12))&gt;=MAX((1=Z$12:Z674)*ROW(Z$12:Z674),ROW($T$12)),TYPE(VLOOKUP("Да",(INDIRECT("AA"&amp;(MAX((1=Z$12:Z674)*ROW(Z$12:Z674),ROW($T$12))&amp;":AA"&amp;(ROW()-1)))),1,0))=16),MIN(LOOKUP(,-1/($Z$12:Z675=1),$C$12:C675)+LOOKUP(,-1/($Z$12:Z675=1),$H$12:H675)-SUM(INDIRECT("T"&amp;(MAX((1=Z$12:Z674)*ROW(Z$12:Z674),ROW($T$12))&amp;":T"&amp;(ROW()-1)))),Первоначальный[[#This Row],[Полученный платеж]]+Y674),
S674&gt;0,MIN(LOOKUP(,-1/($Z$12:Z675=1),$C$12:C675)+LOOKUP(,-1/($Z$12:Z675=1),$H$12:H675)-IF(Z674=1,0,SUM(INDIRECT("T"&amp;(MAX((1=Z$12:Z674)*ROW(Z$12:Z674)+1,ROW($T$12))&amp;":T"&amp;(ROW()-1))))),Первоначальный[[#This Row],[Полученный платеж]]+Y674)
)
)
)</f>
        <v>0</v>
      </c>
      <c r="U67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платеж]]+Y674-Первоначальный[[#This Row],[Полученный платёж по процентам]])</f>
        <v>0</v>
      </c>
      <c r="V675" s="55">
        <f t="shared" ca="1" si="121"/>
        <v>0</v>
      </c>
      <c r="W675" s="55" cm="1">
        <f t="array" aca="1" ref="W675" ca="1">IF(Первоначальный[[#This Row],[Итого остаток на начало периода]]&lt;1,0,
_xlfn.IFS(
AND(TYPE(VLOOKUP(1,$Z$12:Z675,1,0))=16,Первоначальный[[#This Row],[Досрочное погашение (да/"")]]=""),0,
AND(S674=0,Первоначальный[[#This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платеж]]+Y674-SUM(Первоначальный[[#This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комиссиям]]),VLOOKUP(LOOKUP(,-1/($Z$12:Z675=1),$A$12:A675),График[[Срок конец]:[Возврат основной суммы долга]],3,0)),
AND(S674=0,Первоначальный[[#This Row],[Дата платежа из графика]]="",Первоначальный[[#This Row],[Досрочное погашение (да/"")]]&lt;&gt;"Да"),0,
AND(S674=0,Первоначальный[[#This Row],[Досрочное погашение (да/"")]]=""),MIN(Первоначальный[[#This Row],[Полученный платеж]]+Y674-SUM(Первоначальный[[#This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комиссиям]]),VLOOKUP(LOOKUP(,-1/($Z$12:Z675=1),$A$12:A675),График[[Срок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платеж]]+Y674-SUM(Первоначальный[[#This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S674&gt;0,MIN(Первоначальный[[#This Row],[Полученный платеж]]+Y674-SUM(Первоначальный[[#This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комиссиям]]),SUM(INDIRECT("M"&amp;(MAX((1=S$12:S674)*ROW(S$12:S674),ROW($W$12))&amp;":M"&amp;(ROW()))))-SUM(INDIRECT("W"&amp;(MAX((1=S$12:S674)*ROW(S$12:S674),ROW($W$12))&amp;":W"&amp;(ROW()-1)))))
)
)</f>
        <v>0</v>
      </c>
      <c r="X675" s="55">
        <f t="shared" ca="1" si="122"/>
        <v>0</v>
      </c>
      <c r="Y675" s="101">
        <f t="shared" ca="1" si="129"/>
        <v>0</v>
      </c>
      <c r="Z675" s="133" t="str">
        <f>IF(TYPE((VLOOKUP(Первоначальный[[#This Row],[Дата платежа]],График[Срок конец],1,0)))=16,"",1)</f>
        <v/>
      </c>
      <c r="AA675" s="57"/>
      <c r="AB675" s="134"/>
      <c r="AC67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7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47574.799999999959</v>
      </c>
      <c r="AE67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1441.9600000000007</v>
      </c>
      <c r="AF67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7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82063.010372131161</v>
      </c>
      <c r="AH675" s="55"/>
      <c r="AI675" s="55"/>
      <c r="AJ675" s="55"/>
      <c r="AK675" s="101">
        <f t="shared" ca="1" si="130"/>
        <v>280713.11037213111</v>
      </c>
      <c r="AL675" s="129">
        <f t="array" ref="AL675">MAX((УслРестрактов[Характеристика]="Дата реструктуризации")*(УслРестрактов[Значение]=Первоначальный!$A675),0)</f>
        <v>0</v>
      </c>
    </row>
    <row r="676" spans="1:38" x14ac:dyDescent="0.25">
      <c r="A676" s="97">
        <f t="shared" si="123"/>
        <v>44807</v>
      </c>
      <c r="B676" s="100">
        <f t="shared" ca="1" si="124"/>
        <v>149633.34</v>
      </c>
      <c r="C676" s="55">
        <f t="shared" ca="1" si="132"/>
        <v>47574.799999999959</v>
      </c>
      <c r="D676" s="55">
        <f t="shared" ca="1" si="132"/>
        <v>1441.9600000000007</v>
      </c>
      <c r="E676" s="55">
        <f t="shared" ca="1" si="125"/>
        <v>0</v>
      </c>
      <c r="F676" s="55">
        <f t="shared" ca="1" si="126"/>
        <v>82063.010372131161</v>
      </c>
      <c r="G676" s="101">
        <f t="shared" ca="1" si="127"/>
        <v>280713.11037213111</v>
      </c>
      <c r="H676" s="100">
        <f ca="1">ROUND($B676*VLOOKUP($A676,$A$1:$B$10,2,1)/(365+IF(MOD(YEAR($A676),4),0,1)*($A676-$A675)),2)-Первоначальный[[#This Row],[Проценты на просроченный платеж по ОД за период]]</f>
        <v>76.509999999999991</v>
      </c>
      <c r="I676" s="55">
        <f t="shared" ca="1" si="128"/>
        <v>5.07</v>
      </c>
      <c r="J676" s="55">
        <v>0</v>
      </c>
      <c r="K676" s="55">
        <f t="shared" ca="1" si="131"/>
        <v>275.14850327868845</v>
      </c>
      <c r="L676" s="55">
        <v>0</v>
      </c>
      <c r="M676" s="113">
        <f>SUMIFS(График[Возврат основной суммы долга],График[Дата с учетом нерабочих дней],$A676)</f>
        <v>0</v>
      </c>
      <c r="N676" s="56">
        <f>SUMIFS(График[Возврат начисленных %],График[Дата с учетом нерабочих дней],$A676)</f>
        <v>0</v>
      </c>
      <c r="O676" s="101">
        <v>0</v>
      </c>
      <c r="P676" s="100" cm="1">
        <f t="array" aca="1" ref="P676" ca="1">MAX(IF(AA675="Да",0,SUM(INDIRECT("M"&amp;(MAX(("Да"=AA$12:AA675)*ROW(AA$12:AA675)+1,ROW($P$12))&amp;":M"&amp;(ROW()))))-SUM(INDIRECT("W"&amp;(MAX(("Да"=AA$12:AA675)*ROW(AA$12:AA675)+1,ROW($P$12))&amp;":W"&amp;(ROW()))))),0)</f>
        <v>9293.369999999999</v>
      </c>
      <c r="Q676" s="99">
        <f ca="1">MAX(SUM($N$13:N676)-SUM($T$13:T676),0)</f>
        <v>45736.330655737693</v>
      </c>
      <c r="R676" s="99">
        <f ca="1">Первоначальный[[#This Row],[Просроченный платеж по ОД]]+Первоначальный[[#This Row],[Просроченный платеж по процентам]]</f>
        <v>55029.700655737688</v>
      </c>
      <c r="S676" s="120">
        <f ca="1">IF(Первоначальный[[#This Row],[Просроченный платеж]]&lt;1,0,S675+1)</f>
        <v>572</v>
      </c>
      <c r="T676" s="100" cm="1">
        <f t="array" aca="1" ref="T676" ca="1">IF(Первоначальный[[#This Row],[Итого остаток на начало периода]]&lt;1,0,
IF(
AND(TYPE(VLOOKUP(1,$Z$12:Z676,1,0))=16,Первоначальный[[#This Row],[Досрочное погашение (да/"")]]=""),0,
_xlfn.IFS(AND(S675=0,Первоначальный[[#This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платеж]]&lt;&gt;0),MIN(LOOKUP(,-1/($Z$12:Z676=1),$C$12:C676)+LOOKUP(,-1/($Z$12:Z676=1),$H$12:H676),Первоначальный[[#This Row],[Полученный платеж]]+Y675),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платеж]]+Y675,SUM(Первоначальный[[#This Row],[Остаток процентов на начало периода]],Первоначальный[[#This Row],[Проценты за период]])),
AND(S675=0,Первоначальный[[#This Row],[Дата платежа из графика]]=""),0,
AND(S675=0,Первоначальный[[#This Row],[Дата платежа из графика]]=1,MAX((0&lt;&gt;S$12:S675)*ROW(S$12:S675),ROW($S$12))&gt;=MAX((1=Z$12:Z675)*ROW(Z$12:Z675),ROW($T$12)),TYPE(VLOOKUP("Да",(INDIRECT("AA"&amp;(MAX((1=Z$12:Z675)*ROW(Z$12:Z675),ROW($T$12))&amp;":AA"&amp;(ROW()-1)))),1,0))=16),MIN(LOOKUP(,-1/($Z$12:Z676=1),$C$12:C676)+LOOKUP(,-1/($Z$12:Z676=1),$H$12:H676),Первоначальный[[#This Row],[Полученный платеж]]+Y675),
AND(S675=0,TYPE(VLOOKUP("Да",(INDIRECT("AA"&amp;(MAX((1=Z$12:Z675)*ROW(Z$12:Z675),ROW($T$12))&amp;":AA"&amp;(ROW()-1)))),1,0))&lt;&gt;16),MIN(LOOKUP(,-1/($Z$12:Z676=1),$C$12:C676)+LOOKUP(,-1/($Z$12:Z676=1),$H$12:H676)-IF(AA675="Да",0,SUM(INDIRECT("T"&amp;(MAX(("Да"=AA$12:AA675)*ROW(AA$12:AA675)+1,ROW($T$12))&amp;":T"&amp;(ROW()-1))))),Первоначальный[[#This Row],[Полученный платеж]]+Y675),
AND(S675=0,MAX((0&lt;&gt;N$12:N675)*ROW(N$12:N675),ROW($S$12))&gt;=MAX((1=Z$12:Z675)*ROW(Z$12:Z675),ROW($T$12))),MIN(LOOKUP(,-1/($Z$12:Z676=1),$C$12:C676)+LOOKUP(,-1/($Z$12:Z676=1),$H$12:H676)-IF(N675&lt;&gt;0,0,SUM(INDIRECT("T"&amp;(MAX((0&lt;&gt;N$12:N675)*ROW(N$12:N675)+1,ROW($T$12))&amp;":T"&amp;(ROW()-1))))),Первоначальный[[#This Row],[Полученный платеж]]+Y675),
AND(S675=0,Первоначальный[[#This Row],[Дата платежа из графика]]=1),MIN(LOOKUP(,-1/($Z$12:Z676=1),$C$12:C676)+LOOKUP(,-1/($Z$12:Z676=1),$H$12:H676)-IF(Z675=1,0,SUM(INDIRECT("T"&amp;(MAX((1=Z$12:Z675)*ROW(Z$12:Z675)+1,ROW($T$12))&amp;":T"&amp;(ROW()-1))))),Первоначальный[[#This Row],[Полученный платеж]]+Y675),
AND(Z675&gt;0,Первоначальный[[#This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платеж]]+Y675),
AND(S675&gt;0,MAX((0&lt;&gt;S$12:S675)*ROW(S$12:S675),ROW($S$12))&gt;=MAX((1=Z$12:Z675)*ROW(Z$12:Z675),ROW($T$12)),TYPE(VLOOKUP("Да",(INDIRECT("AA"&amp;(MAX((1=Z$12:Z675)*ROW(Z$12:Z675),ROW($T$12))&amp;":AA"&amp;(ROW()-1)))),1,0))=16),MIN(LOOKUP(,-1/($Z$12:Z676=1),$C$12:C676)+LOOKUP(,-1/($Z$12:Z676=1),$H$12:H676)-SUM(INDIRECT("T"&amp;(MAX((1=Z$12:Z675)*ROW(Z$12:Z675),ROW($T$12))&amp;":T"&amp;(ROW()-1)))),Первоначальный[[#This Row],[Полученный платеж]]+Y675),
S675&gt;0,MIN(LOOKUP(,-1/($Z$12:Z676=1),$C$12:C676)+LOOKUP(,-1/($Z$12:Z676=1),$H$12:H676)-IF(Z675=1,0,SUM(INDIRECT("T"&amp;(MAX((1=Z$12:Z675)*ROW(Z$12:Z675)+1,ROW($T$12))&amp;":T"&amp;(ROW()-1))))),Первоначальный[[#This Row],[Полученный платеж]]+Y675)
)
)
)</f>
        <v>0</v>
      </c>
      <c r="U67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платеж]]+Y675-Первоначальный[[#This Row],[Полученный платёж по процентам]])</f>
        <v>0</v>
      </c>
      <c r="V676" s="55">
        <f t="shared" ca="1" si="121"/>
        <v>0</v>
      </c>
      <c r="W676" s="55" cm="1">
        <f t="array" aca="1" ref="W676" ca="1">IF(Первоначальный[[#This Row],[Итого остаток на начало периода]]&lt;1,0,
_xlfn.IFS(
AND(TYPE(VLOOKUP(1,$Z$12:Z676,1,0))=16,Первоначальный[[#This Row],[Досрочное погашение (да/"")]]=""),0,
AND(S675=0,Первоначальный[[#This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платеж]]+Y675-SUM(Первоначальный[[#This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комиссиям]]),VLOOKUP(LOOKUP(,-1/($Z$12:Z676=1),$A$12:A676),График[[Срок конец]:[Возврат основной суммы долга]],3,0)),
AND(S675=0,Первоначальный[[#This Row],[Дата платежа из графика]]="",Первоначальный[[#This Row],[Досрочное погашение (да/"")]]&lt;&gt;"Да"),0,
AND(S675=0,Первоначальный[[#This Row],[Досрочное погашение (да/"")]]=""),MIN(Первоначальный[[#This Row],[Полученный платеж]]+Y675-SUM(Первоначальный[[#This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комиссиям]]),VLOOKUP(LOOKUP(,-1/($Z$12:Z676=1),$A$12:A676),График[[Срок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платеж]]+Y675-SUM(Первоначальный[[#This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S675&gt;0,MIN(Первоначальный[[#This Row],[Полученный платеж]]+Y675-SUM(Первоначальный[[#This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комиссиям]]),SUM(INDIRECT("M"&amp;(MAX((1=S$12:S675)*ROW(S$12:S675),ROW($W$12))&amp;":M"&amp;(ROW()))))-SUM(INDIRECT("W"&amp;(MAX((1=S$12:S675)*ROW(S$12:S675),ROW($W$12))&amp;":W"&amp;(ROW()-1)))))
)
)</f>
        <v>0</v>
      </c>
      <c r="X676" s="55">
        <f t="shared" ca="1" si="122"/>
        <v>0</v>
      </c>
      <c r="Y676" s="101">
        <f t="shared" ca="1" si="129"/>
        <v>0</v>
      </c>
      <c r="Z676" s="133" t="str">
        <f>IF(TYPE((VLOOKUP(Первоначальный[[#This Row],[Дата платежа]],График[Срок конец],1,0)))=16,"",1)</f>
        <v/>
      </c>
      <c r="AA676" s="57"/>
      <c r="AB676" s="134"/>
      <c r="AC67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7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47651.309999999961</v>
      </c>
      <c r="AE67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1447.0300000000007</v>
      </c>
      <c r="AF67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7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82338.158875409848</v>
      </c>
      <c r="AH676" s="55"/>
      <c r="AI676" s="55"/>
      <c r="AJ676" s="55"/>
      <c r="AK676" s="101">
        <f t="shared" ca="1" si="130"/>
        <v>281069.8388754098</v>
      </c>
      <c r="AL676" s="129">
        <f t="array" ref="AL676">MAX((УслРестрактов[Характеристика]="Дата реструктуризации")*(УслРестрактов[Значение]=Первоначальный!$A676),0)</f>
        <v>0</v>
      </c>
    </row>
    <row r="677" spans="1:38" x14ac:dyDescent="0.25">
      <c r="A677" s="97">
        <f t="shared" si="123"/>
        <v>44808</v>
      </c>
      <c r="B677" s="100">
        <f t="shared" ca="1" si="124"/>
        <v>149633.34</v>
      </c>
      <c r="C677" s="55">
        <f t="shared" ca="1" si="132"/>
        <v>47651.309999999961</v>
      </c>
      <c r="D677" s="55">
        <f t="shared" ca="1" si="132"/>
        <v>1447.0300000000007</v>
      </c>
      <c r="E677" s="55">
        <f t="shared" ca="1" si="125"/>
        <v>0</v>
      </c>
      <c r="F677" s="55">
        <f t="shared" ca="1" si="126"/>
        <v>82338.158875409848</v>
      </c>
      <c r="G677" s="101">
        <f t="shared" ca="1" si="127"/>
        <v>281069.8388754098</v>
      </c>
      <c r="H677" s="100">
        <f ca="1">ROUND($B677*VLOOKUP($A677,$A$1:$B$10,2,1)/(365+IF(MOD(YEAR($A677),4),0,1)*($A677-$A676)),2)-Первоначальный[[#This Row],[Проценты на просроченный платеж по ОД за период]]</f>
        <v>76.509999999999991</v>
      </c>
      <c r="I677" s="55">
        <f t="shared" ca="1" si="128"/>
        <v>5.07</v>
      </c>
      <c r="J677" s="55">
        <v>0</v>
      </c>
      <c r="K677" s="55">
        <f t="shared" ca="1" si="131"/>
        <v>275.14850327868845</v>
      </c>
      <c r="L677" s="55">
        <v>0</v>
      </c>
      <c r="M677" s="113">
        <f>SUMIFS(График[Возврат основной суммы долга],График[Дата с учетом нерабочих дней],$A677)</f>
        <v>0</v>
      </c>
      <c r="N677" s="56">
        <f>SUMIFS(График[Возврат начисленных %],График[Дата с учетом нерабочих дней],$A677)</f>
        <v>0</v>
      </c>
      <c r="O677" s="101">
        <v>0</v>
      </c>
      <c r="P677" s="100" cm="1">
        <f t="array" aca="1" ref="P677" ca="1">MAX(IF(AA676="Да",0,SUM(INDIRECT("M"&amp;(MAX(("Да"=AA$12:AA676)*ROW(AA$12:AA676)+1,ROW($P$12))&amp;":M"&amp;(ROW()))))-SUM(INDIRECT("W"&amp;(MAX(("Да"=AA$12:AA676)*ROW(AA$12:AA676)+1,ROW($P$12))&amp;":W"&amp;(ROW()))))),0)</f>
        <v>9293.369999999999</v>
      </c>
      <c r="Q677" s="99">
        <f ca="1">MAX(SUM($N$13:N677)-SUM($T$13:T677),0)</f>
        <v>45736.330655737693</v>
      </c>
      <c r="R677" s="99">
        <f ca="1">Первоначальный[[#This Row],[Просроченный платеж по ОД]]+Первоначальный[[#This Row],[Просроченный платеж по процентам]]</f>
        <v>55029.700655737688</v>
      </c>
      <c r="S677" s="120">
        <f ca="1">IF(Первоначальный[[#This Row],[Просроченный платеж]]&lt;1,0,S676+1)</f>
        <v>573</v>
      </c>
      <c r="T677" s="100" cm="1">
        <f t="array" aca="1" ref="T677" ca="1">IF(Первоначальный[[#This Row],[Итого остаток на начало периода]]&lt;1,0,
IF(
AND(TYPE(VLOOKUP(1,$Z$12:Z677,1,0))=16,Первоначальный[[#This Row],[Досрочное погашение (да/"")]]=""),0,
_xlfn.IFS(AND(S676=0,Первоначальный[[#This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платеж]]&lt;&gt;0),MIN(LOOKUP(,-1/($Z$12:Z677=1),$C$12:C677)+LOOKUP(,-1/($Z$12:Z677=1),$H$12:H677),Первоначальный[[#This Row],[Полученный платеж]]+Y676),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платеж]]+Y676,SUM(Первоначальный[[#This Row],[Остаток процентов на начало периода]],Первоначальный[[#This Row],[Проценты за период]])),
AND(S676=0,Первоначальный[[#This Row],[Дата платежа из графика]]=""),0,
AND(S676=0,Первоначальный[[#This Row],[Дата платежа из графика]]=1,MAX((0&lt;&gt;S$12:S676)*ROW(S$12:S676),ROW($S$12))&gt;=MAX((1=Z$12:Z676)*ROW(Z$12:Z676),ROW($T$12)),TYPE(VLOOKUP("Да",(INDIRECT("AA"&amp;(MAX((1=Z$12:Z676)*ROW(Z$12:Z676),ROW($T$12))&amp;":AA"&amp;(ROW()-1)))),1,0))=16),MIN(LOOKUP(,-1/($Z$12:Z677=1),$C$12:C677)+LOOKUP(,-1/($Z$12:Z677=1),$H$12:H677),Первоначальный[[#This Row],[Полученный платеж]]+Y676),
AND(S676=0,TYPE(VLOOKUP("Да",(INDIRECT("AA"&amp;(MAX((1=Z$12:Z676)*ROW(Z$12:Z676),ROW($T$12))&amp;":AA"&amp;(ROW()-1)))),1,0))&lt;&gt;16),MIN(LOOKUP(,-1/($Z$12:Z677=1),$C$12:C677)+LOOKUP(,-1/($Z$12:Z677=1),$H$12:H677)-IF(AA676="Да",0,SUM(INDIRECT("T"&amp;(MAX(("Да"=AA$12:AA676)*ROW(AA$12:AA676)+1,ROW($T$12))&amp;":T"&amp;(ROW()-1))))),Первоначальный[[#This Row],[Полученный платеж]]+Y676),
AND(S676=0,MAX((0&lt;&gt;N$12:N676)*ROW(N$12:N676),ROW($S$12))&gt;=MAX((1=Z$12:Z676)*ROW(Z$12:Z676),ROW($T$12))),MIN(LOOKUP(,-1/($Z$12:Z677=1),$C$12:C677)+LOOKUP(,-1/($Z$12:Z677=1),$H$12:H677)-IF(N676&lt;&gt;0,0,SUM(INDIRECT("T"&amp;(MAX((0&lt;&gt;N$12:N676)*ROW(N$12:N676)+1,ROW($T$12))&amp;":T"&amp;(ROW()-1))))),Первоначальный[[#This Row],[Полученный платеж]]+Y676),
AND(S676=0,Первоначальный[[#This Row],[Дата платежа из графика]]=1),MIN(LOOKUP(,-1/($Z$12:Z677=1),$C$12:C677)+LOOKUP(,-1/($Z$12:Z677=1),$H$12:H677)-IF(Z676=1,0,SUM(INDIRECT("T"&amp;(MAX((1=Z$12:Z676)*ROW(Z$12:Z676)+1,ROW($T$12))&amp;":T"&amp;(ROW()-1))))),Первоначальный[[#This Row],[Полученный платеж]]+Y676),
AND(Z676&gt;0,Первоначальный[[#This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платеж]]+Y676),
AND(S676&gt;0,MAX((0&lt;&gt;S$12:S676)*ROW(S$12:S676),ROW($S$12))&gt;=MAX((1=Z$12:Z676)*ROW(Z$12:Z676),ROW($T$12)),TYPE(VLOOKUP("Да",(INDIRECT("AA"&amp;(MAX((1=Z$12:Z676)*ROW(Z$12:Z676),ROW($T$12))&amp;":AA"&amp;(ROW()-1)))),1,0))=16),MIN(LOOKUP(,-1/($Z$12:Z677=1),$C$12:C677)+LOOKUP(,-1/($Z$12:Z677=1),$H$12:H677)-SUM(INDIRECT("T"&amp;(MAX((1=Z$12:Z676)*ROW(Z$12:Z676),ROW($T$12))&amp;":T"&amp;(ROW()-1)))),Первоначальный[[#This Row],[Полученный платеж]]+Y676),
S676&gt;0,MIN(LOOKUP(,-1/($Z$12:Z677=1),$C$12:C677)+LOOKUP(,-1/($Z$12:Z677=1),$H$12:H677)-IF(Z676=1,0,SUM(INDIRECT("T"&amp;(MAX((1=Z$12:Z676)*ROW(Z$12:Z676)+1,ROW($T$12))&amp;":T"&amp;(ROW()-1))))),Первоначальный[[#This Row],[Полученный платеж]]+Y676)
)
)
)</f>
        <v>0</v>
      </c>
      <c r="U67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платеж]]+Y676-Первоначальный[[#This Row],[Полученный платёж по процентам]])</f>
        <v>0</v>
      </c>
      <c r="V677" s="55">
        <f t="shared" ca="1" si="121"/>
        <v>0</v>
      </c>
      <c r="W677" s="55" cm="1">
        <f t="array" aca="1" ref="W677" ca="1">IF(Первоначальный[[#This Row],[Итого остаток на начало периода]]&lt;1,0,
_xlfn.IFS(
AND(TYPE(VLOOKUP(1,$Z$12:Z677,1,0))=16,Первоначальный[[#This Row],[Досрочное погашение (да/"")]]=""),0,
AND(S676=0,Первоначальный[[#This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платеж]]+Y676-SUM(Первоначальный[[#This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комиссиям]]),VLOOKUP(LOOKUP(,-1/($Z$12:Z677=1),$A$12:A677),График[[Срок конец]:[Возврат основной суммы долга]],3,0)),
AND(S676=0,Первоначальный[[#This Row],[Дата платежа из графика]]="",Первоначальный[[#This Row],[Досрочное погашение (да/"")]]&lt;&gt;"Да"),0,
AND(S676=0,Первоначальный[[#This Row],[Досрочное погашение (да/"")]]=""),MIN(Первоначальный[[#This Row],[Полученный платеж]]+Y676-SUM(Первоначальный[[#This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комиссиям]]),VLOOKUP(LOOKUP(,-1/($Z$12:Z677=1),$A$12:A677),График[[Срок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платеж]]+Y676-SUM(Первоначальный[[#This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S676&gt;0,MIN(Первоначальный[[#This Row],[Полученный платеж]]+Y676-SUM(Первоначальный[[#This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комиссиям]]),SUM(INDIRECT("M"&amp;(MAX((1=S$12:S676)*ROW(S$12:S676),ROW($W$12))&amp;":M"&amp;(ROW()))))-SUM(INDIRECT("W"&amp;(MAX((1=S$12:S676)*ROW(S$12:S676),ROW($W$12))&amp;":W"&amp;(ROW()-1)))))
)
)</f>
        <v>0</v>
      </c>
      <c r="X677" s="55">
        <f t="shared" ca="1" si="122"/>
        <v>0</v>
      </c>
      <c r="Y677" s="101">
        <f t="shared" ca="1" si="129"/>
        <v>0</v>
      </c>
      <c r="Z677" s="133" t="str">
        <f>IF(TYPE((VLOOKUP(Первоначальный[[#This Row],[Дата платежа]],График[Срок конец],1,0)))=16,"",1)</f>
        <v/>
      </c>
      <c r="AA677" s="57"/>
      <c r="AB677" s="134"/>
      <c r="AC67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7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47727.819999999963</v>
      </c>
      <c r="AE67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1452.1000000000006</v>
      </c>
      <c r="AF67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7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82613.307378688536</v>
      </c>
      <c r="AH677" s="55"/>
      <c r="AI677" s="55"/>
      <c r="AJ677" s="55"/>
      <c r="AK677" s="101">
        <f t="shared" ca="1" si="130"/>
        <v>281426.56737868849</v>
      </c>
      <c r="AL677" s="129">
        <f t="array" ref="AL677">MAX((УслРестрактов[Характеристика]="Дата реструктуризации")*(УслРестрактов[Значение]=Первоначальный!$A677),0)</f>
        <v>0</v>
      </c>
    </row>
    <row r="678" spans="1:38" x14ac:dyDescent="0.25">
      <c r="A678" s="97">
        <f t="shared" si="123"/>
        <v>44809</v>
      </c>
      <c r="B678" s="100">
        <f t="shared" ca="1" si="124"/>
        <v>149633.34</v>
      </c>
      <c r="C678" s="55">
        <f t="shared" ca="1" si="132"/>
        <v>47727.819999999963</v>
      </c>
      <c r="D678" s="55">
        <f t="shared" ca="1" si="132"/>
        <v>1452.1000000000006</v>
      </c>
      <c r="E678" s="55">
        <f t="shared" ca="1" si="125"/>
        <v>0</v>
      </c>
      <c r="F678" s="55">
        <f t="shared" ca="1" si="126"/>
        <v>82613.307378688536</v>
      </c>
      <c r="G678" s="101">
        <f t="shared" ca="1" si="127"/>
        <v>281426.56737868849</v>
      </c>
      <c r="H678" s="100">
        <f ca="1">ROUND($B678*VLOOKUP($A678,$A$1:$B$10,2,1)/(365+IF(MOD(YEAR($A678),4),0,1)*($A678-$A677)),2)-Первоначальный[[#This Row],[Проценты на просроченный платеж по ОД за период]]</f>
        <v>76.509999999999991</v>
      </c>
      <c r="I678" s="55">
        <f t="shared" ca="1" si="128"/>
        <v>5.07</v>
      </c>
      <c r="J678" s="55">
        <v>0</v>
      </c>
      <c r="K678" s="55">
        <f t="shared" ca="1" si="131"/>
        <v>275.14850327868845</v>
      </c>
      <c r="L678" s="55">
        <v>0</v>
      </c>
      <c r="M678" s="113">
        <f>SUMIFS(График[Возврат основной суммы долга],График[Дата с учетом нерабочих дней],$A678)</f>
        <v>0</v>
      </c>
      <c r="N678" s="56">
        <f>SUMIFS(График[Возврат начисленных %],График[Дата с учетом нерабочих дней],$A678)</f>
        <v>0</v>
      </c>
      <c r="O678" s="101">
        <v>0</v>
      </c>
      <c r="P678" s="100" cm="1">
        <f t="array" aca="1" ref="P678" ca="1">MAX(IF(AA677="Да",0,SUM(INDIRECT("M"&amp;(MAX(("Да"=AA$12:AA677)*ROW(AA$12:AA677)+1,ROW($P$12))&amp;":M"&amp;(ROW()))))-SUM(INDIRECT("W"&amp;(MAX(("Да"=AA$12:AA677)*ROW(AA$12:AA677)+1,ROW($P$12))&amp;":W"&amp;(ROW()))))),0)</f>
        <v>9293.369999999999</v>
      </c>
      <c r="Q678" s="99">
        <f ca="1">MAX(SUM($N$13:N678)-SUM($T$13:T678),0)</f>
        <v>45736.330655737693</v>
      </c>
      <c r="R678" s="99">
        <f ca="1">Первоначальный[[#This Row],[Просроченный платеж по ОД]]+Первоначальный[[#This Row],[Просроченный платеж по процентам]]</f>
        <v>55029.700655737688</v>
      </c>
      <c r="S678" s="120">
        <f ca="1">IF(Первоначальный[[#This Row],[Просроченный платеж]]&lt;1,0,S677+1)</f>
        <v>574</v>
      </c>
      <c r="T678" s="100" cm="1">
        <f t="array" aca="1" ref="T678" ca="1">IF(Первоначальный[[#This Row],[Итого остаток на начало периода]]&lt;1,0,
IF(
AND(TYPE(VLOOKUP(1,$Z$12:Z678,1,0))=16,Первоначальный[[#This Row],[Досрочное погашение (да/"")]]=""),0,
_xlfn.IFS(AND(S677=0,Первоначальный[[#This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платеж]]&lt;&gt;0),MIN(LOOKUP(,-1/($Z$12:Z678=1),$C$12:C678)+LOOKUP(,-1/($Z$12:Z678=1),$H$12:H678),Первоначальный[[#This Row],[Полученный платеж]]+Y677),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платеж]]+Y677,SUM(Первоначальный[[#This Row],[Остаток процентов на начало периода]],Первоначальный[[#This Row],[Проценты за период]])),
AND(S677=0,Первоначальный[[#This Row],[Дата платежа из графика]]=""),0,
AND(S677=0,Первоначальный[[#This Row],[Дата платежа из графика]]=1,MAX((0&lt;&gt;S$12:S677)*ROW(S$12:S677),ROW($S$12))&gt;=MAX((1=Z$12:Z677)*ROW(Z$12:Z677),ROW($T$12)),TYPE(VLOOKUP("Да",(INDIRECT("AA"&amp;(MAX((1=Z$12:Z677)*ROW(Z$12:Z677),ROW($T$12))&amp;":AA"&amp;(ROW()-1)))),1,0))=16),MIN(LOOKUP(,-1/($Z$12:Z678=1),$C$12:C678)+LOOKUP(,-1/($Z$12:Z678=1),$H$12:H678),Первоначальный[[#This Row],[Полученный платеж]]+Y677),
AND(S677=0,TYPE(VLOOKUP("Да",(INDIRECT("AA"&amp;(MAX((1=Z$12:Z677)*ROW(Z$12:Z677),ROW($T$12))&amp;":AA"&amp;(ROW()-1)))),1,0))&lt;&gt;16),MIN(LOOKUP(,-1/($Z$12:Z678=1),$C$12:C678)+LOOKUP(,-1/($Z$12:Z678=1),$H$12:H678)-IF(AA677="Да",0,SUM(INDIRECT("T"&amp;(MAX(("Да"=AA$12:AA677)*ROW(AA$12:AA677)+1,ROW($T$12))&amp;":T"&amp;(ROW()-1))))),Первоначальный[[#This Row],[Полученный платеж]]+Y677),
AND(S677=0,MAX((0&lt;&gt;N$12:N677)*ROW(N$12:N677),ROW($S$12))&gt;=MAX((1=Z$12:Z677)*ROW(Z$12:Z677),ROW($T$12))),MIN(LOOKUP(,-1/($Z$12:Z678=1),$C$12:C678)+LOOKUP(,-1/($Z$12:Z678=1),$H$12:H678)-IF(N677&lt;&gt;0,0,SUM(INDIRECT("T"&amp;(MAX((0&lt;&gt;N$12:N677)*ROW(N$12:N677)+1,ROW($T$12))&amp;":T"&amp;(ROW()-1))))),Первоначальный[[#This Row],[Полученный платеж]]+Y677),
AND(S677=0,Первоначальный[[#This Row],[Дата платежа из графика]]=1),MIN(LOOKUP(,-1/($Z$12:Z678=1),$C$12:C678)+LOOKUP(,-1/($Z$12:Z678=1),$H$12:H678)-IF(Z677=1,0,SUM(INDIRECT("T"&amp;(MAX((1=Z$12:Z677)*ROW(Z$12:Z677)+1,ROW($T$12))&amp;":T"&amp;(ROW()-1))))),Первоначальный[[#This Row],[Полученный платеж]]+Y677),
AND(Z677&gt;0,Первоначальный[[#This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платеж]]+Y677),
AND(S677&gt;0,MAX((0&lt;&gt;S$12:S677)*ROW(S$12:S677),ROW($S$12))&gt;=MAX((1=Z$12:Z677)*ROW(Z$12:Z677),ROW($T$12)),TYPE(VLOOKUP("Да",(INDIRECT("AA"&amp;(MAX((1=Z$12:Z677)*ROW(Z$12:Z677),ROW($T$12))&amp;":AA"&amp;(ROW()-1)))),1,0))=16),MIN(LOOKUP(,-1/($Z$12:Z678=1),$C$12:C678)+LOOKUP(,-1/($Z$12:Z678=1),$H$12:H678)-SUM(INDIRECT("T"&amp;(MAX((1=Z$12:Z677)*ROW(Z$12:Z677),ROW($T$12))&amp;":T"&amp;(ROW()-1)))),Первоначальный[[#This Row],[Полученный платеж]]+Y677),
S677&gt;0,MIN(LOOKUP(,-1/($Z$12:Z678=1),$C$12:C678)+LOOKUP(,-1/($Z$12:Z678=1),$H$12:H678)-IF(Z677=1,0,SUM(INDIRECT("T"&amp;(MAX((1=Z$12:Z677)*ROW(Z$12:Z677)+1,ROW($T$12))&amp;":T"&amp;(ROW()-1))))),Первоначальный[[#This Row],[Полученный платеж]]+Y677)
)
)
)</f>
        <v>0</v>
      </c>
      <c r="U67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платеж]]+Y677-Первоначальный[[#This Row],[Полученный платёж по процентам]])</f>
        <v>0</v>
      </c>
      <c r="V678" s="55">
        <f t="shared" ca="1" si="121"/>
        <v>0</v>
      </c>
      <c r="W678" s="55" cm="1">
        <f t="array" aca="1" ref="W678" ca="1">IF(Первоначальный[[#This Row],[Итого остаток на начало периода]]&lt;1,0,
_xlfn.IFS(
AND(TYPE(VLOOKUP(1,$Z$12:Z678,1,0))=16,Первоначальный[[#This Row],[Досрочное погашение (да/"")]]=""),0,
AND(S677=0,Первоначальный[[#This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платеж]]+Y677-SUM(Первоначальный[[#This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комиссиям]]),VLOOKUP(LOOKUP(,-1/($Z$12:Z678=1),$A$12:A678),График[[Срок конец]:[Возврат основной суммы долга]],3,0)),
AND(S677=0,Первоначальный[[#This Row],[Дата платежа из графика]]="",Первоначальный[[#This Row],[Досрочное погашение (да/"")]]&lt;&gt;"Да"),0,
AND(S677=0,Первоначальный[[#This Row],[Досрочное погашение (да/"")]]=""),MIN(Первоначальный[[#This Row],[Полученный платеж]]+Y677-SUM(Первоначальный[[#This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комиссиям]]),VLOOKUP(LOOKUP(,-1/($Z$12:Z678=1),$A$12:A678),График[[Срок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платеж]]+Y677-SUM(Первоначальный[[#This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S677&gt;0,MIN(Первоначальный[[#This Row],[Полученный платеж]]+Y677-SUM(Первоначальный[[#This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комиссиям]]),SUM(INDIRECT("M"&amp;(MAX((1=S$12:S677)*ROW(S$12:S677),ROW($W$12))&amp;":M"&amp;(ROW()))))-SUM(INDIRECT("W"&amp;(MAX((1=S$12:S677)*ROW(S$12:S677),ROW($W$12))&amp;":W"&amp;(ROW()-1)))))
)
)</f>
        <v>0</v>
      </c>
      <c r="X678" s="55">
        <f t="shared" ca="1" si="122"/>
        <v>0</v>
      </c>
      <c r="Y678" s="101">
        <f t="shared" ca="1" si="129"/>
        <v>0</v>
      </c>
      <c r="Z678" s="133" t="str">
        <f>IF(TYPE((VLOOKUP(Первоначальный[[#This Row],[Дата платежа]],График[Срок конец],1,0)))=16,"",1)</f>
        <v/>
      </c>
      <c r="AA678" s="57"/>
      <c r="AB678" s="134"/>
      <c r="AC67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7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47804.329999999965</v>
      </c>
      <c r="AE67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1457.1700000000005</v>
      </c>
      <c r="AF67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7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82888.455881967224</v>
      </c>
      <c r="AH678" s="55"/>
      <c r="AI678" s="55"/>
      <c r="AJ678" s="55"/>
      <c r="AK678" s="101">
        <f t="shared" ca="1" si="130"/>
        <v>281783.29588196718</v>
      </c>
      <c r="AL678" s="129">
        <f t="array" ref="AL678">MAX((УслРестрактов[Характеристика]="Дата реструктуризации")*(УслРестрактов[Значение]=Первоначальный!$A678),0)</f>
        <v>0</v>
      </c>
    </row>
    <row r="679" spans="1:38" x14ac:dyDescent="0.25">
      <c r="A679" s="97">
        <f t="shared" si="123"/>
        <v>44810</v>
      </c>
      <c r="B679" s="100">
        <f t="shared" ca="1" si="124"/>
        <v>149633.34</v>
      </c>
      <c r="C679" s="55">
        <f t="shared" ca="1" si="132"/>
        <v>47804.329999999965</v>
      </c>
      <c r="D679" s="55">
        <f t="shared" ca="1" si="132"/>
        <v>1457.1700000000005</v>
      </c>
      <c r="E679" s="55">
        <f t="shared" ca="1" si="125"/>
        <v>0</v>
      </c>
      <c r="F679" s="55">
        <f t="shared" ca="1" si="126"/>
        <v>82888.455881967224</v>
      </c>
      <c r="G679" s="101">
        <f t="shared" ca="1" si="127"/>
        <v>281783.29588196718</v>
      </c>
      <c r="H679" s="100">
        <f ca="1">ROUND($B679*VLOOKUP($A679,$A$1:$B$10,2,1)/(365+IF(MOD(YEAR($A679),4),0,1)*($A679-$A678)),2)-Первоначальный[[#This Row],[Проценты на просроченный платеж по ОД за период]]</f>
        <v>76.509999999999991</v>
      </c>
      <c r="I679" s="55">
        <f t="shared" ca="1" si="128"/>
        <v>5.07</v>
      </c>
      <c r="J679" s="55">
        <v>0</v>
      </c>
      <c r="K679" s="55">
        <f t="shared" ca="1" si="131"/>
        <v>275.14850327868845</v>
      </c>
      <c r="L679" s="55">
        <v>0</v>
      </c>
      <c r="M679" s="113">
        <f>SUMIFS(График[Возврат основной суммы долга],График[Дата с учетом нерабочих дней],$A679)</f>
        <v>0</v>
      </c>
      <c r="N679" s="56">
        <f>SUMIFS(График[Возврат начисленных %],График[Дата с учетом нерабочих дней],$A679)</f>
        <v>0</v>
      </c>
      <c r="O679" s="101">
        <v>0</v>
      </c>
      <c r="P679" s="100" cm="1">
        <f t="array" aca="1" ref="P679" ca="1">MAX(IF(AA678="Да",0,SUM(INDIRECT("M"&amp;(MAX(("Да"=AA$12:AA678)*ROW(AA$12:AA678)+1,ROW($P$12))&amp;":M"&amp;(ROW()))))-SUM(INDIRECT("W"&amp;(MAX(("Да"=AA$12:AA678)*ROW(AA$12:AA678)+1,ROW($P$12))&amp;":W"&amp;(ROW()))))),0)</f>
        <v>9293.369999999999</v>
      </c>
      <c r="Q679" s="99">
        <f ca="1">MAX(SUM($N$13:N679)-SUM($T$13:T679),0)</f>
        <v>45736.330655737693</v>
      </c>
      <c r="R679" s="99">
        <f ca="1">Первоначальный[[#This Row],[Просроченный платеж по ОД]]+Первоначальный[[#This Row],[Просроченный платеж по процентам]]</f>
        <v>55029.700655737688</v>
      </c>
      <c r="S679" s="120">
        <f ca="1">IF(Первоначальный[[#This Row],[Просроченный платеж]]&lt;1,0,S678+1)</f>
        <v>575</v>
      </c>
      <c r="T679" s="100" cm="1">
        <f t="array" aca="1" ref="T679" ca="1">IF(Первоначальный[[#This Row],[Итого остаток на начало периода]]&lt;1,0,
IF(
AND(TYPE(VLOOKUP(1,$Z$12:Z679,1,0))=16,Первоначальный[[#This Row],[Досрочное погашение (да/"")]]=""),0,
_xlfn.IFS(AND(S678=0,Первоначальный[[#This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платеж]]&lt;&gt;0),MIN(LOOKUP(,-1/($Z$12:Z679=1),$C$12:C679)+LOOKUP(,-1/($Z$12:Z679=1),$H$12:H679),Первоначальный[[#This Row],[Полученный платеж]]+Y678),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платеж]]+Y678,SUM(Первоначальный[[#This Row],[Остаток процентов на начало периода]],Первоначальный[[#This Row],[Проценты за период]])),
AND(S678=0,Первоначальный[[#This Row],[Дата платежа из графика]]=""),0,
AND(S678=0,Первоначальный[[#This Row],[Дата платежа из графика]]=1,MAX((0&lt;&gt;S$12:S678)*ROW(S$12:S678),ROW($S$12))&gt;=MAX((1=Z$12:Z678)*ROW(Z$12:Z678),ROW($T$12)),TYPE(VLOOKUP("Да",(INDIRECT("AA"&amp;(MAX((1=Z$12:Z678)*ROW(Z$12:Z678),ROW($T$12))&amp;":AA"&amp;(ROW()-1)))),1,0))=16),MIN(LOOKUP(,-1/($Z$12:Z679=1),$C$12:C679)+LOOKUP(,-1/($Z$12:Z679=1),$H$12:H679),Первоначальный[[#This Row],[Полученный платеж]]+Y678),
AND(S678=0,TYPE(VLOOKUP("Да",(INDIRECT("AA"&amp;(MAX((1=Z$12:Z678)*ROW(Z$12:Z678),ROW($T$12))&amp;":AA"&amp;(ROW()-1)))),1,0))&lt;&gt;16),MIN(LOOKUP(,-1/($Z$12:Z679=1),$C$12:C679)+LOOKUP(,-1/($Z$12:Z679=1),$H$12:H679)-IF(AA678="Да",0,SUM(INDIRECT("T"&amp;(MAX(("Да"=AA$12:AA678)*ROW(AA$12:AA678)+1,ROW($T$12))&amp;":T"&amp;(ROW()-1))))),Первоначальный[[#This Row],[Полученный платеж]]+Y678),
AND(S678=0,MAX((0&lt;&gt;N$12:N678)*ROW(N$12:N678),ROW($S$12))&gt;=MAX((1=Z$12:Z678)*ROW(Z$12:Z678),ROW($T$12))),MIN(LOOKUP(,-1/($Z$12:Z679=1),$C$12:C679)+LOOKUP(,-1/($Z$12:Z679=1),$H$12:H679)-IF(N678&lt;&gt;0,0,SUM(INDIRECT("T"&amp;(MAX((0&lt;&gt;N$12:N678)*ROW(N$12:N678)+1,ROW($T$12))&amp;":T"&amp;(ROW()-1))))),Первоначальный[[#This Row],[Полученный платеж]]+Y678),
AND(S678=0,Первоначальный[[#This Row],[Дата платежа из графика]]=1),MIN(LOOKUP(,-1/($Z$12:Z679=1),$C$12:C679)+LOOKUP(,-1/($Z$12:Z679=1),$H$12:H679)-IF(Z678=1,0,SUM(INDIRECT("T"&amp;(MAX((1=Z$12:Z678)*ROW(Z$12:Z678)+1,ROW($T$12))&amp;":T"&amp;(ROW()-1))))),Первоначальный[[#This Row],[Полученный платеж]]+Y678),
AND(Z678&gt;0,Первоначальный[[#This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платеж]]+Y678),
AND(S678&gt;0,MAX((0&lt;&gt;S$12:S678)*ROW(S$12:S678),ROW($S$12))&gt;=MAX((1=Z$12:Z678)*ROW(Z$12:Z678),ROW($T$12)),TYPE(VLOOKUP("Да",(INDIRECT("AA"&amp;(MAX((1=Z$12:Z678)*ROW(Z$12:Z678),ROW($T$12))&amp;":AA"&amp;(ROW()-1)))),1,0))=16),MIN(LOOKUP(,-1/($Z$12:Z679=1),$C$12:C679)+LOOKUP(,-1/($Z$12:Z679=1),$H$12:H679)-SUM(INDIRECT("T"&amp;(MAX((1=Z$12:Z678)*ROW(Z$12:Z678),ROW($T$12))&amp;":T"&amp;(ROW()-1)))),Первоначальный[[#This Row],[Полученный платеж]]+Y678),
S678&gt;0,MIN(LOOKUP(,-1/($Z$12:Z679=1),$C$12:C679)+LOOKUP(,-1/($Z$12:Z679=1),$H$12:H679)-IF(Z678=1,0,SUM(INDIRECT("T"&amp;(MAX((1=Z$12:Z678)*ROW(Z$12:Z678)+1,ROW($T$12))&amp;":T"&amp;(ROW()-1))))),Первоначальный[[#This Row],[Полученный платеж]]+Y678)
)
)
)</f>
        <v>0</v>
      </c>
      <c r="U67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платеж]]+Y678-Первоначальный[[#This Row],[Полученный платёж по процентам]])</f>
        <v>0</v>
      </c>
      <c r="V679" s="55">
        <f t="shared" ca="1" si="121"/>
        <v>0</v>
      </c>
      <c r="W679" s="55" cm="1">
        <f t="array" aca="1" ref="W679" ca="1">IF(Первоначальный[[#This Row],[Итого остаток на начало периода]]&lt;1,0,
_xlfn.IFS(
AND(TYPE(VLOOKUP(1,$Z$12:Z679,1,0))=16,Первоначальный[[#This Row],[Досрочное погашение (да/"")]]=""),0,
AND(S678=0,Первоначальный[[#This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платеж]]+Y678-SUM(Первоначальный[[#This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комиссиям]]),VLOOKUP(LOOKUP(,-1/($Z$12:Z679=1),$A$12:A679),График[[Срок конец]:[Возврат основной суммы долга]],3,0)),
AND(S678=0,Первоначальный[[#This Row],[Дата платежа из графика]]="",Первоначальный[[#This Row],[Досрочное погашение (да/"")]]&lt;&gt;"Да"),0,
AND(S678=0,Первоначальный[[#This Row],[Досрочное погашение (да/"")]]=""),MIN(Первоначальный[[#This Row],[Полученный платеж]]+Y678-SUM(Первоначальный[[#This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комиссиям]]),VLOOKUP(LOOKUP(,-1/($Z$12:Z679=1),$A$12:A679),График[[Срок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платеж]]+Y678-SUM(Первоначальный[[#This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S678&gt;0,MIN(Первоначальный[[#This Row],[Полученный платеж]]+Y678-SUM(Первоначальный[[#This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комиссиям]]),SUM(INDIRECT("M"&amp;(MAX((1=S$12:S678)*ROW(S$12:S678),ROW($W$12))&amp;":M"&amp;(ROW()))))-SUM(INDIRECT("W"&amp;(MAX((1=S$12:S678)*ROW(S$12:S678),ROW($W$12))&amp;":W"&amp;(ROW()-1)))))
)
)</f>
        <v>0</v>
      </c>
      <c r="X679" s="55">
        <f t="shared" ca="1" si="122"/>
        <v>0</v>
      </c>
      <c r="Y679" s="101">
        <f t="shared" ca="1" si="129"/>
        <v>0</v>
      </c>
      <c r="Z679" s="133" t="str">
        <f>IF(TYPE((VLOOKUP(Первоначальный[[#This Row],[Дата платежа]],График[Срок конец],1,0)))=16,"",1)</f>
        <v/>
      </c>
      <c r="AA679" s="57"/>
      <c r="AB679" s="134"/>
      <c r="AC67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7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47880.839999999967</v>
      </c>
      <c r="AE67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1462.2400000000005</v>
      </c>
      <c r="AF67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7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83163.604385245912</v>
      </c>
      <c r="AH679" s="55"/>
      <c r="AI679" s="55"/>
      <c r="AJ679" s="55"/>
      <c r="AK679" s="101">
        <f t="shared" ca="1" si="130"/>
        <v>282140.02438524587</v>
      </c>
      <c r="AL679" s="129">
        <f t="array" ref="AL679">MAX((УслРестрактов[Характеристика]="Дата реструктуризации")*(УслРестрактов[Значение]=Первоначальный!$A679),0)</f>
        <v>0</v>
      </c>
    </row>
    <row r="680" spans="1:38" x14ac:dyDescent="0.25">
      <c r="A680" s="97">
        <f t="shared" si="123"/>
        <v>44811</v>
      </c>
      <c r="B680" s="100">
        <f t="shared" ca="1" si="124"/>
        <v>149633.34</v>
      </c>
      <c r="C680" s="55">
        <f t="shared" ca="1" si="132"/>
        <v>47880.839999999967</v>
      </c>
      <c r="D680" s="55">
        <f t="shared" ca="1" si="132"/>
        <v>1462.2400000000005</v>
      </c>
      <c r="E680" s="55">
        <f t="shared" ca="1" si="125"/>
        <v>0</v>
      </c>
      <c r="F680" s="55">
        <f t="shared" ca="1" si="126"/>
        <v>83163.604385245912</v>
      </c>
      <c r="G680" s="101">
        <f t="shared" ca="1" si="127"/>
        <v>282140.02438524587</v>
      </c>
      <c r="H680" s="100">
        <f ca="1">ROUND($B680*VLOOKUP($A680,$A$1:$B$10,2,1)/(365+IF(MOD(YEAR($A680),4),0,1)*($A680-$A679)),2)-Первоначальный[[#This Row],[Проценты на просроченный платеж по ОД за период]]</f>
        <v>76.509999999999991</v>
      </c>
      <c r="I680" s="55">
        <f t="shared" ca="1" si="128"/>
        <v>5.07</v>
      </c>
      <c r="J680" s="55">
        <v>0</v>
      </c>
      <c r="K680" s="55">
        <f t="shared" ca="1" si="131"/>
        <v>275.14850327868845</v>
      </c>
      <c r="L680" s="55">
        <v>0</v>
      </c>
      <c r="M680" s="113">
        <f>SUMIFS(График[Возврат основной суммы долга],График[Дата с учетом нерабочих дней],$A680)</f>
        <v>0</v>
      </c>
      <c r="N680" s="56">
        <f>SUMIFS(График[Возврат начисленных %],График[Дата с учетом нерабочих дней],$A680)</f>
        <v>0</v>
      </c>
      <c r="O680" s="101">
        <v>0</v>
      </c>
      <c r="P680" s="100" cm="1">
        <f t="array" aca="1" ref="P680" ca="1">MAX(IF(AA679="Да",0,SUM(INDIRECT("M"&amp;(MAX(("Да"=AA$12:AA679)*ROW(AA$12:AA679)+1,ROW($P$12))&amp;":M"&amp;(ROW()))))-SUM(INDIRECT("W"&amp;(MAX(("Да"=AA$12:AA679)*ROW(AA$12:AA679)+1,ROW($P$12))&amp;":W"&amp;(ROW()))))),0)</f>
        <v>9293.369999999999</v>
      </c>
      <c r="Q680" s="99">
        <f ca="1">MAX(SUM($N$13:N680)-SUM($T$13:T680),0)</f>
        <v>45736.330655737693</v>
      </c>
      <c r="R680" s="99">
        <f ca="1">Первоначальный[[#This Row],[Просроченный платеж по ОД]]+Первоначальный[[#This Row],[Просроченный платеж по процентам]]</f>
        <v>55029.700655737688</v>
      </c>
      <c r="S680" s="120">
        <f ca="1">IF(Первоначальный[[#This Row],[Просроченный платеж]]&lt;1,0,S679+1)</f>
        <v>576</v>
      </c>
      <c r="T680" s="100" cm="1">
        <f t="array" aca="1" ref="T680" ca="1">IF(Первоначальный[[#This Row],[Итого остаток на начало периода]]&lt;1,0,
IF(
AND(TYPE(VLOOKUP(1,$Z$12:Z680,1,0))=16,Первоначальный[[#This Row],[Досрочное погашение (да/"")]]=""),0,
_xlfn.IFS(AND(S679=0,Первоначальный[[#This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платеж]]&lt;&gt;0),MIN(LOOKUP(,-1/($Z$12:Z680=1),$C$12:C680)+LOOKUP(,-1/($Z$12:Z680=1),$H$12:H680),Первоначальный[[#This Row],[Полученный платеж]]+Y679),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платеж]]+Y679,SUM(Первоначальный[[#This Row],[Остаток процентов на начало периода]],Первоначальный[[#This Row],[Проценты за период]])),
AND(S679=0,Первоначальный[[#This Row],[Дата платежа из графика]]=""),0,
AND(S679=0,Первоначальный[[#This Row],[Дата платежа из графика]]=1,MAX((0&lt;&gt;S$12:S679)*ROW(S$12:S679),ROW($S$12))&gt;=MAX((1=Z$12:Z679)*ROW(Z$12:Z679),ROW($T$12)),TYPE(VLOOKUP("Да",(INDIRECT("AA"&amp;(MAX((1=Z$12:Z679)*ROW(Z$12:Z679),ROW($T$12))&amp;":AA"&amp;(ROW()-1)))),1,0))=16),MIN(LOOKUP(,-1/($Z$12:Z680=1),$C$12:C680)+LOOKUP(,-1/($Z$12:Z680=1),$H$12:H680),Первоначальный[[#This Row],[Полученный платеж]]+Y679),
AND(S679=0,TYPE(VLOOKUP("Да",(INDIRECT("AA"&amp;(MAX((1=Z$12:Z679)*ROW(Z$12:Z679),ROW($T$12))&amp;":AA"&amp;(ROW()-1)))),1,0))&lt;&gt;16),MIN(LOOKUP(,-1/($Z$12:Z680=1),$C$12:C680)+LOOKUP(,-1/($Z$12:Z680=1),$H$12:H680)-IF(AA679="Да",0,SUM(INDIRECT("T"&amp;(MAX(("Да"=AA$12:AA679)*ROW(AA$12:AA679)+1,ROW($T$12))&amp;":T"&amp;(ROW()-1))))),Первоначальный[[#This Row],[Полученный платеж]]+Y679),
AND(S679=0,MAX((0&lt;&gt;N$12:N679)*ROW(N$12:N679),ROW($S$12))&gt;=MAX((1=Z$12:Z679)*ROW(Z$12:Z679),ROW($T$12))),MIN(LOOKUP(,-1/($Z$12:Z680=1),$C$12:C680)+LOOKUP(,-1/($Z$12:Z680=1),$H$12:H680)-IF(N679&lt;&gt;0,0,SUM(INDIRECT("T"&amp;(MAX((0&lt;&gt;N$12:N679)*ROW(N$12:N679)+1,ROW($T$12))&amp;":T"&amp;(ROW()-1))))),Первоначальный[[#This Row],[Полученный платеж]]+Y679),
AND(S679=0,Первоначальный[[#This Row],[Дата платежа из графика]]=1),MIN(LOOKUP(,-1/($Z$12:Z680=1),$C$12:C680)+LOOKUP(,-1/($Z$12:Z680=1),$H$12:H680)-IF(Z679=1,0,SUM(INDIRECT("T"&amp;(MAX((1=Z$12:Z679)*ROW(Z$12:Z679)+1,ROW($T$12))&amp;":T"&amp;(ROW()-1))))),Первоначальный[[#This Row],[Полученный платеж]]+Y679),
AND(Z679&gt;0,Первоначальный[[#This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платеж]]+Y679),
AND(S679&gt;0,MAX((0&lt;&gt;S$12:S679)*ROW(S$12:S679),ROW($S$12))&gt;=MAX((1=Z$12:Z679)*ROW(Z$12:Z679),ROW($T$12)),TYPE(VLOOKUP("Да",(INDIRECT("AA"&amp;(MAX((1=Z$12:Z679)*ROW(Z$12:Z679),ROW($T$12))&amp;":AA"&amp;(ROW()-1)))),1,0))=16),MIN(LOOKUP(,-1/($Z$12:Z680=1),$C$12:C680)+LOOKUP(,-1/($Z$12:Z680=1),$H$12:H680)-SUM(INDIRECT("T"&amp;(MAX((1=Z$12:Z679)*ROW(Z$12:Z679),ROW($T$12))&amp;":T"&amp;(ROW()-1)))),Первоначальный[[#This Row],[Полученный платеж]]+Y679),
S679&gt;0,MIN(LOOKUP(,-1/($Z$12:Z680=1),$C$12:C680)+LOOKUP(,-1/($Z$12:Z680=1),$H$12:H680)-IF(Z679=1,0,SUM(INDIRECT("T"&amp;(MAX((1=Z$12:Z679)*ROW(Z$12:Z679)+1,ROW($T$12))&amp;":T"&amp;(ROW()-1))))),Первоначальный[[#This Row],[Полученный платеж]]+Y679)
)
)
)</f>
        <v>0</v>
      </c>
      <c r="U68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платеж]]+Y679-Первоначальный[[#This Row],[Полученный платёж по процентам]])</f>
        <v>0</v>
      </c>
      <c r="V680" s="55">
        <f t="shared" ca="1" si="121"/>
        <v>0</v>
      </c>
      <c r="W680" s="55" cm="1">
        <f t="array" aca="1" ref="W680" ca="1">IF(Первоначальный[[#This Row],[Итого остаток на начало периода]]&lt;1,0,
_xlfn.IFS(
AND(TYPE(VLOOKUP(1,$Z$12:Z680,1,0))=16,Первоначальный[[#This Row],[Досрочное погашение (да/"")]]=""),0,
AND(S679=0,Первоначальный[[#This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платеж]]+Y679-SUM(Первоначальный[[#This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комиссиям]]),VLOOKUP(LOOKUP(,-1/($Z$12:Z680=1),$A$12:A680),График[[Срок конец]:[Возврат основной суммы долга]],3,0)),
AND(S679=0,Первоначальный[[#This Row],[Дата платежа из графика]]="",Первоначальный[[#This Row],[Досрочное погашение (да/"")]]&lt;&gt;"Да"),0,
AND(S679=0,Первоначальный[[#This Row],[Досрочное погашение (да/"")]]=""),MIN(Первоначальный[[#This Row],[Полученный платеж]]+Y679-SUM(Первоначальный[[#This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комиссиям]]),VLOOKUP(LOOKUP(,-1/($Z$12:Z680=1),$A$12:A680),График[[Срок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платеж]]+Y679-SUM(Первоначальный[[#This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S679&gt;0,MIN(Первоначальный[[#This Row],[Полученный платеж]]+Y679-SUM(Первоначальный[[#This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комиссиям]]),SUM(INDIRECT("M"&amp;(MAX((1=S$12:S679)*ROW(S$12:S679),ROW($W$12))&amp;":M"&amp;(ROW()))))-SUM(INDIRECT("W"&amp;(MAX((1=S$12:S679)*ROW(S$12:S679),ROW($W$12))&amp;":W"&amp;(ROW()-1)))))
)
)</f>
        <v>0</v>
      </c>
      <c r="X680" s="55">
        <f t="shared" ca="1" si="122"/>
        <v>0</v>
      </c>
      <c r="Y680" s="101">
        <f t="shared" ca="1" si="129"/>
        <v>0</v>
      </c>
      <c r="Z680" s="133" t="str">
        <f>IF(TYPE((VLOOKUP(Первоначальный[[#This Row],[Дата платежа]],График[Срок конец],1,0)))=16,"",1)</f>
        <v/>
      </c>
      <c r="AA680" s="57"/>
      <c r="AB680" s="134"/>
      <c r="AC68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8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47957.349999999969</v>
      </c>
      <c r="AE68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1467.3100000000004</v>
      </c>
      <c r="AF68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8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83438.752888524599</v>
      </c>
      <c r="AH680" s="55"/>
      <c r="AI680" s="55"/>
      <c r="AJ680" s="55"/>
      <c r="AK680" s="101">
        <f t="shared" ca="1" si="130"/>
        <v>282496.75288852456</v>
      </c>
      <c r="AL680" s="129">
        <f t="array" ref="AL680">MAX((УслРестрактов[Характеристика]="Дата реструктуризации")*(УслРестрактов[Значение]=Первоначальный!$A680),0)</f>
        <v>0</v>
      </c>
    </row>
    <row r="681" spans="1:38" x14ac:dyDescent="0.25">
      <c r="A681" s="97">
        <f t="shared" si="123"/>
        <v>44812</v>
      </c>
      <c r="B681" s="100">
        <f t="shared" ca="1" si="124"/>
        <v>149633.34</v>
      </c>
      <c r="C681" s="55">
        <f t="shared" ca="1" si="132"/>
        <v>47957.349999999969</v>
      </c>
      <c r="D681" s="55">
        <f t="shared" ca="1" si="132"/>
        <v>1467.3100000000004</v>
      </c>
      <c r="E681" s="55">
        <f t="shared" ca="1" si="125"/>
        <v>0</v>
      </c>
      <c r="F681" s="55">
        <f t="shared" ca="1" si="126"/>
        <v>83438.752888524599</v>
      </c>
      <c r="G681" s="101">
        <f t="shared" ca="1" si="127"/>
        <v>282496.75288852456</v>
      </c>
      <c r="H681" s="100">
        <f ca="1">ROUND($B681*VLOOKUP($A681,$A$1:$B$10,2,1)/(365+IF(MOD(YEAR($A681),4),0,1)*($A681-$A680)),2)-Первоначальный[[#This Row],[Проценты на просроченный платеж по ОД за период]]</f>
        <v>76.509999999999991</v>
      </c>
      <c r="I681" s="55">
        <f t="shared" ca="1" si="128"/>
        <v>5.07</v>
      </c>
      <c r="J681" s="55">
        <v>0</v>
      </c>
      <c r="K681" s="55">
        <f t="shared" ca="1" si="131"/>
        <v>275.14850327868845</v>
      </c>
      <c r="L681" s="55">
        <v>0</v>
      </c>
      <c r="M681" s="113">
        <f>SUMIFS(График[Возврат основной суммы долга],График[Дата с учетом нерабочих дней],$A681)</f>
        <v>0</v>
      </c>
      <c r="N681" s="56">
        <f>SUMIFS(График[Возврат начисленных %],График[Дата с учетом нерабочих дней],$A681)</f>
        <v>0</v>
      </c>
      <c r="O681" s="101">
        <v>0</v>
      </c>
      <c r="P681" s="100" cm="1">
        <f t="array" aca="1" ref="P681" ca="1">MAX(IF(AA680="Да",0,SUM(INDIRECT("M"&amp;(MAX(("Да"=AA$12:AA680)*ROW(AA$12:AA680)+1,ROW($P$12))&amp;":M"&amp;(ROW()))))-SUM(INDIRECT("W"&amp;(MAX(("Да"=AA$12:AA680)*ROW(AA$12:AA680)+1,ROW($P$12))&amp;":W"&amp;(ROW()))))),0)</f>
        <v>9293.369999999999</v>
      </c>
      <c r="Q681" s="99">
        <f ca="1">MAX(SUM($N$13:N681)-SUM($T$13:T681),0)</f>
        <v>45736.330655737693</v>
      </c>
      <c r="R681" s="99">
        <f ca="1">Первоначальный[[#This Row],[Просроченный платеж по ОД]]+Первоначальный[[#This Row],[Просроченный платеж по процентам]]</f>
        <v>55029.700655737688</v>
      </c>
      <c r="S681" s="120">
        <f ca="1">IF(Первоначальный[[#This Row],[Просроченный платеж]]&lt;1,0,S680+1)</f>
        <v>577</v>
      </c>
      <c r="T681" s="100" cm="1">
        <f t="array" aca="1" ref="T681" ca="1">IF(Первоначальный[[#This Row],[Итого остаток на начало периода]]&lt;1,0,
IF(
AND(TYPE(VLOOKUP(1,$Z$12:Z681,1,0))=16,Первоначальный[[#This Row],[Досрочное погашение (да/"")]]=""),0,
_xlfn.IFS(AND(S680=0,Первоначальный[[#This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платеж]]&lt;&gt;0),MIN(LOOKUP(,-1/($Z$12:Z681=1),$C$12:C681)+LOOKUP(,-1/($Z$12:Z681=1),$H$12:H681),Первоначальный[[#This Row],[Полученный платеж]]+Y680),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платеж]]+Y680,SUM(Первоначальный[[#This Row],[Остаток процентов на начало периода]],Первоначальный[[#This Row],[Проценты за период]])),
AND(S680=0,Первоначальный[[#This Row],[Дата платежа из графика]]=""),0,
AND(S680=0,Первоначальный[[#This Row],[Дата платежа из графика]]=1,MAX((0&lt;&gt;S$12:S680)*ROW(S$12:S680),ROW($S$12))&gt;=MAX((1=Z$12:Z680)*ROW(Z$12:Z680),ROW($T$12)),TYPE(VLOOKUP("Да",(INDIRECT("AA"&amp;(MAX((1=Z$12:Z680)*ROW(Z$12:Z680),ROW($T$12))&amp;":AA"&amp;(ROW()-1)))),1,0))=16),MIN(LOOKUP(,-1/($Z$12:Z681=1),$C$12:C681)+LOOKUP(,-1/($Z$12:Z681=1),$H$12:H681),Первоначальный[[#This Row],[Полученный платеж]]+Y680),
AND(S680=0,TYPE(VLOOKUP("Да",(INDIRECT("AA"&amp;(MAX((1=Z$12:Z680)*ROW(Z$12:Z680),ROW($T$12))&amp;":AA"&amp;(ROW()-1)))),1,0))&lt;&gt;16),MIN(LOOKUP(,-1/($Z$12:Z681=1),$C$12:C681)+LOOKUP(,-1/($Z$12:Z681=1),$H$12:H681)-IF(AA680="Да",0,SUM(INDIRECT("T"&amp;(MAX(("Да"=AA$12:AA680)*ROW(AA$12:AA680)+1,ROW($T$12))&amp;":T"&amp;(ROW()-1))))),Первоначальный[[#This Row],[Полученный платеж]]+Y680),
AND(S680=0,MAX((0&lt;&gt;N$12:N680)*ROW(N$12:N680),ROW($S$12))&gt;=MAX((1=Z$12:Z680)*ROW(Z$12:Z680),ROW($T$12))),MIN(LOOKUP(,-1/($Z$12:Z681=1),$C$12:C681)+LOOKUP(,-1/($Z$12:Z681=1),$H$12:H681)-IF(N680&lt;&gt;0,0,SUM(INDIRECT("T"&amp;(MAX((0&lt;&gt;N$12:N680)*ROW(N$12:N680)+1,ROW($T$12))&amp;":T"&amp;(ROW()-1))))),Первоначальный[[#This Row],[Полученный платеж]]+Y680),
AND(S680=0,Первоначальный[[#This Row],[Дата платежа из графика]]=1),MIN(LOOKUP(,-1/($Z$12:Z681=1),$C$12:C681)+LOOKUP(,-1/($Z$12:Z681=1),$H$12:H681)-IF(Z680=1,0,SUM(INDIRECT("T"&amp;(MAX((1=Z$12:Z680)*ROW(Z$12:Z680)+1,ROW($T$12))&amp;":T"&amp;(ROW()-1))))),Первоначальный[[#This Row],[Полученный платеж]]+Y680),
AND(Z680&gt;0,Первоначальный[[#This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платеж]]+Y680),
AND(S680&gt;0,MAX((0&lt;&gt;S$12:S680)*ROW(S$12:S680),ROW($S$12))&gt;=MAX((1=Z$12:Z680)*ROW(Z$12:Z680),ROW($T$12)),TYPE(VLOOKUP("Да",(INDIRECT("AA"&amp;(MAX((1=Z$12:Z680)*ROW(Z$12:Z680),ROW($T$12))&amp;":AA"&amp;(ROW()-1)))),1,0))=16),MIN(LOOKUP(,-1/($Z$12:Z681=1),$C$12:C681)+LOOKUP(,-1/($Z$12:Z681=1),$H$12:H681)-SUM(INDIRECT("T"&amp;(MAX((1=Z$12:Z680)*ROW(Z$12:Z680),ROW($T$12))&amp;":T"&amp;(ROW()-1)))),Первоначальный[[#This Row],[Полученный платеж]]+Y680),
S680&gt;0,MIN(LOOKUP(,-1/($Z$12:Z681=1),$C$12:C681)+LOOKUP(,-1/($Z$12:Z681=1),$H$12:H681)-IF(Z680=1,0,SUM(INDIRECT("T"&amp;(MAX((1=Z$12:Z680)*ROW(Z$12:Z680)+1,ROW($T$12))&amp;":T"&amp;(ROW()-1))))),Первоначальный[[#This Row],[Полученный платеж]]+Y680)
)
)
)</f>
        <v>0</v>
      </c>
      <c r="U68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платеж]]+Y680-Первоначальный[[#This Row],[Полученный платёж по процентам]])</f>
        <v>0</v>
      </c>
      <c r="V681" s="55">
        <f t="shared" ca="1" si="121"/>
        <v>0</v>
      </c>
      <c r="W681" s="55" cm="1">
        <f t="array" aca="1" ref="W681" ca="1">IF(Первоначальный[[#This Row],[Итого остаток на начало периода]]&lt;1,0,
_xlfn.IFS(
AND(TYPE(VLOOKUP(1,$Z$12:Z681,1,0))=16,Первоначальный[[#This Row],[Досрочное погашение (да/"")]]=""),0,
AND(S680=0,Первоначальный[[#This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платеж]]+Y680-SUM(Первоначальный[[#This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комиссиям]]),VLOOKUP(LOOKUP(,-1/($Z$12:Z681=1),$A$12:A681),График[[Срок конец]:[Возврат основной суммы долга]],3,0)),
AND(S680=0,Первоначальный[[#This Row],[Дата платежа из графика]]="",Первоначальный[[#This Row],[Досрочное погашение (да/"")]]&lt;&gt;"Да"),0,
AND(S680=0,Первоначальный[[#This Row],[Досрочное погашение (да/"")]]=""),MIN(Первоначальный[[#This Row],[Полученный платеж]]+Y680-SUM(Первоначальный[[#This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комиссиям]]),VLOOKUP(LOOKUP(,-1/($Z$12:Z681=1),$A$12:A681),График[[Срок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платеж]]+Y680-SUM(Первоначальный[[#This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S680&gt;0,MIN(Первоначальный[[#This Row],[Полученный платеж]]+Y680-SUM(Первоначальный[[#This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комиссиям]]),SUM(INDIRECT("M"&amp;(MAX((1=S$12:S680)*ROW(S$12:S680),ROW($W$12))&amp;":M"&amp;(ROW()))))-SUM(INDIRECT("W"&amp;(MAX((1=S$12:S680)*ROW(S$12:S680),ROW($W$12))&amp;":W"&amp;(ROW()-1)))))
)
)</f>
        <v>0</v>
      </c>
      <c r="X681" s="55">
        <f t="shared" ca="1" si="122"/>
        <v>0</v>
      </c>
      <c r="Y681" s="101">
        <f t="shared" ca="1" si="129"/>
        <v>0</v>
      </c>
      <c r="Z681" s="133" t="str">
        <f>IF(TYPE((VLOOKUP(Первоначальный[[#This Row],[Дата платежа]],График[Срок конец],1,0)))=16,"",1)</f>
        <v/>
      </c>
      <c r="AA681" s="57"/>
      <c r="AB681" s="134"/>
      <c r="AC68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8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48033.859999999971</v>
      </c>
      <c r="AE68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1472.3800000000003</v>
      </c>
      <c r="AF68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8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83713.901391803287</v>
      </c>
      <c r="AH681" s="55"/>
      <c r="AI681" s="55"/>
      <c r="AJ681" s="55"/>
      <c r="AK681" s="101">
        <f t="shared" ca="1" si="130"/>
        <v>282853.48139180325</v>
      </c>
      <c r="AL681" s="129">
        <f t="array" ref="AL681">MAX((УслРестрактов[Характеристика]="Дата реструктуризации")*(УслРестрактов[Значение]=Первоначальный!$A681),0)</f>
        <v>0</v>
      </c>
    </row>
    <row r="682" spans="1:38" x14ac:dyDescent="0.25">
      <c r="A682" s="97">
        <f t="shared" si="123"/>
        <v>44813</v>
      </c>
      <c r="B682" s="100">
        <f t="shared" ca="1" si="124"/>
        <v>149633.34</v>
      </c>
      <c r="C682" s="55">
        <f t="shared" ca="1" si="132"/>
        <v>48033.859999999971</v>
      </c>
      <c r="D682" s="55">
        <f t="shared" ca="1" si="132"/>
        <v>1472.3800000000003</v>
      </c>
      <c r="E682" s="55">
        <f t="shared" ca="1" si="125"/>
        <v>0</v>
      </c>
      <c r="F682" s="55">
        <f t="shared" ca="1" si="126"/>
        <v>83713.901391803287</v>
      </c>
      <c r="G682" s="101">
        <f t="shared" ca="1" si="127"/>
        <v>282853.48139180325</v>
      </c>
      <c r="H682" s="100">
        <f ca="1">ROUND($B682*VLOOKUP($A682,$A$1:$B$10,2,1)/(365+IF(MOD(YEAR($A682),4),0,1)*($A682-$A681)),2)-Первоначальный[[#This Row],[Проценты на просроченный платеж по ОД за период]]</f>
        <v>76.509999999999991</v>
      </c>
      <c r="I682" s="55">
        <f t="shared" ca="1" si="128"/>
        <v>5.07</v>
      </c>
      <c r="J682" s="55">
        <v>0</v>
      </c>
      <c r="K682" s="55">
        <f t="shared" ca="1" si="131"/>
        <v>289.63350327868847</v>
      </c>
      <c r="L682" s="55">
        <v>0</v>
      </c>
      <c r="M682" s="113">
        <f>SUMIFS(График[Возврат основной суммы долга],График[Дата с учетом нерабочих дней],$A682)</f>
        <v>525.05999999999995</v>
      </c>
      <c r="N682" s="56">
        <f>SUMIFS(График[Возврат начисленных %],График[Дата с учетом нерабочих дней],$A682)</f>
        <v>2371.94</v>
      </c>
      <c r="O682" s="101">
        <v>0</v>
      </c>
      <c r="P682" s="100" cm="1">
        <f t="array" aca="1" ref="P682" ca="1">MAX(IF(AA681="Да",0,SUM(INDIRECT("M"&amp;(MAX(("Да"=AA$12:AA681)*ROW(AA$12:AA681)+1,ROW($P$12))&amp;":M"&amp;(ROW()))))-SUM(INDIRECT("W"&amp;(MAX(("Да"=AA$12:AA681)*ROW(AA$12:AA681)+1,ROW($P$12))&amp;":W"&amp;(ROW()))))),0)</f>
        <v>9818.4299999999985</v>
      </c>
      <c r="Q682" s="99">
        <f ca="1">MAX(SUM($N$13:N682)-SUM($T$13:T682),0)</f>
        <v>48108.270655737695</v>
      </c>
      <c r="R682" s="99">
        <f ca="1">Первоначальный[[#This Row],[Просроченный платеж по ОД]]+Первоначальный[[#This Row],[Просроченный платеж по процентам]]</f>
        <v>57926.700655737695</v>
      </c>
      <c r="S682" s="120">
        <f ca="1">IF(Первоначальный[[#This Row],[Просроченный платеж]]&lt;1,0,S681+1)</f>
        <v>578</v>
      </c>
      <c r="T682" s="100" cm="1">
        <f t="array" aca="1" ref="T682" ca="1">IF(Первоначальный[[#This Row],[Итого остаток на начало периода]]&lt;1,0,
IF(
AND(TYPE(VLOOKUP(1,$Z$12:Z682,1,0))=16,Первоначальный[[#This Row],[Досрочное погашение (да/"")]]=""),0,
_xlfn.IFS(AND(S681=0,Первоначальный[[#This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платеж]]&lt;&gt;0),MIN(LOOKUP(,-1/($Z$12:Z682=1),$C$12:C682)+LOOKUP(,-1/($Z$12:Z682=1),$H$12:H682),Первоначальный[[#This Row],[Полученный платеж]]+Y681),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платеж]]+Y681,SUM(Первоначальный[[#This Row],[Остаток процентов на начало периода]],Первоначальный[[#This Row],[Проценты за период]])),
AND(S681=0,Первоначальный[[#This Row],[Дата платежа из графика]]=""),0,
AND(S681=0,Первоначальный[[#This Row],[Дата платежа из графика]]=1,MAX((0&lt;&gt;S$12:S681)*ROW(S$12:S681),ROW($S$12))&gt;=MAX((1=Z$12:Z681)*ROW(Z$12:Z681),ROW($T$12)),TYPE(VLOOKUP("Да",(INDIRECT("AA"&amp;(MAX((1=Z$12:Z681)*ROW(Z$12:Z681),ROW($T$12))&amp;":AA"&amp;(ROW()-1)))),1,0))=16),MIN(LOOKUP(,-1/($Z$12:Z682=1),$C$12:C682)+LOOKUP(,-1/($Z$12:Z682=1),$H$12:H682),Первоначальный[[#This Row],[Полученный платеж]]+Y681),
AND(S681=0,TYPE(VLOOKUP("Да",(INDIRECT("AA"&amp;(MAX((1=Z$12:Z681)*ROW(Z$12:Z681),ROW($T$12))&amp;":AA"&amp;(ROW()-1)))),1,0))&lt;&gt;16),MIN(LOOKUP(,-1/($Z$12:Z682=1),$C$12:C682)+LOOKUP(,-1/($Z$12:Z682=1),$H$12:H682)-IF(AA681="Да",0,SUM(INDIRECT("T"&amp;(MAX(("Да"=AA$12:AA681)*ROW(AA$12:AA681)+1,ROW($T$12))&amp;":T"&amp;(ROW()-1))))),Первоначальный[[#This Row],[Полученный платеж]]+Y681),
AND(S681=0,MAX((0&lt;&gt;N$12:N681)*ROW(N$12:N681),ROW($S$12))&gt;=MAX((1=Z$12:Z681)*ROW(Z$12:Z681),ROW($T$12))),MIN(LOOKUP(,-1/($Z$12:Z682=1),$C$12:C682)+LOOKUP(,-1/($Z$12:Z682=1),$H$12:H682)-IF(N681&lt;&gt;0,0,SUM(INDIRECT("T"&amp;(MAX((0&lt;&gt;N$12:N681)*ROW(N$12:N681)+1,ROW($T$12))&amp;":T"&amp;(ROW()-1))))),Первоначальный[[#This Row],[Полученный платеж]]+Y681),
AND(S681=0,Первоначальный[[#This Row],[Дата платежа из графика]]=1),MIN(LOOKUP(,-1/($Z$12:Z682=1),$C$12:C682)+LOOKUP(,-1/($Z$12:Z682=1),$H$12:H682)-IF(Z681=1,0,SUM(INDIRECT("T"&amp;(MAX((1=Z$12:Z681)*ROW(Z$12:Z681)+1,ROW($T$12))&amp;":T"&amp;(ROW()-1))))),Первоначальный[[#This Row],[Полученный платеж]]+Y681),
AND(Z681&gt;0,Первоначальный[[#This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платеж]]+Y681),
AND(S681&gt;0,MAX((0&lt;&gt;S$12:S681)*ROW(S$12:S681),ROW($S$12))&gt;=MAX((1=Z$12:Z681)*ROW(Z$12:Z681),ROW($T$12)),TYPE(VLOOKUP("Да",(INDIRECT("AA"&amp;(MAX((1=Z$12:Z681)*ROW(Z$12:Z681),ROW($T$12))&amp;":AA"&amp;(ROW()-1)))),1,0))=16),MIN(LOOKUP(,-1/($Z$12:Z682=1),$C$12:C682)+LOOKUP(,-1/($Z$12:Z682=1),$H$12:H682)-SUM(INDIRECT("T"&amp;(MAX((1=Z$12:Z681)*ROW(Z$12:Z681),ROW($T$12))&amp;":T"&amp;(ROW()-1)))),Первоначальный[[#This Row],[Полученный платеж]]+Y681),
S681&gt;0,MIN(LOOKUP(,-1/($Z$12:Z682=1),$C$12:C682)+LOOKUP(,-1/($Z$12:Z682=1),$H$12:H682)-IF(Z681=1,0,SUM(INDIRECT("T"&amp;(MAX((1=Z$12:Z681)*ROW(Z$12:Z681)+1,ROW($T$12))&amp;":T"&amp;(ROW()-1))))),Первоначальный[[#This Row],[Полученный платеж]]+Y681)
)
)
)</f>
        <v>0</v>
      </c>
      <c r="U68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платеж]]+Y681-Первоначальный[[#This Row],[Полученный платёж по процентам]])</f>
        <v>0</v>
      </c>
      <c r="V682" s="55">
        <f t="shared" ca="1" si="121"/>
        <v>0</v>
      </c>
      <c r="W682" s="55" cm="1">
        <f t="array" aca="1" ref="W682" ca="1">IF(Первоначальный[[#This Row],[Итого остаток на начало периода]]&lt;1,0,
_xlfn.IFS(
AND(TYPE(VLOOKUP(1,$Z$12:Z682,1,0))=16,Первоначальный[[#This Row],[Досрочное погашение (да/"")]]=""),0,
AND(S681=0,Первоначальный[[#This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платеж]]+Y681-SUM(Первоначальный[[#This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комиссиям]]),VLOOKUP(LOOKUP(,-1/($Z$12:Z682=1),$A$12:A682),График[[Срок конец]:[Возврат основной суммы долга]],3,0)),
AND(S681=0,Первоначальный[[#This Row],[Дата платежа из графика]]="",Первоначальный[[#This Row],[Досрочное погашение (да/"")]]&lt;&gt;"Да"),0,
AND(S681=0,Первоначальный[[#This Row],[Досрочное погашение (да/"")]]=""),MIN(Первоначальный[[#This Row],[Полученный платеж]]+Y681-SUM(Первоначальный[[#This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комиссиям]]),VLOOKUP(LOOKUP(,-1/($Z$12:Z682=1),$A$12:A682),График[[Срок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платеж]]+Y681-SUM(Первоначальный[[#This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S681&gt;0,MIN(Первоначальный[[#This Row],[Полученный платеж]]+Y681-SUM(Первоначальный[[#This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комиссиям]]),SUM(INDIRECT("M"&amp;(MAX((1=S$12:S681)*ROW(S$12:S681),ROW($W$12))&amp;":M"&amp;(ROW()))))-SUM(INDIRECT("W"&amp;(MAX((1=S$12:S681)*ROW(S$12:S681),ROW($W$12))&amp;":W"&amp;(ROW()-1)))))
)
)</f>
        <v>0</v>
      </c>
      <c r="X682" s="55">
        <f t="shared" ca="1" si="122"/>
        <v>0</v>
      </c>
      <c r="Y682" s="101">
        <f t="shared" ca="1" si="129"/>
        <v>0</v>
      </c>
      <c r="Z682" s="133">
        <f>IF(TYPE((VLOOKUP(Первоначальный[[#This Row],[Дата платежа]],График[Срок конец],1,0)))=16,"",1)</f>
        <v>1</v>
      </c>
      <c r="AA682" s="57"/>
      <c r="AB682" s="134"/>
      <c r="AC68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8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48110.369999999974</v>
      </c>
      <c r="AE68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1477.4500000000003</v>
      </c>
      <c r="AF68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8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84003.534895081975</v>
      </c>
      <c r="AH682" s="55"/>
      <c r="AI682" s="55"/>
      <c r="AJ682" s="55"/>
      <c r="AK682" s="101">
        <f t="shared" ca="1" si="130"/>
        <v>283224.69489508192</v>
      </c>
      <c r="AL682" s="129">
        <f t="array" ref="AL682">MAX((УслРестрактов[Характеристика]="Дата реструктуризации")*(УслРестрактов[Значение]=Первоначальный!$A682),0)</f>
        <v>0</v>
      </c>
    </row>
    <row r="683" spans="1:38" x14ac:dyDescent="0.25">
      <c r="A683" s="97">
        <f t="shared" si="123"/>
        <v>44814</v>
      </c>
      <c r="B683" s="100">
        <f t="shared" ca="1" si="124"/>
        <v>149633.34</v>
      </c>
      <c r="C683" s="55">
        <f t="shared" ca="1" si="132"/>
        <v>48110.369999999974</v>
      </c>
      <c r="D683" s="55">
        <f t="shared" ca="1" si="132"/>
        <v>1477.4500000000003</v>
      </c>
      <c r="E683" s="55">
        <f t="shared" ca="1" si="125"/>
        <v>0</v>
      </c>
      <c r="F683" s="55">
        <f t="shared" ca="1" si="126"/>
        <v>84003.534895081975</v>
      </c>
      <c r="G683" s="101">
        <f t="shared" ca="1" si="127"/>
        <v>283224.69489508192</v>
      </c>
      <c r="H683" s="100">
        <f ca="1">ROUND($B683*VLOOKUP($A683,$A$1:$B$10,2,1)/(365+IF(MOD(YEAR($A683),4),0,1)*($A683-$A682)),2)-Первоначальный[[#This Row],[Проценты на просроченный платеж по ОД за период]]</f>
        <v>76.23</v>
      </c>
      <c r="I683" s="55">
        <f t="shared" ca="1" si="128"/>
        <v>5.35</v>
      </c>
      <c r="J683" s="55">
        <v>0</v>
      </c>
      <c r="K683" s="55">
        <f t="shared" ca="1" si="131"/>
        <v>289.63350327868847</v>
      </c>
      <c r="L683" s="55">
        <v>0</v>
      </c>
      <c r="M683" s="113">
        <f>SUMIFS(График[Возврат основной суммы долга],График[Дата с учетом нерабочих дней],$A683)</f>
        <v>0</v>
      </c>
      <c r="N683" s="56">
        <f>SUMIFS(График[Возврат начисленных %],График[Дата с учетом нерабочих дней],$A683)</f>
        <v>0</v>
      </c>
      <c r="O683" s="101">
        <v>0</v>
      </c>
      <c r="P683" s="100" cm="1">
        <f t="array" aca="1" ref="P683" ca="1">MAX(IF(AA682="Да",0,SUM(INDIRECT("M"&amp;(MAX(("Да"=AA$12:AA682)*ROW(AA$12:AA682)+1,ROW($P$12))&amp;":M"&amp;(ROW()))))-SUM(INDIRECT("W"&amp;(MAX(("Да"=AA$12:AA682)*ROW(AA$12:AA682)+1,ROW($P$12))&amp;":W"&amp;(ROW()))))),0)</f>
        <v>9818.4299999999985</v>
      </c>
      <c r="Q683" s="99">
        <f ca="1">MAX(SUM($N$13:N683)-SUM($T$13:T683),0)</f>
        <v>48108.270655737695</v>
      </c>
      <c r="R683" s="99">
        <f ca="1">Первоначальный[[#This Row],[Просроченный платеж по ОД]]+Первоначальный[[#This Row],[Просроченный платеж по процентам]]</f>
        <v>57926.700655737695</v>
      </c>
      <c r="S683" s="120">
        <f ca="1">IF(Первоначальный[[#This Row],[Просроченный платеж]]&lt;1,0,S682+1)</f>
        <v>579</v>
      </c>
      <c r="T683" s="100" cm="1">
        <f t="array" aca="1" ref="T683" ca="1">IF(Первоначальный[[#This Row],[Итого остаток на начало периода]]&lt;1,0,
IF(
AND(TYPE(VLOOKUP(1,$Z$12:Z683,1,0))=16,Первоначальный[[#This Row],[Досрочное погашение (да/"")]]=""),0,
_xlfn.IFS(AND(S682=0,Первоначальный[[#This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платеж]]&lt;&gt;0),MIN(LOOKUP(,-1/($Z$12:Z683=1),$C$12:C683)+LOOKUP(,-1/($Z$12:Z683=1),$H$12:H683),Первоначальный[[#This Row],[Полученный платеж]]+Y682),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платеж]]+Y682,SUM(Первоначальный[[#This Row],[Остаток процентов на начало периода]],Первоначальный[[#This Row],[Проценты за период]])),
AND(S682=0,Первоначальный[[#This Row],[Дата платежа из графика]]=""),0,
AND(S682=0,Первоначальный[[#This Row],[Дата платежа из графика]]=1,MAX((0&lt;&gt;S$12:S682)*ROW(S$12:S682),ROW($S$12))&gt;=MAX((1=Z$12:Z682)*ROW(Z$12:Z682),ROW($T$12)),TYPE(VLOOKUP("Да",(INDIRECT("AA"&amp;(MAX((1=Z$12:Z682)*ROW(Z$12:Z682),ROW($T$12))&amp;":AA"&amp;(ROW()-1)))),1,0))=16),MIN(LOOKUP(,-1/($Z$12:Z683=1),$C$12:C683)+LOOKUP(,-1/($Z$12:Z683=1),$H$12:H683),Первоначальный[[#This Row],[Полученный платеж]]+Y682),
AND(S682=0,TYPE(VLOOKUP("Да",(INDIRECT("AA"&amp;(MAX((1=Z$12:Z682)*ROW(Z$12:Z682),ROW($T$12))&amp;":AA"&amp;(ROW()-1)))),1,0))&lt;&gt;16),MIN(LOOKUP(,-1/($Z$12:Z683=1),$C$12:C683)+LOOKUP(,-1/($Z$12:Z683=1),$H$12:H683)-IF(AA682="Да",0,SUM(INDIRECT("T"&amp;(MAX(("Да"=AA$12:AA682)*ROW(AA$12:AA682)+1,ROW($T$12))&amp;":T"&amp;(ROW()-1))))),Первоначальный[[#This Row],[Полученный платеж]]+Y682),
AND(S682=0,MAX((0&lt;&gt;N$12:N682)*ROW(N$12:N682),ROW($S$12))&gt;=MAX((1=Z$12:Z682)*ROW(Z$12:Z682),ROW($T$12))),MIN(LOOKUP(,-1/($Z$12:Z683=1),$C$12:C683)+LOOKUP(,-1/($Z$12:Z683=1),$H$12:H683)-IF(N682&lt;&gt;0,0,SUM(INDIRECT("T"&amp;(MAX((0&lt;&gt;N$12:N682)*ROW(N$12:N682)+1,ROW($T$12))&amp;":T"&amp;(ROW()-1))))),Первоначальный[[#This Row],[Полученный платеж]]+Y682),
AND(S682=0,Первоначальный[[#This Row],[Дата платежа из графика]]=1),MIN(LOOKUP(,-1/($Z$12:Z683=1),$C$12:C683)+LOOKUP(,-1/($Z$12:Z683=1),$H$12:H683)-IF(Z682=1,0,SUM(INDIRECT("T"&amp;(MAX((1=Z$12:Z682)*ROW(Z$12:Z682)+1,ROW($T$12))&amp;":T"&amp;(ROW()-1))))),Первоначальный[[#This Row],[Полученный платеж]]+Y682),
AND(Z682&gt;0,Первоначальный[[#This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платеж]]+Y682),
AND(S682&gt;0,MAX((0&lt;&gt;S$12:S682)*ROW(S$12:S682),ROW($S$12))&gt;=MAX((1=Z$12:Z682)*ROW(Z$12:Z682),ROW($T$12)),TYPE(VLOOKUP("Да",(INDIRECT("AA"&amp;(MAX((1=Z$12:Z682)*ROW(Z$12:Z682),ROW($T$12))&amp;":AA"&amp;(ROW()-1)))),1,0))=16),MIN(LOOKUP(,-1/($Z$12:Z683=1),$C$12:C683)+LOOKUP(,-1/($Z$12:Z683=1),$H$12:H683)-SUM(INDIRECT("T"&amp;(MAX((1=Z$12:Z682)*ROW(Z$12:Z682),ROW($T$12))&amp;":T"&amp;(ROW()-1)))),Первоначальный[[#This Row],[Полученный платеж]]+Y682),
S682&gt;0,MIN(LOOKUP(,-1/($Z$12:Z683=1),$C$12:C683)+LOOKUP(,-1/($Z$12:Z683=1),$H$12:H683)-IF(Z682=1,0,SUM(INDIRECT("T"&amp;(MAX((1=Z$12:Z682)*ROW(Z$12:Z682)+1,ROW($T$12))&amp;":T"&amp;(ROW()-1))))),Первоначальный[[#This Row],[Полученный платеж]]+Y682)
)
)
)</f>
        <v>0</v>
      </c>
      <c r="U68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платеж]]+Y682-Первоначальный[[#This Row],[Полученный платёж по процентам]])</f>
        <v>0</v>
      </c>
      <c r="V683" s="55">
        <f t="shared" ca="1" si="121"/>
        <v>0</v>
      </c>
      <c r="W683" s="55" cm="1">
        <f t="array" aca="1" ref="W683" ca="1">IF(Первоначальный[[#This Row],[Итого остаток на начало периода]]&lt;1,0,
_xlfn.IFS(
AND(TYPE(VLOOKUP(1,$Z$12:Z683,1,0))=16,Первоначальный[[#This Row],[Досрочное погашение (да/"")]]=""),0,
AND(S682=0,Первоначальный[[#This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платеж]]+Y682-SUM(Первоначальный[[#This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комиссиям]]),VLOOKUP(LOOKUP(,-1/($Z$12:Z683=1),$A$12:A683),График[[Срок конец]:[Возврат основной суммы долга]],3,0)),
AND(S682=0,Первоначальный[[#This Row],[Дата платежа из графика]]="",Первоначальный[[#This Row],[Досрочное погашение (да/"")]]&lt;&gt;"Да"),0,
AND(S682=0,Первоначальный[[#This Row],[Досрочное погашение (да/"")]]=""),MIN(Первоначальный[[#This Row],[Полученный платеж]]+Y682-SUM(Первоначальный[[#This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комиссиям]]),VLOOKUP(LOOKUP(,-1/($Z$12:Z683=1),$A$12:A683),График[[Срок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платеж]]+Y682-SUM(Первоначальный[[#This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S682&gt;0,MIN(Первоначальный[[#This Row],[Полученный платеж]]+Y682-SUM(Первоначальный[[#This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комиссиям]]),SUM(INDIRECT("M"&amp;(MAX((1=S$12:S682)*ROW(S$12:S682),ROW($W$12))&amp;":M"&amp;(ROW()))))-SUM(INDIRECT("W"&amp;(MAX((1=S$12:S682)*ROW(S$12:S682),ROW($W$12))&amp;":W"&amp;(ROW()-1)))))
)
)</f>
        <v>0</v>
      </c>
      <c r="X683" s="55">
        <f t="shared" ca="1" si="122"/>
        <v>0</v>
      </c>
      <c r="Y683" s="101">
        <f t="shared" ca="1" si="129"/>
        <v>0</v>
      </c>
      <c r="Z683" s="133" t="str">
        <f>IF(TYPE((VLOOKUP(Первоначальный[[#This Row],[Дата платежа]],График[Срок конец],1,0)))=16,"",1)</f>
        <v/>
      </c>
      <c r="AA683" s="57"/>
      <c r="AB683" s="134"/>
      <c r="AC68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8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48186.599999999977</v>
      </c>
      <c r="AE68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1482.8000000000002</v>
      </c>
      <c r="AF68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8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84293.168398360664</v>
      </c>
      <c r="AH683" s="55"/>
      <c r="AI683" s="55"/>
      <c r="AJ683" s="55"/>
      <c r="AK683" s="101">
        <f t="shared" ca="1" si="130"/>
        <v>283595.9083983606</v>
      </c>
      <c r="AL683" s="129">
        <f t="array" ref="AL683">MAX((УслРестрактов[Характеристика]="Дата реструктуризации")*(УслРестрактов[Значение]=Первоначальный!$A683),0)</f>
        <v>0</v>
      </c>
    </row>
    <row r="684" spans="1:38" x14ac:dyDescent="0.25">
      <c r="A684" s="97">
        <f t="shared" si="123"/>
        <v>44815</v>
      </c>
      <c r="B684" s="100">
        <f t="shared" ca="1" si="124"/>
        <v>149633.34</v>
      </c>
      <c r="C684" s="55">
        <f t="shared" ca="1" si="132"/>
        <v>48186.599999999977</v>
      </c>
      <c r="D684" s="55">
        <f t="shared" ca="1" si="132"/>
        <v>1482.8000000000002</v>
      </c>
      <c r="E684" s="55">
        <f t="shared" ca="1" si="125"/>
        <v>0</v>
      </c>
      <c r="F684" s="55">
        <f t="shared" ca="1" si="126"/>
        <v>84293.168398360664</v>
      </c>
      <c r="G684" s="101">
        <f t="shared" ca="1" si="127"/>
        <v>283595.9083983606</v>
      </c>
      <c r="H684" s="100">
        <f ca="1">ROUND($B684*VLOOKUP($A684,$A$1:$B$10,2,1)/(365+IF(MOD(YEAR($A684),4),0,1)*($A684-$A683)),2)-Первоначальный[[#This Row],[Проценты на просроченный платеж по ОД за период]]</f>
        <v>76.23</v>
      </c>
      <c r="I684" s="55">
        <f t="shared" ca="1" si="128"/>
        <v>5.35</v>
      </c>
      <c r="J684" s="55">
        <v>0</v>
      </c>
      <c r="K684" s="55">
        <f t="shared" ca="1" si="131"/>
        <v>289.63350327868847</v>
      </c>
      <c r="L684" s="55">
        <v>0</v>
      </c>
      <c r="M684" s="113">
        <f>SUMIFS(График[Возврат основной суммы долга],График[Дата с учетом нерабочих дней],$A684)</f>
        <v>0</v>
      </c>
      <c r="N684" s="56">
        <f>SUMIFS(График[Возврат начисленных %],График[Дата с учетом нерабочих дней],$A684)</f>
        <v>0</v>
      </c>
      <c r="O684" s="101">
        <v>0</v>
      </c>
      <c r="P684" s="100" cm="1">
        <f t="array" aca="1" ref="P684" ca="1">MAX(IF(AA683="Да",0,SUM(INDIRECT("M"&amp;(MAX(("Да"=AA$12:AA683)*ROW(AA$12:AA683)+1,ROW($P$12))&amp;":M"&amp;(ROW()))))-SUM(INDIRECT("W"&amp;(MAX(("Да"=AA$12:AA683)*ROW(AA$12:AA683)+1,ROW($P$12))&amp;":W"&amp;(ROW()))))),0)</f>
        <v>9818.4299999999985</v>
      </c>
      <c r="Q684" s="99">
        <f ca="1">MAX(SUM($N$13:N684)-SUM($T$13:T684),0)</f>
        <v>48108.270655737695</v>
      </c>
      <c r="R684" s="99">
        <f ca="1">Первоначальный[[#This Row],[Просроченный платеж по ОД]]+Первоначальный[[#This Row],[Просроченный платеж по процентам]]</f>
        <v>57926.700655737695</v>
      </c>
      <c r="S684" s="120">
        <f ca="1">IF(Первоначальный[[#This Row],[Просроченный платеж]]&lt;1,0,S683+1)</f>
        <v>580</v>
      </c>
      <c r="T684" s="100" cm="1">
        <f t="array" aca="1" ref="T684" ca="1">IF(Первоначальный[[#This Row],[Итого остаток на начало периода]]&lt;1,0,
IF(
AND(TYPE(VLOOKUP(1,$Z$12:Z684,1,0))=16,Первоначальный[[#This Row],[Досрочное погашение (да/"")]]=""),0,
_xlfn.IFS(AND(S683=0,Первоначальный[[#This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платеж]]&lt;&gt;0),MIN(LOOKUP(,-1/($Z$12:Z684=1),$C$12:C684)+LOOKUP(,-1/($Z$12:Z684=1),$H$12:H684),Первоначальный[[#This Row],[Полученный платеж]]+Y683),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платеж]]+Y683,SUM(Первоначальный[[#This Row],[Остаток процентов на начало периода]],Первоначальный[[#This Row],[Проценты за период]])),
AND(S683=0,Первоначальный[[#This Row],[Дата платежа из графика]]=""),0,
AND(S683=0,Первоначальный[[#This Row],[Дата платежа из графика]]=1,MAX((0&lt;&gt;S$12:S683)*ROW(S$12:S683),ROW($S$12))&gt;=MAX((1=Z$12:Z683)*ROW(Z$12:Z683),ROW($T$12)),TYPE(VLOOKUP("Да",(INDIRECT("AA"&amp;(MAX((1=Z$12:Z683)*ROW(Z$12:Z683),ROW($T$12))&amp;":AA"&amp;(ROW()-1)))),1,0))=16),MIN(LOOKUP(,-1/($Z$12:Z684=1),$C$12:C684)+LOOKUP(,-1/($Z$12:Z684=1),$H$12:H684),Первоначальный[[#This Row],[Полученный платеж]]+Y683),
AND(S683=0,TYPE(VLOOKUP("Да",(INDIRECT("AA"&amp;(MAX((1=Z$12:Z683)*ROW(Z$12:Z683),ROW($T$12))&amp;":AA"&amp;(ROW()-1)))),1,0))&lt;&gt;16),MIN(LOOKUP(,-1/($Z$12:Z684=1),$C$12:C684)+LOOKUP(,-1/($Z$12:Z684=1),$H$12:H684)-IF(AA683="Да",0,SUM(INDIRECT("T"&amp;(MAX(("Да"=AA$12:AA683)*ROW(AA$12:AA683)+1,ROW($T$12))&amp;":T"&amp;(ROW()-1))))),Первоначальный[[#This Row],[Полученный платеж]]+Y683),
AND(S683=0,MAX((0&lt;&gt;N$12:N683)*ROW(N$12:N683),ROW($S$12))&gt;=MAX((1=Z$12:Z683)*ROW(Z$12:Z683),ROW($T$12))),MIN(LOOKUP(,-1/($Z$12:Z684=1),$C$12:C684)+LOOKUP(,-1/($Z$12:Z684=1),$H$12:H684)-IF(N683&lt;&gt;0,0,SUM(INDIRECT("T"&amp;(MAX((0&lt;&gt;N$12:N683)*ROW(N$12:N683)+1,ROW($T$12))&amp;":T"&amp;(ROW()-1))))),Первоначальный[[#This Row],[Полученный платеж]]+Y683),
AND(S683=0,Первоначальный[[#This Row],[Дата платежа из графика]]=1),MIN(LOOKUP(,-1/($Z$12:Z684=1),$C$12:C684)+LOOKUP(,-1/($Z$12:Z684=1),$H$12:H684)-IF(Z683=1,0,SUM(INDIRECT("T"&amp;(MAX((1=Z$12:Z683)*ROW(Z$12:Z683)+1,ROW($T$12))&amp;":T"&amp;(ROW()-1))))),Первоначальный[[#This Row],[Полученный платеж]]+Y683),
AND(Z683&gt;0,Первоначальный[[#This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платеж]]+Y683),
AND(S683&gt;0,MAX((0&lt;&gt;S$12:S683)*ROW(S$12:S683),ROW($S$12))&gt;=MAX((1=Z$12:Z683)*ROW(Z$12:Z683),ROW($T$12)),TYPE(VLOOKUP("Да",(INDIRECT("AA"&amp;(MAX((1=Z$12:Z683)*ROW(Z$12:Z683),ROW($T$12))&amp;":AA"&amp;(ROW()-1)))),1,0))=16),MIN(LOOKUP(,-1/($Z$12:Z684=1),$C$12:C684)+LOOKUP(,-1/($Z$12:Z684=1),$H$12:H684)-SUM(INDIRECT("T"&amp;(MAX((1=Z$12:Z683)*ROW(Z$12:Z683),ROW($T$12))&amp;":T"&amp;(ROW()-1)))),Первоначальный[[#This Row],[Полученный платеж]]+Y683),
S683&gt;0,MIN(LOOKUP(,-1/($Z$12:Z684=1),$C$12:C684)+LOOKUP(,-1/($Z$12:Z684=1),$H$12:H684)-IF(Z683=1,0,SUM(INDIRECT("T"&amp;(MAX((1=Z$12:Z683)*ROW(Z$12:Z683)+1,ROW($T$12))&amp;":T"&amp;(ROW()-1))))),Первоначальный[[#This Row],[Полученный платеж]]+Y683)
)
)
)</f>
        <v>0</v>
      </c>
      <c r="U68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платеж]]+Y683-Первоначальный[[#This Row],[Полученный платёж по процентам]])</f>
        <v>0</v>
      </c>
      <c r="V684" s="55">
        <f t="shared" ca="1" si="121"/>
        <v>0</v>
      </c>
      <c r="W684" s="55" cm="1">
        <f t="array" aca="1" ref="W684" ca="1">IF(Первоначальный[[#This Row],[Итого остаток на начало периода]]&lt;1,0,
_xlfn.IFS(
AND(TYPE(VLOOKUP(1,$Z$12:Z684,1,0))=16,Первоначальный[[#This Row],[Досрочное погашение (да/"")]]=""),0,
AND(S683=0,Первоначальный[[#This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платеж]]+Y683-SUM(Первоначальный[[#This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комиссиям]]),VLOOKUP(LOOKUP(,-1/($Z$12:Z684=1),$A$12:A684),График[[Срок конец]:[Возврат основной суммы долга]],3,0)),
AND(S683=0,Первоначальный[[#This Row],[Дата платежа из графика]]="",Первоначальный[[#This Row],[Досрочное погашение (да/"")]]&lt;&gt;"Да"),0,
AND(S683=0,Первоначальный[[#This Row],[Досрочное погашение (да/"")]]=""),MIN(Первоначальный[[#This Row],[Полученный платеж]]+Y683-SUM(Первоначальный[[#This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комиссиям]]),VLOOKUP(LOOKUP(,-1/($Z$12:Z684=1),$A$12:A684),График[[Срок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платеж]]+Y683-SUM(Первоначальный[[#This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S683&gt;0,MIN(Первоначальный[[#This Row],[Полученный платеж]]+Y683-SUM(Первоначальный[[#This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комиссиям]]),SUM(INDIRECT("M"&amp;(MAX((1=S$12:S683)*ROW(S$12:S683),ROW($W$12))&amp;":M"&amp;(ROW()))))-SUM(INDIRECT("W"&amp;(MAX((1=S$12:S683)*ROW(S$12:S683),ROW($W$12))&amp;":W"&amp;(ROW()-1)))))
)
)</f>
        <v>0</v>
      </c>
      <c r="X684" s="55">
        <f t="shared" ca="1" si="122"/>
        <v>0</v>
      </c>
      <c r="Y684" s="101">
        <f t="shared" ca="1" si="129"/>
        <v>0</v>
      </c>
      <c r="Z684" s="133" t="str">
        <f>IF(TYPE((VLOOKUP(Первоначальный[[#This Row],[Дата платежа]],График[Срок конец],1,0)))=16,"",1)</f>
        <v/>
      </c>
      <c r="AA684" s="57"/>
      <c r="AB684" s="134"/>
      <c r="AC68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8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48262.82999999998</v>
      </c>
      <c r="AE68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1488.15</v>
      </c>
      <c r="AF68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8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84582.801901639352</v>
      </c>
      <c r="AH684" s="55"/>
      <c r="AI684" s="55"/>
      <c r="AJ684" s="55"/>
      <c r="AK684" s="101">
        <f t="shared" ca="1" si="130"/>
        <v>283967.12190163933</v>
      </c>
      <c r="AL684" s="129">
        <f t="array" ref="AL684">MAX((УслРестрактов[Характеристика]="Дата реструктуризации")*(УслРестрактов[Значение]=Первоначальный!$A684),0)</f>
        <v>0</v>
      </c>
    </row>
    <row r="685" spans="1:38" x14ac:dyDescent="0.25">
      <c r="A685" s="97">
        <f t="shared" si="123"/>
        <v>44816</v>
      </c>
      <c r="B685" s="100">
        <f t="shared" ca="1" si="124"/>
        <v>149633.34</v>
      </c>
      <c r="C685" s="55">
        <f t="shared" ca="1" si="132"/>
        <v>48262.82999999998</v>
      </c>
      <c r="D685" s="55">
        <f t="shared" ca="1" si="132"/>
        <v>1488.15</v>
      </c>
      <c r="E685" s="55">
        <f t="shared" ca="1" si="125"/>
        <v>0</v>
      </c>
      <c r="F685" s="55">
        <f t="shared" ca="1" si="126"/>
        <v>84582.801901639352</v>
      </c>
      <c r="G685" s="101">
        <f t="shared" ca="1" si="127"/>
        <v>283967.12190163933</v>
      </c>
      <c r="H685" s="100">
        <f ca="1">ROUND($B685*VLOOKUP($A685,$A$1:$B$10,2,1)/(365+IF(MOD(YEAR($A685),4),0,1)*($A685-$A684)),2)-Первоначальный[[#This Row],[Проценты на просроченный платеж по ОД за период]]</f>
        <v>76.23</v>
      </c>
      <c r="I685" s="55">
        <f t="shared" ca="1" si="128"/>
        <v>5.35</v>
      </c>
      <c r="J685" s="55">
        <v>0</v>
      </c>
      <c r="K685" s="55">
        <f t="shared" ca="1" si="131"/>
        <v>289.63350327868847</v>
      </c>
      <c r="L685" s="55">
        <v>0</v>
      </c>
      <c r="M685" s="113">
        <f>SUMIFS(График[Возврат основной суммы долга],График[Дата с учетом нерабочих дней],$A685)</f>
        <v>0</v>
      </c>
      <c r="N685" s="56">
        <f>SUMIFS(График[Возврат начисленных %],График[Дата с учетом нерабочих дней],$A685)</f>
        <v>0</v>
      </c>
      <c r="O685" s="101">
        <v>0</v>
      </c>
      <c r="P685" s="100" cm="1">
        <f t="array" aca="1" ref="P685" ca="1">MAX(IF(AA684="Да",0,SUM(INDIRECT("M"&amp;(MAX(("Да"=AA$12:AA684)*ROW(AA$12:AA684)+1,ROW($P$12))&amp;":M"&amp;(ROW()))))-SUM(INDIRECT("W"&amp;(MAX(("Да"=AA$12:AA684)*ROW(AA$12:AA684)+1,ROW($P$12))&amp;":W"&amp;(ROW()))))),0)</f>
        <v>9818.4299999999985</v>
      </c>
      <c r="Q685" s="99">
        <f ca="1">MAX(SUM($N$13:N685)-SUM($T$13:T685),0)</f>
        <v>48108.270655737695</v>
      </c>
      <c r="R685" s="99">
        <f ca="1">Первоначальный[[#This Row],[Просроченный платеж по ОД]]+Первоначальный[[#This Row],[Просроченный платеж по процентам]]</f>
        <v>57926.700655737695</v>
      </c>
      <c r="S685" s="120">
        <f ca="1">IF(Первоначальный[[#This Row],[Просроченный платеж]]&lt;1,0,S684+1)</f>
        <v>581</v>
      </c>
      <c r="T685" s="100" cm="1">
        <f t="array" aca="1" ref="T685" ca="1">IF(Первоначальный[[#This Row],[Итого остаток на начало периода]]&lt;1,0,
IF(
AND(TYPE(VLOOKUP(1,$Z$12:Z685,1,0))=16,Первоначальный[[#This Row],[Досрочное погашение (да/"")]]=""),0,
_xlfn.IFS(AND(S684=0,Первоначальный[[#This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платеж]]&lt;&gt;0),MIN(LOOKUP(,-1/($Z$12:Z685=1),$C$12:C685)+LOOKUP(,-1/($Z$12:Z685=1),$H$12:H685),Первоначальный[[#This Row],[Полученный платеж]]+Y684),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платеж]]+Y684,SUM(Первоначальный[[#This Row],[Остаток процентов на начало периода]],Первоначальный[[#This Row],[Проценты за период]])),
AND(S684=0,Первоначальный[[#This Row],[Дата платежа из графика]]=""),0,
AND(S684=0,Первоначальный[[#This Row],[Дата платежа из графика]]=1,MAX((0&lt;&gt;S$12:S684)*ROW(S$12:S684),ROW($S$12))&gt;=MAX((1=Z$12:Z684)*ROW(Z$12:Z684),ROW($T$12)),TYPE(VLOOKUP("Да",(INDIRECT("AA"&amp;(MAX((1=Z$12:Z684)*ROW(Z$12:Z684),ROW($T$12))&amp;":AA"&amp;(ROW()-1)))),1,0))=16),MIN(LOOKUP(,-1/($Z$12:Z685=1),$C$12:C685)+LOOKUP(,-1/($Z$12:Z685=1),$H$12:H685),Первоначальный[[#This Row],[Полученный платеж]]+Y684),
AND(S684=0,TYPE(VLOOKUP("Да",(INDIRECT("AA"&amp;(MAX((1=Z$12:Z684)*ROW(Z$12:Z684),ROW($T$12))&amp;":AA"&amp;(ROW()-1)))),1,0))&lt;&gt;16),MIN(LOOKUP(,-1/($Z$12:Z685=1),$C$12:C685)+LOOKUP(,-1/($Z$12:Z685=1),$H$12:H685)-IF(AA684="Да",0,SUM(INDIRECT("T"&amp;(MAX(("Да"=AA$12:AA684)*ROW(AA$12:AA684)+1,ROW($T$12))&amp;":T"&amp;(ROW()-1))))),Первоначальный[[#This Row],[Полученный платеж]]+Y684),
AND(S684=0,MAX((0&lt;&gt;N$12:N684)*ROW(N$12:N684),ROW($S$12))&gt;=MAX((1=Z$12:Z684)*ROW(Z$12:Z684),ROW($T$12))),MIN(LOOKUP(,-1/($Z$12:Z685=1),$C$12:C685)+LOOKUP(,-1/($Z$12:Z685=1),$H$12:H685)-IF(N684&lt;&gt;0,0,SUM(INDIRECT("T"&amp;(MAX((0&lt;&gt;N$12:N684)*ROW(N$12:N684)+1,ROW($T$12))&amp;":T"&amp;(ROW()-1))))),Первоначальный[[#This Row],[Полученный платеж]]+Y684),
AND(S684=0,Первоначальный[[#This Row],[Дата платежа из графика]]=1),MIN(LOOKUP(,-1/($Z$12:Z685=1),$C$12:C685)+LOOKUP(,-1/($Z$12:Z685=1),$H$12:H685)-IF(Z684=1,0,SUM(INDIRECT("T"&amp;(MAX((1=Z$12:Z684)*ROW(Z$12:Z684)+1,ROW($T$12))&amp;":T"&amp;(ROW()-1))))),Первоначальный[[#This Row],[Полученный платеж]]+Y684),
AND(Z684&gt;0,Первоначальный[[#This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платеж]]+Y684),
AND(S684&gt;0,MAX((0&lt;&gt;S$12:S684)*ROW(S$12:S684),ROW($S$12))&gt;=MAX((1=Z$12:Z684)*ROW(Z$12:Z684),ROW($T$12)),TYPE(VLOOKUP("Да",(INDIRECT("AA"&amp;(MAX((1=Z$12:Z684)*ROW(Z$12:Z684),ROW($T$12))&amp;":AA"&amp;(ROW()-1)))),1,0))=16),MIN(LOOKUP(,-1/($Z$12:Z685=1),$C$12:C685)+LOOKUP(,-1/($Z$12:Z685=1),$H$12:H685)-SUM(INDIRECT("T"&amp;(MAX((1=Z$12:Z684)*ROW(Z$12:Z684),ROW($T$12))&amp;":T"&amp;(ROW()-1)))),Первоначальный[[#This Row],[Полученный платеж]]+Y684),
S684&gt;0,MIN(LOOKUP(,-1/($Z$12:Z685=1),$C$12:C685)+LOOKUP(,-1/($Z$12:Z685=1),$H$12:H685)-IF(Z684=1,0,SUM(INDIRECT("T"&amp;(MAX((1=Z$12:Z684)*ROW(Z$12:Z684)+1,ROW($T$12))&amp;":T"&amp;(ROW()-1))))),Первоначальный[[#This Row],[Полученный платеж]]+Y684)
)
)
)</f>
        <v>0</v>
      </c>
      <c r="U68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платеж]]+Y684-Первоначальный[[#This Row],[Полученный платёж по процентам]])</f>
        <v>0</v>
      </c>
      <c r="V685" s="55">
        <f t="shared" ca="1" si="121"/>
        <v>0</v>
      </c>
      <c r="W685" s="55" cm="1">
        <f t="array" aca="1" ref="W685" ca="1">IF(Первоначальный[[#This Row],[Итого остаток на начало периода]]&lt;1,0,
_xlfn.IFS(
AND(TYPE(VLOOKUP(1,$Z$12:Z685,1,0))=16,Первоначальный[[#This Row],[Досрочное погашение (да/"")]]=""),0,
AND(S684=0,Первоначальный[[#This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платеж]]+Y684-SUM(Первоначальный[[#This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комиссиям]]),VLOOKUP(LOOKUP(,-1/($Z$12:Z685=1),$A$12:A685),График[[Срок конец]:[Возврат основной суммы долга]],3,0)),
AND(S684=0,Первоначальный[[#This Row],[Дата платежа из графика]]="",Первоначальный[[#This Row],[Досрочное погашение (да/"")]]&lt;&gt;"Да"),0,
AND(S684=0,Первоначальный[[#This Row],[Досрочное погашение (да/"")]]=""),MIN(Первоначальный[[#This Row],[Полученный платеж]]+Y684-SUM(Первоначальный[[#This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комиссиям]]),VLOOKUP(LOOKUP(,-1/($Z$12:Z685=1),$A$12:A685),График[[Срок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платеж]]+Y684-SUM(Первоначальный[[#This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S684&gt;0,MIN(Первоначальный[[#This Row],[Полученный платеж]]+Y684-SUM(Первоначальный[[#This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комиссиям]]),SUM(INDIRECT("M"&amp;(MAX((1=S$12:S684)*ROW(S$12:S684),ROW($W$12))&amp;":M"&amp;(ROW()))))-SUM(INDIRECT("W"&amp;(MAX((1=S$12:S684)*ROW(S$12:S684),ROW($W$12))&amp;":W"&amp;(ROW()-1)))))
)
)</f>
        <v>0</v>
      </c>
      <c r="X685" s="55">
        <f t="shared" ca="1" si="122"/>
        <v>0</v>
      </c>
      <c r="Y685" s="101">
        <f t="shared" ca="1" si="129"/>
        <v>0</v>
      </c>
      <c r="Z685" s="133" t="str">
        <f>IF(TYPE((VLOOKUP(Первоначальный[[#This Row],[Дата платежа]],График[Срок конец],1,0)))=16,"",1)</f>
        <v/>
      </c>
      <c r="AA685" s="57"/>
      <c r="AB685" s="134"/>
      <c r="AC68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8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48339.059999999983</v>
      </c>
      <c r="AE68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1493.5</v>
      </c>
      <c r="AF68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8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84872.43540491804</v>
      </c>
      <c r="AH685" s="55"/>
      <c r="AI685" s="55"/>
      <c r="AJ685" s="55"/>
      <c r="AK685" s="101">
        <f t="shared" ca="1" si="130"/>
        <v>284338.33540491801</v>
      </c>
      <c r="AL685" s="129">
        <f t="array" ref="AL685">MAX((УслРестрактов[Характеристика]="Дата реструктуризации")*(УслРестрактов[Значение]=Первоначальный!$A685),0)</f>
        <v>0</v>
      </c>
    </row>
    <row r="686" spans="1:38" x14ac:dyDescent="0.25">
      <c r="A686" s="97">
        <f t="shared" si="123"/>
        <v>44817</v>
      </c>
      <c r="B686" s="100">
        <f t="shared" ca="1" si="124"/>
        <v>149633.34</v>
      </c>
      <c r="C686" s="55">
        <f t="shared" ca="1" si="132"/>
        <v>48339.059999999983</v>
      </c>
      <c r="D686" s="55">
        <f t="shared" ca="1" si="132"/>
        <v>1493.5</v>
      </c>
      <c r="E686" s="55">
        <f t="shared" ca="1" si="125"/>
        <v>0</v>
      </c>
      <c r="F686" s="55">
        <f t="shared" ca="1" si="126"/>
        <v>84872.43540491804</v>
      </c>
      <c r="G686" s="101">
        <f t="shared" ca="1" si="127"/>
        <v>284338.33540491801</v>
      </c>
      <c r="H686" s="100">
        <f ca="1">ROUND($B686*VLOOKUP($A686,$A$1:$B$10,2,1)/(365+IF(MOD(YEAR($A686),4),0,1)*($A686-$A685)),2)-Первоначальный[[#This Row],[Проценты на просроченный платеж по ОД за период]]</f>
        <v>76.23</v>
      </c>
      <c r="I686" s="55">
        <f t="shared" ca="1" si="128"/>
        <v>5.35</v>
      </c>
      <c r="J686" s="55">
        <v>0</v>
      </c>
      <c r="K686" s="55">
        <f t="shared" ca="1" si="131"/>
        <v>289.63350327868847</v>
      </c>
      <c r="L686" s="55">
        <v>0</v>
      </c>
      <c r="M686" s="113">
        <f>SUMIFS(График[Возврат основной суммы долга],График[Дата с учетом нерабочих дней],$A686)</f>
        <v>0</v>
      </c>
      <c r="N686" s="56">
        <f>SUMIFS(График[Возврат начисленных %],График[Дата с учетом нерабочих дней],$A686)</f>
        <v>0</v>
      </c>
      <c r="O686" s="101">
        <v>0</v>
      </c>
      <c r="P686" s="100" cm="1">
        <f t="array" aca="1" ref="P686" ca="1">MAX(IF(AA685="Да",0,SUM(INDIRECT("M"&amp;(MAX(("Да"=AA$12:AA685)*ROW(AA$12:AA685)+1,ROW($P$12))&amp;":M"&amp;(ROW()))))-SUM(INDIRECT("W"&amp;(MAX(("Да"=AA$12:AA685)*ROW(AA$12:AA685)+1,ROW($P$12))&amp;":W"&amp;(ROW()))))),0)</f>
        <v>9818.4299999999985</v>
      </c>
      <c r="Q686" s="99">
        <f ca="1">MAX(SUM($N$13:N686)-SUM($T$13:T686),0)</f>
        <v>48108.270655737695</v>
      </c>
      <c r="R686" s="99">
        <f ca="1">Первоначальный[[#This Row],[Просроченный платеж по ОД]]+Первоначальный[[#This Row],[Просроченный платеж по процентам]]</f>
        <v>57926.700655737695</v>
      </c>
      <c r="S686" s="120">
        <f ca="1">IF(Первоначальный[[#This Row],[Просроченный платеж]]&lt;1,0,S685+1)</f>
        <v>582</v>
      </c>
      <c r="T686" s="100" cm="1">
        <f t="array" aca="1" ref="T686" ca="1">IF(Первоначальный[[#This Row],[Итого остаток на начало периода]]&lt;1,0,
IF(
AND(TYPE(VLOOKUP(1,$Z$12:Z686,1,0))=16,Первоначальный[[#This Row],[Досрочное погашение (да/"")]]=""),0,
_xlfn.IFS(AND(S685=0,Первоначальный[[#This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платеж]]&lt;&gt;0),MIN(LOOKUP(,-1/($Z$12:Z686=1),$C$12:C686)+LOOKUP(,-1/($Z$12:Z686=1),$H$12:H686),Первоначальный[[#This Row],[Полученный платеж]]+Y685),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платеж]]+Y685,SUM(Первоначальный[[#This Row],[Остаток процентов на начало периода]],Первоначальный[[#This Row],[Проценты за период]])),
AND(S685=0,Первоначальный[[#This Row],[Дата платежа из графика]]=""),0,
AND(S685=0,Первоначальный[[#This Row],[Дата платежа из графика]]=1,MAX((0&lt;&gt;S$12:S685)*ROW(S$12:S685),ROW($S$12))&gt;=MAX((1=Z$12:Z685)*ROW(Z$12:Z685),ROW($T$12)),TYPE(VLOOKUP("Да",(INDIRECT("AA"&amp;(MAX((1=Z$12:Z685)*ROW(Z$12:Z685),ROW($T$12))&amp;":AA"&amp;(ROW()-1)))),1,0))=16),MIN(LOOKUP(,-1/($Z$12:Z686=1),$C$12:C686)+LOOKUP(,-1/($Z$12:Z686=1),$H$12:H686),Первоначальный[[#This Row],[Полученный платеж]]+Y685),
AND(S685=0,TYPE(VLOOKUP("Да",(INDIRECT("AA"&amp;(MAX((1=Z$12:Z685)*ROW(Z$12:Z685),ROW($T$12))&amp;":AA"&amp;(ROW()-1)))),1,0))&lt;&gt;16),MIN(LOOKUP(,-1/($Z$12:Z686=1),$C$12:C686)+LOOKUP(,-1/($Z$12:Z686=1),$H$12:H686)-IF(AA685="Да",0,SUM(INDIRECT("T"&amp;(MAX(("Да"=AA$12:AA685)*ROW(AA$12:AA685)+1,ROW($T$12))&amp;":T"&amp;(ROW()-1))))),Первоначальный[[#This Row],[Полученный платеж]]+Y685),
AND(S685=0,MAX((0&lt;&gt;N$12:N685)*ROW(N$12:N685),ROW($S$12))&gt;=MAX((1=Z$12:Z685)*ROW(Z$12:Z685),ROW($T$12))),MIN(LOOKUP(,-1/($Z$12:Z686=1),$C$12:C686)+LOOKUP(,-1/($Z$12:Z686=1),$H$12:H686)-IF(N685&lt;&gt;0,0,SUM(INDIRECT("T"&amp;(MAX((0&lt;&gt;N$12:N685)*ROW(N$12:N685)+1,ROW($T$12))&amp;":T"&amp;(ROW()-1))))),Первоначальный[[#This Row],[Полученный платеж]]+Y685),
AND(S685=0,Первоначальный[[#This Row],[Дата платежа из графика]]=1),MIN(LOOKUP(,-1/($Z$12:Z686=1),$C$12:C686)+LOOKUP(,-1/($Z$12:Z686=1),$H$12:H686)-IF(Z685=1,0,SUM(INDIRECT("T"&amp;(MAX((1=Z$12:Z685)*ROW(Z$12:Z685)+1,ROW($T$12))&amp;":T"&amp;(ROW()-1))))),Первоначальный[[#This Row],[Полученный платеж]]+Y685),
AND(Z685&gt;0,Первоначальный[[#This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платеж]]+Y685),
AND(S685&gt;0,MAX((0&lt;&gt;S$12:S685)*ROW(S$12:S685),ROW($S$12))&gt;=MAX((1=Z$12:Z685)*ROW(Z$12:Z685),ROW($T$12)),TYPE(VLOOKUP("Да",(INDIRECT("AA"&amp;(MAX((1=Z$12:Z685)*ROW(Z$12:Z685),ROW($T$12))&amp;":AA"&amp;(ROW()-1)))),1,0))=16),MIN(LOOKUP(,-1/($Z$12:Z686=1),$C$12:C686)+LOOKUP(,-1/($Z$12:Z686=1),$H$12:H686)-SUM(INDIRECT("T"&amp;(MAX((1=Z$12:Z685)*ROW(Z$12:Z685),ROW($T$12))&amp;":T"&amp;(ROW()-1)))),Первоначальный[[#This Row],[Полученный платеж]]+Y685),
S685&gt;0,MIN(LOOKUP(,-1/($Z$12:Z686=1),$C$12:C686)+LOOKUP(,-1/($Z$12:Z686=1),$H$12:H686)-IF(Z685=1,0,SUM(INDIRECT("T"&amp;(MAX((1=Z$12:Z685)*ROW(Z$12:Z685)+1,ROW($T$12))&amp;":T"&amp;(ROW()-1))))),Первоначальный[[#This Row],[Полученный платеж]]+Y685)
)
)
)</f>
        <v>0</v>
      </c>
      <c r="U68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платеж]]+Y685-Первоначальный[[#This Row],[Полученный платёж по процентам]])</f>
        <v>0</v>
      </c>
      <c r="V686" s="55">
        <f t="shared" ca="1" si="121"/>
        <v>0</v>
      </c>
      <c r="W686" s="55" cm="1">
        <f t="array" aca="1" ref="W686" ca="1">IF(Первоначальный[[#This Row],[Итого остаток на начало периода]]&lt;1,0,
_xlfn.IFS(
AND(TYPE(VLOOKUP(1,$Z$12:Z686,1,0))=16,Первоначальный[[#This Row],[Досрочное погашение (да/"")]]=""),0,
AND(S685=0,Первоначальный[[#This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платеж]]+Y685-SUM(Первоначальный[[#This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комиссиям]]),VLOOKUP(LOOKUP(,-1/($Z$12:Z686=1),$A$12:A686),График[[Срок конец]:[Возврат основной суммы долга]],3,0)),
AND(S685=0,Первоначальный[[#This Row],[Дата платежа из графика]]="",Первоначальный[[#This Row],[Досрочное погашение (да/"")]]&lt;&gt;"Да"),0,
AND(S685=0,Первоначальный[[#This Row],[Досрочное погашение (да/"")]]=""),MIN(Первоначальный[[#This Row],[Полученный платеж]]+Y685-SUM(Первоначальный[[#This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комиссиям]]),VLOOKUP(LOOKUP(,-1/($Z$12:Z686=1),$A$12:A686),График[[Срок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платеж]]+Y685-SUM(Первоначальный[[#This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S685&gt;0,MIN(Первоначальный[[#This Row],[Полученный платеж]]+Y685-SUM(Первоначальный[[#This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комиссиям]]),SUM(INDIRECT("M"&amp;(MAX((1=S$12:S685)*ROW(S$12:S685),ROW($W$12))&amp;":M"&amp;(ROW()))))-SUM(INDIRECT("W"&amp;(MAX((1=S$12:S685)*ROW(S$12:S685),ROW($W$12))&amp;":W"&amp;(ROW()-1)))))
)
)</f>
        <v>0</v>
      </c>
      <c r="X686" s="55">
        <f t="shared" ca="1" si="122"/>
        <v>0</v>
      </c>
      <c r="Y686" s="101">
        <f t="shared" ca="1" si="129"/>
        <v>0</v>
      </c>
      <c r="Z686" s="133" t="str">
        <f>IF(TYPE((VLOOKUP(Первоначальный[[#This Row],[Дата платежа]],График[Срок конец],1,0)))=16,"",1)</f>
        <v/>
      </c>
      <c r="AA686" s="57"/>
      <c r="AB686" s="134"/>
      <c r="AC68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8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48415.289999999986</v>
      </c>
      <c r="AE68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1498.85</v>
      </c>
      <c r="AF68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8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85162.068908196728</v>
      </c>
      <c r="AH686" s="55"/>
      <c r="AI686" s="55"/>
      <c r="AJ686" s="55"/>
      <c r="AK686" s="101">
        <f t="shared" ca="1" si="130"/>
        <v>284709.54890819674</v>
      </c>
      <c r="AL686" s="129">
        <f t="array" ref="AL686">MAX((УслРестрактов[Характеристика]="Дата реструктуризации")*(УслРестрактов[Значение]=Первоначальный!$A686),0)</f>
        <v>0</v>
      </c>
    </row>
    <row r="687" spans="1:38" x14ac:dyDescent="0.25">
      <c r="A687" s="97">
        <f t="shared" si="123"/>
        <v>44818</v>
      </c>
      <c r="B687" s="100">
        <f t="shared" ca="1" si="124"/>
        <v>149633.34</v>
      </c>
      <c r="C687" s="55">
        <f t="shared" ca="1" si="132"/>
        <v>48415.289999999986</v>
      </c>
      <c r="D687" s="55">
        <f t="shared" ca="1" si="132"/>
        <v>1498.85</v>
      </c>
      <c r="E687" s="55">
        <f t="shared" ca="1" si="125"/>
        <v>0</v>
      </c>
      <c r="F687" s="55">
        <f t="shared" ca="1" si="126"/>
        <v>85162.068908196728</v>
      </c>
      <c r="G687" s="101">
        <f t="shared" ca="1" si="127"/>
        <v>284709.54890819674</v>
      </c>
      <c r="H687" s="100">
        <f ca="1">ROUND($B687*VLOOKUP($A687,$A$1:$B$10,2,1)/(365+IF(MOD(YEAR($A687),4),0,1)*($A687-$A686)),2)-Первоначальный[[#This Row],[Проценты на просроченный платеж по ОД за период]]</f>
        <v>76.23</v>
      </c>
      <c r="I687" s="55">
        <f t="shared" ca="1" si="128"/>
        <v>5.35</v>
      </c>
      <c r="J687" s="55">
        <v>0</v>
      </c>
      <c r="K687" s="55">
        <f t="shared" ca="1" si="131"/>
        <v>289.63350327868847</v>
      </c>
      <c r="L687" s="55">
        <v>0</v>
      </c>
      <c r="M687" s="113">
        <f>SUMIFS(График[Возврат основной суммы долга],График[Дата с учетом нерабочих дней],$A687)</f>
        <v>0</v>
      </c>
      <c r="N687" s="56">
        <f>SUMIFS(График[Возврат начисленных %],График[Дата с учетом нерабочих дней],$A687)</f>
        <v>0</v>
      </c>
      <c r="O687" s="101">
        <v>0</v>
      </c>
      <c r="P687" s="100" cm="1">
        <f t="array" aca="1" ref="P687" ca="1">MAX(IF(AA686="Да",0,SUM(INDIRECT("M"&amp;(MAX(("Да"=AA$12:AA686)*ROW(AA$12:AA686)+1,ROW($P$12))&amp;":M"&amp;(ROW()))))-SUM(INDIRECT("W"&amp;(MAX(("Да"=AA$12:AA686)*ROW(AA$12:AA686)+1,ROW($P$12))&amp;":W"&amp;(ROW()))))),0)</f>
        <v>9818.4299999999985</v>
      </c>
      <c r="Q687" s="99">
        <f ca="1">MAX(SUM($N$13:N687)-SUM($T$13:T687),0)</f>
        <v>48108.270655737695</v>
      </c>
      <c r="R687" s="99">
        <f ca="1">Первоначальный[[#This Row],[Просроченный платеж по ОД]]+Первоначальный[[#This Row],[Просроченный платеж по процентам]]</f>
        <v>57926.700655737695</v>
      </c>
      <c r="S687" s="120">
        <f ca="1">IF(Первоначальный[[#This Row],[Просроченный платеж]]&lt;1,0,S686+1)</f>
        <v>583</v>
      </c>
      <c r="T687" s="100" cm="1">
        <f t="array" aca="1" ref="T687" ca="1">IF(Первоначальный[[#This Row],[Итого остаток на начало периода]]&lt;1,0,
IF(
AND(TYPE(VLOOKUP(1,$Z$12:Z687,1,0))=16,Первоначальный[[#This Row],[Досрочное погашение (да/"")]]=""),0,
_xlfn.IFS(AND(S686=0,Первоначальный[[#This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платеж]]&lt;&gt;0),MIN(LOOKUP(,-1/($Z$12:Z687=1),$C$12:C687)+LOOKUP(,-1/($Z$12:Z687=1),$H$12:H687),Первоначальный[[#This Row],[Полученный платеж]]+Y686),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платеж]]+Y686,SUM(Первоначальный[[#This Row],[Остаток процентов на начало периода]],Первоначальный[[#This Row],[Проценты за период]])),
AND(S686=0,Первоначальный[[#This Row],[Дата платежа из графика]]=""),0,
AND(S686=0,Первоначальный[[#This Row],[Дата платежа из графика]]=1,MAX((0&lt;&gt;S$12:S686)*ROW(S$12:S686),ROW($S$12))&gt;=MAX((1=Z$12:Z686)*ROW(Z$12:Z686),ROW($T$12)),TYPE(VLOOKUP("Да",(INDIRECT("AA"&amp;(MAX((1=Z$12:Z686)*ROW(Z$12:Z686),ROW($T$12))&amp;":AA"&amp;(ROW()-1)))),1,0))=16),MIN(LOOKUP(,-1/($Z$12:Z687=1),$C$12:C687)+LOOKUP(,-1/($Z$12:Z687=1),$H$12:H687),Первоначальный[[#This Row],[Полученный платеж]]+Y686),
AND(S686=0,TYPE(VLOOKUP("Да",(INDIRECT("AA"&amp;(MAX((1=Z$12:Z686)*ROW(Z$12:Z686),ROW($T$12))&amp;":AA"&amp;(ROW()-1)))),1,0))&lt;&gt;16),MIN(LOOKUP(,-1/($Z$12:Z687=1),$C$12:C687)+LOOKUP(,-1/($Z$12:Z687=1),$H$12:H687)-IF(AA686="Да",0,SUM(INDIRECT("T"&amp;(MAX(("Да"=AA$12:AA686)*ROW(AA$12:AA686)+1,ROW($T$12))&amp;":T"&amp;(ROW()-1))))),Первоначальный[[#This Row],[Полученный платеж]]+Y686),
AND(S686=0,MAX((0&lt;&gt;N$12:N686)*ROW(N$12:N686),ROW($S$12))&gt;=MAX((1=Z$12:Z686)*ROW(Z$12:Z686),ROW($T$12))),MIN(LOOKUP(,-1/($Z$12:Z687=1),$C$12:C687)+LOOKUP(,-1/($Z$12:Z687=1),$H$12:H687)-IF(N686&lt;&gt;0,0,SUM(INDIRECT("T"&amp;(MAX((0&lt;&gt;N$12:N686)*ROW(N$12:N686)+1,ROW($T$12))&amp;":T"&amp;(ROW()-1))))),Первоначальный[[#This Row],[Полученный платеж]]+Y686),
AND(S686=0,Первоначальный[[#This Row],[Дата платежа из графика]]=1),MIN(LOOKUP(,-1/($Z$12:Z687=1),$C$12:C687)+LOOKUP(,-1/($Z$12:Z687=1),$H$12:H687)-IF(Z686=1,0,SUM(INDIRECT("T"&amp;(MAX((1=Z$12:Z686)*ROW(Z$12:Z686)+1,ROW($T$12))&amp;":T"&amp;(ROW()-1))))),Первоначальный[[#This Row],[Полученный платеж]]+Y686),
AND(Z686&gt;0,Первоначальный[[#This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платеж]]+Y686),
AND(S686&gt;0,MAX((0&lt;&gt;S$12:S686)*ROW(S$12:S686),ROW($S$12))&gt;=MAX((1=Z$12:Z686)*ROW(Z$12:Z686),ROW($T$12)),TYPE(VLOOKUP("Да",(INDIRECT("AA"&amp;(MAX((1=Z$12:Z686)*ROW(Z$12:Z686),ROW($T$12))&amp;":AA"&amp;(ROW()-1)))),1,0))=16),MIN(LOOKUP(,-1/($Z$12:Z687=1),$C$12:C687)+LOOKUP(,-1/($Z$12:Z687=1),$H$12:H687)-SUM(INDIRECT("T"&amp;(MAX((1=Z$12:Z686)*ROW(Z$12:Z686),ROW($T$12))&amp;":T"&amp;(ROW()-1)))),Первоначальный[[#This Row],[Полученный платеж]]+Y686),
S686&gt;0,MIN(LOOKUP(,-1/($Z$12:Z687=1),$C$12:C687)+LOOKUP(,-1/($Z$12:Z687=1),$H$12:H687)-IF(Z686=1,0,SUM(INDIRECT("T"&amp;(MAX((1=Z$12:Z686)*ROW(Z$12:Z686)+1,ROW($T$12))&amp;":T"&amp;(ROW()-1))))),Первоначальный[[#This Row],[Полученный платеж]]+Y686)
)
)
)</f>
        <v>0</v>
      </c>
      <c r="U68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платеж]]+Y686-Первоначальный[[#This Row],[Полученный платёж по процентам]])</f>
        <v>0</v>
      </c>
      <c r="V687" s="55">
        <f t="shared" ca="1" si="121"/>
        <v>0</v>
      </c>
      <c r="W687" s="55" cm="1">
        <f t="array" aca="1" ref="W687" ca="1">IF(Первоначальный[[#This Row],[Итого остаток на начало периода]]&lt;1,0,
_xlfn.IFS(
AND(TYPE(VLOOKUP(1,$Z$12:Z687,1,0))=16,Первоначальный[[#This Row],[Досрочное погашение (да/"")]]=""),0,
AND(S686=0,Первоначальный[[#This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платеж]]+Y686-SUM(Первоначальный[[#This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комиссиям]]),VLOOKUP(LOOKUP(,-1/($Z$12:Z687=1),$A$12:A687),График[[Срок конец]:[Возврат основной суммы долга]],3,0)),
AND(S686=0,Первоначальный[[#This Row],[Дата платежа из графика]]="",Первоначальный[[#This Row],[Досрочное погашение (да/"")]]&lt;&gt;"Да"),0,
AND(S686=0,Первоначальный[[#This Row],[Досрочное погашение (да/"")]]=""),MIN(Первоначальный[[#This Row],[Полученный платеж]]+Y686-SUM(Первоначальный[[#This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комиссиям]]),VLOOKUP(LOOKUP(,-1/($Z$12:Z687=1),$A$12:A687),График[[Срок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платеж]]+Y686-SUM(Первоначальный[[#This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S686&gt;0,MIN(Первоначальный[[#This Row],[Полученный платеж]]+Y686-SUM(Первоначальный[[#This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комиссиям]]),SUM(INDIRECT("M"&amp;(MAX((1=S$12:S686)*ROW(S$12:S686),ROW($W$12))&amp;":M"&amp;(ROW()))))-SUM(INDIRECT("W"&amp;(MAX((1=S$12:S686)*ROW(S$12:S686),ROW($W$12))&amp;":W"&amp;(ROW()-1)))))
)
)</f>
        <v>0</v>
      </c>
      <c r="X687" s="55">
        <f t="shared" ca="1" si="122"/>
        <v>0</v>
      </c>
      <c r="Y687" s="101">
        <f t="shared" ca="1" si="129"/>
        <v>0</v>
      </c>
      <c r="Z687" s="133" t="str">
        <f>IF(TYPE((VLOOKUP(Первоначальный[[#This Row],[Дата платежа]],График[Срок конец],1,0)))=16,"",1)</f>
        <v/>
      </c>
      <c r="AA687" s="57"/>
      <c r="AB687" s="134"/>
      <c r="AC68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8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48491.51999999999</v>
      </c>
      <c r="AE68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1504.1999999999998</v>
      </c>
      <c r="AF68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8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85451.702411475417</v>
      </c>
      <c r="AH687" s="55"/>
      <c r="AI687" s="55"/>
      <c r="AJ687" s="55"/>
      <c r="AK687" s="101">
        <f t="shared" ca="1" si="130"/>
        <v>285080.76241147541</v>
      </c>
      <c r="AL687" s="129">
        <f t="array" ref="AL687">MAX((УслРестрактов[Характеристика]="Дата реструктуризации")*(УслРестрактов[Значение]=Первоначальный!$A687),0)</f>
        <v>0</v>
      </c>
    </row>
    <row r="688" spans="1:38" x14ac:dyDescent="0.25">
      <c r="A688" s="97">
        <f t="shared" si="123"/>
        <v>44819</v>
      </c>
      <c r="B688" s="100">
        <f t="shared" ca="1" si="124"/>
        <v>149633.34</v>
      </c>
      <c r="C688" s="55">
        <f t="shared" ca="1" si="132"/>
        <v>48491.51999999999</v>
      </c>
      <c r="D688" s="55">
        <f t="shared" ca="1" si="132"/>
        <v>1504.1999999999998</v>
      </c>
      <c r="E688" s="55">
        <f t="shared" ca="1" si="125"/>
        <v>0</v>
      </c>
      <c r="F688" s="55">
        <f t="shared" ca="1" si="126"/>
        <v>85451.702411475417</v>
      </c>
      <c r="G688" s="101">
        <f t="shared" ca="1" si="127"/>
        <v>285080.76241147541</v>
      </c>
      <c r="H688" s="100">
        <f ca="1">ROUND($B688*VLOOKUP($A688,$A$1:$B$10,2,1)/(365+IF(MOD(YEAR($A688),4),0,1)*($A688-$A687)),2)-Первоначальный[[#This Row],[Проценты на просроченный платеж по ОД за период]]</f>
        <v>76.23</v>
      </c>
      <c r="I688" s="55">
        <f t="shared" ca="1" si="128"/>
        <v>5.35</v>
      </c>
      <c r="J688" s="55">
        <v>0</v>
      </c>
      <c r="K688" s="55">
        <f t="shared" ca="1" si="131"/>
        <v>289.63350327868847</v>
      </c>
      <c r="L688" s="55">
        <v>0</v>
      </c>
      <c r="M688" s="113">
        <f>SUMIFS(График[Возврат основной суммы долга],График[Дата с учетом нерабочих дней],$A688)</f>
        <v>0</v>
      </c>
      <c r="N688" s="56">
        <f>SUMIFS(График[Возврат начисленных %],График[Дата с учетом нерабочих дней],$A688)</f>
        <v>0</v>
      </c>
      <c r="O688" s="101">
        <v>0</v>
      </c>
      <c r="P688" s="100" cm="1">
        <f t="array" aca="1" ref="P688" ca="1">MAX(IF(AA687="Да",0,SUM(INDIRECT("M"&amp;(MAX(("Да"=AA$12:AA687)*ROW(AA$12:AA687)+1,ROW($P$12))&amp;":M"&amp;(ROW()))))-SUM(INDIRECT("W"&amp;(MAX(("Да"=AA$12:AA687)*ROW(AA$12:AA687)+1,ROW($P$12))&amp;":W"&amp;(ROW()))))),0)</f>
        <v>9818.4299999999985</v>
      </c>
      <c r="Q688" s="99">
        <f ca="1">MAX(SUM($N$13:N688)-SUM($T$13:T688),0)</f>
        <v>48108.270655737695</v>
      </c>
      <c r="R688" s="99">
        <f ca="1">Первоначальный[[#This Row],[Просроченный платеж по ОД]]+Первоначальный[[#This Row],[Просроченный платеж по процентам]]</f>
        <v>57926.700655737695</v>
      </c>
      <c r="S688" s="120">
        <f ca="1">IF(Первоначальный[[#This Row],[Просроченный платеж]]&lt;1,0,S687+1)</f>
        <v>584</v>
      </c>
      <c r="T688" s="100" cm="1">
        <f t="array" aca="1" ref="T688" ca="1">IF(Первоначальный[[#This Row],[Итого остаток на начало периода]]&lt;1,0,
IF(
AND(TYPE(VLOOKUP(1,$Z$12:Z688,1,0))=16,Первоначальный[[#This Row],[Досрочное погашение (да/"")]]=""),0,
_xlfn.IFS(AND(S687=0,Первоначальный[[#This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платеж]]&lt;&gt;0),MIN(LOOKUP(,-1/($Z$12:Z688=1),$C$12:C688)+LOOKUP(,-1/($Z$12:Z688=1),$H$12:H688),Первоначальный[[#This Row],[Полученный платеж]]+Y687),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платеж]]+Y687,SUM(Первоначальный[[#This Row],[Остаток процентов на начало периода]],Первоначальный[[#This Row],[Проценты за период]])),
AND(S687=0,Первоначальный[[#This Row],[Дата платежа из графика]]=""),0,
AND(S687=0,Первоначальный[[#This Row],[Дата платежа из графика]]=1,MAX((0&lt;&gt;S$12:S687)*ROW(S$12:S687),ROW($S$12))&gt;=MAX((1=Z$12:Z687)*ROW(Z$12:Z687),ROW($T$12)),TYPE(VLOOKUP("Да",(INDIRECT("AA"&amp;(MAX((1=Z$12:Z687)*ROW(Z$12:Z687),ROW($T$12))&amp;":AA"&amp;(ROW()-1)))),1,0))=16),MIN(LOOKUP(,-1/($Z$12:Z688=1),$C$12:C688)+LOOKUP(,-1/($Z$12:Z688=1),$H$12:H688),Первоначальный[[#This Row],[Полученный платеж]]+Y687),
AND(S687=0,TYPE(VLOOKUP("Да",(INDIRECT("AA"&amp;(MAX((1=Z$12:Z687)*ROW(Z$12:Z687),ROW($T$12))&amp;":AA"&amp;(ROW()-1)))),1,0))&lt;&gt;16),MIN(LOOKUP(,-1/($Z$12:Z688=1),$C$12:C688)+LOOKUP(,-1/($Z$12:Z688=1),$H$12:H688)-IF(AA687="Да",0,SUM(INDIRECT("T"&amp;(MAX(("Да"=AA$12:AA687)*ROW(AA$12:AA687)+1,ROW($T$12))&amp;":T"&amp;(ROW()-1))))),Первоначальный[[#This Row],[Полученный платеж]]+Y687),
AND(S687=0,MAX((0&lt;&gt;N$12:N687)*ROW(N$12:N687),ROW($S$12))&gt;=MAX((1=Z$12:Z687)*ROW(Z$12:Z687),ROW($T$12))),MIN(LOOKUP(,-1/($Z$12:Z688=1),$C$12:C688)+LOOKUP(,-1/($Z$12:Z688=1),$H$12:H688)-IF(N687&lt;&gt;0,0,SUM(INDIRECT("T"&amp;(MAX((0&lt;&gt;N$12:N687)*ROW(N$12:N687)+1,ROW($T$12))&amp;":T"&amp;(ROW()-1))))),Первоначальный[[#This Row],[Полученный платеж]]+Y687),
AND(S687=0,Первоначальный[[#This Row],[Дата платежа из графика]]=1),MIN(LOOKUP(,-1/($Z$12:Z688=1),$C$12:C688)+LOOKUP(,-1/($Z$12:Z688=1),$H$12:H688)-IF(Z687=1,0,SUM(INDIRECT("T"&amp;(MAX((1=Z$12:Z687)*ROW(Z$12:Z687)+1,ROW($T$12))&amp;":T"&amp;(ROW()-1))))),Первоначальный[[#This Row],[Полученный платеж]]+Y687),
AND(Z687&gt;0,Первоначальный[[#This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платеж]]+Y687),
AND(S687&gt;0,MAX((0&lt;&gt;S$12:S687)*ROW(S$12:S687),ROW($S$12))&gt;=MAX((1=Z$12:Z687)*ROW(Z$12:Z687),ROW($T$12)),TYPE(VLOOKUP("Да",(INDIRECT("AA"&amp;(MAX((1=Z$12:Z687)*ROW(Z$12:Z687),ROW($T$12))&amp;":AA"&amp;(ROW()-1)))),1,0))=16),MIN(LOOKUP(,-1/($Z$12:Z688=1),$C$12:C688)+LOOKUP(,-1/($Z$12:Z688=1),$H$12:H688)-SUM(INDIRECT("T"&amp;(MAX((1=Z$12:Z687)*ROW(Z$12:Z687),ROW($T$12))&amp;":T"&amp;(ROW()-1)))),Первоначальный[[#This Row],[Полученный платеж]]+Y687),
S687&gt;0,MIN(LOOKUP(,-1/($Z$12:Z688=1),$C$12:C688)+LOOKUP(,-1/($Z$12:Z688=1),$H$12:H688)-IF(Z687=1,0,SUM(INDIRECT("T"&amp;(MAX((1=Z$12:Z687)*ROW(Z$12:Z687)+1,ROW($T$12))&amp;":T"&amp;(ROW()-1))))),Первоначальный[[#This Row],[Полученный платеж]]+Y687)
)
)
)</f>
        <v>0</v>
      </c>
      <c r="U68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платеж]]+Y687-Первоначальный[[#This Row],[Полученный платёж по процентам]])</f>
        <v>0</v>
      </c>
      <c r="V688" s="55">
        <f t="shared" ca="1" si="121"/>
        <v>0</v>
      </c>
      <c r="W688" s="55" cm="1">
        <f t="array" aca="1" ref="W688" ca="1">IF(Первоначальный[[#This Row],[Итого остаток на начало периода]]&lt;1,0,
_xlfn.IFS(
AND(TYPE(VLOOKUP(1,$Z$12:Z688,1,0))=16,Первоначальный[[#This Row],[Досрочное погашение (да/"")]]=""),0,
AND(S687=0,Первоначальный[[#This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платеж]]+Y687-SUM(Первоначальный[[#This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комиссиям]]),VLOOKUP(LOOKUP(,-1/($Z$12:Z688=1),$A$12:A688),График[[Срок конец]:[Возврат основной суммы долга]],3,0)),
AND(S687=0,Первоначальный[[#This Row],[Дата платежа из графика]]="",Первоначальный[[#This Row],[Досрочное погашение (да/"")]]&lt;&gt;"Да"),0,
AND(S687=0,Первоначальный[[#This Row],[Досрочное погашение (да/"")]]=""),MIN(Первоначальный[[#This Row],[Полученный платеж]]+Y687-SUM(Первоначальный[[#This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комиссиям]]),VLOOKUP(LOOKUP(,-1/($Z$12:Z688=1),$A$12:A688),График[[Срок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платеж]]+Y687-SUM(Первоначальный[[#This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S687&gt;0,MIN(Первоначальный[[#This Row],[Полученный платеж]]+Y687-SUM(Первоначальный[[#This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комиссиям]]),SUM(INDIRECT("M"&amp;(MAX((1=S$12:S687)*ROW(S$12:S687),ROW($W$12))&amp;":M"&amp;(ROW()))))-SUM(INDIRECT("W"&amp;(MAX((1=S$12:S687)*ROW(S$12:S687),ROW($W$12))&amp;":W"&amp;(ROW()-1)))))
)
)</f>
        <v>0</v>
      </c>
      <c r="X688" s="55">
        <f t="shared" ca="1" si="122"/>
        <v>0</v>
      </c>
      <c r="Y688" s="101">
        <f t="shared" ca="1" si="129"/>
        <v>0</v>
      </c>
      <c r="Z688" s="133" t="str">
        <f>IF(TYPE((VLOOKUP(Первоначальный[[#This Row],[Дата платежа]],График[Срок конец],1,0)))=16,"",1)</f>
        <v/>
      </c>
      <c r="AA688" s="57"/>
      <c r="AB688" s="134"/>
      <c r="AC68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8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48567.749999999993</v>
      </c>
      <c r="AE68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1509.5499999999997</v>
      </c>
      <c r="AF68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8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85741.335914754105</v>
      </c>
      <c r="AH688" s="55"/>
      <c r="AI688" s="55"/>
      <c r="AJ688" s="55"/>
      <c r="AK688" s="101">
        <f t="shared" ca="1" si="130"/>
        <v>285451.97591475409</v>
      </c>
      <c r="AL688" s="129">
        <f t="array" ref="AL688">MAX((УслРестрактов[Характеристика]="Дата реструктуризации")*(УслРестрактов[Значение]=Первоначальный!$A688),0)</f>
        <v>0</v>
      </c>
    </row>
    <row r="689" spans="1:38" x14ac:dyDescent="0.25">
      <c r="A689" s="97">
        <f t="shared" si="123"/>
        <v>44820</v>
      </c>
      <c r="B689" s="100">
        <f t="shared" ca="1" si="124"/>
        <v>149633.34</v>
      </c>
      <c r="C689" s="55">
        <f t="shared" ca="1" si="132"/>
        <v>48567.749999999993</v>
      </c>
      <c r="D689" s="55">
        <f t="shared" ca="1" si="132"/>
        <v>1509.5499999999997</v>
      </c>
      <c r="E689" s="55">
        <f t="shared" ca="1" si="125"/>
        <v>0</v>
      </c>
      <c r="F689" s="55">
        <f t="shared" ca="1" si="126"/>
        <v>85741.335914754105</v>
      </c>
      <c r="G689" s="101">
        <f t="shared" ca="1" si="127"/>
        <v>285451.97591475409</v>
      </c>
      <c r="H689" s="100">
        <f ca="1">ROUND($B689*VLOOKUP($A689,$A$1:$B$10,2,1)/(365+IF(MOD(YEAR($A689),4),0,1)*($A689-$A688)),2)-Первоначальный[[#This Row],[Проценты на просроченный платеж по ОД за период]]</f>
        <v>76.23</v>
      </c>
      <c r="I689" s="55">
        <f t="shared" ca="1" si="128"/>
        <v>5.35</v>
      </c>
      <c r="J689" s="55">
        <v>0</v>
      </c>
      <c r="K689" s="55">
        <f t="shared" ca="1" si="131"/>
        <v>289.63350327868847</v>
      </c>
      <c r="L689" s="55">
        <v>0</v>
      </c>
      <c r="M689" s="113">
        <f>SUMIFS(График[Возврат основной суммы долга],График[Дата с учетом нерабочих дней],$A689)</f>
        <v>0</v>
      </c>
      <c r="N689" s="56">
        <f>SUMIFS(График[Возврат начисленных %],График[Дата с учетом нерабочих дней],$A689)</f>
        <v>0</v>
      </c>
      <c r="O689" s="101">
        <v>0</v>
      </c>
      <c r="P689" s="100" cm="1">
        <f t="array" aca="1" ref="P689" ca="1">MAX(IF(AA688="Да",0,SUM(INDIRECT("M"&amp;(MAX(("Да"=AA$12:AA688)*ROW(AA$12:AA688)+1,ROW($P$12))&amp;":M"&amp;(ROW()))))-SUM(INDIRECT("W"&amp;(MAX(("Да"=AA$12:AA688)*ROW(AA$12:AA688)+1,ROW($P$12))&amp;":W"&amp;(ROW()))))),0)</f>
        <v>9818.4299999999985</v>
      </c>
      <c r="Q689" s="99">
        <f ca="1">MAX(SUM($N$13:N689)-SUM($T$13:T689),0)</f>
        <v>48108.270655737695</v>
      </c>
      <c r="R689" s="99">
        <f ca="1">Первоначальный[[#This Row],[Просроченный платеж по ОД]]+Первоначальный[[#This Row],[Просроченный платеж по процентам]]</f>
        <v>57926.700655737695</v>
      </c>
      <c r="S689" s="120">
        <f ca="1">IF(Первоначальный[[#This Row],[Просроченный платеж]]&lt;1,0,S688+1)</f>
        <v>585</v>
      </c>
      <c r="T689" s="100" cm="1">
        <f t="array" aca="1" ref="T689" ca="1">IF(Первоначальный[[#This Row],[Итого остаток на начало периода]]&lt;1,0,
IF(
AND(TYPE(VLOOKUP(1,$Z$12:Z689,1,0))=16,Первоначальный[[#This Row],[Досрочное погашение (да/"")]]=""),0,
_xlfn.IFS(AND(S688=0,Первоначальный[[#This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платеж]]&lt;&gt;0),MIN(LOOKUP(,-1/($Z$12:Z689=1),$C$12:C689)+LOOKUP(,-1/($Z$12:Z689=1),$H$12:H689),Первоначальный[[#This Row],[Полученный платеж]]+Y688),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платеж]]+Y688,SUM(Первоначальный[[#This Row],[Остаток процентов на начало периода]],Первоначальный[[#This Row],[Проценты за период]])),
AND(S688=0,Первоначальный[[#This Row],[Дата платежа из графика]]=""),0,
AND(S688=0,Первоначальный[[#This Row],[Дата платежа из графика]]=1,MAX((0&lt;&gt;S$12:S688)*ROW(S$12:S688),ROW($S$12))&gt;=MAX((1=Z$12:Z688)*ROW(Z$12:Z688),ROW($T$12)),TYPE(VLOOKUP("Да",(INDIRECT("AA"&amp;(MAX((1=Z$12:Z688)*ROW(Z$12:Z688),ROW($T$12))&amp;":AA"&amp;(ROW()-1)))),1,0))=16),MIN(LOOKUP(,-1/($Z$12:Z689=1),$C$12:C689)+LOOKUP(,-1/($Z$12:Z689=1),$H$12:H689),Первоначальный[[#This Row],[Полученный платеж]]+Y688),
AND(S688=0,TYPE(VLOOKUP("Да",(INDIRECT("AA"&amp;(MAX((1=Z$12:Z688)*ROW(Z$12:Z688),ROW($T$12))&amp;":AA"&amp;(ROW()-1)))),1,0))&lt;&gt;16),MIN(LOOKUP(,-1/($Z$12:Z689=1),$C$12:C689)+LOOKUP(,-1/($Z$12:Z689=1),$H$12:H689)-IF(AA688="Да",0,SUM(INDIRECT("T"&amp;(MAX(("Да"=AA$12:AA688)*ROW(AA$12:AA688)+1,ROW($T$12))&amp;":T"&amp;(ROW()-1))))),Первоначальный[[#This Row],[Полученный платеж]]+Y688),
AND(S688=0,MAX((0&lt;&gt;N$12:N688)*ROW(N$12:N688),ROW($S$12))&gt;=MAX((1=Z$12:Z688)*ROW(Z$12:Z688),ROW($T$12))),MIN(LOOKUP(,-1/($Z$12:Z689=1),$C$12:C689)+LOOKUP(,-1/($Z$12:Z689=1),$H$12:H689)-IF(N688&lt;&gt;0,0,SUM(INDIRECT("T"&amp;(MAX((0&lt;&gt;N$12:N688)*ROW(N$12:N688)+1,ROW($T$12))&amp;":T"&amp;(ROW()-1))))),Первоначальный[[#This Row],[Полученный платеж]]+Y688),
AND(S688=0,Первоначальный[[#This Row],[Дата платежа из графика]]=1),MIN(LOOKUP(,-1/($Z$12:Z689=1),$C$12:C689)+LOOKUP(,-1/($Z$12:Z689=1),$H$12:H689)-IF(Z688=1,0,SUM(INDIRECT("T"&amp;(MAX((1=Z$12:Z688)*ROW(Z$12:Z688)+1,ROW($T$12))&amp;":T"&amp;(ROW()-1))))),Первоначальный[[#This Row],[Полученный платеж]]+Y688),
AND(Z688&gt;0,Первоначальный[[#This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платеж]]+Y688),
AND(S688&gt;0,MAX((0&lt;&gt;S$12:S688)*ROW(S$12:S688),ROW($S$12))&gt;=MAX((1=Z$12:Z688)*ROW(Z$12:Z688),ROW($T$12)),TYPE(VLOOKUP("Да",(INDIRECT("AA"&amp;(MAX((1=Z$12:Z688)*ROW(Z$12:Z688),ROW($T$12))&amp;":AA"&amp;(ROW()-1)))),1,0))=16),MIN(LOOKUP(,-1/($Z$12:Z689=1),$C$12:C689)+LOOKUP(,-1/($Z$12:Z689=1),$H$12:H689)-SUM(INDIRECT("T"&amp;(MAX((1=Z$12:Z688)*ROW(Z$12:Z688),ROW($T$12))&amp;":T"&amp;(ROW()-1)))),Первоначальный[[#This Row],[Полученный платеж]]+Y688),
S688&gt;0,MIN(LOOKUP(,-1/($Z$12:Z689=1),$C$12:C689)+LOOKUP(,-1/($Z$12:Z689=1),$H$12:H689)-IF(Z688=1,0,SUM(INDIRECT("T"&amp;(MAX((1=Z$12:Z688)*ROW(Z$12:Z688)+1,ROW($T$12))&amp;":T"&amp;(ROW()-1))))),Первоначальный[[#This Row],[Полученный платеж]]+Y688)
)
)
)</f>
        <v>0</v>
      </c>
      <c r="U68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платеж]]+Y688-Первоначальный[[#This Row],[Полученный платёж по процентам]])</f>
        <v>0</v>
      </c>
      <c r="V689" s="55">
        <f t="shared" ca="1" si="121"/>
        <v>0</v>
      </c>
      <c r="W689" s="55" cm="1">
        <f t="array" aca="1" ref="W689" ca="1">IF(Первоначальный[[#This Row],[Итого остаток на начало периода]]&lt;1,0,
_xlfn.IFS(
AND(TYPE(VLOOKUP(1,$Z$12:Z689,1,0))=16,Первоначальный[[#This Row],[Досрочное погашение (да/"")]]=""),0,
AND(S688=0,Первоначальный[[#This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платеж]]+Y688-SUM(Первоначальный[[#This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комиссиям]]),VLOOKUP(LOOKUP(,-1/($Z$12:Z689=1),$A$12:A689),График[[Срок конец]:[Возврат основной суммы долга]],3,0)),
AND(S688=0,Первоначальный[[#This Row],[Дата платежа из графика]]="",Первоначальный[[#This Row],[Досрочное погашение (да/"")]]&lt;&gt;"Да"),0,
AND(S688=0,Первоначальный[[#This Row],[Досрочное погашение (да/"")]]=""),MIN(Первоначальный[[#This Row],[Полученный платеж]]+Y688-SUM(Первоначальный[[#This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комиссиям]]),VLOOKUP(LOOKUP(,-1/($Z$12:Z689=1),$A$12:A689),График[[Срок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платеж]]+Y688-SUM(Первоначальный[[#This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S688&gt;0,MIN(Первоначальный[[#This Row],[Полученный платеж]]+Y688-SUM(Первоначальный[[#This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комиссиям]]),SUM(INDIRECT("M"&amp;(MAX((1=S$12:S688)*ROW(S$12:S688),ROW($W$12))&amp;":M"&amp;(ROW()))))-SUM(INDIRECT("W"&amp;(MAX((1=S$12:S688)*ROW(S$12:S688),ROW($W$12))&amp;":W"&amp;(ROW()-1)))))
)
)</f>
        <v>0</v>
      </c>
      <c r="X689" s="55">
        <f t="shared" ca="1" si="122"/>
        <v>0</v>
      </c>
      <c r="Y689" s="101">
        <f t="shared" ca="1" si="129"/>
        <v>0</v>
      </c>
      <c r="Z689" s="133" t="str">
        <f>IF(TYPE((VLOOKUP(Первоначальный[[#This Row],[Дата платежа]],График[Срок конец],1,0)))=16,"",1)</f>
        <v/>
      </c>
      <c r="AA689" s="57"/>
      <c r="AB689" s="134"/>
      <c r="AC68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8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48643.979999999996</v>
      </c>
      <c r="AE68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1514.8999999999996</v>
      </c>
      <c r="AF68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8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86030.969418032793</v>
      </c>
      <c r="AH689" s="55"/>
      <c r="AI689" s="55"/>
      <c r="AJ689" s="55"/>
      <c r="AK689" s="101">
        <f t="shared" ca="1" si="130"/>
        <v>285823.18941803277</v>
      </c>
      <c r="AL689" s="129">
        <f t="array" ref="AL689">MAX((УслРестрактов[Характеристика]="Дата реструктуризации")*(УслРестрактов[Значение]=Первоначальный!$A689),0)</f>
        <v>0</v>
      </c>
    </row>
    <row r="690" spans="1:38" x14ac:dyDescent="0.25">
      <c r="A690" s="97">
        <f t="shared" si="123"/>
        <v>44821</v>
      </c>
      <c r="B690" s="100">
        <f t="shared" ca="1" si="124"/>
        <v>149633.34</v>
      </c>
      <c r="C690" s="55">
        <f t="shared" ca="1" si="132"/>
        <v>48643.979999999996</v>
      </c>
      <c r="D690" s="55">
        <f t="shared" ca="1" si="132"/>
        <v>1514.8999999999996</v>
      </c>
      <c r="E690" s="55">
        <f t="shared" ca="1" si="125"/>
        <v>0</v>
      </c>
      <c r="F690" s="55">
        <f t="shared" ca="1" si="126"/>
        <v>86030.969418032793</v>
      </c>
      <c r="G690" s="101">
        <f t="shared" ca="1" si="127"/>
        <v>285823.18941803277</v>
      </c>
      <c r="H690" s="100">
        <f ca="1">ROUND($B690*VLOOKUP($A690,$A$1:$B$10,2,1)/(365+IF(MOD(YEAR($A690),4),0,1)*($A690-$A689)),2)-Первоначальный[[#This Row],[Проценты на просроченный платеж по ОД за период]]</f>
        <v>76.23</v>
      </c>
      <c r="I690" s="55">
        <f t="shared" ca="1" si="128"/>
        <v>5.35</v>
      </c>
      <c r="J690" s="55">
        <v>0</v>
      </c>
      <c r="K690" s="55">
        <f t="shared" ca="1" si="131"/>
        <v>289.63350327868847</v>
      </c>
      <c r="L690" s="55">
        <v>0</v>
      </c>
      <c r="M690" s="113">
        <f>SUMIFS(График[Возврат основной суммы долга],График[Дата с учетом нерабочих дней],$A690)</f>
        <v>0</v>
      </c>
      <c r="N690" s="56">
        <f>SUMIFS(График[Возврат начисленных %],График[Дата с учетом нерабочих дней],$A690)</f>
        <v>0</v>
      </c>
      <c r="O690" s="101">
        <v>0</v>
      </c>
      <c r="P690" s="100" cm="1">
        <f t="array" aca="1" ref="P690" ca="1">MAX(IF(AA689="Да",0,SUM(INDIRECT("M"&amp;(MAX(("Да"=AA$12:AA689)*ROW(AA$12:AA689)+1,ROW($P$12))&amp;":M"&amp;(ROW()))))-SUM(INDIRECT("W"&amp;(MAX(("Да"=AA$12:AA689)*ROW(AA$12:AA689)+1,ROW($P$12))&amp;":W"&amp;(ROW()))))),0)</f>
        <v>9818.4299999999985</v>
      </c>
      <c r="Q690" s="99">
        <f ca="1">MAX(SUM($N$13:N690)-SUM($T$13:T690),0)</f>
        <v>48108.270655737695</v>
      </c>
      <c r="R690" s="99">
        <f ca="1">Первоначальный[[#This Row],[Просроченный платеж по ОД]]+Первоначальный[[#This Row],[Просроченный платеж по процентам]]</f>
        <v>57926.700655737695</v>
      </c>
      <c r="S690" s="120">
        <f ca="1">IF(Первоначальный[[#This Row],[Просроченный платеж]]&lt;1,0,S689+1)</f>
        <v>586</v>
      </c>
      <c r="T690" s="100" cm="1">
        <f t="array" aca="1" ref="T690" ca="1">IF(Первоначальный[[#This Row],[Итого остаток на начало периода]]&lt;1,0,
IF(
AND(TYPE(VLOOKUP(1,$Z$12:Z690,1,0))=16,Первоначальный[[#This Row],[Досрочное погашение (да/"")]]=""),0,
_xlfn.IFS(AND(S689=0,Первоначальный[[#This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платеж]]&lt;&gt;0),MIN(LOOKUP(,-1/($Z$12:Z690=1),$C$12:C690)+LOOKUP(,-1/($Z$12:Z690=1),$H$12:H690),Первоначальный[[#This Row],[Полученный платеж]]+Y689),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платеж]]+Y689,SUM(Первоначальный[[#This Row],[Остаток процентов на начало периода]],Первоначальный[[#This Row],[Проценты за период]])),
AND(S689=0,Первоначальный[[#This Row],[Дата платежа из графика]]=""),0,
AND(S689=0,Первоначальный[[#This Row],[Дата платежа из графика]]=1,MAX((0&lt;&gt;S$12:S689)*ROW(S$12:S689),ROW($S$12))&gt;=MAX((1=Z$12:Z689)*ROW(Z$12:Z689),ROW($T$12)),TYPE(VLOOKUP("Да",(INDIRECT("AA"&amp;(MAX((1=Z$12:Z689)*ROW(Z$12:Z689),ROW($T$12))&amp;":AA"&amp;(ROW()-1)))),1,0))=16),MIN(LOOKUP(,-1/($Z$12:Z690=1),$C$12:C690)+LOOKUP(,-1/($Z$12:Z690=1),$H$12:H690),Первоначальный[[#This Row],[Полученный платеж]]+Y689),
AND(S689=0,TYPE(VLOOKUP("Да",(INDIRECT("AA"&amp;(MAX((1=Z$12:Z689)*ROW(Z$12:Z689),ROW($T$12))&amp;":AA"&amp;(ROW()-1)))),1,0))&lt;&gt;16),MIN(LOOKUP(,-1/($Z$12:Z690=1),$C$12:C690)+LOOKUP(,-1/($Z$12:Z690=1),$H$12:H690)-IF(AA689="Да",0,SUM(INDIRECT("T"&amp;(MAX(("Да"=AA$12:AA689)*ROW(AA$12:AA689)+1,ROW($T$12))&amp;":T"&amp;(ROW()-1))))),Первоначальный[[#This Row],[Полученный платеж]]+Y689),
AND(S689=0,MAX((0&lt;&gt;N$12:N689)*ROW(N$12:N689),ROW($S$12))&gt;=MAX((1=Z$12:Z689)*ROW(Z$12:Z689),ROW($T$12))),MIN(LOOKUP(,-1/($Z$12:Z690=1),$C$12:C690)+LOOKUP(,-1/($Z$12:Z690=1),$H$12:H690)-IF(N689&lt;&gt;0,0,SUM(INDIRECT("T"&amp;(MAX((0&lt;&gt;N$12:N689)*ROW(N$12:N689)+1,ROW($T$12))&amp;":T"&amp;(ROW()-1))))),Первоначальный[[#This Row],[Полученный платеж]]+Y689),
AND(S689=0,Первоначальный[[#This Row],[Дата платежа из графика]]=1),MIN(LOOKUP(,-1/($Z$12:Z690=1),$C$12:C690)+LOOKUP(,-1/($Z$12:Z690=1),$H$12:H690)-IF(Z689=1,0,SUM(INDIRECT("T"&amp;(MAX((1=Z$12:Z689)*ROW(Z$12:Z689)+1,ROW($T$12))&amp;":T"&amp;(ROW()-1))))),Первоначальный[[#This Row],[Полученный платеж]]+Y689),
AND(Z689&gt;0,Первоначальный[[#This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платеж]]+Y689),
AND(S689&gt;0,MAX((0&lt;&gt;S$12:S689)*ROW(S$12:S689),ROW($S$12))&gt;=MAX((1=Z$12:Z689)*ROW(Z$12:Z689),ROW($T$12)),TYPE(VLOOKUP("Да",(INDIRECT("AA"&amp;(MAX((1=Z$12:Z689)*ROW(Z$12:Z689),ROW($T$12))&amp;":AA"&amp;(ROW()-1)))),1,0))=16),MIN(LOOKUP(,-1/($Z$12:Z690=1),$C$12:C690)+LOOKUP(,-1/($Z$12:Z690=1),$H$12:H690)-SUM(INDIRECT("T"&amp;(MAX((1=Z$12:Z689)*ROW(Z$12:Z689),ROW($T$12))&amp;":T"&amp;(ROW()-1)))),Первоначальный[[#This Row],[Полученный платеж]]+Y689),
S689&gt;0,MIN(LOOKUP(,-1/($Z$12:Z690=1),$C$12:C690)+LOOKUP(,-1/($Z$12:Z690=1),$H$12:H690)-IF(Z689=1,0,SUM(INDIRECT("T"&amp;(MAX((1=Z$12:Z689)*ROW(Z$12:Z689)+1,ROW($T$12))&amp;":T"&amp;(ROW()-1))))),Первоначальный[[#This Row],[Полученный платеж]]+Y689)
)
)
)</f>
        <v>0</v>
      </c>
      <c r="U69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платеж]]+Y689-Первоначальный[[#This Row],[Полученный платёж по процентам]])</f>
        <v>0</v>
      </c>
      <c r="V690" s="55">
        <f t="shared" ca="1" si="121"/>
        <v>0</v>
      </c>
      <c r="W690" s="55" cm="1">
        <f t="array" aca="1" ref="W690" ca="1">IF(Первоначальный[[#This Row],[Итого остаток на начало периода]]&lt;1,0,
_xlfn.IFS(
AND(TYPE(VLOOKUP(1,$Z$12:Z690,1,0))=16,Первоначальный[[#This Row],[Досрочное погашение (да/"")]]=""),0,
AND(S689=0,Первоначальный[[#This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платеж]]+Y689-SUM(Первоначальный[[#This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комиссиям]]),VLOOKUP(LOOKUP(,-1/($Z$12:Z690=1),$A$12:A690),График[[Срок конец]:[Возврат основной суммы долга]],3,0)),
AND(S689=0,Первоначальный[[#This Row],[Дата платежа из графика]]="",Первоначальный[[#This Row],[Досрочное погашение (да/"")]]&lt;&gt;"Да"),0,
AND(S689=0,Первоначальный[[#This Row],[Досрочное погашение (да/"")]]=""),MIN(Первоначальный[[#This Row],[Полученный платеж]]+Y689-SUM(Первоначальный[[#This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комиссиям]]),VLOOKUP(LOOKUP(,-1/($Z$12:Z690=1),$A$12:A690),График[[Срок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платеж]]+Y689-SUM(Первоначальный[[#This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S689&gt;0,MIN(Первоначальный[[#This Row],[Полученный платеж]]+Y689-SUM(Первоначальный[[#This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комиссиям]]),SUM(INDIRECT("M"&amp;(MAX((1=S$12:S689)*ROW(S$12:S689),ROW($W$12))&amp;":M"&amp;(ROW()))))-SUM(INDIRECT("W"&amp;(MAX((1=S$12:S689)*ROW(S$12:S689),ROW($W$12))&amp;":W"&amp;(ROW()-1)))))
)
)</f>
        <v>0</v>
      </c>
      <c r="X690" s="55">
        <f t="shared" ca="1" si="122"/>
        <v>0</v>
      </c>
      <c r="Y690" s="101">
        <f t="shared" ca="1" si="129"/>
        <v>0</v>
      </c>
      <c r="Z690" s="133" t="str">
        <f>IF(TYPE((VLOOKUP(Первоначальный[[#This Row],[Дата платежа]],График[Срок конец],1,0)))=16,"",1)</f>
        <v/>
      </c>
      <c r="AA690" s="57"/>
      <c r="AB690" s="134"/>
      <c r="AC69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9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48720.21</v>
      </c>
      <c r="AE69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1520.2499999999995</v>
      </c>
      <c r="AF69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9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86320.602921311482</v>
      </c>
      <c r="AH690" s="55"/>
      <c r="AI690" s="55"/>
      <c r="AJ690" s="55"/>
      <c r="AK690" s="101">
        <f t="shared" ca="1" si="130"/>
        <v>286194.40292131144</v>
      </c>
      <c r="AL690" s="129">
        <f t="array" ref="AL690">MAX((УслРестрактов[Характеристика]="Дата реструктуризации")*(УслРестрактов[Значение]=Первоначальный!$A690),0)</f>
        <v>0</v>
      </c>
    </row>
    <row r="691" spans="1:38" x14ac:dyDescent="0.25">
      <c r="A691" s="97">
        <f t="shared" si="123"/>
        <v>44822</v>
      </c>
      <c r="B691" s="100">
        <f t="shared" ca="1" si="124"/>
        <v>149633.34</v>
      </c>
      <c r="C691" s="55">
        <f t="shared" ca="1" si="132"/>
        <v>48720.21</v>
      </c>
      <c r="D691" s="55">
        <f t="shared" ca="1" si="132"/>
        <v>1520.2499999999995</v>
      </c>
      <c r="E691" s="55">
        <f t="shared" ca="1" si="125"/>
        <v>0</v>
      </c>
      <c r="F691" s="55">
        <f t="shared" ca="1" si="126"/>
        <v>86320.602921311482</v>
      </c>
      <c r="G691" s="101">
        <f t="shared" ca="1" si="127"/>
        <v>286194.40292131144</v>
      </c>
      <c r="H691" s="100">
        <f ca="1">ROUND($B691*VLOOKUP($A691,$A$1:$B$10,2,1)/(365+IF(MOD(YEAR($A691),4),0,1)*($A691-$A690)),2)-Первоначальный[[#This Row],[Проценты на просроченный платеж по ОД за период]]</f>
        <v>76.23</v>
      </c>
      <c r="I691" s="55">
        <f t="shared" ca="1" si="128"/>
        <v>5.35</v>
      </c>
      <c r="J691" s="55">
        <v>0</v>
      </c>
      <c r="K691" s="55">
        <f t="shared" ca="1" si="131"/>
        <v>289.63350327868847</v>
      </c>
      <c r="L691" s="55">
        <v>0</v>
      </c>
      <c r="M691" s="113">
        <f>SUMIFS(График[Возврат основной суммы долга],График[Дата с учетом нерабочих дней],$A691)</f>
        <v>0</v>
      </c>
      <c r="N691" s="56">
        <f>SUMIFS(График[Возврат начисленных %],График[Дата с учетом нерабочих дней],$A691)</f>
        <v>0</v>
      </c>
      <c r="O691" s="101">
        <v>0</v>
      </c>
      <c r="P691" s="100" cm="1">
        <f t="array" aca="1" ref="P691" ca="1">MAX(IF(AA690="Да",0,SUM(INDIRECT("M"&amp;(MAX(("Да"=AA$12:AA690)*ROW(AA$12:AA690)+1,ROW($P$12))&amp;":M"&amp;(ROW()))))-SUM(INDIRECT("W"&amp;(MAX(("Да"=AA$12:AA690)*ROW(AA$12:AA690)+1,ROW($P$12))&amp;":W"&amp;(ROW()))))),0)</f>
        <v>9818.4299999999985</v>
      </c>
      <c r="Q691" s="99">
        <f ca="1">MAX(SUM($N$13:N691)-SUM($T$13:T691),0)</f>
        <v>48108.270655737695</v>
      </c>
      <c r="R691" s="99">
        <f ca="1">Первоначальный[[#This Row],[Просроченный платеж по ОД]]+Первоначальный[[#This Row],[Просроченный платеж по процентам]]</f>
        <v>57926.700655737695</v>
      </c>
      <c r="S691" s="120">
        <f ca="1">IF(Первоначальный[[#This Row],[Просроченный платеж]]&lt;1,0,S690+1)</f>
        <v>587</v>
      </c>
      <c r="T691" s="100" cm="1">
        <f t="array" aca="1" ref="T691" ca="1">IF(Первоначальный[[#This Row],[Итого остаток на начало периода]]&lt;1,0,
IF(
AND(TYPE(VLOOKUP(1,$Z$12:Z691,1,0))=16,Первоначальный[[#This Row],[Досрочное погашение (да/"")]]=""),0,
_xlfn.IFS(AND(S690=0,Первоначальный[[#This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платеж]]&lt;&gt;0),MIN(LOOKUP(,-1/($Z$12:Z691=1),$C$12:C691)+LOOKUP(,-1/($Z$12:Z691=1),$H$12:H691),Первоначальный[[#This Row],[Полученный платеж]]+Y690),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платеж]]+Y690,SUM(Первоначальный[[#This Row],[Остаток процентов на начало периода]],Первоначальный[[#This Row],[Проценты за период]])),
AND(S690=0,Первоначальный[[#This Row],[Дата платежа из графика]]=""),0,
AND(S690=0,Первоначальный[[#This Row],[Дата платежа из графика]]=1,MAX((0&lt;&gt;S$12:S690)*ROW(S$12:S690),ROW($S$12))&gt;=MAX((1=Z$12:Z690)*ROW(Z$12:Z690),ROW($T$12)),TYPE(VLOOKUP("Да",(INDIRECT("AA"&amp;(MAX((1=Z$12:Z690)*ROW(Z$12:Z690),ROW($T$12))&amp;":AA"&amp;(ROW()-1)))),1,0))=16),MIN(LOOKUP(,-1/($Z$12:Z691=1),$C$12:C691)+LOOKUP(,-1/($Z$12:Z691=1),$H$12:H691),Первоначальный[[#This Row],[Полученный платеж]]+Y690),
AND(S690=0,TYPE(VLOOKUP("Да",(INDIRECT("AA"&amp;(MAX((1=Z$12:Z690)*ROW(Z$12:Z690),ROW($T$12))&amp;":AA"&amp;(ROW()-1)))),1,0))&lt;&gt;16),MIN(LOOKUP(,-1/($Z$12:Z691=1),$C$12:C691)+LOOKUP(,-1/($Z$12:Z691=1),$H$12:H691)-IF(AA690="Да",0,SUM(INDIRECT("T"&amp;(MAX(("Да"=AA$12:AA690)*ROW(AA$12:AA690)+1,ROW($T$12))&amp;":T"&amp;(ROW()-1))))),Первоначальный[[#This Row],[Полученный платеж]]+Y690),
AND(S690=0,MAX((0&lt;&gt;N$12:N690)*ROW(N$12:N690),ROW($S$12))&gt;=MAX((1=Z$12:Z690)*ROW(Z$12:Z690),ROW($T$12))),MIN(LOOKUP(,-1/($Z$12:Z691=1),$C$12:C691)+LOOKUP(,-1/($Z$12:Z691=1),$H$12:H691)-IF(N690&lt;&gt;0,0,SUM(INDIRECT("T"&amp;(MAX((0&lt;&gt;N$12:N690)*ROW(N$12:N690)+1,ROW($T$12))&amp;":T"&amp;(ROW()-1))))),Первоначальный[[#This Row],[Полученный платеж]]+Y690),
AND(S690=0,Первоначальный[[#This Row],[Дата платежа из графика]]=1),MIN(LOOKUP(,-1/($Z$12:Z691=1),$C$12:C691)+LOOKUP(,-1/($Z$12:Z691=1),$H$12:H691)-IF(Z690=1,0,SUM(INDIRECT("T"&amp;(MAX((1=Z$12:Z690)*ROW(Z$12:Z690)+1,ROW($T$12))&amp;":T"&amp;(ROW()-1))))),Первоначальный[[#This Row],[Полученный платеж]]+Y690),
AND(Z690&gt;0,Первоначальный[[#This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платеж]]+Y690),
AND(S690&gt;0,MAX((0&lt;&gt;S$12:S690)*ROW(S$12:S690),ROW($S$12))&gt;=MAX((1=Z$12:Z690)*ROW(Z$12:Z690),ROW($T$12)),TYPE(VLOOKUP("Да",(INDIRECT("AA"&amp;(MAX((1=Z$12:Z690)*ROW(Z$12:Z690),ROW($T$12))&amp;":AA"&amp;(ROW()-1)))),1,0))=16),MIN(LOOKUP(,-1/($Z$12:Z691=1),$C$12:C691)+LOOKUP(,-1/($Z$12:Z691=1),$H$12:H691)-SUM(INDIRECT("T"&amp;(MAX((1=Z$12:Z690)*ROW(Z$12:Z690),ROW($T$12))&amp;":T"&amp;(ROW()-1)))),Первоначальный[[#This Row],[Полученный платеж]]+Y690),
S690&gt;0,MIN(LOOKUP(,-1/($Z$12:Z691=1),$C$12:C691)+LOOKUP(,-1/($Z$12:Z691=1),$H$12:H691)-IF(Z690=1,0,SUM(INDIRECT("T"&amp;(MAX((1=Z$12:Z690)*ROW(Z$12:Z690)+1,ROW($T$12))&amp;":T"&amp;(ROW()-1))))),Первоначальный[[#This Row],[Полученный платеж]]+Y690)
)
)
)</f>
        <v>0</v>
      </c>
      <c r="U69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платеж]]+Y690-Первоначальный[[#This Row],[Полученный платёж по процентам]])</f>
        <v>0</v>
      </c>
      <c r="V691" s="55">
        <f t="shared" ca="1" si="121"/>
        <v>0</v>
      </c>
      <c r="W691" s="55" cm="1">
        <f t="array" aca="1" ref="W691" ca="1">IF(Первоначальный[[#This Row],[Итого остаток на начало периода]]&lt;1,0,
_xlfn.IFS(
AND(TYPE(VLOOKUP(1,$Z$12:Z691,1,0))=16,Первоначальный[[#This Row],[Досрочное погашение (да/"")]]=""),0,
AND(S690=0,Первоначальный[[#This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платеж]]+Y690-SUM(Первоначальный[[#This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комиссиям]]),VLOOKUP(LOOKUP(,-1/($Z$12:Z691=1),$A$12:A691),График[[Срок конец]:[Возврат основной суммы долга]],3,0)),
AND(S690=0,Первоначальный[[#This Row],[Дата платежа из графика]]="",Первоначальный[[#This Row],[Досрочное погашение (да/"")]]&lt;&gt;"Да"),0,
AND(S690=0,Первоначальный[[#This Row],[Досрочное погашение (да/"")]]=""),MIN(Первоначальный[[#This Row],[Полученный платеж]]+Y690-SUM(Первоначальный[[#This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комиссиям]]),VLOOKUP(LOOKUP(,-1/($Z$12:Z691=1),$A$12:A691),График[[Срок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платеж]]+Y690-SUM(Первоначальный[[#This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S690&gt;0,MIN(Первоначальный[[#This Row],[Полученный платеж]]+Y690-SUM(Первоначальный[[#This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комиссиям]]),SUM(INDIRECT("M"&amp;(MAX((1=S$12:S690)*ROW(S$12:S690),ROW($W$12))&amp;":M"&amp;(ROW()))))-SUM(INDIRECT("W"&amp;(MAX((1=S$12:S690)*ROW(S$12:S690),ROW($W$12))&amp;":W"&amp;(ROW()-1)))))
)
)</f>
        <v>0</v>
      </c>
      <c r="X691" s="55">
        <f t="shared" ca="1" si="122"/>
        <v>0</v>
      </c>
      <c r="Y691" s="101">
        <f t="shared" ca="1" si="129"/>
        <v>0</v>
      </c>
      <c r="Z691" s="133" t="str">
        <f>IF(TYPE((VLOOKUP(Первоначальный[[#This Row],[Дата платежа]],График[Срок конец],1,0)))=16,"",1)</f>
        <v/>
      </c>
      <c r="AA691" s="57"/>
      <c r="AB691" s="134"/>
      <c r="AC69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9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48796.44</v>
      </c>
      <c r="AE69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1525.5999999999995</v>
      </c>
      <c r="AF69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9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86610.23642459017</v>
      </c>
      <c r="AH691" s="55"/>
      <c r="AI691" s="55"/>
      <c r="AJ691" s="55"/>
      <c r="AK691" s="101">
        <f t="shared" ca="1" si="130"/>
        <v>286565.61642459017</v>
      </c>
      <c r="AL691" s="129">
        <f t="array" ref="AL691">MAX((УслРестрактов[Характеристика]="Дата реструктуризации")*(УслРестрактов[Значение]=Первоначальный!$A691),0)</f>
        <v>0</v>
      </c>
    </row>
    <row r="692" spans="1:38" x14ac:dyDescent="0.25">
      <c r="A692" s="97">
        <f t="shared" si="123"/>
        <v>44823</v>
      </c>
      <c r="B692" s="100">
        <f t="shared" ca="1" si="124"/>
        <v>149633.34</v>
      </c>
      <c r="C692" s="55">
        <f t="shared" ca="1" si="132"/>
        <v>48796.44</v>
      </c>
      <c r="D692" s="55">
        <f t="shared" ca="1" si="132"/>
        <v>1525.5999999999995</v>
      </c>
      <c r="E692" s="55">
        <f t="shared" ca="1" si="125"/>
        <v>0</v>
      </c>
      <c r="F692" s="55">
        <f t="shared" ca="1" si="126"/>
        <v>86610.23642459017</v>
      </c>
      <c r="G692" s="101">
        <f t="shared" ca="1" si="127"/>
        <v>286565.61642459017</v>
      </c>
      <c r="H692" s="100">
        <f ca="1">ROUND($B692*VLOOKUP($A692,$A$1:$B$10,2,1)/(365+IF(MOD(YEAR($A692),4),0,1)*($A692-$A691)),2)-Первоначальный[[#This Row],[Проценты на просроченный платеж по ОД за период]]</f>
        <v>76.23</v>
      </c>
      <c r="I692" s="55">
        <f t="shared" ca="1" si="128"/>
        <v>5.35</v>
      </c>
      <c r="J692" s="55">
        <v>0</v>
      </c>
      <c r="K692" s="55">
        <f t="shared" ca="1" si="131"/>
        <v>289.63350327868847</v>
      </c>
      <c r="L692" s="55">
        <v>0</v>
      </c>
      <c r="M692" s="113">
        <f>SUMIFS(График[Возврат основной суммы долга],График[Дата с учетом нерабочих дней],$A692)</f>
        <v>0</v>
      </c>
      <c r="N692" s="56">
        <f>SUMIFS(График[Возврат начисленных %],График[Дата с учетом нерабочих дней],$A692)</f>
        <v>0</v>
      </c>
      <c r="O692" s="101">
        <v>0</v>
      </c>
      <c r="P692" s="100" cm="1">
        <f t="array" aca="1" ref="P692" ca="1">MAX(IF(AA691="Да",0,SUM(INDIRECT("M"&amp;(MAX(("Да"=AA$12:AA691)*ROW(AA$12:AA691)+1,ROW($P$12))&amp;":M"&amp;(ROW()))))-SUM(INDIRECT("W"&amp;(MAX(("Да"=AA$12:AA691)*ROW(AA$12:AA691)+1,ROW($P$12))&amp;":W"&amp;(ROW()))))),0)</f>
        <v>9818.4299999999985</v>
      </c>
      <c r="Q692" s="99">
        <f ca="1">MAX(SUM($N$13:N692)-SUM($T$13:T692),0)</f>
        <v>48108.270655737695</v>
      </c>
      <c r="R692" s="99">
        <f ca="1">Первоначальный[[#This Row],[Просроченный платеж по ОД]]+Первоначальный[[#This Row],[Просроченный платеж по процентам]]</f>
        <v>57926.700655737695</v>
      </c>
      <c r="S692" s="120">
        <f ca="1">IF(Первоначальный[[#This Row],[Просроченный платеж]]&lt;1,0,S691+1)</f>
        <v>588</v>
      </c>
      <c r="T692" s="100" cm="1">
        <f t="array" aca="1" ref="T692" ca="1">IF(Первоначальный[[#This Row],[Итого остаток на начало периода]]&lt;1,0,
IF(
AND(TYPE(VLOOKUP(1,$Z$12:Z692,1,0))=16,Первоначальный[[#This Row],[Досрочное погашение (да/"")]]=""),0,
_xlfn.IFS(AND(S691=0,Первоначальный[[#This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платеж]]&lt;&gt;0),MIN(LOOKUP(,-1/($Z$12:Z692=1),$C$12:C692)+LOOKUP(,-1/($Z$12:Z692=1),$H$12:H692),Первоначальный[[#This Row],[Полученный платеж]]+Y691),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платеж]]+Y691,SUM(Первоначальный[[#This Row],[Остаток процентов на начало периода]],Первоначальный[[#This Row],[Проценты за период]])),
AND(S691=0,Первоначальный[[#This Row],[Дата платежа из графика]]=""),0,
AND(S691=0,Первоначальный[[#This Row],[Дата платежа из графика]]=1,MAX((0&lt;&gt;S$12:S691)*ROW(S$12:S691),ROW($S$12))&gt;=MAX((1=Z$12:Z691)*ROW(Z$12:Z691),ROW($T$12)),TYPE(VLOOKUP("Да",(INDIRECT("AA"&amp;(MAX((1=Z$12:Z691)*ROW(Z$12:Z691),ROW($T$12))&amp;":AA"&amp;(ROW()-1)))),1,0))=16),MIN(LOOKUP(,-1/($Z$12:Z692=1),$C$12:C692)+LOOKUP(,-1/($Z$12:Z692=1),$H$12:H692),Первоначальный[[#This Row],[Полученный платеж]]+Y691),
AND(S691=0,TYPE(VLOOKUP("Да",(INDIRECT("AA"&amp;(MAX((1=Z$12:Z691)*ROW(Z$12:Z691),ROW($T$12))&amp;":AA"&amp;(ROW()-1)))),1,0))&lt;&gt;16),MIN(LOOKUP(,-1/($Z$12:Z692=1),$C$12:C692)+LOOKUP(,-1/($Z$12:Z692=1),$H$12:H692)-IF(AA691="Да",0,SUM(INDIRECT("T"&amp;(MAX(("Да"=AA$12:AA691)*ROW(AA$12:AA691)+1,ROW($T$12))&amp;":T"&amp;(ROW()-1))))),Первоначальный[[#This Row],[Полученный платеж]]+Y691),
AND(S691=0,MAX((0&lt;&gt;N$12:N691)*ROW(N$12:N691),ROW($S$12))&gt;=MAX((1=Z$12:Z691)*ROW(Z$12:Z691),ROW($T$12))),MIN(LOOKUP(,-1/($Z$12:Z692=1),$C$12:C692)+LOOKUP(,-1/($Z$12:Z692=1),$H$12:H692)-IF(N691&lt;&gt;0,0,SUM(INDIRECT("T"&amp;(MAX((0&lt;&gt;N$12:N691)*ROW(N$12:N691)+1,ROW($T$12))&amp;":T"&amp;(ROW()-1))))),Первоначальный[[#This Row],[Полученный платеж]]+Y691),
AND(S691=0,Первоначальный[[#This Row],[Дата платежа из графика]]=1),MIN(LOOKUP(,-1/($Z$12:Z692=1),$C$12:C692)+LOOKUP(,-1/($Z$12:Z692=1),$H$12:H692)-IF(Z691=1,0,SUM(INDIRECT("T"&amp;(MAX((1=Z$12:Z691)*ROW(Z$12:Z691)+1,ROW($T$12))&amp;":T"&amp;(ROW()-1))))),Первоначальный[[#This Row],[Полученный платеж]]+Y691),
AND(Z691&gt;0,Первоначальный[[#This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платеж]]+Y691),
AND(S691&gt;0,MAX((0&lt;&gt;S$12:S691)*ROW(S$12:S691),ROW($S$12))&gt;=MAX((1=Z$12:Z691)*ROW(Z$12:Z691),ROW($T$12)),TYPE(VLOOKUP("Да",(INDIRECT("AA"&amp;(MAX((1=Z$12:Z691)*ROW(Z$12:Z691),ROW($T$12))&amp;":AA"&amp;(ROW()-1)))),1,0))=16),MIN(LOOKUP(,-1/($Z$12:Z692=1),$C$12:C692)+LOOKUP(,-1/($Z$12:Z692=1),$H$12:H692)-SUM(INDIRECT("T"&amp;(MAX((1=Z$12:Z691)*ROW(Z$12:Z691),ROW($T$12))&amp;":T"&amp;(ROW()-1)))),Первоначальный[[#This Row],[Полученный платеж]]+Y691),
S691&gt;0,MIN(LOOKUP(,-1/($Z$12:Z692=1),$C$12:C692)+LOOKUP(,-1/($Z$12:Z692=1),$H$12:H692)-IF(Z691=1,0,SUM(INDIRECT("T"&amp;(MAX((1=Z$12:Z691)*ROW(Z$12:Z691)+1,ROW($T$12))&amp;":T"&amp;(ROW()-1))))),Первоначальный[[#This Row],[Полученный платеж]]+Y691)
)
)
)</f>
        <v>0</v>
      </c>
      <c r="U69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платеж]]+Y691-Первоначальный[[#This Row],[Полученный платёж по процентам]])</f>
        <v>0</v>
      </c>
      <c r="V692" s="55">
        <f t="shared" ca="1" si="121"/>
        <v>0</v>
      </c>
      <c r="W692" s="55" cm="1">
        <f t="array" aca="1" ref="W692" ca="1">IF(Первоначальный[[#This Row],[Итого остаток на начало периода]]&lt;1,0,
_xlfn.IFS(
AND(TYPE(VLOOKUP(1,$Z$12:Z692,1,0))=16,Первоначальный[[#This Row],[Досрочное погашение (да/"")]]=""),0,
AND(S691=0,Первоначальный[[#This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платеж]]+Y691-SUM(Первоначальный[[#This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комиссиям]]),VLOOKUP(LOOKUP(,-1/($Z$12:Z692=1),$A$12:A692),График[[Срок конец]:[Возврат основной суммы долга]],3,0)),
AND(S691=0,Первоначальный[[#This Row],[Дата платежа из графика]]="",Первоначальный[[#This Row],[Досрочное погашение (да/"")]]&lt;&gt;"Да"),0,
AND(S691=0,Первоначальный[[#This Row],[Досрочное погашение (да/"")]]=""),MIN(Первоначальный[[#This Row],[Полученный платеж]]+Y691-SUM(Первоначальный[[#This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комиссиям]]),VLOOKUP(LOOKUP(,-1/($Z$12:Z692=1),$A$12:A692),График[[Срок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платеж]]+Y691-SUM(Первоначальный[[#This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S691&gt;0,MIN(Первоначальный[[#This Row],[Полученный платеж]]+Y691-SUM(Первоначальный[[#This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комиссиям]]),SUM(INDIRECT("M"&amp;(MAX((1=S$12:S691)*ROW(S$12:S691),ROW($W$12))&amp;":M"&amp;(ROW()))))-SUM(INDIRECT("W"&amp;(MAX((1=S$12:S691)*ROW(S$12:S691),ROW($W$12))&amp;":W"&amp;(ROW()-1)))))
)
)</f>
        <v>0</v>
      </c>
      <c r="X692" s="55">
        <f t="shared" ca="1" si="122"/>
        <v>0</v>
      </c>
      <c r="Y692" s="101">
        <f t="shared" ca="1" si="129"/>
        <v>0</v>
      </c>
      <c r="Z692" s="133" t="str">
        <f>IF(TYPE((VLOOKUP(Первоначальный[[#This Row],[Дата платежа]],График[Срок конец],1,0)))=16,"",1)</f>
        <v/>
      </c>
      <c r="AA692" s="57"/>
      <c r="AB692" s="134"/>
      <c r="AC69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9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48872.670000000006</v>
      </c>
      <c r="AE69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1530.9499999999994</v>
      </c>
      <c r="AF69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9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86899.869927868858</v>
      </c>
      <c r="AH692" s="55"/>
      <c r="AI692" s="55"/>
      <c r="AJ692" s="55"/>
      <c r="AK692" s="101">
        <f t="shared" ca="1" si="130"/>
        <v>286936.82992786891</v>
      </c>
      <c r="AL692" s="129">
        <f t="array" ref="AL692">MAX((УслРестрактов[Характеристика]="Дата реструктуризации")*(УслРестрактов[Значение]=Первоначальный!$A692),0)</f>
        <v>0</v>
      </c>
    </row>
    <row r="693" spans="1:38" x14ac:dyDescent="0.25">
      <c r="A693" s="97">
        <f t="shared" si="123"/>
        <v>44824</v>
      </c>
      <c r="B693" s="100">
        <f t="shared" ca="1" si="124"/>
        <v>149633.34</v>
      </c>
      <c r="C693" s="55">
        <f t="shared" ca="1" si="132"/>
        <v>48872.670000000006</v>
      </c>
      <c r="D693" s="55">
        <f t="shared" ca="1" si="132"/>
        <v>1530.9499999999994</v>
      </c>
      <c r="E693" s="55">
        <f t="shared" ca="1" si="125"/>
        <v>0</v>
      </c>
      <c r="F693" s="55">
        <f t="shared" ca="1" si="126"/>
        <v>86899.869927868858</v>
      </c>
      <c r="G693" s="101">
        <f t="shared" ca="1" si="127"/>
        <v>286936.82992786891</v>
      </c>
      <c r="H693" s="100">
        <f ca="1">ROUND($B693*VLOOKUP($A693,$A$1:$B$10,2,1)/(365+IF(MOD(YEAR($A693),4),0,1)*($A693-$A692)),2)-Первоначальный[[#This Row],[Проценты на просроченный платеж по ОД за период]]</f>
        <v>76.23</v>
      </c>
      <c r="I693" s="55">
        <f t="shared" ca="1" si="128"/>
        <v>5.35</v>
      </c>
      <c r="J693" s="55">
        <v>0</v>
      </c>
      <c r="K693" s="55">
        <f t="shared" ca="1" si="131"/>
        <v>289.63350327868847</v>
      </c>
      <c r="L693" s="55">
        <v>0</v>
      </c>
      <c r="M693" s="113">
        <f>SUMIFS(График[Возврат основной суммы долга],График[Дата с учетом нерабочих дней],$A693)</f>
        <v>0</v>
      </c>
      <c r="N693" s="56">
        <f>SUMIFS(График[Возврат начисленных %],График[Дата с учетом нерабочих дней],$A693)</f>
        <v>0</v>
      </c>
      <c r="O693" s="101">
        <v>0</v>
      </c>
      <c r="P693" s="100" cm="1">
        <f t="array" aca="1" ref="P693" ca="1">MAX(IF(AA692="Да",0,SUM(INDIRECT("M"&amp;(MAX(("Да"=AA$12:AA692)*ROW(AA$12:AA692)+1,ROW($P$12))&amp;":M"&amp;(ROW()))))-SUM(INDIRECT("W"&amp;(MAX(("Да"=AA$12:AA692)*ROW(AA$12:AA692)+1,ROW($P$12))&amp;":W"&amp;(ROW()))))),0)</f>
        <v>9818.4299999999985</v>
      </c>
      <c r="Q693" s="99">
        <f ca="1">MAX(SUM($N$13:N693)-SUM($T$13:T693),0)</f>
        <v>48108.270655737695</v>
      </c>
      <c r="R693" s="99">
        <f ca="1">Первоначальный[[#This Row],[Просроченный платеж по ОД]]+Первоначальный[[#This Row],[Просроченный платеж по процентам]]</f>
        <v>57926.700655737695</v>
      </c>
      <c r="S693" s="120">
        <f ca="1">IF(Первоначальный[[#This Row],[Просроченный платеж]]&lt;1,0,S692+1)</f>
        <v>589</v>
      </c>
      <c r="T693" s="100" cm="1">
        <f t="array" aca="1" ref="T693" ca="1">IF(Первоначальный[[#This Row],[Итого остаток на начало периода]]&lt;1,0,
IF(
AND(TYPE(VLOOKUP(1,$Z$12:Z693,1,0))=16,Первоначальный[[#This Row],[Досрочное погашение (да/"")]]=""),0,
_xlfn.IFS(AND(S692=0,Первоначальный[[#This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платеж]]&lt;&gt;0),MIN(LOOKUP(,-1/($Z$12:Z693=1),$C$12:C693)+LOOKUP(,-1/($Z$12:Z693=1),$H$12:H693),Первоначальный[[#This Row],[Полученный платеж]]+Y692),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платеж]]+Y692,SUM(Первоначальный[[#This Row],[Остаток процентов на начало периода]],Первоначальный[[#This Row],[Проценты за период]])),
AND(S692=0,Первоначальный[[#This Row],[Дата платежа из графика]]=""),0,
AND(S692=0,Первоначальный[[#This Row],[Дата платежа из графика]]=1,MAX((0&lt;&gt;S$12:S692)*ROW(S$12:S692),ROW($S$12))&gt;=MAX((1=Z$12:Z692)*ROW(Z$12:Z692),ROW($T$12)),TYPE(VLOOKUP("Да",(INDIRECT("AA"&amp;(MAX((1=Z$12:Z692)*ROW(Z$12:Z692),ROW($T$12))&amp;":AA"&amp;(ROW()-1)))),1,0))=16),MIN(LOOKUP(,-1/($Z$12:Z693=1),$C$12:C693)+LOOKUP(,-1/($Z$12:Z693=1),$H$12:H693),Первоначальный[[#This Row],[Полученный платеж]]+Y692),
AND(S692=0,TYPE(VLOOKUP("Да",(INDIRECT("AA"&amp;(MAX((1=Z$12:Z692)*ROW(Z$12:Z692),ROW($T$12))&amp;":AA"&amp;(ROW()-1)))),1,0))&lt;&gt;16),MIN(LOOKUP(,-1/($Z$12:Z693=1),$C$12:C693)+LOOKUP(,-1/($Z$12:Z693=1),$H$12:H693)-IF(AA692="Да",0,SUM(INDIRECT("T"&amp;(MAX(("Да"=AA$12:AA692)*ROW(AA$12:AA692)+1,ROW($T$12))&amp;":T"&amp;(ROW()-1))))),Первоначальный[[#This Row],[Полученный платеж]]+Y692),
AND(S692=0,MAX((0&lt;&gt;N$12:N692)*ROW(N$12:N692),ROW($S$12))&gt;=MAX((1=Z$12:Z692)*ROW(Z$12:Z692),ROW($T$12))),MIN(LOOKUP(,-1/($Z$12:Z693=1),$C$12:C693)+LOOKUP(,-1/($Z$12:Z693=1),$H$12:H693)-IF(N692&lt;&gt;0,0,SUM(INDIRECT("T"&amp;(MAX((0&lt;&gt;N$12:N692)*ROW(N$12:N692)+1,ROW($T$12))&amp;":T"&amp;(ROW()-1))))),Первоначальный[[#This Row],[Полученный платеж]]+Y692),
AND(S692=0,Первоначальный[[#This Row],[Дата платежа из графика]]=1),MIN(LOOKUP(,-1/($Z$12:Z693=1),$C$12:C693)+LOOKUP(,-1/($Z$12:Z693=1),$H$12:H693)-IF(Z692=1,0,SUM(INDIRECT("T"&amp;(MAX((1=Z$12:Z692)*ROW(Z$12:Z692)+1,ROW($T$12))&amp;":T"&amp;(ROW()-1))))),Первоначальный[[#This Row],[Полученный платеж]]+Y692),
AND(Z692&gt;0,Первоначальный[[#This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платеж]]+Y692),
AND(S692&gt;0,MAX((0&lt;&gt;S$12:S692)*ROW(S$12:S692),ROW($S$12))&gt;=MAX((1=Z$12:Z692)*ROW(Z$12:Z692),ROW($T$12)),TYPE(VLOOKUP("Да",(INDIRECT("AA"&amp;(MAX((1=Z$12:Z692)*ROW(Z$12:Z692),ROW($T$12))&amp;":AA"&amp;(ROW()-1)))),1,0))=16),MIN(LOOKUP(,-1/($Z$12:Z693=1),$C$12:C693)+LOOKUP(,-1/($Z$12:Z693=1),$H$12:H693)-SUM(INDIRECT("T"&amp;(MAX((1=Z$12:Z692)*ROW(Z$12:Z692),ROW($T$12))&amp;":T"&amp;(ROW()-1)))),Первоначальный[[#This Row],[Полученный платеж]]+Y692),
S692&gt;0,MIN(LOOKUP(,-1/($Z$12:Z693=1),$C$12:C693)+LOOKUP(,-1/($Z$12:Z693=1),$H$12:H693)-IF(Z692=1,0,SUM(INDIRECT("T"&amp;(MAX((1=Z$12:Z692)*ROW(Z$12:Z692)+1,ROW($T$12))&amp;":T"&amp;(ROW()-1))))),Первоначальный[[#This Row],[Полученный платеж]]+Y692)
)
)
)</f>
        <v>0</v>
      </c>
      <c r="U69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платеж]]+Y692-Первоначальный[[#This Row],[Полученный платёж по процентам]])</f>
        <v>0</v>
      </c>
      <c r="V693" s="55">
        <f t="shared" ca="1" si="121"/>
        <v>0</v>
      </c>
      <c r="W693" s="55" cm="1">
        <f t="array" aca="1" ref="W693" ca="1">IF(Первоначальный[[#This Row],[Итого остаток на начало периода]]&lt;1,0,
_xlfn.IFS(
AND(TYPE(VLOOKUP(1,$Z$12:Z693,1,0))=16,Первоначальный[[#This Row],[Досрочное погашение (да/"")]]=""),0,
AND(S692=0,Первоначальный[[#This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платеж]]+Y692-SUM(Первоначальный[[#This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комиссиям]]),VLOOKUP(LOOKUP(,-1/($Z$12:Z693=1),$A$12:A693),График[[Срок конец]:[Возврат основной суммы долга]],3,0)),
AND(S692=0,Первоначальный[[#This Row],[Дата платежа из графика]]="",Первоначальный[[#This Row],[Досрочное погашение (да/"")]]&lt;&gt;"Да"),0,
AND(S692=0,Первоначальный[[#This Row],[Досрочное погашение (да/"")]]=""),MIN(Первоначальный[[#This Row],[Полученный платеж]]+Y692-SUM(Первоначальный[[#This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комиссиям]]),VLOOKUP(LOOKUP(,-1/($Z$12:Z693=1),$A$12:A693),График[[Срок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платеж]]+Y692-SUM(Первоначальный[[#This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S692&gt;0,MIN(Первоначальный[[#This Row],[Полученный платеж]]+Y692-SUM(Первоначальный[[#This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комиссиям]]),SUM(INDIRECT("M"&amp;(MAX((1=S$12:S692)*ROW(S$12:S692),ROW($W$12))&amp;":M"&amp;(ROW()))))-SUM(INDIRECT("W"&amp;(MAX((1=S$12:S692)*ROW(S$12:S692),ROW($W$12))&amp;":W"&amp;(ROW()-1)))))
)
)</f>
        <v>0</v>
      </c>
      <c r="X693" s="55">
        <f t="shared" ca="1" si="122"/>
        <v>0</v>
      </c>
      <c r="Y693" s="101">
        <f t="shared" ca="1" si="129"/>
        <v>0</v>
      </c>
      <c r="Z693" s="133" t="str">
        <f>IF(TYPE((VLOOKUP(Первоначальный[[#This Row],[Дата платежа]],График[Срок конец],1,0)))=16,"",1)</f>
        <v/>
      </c>
      <c r="AA693" s="57"/>
      <c r="AB693" s="134"/>
      <c r="AC69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9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48948.900000000009</v>
      </c>
      <c r="AE69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1536.2999999999993</v>
      </c>
      <c r="AF69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9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87189.503431147547</v>
      </c>
      <c r="AH693" s="55"/>
      <c r="AI693" s="55"/>
      <c r="AJ693" s="55"/>
      <c r="AK693" s="101">
        <f t="shared" ca="1" si="130"/>
        <v>287308.04343114753</v>
      </c>
      <c r="AL693" s="129">
        <f t="array" ref="AL693">MAX((УслРестрактов[Характеристика]="Дата реструктуризации")*(УслРестрактов[Значение]=Первоначальный!$A693),0)</f>
        <v>0</v>
      </c>
    </row>
    <row r="694" spans="1:38" x14ac:dyDescent="0.25">
      <c r="A694" s="97">
        <f t="shared" si="123"/>
        <v>44825</v>
      </c>
      <c r="B694" s="100">
        <f t="shared" ca="1" si="124"/>
        <v>149633.34</v>
      </c>
      <c r="C694" s="55">
        <f t="shared" ca="1" si="132"/>
        <v>48948.900000000009</v>
      </c>
      <c r="D694" s="55">
        <f t="shared" ca="1" si="132"/>
        <v>1536.2999999999993</v>
      </c>
      <c r="E694" s="55">
        <f t="shared" ca="1" si="125"/>
        <v>0</v>
      </c>
      <c r="F694" s="55">
        <f t="shared" ca="1" si="126"/>
        <v>87189.503431147547</v>
      </c>
      <c r="G694" s="101">
        <f t="shared" ca="1" si="127"/>
        <v>287308.04343114753</v>
      </c>
      <c r="H694" s="100">
        <f ca="1">ROUND($B694*VLOOKUP($A694,$A$1:$B$10,2,1)/(365+IF(MOD(YEAR($A694),4),0,1)*($A694-$A693)),2)-Первоначальный[[#This Row],[Проценты на просроченный платеж по ОД за период]]</f>
        <v>76.23</v>
      </c>
      <c r="I694" s="55">
        <f t="shared" ca="1" si="128"/>
        <v>5.35</v>
      </c>
      <c r="J694" s="55">
        <v>0</v>
      </c>
      <c r="K694" s="55">
        <f t="shared" ca="1" si="131"/>
        <v>289.63350327868847</v>
      </c>
      <c r="L694" s="55">
        <v>0</v>
      </c>
      <c r="M694" s="113">
        <f>SUMIFS(График[Возврат основной суммы долга],График[Дата с учетом нерабочих дней],$A694)</f>
        <v>0</v>
      </c>
      <c r="N694" s="56">
        <f>SUMIFS(График[Возврат начисленных %],График[Дата с учетом нерабочих дней],$A694)</f>
        <v>0</v>
      </c>
      <c r="O694" s="101">
        <v>0</v>
      </c>
      <c r="P694" s="100" cm="1">
        <f t="array" aca="1" ref="P694" ca="1">MAX(IF(AA693="Да",0,SUM(INDIRECT("M"&amp;(MAX(("Да"=AA$12:AA693)*ROW(AA$12:AA693)+1,ROW($P$12))&amp;":M"&amp;(ROW()))))-SUM(INDIRECT("W"&amp;(MAX(("Да"=AA$12:AA693)*ROW(AA$12:AA693)+1,ROW($P$12))&amp;":W"&amp;(ROW()))))),0)</f>
        <v>9818.4299999999985</v>
      </c>
      <c r="Q694" s="99">
        <f ca="1">MAX(SUM($N$13:N694)-SUM($T$13:T694),0)</f>
        <v>48108.270655737695</v>
      </c>
      <c r="R694" s="99">
        <f ca="1">Первоначальный[[#This Row],[Просроченный платеж по ОД]]+Первоначальный[[#This Row],[Просроченный платеж по процентам]]</f>
        <v>57926.700655737695</v>
      </c>
      <c r="S694" s="120">
        <f ca="1">IF(Первоначальный[[#This Row],[Просроченный платеж]]&lt;1,0,S693+1)</f>
        <v>590</v>
      </c>
      <c r="T694" s="100" cm="1">
        <f t="array" aca="1" ref="T694" ca="1">IF(Первоначальный[[#This Row],[Итого остаток на начало периода]]&lt;1,0,
IF(
AND(TYPE(VLOOKUP(1,$Z$12:Z694,1,0))=16,Первоначальный[[#This Row],[Досрочное погашение (да/"")]]=""),0,
_xlfn.IFS(AND(S693=0,Первоначальный[[#This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платеж]]&lt;&gt;0),MIN(LOOKUP(,-1/($Z$12:Z694=1),$C$12:C694)+LOOKUP(,-1/($Z$12:Z694=1),$H$12:H694),Первоначальный[[#This Row],[Полученный платеж]]+Y693),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платеж]]+Y693,SUM(Первоначальный[[#This Row],[Остаток процентов на начало периода]],Первоначальный[[#This Row],[Проценты за период]])),
AND(S693=0,Первоначальный[[#This Row],[Дата платежа из графика]]=""),0,
AND(S693=0,Первоначальный[[#This Row],[Дата платежа из графика]]=1,MAX((0&lt;&gt;S$12:S693)*ROW(S$12:S693),ROW($S$12))&gt;=MAX((1=Z$12:Z693)*ROW(Z$12:Z693),ROW($T$12)),TYPE(VLOOKUP("Да",(INDIRECT("AA"&amp;(MAX((1=Z$12:Z693)*ROW(Z$12:Z693),ROW($T$12))&amp;":AA"&amp;(ROW()-1)))),1,0))=16),MIN(LOOKUP(,-1/($Z$12:Z694=1),$C$12:C694)+LOOKUP(,-1/($Z$12:Z694=1),$H$12:H694),Первоначальный[[#This Row],[Полученный платеж]]+Y693),
AND(S693=0,TYPE(VLOOKUP("Да",(INDIRECT("AA"&amp;(MAX((1=Z$12:Z693)*ROW(Z$12:Z693),ROW($T$12))&amp;":AA"&amp;(ROW()-1)))),1,0))&lt;&gt;16),MIN(LOOKUP(,-1/($Z$12:Z694=1),$C$12:C694)+LOOKUP(,-1/($Z$12:Z694=1),$H$12:H694)-IF(AA693="Да",0,SUM(INDIRECT("T"&amp;(MAX(("Да"=AA$12:AA693)*ROW(AA$12:AA693)+1,ROW($T$12))&amp;":T"&amp;(ROW()-1))))),Первоначальный[[#This Row],[Полученный платеж]]+Y693),
AND(S693=0,MAX((0&lt;&gt;N$12:N693)*ROW(N$12:N693),ROW($S$12))&gt;=MAX((1=Z$12:Z693)*ROW(Z$12:Z693),ROW($T$12))),MIN(LOOKUP(,-1/($Z$12:Z694=1),$C$12:C694)+LOOKUP(,-1/($Z$12:Z694=1),$H$12:H694)-IF(N693&lt;&gt;0,0,SUM(INDIRECT("T"&amp;(MAX((0&lt;&gt;N$12:N693)*ROW(N$12:N693)+1,ROW($T$12))&amp;":T"&amp;(ROW()-1))))),Первоначальный[[#This Row],[Полученный платеж]]+Y693),
AND(S693=0,Первоначальный[[#This Row],[Дата платежа из графика]]=1),MIN(LOOKUP(,-1/($Z$12:Z694=1),$C$12:C694)+LOOKUP(,-1/($Z$12:Z694=1),$H$12:H694)-IF(Z693=1,0,SUM(INDIRECT("T"&amp;(MAX((1=Z$12:Z693)*ROW(Z$12:Z693)+1,ROW($T$12))&amp;":T"&amp;(ROW()-1))))),Первоначальный[[#This Row],[Полученный платеж]]+Y693),
AND(Z693&gt;0,Первоначальный[[#This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платеж]]+Y693),
AND(S693&gt;0,MAX((0&lt;&gt;S$12:S693)*ROW(S$12:S693),ROW($S$12))&gt;=MAX((1=Z$12:Z693)*ROW(Z$12:Z693),ROW($T$12)),TYPE(VLOOKUP("Да",(INDIRECT("AA"&amp;(MAX((1=Z$12:Z693)*ROW(Z$12:Z693),ROW($T$12))&amp;":AA"&amp;(ROW()-1)))),1,0))=16),MIN(LOOKUP(,-1/($Z$12:Z694=1),$C$12:C694)+LOOKUP(,-1/($Z$12:Z694=1),$H$12:H694)-SUM(INDIRECT("T"&amp;(MAX((1=Z$12:Z693)*ROW(Z$12:Z693),ROW($T$12))&amp;":T"&amp;(ROW()-1)))),Первоначальный[[#This Row],[Полученный платеж]]+Y693),
S693&gt;0,MIN(LOOKUP(,-1/($Z$12:Z694=1),$C$12:C694)+LOOKUP(,-1/($Z$12:Z694=1),$H$12:H694)-IF(Z693=1,0,SUM(INDIRECT("T"&amp;(MAX((1=Z$12:Z693)*ROW(Z$12:Z693)+1,ROW($T$12))&amp;":T"&amp;(ROW()-1))))),Первоначальный[[#This Row],[Полученный платеж]]+Y693)
)
)
)</f>
        <v>0</v>
      </c>
      <c r="U69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платеж]]+Y693-Первоначальный[[#This Row],[Полученный платёж по процентам]])</f>
        <v>0</v>
      </c>
      <c r="V694" s="55">
        <f t="shared" ca="1" si="121"/>
        <v>0</v>
      </c>
      <c r="W694" s="55" cm="1">
        <f t="array" aca="1" ref="W694" ca="1">IF(Первоначальный[[#This Row],[Итого остаток на начало периода]]&lt;1,0,
_xlfn.IFS(
AND(TYPE(VLOOKUP(1,$Z$12:Z694,1,0))=16,Первоначальный[[#This Row],[Досрочное погашение (да/"")]]=""),0,
AND(S693=0,Первоначальный[[#This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платеж]]+Y693-SUM(Первоначальный[[#This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комиссиям]]),VLOOKUP(LOOKUP(,-1/($Z$12:Z694=1),$A$12:A694),График[[Срок конец]:[Возврат основной суммы долга]],3,0)),
AND(S693=0,Первоначальный[[#This Row],[Дата платежа из графика]]="",Первоначальный[[#This Row],[Досрочное погашение (да/"")]]&lt;&gt;"Да"),0,
AND(S693=0,Первоначальный[[#This Row],[Досрочное погашение (да/"")]]=""),MIN(Первоначальный[[#This Row],[Полученный платеж]]+Y693-SUM(Первоначальный[[#This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комиссиям]]),VLOOKUP(LOOKUP(,-1/($Z$12:Z694=1),$A$12:A694),График[[Срок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платеж]]+Y693-SUM(Первоначальный[[#This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S693&gt;0,MIN(Первоначальный[[#This Row],[Полученный платеж]]+Y693-SUM(Первоначальный[[#This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комиссиям]]),SUM(INDIRECT("M"&amp;(MAX((1=S$12:S693)*ROW(S$12:S693),ROW($W$12))&amp;":M"&amp;(ROW()))))-SUM(INDIRECT("W"&amp;(MAX((1=S$12:S693)*ROW(S$12:S693),ROW($W$12))&amp;":W"&amp;(ROW()-1)))))
)
)</f>
        <v>0</v>
      </c>
      <c r="X694" s="55">
        <f t="shared" ca="1" si="122"/>
        <v>0</v>
      </c>
      <c r="Y694" s="101">
        <f t="shared" ca="1" si="129"/>
        <v>0</v>
      </c>
      <c r="Z694" s="133" t="str">
        <f>IF(TYPE((VLOOKUP(Первоначальный[[#This Row],[Дата платежа]],График[Срок конец],1,0)))=16,"",1)</f>
        <v/>
      </c>
      <c r="AA694" s="57"/>
      <c r="AB694" s="134"/>
      <c r="AC69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9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49025.130000000012</v>
      </c>
      <c r="AE69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1541.6499999999992</v>
      </c>
      <c r="AF69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9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87479.136934426235</v>
      </c>
      <c r="AH694" s="55"/>
      <c r="AI694" s="55"/>
      <c r="AJ694" s="55"/>
      <c r="AK694" s="101">
        <f t="shared" ca="1" si="130"/>
        <v>287679.25693442626</v>
      </c>
      <c r="AL694" s="129">
        <f t="array" ref="AL694">MAX((УслРестрактов[Характеристика]="Дата реструктуризации")*(УслРестрактов[Значение]=Первоначальный!$A694),0)</f>
        <v>0</v>
      </c>
    </row>
    <row r="695" spans="1:38" x14ac:dyDescent="0.25">
      <c r="A695" s="97">
        <f t="shared" si="123"/>
        <v>44826</v>
      </c>
      <c r="B695" s="100">
        <f t="shared" ca="1" si="124"/>
        <v>149633.34</v>
      </c>
      <c r="C695" s="55">
        <f t="shared" ca="1" si="132"/>
        <v>49025.130000000012</v>
      </c>
      <c r="D695" s="55">
        <f t="shared" ca="1" si="132"/>
        <v>1541.6499999999992</v>
      </c>
      <c r="E695" s="55">
        <f t="shared" ca="1" si="125"/>
        <v>0</v>
      </c>
      <c r="F695" s="55">
        <f t="shared" ca="1" si="126"/>
        <v>87479.136934426235</v>
      </c>
      <c r="G695" s="101">
        <f t="shared" ca="1" si="127"/>
        <v>287679.25693442626</v>
      </c>
      <c r="H695" s="100">
        <f ca="1">ROUND($B695*VLOOKUP($A695,$A$1:$B$10,2,1)/(365+IF(MOD(YEAR($A695),4),0,1)*($A695-$A694)),2)-Первоначальный[[#This Row],[Проценты на просроченный платеж по ОД за период]]</f>
        <v>76.23</v>
      </c>
      <c r="I695" s="55">
        <f t="shared" ca="1" si="128"/>
        <v>5.35</v>
      </c>
      <c r="J695" s="55">
        <v>0</v>
      </c>
      <c r="K695" s="55">
        <f t="shared" ca="1" si="131"/>
        <v>289.63350327868847</v>
      </c>
      <c r="L695" s="55">
        <v>0</v>
      </c>
      <c r="M695" s="113">
        <f>SUMIFS(График[Возврат основной суммы долга],График[Дата с учетом нерабочих дней],$A695)</f>
        <v>0</v>
      </c>
      <c r="N695" s="56">
        <f>SUMIFS(График[Возврат начисленных %],График[Дата с учетом нерабочих дней],$A695)</f>
        <v>0</v>
      </c>
      <c r="O695" s="101">
        <v>0</v>
      </c>
      <c r="P695" s="100" cm="1">
        <f t="array" aca="1" ref="P695" ca="1">MAX(IF(AA694="Да",0,SUM(INDIRECT("M"&amp;(MAX(("Да"=AA$12:AA694)*ROW(AA$12:AA694)+1,ROW($P$12))&amp;":M"&amp;(ROW()))))-SUM(INDIRECT("W"&amp;(MAX(("Да"=AA$12:AA694)*ROW(AA$12:AA694)+1,ROW($P$12))&amp;":W"&amp;(ROW()))))),0)</f>
        <v>9818.4299999999985</v>
      </c>
      <c r="Q695" s="99">
        <f ca="1">MAX(SUM($N$13:N695)-SUM($T$13:T695),0)</f>
        <v>48108.270655737695</v>
      </c>
      <c r="R695" s="99">
        <f ca="1">Первоначальный[[#This Row],[Просроченный платеж по ОД]]+Первоначальный[[#This Row],[Просроченный платеж по процентам]]</f>
        <v>57926.700655737695</v>
      </c>
      <c r="S695" s="120">
        <f ca="1">IF(Первоначальный[[#This Row],[Просроченный платеж]]&lt;1,0,S694+1)</f>
        <v>591</v>
      </c>
      <c r="T695" s="100" cm="1">
        <f t="array" aca="1" ref="T695" ca="1">IF(Первоначальный[[#This Row],[Итого остаток на начало периода]]&lt;1,0,
IF(
AND(TYPE(VLOOKUP(1,$Z$12:Z695,1,0))=16,Первоначальный[[#This Row],[Досрочное погашение (да/"")]]=""),0,
_xlfn.IFS(AND(S694=0,Первоначальный[[#This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платеж]]&lt;&gt;0),MIN(LOOKUP(,-1/($Z$12:Z695=1),$C$12:C695)+LOOKUP(,-1/($Z$12:Z695=1),$H$12:H695),Первоначальный[[#This Row],[Полученный платеж]]+Y694),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платеж]]+Y694,SUM(Первоначальный[[#This Row],[Остаток процентов на начало периода]],Первоначальный[[#This Row],[Проценты за период]])),
AND(S694=0,Первоначальный[[#This Row],[Дата платежа из графика]]=""),0,
AND(S694=0,Первоначальный[[#This Row],[Дата платежа из графика]]=1,MAX((0&lt;&gt;S$12:S694)*ROW(S$12:S694),ROW($S$12))&gt;=MAX((1=Z$12:Z694)*ROW(Z$12:Z694),ROW($T$12)),TYPE(VLOOKUP("Да",(INDIRECT("AA"&amp;(MAX((1=Z$12:Z694)*ROW(Z$12:Z694),ROW($T$12))&amp;":AA"&amp;(ROW()-1)))),1,0))=16),MIN(LOOKUP(,-1/($Z$12:Z695=1),$C$12:C695)+LOOKUP(,-1/($Z$12:Z695=1),$H$12:H695),Первоначальный[[#This Row],[Полученный платеж]]+Y694),
AND(S694=0,TYPE(VLOOKUP("Да",(INDIRECT("AA"&amp;(MAX((1=Z$12:Z694)*ROW(Z$12:Z694),ROW($T$12))&amp;":AA"&amp;(ROW()-1)))),1,0))&lt;&gt;16),MIN(LOOKUP(,-1/($Z$12:Z695=1),$C$12:C695)+LOOKUP(,-1/($Z$12:Z695=1),$H$12:H695)-IF(AA694="Да",0,SUM(INDIRECT("T"&amp;(MAX(("Да"=AA$12:AA694)*ROW(AA$12:AA694)+1,ROW($T$12))&amp;":T"&amp;(ROW()-1))))),Первоначальный[[#This Row],[Полученный платеж]]+Y694),
AND(S694=0,MAX((0&lt;&gt;N$12:N694)*ROW(N$12:N694),ROW($S$12))&gt;=MAX((1=Z$12:Z694)*ROW(Z$12:Z694),ROW($T$12))),MIN(LOOKUP(,-1/($Z$12:Z695=1),$C$12:C695)+LOOKUP(,-1/($Z$12:Z695=1),$H$12:H695)-IF(N694&lt;&gt;0,0,SUM(INDIRECT("T"&amp;(MAX((0&lt;&gt;N$12:N694)*ROW(N$12:N694)+1,ROW($T$12))&amp;":T"&amp;(ROW()-1))))),Первоначальный[[#This Row],[Полученный платеж]]+Y694),
AND(S694=0,Первоначальный[[#This Row],[Дата платежа из графика]]=1),MIN(LOOKUP(,-1/($Z$12:Z695=1),$C$12:C695)+LOOKUP(,-1/($Z$12:Z695=1),$H$12:H695)-IF(Z694=1,0,SUM(INDIRECT("T"&amp;(MAX((1=Z$12:Z694)*ROW(Z$12:Z694)+1,ROW($T$12))&amp;":T"&amp;(ROW()-1))))),Первоначальный[[#This Row],[Полученный платеж]]+Y694),
AND(Z694&gt;0,Первоначальный[[#This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платеж]]+Y694),
AND(S694&gt;0,MAX((0&lt;&gt;S$12:S694)*ROW(S$12:S694),ROW($S$12))&gt;=MAX((1=Z$12:Z694)*ROW(Z$12:Z694),ROW($T$12)),TYPE(VLOOKUP("Да",(INDIRECT("AA"&amp;(MAX((1=Z$12:Z694)*ROW(Z$12:Z694),ROW($T$12))&amp;":AA"&amp;(ROW()-1)))),1,0))=16),MIN(LOOKUP(,-1/($Z$12:Z695=1),$C$12:C695)+LOOKUP(,-1/($Z$12:Z695=1),$H$12:H695)-SUM(INDIRECT("T"&amp;(MAX((1=Z$12:Z694)*ROW(Z$12:Z694),ROW($T$12))&amp;":T"&amp;(ROW()-1)))),Первоначальный[[#This Row],[Полученный платеж]]+Y694),
S694&gt;0,MIN(LOOKUP(,-1/($Z$12:Z695=1),$C$12:C695)+LOOKUP(,-1/($Z$12:Z695=1),$H$12:H695)-IF(Z694=1,0,SUM(INDIRECT("T"&amp;(MAX((1=Z$12:Z694)*ROW(Z$12:Z694)+1,ROW($T$12))&amp;":T"&amp;(ROW()-1))))),Первоначальный[[#This Row],[Полученный платеж]]+Y694)
)
)
)</f>
        <v>0</v>
      </c>
      <c r="U69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платеж]]+Y694-Первоначальный[[#This Row],[Полученный платёж по процентам]])</f>
        <v>0</v>
      </c>
      <c r="V695" s="55">
        <f t="shared" ca="1" si="121"/>
        <v>0</v>
      </c>
      <c r="W695" s="55" cm="1">
        <f t="array" aca="1" ref="W695" ca="1">IF(Первоначальный[[#This Row],[Итого остаток на начало периода]]&lt;1,0,
_xlfn.IFS(
AND(TYPE(VLOOKUP(1,$Z$12:Z695,1,0))=16,Первоначальный[[#This Row],[Досрочное погашение (да/"")]]=""),0,
AND(S694=0,Первоначальный[[#This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платеж]]+Y694-SUM(Первоначальный[[#This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комиссиям]]),VLOOKUP(LOOKUP(,-1/($Z$12:Z695=1),$A$12:A695),График[[Срок конец]:[Возврат основной суммы долга]],3,0)),
AND(S694=0,Первоначальный[[#This Row],[Дата платежа из графика]]="",Первоначальный[[#This Row],[Досрочное погашение (да/"")]]&lt;&gt;"Да"),0,
AND(S694=0,Первоначальный[[#This Row],[Досрочное погашение (да/"")]]=""),MIN(Первоначальный[[#This Row],[Полученный платеж]]+Y694-SUM(Первоначальный[[#This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комиссиям]]),VLOOKUP(LOOKUP(,-1/($Z$12:Z695=1),$A$12:A695),График[[Срок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платеж]]+Y694-SUM(Первоначальный[[#This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S694&gt;0,MIN(Первоначальный[[#This Row],[Полученный платеж]]+Y694-SUM(Первоначальный[[#This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комиссиям]]),SUM(INDIRECT("M"&amp;(MAX((1=S$12:S694)*ROW(S$12:S694),ROW($W$12))&amp;":M"&amp;(ROW()))))-SUM(INDIRECT("W"&amp;(MAX((1=S$12:S694)*ROW(S$12:S694),ROW($W$12))&amp;":W"&amp;(ROW()-1)))))
)
)</f>
        <v>0</v>
      </c>
      <c r="X695" s="55">
        <f t="shared" ca="1" si="122"/>
        <v>0</v>
      </c>
      <c r="Y695" s="101">
        <f t="shared" ca="1" si="129"/>
        <v>0</v>
      </c>
      <c r="Z695" s="133" t="str">
        <f>IF(TYPE((VLOOKUP(Первоначальный[[#This Row],[Дата платежа]],График[Срок конец],1,0)))=16,"",1)</f>
        <v/>
      </c>
      <c r="AA695" s="57"/>
      <c r="AB695" s="134"/>
      <c r="AC69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9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49101.360000000015</v>
      </c>
      <c r="AE69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1546.9999999999991</v>
      </c>
      <c r="AF69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9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87768.770437704923</v>
      </c>
      <c r="AH695" s="55"/>
      <c r="AI695" s="55"/>
      <c r="AJ695" s="55"/>
      <c r="AK695" s="101">
        <f t="shared" ca="1" si="130"/>
        <v>288050.47043770493</v>
      </c>
      <c r="AL695" s="129">
        <f t="array" ref="AL695">MAX((УслРестрактов[Характеристика]="Дата реструктуризации")*(УслРестрактов[Значение]=Первоначальный!$A695),0)</f>
        <v>0</v>
      </c>
    </row>
    <row r="696" spans="1:38" x14ac:dyDescent="0.25">
      <c r="A696" s="97">
        <f t="shared" si="123"/>
        <v>44827</v>
      </c>
      <c r="B696" s="100">
        <f t="shared" ca="1" si="124"/>
        <v>149633.34</v>
      </c>
      <c r="C696" s="55">
        <f t="shared" ca="1" si="132"/>
        <v>49101.360000000015</v>
      </c>
      <c r="D696" s="55">
        <f t="shared" ca="1" si="132"/>
        <v>1546.9999999999991</v>
      </c>
      <c r="E696" s="55">
        <f t="shared" ca="1" si="125"/>
        <v>0</v>
      </c>
      <c r="F696" s="55">
        <f t="shared" ca="1" si="126"/>
        <v>87768.770437704923</v>
      </c>
      <c r="G696" s="101">
        <f t="shared" ca="1" si="127"/>
        <v>288050.47043770493</v>
      </c>
      <c r="H696" s="100">
        <f ca="1">ROUND($B696*VLOOKUP($A696,$A$1:$B$10,2,1)/(365+IF(MOD(YEAR($A696),4),0,1)*($A696-$A695)),2)-Первоначальный[[#This Row],[Проценты на просроченный платеж по ОД за период]]</f>
        <v>76.23</v>
      </c>
      <c r="I696" s="55">
        <f t="shared" ca="1" si="128"/>
        <v>5.35</v>
      </c>
      <c r="J696" s="55">
        <v>0</v>
      </c>
      <c r="K696" s="55">
        <f t="shared" ca="1" si="131"/>
        <v>289.63350327868847</v>
      </c>
      <c r="L696" s="55">
        <v>0</v>
      </c>
      <c r="M696" s="113">
        <f>SUMIFS(График[Возврат основной суммы долга],График[Дата с учетом нерабочих дней],$A696)</f>
        <v>0</v>
      </c>
      <c r="N696" s="56">
        <f>SUMIFS(График[Возврат начисленных %],График[Дата с учетом нерабочих дней],$A696)</f>
        <v>0</v>
      </c>
      <c r="O696" s="101">
        <v>0</v>
      </c>
      <c r="P696" s="100" cm="1">
        <f t="array" aca="1" ref="P696" ca="1">MAX(IF(AA695="Да",0,SUM(INDIRECT("M"&amp;(MAX(("Да"=AA$12:AA695)*ROW(AA$12:AA695)+1,ROW($P$12))&amp;":M"&amp;(ROW()))))-SUM(INDIRECT("W"&amp;(MAX(("Да"=AA$12:AA695)*ROW(AA$12:AA695)+1,ROW($P$12))&amp;":W"&amp;(ROW()))))),0)</f>
        <v>9818.4299999999985</v>
      </c>
      <c r="Q696" s="99">
        <f ca="1">MAX(SUM($N$13:N696)-SUM($T$13:T696),0)</f>
        <v>48108.270655737695</v>
      </c>
      <c r="R696" s="99">
        <f ca="1">Первоначальный[[#This Row],[Просроченный платеж по ОД]]+Первоначальный[[#This Row],[Просроченный платеж по процентам]]</f>
        <v>57926.700655737695</v>
      </c>
      <c r="S696" s="120">
        <f ca="1">IF(Первоначальный[[#This Row],[Просроченный платеж]]&lt;1,0,S695+1)</f>
        <v>592</v>
      </c>
      <c r="T696" s="100" cm="1">
        <f t="array" aca="1" ref="T696" ca="1">IF(Первоначальный[[#This Row],[Итого остаток на начало периода]]&lt;1,0,
IF(
AND(TYPE(VLOOKUP(1,$Z$12:Z696,1,0))=16,Первоначальный[[#This Row],[Досрочное погашение (да/"")]]=""),0,
_xlfn.IFS(AND(S695=0,Первоначальный[[#This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платеж]]&lt;&gt;0),MIN(LOOKUP(,-1/($Z$12:Z696=1),$C$12:C696)+LOOKUP(,-1/($Z$12:Z696=1),$H$12:H696),Первоначальный[[#This Row],[Полученный платеж]]+Y695),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платеж]]+Y695,SUM(Первоначальный[[#This Row],[Остаток процентов на начало периода]],Первоначальный[[#This Row],[Проценты за период]])),
AND(S695=0,Первоначальный[[#This Row],[Дата платежа из графика]]=""),0,
AND(S695=0,Первоначальный[[#This Row],[Дата платежа из графика]]=1,MAX((0&lt;&gt;S$12:S695)*ROW(S$12:S695),ROW($S$12))&gt;=MAX((1=Z$12:Z695)*ROW(Z$12:Z695),ROW($T$12)),TYPE(VLOOKUP("Да",(INDIRECT("AA"&amp;(MAX((1=Z$12:Z695)*ROW(Z$12:Z695),ROW($T$12))&amp;":AA"&amp;(ROW()-1)))),1,0))=16),MIN(LOOKUP(,-1/($Z$12:Z696=1),$C$12:C696)+LOOKUP(,-1/($Z$12:Z696=1),$H$12:H696),Первоначальный[[#This Row],[Полученный платеж]]+Y695),
AND(S695=0,TYPE(VLOOKUP("Да",(INDIRECT("AA"&amp;(MAX((1=Z$12:Z695)*ROW(Z$12:Z695),ROW($T$12))&amp;":AA"&amp;(ROW()-1)))),1,0))&lt;&gt;16),MIN(LOOKUP(,-1/($Z$12:Z696=1),$C$12:C696)+LOOKUP(,-1/($Z$12:Z696=1),$H$12:H696)-IF(AA695="Да",0,SUM(INDIRECT("T"&amp;(MAX(("Да"=AA$12:AA695)*ROW(AA$12:AA695)+1,ROW($T$12))&amp;":T"&amp;(ROW()-1))))),Первоначальный[[#This Row],[Полученный платеж]]+Y695),
AND(S695=0,MAX((0&lt;&gt;N$12:N695)*ROW(N$12:N695),ROW($S$12))&gt;=MAX((1=Z$12:Z695)*ROW(Z$12:Z695),ROW($T$12))),MIN(LOOKUP(,-1/($Z$12:Z696=1),$C$12:C696)+LOOKUP(,-1/($Z$12:Z696=1),$H$12:H696)-IF(N695&lt;&gt;0,0,SUM(INDIRECT("T"&amp;(MAX((0&lt;&gt;N$12:N695)*ROW(N$12:N695)+1,ROW($T$12))&amp;":T"&amp;(ROW()-1))))),Первоначальный[[#This Row],[Полученный платеж]]+Y695),
AND(S695=0,Первоначальный[[#This Row],[Дата платежа из графика]]=1),MIN(LOOKUP(,-1/($Z$12:Z696=1),$C$12:C696)+LOOKUP(,-1/($Z$12:Z696=1),$H$12:H696)-IF(Z695=1,0,SUM(INDIRECT("T"&amp;(MAX((1=Z$12:Z695)*ROW(Z$12:Z695)+1,ROW($T$12))&amp;":T"&amp;(ROW()-1))))),Первоначальный[[#This Row],[Полученный платеж]]+Y695),
AND(Z695&gt;0,Первоначальный[[#This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платеж]]+Y695),
AND(S695&gt;0,MAX((0&lt;&gt;S$12:S695)*ROW(S$12:S695),ROW($S$12))&gt;=MAX((1=Z$12:Z695)*ROW(Z$12:Z695),ROW($T$12)),TYPE(VLOOKUP("Да",(INDIRECT("AA"&amp;(MAX((1=Z$12:Z695)*ROW(Z$12:Z695),ROW($T$12))&amp;":AA"&amp;(ROW()-1)))),1,0))=16),MIN(LOOKUP(,-1/($Z$12:Z696=1),$C$12:C696)+LOOKUP(,-1/($Z$12:Z696=1),$H$12:H696)-SUM(INDIRECT("T"&amp;(MAX((1=Z$12:Z695)*ROW(Z$12:Z695),ROW($T$12))&amp;":T"&amp;(ROW()-1)))),Первоначальный[[#This Row],[Полученный платеж]]+Y695),
S695&gt;0,MIN(LOOKUP(,-1/($Z$12:Z696=1),$C$12:C696)+LOOKUP(,-1/($Z$12:Z696=1),$H$12:H696)-IF(Z695=1,0,SUM(INDIRECT("T"&amp;(MAX((1=Z$12:Z695)*ROW(Z$12:Z695)+1,ROW($T$12))&amp;":T"&amp;(ROW()-1))))),Первоначальный[[#This Row],[Полученный платеж]]+Y695)
)
)
)</f>
        <v>0</v>
      </c>
      <c r="U69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платеж]]+Y695-Первоначальный[[#This Row],[Полученный платёж по процентам]])</f>
        <v>0</v>
      </c>
      <c r="V696" s="55">
        <f t="shared" ca="1" si="121"/>
        <v>0</v>
      </c>
      <c r="W696" s="55" cm="1">
        <f t="array" aca="1" ref="W696" ca="1">IF(Первоначальный[[#This Row],[Итого остаток на начало периода]]&lt;1,0,
_xlfn.IFS(
AND(TYPE(VLOOKUP(1,$Z$12:Z696,1,0))=16,Первоначальный[[#This Row],[Досрочное погашение (да/"")]]=""),0,
AND(S695=0,Первоначальный[[#This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платеж]]+Y695-SUM(Первоначальный[[#This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комиссиям]]),VLOOKUP(LOOKUP(,-1/($Z$12:Z696=1),$A$12:A696),График[[Срок конец]:[Возврат основной суммы долга]],3,0)),
AND(S695=0,Первоначальный[[#This Row],[Дата платежа из графика]]="",Первоначальный[[#This Row],[Досрочное погашение (да/"")]]&lt;&gt;"Да"),0,
AND(S695=0,Первоначальный[[#This Row],[Досрочное погашение (да/"")]]=""),MIN(Первоначальный[[#This Row],[Полученный платеж]]+Y695-SUM(Первоначальный[[#This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комиссиям]]),VLOOKUP(LOOKUP(,-1/($Z$12:Z696=1),$A$12:A696),График[[Срок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платеж]]+Y695-SUM(Первоначальный[[#This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S695&gt;0,MIN(Первоначальный[[#This Row],[Полученный платеж]]+Y695-SUM(Первоначальный[[#This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комиссиям]]),SUM(INDIRECT("M"&amp;(MAX((1=S$12:S695)*ROW(S$12:S695),ROW($W$12))&amp;":M"&amp;(ROW()))))-SUM(INDIRECT("W"&amp;(MAX((1=S$12:S695)*ROW(S$12:S695),ROW($W$12))&amp;":W"&amp;(ROW()-1)))))
)
)</f>
        <v>0</v>
      </c>
      <c r="X696" s="55">
        <f t="shared" ca="1" si="122"/>
        <v>0</v>
      </c>
      <c r="Y696" s="101">
        <f t="shared" ca="1" si="129"/>
        <v>0</v>
      </c>
      <c r="Z696" s="133" t="str">
        <f>IF(TYPE((VLOOKUP(Первоначальный[[#This Row],[Дата платежа]],График[Срок конец],1,0)))=16,"",1)</f>
        <v/>
      </c>
      <c r="AA696" s="57"/>
      <c r="AB696" s="134"/>
      <c r="AC69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9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49177.590000000018</v>
      </c>
      <c r="AE69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1552.349999999999</v>
      </c>
      <c r="AF69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9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88058.403940983611</v>
      </c>
      <c r="AH696" s="55"/>
      <c r="AI696" s="55"/>
      <c r="AJ696" s="55"/>
      <c r="AK696" s="101">
        <f t="shared" ca="1" si="130"/>
        <v>288421.68394098361</v>
      </c>
      <c r="AL696" s="129">
        <f t="array" ref="AL696">MAX((УслРестрактов[Характеристика]="Дата реструктуризации")*(УслРестрактов[Значение]=Первоначальный!$A696),0)</f>
        <v>0</v>
      </c>
    </row>
    <row r="697" spans="1:38" x14ac:dyDescent="0.25">
      <c r="A697" s="97">
        <f t="shared" si="123"/>
        <v>44828</v>
      </c>
      <c r="B697" s="100">
        <f t="shared" ca="1" si="124"/>
        <v>149633.34</v>
      </c>
      <c r="C697" s="55">
        <f t="shared" ca="1" si="132"/>
        <v>49177.590000000018</v>
      </c>
      <c r="D697" s="55">
        <f t="shared" ca="1" si="132"/>
        <v>1552.349999999999</v>
      </c>
      <c r="E697" s="55">
        <f t="shared" ca="1" si="125"/>
        <v>0</v>
      </c>
      <c r="F697" s="55">
        <f t="shared" ca="1" si="126"/>
        <v>88058.403940983611</v>
      </c>
      <c r="G697" s="101">
        <f t="shared" ca="1" si="127"/>
        <v>288421.68394098361</v>
      </c>
      <c r="H697" s="100">
        <f ca="1">ROUND($B697*VLOOKUP($A697,$A$1:$B$10,2,1)/(365+IF(MOD(YEAR($A697),4),0,1)*($A697-$A696)),2)-Первоначальный[[#This Row],[Проценты на просроченный платеж по ОД за период]]</f>
        <v>76.23</v>
      </c>
      <c r="I697" s="55">
        <f t="shared" ca="1" si="128"/>
        <v>5.35</v>
      </c>
      <c r="J697" s="55">
        <v>0</v>
      </c>
      <c r="K697" s="55">
        <f t="shared" ca="1" si="131"/>
        <v>289.63350327868847</v>
      </c>
      <c r="L697" s="55">
        <v>0</v>
      </c>
      <c r="M697" s="113">
        <f>SUMIFS(График[Возврат основной суммы долга],График[Дата с учетом нерабочих дней],$A697)</f>
        <v>0</v>
      </c>
      <c r="N697" s="56">
        <f>SUMIFS(График[Возврат начисленных %],График[Дата с учетом нерабочих дней],$A697)</f>
        <v>0</v>
      </c>
      <c r="O697" s="101">
        <v>0</v>
      </c>
      <c r="P697" s="100" cm="1">
        <f t="array" aca="1" ref="P697" ca="1">MAX(IF(AA696="Да",0,SUM(INDIRECT("M"&amp;(MAX(("Да"=AA$12:AA696)*ROW(AA$12:AA696)+1,ROW($P$12))&amp;":M"&amp;(ROW()))))-SUM(INDIRECT("W"&amp;(MAX(("Да"=AA$12:AA696)*ROW(AA$12:AA696)+1,ROW($P$12))&amp;":W"&amp;(ROW()))))),0)</f>
        <v>9818.4299999999985</v>
      </c>
      <c r="Q697" s="99">
        <f ca="1">MAX(SUM($N$13:N697)-SUM($T$13:T697),0)</f>
        <v>48108.270655737695</v>
      </c>
      <c r="R697" s="99">
        <f ca="1">Первоначальный[[#This Row],[Просроченный платеж по ОД]]+Первоначальный[[#This Row],[Просроченный платеж по процентам]]</f>
        <v>57926.700655737695</v>
      </c>
      <c r="S697" s="120">
        <f ca="1">IF(Первоначальный[[#This Row],[Просроченный платеж]]&lt;1,0,S696+1)</f>
        <v>593</v>
      </c>
      <c r="T697" s="100" cm="1">
        <f t="array" aca="1" ref="T697" ca="1">IF(Первоначальный[[#This Row],[Итого остаток на начало периода]]&lt;1,0,
IF(
AND(TYPE(VLOOKUP(1,$Z$12:Z697,1,0))=16,Первоначальный[[#This Row],[Досрочное погашение (да/"")]]=""),0,
_xlfn.IFS(AND(S696=0,Первоначальный[[#This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платеж]]&lt;&gt;0),MIN(LOOKUP(,-1/($Z$12:Z697=1),$C$12:C697)+LOOKUP(,-1/($Z$12:Z697=1),$H$12:H697),Первоначальный[[#This Row],[Полученный платеж]]+Y696),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платеж]]+Y696,SUM(Первоначальный[[#This Row],[Остаток процентов на начало периода]],Первоначальный[[#This Row],[Проценты за период]])),
AND(S696=0,Первоначальный[[#This Row],[Дата платежа из графика]]=""),0,
AND(S696=0,Первоначальный[[#This Row],[Дата платежа из графика]]=1,MAX((0&lt;&gt;S$12:S696)*ROW(S$12:S696),ROW($S$12))&gt;=MAX((1=Z$12:Z696)*ROW(Z$12:Z696),ROW($T$12)),TYPE(VLOOKUP("Да",(INDIRECT("AA"&amp;(MAX((1=Z$12:Z696)*ROW(Z$12:Z696),ROW($T$12))&amp;":AA"&amp;(ROW()-1)))),1,0))=16),MIN(LOOKUP(,-1/($Z$12:Z697=1),$C$12:C697)+LOOKUP(,-1/($Z$12:Z697=1),$H$12:H697),Первоначальный[[#This Row],[Полученный платеж]]+Y696),
AND(S696=0,TYPE(VLOOKUP("Да",(INDIRECT("AA"&amp;(MAX((1=Z$12:Z696)*ROW(Z$12:Z696),ROW($T$12))&amp;":AA"&amp;(ROW()-1)))),1,0))&lt;&gt;16),MIN(LOOKUP(,-1/($Z$12:Z697=1),$C$12:C697)+LOOKUP(,-1/($Z$12:Z697=1),$H$12:H697)-IF(AA696="Да",0,SUM(INDIRECT("T"&amp;(MAX(("Да"=AA$12:AA696)*ROW(AA$12:AA696)+1,ROW($T$12))&amp;":T"&amp;(ROW()-1))))),Первоначальный[[#This Row],[Полученный платеж]]+Y696),
AND(S696=0,MAX((0&lt;&gt;N$12:N696)*ROW(N$12:N696),ROW($S$12))&gt;=MAX((1=Z$12:Z696)*ROW(Z$12:Z696),ROW($T$12))),MIN(LOOKUP(,-1/($Z$12:Z697=1),$C$12:C697)+LOOKUP(,-1/($Z$12:Z697=1),$H$12:H697)-IF(N696&lt;&gt;0,0,SUM(INDIRECT("T"&amp;(MAX((0&lt;&gt;N$12:N696)*ROW(N$12:N696)+1,ROW($T$12))&amp;":T"&amp;(ROW()-1))))),Первоначальный[[#This Row],[Полученный платеж]]+Y696),
AND(S696=0,Первоначальный[[#This Row],[Дата платежа из графика]]=1),MIN(LOOKUP(,-1/($Z$12:Z697=1),$C$12:C697)+LOOKUP(,-1/($Z$12:Z697=1),$H$12:H697)-IF(Z696=1,0,SUM(INDIRECT("T"&amp;(MAX((1=Z$12:Z696)*ROW(Z$12:Z696)+1,ROW($T$12))&amp;":T"&amp;(ROW()-1))))),Первоначальный[[#This Row],[Полученный платеж]]+Y696),
AND(Z696&gt;0,Первоначальный[[#This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платеж]]+Y696),
AND(S696&gt;0,MAX((0&lt;&gt;S$12:S696)*ROW(S$12:S696),ROW($S$12))&gt;=MAX((1=Z$12:Z696)*ROW(Z$12:Z696),ROW($T$12)),TYPE(VLOOKUP("Да",(INDIRECT("AA"&amp;(MAX((1=Z$12:Z696)*ROW(Z$12:Z696),ROW($T$12))&amp;":AA"&amp;(ROW()-1)))),1,0))=16),MIN(LOOKUP(,-1/($Z$12:Z697=1),$C$12:C697)+LOOKUP(,-1/($Z$12:Z697=1),$H$12:H697)-SUM(INDIRECT("T"&amp;(MAX((1=Z$12:Z696)*ROW(Z$12:Z696),ROW($T$12))&amp;":T"&amp;(ROW()-1)))),Первоначальный[[#This Row],[Полученный платеж]]+Y696),
S696&gt;0,MIN(LOOKUP(,-1/($Z$12:Z697=1),$C$12:C697)+LOOKUP(,-1/($Z$12:Z697=1),$H$12:H697)-IF(Z696=1,0,SUM(INDIRECT("T"&amp;(MAX((1=Z$12:Z696)*ROW(Z$12:Z696)+1,ROW($T$12))&amp;":T"&amp;(ROW()-1))))),Первоначальный[[#This Row],[Полученный платеж]]+Y696)
)
)
)</f>
        <v>0</v>
      </c>
      <c r="U69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платеж]]+Y696-Первоначальный[[#This Row],[Полученный платёж по процентам]])</f>
        <v>0</v>
      </c>
      <c r="V697" s="55">
        <f t="shared" ca="1" si="121"/>
        <v>0</v>
      </c>
      <c r="W697" s="55" cm="1">
        <f t="array" aca="1" ref="W697" ca="1">IF(Первоначальный[[#This Row],[Итого остаток на начало периода]]&lt;1,0,
_xlfn.IFS(
AND(TYPE(VLOOKUP(1,$Z$12:Z697,1,0))=16,Первоначальный[[#This Row],[Досрочное погашение (да/"")]]=""),0,
AND(S696=0,Первоначальный[[#This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платеж]]+Y696-SUM(Первоначальный[[#This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комиссиям]]),VLOOKUP(LOOKUP(,-1/($Z$12:Z697=1),$A$12:A697),График[[Срок конец]:[Возврат основной суммы долга]],3,0)),
AND(S696=0,Первоначальный[[#This Row],[Дата платежа из графика]]="",Первоначальный[[#This Row],[Досрочное погашение (да/"")]]&lt;&gt;"Да"),0,
AND(S696=0,Первоначальный[[#This Row],[Досрочное погашение (да/"")]]=""),MIN(Первоначальный[[#This Row],[Полученный платеж]]+Y696-SUM(Первоначальный[[#This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комиссиям]]),VLOOKUP(LOOKUP(,-1/($Z$12:Z697=1),$A$12:A697),График[[Срок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платеж]]+Y696-SUM(Первоначальный[[#This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S696&gt;0,MIN(Первоначальный[[#This Row],[Полученный платеж]]+Y696-SUM(Первоначальный[[#This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комиссиям]]),SUM(INDIRECT("M"&amp;(MAX((1=S$12:S696)*ROW(S$12:S696),ROW($W$12))&amp;":M"&amp;(ROW()))))-SUM(INDIRECT("W"&amp;(MAX((1=S$12:S696)*ROW(S$12:S696),ROW($W$12))&amp;":W"&amp;(ROW()-1)))))
)
)</f>
        <v>0</v>
      </c>
      <c r="X697" s="55">
        <f t="shared" ca="1" si="122"/>
        <v>0</v>
      </c>
      <c r="Y697" s="101">
        <f t="shared" ca="1" si="129"/>
        <v>0</v>
      </c>
      <c r="Z697" s="133" t="str">
        <f>IF(TYPE((VLOOKUP(Первоначальный[[#This Row],[Дата платежа]],График[Срок конец],1,0)))=16,"",1)</f>
        <v/>
      </c>
      <c r="AA697" s="57"/>
      <c r="AB697" s="134"/>
      <c r="AC69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9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49253.820000000022</v>
      </c>
      <c r="AE69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1557.6999999999989</v>
      </c>
      <c r="AF69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9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88348.0374442623</v>
      </c>
      <c r="AH697" s="55"/>
      <c r="AI697" s="55"/>
      <c r="AJ697" s="55"/>
      <c r="AK697" s="101">
        <f t="shared" ca="1" si="130"/>
        <v>288792.89744426234</v>
      </c>
      <c r="AL697" s="129">
        <f t="array" ref="AL697">MAX((УслРестрактов[Характеристика]="Дата реструктуризации")*(УслРестрактов[Значение]=Первоначальный!$A697),0)</f>
        <v>0</v>
      </c>
    </row>
    <row r="698" spans="1:38" x14ac:dyDescent="0.25">
      <c r="A698" s="97">
        <f t="shared" si="123"/>
        <v>44829</v>
      </c>
      <c r="B698" s="100">
        <f t="shared" ca="1" si="124"/>
        <v>149633.34</v>
      </c>
      <c r="C698" s="55">
        <f t="shared" ca="1" si="132"/>
        <v>49253.820000000022</v>
      </c>
      <c r="D698" s="55">
        <f t="shared" ca="1" si="132"/>
        <v>1557.6999999999989</v>
      </c>
      <c r="E698" s="55">
        <f t="shared" ca="1" si="125"/>
        <v>0</v>
      </c>
      <c r="F698" s="55">
        <f t="shared" ca="1" si="126"/>
        <v>88348.0374442623</v>
      </c>
      <c r="G698" s="101">
        <f t="shared" ca="1" si="127"/>
        <v>288792.89744426234</v>
      </c>
      <c r="H698" s="100">
        <f ca="1">ROUND($B698*VLOOKUP($A698,$A$1:$B$10,2,1)/(365+IF(MOD(YEAR($A698),4),0,1)*($A698-$A697)),2)-Первоначальный[[#This Row],[Проценты на просроченный платеж по ОД за период]]</f>
        <v>76.23</v>
      </c>
      <c r="I698" s="55">
        <f t="shared" ca="1" si="128"/>
        <v>5.35</v>
      </c>
      <c r="J698" s="55">
        <v>0</v>
      </c>
      <c r="K698" s="55">
        <f t="shared" ca="1" si="131"/>
        <v>289.63350327868847</v>
      </c>
      <c r="L698" s="55">
        <v>0</v>
      </c>
      <c r="M698" s="113">
        <f>SUMIFS(График[Возврат основной суммы долга],График[Дата с учетом нерабочих дней],$A698)</f>
        <v>0</v>
      </c>
      <c r="N698" s="56">
        <f>SUMIFS(График[Возврат начисленных %],График[Дата с учетом нерабочих дней],$A698)</f>
        <v>0</v>
      </c>
      <c r="O698" s="101">
        <v>0</v>
      </c>
      <c r="P698" s="100" cm="1">
        <f t="array" aca="1" ref="P698" ca="1">MAX(IF(AA697="Да",0,SUM(INDIRECT("M"&amp;(MAX(("Да"=AA$12:AA697)*ROW(AA$12:AA697)+1,ROW($P$12))&amp;":M"&amp;(ROW()))))-SUM(INDIRECT("W"&amp;(MAX(("Да"=AA$12:AA697)*ROW(AA$12:AA697)+1,ROW($P$12))&amp;":W"&amp;(ROW()))))),0)</f>
        <v>9818.4299999999985</v>
      </c>
      <c r="Q698" s="99">
        <f ca="1">MAX(SUM($N$13:N698)-SUM($T$13:T698),0)</f>
        <v>48108.270655737695</v>
      </c>
      <c r="R698" s="99">
        <f ca="1">Первоначальный[[#This Row],[Просроченный платеж по ОД]]+Первоначальный[[#This Row],[Просроченный платеж по процентам]]</f>
        <v>57926.700655737695</v>
      </c>
      <c r="S698" s="120">
        <f ca="1">IF(Первоначальный[[#This Row],[Просроченный платеж]]&lt;1,0,S697+1)</f>
        <v>594</v>
      </c>
      <c r="T698" s="100" cm="1">
        <f t="array" aca="1" ref="T698" ca="1">IF(Первоначальный[[#This Row],[Итого остаток на начало периода]]&lt;1,0,
IF(
AND(TYPE(VLOOKUP(1,$Z$12:Z698,1,0))=16,Первоначальный[[#This Row],[Досрочное погашение (да/"")]]=""),0,
_xlfn.IFS(AND(S697=0,Первоначальный[[#This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платеж]]&lt;&gt;0),MIN(LOOKUP(,-1/($Z$12:Z698=1),$C$12:C698)+LOOKUP(,-1/($Z$12:Z698=1),$H$12:H698),Первоначальный[[#This Row],[Полученный платеж]]+Y697),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платеж]]+Y697,SUM(Первоначальный[[#This Row],[Остаток процентов на начало периода]],Первоначальный[[#This Row],[Проценты за период]])),
AND(S697=0,Первоначальный[[#This Row],[Дата платежа из графика]]=""),0,
AND(S697=0,Первоначальный[[#This Row],[Дата платежа из графика]]=1,MAX((0&lt;&gt;S$12:S697)*ROW(S$12:S697),ROW($S$12))&gt;=MAX((1=Z$12:Z697)*ROW(Z$12:Z697),ROW($T$12)),TYPE(VLOOKUP("Да",(INDIRECT("AA"&amp;(MAX((1=Z$12:Z697)*ROW(Z$12:Z697),ROW($T$12))&amp;":AA"&amp;(ROW()-1)))),1,0))=16),MIN(LOOKUP(,-1/($Z$12:Z698=1),$C$12:C698)+LOOKUP(,-1/($Z$12:Z698=1),$H$12:H698),Первоначальный[[#This Row],[Полученный платеж]]+Y697),
AND(S697=0,TYPE(VLOOKUP("Да",(INDIRECT("AA"&amp;(MAX((1=Z$12:Z697)*ROW(Z$12:Z697),ROW($T$12))&amp;":AA"&amp;(ROW()-1)))),1,0))&lt;&gt;16),MIN(LOOKUP(,-1/($Z$12:Z698=1),$C$12:C698)+LOOKUP(,-1/($Z$12:Z698=1),$H$12:H698)-IF(AA697="Да",0,SUM(INDIRECT("T"&amp;(MAX(("Да"=AA$12:AA697)*ROW(AA$12:AA697)+1,ROW($T$12))&amp;":T"&amp;(ROW()-1))))),Первоначальный[[#This Row],[Полученный платеж]]+Y697),
AND(S697=0,MAX((0&lt;&gt;N$12:N697)*ROW(N$12:N697),ROW($S$12))&gt;=MAX((1=Z$12:Z697)*ROW(Z$12:Z697),ROW($T$12))),MIN(LOOKUP(,-1/($Z$12:Z698=1),$C$12:C698)+LOOKUP(,-1/($Z$12:Z698=1),$H$12:H698)-IF(N697&lt;&gt;0,0,SUM(INDIRECT("T"&amp;(MAX((0&lt;&gt;N$12:N697)*ROW(N$12:N697)+1,ROW($T$12))&amp;":T"&amp;(ROW()-1))))),Первоначальный[[#This Row],[Полученный платеж]]+Y697),
AND(S697=0,Первоначальный[[#This Row],[Дата платежа из графика]]=1),MIN(LOOKUP(,-1/($Z$12:Z698=1),$C$12:C698)+LOOKUP(,-1/($Z$12:Z698=1),$H$12:H698)-IF(Z697=1,0,SUM(INDIRECT("T"&amp;(MAX((1=Z$12:Z697)*ROW(Z$12:Z697)+1,ROW($T$12))&amp;":T"&amp;(ROW()-1))))),Первоначальный[[#This Row],[Полученный платеж]]+Y697),
AND(Z697&gt;0,Первоначальный[[#This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платеж]]+Y697),
AND(S697&gt;0,MAX((0&lt;&gt;S$12:S697)*ROW(S$12:S697),ROW($S$12))&gt;=MAX((1=Z$12:Z697)*ROW(Z$12:Z697),ROW($T$12)),TYPE(VLOOKUP("Да",(INDIRECT("AA"&amp;(MAX((1=Z$12:Z697)*ROW(Z$12:Z697),ROW($T$12))&amp;":AA"&amp;(ROW()-1)))),1,0))=16),MIN(LOOKUP(,-1/($Z$12:Z698=1),$C$12:C698)+LOOKUP(,-1/($Z$12:Z698=1),$H$12:H698)-SUM(INDIRECT("T"&amp;(MAX((1=Z$12:Z697)*ROW(Z$12:Z697),ROW($T$12))&amp;":T"&amp;(ROW()-1)))),Первоначальный[[#This Row],[Полученный платеж]]+Y697),
S697&gt;0,MIN(LOOKUP(,-1/($Z$12:Z698=1),$C$12:C698)+LOOKUP(,-1/($Z$12:Z698=1),$H$12:H698)-IF(Z697=1,0,SUM(INDIRECT("T"&amp;(MAX((1=Z$12:Z697)*ROW(Z$12:Z697)+1,ROW($T$12))&amp;":T"&amp;(ROW()-1))))),Первоначальный[[#This Row],[Полученный платеж]]+Y697)
)
)
)</f>
        <v>0</v>
      </c>
      <c r="U69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платеж]]+Y697-Первоначальный[[#This Row],[Полученный платёж по процентам]])</f>
        <v>0</v>
      </c>
      <c r="V698" s="55">
        <f t="shared" ca="1" si="121"/>
        <v>0</v>
      </c>
      <c r="W698" s="55" cm="1">
        <f t="array" aca="1" ref="W698" ca="1">IF(Первоначальный[[#This Row],[Итого остаток на начало периода]]&lt;1,0,
_xlfn.IFS(
AND(TYPE(VLOOKUP(1,$Z$12:Z698,1,0))=16,Первоначальный[[#This Row],[Досрочное погашение (да/"")]]=""),0,
AND(S697=0,Первоначальный[[#This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платеж]]+Y697-SUM(Первоначальный[[#This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комиссиям]]),VLOOKUP(LOOKUP(,-1/($Z$12:Z698=1),$A$12:A698),График[[Срок конец]:[Возврат основной суммы долга]],3,0)),
AND(S697=0,Первоначальный[[#This Row],[Дата платежа из графика]]="",Первоначальный[[#This Row],[Досрочное погашение (да/"")]]&lt;&gt;"Да"),0,
AND(S697=0,Первоначальный[[#This Row],[Досрочное погашение (да/"")]]=""),MIN(Первоначальный[[#This Row],[Полученный платеж]]+Y697-SUM(Первоначальный[[#This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комиссиям]]),VLOOKUP(LOOKUP(,-1/($Z$12:Z698=1),$A$12:A698),График[[Срок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платеж]]+Y697-SUM(Первоначальный[[#This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S697&gt;0,MIN(Первоначальный[[#This Row],[Полученный платеж]]+Y697-SUM(Первоначальный[[#This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комиссиям]]),SUM(INDIRECT("M"&amp;(MAX((1=S$12:S697)*ROW(S$12:S697),ROW($W$12))&amp;":M"&amp;(ROW()))))-SUM(INDIRECT("W"&amp;(MAX((1=S$12:S697)*ROW(S$12:S697),ROW($W$12))&amp;":W"&amp;(ROW()-1)))))
)
)</f>
        <v>0</v>
      </c>
      <c r="X698" s="55">
        <f t="shared" ca="1" si="122"/>
        <v>0</v>
      </c>
      <c r="Y698" s="101">
        <f t="shared" ca="1" si="129"/>
        <v>0</v>
      </c>
      <c r="Z698" s="133" t="str">
        <f>IF(TYPE((VLOOKUP(Первоначальный[[#This Row],[Дата платежа]],График[Срок конец],1,0)))=16,"",1)</f>
        <v/>
      </c>
      <c r="AA698" s="57"/>
      <c r="AB698" s="134"/>
      <c r="AC69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9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49330.050000000025</v>
      </c>
      <c r="AE69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1563.0499999999988</v>
      </c>
      <c r="AF69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9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88637.670947540988</v>
      </c>
      <c r="AH698" s="55"/>
      <c r="AI698" s="55"/>
      <c r="AJ698" s="55"/>
      <c r="AK698" s="101">
        <f t="shared" ca="1" si="130"/>
        <v>289164.11094754096</v>
      </c>
      <c r="AL698" s="129">
        <f t="array" ref="AL698">MAX((УслРестрактов[Характеристика]="Дата реструктуризации")*(УслРестрактов[Значение]=Первоначальный!$A698),0)</f>
        <v>0</v>
      </c>
    </row>
    <row r="699" spans="1:38" x14ac:dyDescent="0.25">
      <c r="A699" s="97">
        <f t="shared" si="123"/>
        <v>44830</v>
      </c>
      <c r="B699" s="100">
        <f t="shared" ca="1" si="124"/>
        <v>149633.34</v>
      </c>
      <c r="C699" s="55">
        <f t="shared" ca="1" si="132"/>
        <v>49330.050000000025</v>
      </c>
      <c r="D699" s="55">
        <f t="shared" ca="1" si="132"/>
        <v>1563.0499999999988</v>
      </c>
      <c r="E699" s="55">
        <f t="shared" ca="1" si="125"/>
        <v>0</v>
      </c>
      <c r="F699" s="55">
        <f t="shared" ca="1" si="126"/>
        <v>88637.670947540988</v>
      </c>
      <c r="G699" s="101">
        <f t="shared" ca="1" si="127"/>
        <v>289164.11094754096</v>
      </c>
      <c r="H699" s="100">
        <f ca="1">ROUND($B699*VLOOKUP($A699,$A$1:$B$10,2,1)/(365+IF(MOD(YEAR($A699),4),0,1)*($A699-$A698)),2)-Первоначальный[[#This Row],[Проценты на просроченный платеж по ОД за период]]</f>
        <v>76.23</v>
      </c>
      <c r="I699" s="55">
        <f t="shared" ca="1" si="128"/>
        <v>5.35</v>
      </c>
      <c r="J699" s="55">
        <v>0</v>
      </c>
      <c r="K699" s="55">
        <f t="shared" ca="1" si="131"/>
        <v>289.63350327868847</v>
      </c>
      <c r="L699" s="55">
        <v>0</v>
      </c>
      <c r="M699" s="113">
        <f>SUMIFS(График[Возврат основной суммы долга],График[Дата с учетом нерабочих дней],$A699)</f>
        <v>0</v>
      </c>
      <c r="N699" s="56">
        <f>SUMIFS(График[Возврат начисленных %],График[Дата с учетом нерабочих дней],$A699)</f>
        <v>0</v>
      </c>
      <c r="O699" s="101">
        <v>0</v>
      </c>
      <c r="P699" s="100" cm="1">
        <f t="array" aca="1" ref="P699" ca="1">MAX(IF(AA698="Да",0,SUM(INDIRECT("M"&amp;(MAX(("Да"=AA$12:AA698)*ROW(AA$12:AA698)+1,ROW($P$12))&amp;":M"&amp;(ROW()))))-SUM(INDIRECT("W"&amp;(MAX(("Да"=AA$12:AA698)*ROW(AA$12:AA698)+1,ROW($P$12))&amp;":W"&amp;(ROW()))))),0)</f>
        <v>9818.4299999999985</v>
      </c>
      <c r="Q699" s="99">
        <f ca="1">MAX(SUM($N$13:N699)-SUM($T$13:T699),0)</f>
        <v>48108.270655737695</v>
      </c>
      <c r="R699" s="99">
        <f ca="1">Первоначальный[[#This Row],[Просроченный платеж по ОД]]+Первоначальный[[#This Row],[Просроченный платеж по процентам]]</f>
        <v>57926.700655737695</v>
      </c>
      <c r="S699" s="120">
        <f ca="1">IF(Первоначальный[[#This Row],[Просроченный платеж]]&lt;1,0,S698+1)</f>
        <v>595</v>
      </c>
      <c r="T699" s="100" cm="1">
        <f t="array" aca="1" ref="T699" ca="1">IF(Первоначальный[[#This Row],[Итого остаток на начало периода]]&lt;1,0,
IF(
AND(TYPE(VLOOKUP(1,$Z$12:Z699,1,0))=16,Первоначальный[[#This Row],[Досрочное погашение (да/"")]]=""),0,
_xlfn.IFS(AND(S698=0,Первоначальный[[#This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платеж]]&lt;&gt;0),MIN(LOOKUP(,-1/($Z$12:Z699=1),$C$12:C699)+LOOKUP(,-1/($Z$12:Z699=1),$H$12:H699),Первоначальный[[#This Row],[Полученный платеж]]+Y698),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платеж]]+Y698,SUM(Первоначальный[[#This Row],[Остаток процентов на начало периода]],Первоначальный[[#This Row],[Проценты за период]])),
AND(S698=0,Первоначальный[[#This Row],[Дата платежа из графика]]=""),0,
AND(S698=0,Первоначальный[[#This Row],[Дата платежа из графика]]=1,MAX((0&lt;&gt;S$12:S698)*ROW(S$12:S698),ROW($S$12))&gt;=MAX((1=Z$12:Z698)*ROW(Z$12:Z698),ROW($T$12)),TYPE(VLOOKUP("Да",(INDIRECT("AA"&amp;(MAX((1=Z$12:Z698)*ROW(Z$12:Z698),ROW($T$12))&amp;":AA"&amp;(ROW()-1)))),1,0))=16),MIN(LOOKUP(,-1/($Z$12:Z699=1),$C$12:C699)+LOOKUP(,-1/($Z$12:Z699=1),$H$12:H699),Первоначальный[[#This Row],[Полученный платеж]]+Y698),
AND(S698=0,TYPE(VLOOKUP("Да",(INDIRECT("AA"&amp;(MAX((1=Z$12:Z698)*ROW(Z$12:Z698),ROW($T$12))&amp;":AA"&amp;(ROW()-1)))),1,0))&lt;&gt;16),MIN(LOOKUP(,-1/($Z$12:Z699=1),$C$12:C699)+LOOKUP(,-1/($Z$12:Z699=1),$H$12:H699)-IF(AA698="Да",0,SUM(INDIRECT("T"&amp;(MAX(("Да"=AA$12:AA698)*ROW(AA$12:AA698)+1,ROW($T$12))&amp;":T"&amp;(ROW()-1))))),Первоначальный[[#This Row],[Полученный платеж]]+Y698),
AND(S698=0,MAX((0&lt;&gt;N$12:N698)*ROW(N$12:N698),ROW($S$12))&gt;=MAX((1=Z$12:Z698)*ROW(Z$12:Z698),ROW($T$12))),MIN(LOOKUP(,-1/($Z$12:Z699=1),$C$12:C699)+LOOKUP(,-1/($Z$12:Z699=1),$H$12:H699)-IF(N698&lt;&gt;0,0,SUM(INDIRECT("T"&amp;(MAX((0&lt;&gt;N$12:N698)*ROW(N$12:N698)+1,ROW($T$12))&amp;":T"&amp;(ROW()-1))))),Первоначальный[[#This Row],[Полученный платеж]]+Y698),
AND(S698=0,Первоначальный[[#This Row],[Дата платежа из графика]]=1),MIN(LOOKUP(,-1/($Z$12:Z699=1),$C$12:C699)+LOOKUP(,-1/($Z$12:Z699=1),$H$12:H699)-IF(Z698=1,0,SUM(INDIRECT("T"&amp;(MAX((1=Z$12:Z698)*ROW(Z$12:Z698)+1,ROW($T$12))&amp;":T"&amp;(ROW()-1))))),Первоначальный[[#This Row],[Полученный платеж]]+Y698),
AND(Z698&gt;0,Первоначальный[[#This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платеж]]+Y698),
AND(S698&gt;0,MAX((0&lt;&gt;S$12:S698)*ROW(S$12:S698),ROW($S$12))&gt;=MAX((1=Z$12:Z698)*ROW(Z$12:Z698),ROW($T$12)),TYPE(VLOOKUP("Да",(INDIRECT("AA"&amp;(MAX((1=Z$12:Z698)*ROW(Z$12:Z698),ROW($T$12))&amp;":AA"&amp;(ROW()-1)))),1,0))=16),MIN(LOOKUP(,-1/($Z$12:Z699=1),$C$12:C699)+LOOKUP(,-1/($Z$12:Z699=1),$H$12:H699)-SUM(INDIRECT("T"&amp;(MAX((1=Z$12:Z698)*ROW(Z$12:Z698),ROW($T$12))&amp;":T"&amp;(ROW()-1)))),Первоначальный[[#This Row],[Полученный платеж]]+Y698),
S698&gt;0,MIN(LOOKUP(,-1/($Z$12:Z699=1),$C$12:C699)+LOOKUP(,-1/($Z$12:Z699=1),$H$12:H699)-IF(Z698=1,0,SUM(INDIRECT("T"&amp;(MAX((1=Z$12:Z698)*ROW(Z$12:Z698)+1,ROW($T$12))&amp;":T"&amp;(ROW()-1))))),Первоначальный[[#This Row],[Полученный платеж]]+Y698)
)
)
)</f>
        <v>0</v>
      </c>
      <c r="U69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платеж]]+Y698-Первоначальный[[#This Row],[Полученный платёж по процентам]])</f>
        <v>0</v>
      </c>
      <c r="V699" s="55">
        <f t="shared" ca="1" si="121"/>
        <v>0</v>
      </c>
      <c r="W699" s="55" cm="1">
        <f t="array" aca="1" ref="W699" ca="1">IF(Первоначальный[[#This Row],[Итого остаток на начало периода]]&lt;1,0,
_xlfn.IFS(
AND(TYPE(VLOOKUP(1,$Z$12:Z699,1,0))=16,Первоначальный[[#This Row],[Досрочное погашение (да/"")]]=""),0,
AND(S698=0,Первоначальный[[#This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платеж]]+Y698-SUM(Первоначальный[[#This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комиссиям]]),VLOOKUP(LOOKUP(,-1/($Z$12:Z699=1),$A$12:A699),График[[Срок конец]:[Возврат основной суммы долга]],3,0)),
AND(S698=0,Первоначальный[[#This Row],[Дата платежа из графика]]="",Первоначальный[[#This Row],[Досрочное погашение (да/"")]]&lt;&gt;"Да"),0,
AND(S698=0,Первоначальный[[#This Row],[Досрочное погашение (да/"")]]=""),MIN(Первоначальный[[#This Row],[Полученный платеж]]+Y698-SUM(Первоначальный[[#This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комиссиям]]),VLOOKUP(LOOKUP(,-1/($Z$12:Z699=1),$A$12:A699),График[[Срок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платеж]]+Y698-SUM(Первоначальный[[#This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S698&gt;0,MIN(Первоначальный[[#This Row],[Полученный платеж]]+Y698-SUM(Первоначальный[[#This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комиссиям]]),SUM(INDIRECT("M"&amp;(MAX((1=S$12:S698)*ROW(S$12:S698),ROW($W$12))&amp;":M"&amp;(ROW()))))-SUM(INDIRECT("W"&amp;(MAX((1=S$12:S698)*ROW(S$12:S698),ROW($W$12))&amp;":W"&amp;(ROW()-1)))))
)
)</f>
        <v>0</v>
      </c>
      <c r="X699" s="55">
        <f t="shared" ca="1" si="122"/>
        <v>0</v>
      </c>
      <c r="Y699" s="101">
        <f t="shared" ca="1" si="129"/>
        <v>0</v>
      </c>
      <c r="Z699" s="133" t="str">
        <f>IF(TYPE((VLOOKUP(Первоначальный[[#This Row],[Дата платежа]],График[Срок конец],1,0)))=16,"",1)</f>
        <v/>
      </c>
      <c r="AA699" s="57"/>
      <c r="AB699" s="134"/>
      <c r="AC69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69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49406.280000000028</v>
      </c>
      <c r="AE69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1568.3999999999987</v>
      </c>
      <c r="AF69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69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88927.304450819676</v>
      </c>
      <c r="AH699" s="55"/>
      <c r="AI699" s="55"/>
      <c r="AJ699" s="55"/>
      <c r="AK699" s="101">
        <f t="shared" ca="1" si="130"/>
        <v>289535.32445081969</v>
      </c>
      <c r="AL699" s="129">
        <f t="array" ref="AL699">MAX((УслРестрактов[Характеристика]="Дата реструктуризации")*(УслРестрактов[Значение]=Первоначальный!$A699),0)</f>
        <v>0</v>
      </c>
    </row>
    <row r="700" spans="1:38" x14ac:dyDescent="0.25">
      <c r="A700" s="97">
        <f t="shared" si="123"/>
        <v>44831</v>
      </c>
      <c r="B700" s="100">
        <f t="shared" ca="1" si="124"/>
        <v>149633.34</v>
      </c>
      <c r="C700" s="55">
        <f t="shared" ca="1" si="132"/>
        <v>49406.280000000028</v>
      </c>
      <c r="D700" s="55">
        <f t="shared" ca="1" si="132"/>
        <v>1568.3999999999987</v>
      </c>
      <c r="E700" s="55">
        <f t="shared" ca="1" si="125"/>
        <v>0</v>
      </c>
      <c r="F700" s="55">
        <f t="shared" ca="1" si="126"/>
        <v>88927.304450819676</v>
      </c>
      <c r="G700" s="101">
        <f t="shared" ca="1" si="127"/>
        <v>289535.32445081969</v>
      </c>
      <c r="H700" s="100">
        <f ca="1">ROUND($B700*VLOOKUP($A700,$A$1:$B$10,2,1)/(365+IF(MOD(YEAR($A700),4),0,1)*($A700-$A699)),2)-Первоначальный[[#This Row],[Проценты на просроченный платеж по ОД за период]]</f>
        <v>76.23</v>
      </c>
      <c r="I700" s="55">
        <f t="shared" ca="1" si="128"/>
        <v>5.35</v>
      </c>
      <c r="J700" s="55">
        <v>0</v>
      </c>
      <c r="K700" s="55">
        <f t="shared" ca="1" si="131"/>
        <v>289.63350327868847</v>
      </c>
      <c r="L700" s="55">
        <v>0</v>
      </c>
      <c r="M700" s="113">
        <f>SUMIFS(График[Возврат основной суммы долга],График[Дата с учетом нерабочих дней],$A700)</f>
        <v>0</v>
      </c>
      <c r="N700" s="56">
        <f>SUMIFS(График[Возврат начисленных %],График[Дата с учетом нерабочих дней],$A700)</f>
        <v>0</v>
      </c>
      <c r="O700" s="101">
        <v>0</v>
      </c>
      <c r="P700" s="100" cm="1">
        <f t="array" aca="1" ref="P700" ca="1">MAX(IF(AA699="Да",0,SUM(INDIRECT("M"&amp;(MAX(("Да"=AA$12:AA699)*ROW(AA$12:AA699)+1,ROW($P$12))&amp;":M"&amp;(ROW()))))-SUM(INDIRECT("W"&amp;(MAX(("Да"=AA$12:AA699)*ROW(AA$12:AA699)+1,ROW($P$12))&amp;":W"&amp;(ROW()))))),0)</f>
        <v>9818.4299999999985</v>
      </c>
      <c r="Q700" s="99">
        <f ca="1">MAX(SUM($N$13:N700)-SUM($T$13:T700),0)</f>
        <v>48108.270655737695</v>
      </c>
      <c r="R700" s="99">
        <f ca="1">Первоначальный[[#This Row],[Просроченный платеж по ОД]]+Первоначальный[[#This Row],[Просроченный платеж по процентам]]</f>
        <v>57926.700655737695</v>
      </c>
      <c r="S700" s="120">
        <f ca="1">IF(Первоначальный[[#This Row],[Просроченный платеж]]&lt;1,0,S699+1)</f>
        <v>596</v>
      </c>
      <c r="T700" s="100" cm="1">
        <f t="array" aca="1" ref="T700" ca="1">IF(Первоначальный[[#This Row],[Итого остаток на начало периода]]&lt;1,0,
IF(
AND(TYPE(VLOOKUP(1,$Z$12:Z700,1,0))=16,Первоначальный[[#This Row],[Досрочное погашение (да/"")]]=""),0,
_xlfn.IFS(AND(S699=0,Первоначальный[[#This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платеж]]&lt;&gt;0),MIN(LOOKUP(,-1/($Z$12:Z700=1),$C$12:C700)+LOOKUP(,-1/($Z$12:Z700=1),$H$12:H700),Первоначальный[[#This Row],[Полученный платеж]]+Y699),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платеж]]+Y699,SUM(Первоначальный[[#This Row],[Остаток процентов на начало периода]],Первоначальный[[#This Row],[Проценты за период]])),
AND(S699=0,Первоначальный[[#This Row],[Дата платежа из графика]]=""),0,
AND(S699=0,Первоначальный[[#This Row],[Дата платежа из графика]]=1,MAX((0&lt;&gt;S$12:S699)*ROW(S$12:S699),ROW($S$12))&gt;=MAX((1=Z$12:Z699)*ROW(Z$12:Z699),ROW($T$12)),TYPE(VLOOKUP("Да",(INDIRECT("AA"&amp;(MAX((1=Z$12:Z699)*ROW(Z$12:Z699),ROW($T$12))&amp;":AA"&amp;(ROW()-1)))),1,0))=16),MIN(LOOKUP(,-1/($Z$12:Z700=1),$C$12:C700)+LOOKUP(,-1/($Z$12:Z700=1),$H$12:H700),Первоначальный[[#This Row],[Полученный платеж]]+Y699),
AND(S699=0,TYPE(VLOOKUP("Да",(INDIRECT("AA"&amp;(MAX((1=Z$12:Z699)*ROW(Z$12:Z699),ROW($T$12))&amp;":AA"&amp;(ROW()-1)))),1,0))&lt;&gt;16),MIN(LOOKUP(,-1/($Z$12:Z700=1),$C$12:C700)+LOOKUP(,-1/($Z$12:Z700=1),$H$12:H700)-IF(AA699="Да",0,SUM(INDIRECT("T"&amp;(MAX(("Да"=AA$12:AA699)*ROW(AA$12:AA699)+1,ROW($T$12))&amp;":T"&amp;(ROW()-1))))),Первоначальный[[#This Row],[Полученный платеж]]+Y699),
AND(S699=0,MAX((0&lt;&gt;N$12:N699)*ROW(N$12:N699),ROW($S$12))&gt;=MAX((1=Z$12:Z699)*ROW(Z$12:Z699),ROW($T$12))),MIN(LOOKUP(,-1/($Z$12:Z700=1),$C$12:C700)+LOOKUP(,-1/($Z$12:Z700=1),$H$12:H700)-IF(N699&lt;&gt;0,0,SUM(INDIRECT("T"&amp;(MAX((0&lt;&gt;N$12:N699)*ROW(N$12:N699)+1,ROW($T$12))&amp;":T"&amp;(ROW()-1))))),Первоначальный[[#This Row],[Полученный платеж]]+Y699),
AND(S699=0,Первоначальный[[#This Row],[Дата платежа из графика]]=1),MIN(LOOKUP(,-1/($Z$12:Z700=1),$C$12:C700)+LOOKUP(,-1/($Z$12:Z700=1),$H$12:H700)-IF(Z699=1,0,SUM(INDIRECT("T"&amp;(MAX((1=Z$12:Z699)*ROW(Z$12:Z699)+1,ROW($T$12))&amp;":T"&amp;(ROW()-1))))),Первоначальный[[#This Row],[Полученный платеж]]+Y699),
AND(Z699&gt;0,Первоначальный[[#This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платеж]]+Y699),
AND(S699&gt;0,MAX((0&lt;&gt;S$12:S699)*ROW(S$12:S699),ROW($S$12))&gt;=MAX((1=Z$12:Z699)*ROW(Z$12:Z699),ROW($T$12)),TYPE(VLOOKUP("Да",(INDIRECT("AA"&amp;(MAX((1=Z$12:Z699)*ROW(Z$12:Z699),ROW($T$12))&amp;":AA"&amp;(ROW()-1)))),1,0))=16),MIN(LOOKUP(,-1/($Z$12:Z700=1),$C$12:C700)+LOOKUP(,-1/($Z$12:Z700=1),$H$12:H700)-SUM(INDIRECT("T"&amp;(MAX((1=Z$12:Z699)*ROW(Z$12:Z699),ROW($T$12))&amp;":T"&amp;(ROW()-1)))),Первоначальный[[#This Row],[Полученный платеж]]+Y699),
S699&gt;0,MIN(LOOKUP(,-1/($Z$12:Z700=1),$C$12:C700)+LOOKUP(,-1/($Z$12:Z700=1),$H$12:H700)-IF(Z699=1,0,SUM(INDIRECT("T"&amp;(MAX((1=Z$12:Z699)*ROW(Z$12:Z699)+1,ROW($T$12))&amp;":T"&amp;(ROW()-1))))),Первоначальный[[#This Row],[Полученный платеж]]+Y699)
)
)
)</f>
        <v>0</v>
      </c>
      <c r="U70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платеж]]+Y699-Первоначальный[[#This Row],[Полученный платёж по процентам]])</f>
        <v>0</v>
      </c>
      <c r="V700" s="55">
        <f t="shared" ca="1" si="121"/>
        <v>0</v>
      </c>
      <c r="W700" s="55" cm="1">
        <f t="array" aca="1" ref="W700" ca="1">IF(Первоначальный[[#This Row],[Итого остаток на начало периода]]&lt;1,0,
_xlfn.IFS(
AND(TYPE(VLOOKUP(1,$Z$12:Z700,1,0))=16,Первоначальный[[#This Row],[Досрочное погашение (да/"")]]=""),0,
AND(S699=0,Первоначальный[[#This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платеж]]+Y699-SUM(Первоначальный[[#This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комиссиям]]),VLOOKUP(LOOKUP(,-1/($Z$12:Z700=1),$A$12:A700),График[[Срок конец]:[Возврат основной суммы долга]],3,0)),
AND(S699=0,Первоначальный[[#This Row],[Дата платежа из графика]]="",Первоначальный[[#This Row],[Досрочное погашение (да/"")]]&lt;&gt;"Да"),0,
AND(S699=0,Первоначальный[[#This Row],[Досрочное погашение (да/"")]]=""),MIN(Первоначальный[[#This Row],[Полученный платеж]]+Y699-SUM(Первоначальный[[#This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комиссиям]]),VLOOKUP(LOOKUP(,-1/($Z$12:Z700=1),$A$12:A700),График[[Срок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платеж]]+Y699-SUM(Первоначальный[[#This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S699&gt;0,MIN(Первоначальный[[#This Row],[Полученный платеж]]+Y699-SUM(Первоначальный[[#This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комиссиям]]),SUM(INDIRECT("M"&amp;(MAX((1=S$12:S699)*ROW(S$12:S699),ROW($W$12))&amp;":M"&amp;(ROW()))))-SUM(INDIRECT("W"&amp;(MAX((1=S$12:S699)*ROW(S$12:S699),ROW($W$12))&amp;":W"&amp;(ROW()-1)))))
)
)</f>
        <v>0</v>
      </c>
      <c r="X700" s="55">
        <f t="shared" ca="1" si="122"/>
        <v>0</v>
      </c>
      <c r="Y700" s="101">
        <f t="shared" ca="1" si="129"/>
        <v>0</v>
      </c>
      <c r="Z700" s="133" t="str">
        <f>IF(TYPE((VLOOKUP(Первоначальный[[#This Row],[Дата платежа]],График[Срок конец],1,0)))=16,"",1)</f>
        <v/>
      </c>
      <c r="AA700" s="57"/>
      <c r="AB700" s="134"/>
      <c r="AC70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0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49482.510000000031</v>
      </c>
      <c r="AE70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1573.7499999999986</v>
      </c>
      <c r="AF70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0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89216.937954098365</v>
      </c>
      <c r="AH700" s="55"/>
      <c r="AI700" s="55"/>
      <c r="AJ700" s="55"/>
      <c r="AK700" s="101">
        <f t="shared" ca="1" si="130"/>
        <v>289906.53795409843</v>
      </c>
      <c r="AL700" s="129">
        <f t="array" ref="AL700">MAX((УслРестрактов[Характеристика]="Дата реструктуризации")*(УслРестрактов[Значение]=Первоначальный!$A700),0)</f>
        <v>0</v>
      </c>
    </row>
    <row r="701" spans="1:38" x14ac:dyDescent="0.25">
      <c r="A701" s="97">
        <f t="shared" si="123"/>
        <v>44832</v>
      </c>
      <c r="B701" s="100">
        <f t="shared" ca="1" si="124"/>
        <v>149633.34</v>
      </c>
      <c r="C701" s="55">
        <f t="shared" ca="1" si="132"/>
        <v>49482.510000000031</v>
      </c>
      <c r="D701" s="55">
        <f t="shared" ca="1" si="132"/>
        <v>1573.7499999999986</v>
      </c>
      <c r="E701" s="55">
        <f t="shared" ca="1" si="125"/>
        <v>0</v>
      </c>
      <c r="F701" s="55">
        <f t="shared" ca="1" si="126"/>
        <v>89216.937954098365</v>
      </c>
      <c r="G701" s="101">
        <f t="shared" ca="1" si="127"/>
        <v>289906.53795409843</v>
      </c>
      <c r="H701" s="100">
        <f ca="1">ROUND($B701*VLOOKUP($A701,$A$1:$B$10,2,1)/(365+IF(MOD(YEAR($A701),4),0,1)*($A701-$A700)),2)-Первоначальный[[#This Row],[Проценты на просроченный платеж по ОД за период]]</f>
        <v>76.23</v>
      </c>
      <c r="I701" s="55">
        <f t="shared" ca="1" si="128"/>
        <v>5.35</v>
      </c>
      <c r="J701" s="55">
        <v>0</v>
      </c>
      <c r="K701" s="55">
        <f t="shared" ca="1" si="131"/>
        <v>289.63350327868847</v>
      </c>
      <c r="L701" s="55">
        <v>0</v>
      </c>
      <c r="M701" s="113">
        <f>SUMIFS(График[Возврат основной суммы долга],График[Дата с учетом нерабочих дней],$A701)</f>
        <v>0</v>
      </c>
      <c r="N701" s="56">
        <f>SUMIFS(График[Возврат начисленных %],График[Дата с учетом нерабочих дней],$A701)</f>
        <v>0</v>
      </c>
      <c r="O701" s="101">
        <v>0</v>
      </c>
      <c r="P701" s="100" cm="1">
        <f t="array" aca="1" ref="P701" ca="1">MAX(IF(AA700="Да",0,SUM(INDIRECT("M"&amp;(MAX(("Да"=AA$12:AA700)*ROW(AA$12:AA700)+1,ROW($P$12))&amp;":M"&amp;(ROW()))))-SUM(INDIRECT("W"&amp;(MAX(("Да"=AA$12:AA700)*ROW(AA$12:AA700)+1,ROW($P$12))&amp;":W"&amp;(ROW()))))),0)</f>
        <v>9818.4299999999985</v>
      </c>
      <c r="Q701" s="99">
        <f ca="1">MAX(SUM($N$13:N701)-SUM($T$13:T701),0)</f>
        <v>48108.270655737695</v>
      </c>
      <c r="R701" s="99">
        <f ca="1">Первоначальный[[#This Row],[Просроченный платеж по ОД]]+Первоначальный[[#This Row],[Просроченный платеж по процентам]]</f>
        <v>57926.700655737695</v>
      </c>
      <c r="S701" s="120">
        <f ca="1">IF(Первоначальный[[#This Row],[Просроченный платеж]]&lt;1,0,S700+1)</f>
        <v>597</v>
      </c>
      <c r="T701" s="100" cm="1">
        <f t="array" aca="1" ref="T701" ca="1">IF(Первоначальный[[#This Row],[Итого остаток на начало периода]]&lt;1,0,
IF(
AND(TYPE(VLOOKUP(1,$Z$12:Z701,1,0))=16,Первоначальный[[#This Row],[Досрочное погашение (да/"")]]=""),0,
_xlfn.IFS(AND(S700=0,Первоначальный[[#This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платеж]]&lt;&gt;0),MIN(LOOKUP(,-1/($Z$12:Z701=1),$C$12:C701)+LOOKUP(,-1/($Z$12:Z701=1),$H$12:H701),Первоначальный[[#This Row],[Полученный платеж]]+Y700),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платеж]]+Y700,SUM(Первоначальный[[#This Row],[Остаток процентов на начало периода]],Первоначальный[[#This Row],[Проценты за период]])),
AND(S700=0,Первоначальный[[#This Row],[Дата платежа из графика]]=""),0,
AND(S700=0,Первоначальный[[#This Row],[Дата платежа из графика]]=1,MAX((0&lt;&gt;S$12:S700)*ROW(S$12:S700),ROW($S$12))&gt;=MAX((1=Z$12:Z700)*ROW(Z$12:Z700),ROW($T$12)),TYPE(VLOOKUP("Да",(INDIRECT("AA"&amp;(MAX((1=Z$12:Z700)*ROW(Z$12:Z700),ROW($T$12))&amp;":AA"&amp;(ROW()-1)))),1,0))=16),MIN(LOOKUP(,-1/($Z$12:Z701=1),$C$12:C701)+LOOKUP(,-1/($Z$12:Z701=1),$H$12:H701),Первоначальный[[#This Row],[Полученный платеж]]+Y700),
AND(S700=0,TYPE(VLOOKUP("Да",(INDIRECT("AA"&amp;(MAX((1=Z$12:Z700)*ROW(Z$12:Z700),ROW($T$12))&amp;":AA"&amp;(ROW()-1)))),1,0))&lt;&gt;16),MIN(LOOKUP(,-1/($Z$12:Z701=1),$C$12:C701)+LOOKUP(,-1/($Z$12:Z701=1),$H$12:H701)-IF(AA700="Да",0,SUM(INDIRECT("T"&amp;(MAX(("Да"=AA$12:AA700)*ROW(AA$12:AA700)+1,ROW($T$12))&amp;":T"&amp;(ROW()-1))))),Первоначальный[[#This Row],[Полученный платеж]]+Y700),
AND(S700=0,MAX((0&lt;&gt;N$12:N700)*ROW(N$12:N700),ROW($S$12))&gt;=MAX((1=Z$12:Z700)*ROW(Z$12:Z700),ROW($T$12))),MIN(LOOKUP(,-1/($Z$12:Z701=1),$C$12:C701)+LOOKUP(,-1/($Z$12:Z701=1),$H$12:H701)-IF(N700&lt;&gt;0,0,SUM(INDIRECT("T"&amp;(MAX((0&lt;&gt;N$12:N700)*ROW(N$12:N700)+1,ROW($T$12))&amp;":T"&amp;(ROW()-1))))),Первоначальный[[#This Row],[Полученный платеж]]+Y700),
AND(S700=0,Первоначальный[[#This Row],[Дата платежа из графика]]=1),MIN(LOOKUP(,-1/($Z$12:Z701=1),$C$12:C701)+LOOKUP(,-1/($Z$12:Z701=1),$H$12:H701)-IF(Z700=1,0,SUM(INDIRECT("T"&amp;(MAX((1=Z$12:Z700)*ROW(Z$12:Z700)+1,ROW($T$12))&amp;":T"&amp;(ROW()-1))))),Первоначальный[[#This Row],[Полученный платеж]]+Y700),
AND(Z700&gt;0,Первоначальный[[#This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платеж]]+Y700),
AND(S700&gt;0,MAX((0&lt;&gt;S$12:S700)*ROW(S$12:S700),ROW($S$12))&gt;=MAX((1=Z$12:Z700)*ROW(Z$12:Z700),ROW($T$12)),TYPE(VLOOKUP("Да",(INDIRECT("AA"&amp;(MAX((1=Z$12:Z700)*ROW(Z$12:Z700),ROW($T$12))&amp;":AA"&amp;(ROW()-1)))),1,0))=16),MIN(LOOKUP(,-1/($Z$12:Z701=1),$C$12:C701)+LOOKUP(,-1/($Z$12:Z701=1),$H$12:H701)-SUM(INDIRECT("T"&amp;(MAX((1=Z$12:Z700)*ROW(Z$12:Z700),ROW($T$12))&amp;":T"&amp;(ROW()-1)))),Первоначальный[[#This Row],[Полученный платеж]]+Y700),
S700&gt;0,MIN(LOOKUP(,-1/($Z$12:Z701=1),$C$12:C701)+LOOKUP(,-1/($Z$12:Z701=1),$H$12:H701)-IF(Z700=1,0,SUM(INDIRECT("T"&amp;(MAX((1=Z$12:Z700)*ROW(Z$12:Z700)+1,ROW($T$12))&amp;":T"&amp;(ROW()-1))))),Первоначальный[[#This Row],[Полученный платеж]]+Y700)
)
)
)</f>
        <v>0</v>
      </c>
      <c r="U70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платеж]]+Y700-Первоначальный[[#This Row],[Полученный платёж по процентам]])</f>
        <v>0</v>
      </c>
      <c r="V701" s="55">
        <f t="shared" ca="1" si="121"/>
        <v>0</v>
      </c>
      <c r="W701" s="55" cm="1">
        <f t="array" aca="1" ref="W701" ca="1">IF(Первоначальный[[#This Row],[Итого остаток на начало периода]]&lt;1,0,
_xlfn.IFS(
AND(TYPE(VLOOKUP(1,$Z$12:Z701,1,0))=16,Первоначальный[[#This Row],[Досрочное погашение (да/"")]]=""),0,
AND(S700=0,Первоначальный[[#This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платеж]]+Y700-SUM(Первоначальный[[#This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комиссиям]]),VLOOKUP(LOOKUP(,-1/($Z$12:Z701=1),$A$12:A701),График[[Срок конец]:[Возврат основной суммы долга]],3,0)),
AND(S700=0,Первоначальный[[#This Row],[Дата платежа из графика]]="",Первоначальный[[#This Row],[Досрочное погашение (да/"")]]&lt;&gt;"Да"),0,
AND(S700=0,Первоначальный[[#This Row],[Досрочное погашение (да/"")]]=""),MIN(Первоначальный[[#This Row],[Полученный платеж]]+Y700-SUM(Первоначальный[[#This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комиссиям]]),VLOOKUP(LOOKUP(,-1/($Z$12:Z701=1),$A$12:A701),График[[Срок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платеж]]+Y700-SUM(Первоначальный[[#This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S700&gt;0,MIN(Первоначальный[[#This Row],[Полученный платеж]]+Y700-SUM(Первоначальный[[#This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комиссиям]]),SUM(INDIRECT("M"&amp;(MAX((1=S$12:S700)*ROW(S$12:S700),ROW($W$12))&amp;":M"&amp;(ROW()))))-SUM(INDIRECT("W"&amp;(MAX((1=S$12:S700)*ROW(S$12:S700),ROW($W$12))&amp;":W"&amp;(ROW()-1)))))
)
)</f>
        <v>0</v>
      </c>
      <c r="X701" s="55">
        <f t="shared" ca="1" si="122"/>
        <v>0</v>
      </c>
      <c r="Y701" s="101">
        <f t="shared" ca="1" si="129"/>
        <v>0</v>
      </c>
      <c r="Z701" s="133" t="str">
        <f>IF(TYPE((VLOOKUP(Первоначальный[[#This Row],[Дата платежа]],График[Срок конец],1,0)))=16,"",1)</f>
        <v/>
      </c>
      <c r="AA701" s="57"/>
      <c r="AB701" s="134"/>
      <c r="AC70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0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49558.740000000034</v>
      </c>
      <c r="AE70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1579.0999999999985</v>
      </c>
      <c r="AF70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0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89506.571457377053</v>
      </c>
      <c r="AH701" s="55"/>
      <c r="AI701" s="55"/>
      <c r="AJ701" s="55"/>
      <c r="AK701" s="101">
        <f t="shared" ca="1" si="130"/>
        <v>290277.7514573771</v>
      </c>
      <c r="AL701" s="129">
        <f t="array" ref="AL701">MAX((УслРестрактов[Характеристика]="Дата реструктуризации")*(УслРестрактов[Значение]=Первоначальный!$A701),0)</f>
        <v>0</v>
      </c>
    </row>
    <row r="702" spans="1:38" x14ac:dyDescent="0.25">
      <c r="A702" s="97">
        <f t="shared" si="123"/>
        <v>44833</v>
      </c>
      <c r="B702" s="100">
        <f t="shared" ca="1" si="124"/>
        <v>149633.34</v>
      </c>
      <c r="C702" s="55">
        <f t="shared" ca="1" si="132"/>
        <v>49558.740000000034</v>
      </c>
      <c r="D702" s="55">
        <f t="shared" ca="1" si="132"/>
        <v>1579.0999999999985</v>
      </c>
      <c r="E702" s="55">
        <f t="shared" ca="1" si="125"/>
        <v>0</v>
      </c>
      <c r="F702" s="55">
        <f t="shared" ca="1" si="126"/>
        <v>89506.571457377053</v>
      </c>
      <c r="G702" s="101">
        <f t="shared" ca="1" si="127"/>
        <v>290277.7514573771</v>
      </c>
      <c r="H702" s="100">
        <f ca="1">ROUND($B702*VLOOKUP($A702,$A$1:$B$10,2,1)/(365+IF(MOD(YEAR($A702),4),0,1)*($A702-$A701)),2)-Первоначальный[[#This Row],[Проценты на просроченный платеж по ОД за период]]</f>
        <v>76.23</v>
      </c>
      <c r="I702" s="55">
        <f t="shared" ca="1" si="128"/>
        <v>5.35</v>
      </c>
      <c r="J702" s="55">
        <v>0</v>
      </c>
      <c r="K702" s="55">
        <f t="shared" ca="1" si="131"/>
        <v>289.63350327868847</v>
      </c>
      <c r="L702" s="55">
        <v>0</v>
      </c>
      <c r="M702" s="113">
        <f>SUMIFS(График[Возврат основной суммы долга],График[Дата с учетом нерабочих дней],$A702)</f>
        <v>0</v>
      </c>
      <c r="N702" s="56">
        <f>SUMIFS(График[Возврат начисленных %],График[Дата с учетом нерабочих дней],$A702)</f>
        <v>0</v>
      </c>
      <c r="O702" s="101">
        <v>0</v>
      </c>
      <c r="P702" s="100" cm="1">
        <f t="array" aca="1" ref="P702" ca="1">MAX(IF(AA701="Да",0,SUM(INDIRECT("M"&amp;(MAX(("Да"=AA$12:AA701)*ROW(AA$12:AA701)+1,ROW($P$12))&amp;":M"&amp;(ROW()))))-SUM(INDIRECT("W"&amp;(MAX(("Да"=AA$12:AA701)*ROW(AA$12:AA701)+1,ROW($P$12))&amp;":W"&amp;(ROW()))))),0)</f>
        <v>9818.4299999999985</v>
      </c>
      <c r="Q702" s="99">
        <f ca="1">MAX(SUM($N$13:N702)-SUM($T$13:T702),0)</f>
        <v>48108.270655737695</v>
      </c>
      <c r="R702" s="99">
        <f ca="1">Первоначальный[[#This Row],[Просроченный платеж по ОД]]+Первоначальный[[#This Row],[Просроченный платеж по процентам]]</f>
        <v>57926.700655737695</v>
      </c>
      <c r="S702" s="120">
        <f ca="1">IF(Первоначальный[[#This Row],[Просроченный платеж]]&lt;1,0,S701+1)</f>
        <v>598</v>
      </c>
      <c r="T702" s="100" cm="1">
        <f t="array" aca="1" ref="T702" ca="1">IF(Первоначальный[[#This Row],[Итого остаток на начало периода]]&lt;1,0,
IF(
AND(TYPE(VLOOKUP(1,$Z$12:Z702,1,0))=16,Первоначальный[[#This Row],[Досрочное погашение (да/"")]]=""),0,
_xlfn.IFS(AND(S701=0,Первоначальный[[#This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платеж]]&lt;&gt;0),MIN(LOOKUP(,-1/($Z$12:Z702=1),$C$12:C702)+LOOKUP(,-1/($Z$12:Z702=1),$H$12:H702),Первоначальный[[#This Row],[Полученный платеж]]+Y701),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платеж]]+Y701,SUM(Первоначальный[[#This Row],[Остаток процентов на начало периода]],Первоначальный[[#This Row],[Проценты за период]])),
AND(S701=0,Первоначальный[[#This Row],[Дата платежа из графика]]=""),0,
AND(S701=0,Первоначальный[[#This Row],[Дата платежа из графика]]=1,MAX((0&lt;&gt;S$12:S701)*ROW(S$12:S701),ROW($S$12))&gt;=MAX((1=Z$12:Z701)*ROW(Z$12:Z701),ROW($T$12)),TYPE(VLOOKUP("Да",(INDIRECT("AA"&amp;(MAX((1=Z$12:Z701)*ROW(Z$12:Z701),ROW($T$12))&amp;":AA"&amp;(ROW()-1)))),1,0))=16),MIN(LOOKUP(,-1/($Z$12:Z702=1),$C$12:C702)+LOOKUP(,-1/($Z$12:Z702=1),$H$12:H702),Первоначальный[[#This Row],[Полученный платеж]]+Y701),
AND(S701=0,TYPE(VLOOKUP("Да",(INDIRECT("AA"&amp;(MAX((1=Z$12:Z701)*ROW(Z$12:Z701),ROW($T$12))&amp;":AA"&amp;(ROW()-1)))),1,0))&lt;&gt;16),MIN(LOOKUP(,-1/($Z$12:Z702=1),$C$12:C702)+LOOKUP(,-1/($Z$12:Z702=1),$H$12:H702)-IF(AA701="Да",0,SUM(INDIRECT("T"&amp;(MAX(("Да"=AA$12:AA701)*ROW(AA$12:AA701)+1,ROW($T$12))&amp;":T"&amp;(ROW()-1))))),Первоначальный[[#This Row],[Полученный платеж]]+Y701),
AND(S701=0,MAX((0&lt;&gt;N$12:N701)*ROW(N$12:N701),ROW($S$12))&gt;=MAX((1=Z$12:Z701)*ROW(Z$12:Z701),ROW($T$12))),MIN(LOOKUP(,-1/($Z$12:Z702=1),$C$12:C702)+LOOKUP(,-1/($Z$12:Z702=1),$H$12:H702)-IF(N701&lt;&gt;0,0,SUM(INDIRECT("T"&amp;(MAX((0&lt;&gt;N$12:N701)*ROW(N$12:N701)+1,ROW($T$12))&amp;":T"&amp;(ROW()-1))))),Первоначальный[[#This Row],[Полученный платеж]]+Y701),
AND(S701=0,Первоначальный[[#This Row],[Дата платежа из графика]]=1),MIN(LOOKUP(,-1/($Z$12:Z702=1),$C$12:C702)+LOOKUP(,-1/($Z$12:Z702=1),$H$12:H702)-IF(Z701=1,0,SUM(INDIRECT("T"&amp;(MAX((1=Z$12:Z701)*ROW(Z$12:Z701)+1,ROW($T$12))&amp;":T"&amp;(ROW()-1))))),Первоначальный[[#This Row],[Полученный платеж]]+Y701),
AND(Z701&gt;0,Первоначальный[[#This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платеж]]+Y701),
AND(S701&gt;0,MAX((0&lt;&gt;S$12:S701)*ROW(S$12:S701),ROW($S$12))&gt;=MAX((1=Z$12:Z701)*ROW(Z$12:Z701),ROW($T$12)),TYPE(VLOOKUP("Да",(INDIRECT("AA"&amp;(MAX((1=Z$12:Z701)*ROW(Z$12:Z701),ROW($T$12))&amp;":AA"&amp;(ROW()-1)))),1,0))=16),MIN(LOOKUP(,-1/($Z$12:Z702=1),$C$12:C702)+LOOKUP(,-1/($Z$12:Z702=1),$H$12:H702)-SUM(INDIRECT("T"&amp;(MAX((1=Z$12:Z701)*ROW(Z$12:Z701),ROW($T$12))&amp;":T"&amp;(ROW()-1)))),Первоначальный[[#This Row],[Полученный платеж]]+Y701),
S701&gt;0,MIN(LOOKUP(,-1/($Z$12:Z702=1),$C$12:C702)+LOOKUP(,-1/($Z$12:Z702=1),$H$12:H702)-IF(Z701=1,0,SUM(INDIRECT("T"&amp;(MAX((1=Z$12:Z701)*ROW(Z$12:Z701)+1,ROW($T$12))&amp;":T"&amp;(ROW()-1))))),Первоначальный[[#This Row],[Полученный платеж]]+Y701)
)
)
)</f>
        <v>0</v>
      </c>
      <c r="U70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платеж]]+Y701-Первоначальный[[#This Row],[Полученный платёж по процентам]])</f>
        <v>0</v>
      </c>
      <c r="V702" s="55">
        <f t="shared" ca="1" si="121"/>
        <v>0</v>
      </c>
      <c r="W702" s="55" cm="1">
        <f t="array" aca="1" ref="W702" ca="1">IF(Первоначальный[[#This Row],[Итого остаток на начало периода]]&lt;1,0,
_xlfn.IFS(
AND(TYPE(VLOOKUP(1,$Z$12:Z702,1,0))=16,Первоначальный[[#This Row],[Досрочное погашение (да/"")]]=""),0,
AND(S701=0,Первоначальный[[#This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платеж]]+Y701-SUM(Первоначальный[[#This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комиссиям]]),VLOOKUP(LOOKUP(,-1/($Z$12:Z702=1),$A$12:A702),График[[Срок конец]:[Возврат основной суммы долга]],3,0)),
AND(S701=0,Первоначальный[[#This Row],[Дата платежа из графика]]="",Первоначальный[[#This Row],[Досрочное погашение (да/"")]]&lt;&gt;"Да"),0,
AND(S701=0,Первоначальный[[#This Row],[Досрочное погашение (да/"")]]=""),MIN(Первоначальный[[#This Row],[Полученный платеж]]+Y701-SUM(Первоначальный[[#This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комиссиям]]),VLOOKUP(LOOKUP(,-1/($Z$12:Z702=1),$A$12:A702),График[[Срок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платеж]]+Y701-SUM(Первоначальный[[#This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S701&gt;0,MIN(Первоначальный[[#This Row],[Полученный платеж]]+Y701-SUM(Первоначальный[[#This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комиссиям]]),SUM(INDIRECT("M"&amp;(MAX((1=S$12:S701)*ROW(S$12:S701),ROW($W$12))&amp;":M"&amp;(ROW()))))-SUM(INDIRECT("W"&amp;(MAX((1=S$12:S701)*ROW(S$12:S701),ROW($W$12))&amp;":W"&amp;(ROW()-1)))))
)
)</f>
        <v>0</v>
      </c>
      <c r="X702" s="55">
        <f t="shared" ca="1" si="122"/>
        <v>0</v>
      </c>
      <c r="Y702" s="101">
        <f t="shared" ca="1" si="129"/>
        <v>0</v>
      </c>
      <c r="Z702" s="133" t="str">
        <f>IF(TYPE((VLOOKUP(Первоначальный[[#This Row],[Дата платежа]],График[Срок конец],1,0)))=16,"",1)</f>
        <v/>
      </c>
      <c r="AA702" s="57"/>
      <c r="AB702" s="134"/>
      <c r="AC70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0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49634.970000000038</v>
      </c>
      <c r="AE70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1584.4499999999985</v>
      </c>
      <c r="AF70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0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89796.204960655741</v>
      </c>
      <c r="AH702" s="55"/>
      <c r="AI702" s="55"/>
      <c r="AJ702" s="55"/>
      <c r="AK702" s="101">
        <f t="shared" ca="1" si="130"/>
        <v>290648.96496065578</v>
      </c>
      <c r="AL702" s="129">
        <f t="array" ref="AL702">MAX((УслРестрактов[Характеристика]="Дата реструктуризации")*(УслРестрактов[Значение]=Первоначальный!$A702),0)</f>
        <v>0</v>
      </c>
    </row>
    <row r="703" spans="1:38" x14ac:dyDescent="0.25">
      <c r="A703" s="97">
        <f t="shared" si="123"/>
        <v>44834</v>
      </c>
      <c r="B703" s="100">
        <f t="shared" ca="1" si="124"/>
        <v>149633.34</v>
      </c>
      <c r="C703" s="55">
        <f t="shared" ca="1" si="132"/>
        <v>49634.970000000038</v>
      </c>
      <c r="D703" s="55">
        <f t="shared" ca="1" si="132"/>
        <v>1584.4499999999985</v>
      </c>
      <c r="E703" s="55">
        <f t="shared" ca="1" si="125"/>
        <v>0</v>
      </c>
      <c r="F703" s="55">
        <f t="shared" ca="1" si="126"/>
        <v>89796.204960655741</v>
      </c>
      <c r="G703" s="101">
        <f t="shared" ca="1" si="127"/>
        <v>290648.96496065578</v>
      </c>
      <c r="H703" s="100">
        <f ca="1">ROUND($B703*VLOOKUP($A703,$A$1:$B$10,2,1)/(365+IF(MOD(YEAR($A703),4),0,1)*($A703-$A702)),2)-Первоначальный[[#This Row],[Проценты на просроченный платеж по ОД за период]]</f>
        <v>76.23</v>
      </c>
      <c r="I703" s="55">
        <f t="shared" ca="1" si="128"/>
        <v>5.35</v>
      </c>
      <c r="J703" s="55">
        <v>0</v>
      </c>
      <c r="K703" s="55">
        <f t="shared" ca="1" si="131"/>
        <v>289.63350327868847</v>
      </c>
      <c r="L703" s="55">
        <v>0</v>
      </c>
      <c r="M703" s="113">
        <f>SUMIFS(График[Возврат основной суммы долга],График[Дата с учетом нерабочих дней],$A703)</f>
        <v>0</v>
      </c>
      <c r="N703" s="56">
        <f>SUMIFS(График[Возврат начисленных %],График[Дата с учетом нерабочих дней],$A703)</f>
        <v>0</v>
      </c>
      <c r="O703" s="101">
        <v>0</v>
      </c>
      <c r="P703" s="100" cm="1">
        <f t="array" aca="1" ref="P703" ca="1">MAX(IF(AA702="Да",0,SUM(INDIRECT("M"&amp;(MAX(("Да"=AA$12:AA702)*ROW(AA$12:AA702)+1,ROW($P$12))&amp;":M"&amp;(ROW()))))-SUM(INDIRECT("W"&amp;(MAX(("Да"=AA$12:AA702)*ROW(AA$12:AA702)+1,ROW($P$12))&amp;":W"&amp;(ROW()))))),0)</f>
        <v>9818.4299999999985</v>
      </c>
      <c r="Q703" s="99">
        <f ca="1">MAX(SUM($N$13:N703)-SUM($T$13:T703),0)</f>
        <v>48108.270655737695</v>
      </c>
      <c r="R703" s="99">
        <f ca="1">Первоначальный[[#This Row],[Просроченный платеж по ОД]]+Первоначальный[[#This Row],[Просроченный платеж по процентам]]</f>
        <v>57926.700655737695</v>
      </c>
      <c r="S703" s="120">
        <f ca="1">IF(Первоначальный[[#This Row],[Просроченный платеж]]&lt;1,0,S702+1)</f>
        <v>599</v>
      </c>
      <c r="T703" s="100" cm="1">
        <f t="array" aca="1" ref="T703" ca="1">IF(Первоначальный[[#This Row],[Итого остаток на начало периода]]&lt;1,0,
IF(
AND(TYPE(VLOOKUP(1,$Z$12:Z703,1,0))=16,Первоначальный[[#This Row],[Досрочное погашение (да/"")]]=""),0,
_xlfn.IFS(AND(S702=0,Первоначальный[[#This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платеж]]&lt;&gt;0),MIN(LOOKUP(,-1/($Z$12:Z703=1),$C$12:C703)+LOOKUP(,-1/($Z$12:Z703=1),$H$12:H703),Первоначальный[[#This Row],[Полученный платеж]]+Y702),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платеж]]+Y702,SUM(Первоначальный[[#This Row],[Остаток процентов на начало периода]],Первоначальный[[#This Row],[Проценты за период]])),
AND(S702=0,Первоначальный[[#This Row],[Дата платежа из графика]]=""),0,
AND(S702=0,Первоначальный[[#This Row],[Дата платежа из графика]]=1,MAX((0&lt;&gt;S$12:S702)*ROW(S$12:S702),ROW($S$12))&gt;=MAX((1=Z$12:Z702)*ROW(Z$12:Z702),ROW($T$12)),TYPE(VLOOKUP("Да",(INDIRECT("AA"&amp;(MAX((1=Z$12:Z702)*ROW(Z$12:Z702),ROW($T$12))&amp;":AA"&amp;(ROW()-1)))),1,0))=16),MIN(LOOKUP(,-1/($Z$12:Z703=1),$C$12:C703)+LOOKUP(,-1/($Z$12:Z703=1),$H$12:H703),Первоначальный[[#This Row],[Полученный платеж]]+Y702),
AND(S702=0,TYPE(VLOOKUP("Да",(INDIRECT("AA"&amp;(MAX((1=Z$12:Z702)*ROW(Z$12:Z702),ROW($T$12))&amp;":AA"&amp;(ROW()-1)))),1,0))&lt;&gt;16),MIN(LOOKUP(,-1/($Z$12:Z703=1),$C$12:C703)+LOOKUP(,-1/($Z$12:Z703=1),$H$12:H703)-IF(AA702="Да",0,SUM(INDIRECT("T"&amp;(MAX(("Да"=AA$12:AA702)*ROW(AA$12:AA702)+1,ROW($T$12))&amp;":T"&amp;(ROW()-1))))),Первоначальный[[#This Row],[Полученный платеж]]+Y702),
AND(S702=0,MAX((0&lt;&gt;N$12:N702)*ROW(N$12:N702),ROW($S$12))&gt;=MAX((1=Z$12:Z702)*ROW(Z$12:Z702),ROW($T$12))),MIN(LOOKUP(,-1/($Z$12:Z703=1),$C$12:C703)+LOOKUP(,-1/($Z$12:Z703=1),$H$12:H703)-IF(N702&lt;&gt;0,0,SUM(INDIRECT("T"&amp;(MAX((0&lt;&gt;N$12:N702)*ROW(N$12:N702)+1,ROW($T$12))&amp;":T"&amp;(ROW()-1))))),Первоначальный[[#This Row],[Полученный платеж]]+Y702),
AND(S702=0,Первоначальный[[#This Row],[Дата платежа из графика]]=1),MIN(LOOKUP(,-1/($Z$12:Z703=1),$C$12:C703)+LOOKUP(,-1/($Z$12:Z703=1),$H$12:H703)-IF(Z702=1,0,SUM(INDIRECT("T"&amp;(MAX((1=Z$12:Z702)*ROW(Z$12:Z702)+1,ROW($T$12))&amp;":T"&amp;(ROW()-1))))),Первоначальный[[#This Row],[Полученный платеж]]+Y702),
AND(Z702&gt;0,Первоначальный[[#This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платеж]]+Y702),
AND(S702&gt;0,MAX((0&lt;&gt;S$12:S702)*ROW(S$12:S702),ROW($S$12))&gt;=MAX((1=Z$12:Z702)*ROW(Z$12:Z702),ROW($T$12)),TYPE(VLOOKUP("Да",(INDIRECT("AA"&amp;(MAX((1=Z$12:Z702)*ROW(Z$12:Z702),ROW($T$12))&amp;":AA"&amp;(ROW()-1)))),1,0))=16),MIN(LOOKUP(,-1/($Z$12:Z703=1),$C$12:C703)+LOOKUP(,-1/($Z$12:Z703=1),$H$12:H703)-SUM(INDIRECT("T"&amp;(MAX((1=Z$12:Z702)*ROW(Z$12:Z702),ROW($T$12))&amp;":T"&amp;(ROW()-1)))),Первоначальный[[#This Row],[Полученный платеж]]+Y702),
S702&gt;0,MIN(LOOKUP(,-1/($Z$12:Z703=1),$C$12:C703)+LOOKUP(,-1/($Z$12:Z703=1),$H$12:H703)-IF(Z702=1,0,SUM(INDIRECT("T"&amp;(MAX((1=Z$12:Z702)*ROW(Z$12:Z702)+1,ROW($T$12))&amp;":T"&amp;(ROW()-1))))),Первоначальный[[#This Row],[Полученный платеж]]+Y702)
)
)
)</f>
        <v>0</v>
      </c>
      <c r="U70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платеж]]+Y702-Первоначальный[[#This Row],[Полученный платёж по процентам]])</f>
        <v>0</v>
      </c>
      <c r="V703" s="55">
        <f t="shared" ca="1" si="121"/>
        <v>0</v>
      </c>
      <c r="W703" s="55" cm="1">
        <f t="array" aca="1" ref="W703" ca="1">IF(Первоначальный[[#This Row],[Итого остаток на начало периода]]&lt;1,0,
_xlfn.IFS(
AND(TYPE(VLOOKUP(1,$Z$12:Z703,1,0))=16,Первоначальный[[#This Row],[Досрочное погашение (да/"")]]=""),0,
AND(S702=0,Первоначальный[[#This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платеж]]+Y702-SUM(Первоначальный[[#This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комиссиям]]),VLOOKUP(LOOKUP(,-1/($Z$12:Z703=1),$A$12:A703),График[[Срок конец]:[Возврат основной суммы долга]],3,0)),
AND(S702=0,Первоначальный[[#This Row],[Дата платежа из графика]]="",Первоначальный[[#This Row],[Досрочное погашение (да/"")]]&lt;&gt;"Да"),0,
AND(S702=0,Первоначальный[[#This Row],[Досрочное погашение (да/"")]]=""),MIN(Первоначальный[[#This Row],[Полученный платеж]]+Y702-SUM(Первоначальный[[#This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комиссиям]]),VLOOKUP(LOOKUP(,-1/($Z$12:Z703=1),$A$12:A703),График[[Срок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платеж]]+Y702-SUM(Первоначальный[[#This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S702&gt;0,MIN(Первоначальный[[#This Row],[Полученный платеж]]+Y702-SUM(Первоначальный[[#This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комиссиям]]),SUM(INDIRECT("M"&amp;(MAX((1=S$12:S702)*ROW(S$12:S702),ROW($W$12))&amp;":M"&amp;(ROW()))))-SUM(INDIRECT("W"&amp;(MAX((1=S$12:S702)*ROW(S$12:S702),ROW($W$12))&amp;":W"&amp;(ROW()-1)))))
)
)</f>
        <v>0</v>
      </c>
      <c r="X703" s="55">
        <f t="shared" ca="1" si="122"/>
        <v>0</v>
      </c>
      <c r="Y703" s="101">
        <f t="shared" ca="1" si="129"/>
        <v>0</v>
      </c>
      <c r="Z703" s="133" t="str">
        <f>IF(TYPE((VLOOKUP(Первоначальный[[#This Row],[Дата платежа]],График[Срок конец],1,0)))=16,"",1)</f>
        <v/>
      </c>
      <c r="AA703" s="57"/>
      <c r="AB703" s="134"/>
      <c r="AC70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0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49711.200000000041</v>
      </c>
      <c r="AE70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1589.7999999999984</v>
      </c>
      <c r="AF70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0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90085.838463934429</v>
      </c>
      <c r="AH703" s="55"/>
      <c r="AI703" s="55"/>
      <c r="AJ703" s="55"/>
      <c r="AK703" s="101">
        <f t="shared" ca="1" si="130"/>
        <v>291020.17846393446</v>
      </c>
      <c r="AL703" s="129">
        <f t="array" ref="AL703">MAX((УслРестрактов[Характеристика]="Дата реструктуризации")*(УслРестрактов[Значение]=Первоначальный!$A703),0)</f>
        <v>0</v>
      </c>
    </row>
    <row r="704" spans="1:38" x14ac:dyDescent="0.25">
      <c r="A704" s="97">
        <f t="shared" si="123"/>
        <v>44835</v>
      </c>
      <c r="B704" s="100">
        <f t="shared" ca="1" si="124"/>
        <v>149633.34</v>
      </c>
      <c r="C704" s="55">
        <f t="shared" ca="1" si="132"/>
        <v>49711.200000000041</v>
      </c>
      <c r="D704" s="55">
        <f t="shared" ca="1" si="132"/>
        <v>1589.7999999999984</v>
      </c>
      <c r="E704" s="55">
        <f t="shared" ca="1" si="125"/>
        <v>0</v>
      </c>
      <c r="F704" s="55">
        <f t="shared" ca="1" si="126"/>
        <v>90085.838463934429</v>
      </c>
      <c r="G704" s="101">
        <f t="shared" ca="1" si="127"/>
        <v>291020.17846393446</v>
      </c>
      <c r="H704" s="100">
        <f ca="1">ROUND($B704*VLOOKUP($A704,$A$1:$B$10,2,1)/(365+IF(MOD(YEAR($A704),4),0,1)*($A704-$A703)),2)-Первоначальный[[#This Row],[Проценты на просроченный платеж по ОД за период]]</f>
        <v>76.23</v>
      </c>
      <c r="I704" s="55">
        <f t="shared" ca="1" si="128"/>
        <v>5.35</v>
      </c>
      <c r="J704" s="55">
        <v>0</v>
      </c>
      <c r="K704" s="55">
        <f t="shared" ca="1" si="131"/>
        <v>289.63350327868847</v>
      </c>
      <c r="L704" s="55">
        <v>0</v>
      </c>
      <c r="M704" s="113">
        <f>SUMIFS(График[Возврат основной суммы долга],График[Дата с учетом нерабочих дней],$A704)</f>
        <v>0</v>
      </c>
      <c r="N704" s="56">
        <f>SUMIFS(График[Возврат начисленных %],График[Дата с учетом нерабочих дней],$A704)</f>
        <v>0</v>
      </c>
      <c r="O704" s="101">
        <v>0</v>
      </c>
      <c r="P704" s="100" cm="1">
        <f t="array" aca="1" ref="P704" ca="1">MAX(IF(AA703="Да",0,SUM(INDIRECT("M"&amp;(MAX(("Да"=AA$12:AA703)*ROW(AA$12:AA703)+1,ROW($P$12))&amp;":M"&amp;(ROW()))))-SUM(INDIRECT("W"&amp;(MAX(("Да"=AA$12:AA703)*ROW(AA$12:AA703)+1,ROW($P$12))&amp;":W"&amp;(ROW()))))),0)</f>
        <v>9818.4299999999985</v>
      </c>
      <c r="Q704" s="99">
        <f ca="1">MAX(SUM($N$13:N704)-SUM($T$13:T704),0)</f>
        <v>48108.270655737695</v>
      </c>
      <c r="R704" s="99">
        <f ca="1">Первоначальный[[#This Row],[Просроченный платеж по ОД]]+Первоначальный[[#This Row],[Просроченный платеж по процентам]]</f>
        <v>57926.700655737695</v>
      </c>
      <c r="S704" s="120">
        <f ca="1">IF(Первоначальный[[#This Row],[Просроченный платеж]]&lt;1,0,S703+1)</f>
        <v>600</v>
      </c>
      <c r="T704" s="100" cm="1">
        <f t="array" aca="1" ref="T704" ca="1">IF(Первоначальный[[#This Row],[Итого остаток на начало периода]]&lt;1,0,
IF(
AND(TYPE(VLOOKUP(1,$Z$12:Z704,1,0))=16,Первоначальный[[#This Row],[Досрочное погашение (да/"")]]=""),0,
_xlfn.IFS(AND(S703=0,Первоначальный[[#This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платеж]]&lt;&gt;0),MIN(LOOKUP(,-1/($Z$12:Z704=1),$C$12:C704)+LOOKUP(,-1/($Z$12:Z704=1),$H$12:H704),Первоначальный[[#This Row],[Полученный платеж]]+Y703),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платеж]]+Y703,SUM(Первоначальный[[#This Row],[Остаток процентов на начало периода]],Первоначальный[[#This Row],[Проценты за период]])),
AND(S703=0,Первоначальный[[#This Row],[Дата платежа из графика]]=""),0,
AND(S703=0,Первоначальный[[#This Row],[Дата платежа из графика]]=1,MAX((0&lt;&gt;S$12:S703)*ROW(S$12:S703),ROW($S$12))&gt;=MAX((1=Z$12:Z703)*ROW(Z$12:Z703),ROW($T$12)),TYPE(VLOOKUP("Да",(INDIRECT("AA"&amp;(MAX((1=Z$12:Z703)*ROW(Z$12:Z703),ROW($T$12))&amp;":AA"&amp;(ROW()-1)))),1,0))=16),MIN(LOOKUP(,-1/($Z$12:Z704=1),$C$12:C704)+LOOKUP(,-1/($Z$12:Z704=1),$H$12:H704),Первоначальный[[#This Row],[Полученный платеж]]+Y703),
AND(S703=0,TYPE(VLOOKUP("Да",(INDIRECT("AA"&amp;(MAX((1=Z$12:Z703)*ROW(Z$12:Z703),ROW($T$12))&amp;":AA"&amp;(ROW()-1)))),1,0))&lt;&gt;16),MIN(LOOKUP(,-1/($Z$12:Z704=1),$C$12:C704)+LOOKUP(,-1/($Z$12:Z704=1),$H$12:H704)-IF(AA703="Да",0,SUM(INDIRECT("T"&amp;(MAX(("Да"=AA$12:AA703)*ROW(AA$12:AA703)+1,ROW($T$12))&amp;":T"&amp;(ROW()-1))))),Первоначальный[[#This Row],[Полученный платеж]]+Y703),
AND(S703=0,MAX((0&lt;&gt;N$12:N703)*ROW(N$12:N703),ROW($S$12))&gt;=MAX((1=Z$12:Z703)*ROW(Z$12:Z703),ROW($T$12))),MIN(LOOKUP(,-1/($Z$12:Z704=1),$C$12:C704)+LOOKUP(,-1/($Z$12:Z704=1),$H$12:H704)-IF(N703&lt;&gt;0,0,SUM(INDIRECT("T"&amp;(MAX((0&lt;&gt;N$12:N703)*ROW(N$12:N703)+1,ROW($T$12))&amp;":T"&amp;(ROW()-1))))),Первоначальный[[#This Row],[Полученный платеж]]+Y703),
AND(S703=0,Первоначальный[[#This Row],[Дата платежа из графика]]=1),MIN(LOOKUP(,-1/($Z$12:Z704=1),$C$12:C704)+LOOKUP(,-1/($Z$12:Z704=1),$H$12:H704)-IF(Z703=1,0,SUM(INDIRECT("T"&amp;(MAX((1=Z$12:Z703)*ROW(Z$12:Z703)+1,ROW($T$12))&amp;":T"&amp;(ROW()-1))))),Первоначальный[[#This Row],[Полученный платеж]]+Y703),
AND(Z703&gt;0,Первоначальный[[#This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платеж]]+Y703),
AND(S703&gt;0,MAX((0&lt;&gt;S$12:S703)*ROW(S$12:S703),ROW($S$12))&gt;=MAX((1=Z$12:Z703)*ROW(Z$12:Z703),ROW($T$12)),TYPE(VLOOKUP("Да",(INDIRECT("AA"&amp;(MAX((1=Z$12:Z703)*ROW(Z$12:Z703),ROW($T$12))&amp;":AA"&amp;(ROW()-1)))),1,0))=16),MIN(LOOKUP(,-1/($Z$12:Z704=1),$C$12:C704)+LOOKUP(,-1/($Z$12:Z704=1),$H$12:H704)-SUM(INDIRECT("T"&amp;(MAX((1=Z$12:Z703)*ROW(Z$12:Z703),ROW($T$12))&amp;":T"&amp;(ROW()-1)))),Первоначальный[[#This Row],[Полученный платеж]]+Y703),
S703&gt;0,MIN(LOOKUP(,-1/($Z$12:Z704=1),$C$12:C704)+LOOKUP(,-1/($Z$12:Z704=1),$H$12:H704)-IF(Z703=1,0,SUM(INDIRECT("T"&amp;(MAX((1=Z$12:Z703)*ROW(Z$12:Z703)+1,ROW($T$12))&amp;":T"&amp;(ROW()-1))))),Первоначальный[[#This Row],[Полученный платеж]]+Y703)
)
)
)</f>
        <v>0</v>
      </c>
      <c r="U70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платеж]]+Y703-Первоначальный[[#This Row],[Полученный платёж по процентам]])</f>
        <v>0</v>
      </c>
      <c r="V704" s="55">
        <f t="shared" ca="1" si="121"/>
        <v>0</v>
      </c>
      <c r="W704" s="55" cm="1">
        <f t="array" aca="1" ref="W704" ca="1">IF(Первоначальный[[#This Row],[Итого остаток на начало периода]]&lt;1,0,
_xlfn.IFS(
AND(TYPE(VLOOKUP(1,$Z$12:Z704,1,0))=16,Первоначальный[[#This Row],[Досрочное погашение (да/"")]]=""),0,
AND(S703=0,Первоначальный[[#This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платеж]]+Y703-SUM(Первоначальный[[#This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комиссиям]]),VLOOKUP(LOOKUP(,-1/($Z$12:Z704=1),$A$12:A704),График[[Срок конец]:[Возврат основной суммы долга]],3,0)),
AND(S703=0,Первоначальный[[#This Row],[Дата платежа из графика]]="",Первоначальный[[#This Row],[Досрочное погашение (да/"")]]&lt;&gt;"Да"),0,
AND(S703=0,Первоначальный[[#This Row],[Досрочное погашение (да/"")]]=""),MIN(Первоначальный[[#This Row],[Полученный платеж]]+Y703-SUM(Первоначальный[[#This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комиссиям]]),VLOOKUP(LOOKUP(,-1/($Z$12:Z704=1),$A$12:A704),График[[Срок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платеж]]+Y703-SUM(Первоначальный[[#This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S703&gt;0,MIN(Первоначальный[[#This Row],[Полученный платеж]]+Y703-SUM(Первоначальный[[#This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комиссиям]]),SUM(INDIRECT("M"&amp;(MAX((1=S$12:S703)*ROW(S$12:S703),ROW($W$12))&amp;":M"&amp;(ROW()))))-SUM(INDIRECT("W"&amp;(MAX((1=S$12:S703)*ROW(S$12:S703),ROW($W$12))&amp;":W"&amp;(ROW()-1)))))
)
)</f>
        <v>0</v>
      </c>
      <c r="X704" s="55">
        <f t="shared" ca="1" si="122"/>
        <v>0</v>
      </c>
      <c r="Y704" s="101">
        <f t="shared" ca="1" si="129"/>
        <v>0</v>
      </c>
      <c r="Z704" s="133" t="str">
        <f>IF(TYPE((VLOOKUP(Первоначальный[[#This Row],[Дата платежа]],График[Срок конец],1,0)))=16,"",1)</f>
        <v/>
      </c>
      <c r="AA704" s="57"/>
      <c r="AB704" s="134"/>
      <c r="AC70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0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49787.430000000044</v>
      </c>
      <c r="AE70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1595.1499999999983</v>
      </c>
      <c r="AF70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0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90375.471967213118</v>
      </c>
      <c r="AH704" s="55"/>
      <c r="AI704" s="55"/>
      <c r="AJ704" s="55"/>
      <c r="AK704" s="101">
        <f t="shared" ca="1" si="130"/>
        <v>291391.39196721313</v>
      </c>
      <c r="AL704" s="129">
        <f t="array" ref="AL704">MAX((УслРестрактов[Характеристика]="Дата реструктуризации")*(УслРестрактов[Значение]=Первоначальный!$A704),0)</f>
        <v>0</v>
      </c>
    </row>
    <row r="705" spans="1:38" x14ac:dyDescent="0.25">
      <c r="A705" s="97">
        <f t="shared" si="123"/>
        <v>44836</v>
      </c>
      <c r="B705" s="100">
        <f t="shared" ca="1" si="124"/>
        <v>149633.34</v>
      </c>
      <c r="C705" s="55">
        <f t="shared" ca="1" si="132"/>
        <v>49787.430000000044</v>
      </c>
      <c r="D705" s="55">
        <f t="shared" ca="1" si="132"/>
        <v>1595.1499999999983</v>
      </c>
      <c r="E705" s="55">
        <f t="shared" ca="1" si="125"/>
        <v>0</v>
      </c>
      <c r="F705" s="55">
        <f t="shared" ca="1" si="126"/>
        <v>90375.471967213118</v>
      </c>
      <c r="G705" s="101">
        <f t="shared" ca="1" si="127"/>
        <v>291391.39196721313</v>
      </c>
      <c r="H705" s="100">
        <f ca="1">ROUND($B705*VLOOKUP($A705,$A$1:$B$10,2,1)/(365+IF(MOD(YEAR($A705),4),0,1)*($A705-$A704)),2)-Первоначальный[[#This Row],[Проценты на просроченный платеж по ОД за период]]</f>
        <v>76.23</v>
      </c>
      <c r="I705" s="55">
        <f t="shared" ca="1" si="128"/>
        <v>5.35</v>
      </c>
      <c r="J705" s="55">
        <v>0</v>
      </c>
      <c r="K705" s="55">
        <f t="shared" ca="1" si="131"/>
        <v>289.63350327868847</v>
      </c>
      <c r="L705" s="55">
        <v>0</v>
      </c>
      <c r="M705" s="113">
        <f>SUMIFS(График[Возврат основной суммы долга],График[Дата с учетом нерабочих дней],$A705)</f>
        <v>0</v>
      </c>
      <c r="N705" s="56">
        <f>SUMIFS(График[Возврат начисленных %],График[Дата с учетом нерабочих дней],$A705)</f>
        <v>0</v>
      </c>
      <c r="O705" s="101">
        <v>0</v>
      </c>
      <c r="P705" s="100" cm="1">
        <f t="array" aca="1" ref="P705" ca="1">MAX(IF(AA704="Да",0,SUM(INDIRECT("M"&amp;(MAX(("Да"=AA$12:AA704)*ROW(AA$12:AA704)+1,ROW($P$12))&amp;":M"&amp;(ROW()))))-SUM(INDIRECT("W"&amp;(MAX(("Да"=AA$12:AA704)*ROW(AA$12:AA704)+1,ROW($P$12))&amp;":W"&amp;(ROW()))))),0)</f>
        <v>9818.4299999999985</v>
      </c>
      <c r="Q705" s="99">
        <f ca="1">MAX(SUM($N$13:N705)-SUM($T$13:T705),0)</f>
        <v>48108.270655737695</v>
      </c>
      <c r="R705" s="99">
        <f ca="1">Первоначальный[[#This Row],[Просроченный платеж по ОД]]+Первоначальный[[#This Row],[Просроченный платеж по процентам]]</f>
        <v>57926.700655737695</v>
      </c>
      <c r="S705" s="120">
        <f ca="1">IF(Первоначальный[[#This Row],[Просроченный платеж]]&lt;1,0,S704+1)</f>
        <v>601</v>
      </c>
      <c r="T705" s="100" cm="1">
        <f t="array" aca="1" ref="T705" ca="1">IF(Первоначальный[[#This Row],[Итого остаток на начало периода]]&lt;1,0,
IF(
AND(TYPE(VLOOKUP(1,$Z$12:Z705,1,0))=16,Первоначальный[[#This Row],[Досрочное погашение (да/"")]]=""),0,
_xlfn.IFS(AND(S704=0,Первоначальный[[#This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платеж]]&lt;&gt;0),MIN(LOOKUP(,-1/($Z$12:Z705=1),$C$12:C705)+LOOKUP(,-1/($Z$12:Z705=1),$H$12:H705),Первоначальный[[#This Row],[Полученный платеж]]+Y704),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платеж]]+Y704,SUM(Первоначальный[[#This Row],[Остаток процентов на начало периода]],Первоначальный[[#This Row],[Проценты за период]])),
AND(S704=0,Первоначальный[[#This Row],[Дата платежа из графика]]=""),0,
AND(S704=0,Первоначальный[[#This Row],[Дата платежа из графика]]=1,MAX((0&lt;&gt;S$12:S704)*ROW(S$12:S704),ROW($S$12))&gt;=MAX((1=Z$12:Z704)*ROW(Z$12:Z704),ROW($T$12)),TYPE(VLOOKUP("Да",(INDIRECT("AA"&amp;(MAX((1=Z$12:Z704)*ROW(Z$12:Z704),ROW($T$12))&amp;":AA"&amp;(ROW()-1)))),1,0))=16),MIN(LOOKUP(,-1/($Z$12:Z705=1),$C$12:C705)+LOOKUP(,-1/($Z$12:Z705=1),$H$12:H705),Первоначальный[[#This Row],[Полученный платеж]]+Y704),
AND(S704=0,TYPE(VLOOKUP("Да",(INDIRECT("AA"&amp;(MAX((1=Z$12:Z704)*ROW(Z$12:Z704),ROW($T$12))&amp;":AA"&amp;(ROW()-1)))),1,0))&lt;&gt;16),MIN(LOOKUP(,-1/($Z$12:Z705=1),$C$12:C705)+LOOKUP(,-1/($Z$12:Z705=1),$H$12:H705)-IF(AA704="Да",0,SUM(INDIRECT("T"&amp;(MAX(("Да"=AA$12:AA704)*ROW(AA$12:AA704)+1,ROW($T$12))&amp;":T"&amp;(ROW()-1))))),Первоначальный[[#This Row],[Полученный платеж]]+Y704),
AND(S704=0,MAX((0&lt;&gt;N$12:N704)*ROW(N$12:N704),ROW($S$12))&gt;=MAX((1=Z$12:Z704)*ROW(Z$12:Z704),ROW($T$12))),MIN(LOOKUP(,-1/($Z$12:Z705=1),$C$12:C705)+LOOKUP(,-1/($Z$12:Z705=1),$H$12:H705)-IF(N704&lt;&gt;0,0,SUM(INDIRECT("T"&amp;(MAX((0&lt;&gt;N$12:N704)*ROW(N$12:N704)+1,ROW($T$12))&amp;":T"&amp;(ROW()-1))))),Первоначальный[[#This Row],[Полученный платеж]]+Y704),
AND(S704=0,Первоначальный[[#This Row],[Дата платежа из графика]]=1),MIN(LOOKUP(,-1/($Z$12:Z705=1),$C$12:C705)+LOOKUP(,-1/($Z$12:Z705=1),$H$12:H705)-IF(Z704=1,0,SUM(INDIRECT("T"&amp;(MAX((1=Z$12:Z704)*ROW(Z$12:Z704)+1,ROW($T$12))&amp;":T"&amp;(ROW()-1))))),Первоначальный[[#This Row],[Полученный платеж]]+Y704),
AND(Z704&gt;0,Первоначальный[[#This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платеж]]+Y704),
AND(S704&gt;0,MAX((0&lt;&gt;S$12:S704)*ROW(S$12:S704),ROW($S$12))&gt;=MAX((1=Z$12:Z704)*ROW(Z$12:Z704),ROW($T$12)),TYPE(VLOOKUP("Да",(INDIRECT("AA"&amp;(MAX((1=Z$12:Z704)*ROW(Z$12:Z704),ROW($T$12))&amp;":AA"&amp;(ROW()-1)))),1,0))=16),MIN(LOOKUP(,-1/($Z$12:Z705=1),$C$12:C705)+LOOKUP(,-1/($Z$12:Z705=1),$H$12:H705)-SUM(INDIRECT("T"&amp;(MAX((1=Z$12:Z704)*ROW(Z$12:Z704),ROW($T$12))&amp;":T"&amp;(ROW()-1)))),Первоначальный[[#This Row],[Полученный платеж]]+Y704),
S704&gt;0,MIN(LOOKUP(,-1/($Z$12:Z705=1),$C$12:C705)+LOOKUP(,-1/($Z$12:Z705=1),$H$12:H705)-IF(Z704=1,0,SUM(INDIRECT("T"&amp;(MAX((1=Z$12:Z704)*ROW(Z$12:Z704)+1,ROW($T$12))&amp;":T"&amp;(ROW()-1))))),Первоначальный[[#This Row],[Полученный платеж]]+Y704)
)
)
)</f>
        <v>0</v>
      </c>
      <c r="U70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платеж]]+Y704-Первоначальный[[#This Row],[Полученный платёж по процентам]])</f>
        <v>0</v>
      </c>
      <c r="V705" s="55">
        <f t="shared" ca="1" si="121"/>
        <v>0</v>
      </c>
      <c r="W705" s="55" cm="1">
        <f t="array" aca="1" ref="W705" ca="1">IF(Первоначальный[[#This Row],[Итого остаток на начало периода]]&lt;1,0,
_xlfn.IFS(
AND(TYPE(VLOOKUP(1,$Z$12:Z705,1,0))=16,Первоначальный[[#This Row],[Досрочное погашение (да/"")]]=""),0,
AND(S704=0,Первоначальный[[#This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платеж]]+Y704-SUM(Первоначальный[[#This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комиссиям]]),VLOOKUP(LOOKUP(,-1/($Z$12:Z705=1),$A$12:A705),График[[Срок конец]:[Возврат основной суммы долга]],3,0)),
AND(S704=0,Первоначальный[[#This Row],[Дата платежа из графика]]="",Первоначальный[[#This Row],[Досрочное погашение (да/"")]]&lt;&gt;"Да"),0,
AND(S704=0,Первоначальный[[#This Row],[Досрочное погашение (да/"")]]=""),MIN(Первоначальный[[#This Row],[Полученный платеж]]+Y704-SUM(Первоначальный[[#This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комиссиям]]),VLOOKUP(LOOKUP(,-1/($Z$12:Z705=1),$A$12:A705),График[[Срок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платеж]]+Y704-SUM(Первоначальный[[#This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S704&gt;0,MIN(Первоначальный[[#This Row],[Полученный платеж]]+Y704-SUM(Первоначальный[[#This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комиссиям]]),SUM(INDIRECT("M"&amp;(MAX((1=S$12:S704)*ROW(S$12:S704),ROW($W$12))&amp;":M"&amp;(ROW()))))-SUM(INDIRECT("W"&amp;(MAX((1=S$12:S704)*ROW(S$12:S704),ROW($W$12))&amp;":W"&amp;(ROW()-1)))))
)
)</f>
        <v>0</v>
      </c>
      <c r="X705" s="55">
        <f t="shared" ca="1" si="122"/>
        <v>0</v>
      </c>
      <c r="Y705" s="101">
        <f t="shared" ca="1" si="129"/>
        <v>0</v>
      </c>
      <c r="Z705" s="133" t="str">
        <f>IF(TYPE((VLOOKUP(Первоначальный[[#This Row],[Дата платежа]],График[Срок конец],1,0)))=16,"",1)</f>
        <v/>
      </c>
      <c r="AA705" s="57"/>
      <c r="AB705" s="134"/>
      <c r="AC70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0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49863.660000000047</v>
      </c>
      <c r="AE70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1600.4999999999982</v>
      </c>
      <c r="AF70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0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90665.105470491806</v>
      </c>
      <c r="AH705" s="55"/>
      <c r="AI705" s="55"/>
      <c r="AJ705" s="55"/>
      <c r="AK705" s="101">
        <f t="shared" ca="1" si="130"/>
        <v>291762.60547049186</v>
      </c>
      <c r="AL705" s="129">
        <f t="array" ref="AL705">MAX((УслРестрактов[Характеристика]="Дата реструктуризации")*(УслРестрактов[Значение]=Первоначальный!$A705),0)</f>
        <v>0</v>
      </c>
    </row>
    <row r="706" spans="1:38" x14ac:dyDescent="0.25">
      <c r="A706" s="97">
        <f t="shared" si="123"/>
        <v>44837</v>
      </c>
      <c r="B706" s="100">
        <f t="shared" ca="1" si="124"/>
        <v>149633.34</v>
      </c>
      <c r="C706" s="55">
        <f t="shared" ca="1" si="132"/>
        <v>49863.660000000047</v>
      </c>
      <c r="D706" s="55">
        <f t="shared" ca="1" si="132"/>
        <v>1600.4999999999982</v>
      </c>
      <c r="E706" s="55">
        <f t="shared" ca="1" si="125"/>
        <v>0</v>
      </c>
      <c r="F706" s="55">
        <f t="shared" ca="1" si="126"/>
        <v>90665.105470491806</v>
      </c>
      <c r="G706" s="101">
        <f t="shared" ca="1" si="127"/>
        <v>291762.60547049186</v>
      </c>
      <c r="H706" s="100">
        <f ca="1">ROUND($B706*VLOOKUP($A706,$A$1:$B$10,2,1)/(365+IF(MOD(YEAR($A706),4),0,1)*($A706-$A705)),2)-Первоначальный[[#This Row],[Проценты на просроченный платеж по ОД за период]]</f>
        <v>76.23</v>
      </c>
      <c r="I706" s="55">
        <f t="shared" ca="1" si="128"/>
        <v>5.35</v>
      </c>
      <c r="J706" s="55">
        <v>0</v>
      </c>
      <c r="K706" s="55">
        <f t="shared" ca="1" si="131"/>
        <v>289.63350327868847</v>
      </c>
      <c r="L706" s="55">
        <v>0</v>
      </c>
      <c r="M706" s="113">
        <f>SUMIFS(График[Возврат основной суммы долга],График[Дата с учетом нерабочих дней],$A706)</f>
        <v>0</v>
      </c>
      <c r="N706" s="56">
        <f>SUMIFS(График[Возврат начисленных %],График[Дата с учетом нерабочих дней],$A706)</f>
        <v>0</v>
      </c>
      <c r="O706" s="101">
        <v>0</v>
      </c>
      <c r="P706" s="100" cm="1">
        <f t="array" aca="1" ref="P706" ca="1">MAX(IF(AA705="Да",0,SUM(INDIRECT("M"&amp;(MAX(("Да"=AA$12:AA705)*ROW(AA$12:AA705)+1,ROW($P$12))&amp;":M"&amp;(ROW()))))-SUM(INDIRECT("W"&amp;(MAX(("Да"=AA$12:AA705)*ROW(AA$12:AA705)+1,ROW($P$12))&amp;":W"&amp;(ROW()))))),0)</f>
        <v>9818.4299999999985</v>
      </c>
      <c r="Q706" s="99">
        <f ca="1">MAX(SUM($N$13:N706)-SUM($T$13:T706),0)</f>
        <v>48108.270655737695</v>
      </c>
      <c r="R706" s="99">
        <f ca="1">Первоначальный[[#This Row],[Просроченный платеж по ОД]]+Первоначальный[[#This Row],[Просроченный платеж по процентам]]</f>
        <v>57926.700655737695</v>
      </c>
      <c r="S706" s="120">
        <f ca="1">IF(Первоначальный[[#This Row],[Просроченный платеж]]&lt;1,0,S705+1)</f>
        <v>602</v>
      </c>
      <c r="T706" s="100" cm="1">
        <f t="array" aca="1" ref="T706" ca="1">IF(Первоначальный[[#This Row],[Итого остаток на начало периода]]&lt;1,0,
IF(
AND(TYPE(VLOOKUP(1,$Z$12:Z706,1,0))=16,Первоначальный[[#This Row],[Досрочное погашение (да/"")]]=""),0,
_xlfn.IFS(AND(S705=0,Первоначальный[[#This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платеж]]&lt;&gt;0),MIN(LOOKUP(,-1/($Z$12:Z706=1),$C$12:C706)+LOOKUP(,-1/($Z$12:Z706=1),$H$12:H706),Первоначальный[[#This Row],[Полученный платеж]]+Y705),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платеж]]+Y705,SUM(Первоначальный[[#This Row],[Остаток процентов на начало периода]],Первоначальный[[#This Row],[Проценты за период]])),
AND(S705=0,Первоначальный[[#This Row],[Дата платежа из графика]]=""),0,
AND(S705=0,Первоначальный[[#This Row],[Дата платежа из графика]]=1,MAX((0&lt;&gt;S$12:S705)*ROW(S$12:S705),ROW($S$12))&gt;=MAX((1=Z$12:Z705)*ROW(Z$12:Z705),ROW($T$12)),TYPE(VLOOKUP("Да",(INDIRECT("AA"&amp;(MAX((1=Z$12:Z705)*ROW(Z$12:Z705),ROW($T$12))&amp;":AA"&amp;(ROW()-1)))),1,0))=16),MIN(LOOKUP(,-1/($Z$12:Z706=1),$C$12:C706)+LOOKUP(,-1/($Z$12:Z706=1),$H$12:H706),Первоначальный[[#This Row],[Полученный платеж]]+Y705),
AND(S705=0,TYPE(VLOOKUP("Да",(INDIRECT("AA"&amp;(MAX((1=Z$12:Z705)*ROW(Z$12:Z705),ROW($T$12))&amp;":AA"&amp;(ROW()-1)))),1,0))&lt;&gt;16),MIN(LOOKUP(,-1/($Z$12:Z706=1),$C$12:C706)+LOOKUP(,-1/($Z$12:Z706=1),$H$12:H706)-IF(AA705="Да",0,SUM(INDIRECT("T"&amp;(MAX(("Да"=AA$12:AA705)*ROW(AA$12:AA705)+1,ROW($T$12))&amp;":T"&amp;(ROW()-1))))),Первоначальный[[#This Row],[Полученный платеж]]+Y705),
AND(S705=0,MAX((0&lt;&gt;N$12:N705)*ROW(N$12:N705),ROW($S$12))&gt;=MAX((1=Z$12:Z705)*ROW(Z$12:Z705),ROW($T$12))),MIN(LOOKUP(,-1/($Z$12:Z706=1),$C$12:C706)+LOOKUP(,-1/($Z$12:Z706=1),$H$12:H706)-IF(N705&lt;&gt;0,0,SUM(INDIRECT("T"&amp;(MAX((0&lt;&gt;N$12:N705)*ROW(N$12:N705)+1,ROW($T$12))&amp;":T"&amp;(ROW()-1))))),Первоначальный[[#This Row],[Полученный платеж]]+Y705),
AND(S705=0,Первоначальный[[#This Row],[Дата платежа из графика]]=1),MIN(LOOKUP(,-1/($Z$12:Z706=1),$C$12:C706)+LOOKUP(,-1/($Z$12:Z706=1),$H$12:H706)-IF(Z705=1,0,SUM(INDIRECT("T"&amp;(MAX((1=Z$12:Z705)*ROW(Z$12:Z705)+1,ROW($T$12))&amp;":T"&amp;(ROW()-1))))),Первоначальный[[#This Row],[Полученный платеж]]+Y705),
AND(Z705&gt;0,Первоначальный[[#This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платеж]]+Y705),
AND(S705&gt;0,MAX((0&lt;&gt;S$12:S705)*ROW(S$12:S705),ROW($S$12))&gt;=MAX((1=Z$12:Z705)*ROW(Z$12:Z705),ROW($T$12)),TYPE(VLOOKUP("Да",(INDIRECT("AA"&amp;(MAX((1=Z$12:Z705)*ROW(Z$12:Z705),ROW($T$12))&amp;":AA"&amp;(ROW()-1)))),1,0))=16),MIN(LOOKUP(,-1/($Z$12:Z706=1),$C$12:C706)+LOOKUP(,-1/($Z$12:Z706=1),$H$12:H706)-SUM(INDIRECT("T"&amp;(MAX((1=Z$12:Z705)*ROW(Z$12:Z705),ROW($T$12))&amp;":T"&amp;(ROW()-1)))),Первоначальный[[#This Row],[Полученный платеж]]+Y705),
S705&gt;0,MIN(LOOKUP(,-1/($Z$12:Z706=1),$C$12:C706)+LOOKUP(,-1/($Z$12:Z706=1),$H$12:H706)-IF(Z705=1,0,SUM(INDIRECT("T"&amp;(MAX((1=Z$12:Z705)*ROW(Z$12:Z705)+1,ROW($T$12))&amp;":T"&amp;(ROW()-1))))),Первоначальный[[#This Row],[Полученный платеж]]+Y705)
)
)
)</f>
        <v>0</v>
      </c>
      <c r="U70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платеж]]+Y705-Первоначальный[[#This Row],[Полученный платёж по процентам]])</f>
        <v>0</v>
      </c>
      <c r="V706" s="55">
        <f t="shared" ca="1" si="121"/>
        <v>0</v>
      </c>
      <c r="W706" s="55" cm="1">
        <f t="array" aca="1" ref="W706" ca="1">IF(Первоначальный[[#This Row],[Итого остаток на начало периода]]&lt;1,0,
_xlfn.IFS(
AND(TYPE(VLOOKUP(1,$Z$12:Z706,1,0))=16,Первоначальный[[#This Row],[Досрочное погашение (да/"")]]=""),0,
AND(S705=0,Первоначальный[[#This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платеж]]+Y705-SUM(Первоначальный[[#This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комиссиям]]),VLOOKUP(LOOKUP(,-1/($Z$12:Z706=1),$A$12:A706),График[[Срок конец]:[Возврат основной суммы долга]],3,0)),
AND(S705=0,Первоначальный[[#This Row],[Дата платежа из графика]]="",Первоначальный[[#This Row],[Досрочное погашение (да/"")]]&lt;&gt;"Да"),0,
AND(S705=0,Первоначальный[[#This Row],[Досрочное погашение (да/"")]]=""),MIN(Первоначальный[[#This Row],[Полученный платеж]]+Y705-SUM(Первоначальный[[#This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комиссиям]]),VLOOKUP(LOOKUP(,-1/($Z$12:Z706=1),$A$12:A706),График[[Срок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платеж]]+Y705-SUM(Первоначальный[[#This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S705&gt;0,MIN(Первоначальный[[#This Row],[Полученный платеж]]+Y705-SUM(Первоначальный[[#This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комиссиям]]),SUM(INDIRECT("M"&amp;(MAX((1=S$12:S705)*ROW(S$12:S705),ROW($W$12))&amp;":M"&amp;(ROW()))))-SUM(INDIRECT("W"&amp;(MAX((1=S$12:S705)*ROW(S$12:S705),ROW($W$12))&amp;":W"&amp;(ROW()-1)))))
)
)</f>
        <v>0</v>
      </c>
      <c r="X706" s="55">
        <f t="shared" ca="1" si="122"/>
        <v>0</v>
      </c>
      <c r="Y706" s="101">
        <f t="shared" ca="1" si="129"/>
        <v>0</v>
      </c>
      <c r="Z706" s="133" t="str">
        <f>IF(TYPE((VLOOKUP(Первоначальный[[#This Row],[Дата платежа]],График[Срок конец],1,0)))=16,"",1)</f>
        <v/>
      </c>
      <c r="AA706" s="57"/>
      <c r="AB706" s="134"/>
      <c r="AC70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0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49939.89000000005</v>
      </c>
      <c r="AE70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1605.8499999999981</v>
      </c>
      <c r="AF70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0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90954.738973770494</v>
      </c>
      <c r="AH706" s="55"/>
      <c r="AI706" s="55"/>
      <c r="AJ706" s="55"/>
      <c r="AK706" s="101">
        <f t="shared" ca="1" si="130"/>
        <v>292133.81897377054</v>
      </c>
      <c r="AL706" s="129">
        <f t="array" ref="AL706">MAX((УслРестрактов[Характеристика]="Дата реструктуризации")*(УслРестрактов[Значение]=Первоначальный!$A706),0)</f>
        <v>0</v>
      </c>
    </row>
    <row r="707" spans="1:38" x14ac:dyDescent="0.25">
      <c r="A707" s="97">
        <f t="shared" si="123"/>
        <v>44838</v>
      </c>
      <c r="B707" s="100">
        <f t="shared" ca="1" si="124"/>
        <v>149633.34</v>
      </c>
      <c r="C707" s="55">
        <f t="shared" ca="1" si="132"/>
        <v>49939.89000000005</v>
      </c>
      <c r="D707" s="55">
        <f t="shared" ca="1" si="132"/>
        <v>1605.8499999999981</v>
      </c>
      <c r="E707" s="55">
        <f t="shared" ca="1" si="125"/>
        <v>0</v>
      </c>
      <c r="F707" s="55">
        <f t="shared" ca="1" si="126"/>
        <v>90954.738973770494</v>
      </c>
      <c r="G707" s="101">
        <f t="shared" ca="1" si="127"/>
        <v>292133.81897377054</v>
      </c>
      <c r="H707" s="100">
        <f ca="1">ROUND($B707*VLOOKUP($A707,$A$1:$B$10,2,1)/(365+IF(MOD(YEAR($A707),4),0,1)*($A707-$A706)),2)-Первоначальный[[#This Row],[Проценты на просроченный платеж по ОД за период]]</f>
        <v>76.23</v>
      </c>
      <c r="I707" s="55">
        <f t="shared" ca="1" si="128"/>
        <v>5.35</v>
      </c>
      <c r="J707" s="55">
        <v>0</v>
      </c>
      <c r="K707" s="55">
        <f t="shared" ca="1" si="131"/>
        <v>289.63350327868847</v>
      </c>
      <c r="L707" s="55">
        <v>0</v>
      </c>
      <c r="M707" s="113">
        <f>SUMIFS(График[Возврат основной суммы долга],График[Дата с учетом нерабочих дней],$A707)</f>
        <v>0</v>
      </c>
      <c r="N707" s="56">
        <f>SUMIFS(График[Возврат начисленных %],График[Дата с учетом нерабочих дней],$A707)</f>
        <v>0</v>
      </c>
      <c r="O707" s="101">
        <v>0</v>
      </c>
      <c r="P707" s="100" cm="1">
        <f t="array" aca="1" ref="P707" ca="1">MAX(IF(AA706="Да",0,SUM(INDIRECT("M"&amp;(MAX(("Да"=AA$12:AA706)*ROW(AA$12:AA706)+1,ROW($P$12))&amp;":M"&amp;(ROW()))))-SUM(INDIRECT("W"&amp;(MAX(("Да"=AA$12:AA706)*ROW(AA$12:AA706)+1,ROW($P$12))&amp;":W"&amp;(ROW()))))),0)</f>
        <v>9818.4299999999985</v>
      </c>
      <c r="Q707" s="99">
        <f ca="1">MAX(SUM($N$13:N707)-SUM($T$13:T707),0)</f>
        <v>48108.270655737695</v>
      </c>
      <c r="R707" s="99">
        <f ca="1">Первоначальный[[#This Row],[Просроченный платеж по ОД]]+Первоначальный[[#This Row],[Просроченный платеж по процентам]]</f>
        <v>57926.700655737695</v>
      </c>
      <c r="S707" s="120">
        <f ca="1">IF(Первоначальный[[#This Row],[Просроченный платеж]]&lt;1,0,S706+1)</f>
        <v>603</v>
      </c>
      <c r="T707" s="100" cm="1">
        <f t="array" aca="1" ref="T707" ca="1">IF(Первоначальный[[#This Row],[Итого остаток на начало периода]]&lt;1,0,
IF(
AND(TYPE(VLOOKUP(1,$Z$12:Z707,1,0))=16,Первоначальный[[#This Row],[Досрочное погашение (да/"")]]=""),0,
_xlfn.IFS(AND(S706=0,Первоначальный[[#This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платеж]]&lt;&gt;0),MIN(LOOKUP(,-1/($Z$12:Z707=1),$C$12:C707)+LOOKUP(,-1/($Z$12:Z707=1),$H$12:H707),Первоначальный[[#This Row],[Полученный платеж]]+Y706),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платеж]]+Y706,SUM(Первоначальный[[#This Row],[Остаток процентов на начало периода]],Первоначальный[[#This Row],[Проценты за период]])),
AND(S706=0,Первоначальный[[#This Row],[Дата платежа из графика]]=""),0,
AND(S706=0,Первоначальный[[#This Row],[Дата платежа из графика]]=1,MAX((0&lt;&gt;S$12:S706)*ROW(S$12:S706),ROW($S$12))&gt;=MAX((1=Z$12:Z706)*ROW(Z$12:Z706),ROW($T$12)),TYPE(VLOOKUP("Да",(INDIRECT("AA"&amp;(MAX((1=Z$12:Z706)*ROW(Z$12:Z706),ROW($T$12))&amp;":AA"&amp;(ROW()-1)))),1,0))=16),MIN(LOOKUP(,-1/($Z$12:Z707=1),$C$12:C707)+LOOKUP(,-1/($Z$12:Z707=1),$H$12:H707),Первоначальный[[#This Row],[Полученный платеж]]+Y706),
AND(S706=0,TYPE(VLOOKUP("Да",(INDIRECT("AA"&amp;(MAX((1=Z$12:Z706)*ROW(Z$12:Z706),ROW($T$12))&amp;":AA"&amp;(ROW()-1)))),1,0))&lt;&gt;16),MIN(LOOKUP(,-1/($Z$12:Z707=1),$C$12:C707)+LOOKUP(,-1/($Z$12:Z707=1),$H$12:H707)-IF(AA706="Да",0,SUM(INDIRECT("T"&amp;(MAX(("Да"=AA$12:AA706)*ROW(AA$12:AA706)+1,ROW($T$12))&amp;":T"&amp;(ROW()-1))))),Первоначальный[[#This Row],[Полученный платеж]]+Y706),
AND(S706=0,MAX((0&lt;&gt;N$12:N706)*ROW(N$12:N706),ROW($S$12))&gt;=MAX((1=Z$12:Z706)*ROW(Z$12:Z706),ROW($T$12))),MIN(LOOKUP(,-1/($Z$12:Z707=1),$C$12:C707)+LOOKUP(,-1/($Z$12:Z707=1),$H$12:H707)-IF(N706&lt;&gt;0,0,SUM(INDIRECT("T"&amp;(MAX((0&lt;&gt;N$12:N706)*ROW(N$12:N706)+1,ROW($T$12))&amp;":T"&amp;(ROW()-1))))),Первоначальный[[#This Row],[Полученный платеж]]+Y706),
AND(S706=0,Первоначальный[[#This Row],[Дата платежа из графика]]=1),MIN(LOOKUP(,-1/($Z$12:Z707=1),$C$12:C707)+LOOKUP(,-1/($Z$12:Z707=1),$H$12:H707)-IF(Z706=1,0,SUM(INDIRECT("T"&amp;(MAX((1=Z$12:Z706)*ROW(Z$12:Z706)+1,ROW($T$12))&amp;":T"&amp;(ROW()-1))))),Первоначальный[[#This Row],[Полученный платеж]]+Y706),
AND(Z706&gt;0,Первоначальный[[#This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платеж]]+Y706),
AND(S706&gt;0,MAX((0&lt;&gt;S$12:S706)*ROW(S$12:S706),ROW($S$12))&gt;=MAX((1=Z$12:Z706)*ROW(Z$12:Z706),ROW($T$12)),TYPE(VLOOKUP("Да",(INDIRECT("AA"&amp;(MAX((1=Z$12:Z706)*ROW(Z$12:Z706),ROW($T$12))&amp;":AA"&amp;(ROW()-1)))),1,0))=16),MIN(LOOKUP(,-1/($Z$12:Z707=1),$C$12:C707)+LOOKUP(,-1/($Z$12:Z707=1),$H$12:H707)-SUM(INDIRECT("T"&amp;(MAX((1=Z$12:Z706)*ROW(Z$12:Z706),ROW($T$12))&amp;":T"&amp;(ROW()-1)))),Первоначальный[[#This Row],[Полученный платеж]]+Y706),
S706&gt;0,MIN(LOOKUP(,-1/($Z$12:Z707=1),$C$12:C707)+LOOKUP(,-1/($Z$12:Z707=1),$H$12:H707)-IF(Z706=1,0,SUM(INDIRECT("T"&amp;(MAX((1=Z$12:Z706)*ROW(Z$12:Z706)+1,ROW($T$12))&amp;":T"&amp;(ROW()-1))))),Первоначальный[[#This Row],[Полученный платеж]]+Y706)
)
)
)</f>
        <v>0</v>
      </c>
      <c r="U70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платеж]]+Y706-Первоначальный[[#This Row],[Полученный платёж по процентам]])</f>
        <v>0</v>
      </c>
      <c r="V707" s="55">
        <f t="shared" ca="1" si="121"/>
        <v>0</v>
      </c>
      <c r="W707" s="55" cm="1">
        <f t="array" aca="1" ref="W707" ca="1">IF(Первоначальный[[#This Row],[Итого остаток на начало периода]]&lt;1,0,
_xlfn.IFS(
AND(TYPE(VLOOKUP(1,$Z$12:Z707,1,0))=16,Первоначальный[[#This Row],[Досрочное погашение (да/"")]]=""),0,
AND(S706=0,Первоначальный[[#This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платеж]]+Y706-SUM(Первоначальный[[#This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комиссиям]]),VLOOKUP(LOOKUP(,-1/($Z$12:Z707=1),$A$12:A707),График[[Срок конец]:[Возврат основной суммы долга]],3,0)),
AND(S706=0,Первоначальный[[#This Row],[Дата платежа из графика]]="",Первоначальный[[#This Row],[Досрочное погашение (да/"")]]&lt;&gt;"Да"),0,
AND(S706=0,Первоначальный[[#This Row],[Досрочное погашение (да/"")]]=""),MIN(Первоначальный[[#This Row],[Полученный платеж]]+Y706-SUM(Первоначальный[[#This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комиссиям]]),VLOOKUP(LOOKUP(,-1/($Z$12:Z707=1),$A$12:A707),График[[Срок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платеж]]+Y706-SUM(Первоначальный[[#This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S706&gt;0,MIN(Первоначальный[[#This Row],[Полученный платеж]]+Y706-SUM(Первоначальный[[#This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комиссиям]]),SUM(INDIRECT("M"&amp;(MAX((1=S$12:S706)*ROW(S$12:S706),ROW($W$12))&amp;":M"&amp;(ROW()))))-SUM(INDIRECT("W"&amp;(MAX((1=S$12:S706)*ROW(S$12:S706),ROW($W$12))&amp;":W"&amp;(ROW()-1)))))
)
)</f>
        <v>0</v>
      </c>
      <c r="X707" s="55">
        <f t="shared" ca="1" si="122"/>
        <v>0</v>
      </c>
      <c r="Y707" s="101">
        <f t="shared" ca="1" si="129"/>
        <v>0</v>
      </c>
      <c r="Z707" s="133" t="str">
        <f>IF(TYPE((VLOOKUP(Первоначальный[[#This Row],[Дата платежа]],График[Срок конец],1,0)))=16,"",1)</f>
        <v/>
      </c>
      <c r="AA707" s="57"/>
      <c r="AB707" s="134"/>
      <c r="AC70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0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50016.120000000054</v>
      </c>
      <c r="AE70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1611.199999999998</v>
      </c>
      <c r="AF70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0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91244.372477049183</v>
      </c>
      <c r="AH707" s="55"/>
      <c r="AI707" s="55"/>
      <c r="AJ707" s="55"/>
      <c r="AK707" s="101">
        <f t="shared" ca="1" si="130"/>
        <v>292505.03247704927</v>
      </c>
      <c r="AL707" s="129">
        <f t="array" ref="AL707">MAX((УслРестрактов[Характеристика]="Дата реструктуризации")*(УслРестрактов[Значение]=Первоначальный!$A707),0)</f>
        <v>0</v>
      </c>
    </row>
    <row r="708" spans="1:38" x14ac:dyDescent="0.25">
      <c r="A708" s="97">
        <f t="shared" si="123"/>
        <v>44839</v>
      </c>
      <c r="B708" s="100">
        <f t="shared" ca="1" si="124"/>
        <v>149633.34</v>
      </c>
      <c r="C708" s="55">
        <f t="shared" ca="1" si="132"/>
        <v>50016.120000000054</v>
      </c>
      <c r="D708" s="55">
        <f t="shared" ca="1" si="132"/>
        <v>1611.199999999998</v>
      </c>
      <c r="E708" s="55">
        <f t="shared" ca="1" si="125"/>
        <v>0</v>
      </c>
      <c r="F708" s="55">
        <f t="shared" ca="1" si="126"/>
        <v>91244.372477049183</v>
      </c>
      <c r="G708" s="101">
        <f t="shared" ca="1" si="127"/>
        <v>292505.03247704927</v>
      </c>
      <c r="H708" s="100">
        <f ca="1">ROUND($B708*VLOOKUP($A708,$A$1:$B$10,2,1)/(365+IF(MOD(YEAR($A708),4),0,1)*($A708-$A707)),2)-Первоначальный[[#This Row],[Проценты на просроченный платеж по ОД за период]]</f>
        <v>76.23</v>
      </c>
      <c r="I708" s="55">
        <f t="shared" ca="1" si="128"/>
        <v>5.35</v>
      </c>
      <c r="J708" s="55">
        <v>0</v>
      </c>
      <c r="K708" s="55">
        <f t="shared" ca="1" si="131"/>
        <v>289.63350327868847</v>
      </c>
      <c r="L708" s="55">
        <v>0</v>
      </c>
      <c r="M708" s="113">
        <f>SUMIFS(График[Возврат основной суммы долга],График[Дата с учетом нерабочих дней],$A708)</f>
        <v>0</v>
      </c>
      <c r="N708" s="56">
        <f>SUMIFS(График[Возврат начисленных %],График[Дата с учетом нерабочих дней],$A708)</f>
        <v>0</v>
      </c>
      <c r="O708" s="101">
        <v>0</v>
      </c>
      <c r="P708" s="100" cm="1">
        <f t="array" aca="1" ref="P708" ca="1">MAX(IF(AA707="Да",0,SUM(INDIRECT("M"&amp;(MAX(("Да"=AA$12:AA707)*ROW(AA$12:AA707)+1,ROW($P$12))&amp;":M"&amp;(ROW()))))-SUM(INDIRECT("W"&amp;(MAX(("Да"=AA$12:AA707)*ROW(AA$12:AA707)+1,ROW($P$12))&amp;":W"&amp;(ROW()))))),0)</f>
        <v>9818.4299999999985</v>
      </c>
      <c r="Q708" s="99">
        <f ca="1">MAX(SUM($N$13:N708)-SUM($T$13:T708),0)</f>
        <v>48108.270655737695</v>
      </c>
      <c r="R708" s="99">
        <f ca="1">Первоначальный[[#This Row],[Просроченный платеж по ОД]]+Первоначальный[[#This Row],[Просроченный платеж по процентам]]</f>
        <v>57926.700655737695</v>
      </c>
      <c r="S708" s="120">
        <f ca="1">IF(Первоначальный[[#This Row],[Просроченный платеж]]&lt;1,0,S707+1)</f>
        <v>604</v>
      </c>
      <c r="T708" s="100" cm="1">
        <f t="array" aca="1" ref="T708" ca="1">IF(Первоначальный[[#This Row],[Итого остаток на начало периода]]&lt;1,0,
IF(
AND(TYPE(VLOOKUP(1,$Z$12:Z708,1,0))=16,Первоначальный[[#This Row],[Досрочное погашение (да/"")]]=""),0,
_xlfn.IFS(AND(S707=0,Первоначальный[[#This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платеж]]&lt;&gt;0),MIN(LOOKUP(,-1/($Z$12:Z708=1),$C$12:C708)+LOOKUP(,-1/($Z$12:Z708=1),$H$12:H708),Первоначальный[[#This Row],[Полученный платеж]]+Y707),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платеж]]+Y707,SUM(Первоначальный[[#This Row],[Остаток процентов на начало периода]],Первоначальный[[#This Row],[Проценты за период]])),
AND(S707=0,Первоначальный[[#This Row],[Дата платежа из графика]]=""),0,
AND(S707=0,Первоначальный[[#This Row],[Дата платежа из графика]]=1,MAX((0&lt;&gt;S$12:S707)*ROW(S$12:S707),ROW($S$12))&gt;=MAX((1=Z$12:Z707)*ROW(Z$12:Z707),ROW($T$12)),TYPE(VLOOKUP("Да",(INDIRECT("AA"&amp;(MAX((1=Z$12:Z707)*ROW(Z$12:Z707),ROW($T$12))&amp;":AA"&amp;(ROW()-1)))),1,0))=16),MIN(LOOKUP(,-1/($Z$12:Z708=1),$C$12:C708)+LOOKUP(,-1/($Z$12:Z708=1),$H$12:H708),Первоначальный[[#This Row],[Полученный платеж]]+Y707),
AND(S707=0,TYPE(VLOOKUP("Да",(INDIRECT("AA"&amp;(MAX((1=Z$12:Z707)*ROW(Z$12:Z707),ROW($T$12))&amp;":AA"&amp;(ROW()-1)))),1,0))&lt;&gt;16),MIN(LOOKUP(,-1/($Z$12:Z708=1),$C$12:C708)+LOOKUP(,-1/($Z$12:Z708=1),$H$12:H708)-IF(AA707="Да",0,SUM(INDIRECT("T"&amp;(MAX(("Да"=AA$12:AA707)*ROW(AA$12:AA707)+1,ROW($T$12))&amp;":T"&amp;(ROW()-1))))),Первоначальный[[#This Row],[Полученный платеж]]+Y707),
AND(S707=0,MAX((0&lt;&gt;N$12:N707)*ROW(N$12:N707),ROW($S$12))&gt;=MAX((1=Z$12:Z707)*ROW(Z$12:Z707),ROW($T$12))),MIN(LOOKUP(,-1/($Z$12:Z708=1),$C$12:C708)+LOOKUP(,-1/($Z$12:Z708=1),$H$12:H708)-IF(N707&lt;&gt;0,0,SUM(INDIRECT("T"&amp;(MAX((0&lt;&gt;N$12:N707)*ROW(N$12:N707)+1,ROW($T$12))&amp;":T"&amp;(ROW()-1))))),Первоначальный[[#This Row],[Полученный платеж]]+Y707),
AND(S707=0,Первоначальный[[#This Row],[Дата платежа из графика]]=1),MIN(LOOKUP(,-1/($Z$12:Z708=1),$C$12:C708)+LOOKUP(,-1/($Z$12:Z708=1),$H$12:H708)-IF(Z707=1,0,SUM(INDIRECT("T"&amp;(MAX((1=Z$12:Z707)*ROW(Z$12:Z707)+1,ROW($T$12))&amp;":T"&amp;(ROW()-1))))),Первоначальный[[#This Row],[Полученный платеж]]+Y707),
AND(Z707&gt;0,Первоначальный[[#This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платеж]]+Y707),
AND(S707&gt;0,MAX((0&lt;&gt;S$12:S707)*ROW(S$12:S707),ROW($S$12))&gt;=MAX((1=Z$12:Z707)*ROW(Z$12:Z707),ROW($T$12)),TYPE(VLOOKUP("Да",(INDIRECT("AA"&amp;(MAX((1=Z$12:Z707)*ROW(Z$12:Z707),ROW($T$12))&amp;":AA"&amp;(ROW()-1)))),1,0))=16),MIN(LOOKUP(,-1/($Z$12:Z708=1),$C$12:C708)+LOOKUP(,-1/($Z$12:Z708=1),$H$12:H708)-SUM(INDIRECT("T"&amp;(MAX((1=Z$12:Z707)*ROW(Z$12:Z707),ROW($T$12))&amp;":T"&amp;(ROW()-1)))),Первоначальный[[#This Row],[Полученный платеж]]+Y707),
S707&gt;0,MIN(LOOKUP(,-1/($Z$12:Z708=1),$C$12:C708)+LOOKUP(,-1/($Z$12:Z708=1),$H$12:H708)-IF(Z707=1,0,SUM(INDIRECT("T"&amp;(MAX((1=Z$12:Z707)*ROW(Z$12:Z707)+1,ROW($T$12))&amp;":T"&amp;(ROW()-1))))),Первоначальный[[#This Row],[Полученный платеж]]+Y707)
)
)
)</f>
        <v>0</v>
      </c>
      <c r="U70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платеж]]+Y707-Первоначальный[[#This Row],[Полученный платёж по процентам]])</f>
        <v>0</v>
      </c>
      <c r="V708" s="55">
        <f t="shared" ca="1" si="121"/>
        <v>0</v>
      </c>
      <c r="W708" s="55" cm="1">
        <f t="array" aca="1" ref="W708" ca="1">IF(Первоначальный[[#This Row],[Итого остаток на начало периода]]&lt;1,0,
_xlfn.IFS(
AND(TYPE(VLOOKUP(1,$Z$12:Z708,1,0))=16,Первоначальный[[#This Row],[Досрочное погашение (да/"")]]=""),0,
AND(S707=0,Первоначальный[[#This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платеж]]+Y707-SUM(Первоначальный[[#This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комиссиям]]),VLOOKUP(LOOKUP(,-1/($Z$12:Z708=1),$A$12:A708),График[[Срок конец]:[Возврат основной суммы долга]],3,0)),
AND(S707=0,Первоначальный[[#This Row],[Дата платежа из графика]]="",Первоначальный[[#This Row],[Досрочное погашение (да/"")]]&lt;&gt;"Да"),0,
AND(S707=0,Первоначальный[[#This Row],[Досрочное погашение (да/"")]]=""),MIN(Первоначальный[[#This Row],[Полученный платеж]]+Y707-SUM(Первоначальный[[#This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комиссиям]]),VLOOKUP(LOOKUP(,-1/($Z$12:Z708=1),$A$12:A708),График[[Срок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платеж]]+Y707-SUM(Первоначальный[[#This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S707&gt;0,MIN(Первоначальный[[#This Row],[Полученный платеж]]+Y707-SUM(Первоначальный[[#This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комиссиям]]),SUM(INDIRECT("M"&amp;(MAX((1=S$12:S707)*ROW(S$12:S707),ROW($W$12))&amp;":M"&amp;(ROW()))))-SUM(INDIRECT("W"&amp;(MAX((1=S$12:S707)*ROW(S$12:S707),ROW($W$12))&amp;":W"&amp;(ROW()-1)))))
)
)</f>
        <v>0</v>
      </c>
      <c r="X708" s="55">
        <f t="shared" ca="1" si="122"/>
        <v>0</v>
      </c>
      <c r="Y708" s="101">
        <f t="shared" ca="1" si="129"/>
        <v>0</v>
      </c>
      <c r="Z708" s="133" t="str">
        <f>IF(TYPE((VLOOKUP(Первоначальный[[#This Row],[Дата платежа]],График[Срок конец],1,0)))=16,"",1)</f>
        <v/>
      </c>
      <c r="AA708" s="57"/>
      <c r="AB708" s="134"/>
      <c r="AC70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0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50092.350000000057</v>
      </c>
      <c r="AE70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1616.5499999999979</v>
      </c>
      <c r="AF70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0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91534.005980327871</v>
      </c>
      <c r="AH708" s="55"/>
      <c r="AI708" s="55"/>
      <c r="AJ708" s="55"/>
      <c r="AK708" s="101">
        <f t="shared" ca="1" si="130"/>
        <v>292876.24598032795</v>
      </c>
      <c r="AL708" s="129">
        <f t="array" ref="AL708">MAX((УслРестрактов[Характеристика]="Дата реструктуризации")*(УслРестрактов[Значение]=Первоначальный!$A708),0)</f>
        <v>0</v>
      </c>
    </row>
    <row r="709" spans="1:38" x14ac:dyDescent="0.25">
      <c r="A709" s="97">
        <f t="shared" si="123"/>
        <v>44840</v>
      </c>
      <c r="B709" s="100">
        <f t="shared" ca="1" si="124"/>
        <v>149633.34</v>
      </c>
      <c r="C709" s="55">
        <f t="shared" ca="1" si="132"/>
        <v>50092.350000000057</v>
      </c>
      <c r="D709" s="55">
        <f t="shared" ca="1" si="132"/>
        <v>1616.5499999999979</v>
      </c>
      <c r="E709" s="55">
        <f t="shared" ca="1" si="125"/>
        <v>0</v>
      </c>
      <c r="F709" s="55">
        <f t="shared" ca="1" si="126"/>
        <v>91534.005980327871</v>
      </c>
      <c r="G709" s="101">
        <f t="shared" ca="1" si="127"/>
        <v>292876.24598032795</v>
      </c>
      <c r="H709" s="100">
        <f ca="1">ROUND($B709*VLOOKUP($A709,$A$1:$B$10,2,1)/(365+IF(MOD(YEAR($A709),4),0,1)*($A709-$A708)),2)-Первоначальный[[#This Row],[Проценты на просроченный платеж по ОД за период]]</f>
        <v>76.23</v>
      </c>
      <c r="I709" s="55">
        <f t="shared" ca="1" si="128"/>
        <v>5.35</v>
      </c>
      <c r="J709" s="55">
        <v>0</v>
      </c>
      <c r="K709" s="55">
        <f t="shared" ca="1" si="131"/>
        <v>289.63350327868847</v>
      </c>
      <c r="L709" s="55">
        <v>0</v>
      </c>
      <c r="M709" s="113">
        <f>SUMIFS(График[Возврат основной суммы долга],График[Дата с учетом нерабочих дней],$A709)</f>
        <v>0</v>
      </c>
      <c r="N709" s="56">
        <f>SUMIFS(График[Возврат начисленных %],График[Дата с учетом нерабочих дней],$A709)</f>
        <v>0</v>
      </c>
      <c r="O709" s="101">
        <v>0</v>
      </c>
      <c r="P709" s="100" cm="1">
        <f t="array" aca="1" ref="P709" ca="1">MAX(IF(AA708="Да",0,SUM(INDIRECT("M"&amp;(MAX(("Да"=AA$12:AA708)*ROW(AA$12:AA708)+1,ROW($P$12))&amp;":M"&amp;(ROW()))))-SUM(INDIRECT("W"&amp;(MAX(("Да"=AA$12:AA708)*ROW(AA$12:AA708)+1,ROW($P$12))&amp;":W"&amp;(ROW()))))),0)</f>
        <v>9818.4299999999985</v>
      </c>
      <c r="Q709" s="99">
        <f ca="1">MAX(SUM($N$13:N709)-SUM($T$13:T709),0)</f>
        <v>48108.270655737695</v>
      </c>
      <c r="R709" s="99">
        <f ca="1">Первоначальный[[#This Row],[Просроченный платеж по ОД]]+Первоначальный[[#This Row],[Просроченный платеж по процентам]]</f>
        <v>57926.700655737695</v>
      </c>
      <c r="S709" s="120">
        <f ca="1">IF(Первоначальный[[#This Row],[Просроченный платеж]]&lt;1,0,S708+1)</f>
        <v>605</v>
      </c>
      <c r="T709" s="100" cm="1">
        <f t="array" aca="1" ref="T709" ca="1">IF(Первоначальный[[#This Row],[Итого остаток на начало периода]]&lt;1,0,
IF(
AND(TYPE(VLOOKUP(1,$Z$12:Z709,1,0))=16,Первоначальный[[#This Row],[Досрочное погашение (да/"")]]=""),0,
_xlfn.IFS(AND(S708=0,Первоначальный[[#This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платеж]]&lt;&gt;0),MIN(LOOKUP(,-1/($Z$12:Z709=1),$C$12:C709)+LOOKUP(,-1/($Z$12:Z709=1),$H$12:H709),Первоначальный[[#This Row],[Полученный платеж]]+Y708),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платеж]]+Y708,SUM(Первоначальный[[#This Row],[Остаток процентов на начало периода]],Первоначальный[[#This Row],[Проценты за период]])),
AND(S708=0,Первоначальный[[#This Row],[Дата платежа из графика]]=""),0,
AND(S708=0,Первоначальный[[#This Row],[Дата платежа из графика]]=1,MAX((0&lt;&gt;S$12:S708)*ROW(S$12:S708),ROW($S$12))&gt;=MAX((1=Z$12:Z708)*ROW(Z$12:Z708),ROW($T$12)),TYPE(VLOOKUP("Да",(INDIRECT("AA"&amp;(MAX((1=Z$12:Z708)*ROW(Z$12:Z708),ROW($T$12))&amp;":AA"&amp;(ROW()-1)))),1,0))=16),MIN(LOOKUP(,-1/($Z$12:Z709=1),$C$12:C709)+LOOKUP(,-1/($Z$12:Z709=1),$H$12:H709),Первоначальный[[#This Row],[Полученный платеж]]+Y708),
AND(S708=0,TYPE(VLOOKUP("Да",(INDIRECT("AA"&amp;(MAX((1=Z$12:Z708)*ROW(Z$12:Z708),ROW($T$12))&amp;":AA"&amp;(ROW()-1)))),1,0))&lt;&gt;16),MIN(LOOKUP(,-1/($Z$12:Z709=1),$C$12:C709)+LOOKUP(,-1/($Z$12:Z709=1),$H$12:H709)-IF(AA708="Да",0,SUM(INDIRECT("T"&amp;(MAX(("Да"=AA$12:AA708)*ROW(AA$12:AA708)+1,ROW($T$12))&amp;":T"&amp;(ROW()-1))))),Первоначальный[[#This Row],[Полученный платеж]]+Y708),
AND(S708=0,MAX((0&lt;&gt;N$12:N708)*ROW(N$12:N708),ROW($S$12))&gt;=MAX((1=Z$12:Z708)*ROW(Z$12:Z708),ROW($T$12))),MIN(LOOKUP(,-1/($Z$12:Z709=1),$C$12:C709)+LOOKUP(,-1/($Z$12:Z709=1),$H$12:H709)-IF(N708&lt;&gt;0,0,SUM(INDIRECT("T"&amp;(MAX((0&lt;&gt;N$12:N708)*ROW(N$12:N708)+1,ROW($T$12))&amp;":T"&amp;(ROW()-1))))),Первоначальный[[#This Row],[Полученный платеж]]+Y708),
AND(S708=0,Первоначальный[[#This Row],[Дата платежа из графика]]=1),MIN(LOOKUP(,-1/($Z$12:Z709=1),$C$12:C709)+LOOKUP(,-1/($Z$12:Z709=1),$H$12:H709)-IF(Z708=1,0,SUM(INDIRECT("T"&amp;(MAX((1=Z$12:Z708)*ROW(Z$12:Z708)+1,ROW($T$12))&amp;":T"&amp;(ROW()-1))))),Первоначальный[[#This Row],[Полученный платеж]]+Y708),
AND(Z708&gt;0,Первоначальный[[#This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платеж]]+Y708),
AND(S708&gt;0,MAX((0&lt;&gt;S$12:S708)*ROW(S$12:S708),ROW($S$12))&gt;=MAX((1=Z$12:Z708)*ROW(Z$12:Z708),ROW($T$12)),TYPE(VLOOKUP("Да",(INDIRECT("AA"&amp;(MAX((1=Z$12:Z708)*ROW(Z$12:Z708),ROW($T$12))&amp;":AA"&amp;(ROW()-1)))),1,0))=16),MIN(LOOKUP(,-1/($Z$12:Z709=1),$C$12:C709)+LOOKUP(,-1/($Z$12:Z709=1),$H$12:H709)-SUM(INDIRECT("T"&amp;(MAX((1=Z$12:Z708)*ROW(Z$12:Z708),ROW($T$12))&amp;":T"&amp;(ROW()-1)))),Первоначальный[[#This Row],[Полученный платеж]]+Y708),
S708&gt;0,MIN(LOOKUP(,-1/($Z$12:Z709=1),$C$12:C709)+LOOKUP(,-1/($Z$12:Z709=1),$H$12:H709)-IF(Z708=1,0,SUM(INDIRECT("T"&amp;(MAX((1=Z$12:Z708)*ROW(Z$12:Z708)+1,ROW($T$12))&amp;":T"&amp;(ROW()-1))))),Первоначальный[[#This Row],[Полученный платеж]]+Y708)
)
)
)</f>
        <v>0</v>
      </c>
      <c r="U70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платеж]]+Y708-Первоначальный[[#This Row],[Полученный платёж по процентам]])</f>
        <v>0</v>
      </c>
      <c r="V709" s="55">
        <f t="shared" ca="1" si="121"/>
        <v>0</v>
      </c>
      <c r="W709" s="55" cm="1">
        <f t="array" aca="1" ref="W709" ca="1">IF(Первоначальный[[#This Row],[Итого остаток на начало периода]]&lt;1,0,
_xlfn.IFS(
AND(TYPE(VLOOKUP(1,$Z$12:Z709,1,0))=16,Первоначальный[[#This Row],[Досрочное погашение (да/"")]]=""),0,
AND(S708=0,Первоначальный[[#This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платеж]]+Y708-SUM(Первоначальный[[#This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комиссиям]]),VLOOKUP(LOOKUP(,-1/($Z$12:Z709=1),$A$12:A709),График[[Срок конец]:[Возврат основной суммы долга]],3,0)),
AND(S708=0,Первоначальный[[#This Row],[Дата платежа из графика]]="",Первоначальный[[#This Row],[Досрочное погашение (да/"")]]&lt;&gt;"Да"),0,
AND(S708=0,Первоначальный[[#This Row],[Досрочное погашение (да/"")]]=""),MIN(Первоначальный[[#This Row],[Полученный платеж]]+Y708-SUM(Первоначальный[[#This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комиссиям]]),VLOOKUP(LOOKUP(,-1/($Z$12:Z709=1),$A$12:A709),График[[Срок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платеж]]+Y708-SUM(Первоначальный[[#This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S708&gt;0,MIN(Первоначальный[[#This Row],[Полученный платеж]]+Y708-SUM(Первоначальный[[#This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комиссиям]]),SUM(INDIRECT("M"&amp;(MAX((1=S$12:S708)*ROW(S$12:S708),ROW($W$12))&amp;":M"&amp;(ROW()))))-SUM(INDIRECT("W"&amp;(MAX((1=S$12:S708)*ROW(S$12:S708),ROW($W$12))&amp;":W"&amp;(ROW()-1)))))
)
)</f>
        <v>0</v>
      </c>
      <c r="X709" s="55">
        <f t="shared" ca="1" si="122"/>
        <v>0</v>
      </c>
      <c r="Y709" s="101">
        <f t="shared" ca="1" si="129"/>
        <v>0</v>
      </c>
      <c r="Z709" s="133" t="str">
        <f>IF(TYPE((VLOOKUP(Первоначальный[[#This Row],[Дата платежа]],График[Срок конец],1,0)))=16,"",1)</f>
        <v/>
      </c>
      <c r="AA709" s="57"/>
      <c r="AB709" s="134"/>
      <c r="AC70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0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50168.58000000006</v>
      </c>
      <c r="AE70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1621.8999999999978</v>
      </c>
      <c r="AF70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0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91823.639483606559</v>
      </c>
      <c r="AH709" s="55"/>
      <c r="AI709" s="55"/>
      <c r="AJ709" s="55"/>
      <c r="AK709" s="101">
        <f t="shared" ca="1" si="130"/>
        <v>293247.45948360662</v>
      </c>
      <c r="AL709" s="129">
        <f t="array" ref="AL709">MAX((УслРестрактов[Характеристика]="Дата реструктуризации")*(УслРестрактов[Значение]=Первоначальный!$A709),0)</f>
        <v>0</v>
      </c>
    </row>
    <row r="710" spans="1:38" x14ac:dyDescent="0.25">
      <c r="A710" s="97">
        <f t="shared" si="123"/>
        <v>44841</v>
      </c>
      <c r="B710" s="100">
        <f t="shared" ca="1" si="124"/>
        <v>149633.34</v>
      </c>
      <c r="C710" s="55">
        <f t="shared" ca="1" si="132"/>
        <v>50168.58000000006</v>
      </c>
      <c r="D710" s="55">
        <f t="shared" ca="1" si="132"/>
        <v>1621.8999999999978</v>
      </c>
      <c r="E710" s="55">
        <f t="shared" ca="1" si="125"/>
        <v>0</v>
      </c>
      <c r="F710" s="55">
        <f t="shared" ca="1" si="126"/>
        <v>91823.639483606559</v>
      </c>
      <c r="G710" s="101">
        <f t="shared" ca="1" si="127"/>
        <v>293247.45948360662</v>
      </c>
      <c r="H710" s="100">
        <f ca="1">ROUND($B710*VLOOKUP($A710,$A$1:$B$10,2,1)/(365+IF(MOD(YEAR($A710),4),0,1)*($A710-$A709)),2)-Первоначальный[[#This Row],[Проценты на просроченный платеж по ОД за период]]</f>
        <v>76.23</v>
      </c>
      <c r="I710" s="55">
        <f t="shared" ca="1" si="128"/>
        <v>5.35</v>
      </c>
      <c r="J710" s="55">
        <v>0</v>
      </c>
      <c r="K710" s="55">
        <f t="shared" ca="1" si="131"/>
        <v>289.63350327868847</v>
      </c>
      <c r="L710" s="55">
        <v>0</v>
      </c>
      <c r="M710" s="113">
        <f>SUMIFS(График[Возврат основной суммы долга],График[Дата с учетом нерабочих дней],$A710)</f>
        <v>0</v>
      </c>
      <c r="N710" s="56">
        <f>SUMIFS(График[Возврат начисленных %],График[Дата с учетом нерабочих дней],$A710)</f>
        <v>0</v>
      </c>
      <c r="O710" s="101">
        <v>0</v>
      </c>
      <c r="P710" s="100" cm="1">
        <f t="array" aca="1" ref="P710" ca="1">MAX(IF(AA709="Да",0,SUM(INDIRECT("M"&amp;(MAX(("Да"=AA$12:AA709)*ROW(AA$12:AA709)+1,ROW($P$12))&amp;":M"&amp;(ROW()))))-SUM(INDIRECT("W"&amp;(MAX(("Да"=AA$12:AA709)*ROW(AA$12:AA709)+1,ROW($P$12))&amp;":W"&amp;(ROW()))))),0)</f>
        <v>9818.4299999999985</v>
      </c>
      <c r="Q710" s="99">
        <f ca="1">MAX(SUM($N$13:N710)-SUM($T$13:T710),0)</f>
        <v>48108.270655737695</v>
      </c>
      <c r="R710" s="99">
        <f ca="1">Первоначальный[[#This Row],[Просроченный платеж по ОД]]+Первоначальный[[#This Row],[Просроченный платеж по процентам]]</f>
        <v>57926.700655737695</v>
      </c>
      <c r="S710" s="120">
        <f ca="1">IF(Первоначальный[[#This Row],[Просроченный платеж]]&lt;1,0,S709+1)</f>
        <v>606</v>
      </c>
      <c r="T710" s="100" cm="1">
        <f t="array" aca="1" ref="T710" ca="1">IF(Первоначальный[[#This Row],[Итого остаток на начало периода]]&lt;1,0,
IF(
AND(TYPE(VLOOKUP(1,$Z$12:Z710,1,0))=16,Первоначальный[[#This Row],[Досрочное погашение (да/"")]]=""),0,
_xlfn.IFS(AND(S709=0,Первоначальный[[#This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платеж]]&lt;&gt;0),MIN(LOOKUP(,-1/($Z$12:Z710=1),$C$12:C710)+LOOKUP(,-1/($Z$12:Z710=1),$H$12:H710),Первоначальный[[#This Row],[Полученный платеж]]+Y709),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платеж]]+Y709,SUM(Первоначальный[[#This Row],[Остаток процентов на начало периода]],Первоначальный[[#This Row],[Проценты за период]])),
AND(S709=0,Первоначальный[[#This Row],[Дата платежа из графика]]=""),0,
AND(S709=0,Первоначальный[[#This Row],[Дата платежа из графика]]=1,MAX((0&lt;&gt;S$12:S709)*ROW(S$12:S709),ROW($S$12))&gt;=MAX((1=Z$12:Z709)*ROW(Z$12:Z709),ROW($T$12)),TYPE(VLOOKUP("Да",(INDIRECT("AA"&amp;(MAX((1=Z$12:Z709)*ROW(Z$12:Z709),ROW($T$12))&amp;":AA"&amp;(ROW()-1)))),1,0))=16),MIN(LOOKUP(,-1/($Z$12:Z710=1),$C$12:C710)+LOOKUP(,-1/($Z$12:Z710=1),$H$12:H710),Первоначальный[[#This Row],[Полученный платеж]]+Y709),
AND(S709=0,TYPE(VLOOKUP("Да",(INDIRECT("AA"&amp;(MAX((1=Z$12:Z709)*ROW(Z$12:Z709),ROW($T$12))&amp;":AA"&amp;(ROW()-1)))),1,0))&lt;&gt;16),MIN(LOOKUP(,-1/($Z$12:Z710=1),$C$12:C710)+LOOKUP(,-1/($Z$12:Z710=1),$H$12:H710)-IF(AA709="Да",0,SUM(INDIRECT("T"&amp;(MAX(("Да"=AA$12:AA709)*ROW(AA$12:AA709)+1,ROW($T$12))&amp;":T"&amp;(ROW()-1))))),Первоначальный[[#This Row],[Полученный платеж]]+Y709),
AND(S709=0,MAX((0&lt;&gt;N$12:N709)*ROW(N$12:N709),ROW($S$12))&gt;=MAX((1=Z$12:Z709)*ROW(Z$12:Z709),ROW($T$12))),MIN(LOOKUP(,-1/($Z$12:Z710=1),$C$12:C710)+LOOKUP(,-1/($Z$12:Z710=1),$H$12:H710)-IF(N709&lt;&gt;0,0,SUM(INDIRECT("T"&amp;(MAX((0&lt;&gt;N$12:N709)*ROW(N$12:N709)+1,ROW($T$12))&amp;":T"&amp;(ROW()-1))))),Первоначальный[[#This Row],[Полученный платеж]]+Y709),
AND(S709=0,Первоначальный[[#This Row],[Дата платежа из графика]]=1),MIN(LOOKUP(,-1/($Z$12:Z710=1),$C$12:C710)+LOOKUP(,-1/($Z$12:Z710=1),$H$12:H710)-IF(Z709=1,0,SUM(INDIRECT("T"&amp;(MAX((1=Z$12:Z709)*ROW(Z$12:Z709)+1,ROW($T$12))&amp;":T"&amp;(ROW()-1))))),Первоначальный[[#This Row],[Полученный платеж]]+Y709),
AND(Z709&gt;0,Первоначальный[[#This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платеж]]+Y709),
AND(S709&gt;0,MAX((0&lt;&gt;S$12:S709)*ROW(S$12:S709),ROW($S$12))&gt;=MAX((1=Z$12:Z709)*ROW(Z$12:Z709),ROW($T$12)),TYPE(VLOOKUP("Да",(INDIRECT("AA"&amp;(MAX((1=Z$12:Z709)*ROW(Z$12:Z709),ROW($T$12))&amp;":AA"&amp;(ROW()-1)))),1,0))=16),MIN(LOOKUP(,-1/($Z$12:Z710=1),$C$12:C710)+LOOKUP(,-1/($Z$12:Z710=1),$H$12:H710)-SUM(INDIRECT("T"&amp;(MAX((1=Z$12:Z709)*ROW(Z$12:Z709),ROW($T$12))&amp;":T"&amp;(ROW()-1)))),Первоначальный[[#This Row],[Полученный платеж]]+Y709),
S709&gt;0,MIN(LOOKUP(,-1/($Z$12:Z710=1),$C$12:C710)+LOOKUP(,-1/($Z$12:Z710=1),$H$12:H710)-IF(Z709=1,0,SUM(INDIRECT("T"&amp;(MAX((1=Z$12:Z709)*ROW(Z$12:Z709)+1,ROW($T$12))&amp;":T"&amp;(ROW()-1))))),Первоначальный[[#This Row],[Полученный платеж]]+Y709)
)
)
)</f>
        <v>0</v>
      </c>
      <c r="U71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платеж]]+Y709-Первоначальный[[#This Row],[Полученный платёж по процентам]])</f>
        <v>0</v>
      </c>
      <c r="V710" s="55">
        <f t="shared" ca="1" si="121"/>
        <v>0</v>
      </c>
      <c r="W710" s="55" cm="1">
        <f t="array" aca="1" ref="W710" ca="1">IF(Первоначальный[[#This Row],[Итого остаток на начало периода]]&lt;1,0,
_xlfn.IFS(
AND(TYPE(VLOOKUP(1,$Z$12:Z710,1,0))=16,Первоначальный[[#This Row],[Досрочное погашение (да/"")]]=""),0,
AND(S709=0,Первоначальный[[#This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платеж]]+Y709-SUM(Первоначальный[[#This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комиссиям]]),VLOOKUP(LOOKUP(,-1/($Z$12:Z710=1),$A$12:A710),График[[Срок конец]:[Возврат основной суммы долга]],3,0)),
AND(S709=0,Первоначальный[[#This Row],[Дата платежа из графика]]="",Первоначальный[[#This Row],[Досрочное погашение (да/"")]]&lt;&gt;"Да"),0,
AND(S709=0,Первоначальный[[#This Row],[Досрочное погашение (да/"")]]=""),MIN(Первоначальный[[#This Row],[Полученный платеж]]+Y709-SUM(Первоначальный[[#This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комиссиям]]),VLOOKUP(LOOKUP(,-1/($Z$12:Z710=1),$A$12:A710),График[[Срок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платеж]]+Y709-SUM(Первоначальный[[#This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S709&gt;0,MIN(Первоначальный[[#This Row],[Полученный платеж]]+Y709-SUM(Первоначальный[[#This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комиссиям]]),SUM(INDIRECT("M"&amp;(MAX((1=S$12:S709)*ROW(S$12:S709),ROW($W$12))&amp;":M"&amp;(ROW()))))-SUM(INDIRECT("W"&amp;(MAX((1=S$12:S709)*ROW(S$12:S709),ROW($W$12))&amp;":W"&amp;(ROW()-1)))))
)
)</f>
        <v>0</v>
      </c>
      <c r="X710" s="55">
        <f t="shared" ca="1" si="122"/>
        <v>0</v>
      </c>
      <c r="Y710" s="101">
        <f t="shared" ca="1" si="129"/>
        <v>0</v>
      </c>
      <c r="Z710" s="133" t="str">
        <f>IF(TYPE((VLOOKUP(Первоначальный[[#This Row],[Дата платежа]],График[Срок конец],1,0)))=16,"",1)</f>
        <v/>
      </c>
      <c r="AA710" s="57"/>
      <c r="AB710" s="134"/>
      <c r="AC71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1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50244.810000000063</v>
      </c>
      <c r="AE71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1627.2499999999977</v>
      </c>
      <c r="AF71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1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92113.272986885248</v>
      </c>
      <c r="AH710" s="55"/>
      <c r="AI710" s="55"/>
      <c r="AJ710" s="55"/>
      <c r="AK710" s="101">
        <f t="shared" ca="1" si="130"/>
        <v>293618.6729868853</v>
      </c>
      <c r="AL710" s="129">
        <f t="array" ref="AL710">MAX((УслРестрактов[Характеристика]="Дата реструктуризации")*(УслРестрактов[Значение]=Первоначальный!$A710),0)</f>
        <v>0</v>
      </c>
    </row>
    <row r="711" spans="1:38" x14ac:dyDescent="0.25">
      <c r="A711" s="97">
        <f t="shared" si="123"/>
        <v>44842</v>
      </c>
      <c r="B711" s="100">
        <f t="shared" ca="1" si="124"/>
        <v>149633.34</v>
      </c>
      <c r="C711" s="55">
        <f t="shared" ca="1" si="132"/>
        <v>50244.810000000063</v>
      </c>
      <c r="D711" s="55">
        <f t="shared" ca="1" si="132"/>
        <v>1627.2499999999977</v>
      </c>
      <c r="E711" s="55">
        <f t="shared" ca="1" si="125"/>
        <v>0</v>
      </c>
      <c r="F711" s="55">
        <f t="shared" ca="1" si="126"/>
        <v>92113.272986885248</v>
      </c>
      <c r="G711" s="101">
        <f t="shared" ca="1" si="127"/>
        <v>293618.6729868853</v>
      </c>
      <c r="H711" s="100">
        <f ca="1">ROUND($B711*VLOOKUP($A711,$A$1:$B$10,2,1)/(365+IF(MOD(YEAR($A711),4),0,1)*($A711-$A710)),2)-Первоначальный[[#This Row],[Проценты на просроченный платеж по ОД за период]]</f>
        <v>76.23</v>
      </c>
      <c r="I711" s="55">
        <f t="shared" ca="1" si="128"/>
        <v>5.35</v>
      </c>
      <c r="J711" s="55">
        <v>0</v>
      </c>
      <c r="K711" s="55">
        <f t="shared" ca="1" si="131"/>
        <v>289.63350327868847</v>
      </c>
      <c r="L711" s="55">
        <v>0</v>
      </c>
      <c r="M711" s="113">
        <f>SUMIFS(График[Возврат основной суммы долга],График[Дата с учетом нерабочих дней],$A711)</f>
        <v>0</v>
      </c>
      <c r="N711" s="56">
        <f>SUMIFS(График[Возврат начисленных %],График[Дата с учетом нерабочих дней],$A711)</f>
        <v>0</v>
      </c>
      <c r="O711" s="101">
        <v>0</v>
      </c>
      <c r="P711" s="100" cm="1">
        <f t="array" aca="1" ref="P711" ca="1">MAX(IF(AA710="Да",0,SUM(INDIRECT("M"&amp;(MAX(("Да"=AA$12:AA710)*ROW(AA$12:AA710)+1,ROW($P$12))&amp;":M"&amp;(ROW()))))-SUM(INDIRECT("W"&amp;(MAX(("Да"=AA$12:AA710)*ROW(AA$12:AA710)+1,ROW($P$12))&amp;":W"&amp;(ROW()))))),0)</f>
        <v>9818.4299999999985</v>
      </c>
      <c r="Q711" s="99">
        <f ca="1">MAX(SUM($N$13:N711)-SUM($T$13:T711),0)</f>
        <v>48108.270655737695</v>
      </c>
      <c r="R711" s="99">
        <f ca="1">Первоначальный[[#This Row],[Просроченный платеж по ОД]]+Первоначальный[[#This Row],[Просроченный платеж по процентам]]</f>
        <v>57926.700655737695</v>
      </c>
      <c r="S711" s="120">
        <f ca="1">IF(Первоначальный[[#This Row],[Просроченный платеж]]&lt;1,0,S710+1)</f>
        <v>607</v>
      </c>
      <c r="T711" s="100" cm="1">
        <f t="array" aca="1" ref="T711" ca="1">IF(Первоначальный[[#This Row],[Итого остаток на начало периода]]&lt;1,0,
IF(
AND(TYPE(VLOOKUP(1,$Z$12:Z711,1,0))=16,Первоначальный[[#This Row],[Досрочное погашение (да/"")]]=""),0,
_xlfn.IFS(AND(S710=0,Первоначальный[[#This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платеж]]&lt;&gt;0),MIN(LOOKUP(,-1/($Z$12:Z711=1),$C$12:C711)+LOOKUP(,-1/($Z$12:Z711=1),$H$12:H711),Первоначальный[[#This Row],[Полученный платеж]]+Y710),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платеж]]+Y710,SUM(Первоначальный[[#This Row],[Остаток процентов на начало периода]],Первоначальный[[#This Row],[Проценты за период]])),
AND(S710=0,Первоначальный[[#This Row],[Дата платежа из графика]]=""),0,
AND(S710=0,Первоначальный[[#This Row],[Дата платежа из графика]]=1,MAX((0&lt;&gt;S$12:S710)*ROW(S$12:S710),ROW($S$12))&gt;=MAX((1=Z$12:Z710)*ROW(Z$12:Z710),ROW($T$12)),TYPE(VLOOKUP("Да",(INDIRECT("AA"&amp;(MAX((1=Z$12:Z710)*ROW(Z$12:Z710),ROW($T$12))&amp;":AA"&amp;(ROW()-1)))),1,0))=16),MIN(LOOKUP(,-1/($Z$12:Z711=1),$C$12:C711)+LOOKUP(,-1/($Z$12:Z711=1),$H$12:H711),Первоначальный[[#This Row],[Полученный платеж]]+Y710),
AND(S710=0,TYPE(VLOOKUP("Да",(INDIRECT("AA"&amp;(MAX((1=Z$12:Z710)*ROW(Z$12:Z710),ROW($T$12))&amp;":AA"&amp;(ROW()-1)))),1,0))&lt;&gt;16),MIN(LOOKUP(,-1/($Z$12:Z711=1),$C$12:C711)+LOOKUP(,-1/($Z$12:Z711=1),$H$12:H711)-IF(AA710="Да",0,SUM(INDIRECT("T"&amp;(MAX(("Да"=AA$12:AA710)*ROW(AA$12:AA710)+1,ROW($T$12))&amp;":T"&amp;(ROW()-1))))),Первоначальный[[#This Row],[Полученный платеж]]+Y710),
AND(S710=0,MAX((0&lt;&gt;N$12:N710)*ROW(N$12:N710),ROW($S$12))&gt;=MAX((1=Z$12:Z710)*ROW(Z$12:Z710),ROW($T$12))),MIN(LOOKUP(,-1/($Z$12:Z711=1),$C$12:C711)+LOOKUP(,-1/($Z$12:Z711=1),$H$12:H711)-IF(N710&lt;&gt;0,0,SUM(INDIRECT("T"&amp;(MAX((0&lt;&gt;N$12:N710)*ROW(N$12:N710)+1,ROW($T$12))&amp;":T"&amp;(ROW()-1))))),Первоначальный[[#This Row],[Полученный платеж]]+Y710),
AND(S710=0,Первоначальный[[#This Row],[Дата платежа из графика]]=1),MIN(LOOKUP(,-1/($Z$12:Z711=1),$C$12:C711)+LOOKUP(,-1/($Z$12:Z711=1),$H$12:H711)-IF(Z710=1,0,SUM(INDIRECT("T"&amp;(MAX((1=Z$12:Z710)*ROW(Z$12:Z710)+1,ROW($T$12))&amp;":T"&amp;(ROW()-1))))),Первоначальный[[#This Row],[Полученный платеж]]+Y710),
AND(Z710&gt;0,Первоначальный[[#This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платеж]]+Y710),
AND(S710&gt;0,MAX((0&lt;&gt;S$12:S710)*ROW(S$12:S710),ROW($S$12))&gt;=MAX((1=Z$12:Z710)*ROW(Z$12:Z710),ROW($T$12)),TYPE(VLOOKUP("Да",(INDIRECT("AA"&amp;(MAX((1=Z$12:Z710)*ROW(Z$12:Z710),ROW($T$12))&amp;":AA"&amp;(ROW()-1)))),1,0))=16),MIN(LOOKUP(,-1/($Z$12:Z711=1),$C$12:C711)+LOOKUP(,-1/($Z$12:Z711=1),$H$12:H711)-SUM(INDIRECT("T"&amp;(MAX((1=Z$12:Z710)*ROW(Z$12:Z710),ROW($T$12))&amp;":T"&amp;(ROW()-1)))),Первоначальный[[#This Row],[Полученный платеж]]+Y710),
S710&gt;0,MIN(LOOKUP(,-1/($Z$12:Z711=1),$C$12:C711)+LOOKUP(,-1/($Z$12:Z711=1),$H$12:H711)-IF(Z710=1,0,SUM(INDIRECT("T"&amp;(MAX((1=Z$12:Z710)*ROW(Z$12:Z710)+1,ROW($T$12))&amp;":T"&amp;(ROW()-1))))),Первоначальный[[#This Row],[Полученный платеж]]+Y710)
)
)
)</f>
        <v>0</v>
      </c>
      <c r="U71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платеж]]+Y710-Первоначальный[[#This Row],[Полученный платёж по процентам]])</f>
        <v>0</v>
      </c>
      <c r="V711" s="55">
        <f t="shared" ca="1" si="121"/>
        <v>0</v>
      </c>
      <c r="W711" s="55" cm="1">
        <f t="array" aca="1" ref="W711" ca="1">IF(Первоначальный[[#This Row],[Итого остаток на начало периода]]&lt;1,0,
_xlfn.IFS(
AND(TYPE(VLOOKUP(1,$Z$12:Z711,1,0))=16,Первоначальный[[#This Row],[Досрочное погашение (да/"")]]=""),0,
AND(S710=0,Первоначальный[[#This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платеж]]+Y710-SUM(Первоначальный[[#This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комиссиям]]),VLOOKUP(LOOKUP(,-1/($Z$12:Z711=1),$A$12:A711),График[[Срок конец]:[Возврат основной суммы долга]],3,0)),
AND(S710=0,Первоначальный[[#This Row],[Дата платежа из графика]]="",Первоначальный[[#This Row],[Досрочное погашение (да/"")]]&lt;&gt;"Да"),0,
AND(S710=0,Первоначальный[[#This Row],[Досрочное погашение (да/"")]]=""),MIN(Первоначальный[[#This Row],[Полученный платеж]]+Y710-SUM(Первоначальный[[#This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комиссиям]]),VLOOKUP(LOOKUP(,-1/($Z$12:Z711=1),$A$12:A711),График[[Срок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платеж]]+Y710-SUM(Первоначальный[[#This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S710&gt;0,MIN(Первоначальный[[#This Row],[Полученный платеж]]+Y710-SUM(Первоначальный[[#This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комиссиям]]),SUM(INDIRECT("M"&amp;(MAX((1=S$12:S710)*ROW(S$12:S710),ROW($W$12))&amp;":M"&amp;(ROW()))))-SUM(INDIRECT("W"&amp;(MAX((1=S$12:S710)*ROW(S$12:S710),ROW($W$12))&amp;":W"&amp;(ROW()-1)))))
)
)</f>
        <v>0</v>
      </c>
      <c r="X711" s="55">
        <f t="shared" ca="1" si="122"/>
        <v>0</v>
      </c>
      <c r="Y711" s="101">
        <f t="shared" ca="1" si="129"/>
        <v>0</v>
      </c>
      <c r="Z711" s="133" t="str">
        <f>IF(TYPE((VLOOKUP(Первоначальный[[#This Row],[Дата платежа]],График[Срок конец],1,0)))=16,"",1)</f>
        <v/>
      </c>
      <c r="AA711" s="57"/>
      <c r="AB711" s="134"/>
      <c r="AC71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1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50321.040000000066</v>
      </c>
      <c r="AE71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1632.5999999999976</v>
      </c>
      <c r="AF71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1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92402.906490163936</v>
      </c>
      <c r="AH711" s="55"/>
      <c r="AI711" s="55"/>
      <c r="AJ711" s="55"/>
      <c r="AK711" s="101">
        <f t="shared" ca="1" si="130"/>
        <v>293989.88649016398</v>
      </c>
      <c r="AL711" s="129">
        <f t="array" ref="AL711">MAX((УслРестрактов[Характеристика]="Дата реструктуризации")*(УслРестрактов[Значение]=Первоначальный!$A711),0)</f>
        <v>0</v>
      </c>
    </row>
    <row r="712" spans="1:38" x14ac:dyDescent="0.25">
      <c r="A712" s="97">
        <f t="shared" si="123"/>
        <v>44843</v>
      </c>
      <c r="B712" s="100">
        <f t="shared" ca="1" si="124"/>
        <v>149633.34</v>
      </c>
      <c r="C712" s="55">
        <f t="shared" ca="1" si="132"/>
        <v>50321.040000000066</v>
      </c>
      <c r="D712" s="55">
        <f t="shared" ca="1" si="132"/>
        <v>1632.5999999999976</v>
      </c>
      <c r="E712" s="55">
        <f t="shared" ca="1" si="125"/>
        <v>0</v>
      </c>
      <c r="F712" s="55">
        <f t="shared" ca="1" si="126"/>
        <v>92402.906490163936</v>
      </c>
      <c r="G712" s="101">
        <f t="shared" ca="1" si="127"/>
        <v>293989.88649016398</v>
      </c>
      <c r="H712" s="100">
        <f ca="1">ROUND($B712*VLOOKUP($A712,$A$1:$B$10,2,1)/(365+IF(MOD(YEAR($A712),4),0,1)*($A712-$A711)),2)-Первоначальный[[#This Row],[Проценты на просроченный платеж по ОД за период]]</f>
        <v>76.23</v>
      </c>
      <c r="I712" s="55">
        <f t="shared" ca="1" si="128"/>
        <v>5.35</v>
      </c>
      <c r="J712" s="55">
        <v>0</v>
      </c>
      <c r="K712" s="55">
        <f t="shared" ca="1" si="131"/>
        <v>289.63350327868847</v>
      </c>
      <c r="L712" s="55">
        <v>0</v>
      </c>
      <c r="M712" s="113">
        <f>SUMIFS(График[Возврат основной суммы долга],График[Дата с учетом нерабочих дней],$A712)</f>
        <v>0</v>
      </c>
      <c r="N712" s="56">
        <f>SUMIFS(График[Возврат начисленных %],График[Дата с учетом нерабочих дней],$A712)</f>
        <v>0</v>
      </c>
      <c r="O712" s="101">
        <v>0</v>
      </c>
      <c r="P712" s="100" cm="1">
        <f t="array" aca="1" ref="P712" ca="1">MAX(IF(AA711="Да",0,SUM(INDIRECT("M"&amp;(MAX(("Да"=AA$12:AA711)*ROW(AA$12:AA711)+1,ROW($P$12))&amp;":M"&amp;(ROW()))))-SUM(INDIRECT("W"&amp;(MAX(("Да"=AA$12:AA711)*ROW(AA$12:AA711)+1,ROW($P$12))&amp;":W"&amp;(ROW()))))),0)</f>
        <v>9818.4299999999985</v>
      </c>
      <c r="Q712" s="99">
        <f ca="1">MAX(SUM($N$13:N712)-SUM($T$13:T712),0)</f>
        <v>48108.270655737695</v>
      </c>
      <c r="R712" s="99">
        <f ca="1">Первоначальный[[#This Row],[Просроченный платеж по ОД]]+Первоначальный[[#This Row],[Просроченный платеж по процентам]]</f>
        <v>57926.700655737695</v>
      </c>
      <c r="S712" s="120">
        <f ca="1">IF(Первоначальный[[#This Row],[Просроченный платеж]]&lt;1,0,S711+1)</f>
        <v>608</v>
      </c>
      <c r="T712" s="100" cm="1">
        <f t="array" aca="1" ref="T712" ca="1">IF(Первоначальный[[#This Row],[Итого остаток на начало периода]]&lt;1,0,
IF(
AND(TYPE(VLOOKUP(1,$Z$12:Z712,1,0))=16,Первоначальный[[#This Row],[Досрочное погашение (да/"")]]=""),0,
_xlfn.IFS(AND(S711=0,Первоначальный[[#This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платеж]]&lt;&gt;0),MIN(LOOKUP(,-1/($Z$12:Z712=1),$C$12:C712)+LOOKUP(,-1/($Z$12:Z712=1),$H$12:H712),Первоначальный[[#This Row],[Полученный платеж]]+Y711),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платеж]]+Y711,SUM(Первоначальный[[#This Row],[Остаток процентов на начало периода]],Первоначальный[[#This Row],[Проценты за период]])),
AND(S711=0,Первоначальный[[#This Row],[Дата платежа из графика]]=""),0,
AND(S711=0,Первоначальный[[#This Row],[Дата платежа из графика]]=1,MAX((0&lt;&gt;S$12:S711)*ROW(S$12:S711),ROW($S$12))&gt;=MAX((1=Z$12:Z711)*ROW(Z$12:Z711),ROW($T$12)),TYPE(VLOOKUP("Да",(INDIRECT("AA"&amp;(MAX((1=Z$12:Z711)*ROW(Z$12:Z711),ROW($T$12))&amp;":AA"&amp;(ROW()-1)))),1,0))=16),MIN(LOOKUP(,-1/($Z$12:Z712=1),$C$12:C712)+LOOKUP(,-1/($Z$12:Z712=1),$H$12:H712),Первоначальный[[#This Row],[Полученный платеж]]+Y711),
AND(S711=0,TYPE(VLOOKUP("Да",(INDIRECT("AA"&amp;(MAX((1=Z$12:Z711)*ROW(Z$12:Z711),ROW($T$12))&amp;":AA"&amp;(ROW()-1)))),1,0))&lt;&gt;16),MIN(LOOKUP(,-1/($Z$12:Z712=1),$C$12:C712)+LOOKUP(,-1/($Z$12:Z712=1),$H$12:H712)-IF(AA711="Да",0,SUM(INDIRECT("T"&amp;(MAX(("Да"=AA$12:AA711)*ROW(AA$12:AA711)+1,ROW($T$12))&amp;":T"&amp;(ROW()-1))))),Первоначальный[[#This Row],[Полученный платеж]]+Y711),
AND(S711=0,MAX((0&lt;&gt;N$12:N711)*ROW(N$12:N711),ROW($S$12))&gt;=MAX((1=Z$12:Z711)*ROW(Z$12:Z711),ROW($T$12))),MIN(LOOKUP(,-1/($Z$12:Z712=1),$C$12:C712)+LOOKUP(,-1/($Z$12:Z712=1),$H$12:H712)-IF(N711&lt;&gt;0,0,SUM(INDIRECT("T"&amp;(MAX((0&lt;&gt;N$12:N711)*ROW(N$12:N711)+1,ROW($T$12))&amp;":T"&amp;(ROW()-1))))),Первоначальный[[#This Row],[Полученный платеж]]+Y711),
AND(S711=0,Первоначальный[[#This Row],[Дата платежа из графика]]=1),MIN(LOOKUP(,-1/($Z$12:Z712=1),$C$12:C712)+LOOKUP(,-1/($Z$12:Z712=1),$H$12:H712)-IF(Z711=1,0,SUM(INDIRECT("T"&amp;(MAX((1=Z$12:Z711)*ROW(Z$12:Z711)+1,ROW($T$12))&amp;":T"&amp;(ROW()-1))))),Первоначальный[[#This Row],[Полученный платеж]]+Y711),
AND(Z711&gt;0,Первоначальный[[#This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платеж]]+Y711),
AND(S711&gt;0,MAX((0&lt;&gt;S$12:S711)*ROW(S$12:S711),ROW($S$12))&gt;=MAX((1=Z$12:Z711)*ROW(Z$12:Z711),ROW($T$12)),TYPE(VLOOKUP("Да",(INDIRECT("AA"&amp;(MAX((1=Z$12:Z711)*ROW(Z$12:Z711),ROW($T$12))&amp;":AA"&amp;(ROW()-1)))),1,0))=16),MIN(LOOKUP(,-1/($Z$12:Z712=1),$C$12:C712)+LOOKUP(,-1/($Z$12:Z712=1),$H$12:H712)-SUM(INDIRECT("T"&amp;(MAX((1=Z$12:Z711)*ROW(Z$12:Z711),ROW($T$12))&amp;":T"&amp;(ROW()-1)))),Первоначальный[[#This Row],[Полученный платеж]]+Y711),
S711&gt;0,MIN(LOOKUP(,-1/($Z$12:Z712=1),$C$12:C712)+LOOKUP(,-1/($Z$12:Z712=1),$H$12:H712)-IF(Z711=1,0,SUM(INDIRECT("T"&amp;(MAX((1=Z$12:Z711)*ROW(Z$12:Z711)+1,ROW($T$12))&amp;":T"&amp;(ROW()-1))))),Первоначальный[[#This Row],[Полученный платеж]]+Y711)
)
)
)</f>
        <v>0</v>
      </c>
      <c r="U71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платеж]]+Y711-Первоначальный[[#This Row],[Полученный платёж по процентам]])</f>
        <v>0</v>
      </c>
      <c r="V712" s="55">
        <f t="shared" ca="1" si="121"/>
        <v>0</v>
      </c>
      <c r="W712" s="55" cm="1">
        <f t="array" aca="1" ref="W712" ca="1">IF(Первоначальный[[#This Row],[Итого остаток на начало периода]]&lt;1,0,
_xlfn.IFS(
AND(TYPE(VLOOKUP(1,$Z$12:Z712,1,0))=16,Первоначальный[[#This Row],[Досрочное погашение (да/"")]]=""),0,
AND(S711=0,Первоначальный[[#This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платеж]]+Y711-SUM(Первоначальный[[#This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комиссиям]]),VLOOKUP(LOOKUP(,-1/($Z$12:Z712=1),$A$12:A712),График[[Срок конец]:[Возврат основной суммы долга]],3,0)),
AND(S711=0,Первоначальный[[#This Row],[Дата платежа из графика]]="",Первоначальный[[#This Row],[Досрочное погашение (да/"")]]&lt;&gt;"Да"),0,
AND(S711=0,Первоначальный[[#This Row],[Досрочное погашение (да/"")]]=""),MIN(Первоначальный[[#This Row],[Полученный платеж]]+Y711-SUM(Первоначальный[[#This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комиссиям]]),VLOOKUP(LOOKUP(,-1/($Z$12:Z712=1),$A$12:A712),График[[Срок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платеж]]+Y711-SUM(Первоначальный[[#This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S711&gt;0,MIN(Первоначальный[[#This Row],[Полученный платеж]]+Y711-SUM(Первоначальный[[#This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комиссиям]]),SUM(INDIRECT("M"&amp;(MAX((1=S$12:S711)*ROW(S$12:S711),ROW($W$12))&amp;":M"&amp;(ROW()))))-SUM(INDIRECT("W"&amp;(MAX((1=S$12:S711)*ROW(S$12:S711),ROW($W$12))&amp;":W"&amp;(ROW()-1)))))
)
)</f>
        <v>0</v>
      </c>
      <c r="X712" s="55">
        <f t="shared" ca="1" si="122"/>
        <v>0</v>
      </c>
      <c r="Y712" s="101">
        <f t="shared" ca="1" si="129"/>
        <v>0</v>
      </c>
      <c r="Z712" s="133">
        <f>IF(TYPE((VLOOKUP(Первоначальный[[#This Row],[Дата платежа]],График[Срок конец],1,0)))=16,"",1)</f>
        <v>1</v>
      </c>
      <c r="AA712" s="57"/>
      <c r="AB712" s="134"/>
      <c r="AC71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1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50397.27000000007</v>
      </c>
      <c r="AE71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1637.9499999999975</v>
      </c>
      <c r="AF71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1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92692.539993442624</v>
      </c>
      <c r="AH712" s="55"/>
      <c r="AI712" s="55"/>
      <c r="AJ712" s="55"/>
      <c r="AK712" s="101">
        <f t="shared" ca="1" si="130"/>
        <v>294361.09999344271</v>
      </c>
      <c r="AL712" s="129">
        <f t="array" ref="AL712">MAX((УслРестрактов[Характеристика]="Дата реструктуризации")*(УслРестрактов[Значение]=Первоначальный!$A712),0)</f>
        <v>0</v>
      </c>
    </row>
    <row r="713" spans="1:38" x14ac:dyDescent="0.25">
      <c r="A713" s="97">
        <f t="shared" si="123"/>
        <v>44844</v>
      </c>
      <c r="B713" s="100">
        <f t="shared" ca="1" si="124"/>
        <v>149633.34</v>
      </c>
      <c r="C713" s="55">
        <f t="shared" ca="1" si="132"/>
        <v>50397.27000000007</v>
      </c>
      <c r="D713" s="55">
        <f t="shared" ca="1" si="132"/>
        <v>1637.9499999999975</v>
      </c>
      <c r="E713" s="55">
        <f t="shared" ca="1" si="125"/>
        <v>0</v>
      </c>
      <c r="F713" s="55">
        <f t="shared" ca="1" si="126"/>
        <v>92692.539993442624</v>
      </c>
      <c r="G713" s="101">
        <f t="shared" ca="1" si="127"/>
        <v>294361.09999344271</v>
      </c>
      <c r="H713" s="100">
        <f ca="1">ROUND($B713*VLOOKUP($A713,$A$1:$B$10,2,1)/(365+IF(MOD(YEAR($A713),4),0,1)*($A713-$A712)),2)-Первоначальный[[#This Row],[Проценты на просроченный платеж по ОД за период]]</f>
        <v>76.23</v>
      </c>
      <c r="I713" s="55">
        <f t="shared" ca="1" si="128"/>
        <v>5.35</v>
      </c>
      <c r="J713" s="55">
        <v>0</v>
      </c>
      <c r="K713" s="55">
        <f t="shared" ca="1" si="131"/>
        <v>304.11850327868842</v>
      </c>
      <c r="L713" s="55">
        <v>0</v>
      </c>
      <c r="M713" s="113">
        <f>SUMIFS(График[Возврат основной суммы долга],График[Дата с учетом нерабочих дней],$A713)</f>
        <v>610.15999999999985</v>
      </c>
      <c r="N713" s="56">
        <f>SUMIFS(График[Возврат начисленных %],График[Дата с учетом нерабочих дней],$A713)</f>
        <v>2286.84</v>
      </c>
      <c r="O713" s="101">
        <v>0</v>
      </c>
      <c r="P713" s="100" cm="1">
        <f t="array" aca="1" ref="P713" ca="1">MAX(IF(AA712="Да",0,SUM(INDIRECT("M"&amp;(MAX(("Да"=AA$12:AA712)*ROW(AA$12:AA712)+1,ROW($P$12))&amp;":M"&amp;(ROW()))))-SUM(INDIRECT("W"&amp;(MAX(("Да"=AA$12:AA712)*ROW(AA$12:AA712)+1,ROW($P$12))&amp;":W"&amp;(ROW()))))),0)</f>
        <v>10428.589999999998</v>
      </c>
      <c r="Q713" s="99">
        <f ca="1">MAX(SUM($N$13:N713)-SUM($T$13:T713),0)</f>
        <v>50395.110655737692</v>
      </c>
      <c r="R713" s="99">
        <f ca="1">Первоначальный[[#This Row],[Просроченный платеж по ОД]]+Первоначальный[[#This Row],[Просроченный платеж по процентам]]</f>
        <v>60823.700655737688</v>
      </c>
      <c r="S713" s="120">
        <f ca="1">IF(Первоначальный[[#This Row],[Просроченный платеж]]&lt;1,0,S712+1)</f>
        <v>609</v>
      </c>
      <c r="T713" s="100" cm="1">
        <f t="array" aca="1" ref="T713" ca="1">IF(Первоначальный[[#This Row],[Итого остаток на начало периода]]&lt;1,0,
IF(
AND(TYPE(VLOOKUP(1,$Z$12:Z713,1,0))=16,Первоначальный[[#This Row],[Досрочное погашение (да/"")]]=""),0,
_xlfn.IFS(AND(S712=0,Первоначальный[[#This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платеж]]&lt;&gt;0),MIN(LOOKUP(,-1/($Z$12:Z713=1),$C$12:C713)+LOOKUP(,-1/($Z$12:Z713=1),$H$12:H713),Первоначальный[[#This Row],[Полученный платеж]]+Y712),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платеж]]+Y712,SUM(Первоначальный[[#This Row],[Остаток процентов на начало периода]],Первоначальный[[#This Row],[Проценты за период]])),
AND(S712=0,Первоначальный[[#This Row],[Дата платежа из графика]]=""),0,
AND(S712=0,Первоначальный[[#This Row],[Дата платежа из графика]]=1,MAX((0&lt;&gt;S$12:S712)*ROW(S$12:S712),ROW($S$12))&gt;=MAX((1=Z$12:Z712)*ROW(Z$12:Z712),ROW($T$12)),TYPE(VLOOKUP("Да",(INDIRECT("AA"&amp;(MAX((1=Z$12:Z712)*ROW(Z$12:Z712),ROW($T$12))&amp;":AA"&amp;(ROW()-1)))),1,0))=16),MIN(LOOKUP(,-1/($Z$12:Z713=1),$C$12:C713)+LOOKUP(,-1/($Z$12:Z713=1),$H$12:H713),Первоначальный[[#This Row],[Полученный платеж]]+Y712),
AND(S712=0,TYPE(VLOOKUP("Да",(INDIRECT("AA"&amp;(MAX((1=Z$12:Z712)*ROW(Z$12:Z712),ROW($T$12))&amp;":AA"&amp;(ROW()-1)))),1,0))&lt;&gt;16),MIN(LOOKUP(,-1/($Z$12:Z713=1),$C$12:C713)+LOOKUP(,-1/($Z$12:Z713=1),$H$12:H713)-IF(AA712="Да",0,SUM(INDIRECT("T"&amp;(MAX(("Да"=AA$12:AA712)*ROW(AA$12:AA712)+1,ROW($T$12))&amp;":T"&amp;(ROW()-1))))),Первоначальный[[#This Row],[Полученный платеж]]+Y712),
AND(S712=0,MAX((0&lt;&gt;N$12:N712)*ROW(N$12:N712),ROW($S$12))&gt;=MAX((1=Z$12:Z712)*ROW(Z$12:Z712),ROW($T$12))),MIN(LOOKUP(,-1/($Z$12:Z713=1),$C$12:C713)+LOOKUP(,-1/($Z$12:Z713=1),$H$12:H713)-IF(N712&lt;&gt;0,0,SUM(INDIRECT("T"&amp;(MAX((0&lt;&gt;N$12:N712)*ROW(N$12:N712)+1,ROW($T$12))&amp;":T"&amp;(ROW()-1))))),Первоначальный[[#This Row],[Полученный платеж]]+Y712),
AND(S712=0,Первоначальный[[#This Row],[Дата платежа из графика]]=1),MIN(LOOKUP(,-1/($Z$12:Z713=1),$C$12:C713)+LOOKUP(,-1/($Z$12:Z713=1),$H$12:H713)-IF(Z712=1,0,SUM(INDIRECT("T"&amp;(MAX((1=Z$12:Z712)*ROW(Z$12:Z712)+1,ROW($T$12))&amp;":T"&amp;(ROW()-1))))),Первоначальный[[#This Row],[Полученный платеж]]+Y712),
AND(Z712&gt;0,Первоначальный[[#This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платеж]]+Y712),
AND(S712&gt;0,MAX((0&lt;&gt;S$12:S712)*ROW(S$12:S712),ROW($S$12))&gt;=MAX((1=Z$12:Z712)*ROW(Z$12:Z712),ROW($T$12)),TYPE(VLOOKUP("Да",(INDIRECT("AA"&amp;(MAX((1=Z$12:Z712)*ROW(Z$12:Z712),ROW($T$12))&amp;":AA"&amp;(ROW()-1)))),1,0))=16),MIN(LOOKUP(,-1/($Z$12:Z713=1),$C$12:C713)+LOOKUP(,-1/($Z$12:Z713=1),$H$12:H713)-SUM(INDIRECT("T"&amp;(MAX((1=Z$12:Z712)*ROW(Z$12:Z712),ROW($T$12))&amp;":T"&amp;(ROW()-1)))),Первоначальный[[#This Row],[Полученный платеж]]+Y712),
S712&gt;0,MIN(LOOKUP(,-1/($Z$12:Z713=1),$C$12:C713)+LOOKUP(,-1/($Z$12:Z713=1),$H$12:H713)-IF(Z712=1,0,SUM(INDIRECT("T"&amp;(MAX((1=Z$12:Z712)*ROW(Z$12:Z712)+1,ROW($T$12))&amp;":T"&amp;(ROW()-1))))),Первоначальный[[#This Row],[Полученный платеж]]+Y712)
)
)
)</f>
        <v>0</v>
      </c>
      <c r="U71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платеж]]+Y712-Первоначальный[[#This Row],[Полученный платёж по процентам]])</f>
        <v>0</v>
      </c>
      <c r="V713" s="55">
        <f t="shared" ca="1" si="121"/>
        <v>0</v>
      </c>
      <c r="W713" s="55" cm="1">
        <f t="array" aca="1" ref="W713" ca="1">IF(Первоначальный[[#This Row],[Итого остаток на начало периода]]&lt;1,0,
_xlfn.IFS(
AND(TYPE(VLOOKUP(1,$Z$12:Z713,1,0))=16,Первоначальный[[#This Row],[Досрочное погашение (да/"")]]=""),0,
AND(S712=0,Первоначальный[[#This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платеж]]+Y712-SUM(Первоначальный[[#This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комиссиям]]),VLOOKUP(LOOKUP(,-1/($Z$12:Z713=1),$A$12:A713),График[[Срок конец]:[Возврат основной суммы долга]],3,0)),
AND(S712=0,Первоначальный[[#This Row],[Дата платежа из графика]]="",Первоначальный[[#This Row],[Досрочное погашение (да/"")]]&lt;&gt;"Да"),0,
AND(S712=0,Первоначальный[[#This Row],[Досрочное погашение (да/"")]]=""),MIN(Первоначальный[[#This Row],[Полученный платеж]]+Y712-SUM(Первоначальный[[#This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комиссиям]]),VLOOKUP(LOOKUP(,-1/($Z$12:Z713=1),$A$12:A713),График[[Срок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платеж]]+Y712-SUM(Первоначальный[[#This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S712&gt;0,MIN(Первоначальный[[#This Row],[Полученный платеж]]+Y712-SUM(Первоначальный[[#This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комиссиям]]),SUM(INDIRECT("M"&amp;(MAX((1=S$12:S712)*ROW(S$12:S712),ROW($W$12))&amp;":M"&amp;(ROW()))))-SUM(INDIRECT("W"&amp;(MAX((1=S$12:S712)*ROW(S$12:S712),ROW($W$12))&amp;":W"&amp;(ROW()-1)))))
)
)</f>
        <v>0</v>
      </c>
      <c r="X713" s="55">
        <f t="shared" ca="1" si="122"/>
        <v>0</v>
      </c>
      <c r="Y713" s="101">
        <f t="shared" ca="1" si="129"/>
        <v>0</v>
      </c>
      <c r="Z713" s="133" t="str">
        <f>IF(TYPE((VLOOKUP(Первоначальный[[#This Row],[Дата платежа]],График[Срок конец],1,0)))=16,"",1)</f>
        <v/>
      </c>
      <c r="AA713" s="57"/>
      <c r="AB713" s="134"/>
      <c r="AC71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1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50473.500000000073</v>
      </c>
      <c r="AE71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1643.2999999999975</v>
      </c>
      <c r="AF71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1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92996.658496721313</v>
      </c>
      <c r="AH713" s="55"/>
      <c r="AI713" s="55"/>
      <c r="AJ713" s="55"/>
      <c r="AK713" s="101">
        <f t="shared" ca="1" si="130"/>
        <v>294746.79849672137</v>
      </c>
      <c r="AL713" s="129">
        <f t="array" ref="AL713">MAX((УслРестрактов[Характеристика]="Дата реструктуризации")*(УслРестрактов[Значение]=Первоначальный!$A713),0)</f>
        <v>0</v>
      </c>
    </row>
    <row r="714" spans="1:38" x14ac:dyDescent="0.25">
      <c r="A714" s="97">
        <f t="shared" si="123"/>
        <v>44845</v>
      </c>
      <c r="B714" s="100">
        <f t="shared" ca="1" si="124"/>
        <v>149633.34</v>
      </c>
      <c r="C714" s="55">
        <f t="shared" ca="1" si="132"/>
        <v>50473.500000000073</v>
      </c>
      <c r="D714" s="55">
        <f t="shared" ca="1" si="132"/>
        <v>1643.2999999999975</v>
      </c>
      <c r="E714" s="55">
        <f t="shared" ca="1" si="125"/>
        <v>0</v>
      </c>
      <c r="F714" s="55">
        <f t="shared" ca="1" si="126"/>
        <v>92996.658496721313</v>
      </c>
      <c r="G714" s="101">
        <f t="shared" ca="1" si="127"/>
        <v>294746.79849672137</v>
      </c>
      <c r="H714" s="100">
        <f ca="1">ROUND($B714*VLOOKUP($A714,$A$1:$B$10,2,1)/(365+IF(MOD(YEAR($A714),4),0,1)*($A714-$A713)),2)-Первоначальный[[#This Row],[Проценты на просроченный платеж по ОД за период]]</f>
        <v>75.89</v>
      </c>
      <c r="I714" s="55">
        <f t="shared" ca="1" si="128"/>
        <v>5.69</v>
      </c>
      <c r="J714" s="55">
        <v>0</v>
      </c>
      <c r="K714" s="55">
        <f t="shared" ca="1" si="131"/>
        <v>304.11850327868842</v>
      </c>
      <c r="L714" s="55">
        <v>0</v>
      </c>
      <c r="M714" s="113">
        <f>SUMIFS(График[Возврат основной суммы долга],График[Дата с учетом нерабочих дней],$A714)</f>
        <v>0</v>
      </c>
      <c r="N714" s="56">
        <f>SUMIFS(График[Возврат начисленных %],График[Дата с учетом нерабочих дней],$A714)</f>
        <v>0</v>
      </c>
      <c r="O714" s="101">
        <v>0</v>
      </c>
      <c r="P714" s="100" cm="1">
        <f t="array" aca="1" ref="P714" ca="1">MAX(IF(AA713="Да",0,SUM(INDIRECT("M"&amp;(MAX(("Да"=AA$12:AA713)*ROW(AA$12:AA713)+1,ROW($P$12))&amp;":M"&amp;(ROW()))))-SUM(INDIRECT("W"&amp;(MAX(("Да"=AA$12:AA713)*ROW(AA$12:AA713)+1,ROW($P$12))&amp;":W"&amp;(ROW()))))),0)</f>
        <v>10428.589999999998</v>
      </c>
      <c r="Q714" s="99">
        <f ca="1">MAX(SUM($N$13:N714)-SUM($T$13:T714),0)</f>
        <v>50395.110655737692</v>
      </c>
      <c r="R714" s="99">
        <f ca="1">Первоначальный[[#This Row],[Просроченный платеж по ОД]]+Первоначальный[[#This Row],[Просроченный платеж по процентам]]</f>
        <v>60823.700655737688</v>
      </c>
      <c r="S714" s="120">
        <f ca="1">IF(Первоначальный[[#This Row],[Просроченный платеж]]&lt;1,0,S713+1)</f>
        <v>610</v>
      </c>
      <c r="T714" s="100" cm="1">
        <f t="array" aca="1" ref="T714" ca="1">IF(Первоначальный[[#This Row],[Итого остаток на начало периода]]&lt;1,0,
IF(
AND(TYPE(VLOOKUP(1,$Z$12:Z714,1,0))=16,Первоначальный[[#This Row],[Досрочное погашение (да/"")]]=""),0,
_xlfn.IFS(AND(S713=0,Первоначальный[[#This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платеж]]&lt;&gt;0),MIN(LOOKUP(,-1/($Z$12:Z714=1),$C$12:C714)+LOOKUP(,-1/($Z$12:Z714=1),$H$12:H714),Первоначальный[[#This Row],[Полученный платеж]]+Y713),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платеж]]+Y713,SUM(Первоначальный[[#This Row],[Остаток процентов на начало периода]],Первоначальный[[#This Row],[Проценты за период]])),
AND(S713=0,Первоначальный[[#This Row],[Дата платежа из графика]]=""),0,
AND(S713=0,Первоначальный[[#This Row],[Дата платежа из графика]]=1,MAX((0&lt;&gt;S$12:S713)*ROW(S$12:S713),ROW($S$12))&gt;=MAX((1=Z$12:Z713)*ROW(Z$12:Z713),ROW($T$12)),TYPE(VLOOKUP("Да",(INDIRECT("AA"&amp;(MAX((1=Z$12:Z713)*ROW(Z$12:Z713),ROW($T$12))&amp;":AA"&amp;(ROW()-1)))),1,0))=16),MIN(LOOKUP(,-1/($Z$12:Z714=1),$C$12:C714)+LOOKUP(,-1/($Z$12:Z714=1),$H$12:H714),Первоначальный[[#This Row],[Полученный платеж]]+Y713),
AND(S713=0,TYPE(VLOOKUP("Да",(INDIRECT("AA"&amp;(MAX((1=Z$12:Z713)*ROW(Z$12:Z713),ROW($T$12))&amp;":AA"&amp;(ROW()-1)))),1,0))&lt;&gt;16),MIN(LOOKUP(,-1/($Z$12:Z714=1),$C$12:C714)+LOOKUP(,-1/($Z$12:Z714=1),$H$12:H714)-IF(AA713="Да",0,SUM(INDIRECT("T"&amp;(MAX(("Да"=AA$12:AA713)*ROW(AA$12:AA713)+1,ROW($T$12))&amp;":T"&amp;(ROW()-1))))),Первоначальный[[#This Row],[Полученный платеж]]+Y713),
AND(S713=0,MAX((0&lt;&gt;N$12:N713)*ROW(N$12:N713),ROW($S$12))&gt;=MAX((1=Z$12:Z713)*ROW(Z$12:Z713),ROW($T$12))),MIN(LOOKUP(,-1/($Z$12:Z714=1),$C$12:C714)+LOOKUP(,-1/($Z$12:Z714=1),$H$12:H714)-IF(N713&lt;&gt;0,0,SUM(INDIRECT("T"&amp;(MAX((0&lt;&gt;N$12:N713)*ROW(N$12:N713)+1,ROW($T$12))&amp;":T"&amp;(ROW()-1))))),Первоначальный[[#This Row],[Полученный платеж]]+Y713),
AND(S713=0,Первоначальный[[#This Row],[Дата платежа из графика]]=1),MIN(LOOKUP(,-1/($Z$12:Z714=1),$C$12:C714)+LOOKUP(,-1/($Z$12:Z714=1),$H$12:H714)-IF(Z713=1,0,SUM(INDIRECT("T"&amp;(MAX((1=Z$12:Z713)*ROW(Z$12:Z713)+1,ROW($T$12))&amp;":T"&amp;(ROW()-1))))),Первоначальный[[#This Row],[Полученный платеж]]+Y713),
AND(Z713&gt;0,Первоначальный[[#This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платеж]]+Y713),
AND(S713&gt;0,MAX((0&lt;&gt;S$12:S713)*ROW(S$12:S713),ROW($S$12))&gt;=MAX((1=Z$12:Z713)*ROW(Z$12:Z713),ROW($T$12)),TYPE(VLOOKUP("Да",(INDIRECT("AA"&amp;(MAX((1=Z$12:Z713)*ROW(Z$12:Z713),ROW($T$12))&amp;":AA"&amp;(ROW()-1)))),1,0))=16),MIN(LOOKUP(,-1/($Z$12:Z714=1),$C$12:C714)+LOOKUP(,-1/($Z$12:Z714=1),$H$12:H714)-SUM(INDIRECT("T"&amp;(MAX((1=Z$12:Z713)*ROW(Z$12:Z713),ROW($T$12))&amp;":T"&amp;(ROW()-1)))),Первоначальный[[#This Row],[Полученный платеж]]+Y713),
S713&gt;0,MIN(LOOKUP(,-1/($Z$12:Z714=1),$C$12:C714)+LOOKUP(,-1/($Z$12:Z714=1),$H$12:H714)-IF(Z713=1,0,SUM(INDIRECT("T"&amp;(MAX((1=Z$12:Z713)*ROW(Z$12:Z713)+1,ROW($T$12))&amp;":T"&amp;(ROW()-1))))),Первоначальный[[#This Row],[Полученный платеж]]+Y713)
)
)
)</f>
        <v>0</v>
      </c>
      <c r="U71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платеж]]+Y713-Первоначальный[[#This Row],[Полученный платёж по процентам]])</f>
        <v>0</v>
      </c>
      <c r="V714" s="55">
        <f t="shared" ca="1" si="121"/>
        <v>0</v>
      </c>
      <c r="W714" s="55" cm="1">
        <f t="array" aca="1" ref="W714" ca="1">IF(Первоначальный[[#This Row],[Итого остаток на начало периода]]&lt;1,0,
_xlfn.IFS(
AND(TYPE(VLOOKUP(1,$Z$12:Z714,1,0))=16,Первоначальный[[#This Row],[Досрочное погашение (да/"")]]=""),0,
AND(S713=0,Первоначальный[[#This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платеж]]+Y713-SUM(Первоначальный[[#This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комиссиям]]),VLOOKUP(LOOKUP(,-1/($Z$12:Z714=1),$A$12:A714),График[[Срок конец]:[Возврат основной суммы долга]],3,0)),
AND(S713=0,Первоначальный[[#This Row],[Дата платежа из графика]]="",Первоначальный[[#This Row],[Досрочное погашение (да/"")]]&lt;&gt;"Да"),0,
AND(S713=0,Первоначальный[[#This Row],[Досрочное погашение (да/"")]]=""),MIN(Первоначальный[[#This Row],[Полученный платеж]]+Y713-SUM(Первоначальный[[#This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комиссиям]]),VLOOKUP(LOOKUP(,-1/($Z$12:Z714=1),$A$12:A714),График[[Срок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платеж]]+Y713-SUM(Первоначальный[[#This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S713&gt;0,MIN(Первоначальный[[#This Row],[Полученный платеж]]+Y713-SUM(Первоначальный[[#This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комиссиям]]),SUM(INDIRECT("M"&amp;(MAX((1=S$12:S713)*ROW(S$12:S713),ROW($W$12))&amp;":M"&amp;(ROW()))))-SUM(INDIRECT("W"&amp;(MAX((1=S$12:S713)*ROW(S$12:S713),ROW($W$12))&amp;":W"&amp;(ROW()-1)))))
)
)</f>
        <v>0</v>
      </c>
      <c r="X714" s="55">
        <f t="shared" ca="1" si="122"/>
        <v>0</v>
      </c>
      <c r="Y714" s="101">
        <f t="shared" ca="1" si="129"/>
        <v>0</v>
      </c>
      <c r="Z714" s="133" t="str">
        <f>IF(TYPE((VLOOKUP(Первоначальный[[#This Row],[Дата платежа]],График[Срок конец],1,0)))=16,"",1)</f>
        <v/>
      </c>
      <c r="AA714" s="57"/>
      <c r="AB714" s="134"/>
      <c r="AC71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1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50549.390000000072</v>
      </c>
      <c r="AE71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1648.9899999999975</v>
      </c>
      <c r="AF71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1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93300.777000000002</v>
      </c>
      <c r="AH714" s="55"/>
      <c r="AI714" s="55"/>
      <c r="AJ714" s="55"/>
      <c r="AK714" s="101">
        <f t="shared" ca="1" si="130"/>
        <v>295132.49700000009</v>
      </c>
      <c r="AL714" s="129">
        <f t="array" ref="AL714">MAX((УслРестрактов[Характеристика]="Дата реструктуризации")*(УслРестрактов[Значение]=Первоначальный!$A714),0)</f>
        <v>0</v>
      </c>
    </row>
    <row r="715" spans="1:38" x14ac:dyDescent="0.25">
      <c r="A715" s="97">
        <f t="shared" si="123"/>
        <v>44846</v>
      </c>
      <c r="B715" s="100">
        <f t="shared" ca="1" si="124"/>
        <v>149633.34</v>
      </c>
      <c r="C715" s="55">
        <f t="shared" ca="1" si="132"/>
        <v>50549.390000000072</v>
      </c>
      <c r="D715" s="55">
        <f t="shared" ca="1" si="132"/>
        <v>1648.9899999999975</v>
      </c>
      <c r="E715" s="55">
        <f t="shared" ca="1" si="125"/>
        <v>0</v>
      </c>
      <c r="F715" s="55">
        <f t="shared" ca="1" si="126"/>
        <v>93300.777000000002</v>
      </c>
      <c r="G715" s="101">
        <f t="shared" ca="1" si="127"/>
        <v>295132.49700000009</v>
      </c>
      <c r="H715" s="100">
        <f ca="1">ROUND($B715*VLOOKUP($A715,$A$1:$B$10,2,1)/(365+IF(MOD(YEAR($A715),4),0,1)*($A715-$A714)),2)-Первоначальный[[#This Row],[Проценты на просроченный платеж по ОД за период]]</f>
        <v>75.89</v>
      </c>
      <c r="I715" s="55">
        <f t="shared" ca="1" si="128"/>
        <v>5.69</v>
      </c>
      <c r="J715" s="55">
        <v>0</v>
      </c>
      <c r="K715" s="55">
        <f t="shared" ca="1" si="131"/>
        <v>304.11850327868842</v>
      </c>
      <c r="L715" s="55">
        <v>0</v>
      </c>
      <c r="M715" s="113">
        <f>SUMIFS(График[Возврат основной суммы долга],График[Дата с учетом нерабочих дней],$A715)</f>
        <v>0</v>
      </c>
      <c r="N715" s="56">
        <f>SUMIFS(График[Возврат начисленных %],График[Дата с учетом нерабочих дней],$A715)</f>
        <v>0</v>
      </c>
      <c r="O715" s="101">
        <v>0</v>
      </c>
      <c r="P715" s="100" cm="1">
        <f t="array" aca="1" ref="P715" ca="1">MAX(IF(AA714="Да",0,SUM(INDIRECT("M"&amp;(MAX(("Да"=AA$12:AA714)*ROW(AA$12:AA714)+1,ROW($P$12))&amp;":M"&amp;(ROW()))))-SUM(INDIRECT("W"&amp;(MAX(("Да"=AA$12:AA714)*ROW(AA$12:AA714)+1,ROW($P$12))&amp;":W"&amp;(ROW()))))),0)</f>
        <v>10428.589999999998</v>
      </c>
      <c r="Q715" s="99">
        <f ca="1">MAX(SUM($N$13:N715)-SUM($T$13:T715),0)</f>
        <v>50395.110655737692</v>
      </c>
      <c r="R715" s="99">
        <f ca="1">Первоначальный[[#This Row],[Просроченный платеж по ОД]]+Первоначальный[[#This Row],[Просроченный платеж по процентам]]</f>
        <v>60823.700655737688</v>
      </c>
      <c r="S715" s="120">
        <f ca="1">IF(Первоначальный[[#This Row],[Просроченный платеж]]&lt;1,0,S714+1)</f>
        <v>611</v>
      </c>
      <c r="T715" s="100" cm="1">
        <f t="array" aca="1" ref="T715" ca="1">IF(Первоначальный[[#This Row],[Итого остаток на начало периода]]&lt;1,0,
IF(
AND(TYPE(VLOOKUP(1,$Z$12:Z715,1,0))=16,Первоначальный[[#This Row],[Досрочное погашение (да/"")]]=""),0,
_xlfn.IFS(AND(S714=0,Первоначальный[[#This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платеж]]&lt;&gt;0),MIN(LOOKUP(,-1/($Z$12:Z715=1),$C$12:C715)+LOOKUP(,-1/($Z$12:Z715=1),$H$12:H715),Первоначальный[[#This Row],[Полученный платеж]]+Y714),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платеж]]+Y714,SUM(Первоначальный[[#This Row],[Остаток процентов на начало периода]],Первоначальный[[#This Row],[Проценты за период]])),
AND(S714=0,Первоначальный[[#This Row],[Дата платежа из графика]]=""),0,
AND(S714=0,Первоначальный[[#This Row],[Дата платежа из графика]]=1,MAX((0&lt;&gt;S$12:S714)*ROW(S$12:S714),ROW($S$12))&gt;=MAX((1=Z$12:Z714)*ROW(Z$12:Z714),ROW($T$12)),TYPE(VLOOKUP("Да",(INDIRECT("AA"&amp;(MAX((1=Z$12:Z714)*ROW(Z$12:Z714),ROW($T$12))&amp;":AA"&amp;(ROW()-1)))),1,0))=16),MIN(LOOKUP(,-1/($Z$12:Z715=1),$C$12:C715)+LOOKUP(,-1/($Z$12:Z715=1),$H$12:H715),Первоначальный[[#This Row],[Полученный платеж]]+Y714),
AND(S714=0,TYPE(VLOOKUP("Да",(INDIRECT("AA"&amp;(MAX((1=Z$12:Z714)*ROW(Z$12:Z714),ROW($T$12))&amp;":AA"&amp;(ROW()-1)))),1,0))&lt;&gt;16),MIN(LOOKUP(,-1/($Z$12:Z715=1),$C$12:C715)+LOOKUP(,-1/($Z$12:Z715=1),$H$12:H715)-IF(AA714="Да",0,SUM(INDIRECT("T"&amp;(MAX(("Да"=AA$12:AA714)*ROW(AA$12:AA714)+1,ROW($T$12))&amp;":T"&amp;(ROW()-1))))),Первоначальный[[#This Row],[Полученный платеж]]+Y714),
AND(S714=0,MAX((0&lt;&gt;N$12:N714)*ROW(N$12:N714),ROW($S$12))&gt;=MAX((1=Z$12:Z714)*ROW(Z$12:Z714),ROW($T$12))),MIN(LOOKUP(,-1/($Z$12:Z715=1),$C$12:C715)+LOOKUP(,-1/($Z$12:Z715=1),$H$12:H715)-IF(N714&lt;&gt;0,0,SUM(INDIRECT("T"&amp;(MAX((0&lt;&gt;N$12:N714)*ROW(N$12:N714)+1,ROW($T$12))&amp;":T"&amp;(ROW()-1))))),Первоначальный[[#This Row],[Полученный платеж]]+Y714),
AND(S714=0,Первоначальный[[#This Row],[Дата платежа из графика]]=1),MIN(LOOKUP(,-1/($Z$12:Z715=1),$C$12:C715)+LOOKUP(,-1/($Z$12:Z715=1),$H$12:H715)-IF(Z714=1,0,SUM(INDIRECT("T"&amp;(MAX((1=Z$12:Z714)*ROW(Z$12:Z714)+1,ROW($T$12))&amp;":T"&amp;(ROW()-1))))),Первоначальный[[#This Row],[Полученный платеж]]+Y714),
AND(Z714&gt;0,Первоначальный[[#This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платеж]]+Y714),
AND(S714&gt;0,MAX((0&lt;&gt;S$12:S714)*ROW(S$12:S714),ROW($S$12))&gt;=MAX((1=Z$12:Z714)*ROW(Z$12:Z714),ROW($T$12)),TYPE(VLOOKUP("Да",(INDIRECT("AA"&amp;(MAX((1=Z$12:Z714)*ROW(Z$12:Z714),ROW($T$12))&amp;":AA"&amp;(ROW()-1)))),1,0))=16),MIN(LOOKUP(,-1/($Z$12:Z715=1),$C$12:C715)+LOOKUP(,-1/($Z$12:Z715=1),$H$12:H715)-SUM(INDIRECT("T"&amp;(MAX((1=Z$12:Z714)*ROW(Z$12:Z714),ROW($T$12))&amp;":T"&amp;(ROW()-1)))),Первоначальный[[#This Row],[Полученный платеж]]+Y714),
S714&gt;0,MIN(LOOKUP(,-1/($Z$12:Z715=1),$C$12:C715)+LOOKUP(,-1/($Z$12:Z715=1),$H$12:H715)-IF(Z714=1,0,SUM(INDIRECT("T"&amp;(MAX((1=Z$12:Z714)*ROW(Z$12:Z714)+1,ROW($T$12))&amp;":T"&amp;(ROW()-1))))),Первоначальный[[#This Row],[Полученный платеж]]+Y714)
)
)
)</f>
        <v>0</v>
      </c>
      <c r="U71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платеж]]+Y714-Первоначальный[[#This Row],[Полученный платёж по процентам]])</f>
        <v>0</v>
      </c>
      <c r="V715" s="55">
        <f t="shared" ca="1" si="121"/>
        <v>0</v>
      </c>
      <c r="W715" s="55" cm="1">
        <f t="array" aca="1" ref="W715" ca="1">IF(Первоначальный[[#This Row],[Итого остаток на начало периода]]&lt;1,0,
_xlfn.IFS(
AND(TYPE(VLOOKUP(1,$Z$12:Z715,1,0))=16,Первоначальный[[#This Row],[Досрочное погашение (да/"")]]=""),0,
AND(S714=0,Первоначальный[[#This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платеж]]+Y714-SUM(Первоначальный[[#This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комиссиям]]),VLOOKUP(LOOKUP(,-1/($Z$12:Z715=1),$A$12:A715),График[[Срок конец]:[Возврат основной суммы долга]],3,0)),
AND(S714=0,Первоначальный[[#This Row],[Дата платежа из графика]]="",Первоначальный[[#This Row],[Досрочное погашение (да/"")]]&lt;&gt;"Да"),0,
AND(S714=0,Первоначальный[[#This Row],[Досрочное погашение (да/"")]]=""),MIN(Первоначальный[[#This Row],[Полученный платеж]]+Y714-SUM(Первоначальный[[#This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комиссиям]]),VLOOKUP(LOOKUP(,-1/($Z$12:Z715=1),$A$12:A715),График[[Срок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платеж]]+Y714-SUM(Первоначальный[[#This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S714&gt;0,MIN(Первоначальный[[#This Row],[Полученный платеж]]+Y714-SUM(Первоначальный[[#This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комиссиям]]),SUM(INDIRECT("M"&amp;(MAX((1=S$12:S714)*ROW(S$12:S714),ROW($W$12))&amp;":M"&amp;(ROW()))))-SUM(INDIRECT("W"&amp;(MAX((1=S$12:S714)*ROW(S$12:S714),ROW($W$12))&amp;":W"&amp;(ROW()-1)))))
)
)</f>
        <v>0</v>
      </c>
      <c r="X715" s="55">
        <f t="shared" ca="1" si="122"/>
        <v>0</v>
      </c>
      <c r="Y715" s="101">
        <f t="shared" ca="1" si="129"/>
        <v>0</v>
      </c>
      <c r="Z715" s="133" t="str">
        <f>IF(TYPE((VLOOKUP(Первоначальный[[#This Row],[Дата платежа]],График[Срок конец],1,0)))=16,"",1)</f>
        <v/>
      </c>
      <c r="AA715" s="57"/>
      <c r="AB715" s="134"/>
      <c r="AC71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1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50625.280000000072</v>
      </c>
      <c r="AE71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1654.6799999999976</v>
      </c>
      <c r="AF71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1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93604.895503278691</v>
      </c>
      <c r="AH715" s="55"/>
      <c r="AI715" s="55"/>
      <c r="AJ715" s="55"/>
      <c r="AK715" s="101">
        <f t="shared" ca="1" si="130"/>
        <v>295518.19550327875</v>
      </c>
      <c r="AL715" s="129">
        <f t="array" ref="AL715">MAX((УслРестрактов[Характеристика]="Дата реструктуризации")*(УслРестрактов[Значение]=Первоначальный!$A715),0)</f>
        <v>0</v>
      </c>
    </row>
    <row r="716" spans="1:38" x14ac:dyDescent="0.25">
      <c r="A716" s="97">
        <f t="shared" si="123"/>
        <v>44847</v>
      </c>
      <c r="B716" s="100">
        <f t="shared" ca="1" si="124"/>
        <v>149633.34</v>
      </c>
      <c r="C716" s="55">
        <f t="shared" ca="1" si="132"/>
        <v>50625.280000000072</v>
      </c>
      <c r="D716" s="55">
        <f t="shared" ca="1" si="132"/>
        <v>1654.6799999999976</v>
      </c>
      <c r="E716" s="55">
        <f t="shared" ca="1" si="125"/>
        <v>0</v>
      </c>
      <c r="F716" s="55">
        <f t="shared" ca="1" si="126"/>
        <v>93604.895503278691</v>
      </c>
      <c r="G716" s="101">
        <f t="shared" ca="1" si="127"/>
        <v>295518.19550327875</v>
      </c>
      <c r="H716" s="100">
        <f ca="1">ROUND($B716*VLOOKUP($A716,$A$1:$B$10,2,1)/(365+IF(MOD(YEAR($A716),4),0,1)*($A716-$A715)),2)-Первоначальный[[#This Row],[Проценты на просроченный платеж по ОД за период]]</f>
        <v>75.89</v>
      </c>
      <c r="I716" s="55">
        <f t="shared" ca="1" si="128"/>
        <v>5.69</v>
      </c>
      <c r="J716" s="55">
        <v>0</v>
      </c>
      <c r="K716" s="55">
        <f t="shared" ca="1" si="131"/>
        <v>304.11850327868842</v>
      </c>
      <c r="L716" s="55">
        <v>0</v>
      </c>
      <c r="M716" s="113">
        <f>SUMIFS(График[Возврат основной суммы долга],График[Дата с учетом нерабочих дней],$A716)</f>
        <v>0</v>
      </c>
      <c r="N716" s="56">
        <f>SUMIFS(График[Возврат начисленных %],График[Дата с учетом нерабочих дней],$A716)</f>
        <v>0</v>
      </c>
      <c r="O716" s="101">
        <v>0</v>
      </c>
      <c r="P716" s="100" cm="1">
        <f t="array" aca="1" ref="P716" ca="1">MAX(IF(AA715="Да",0,SUM(INDIRECT("M"&amp;(MAX(("Да"=AA$12:AA715)*ROW(AA$12:AA715)+1,ROW($P$12))&amp;":M"&amp;(ROW()))))-SUM(INDIRECT("W"&amp;(MAX(("Да"=AA$12:AA715)*ROW(AA$12:AA715)+1,ROW($P$12))&amp;":W"&amp;(ROW()))))),0)</f>
        <v>10428.589999999998</v>
      </c>
      <c r="Q716" s="99">
        <f ca="1">MAX(SUM($N$13:N716)-SUM($T$13:T716),0)</f>
        <v>50395.110655737692</v>
      </c>
      <c r="R716" s="99">
        <f ca="1">Первоначальный[[#This Row],[Просроченный платеж по ОД]]+Первоначальный[[#This Row],[Просроченный платеж по процентам]]</f>
        <v>60823.700655737688</v>
      </c>
      <c r="S716" s="120">
        <f ca="1">IF(Первоначальный[[#This Row],[Просроченный платеж]]&lt;1,0,S715+1)</f>
        <v>612</v>
      </c>
      <c r="T716" s="100" cm="1">
        <f t="array" aca="1" ref="T716" ca="1">IF(Первоначальный[[#This Row],[Итого остаток на начало периода]]&lt;1,0,
IF(
AND(TYPE(VLOOKUP(1,$Z$12:Z716,1,0))=16,Первоначальный[[#This Row],[Досрочное погашение (да/"")]]=""),0,
_xlfn.IFS(AND(S715=0,Первоначальный[[#This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платеж]]&lt;&gt;0),MIN(LOOKUP(,-1/($Z$12:Z716=1),$C$12:C716)+LOOKUP(,-1/($Z$12:Z716=1),$H$12:H716),Первоначальный[[#This Row],[Полученный платеж]]+Y715),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платеж]]+Y715,SUM(Первоначальный[[#This Row],[Остаток процентов на начало периода]],Первоначальный[[#This Row],[Проценты за период]])),
AND(S715=0,Первоначальный[[#This Row],[Дата платежа из графика]]=""),0,
AND(S715=0,Первоначальный[[#This Row],[Дата платежа из графика]]=1,MAX((0&lt;&gt;S$12:S715)*ROW(S$12:S715),ROW($S$12))&gt;=MAX((1=Z$12:Z715)*ROW(Z$12:Z715),ROW($T$12)),TYPE(VLOOKUP("Да",(INDIRECT("AA"&amp;(MAX((1=Z$12:Z715)*ROW(Z$12:Z715),ROW($T$12))&amp;":AA"&amp;(ROW()-1)))),1,0))=16),MIN(LOOKUP(,-1/($Z$12:Z716=1),$C$12:C716)+LOOKUP(,-1/($Z$12:Z716=1),$H$12:H716),Первоначальный[[#This Row],[Полученный платеж]]+Y715),
AND(S715=0,TYPE(VLOOKUP("Да",(INDIRECT("AA"&amp;(MAX((1=Z$12:Z715)*ROW(Z$12:Z715),ROW($T$12))&amp;":AA"&amp;(ROW()-1)))),1,0))&lt;&gt;16),MIN(LOOKUP(,-1/($Z$12:Z716=1),$C$12:C716)+LOOKUP(,-1/($Z$12:Z716=1),$H$12:H716)-IF(AA715="Да",0,SUM(INDIRECT("T"&amp;(MAX(("Да"=AA$12:AA715)*ROW(AA$12:AA715)+1,ROW($T$12))&amp;":T"&amp;(ROW()-1))))),Первоначальный[[#This Row],[Полученный платеж]]+Y715),
AND(S715=0,MAX((0&lt;&gt;N$12:N715)*ROW(N$12:N715),ROW($S$12))&gt;=MAX((1=Z$12:Z715)*ROW(Z$12:Z715),ROW($T$12))),MIN(LOOKUP(,-1/($Z$12:Z716=1),$C$12:C716)+LOOKUP(,-1/($Z$12:Z716=1),$H$12:H716)-IF(N715&lt;&gt;0,0,SUM(INDIRECT("T"&amp;(MAX((0&lt;&gt;N$12:N715)*ROW(N$12:N715)+1,ROW($T$12))&amp;":T"&amp;(ROW()-1))))),Первоначальный[[#This Row],[Полученный платеж]]+Y715),
AND(S715=0,Первоначальный[[#This Row],[Дата платежа из графика]]=1),MIN(LOOKUP(,-1/($Z$12:Z716=1),$C$12:C716)+LOOKUP(,-1/($Z$12:Z716=1),$H$12:H716)-IF(Z715=1,0,SUM(INDIRECT("T"&amp;(MAX((1=Z$12:Z715)*ROW(Z$12:Z715)+1,ROW($T$12))&amp;":T"&amp;(ROW()-1))))),Первоначальный[[#This Row],[Полученный платеж]]+Y715),
AND(Z715&gt;0,Первоначальный[[#This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платеж]]+Y715),
AND(S715&gt;0,MAX((0&lt;&gt;S$12:S715)*ROW(S$12:S715),ROW($S$12))&gt;=MAX((1=Z$12:Z715)*ROW(Z$12:Z715),ROW($T$12)),TYPE(VLOOKUP("Да",(INDIRECT("AA"&amp;(MAX((1=Z$12:Z715)*ROW(Z$12:Z715),ROW($T$12))&amp;":AA"&amp;(ROW()-1)))),1,0))=16),MIN(LOOKUP(,-1/($Z$12:Z716=1),$C$12:C716)+LOOKUP(,-1/($Z$12:Z716=1),$H$12:H716)-SUM(INDIRECT("T"&amp;(MAX((1=Z$12:Z715)*ROW(Z$12:Z715),ROW($T$12))&amp;":T"&amp;(ROW()-1)))),Первоначальный[[#This Row],[Полученный платеж]]+Y715),
S715&gt;0,MIN(LOOKUP(,-1/($Z$12:Z716=1),$C$12:C716)+LOOKUP(,-1/($Z$12:Z716=1),$H$12:H716)-IF(Z715=1,0,SUM(INDIRECT("T"&amp;(MAX((1=Z$12:Z715)*ROW(Z$12:Z715)+1,ROW($T$12))&amp;":T"&amp;(ROW()-1))))),Первоначальный[[#This Row],[Полученный платеж]]+Y715)
)
)
)</f>
        <v>0</v>
      </c>
      <c r="U71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платеж]]+Y715-Первоначальный[[#This Row],[Полученный платёж по процентам]])</f>
        <v>0</v>
      </c>
      <c r="V716" s="55">
        <f t="shared" ca="1" si="121"/>
        <v>0</v>
      </c>
      <c r="W716" s="55" cm="1">
        <f t="array" aca="1" ref="W716" ca="1">IF(Первоначальный[[#This Row],[Итого остаток на начало периода]]&lt;1,0,
_xlfn.IFS(
AND(TYPE(VLOOKUP(1,$Z$12:Z716,1,0))=16,Первоначальный[[#This Row],[Досрочное погашение (да/"")]]=""),0,
AND(S715=0,Первоначальный[[#This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платеж]]+Y715-SUM(Первоначальный[[#This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комиссиям]]),VLOOKUP(LOOKUP(,-1/($Z$12:Z716=1),$A$12:A716),График[[Срок конец]:[Возврат основной суммы долга]],3,0)),
AND(S715=0,Первоначальный[[#This Row],[Дата платежа из графика]]="",Первоначальный[[#This Row],[Досрочное погашение (да/"")]]&lt;&gt;"Да"),0,
AND(S715=0,Первоначальный[[#This Row],[Досрочное погашение (да/"")]]=""),MIN(Первоначальный[[#This Row],[Полученный платеж]]+Y715-SUM(Первоначальный[[#This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комиссиям]]),VLOOKUP(LOOKUP(,-1/($Z$12:Z716=1),$A$12:A716),График[[Срок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платеж]]+Y715-SUM(Первоначальный[[#This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S715&gt;0,MIN(Первоначальный[[#This Row],[Полученный платеж]]+Y715-SUM(Первоначальный[[#This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комиссиям]]),SUM(INDIRECT("M"&amp;(MAX((1=S$12:S715)*ROW(S$12:S715),ROW($W$12))&amp;":M"&amp;(ROW()))))-SUM(INDIRECT("W"&amp;(MAX((1=S$12:S715)*ROW(S$12:S715),ROW($W$12))&amp;":W"&amp;(ROW()-1)))))
)
)</f>
        <v>0</v>
      </c>
      <c r="X716" s="55">
        <f t="shared" ca="1" si="122"/>
        <v>0</v>
      </c>
      <c r="Y716" s="101">
        <f t="shared" ca="1" si="129"/>
        <v>0</v>
      </c>
      <c r="Z716" s="133" t="str">
        <f>IF(TYPE((VLOOKUP(Первоначальный[[#This Row],[Дата платежа]],График[Срок конец],1,0)))=16,"",1)</f>
        <v/>
      </c>
      <c r="AA716" s="57"/>
      <c r="AB716" s="134"/>
      <c r="AC71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1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50701.170000000071</v>
      </c>
      <c r="AE71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1660.3699999999976</v>
      </c>
      <c r="AF71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1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93909.01400655738</v>
      </c>
      <c r="AH716" s="55"/>
      <c r="AI716" s="55"/>
      <c r="AJ716" s="55"/>
      <c r="AK716" s="101">
        <f t="shared" ca="1" si="130"/>
        <v>295903.89400655741</v>
      </c>
      <c r="AL716" s="129">
        <f t="array" ref="AL716">MAX((УслРестрактов[Характеристика]="Дата реструктуризации")*(УслРестрактов[Значение]=Первоначальный!$A716),0)</f>
        <v>0</v>
      </c>
    </row>
    <row r="717" spans="1:38" x14ac:dyDescent="0.25">
      <c r="A717" s="97">
        <f t="shared" si="123"/>
        <v>44848</v>
      </c>
      <c r="B717" s="100">
        <f t="shared" ca="1" si="124"/>
        <v>149633.34</v>
      </c>
      <c r="C717" s="55">
        <f t="shared" ca="1" si="132"/>
        <v>50701.170000000071</v>
      </c>
      <c r="D717" s="55">
        <f t="shared" ca="1" si="132"/>
        <v>1660.3699999999976</v>
      </c>
      <c r="E717" s="55">
        <f t="shared" ca="1" si="125"/>
        <v>0</v>
      </c>
      <c r="F717" s="55">
        <f t="shared" ca="1" si="126"/>
        <v>93909.01400655738</v>
      </c>
      <c r="G717" s="101">
        <f t="shared" ca="1" si="127"/>
        <v>295903.89400655741</v>
      </c>
      <c r="H717" s="100">
        <f ca="1">ROUND($B717*VLOOKUP($A717,$A$1:$B$10,2,1)/(365+IF(MOD(YEAR($A717),4),0,1)*($A717-$A716)),2)-Первоначальный[[#This Row],[Проценты на просроченный платеж по ОД за период]]</f>
        <v>75.89</v>
      </c>
      <c r="I717" s="55">
        <f t="shared" ca="1" si="128"/>
        <v>5.69</v>
      </c>
      <c r="J717" s="55">
        <v>0</v>
      </c>
      <c r="K717" s="55">
        <f t="shared" ca="1" si="131"/>
        <v>304.11850327868842</v>
      </c>
      <c r="L717" s="55">
        <v>0</v>
      </c>
      <c r="M717" s="113">
        <f>SUMIFS(График[Возврат основной суммы долга],График[Дата с учетом нерабочих дней],$A717)</f>
        <v>0</v>
      </c>
      <c r="N717" s="56">
        <f>SUMIFS(График[Возврат начисленных %],График[Дата с учетом нерабочих дней],$A717)</f>
        <v>0</v>
      </c>
      <c r="O717" s="101">
        <v>0</v>
      </c>
      <c r="P717" s="100" cm="1">
        <f t="array" aca="1" ref="P717" ca="1">MAX(IF(AA716="Да",0,SUM(INDIRECT("M"&amp;(MAX(("Да"=AA$12:AA716)*ROW(AA$12:AA716)+1,ROW($P$12))&amp;":M"&amp;(ROW()))))-SUM(INDIRECT("W"&amp;(MAX(("Да"=AA$12:AA716)*ROW(AA$12:AA716)+1,ROW($P$12))&amp;":W"&amp;(ROW()))))),0)</f>
        <v>10428.589999999998</v>
      </c>
      <c r="Q717" s="99">
        <f ca="1">MAX(SUM($N$13:N717)-SUM($T$13:T717),0)</f>
        <v>50395.110655737692</v>
      </c>
      <c r="R717" s="99">
        <f ca="1">Первоначальный[[#This Row],[Просроченный платеж по ОД]]+Первоначальный[[#This Row],[Просроченный платеж по процентам]]</f>
        <v>60823.700655737688</v>
      </c>
      <c r="S717" s="120">
        <f ca="1">IF(Первоначальный[[#This Row],[Просроченный платеж]]&lt;1,0,S716+1)</f>
        <v>613</v>
      </c>
      <c r="T717" s="100" cm="1">
        <f t="array" aca="1" ref="T717" ca="1">IF(Первоначальный[[#This Row],[Итого остаток на начало периода]]&lt;1,0,
IF(
AND(TYPE(VLOOKUP(1,$Z$12:Z717,1,0))=16,Первоначальный[[#This Row],[Досрочное погашение (да/"")]]=""),0,
_xlfn.IFS(AND(S716=0,Первоначальный[[#This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платеж]]&lt;&gt;0),MIN(LOOKUP(,-1/($Z$12:Z717=1),$C$12:C717)+LOOKUP(,-1/($Z$12:Z717=1),$H$12:H717),Первоначальный[[#This Row],[Полученный платеж]]+Y716),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платеж]]+Y716,SUM(Первоначальный[[#This Row],[Остаток процентов на начало периода]],Первоначальный[[#This Row],[Проценты за период]])),
AND(S716=0,Первоначальный[[#This Row],[Дата платежа из графика]]=""),0,
AND(S716=0,Первоначальный[[#This Row],[Дата платежа из графика]]=1,MAX((0&lt;&gt;S$12:S716)*ROW(S$12:S716),ROW($S$12))&gt;=MAX((1=Z$12:Z716)*ROW(Z$12:Z716),ROW($T$12)),TYPE(VLOOKUP("Да",(INDIRECT("AA"&amp;(MAX((1=Z$12:Z716)*ROW(Z$12:Z716),ROW($T$12))&amp;":AA"&amp;(ROW()-1)))),1,0))=16),MIN(LOOKUP(,-1/($Z$12:Z717=1),$C$12:C717)+LOOKUP(,-1/($Z$12:Z717=1),$H$12:H717),Первоначальный[[#This Row],[Полученный платеж]]+Y716),
AND(S716=0,TYPE(VLOOKUP("Да",(INDIRECT("AA"&amp;(MAX((1=Z$12:Z716)*ROW(Z$12:Z716),ROW($T$12))&amp;":AA"&amp;(ROW()-1)))),1,0))&lt;&gt;16),MIN(LOOKUP(,-1/($Z$12:Z717=1),$C$12:C717)+LOOKUP(,-1/($Z$12:Z717=1),$H$12:H717)-IF(AA716="Да",0,SUM(INDIRECT("T"&amp;(MAX(("Да"=AA$12:AA716)*ROW(AA$12:AA716)+1,ROW($T$12))&amp;":T"&amp;(ROW()-1))))),Первоначальный[[#This Row],[Полученный платеж]]+Y716),
AND(S716=0,MAX((0&lt;&gt;N$12:N716)*ROW(N$12:N716),ROW($S$12))&gt;=MAX((1=Z$12:Z716)*ROW(Z$12:Z716),ROW($T$12))),MIN(LOOKUP(,-1/($Z$12:Z717=1),$C$12:C717)+LOOKUP(,-1/($Z$12:Z717=1),$H$12:H717)-IF(N716&lt;&gt;0,0,SUM(INDIRECT("T"&amp;(MAX((0&lt;&gt;N$12:N716)*ROW(N$12:N716)+1,ROW($T$12))&amp;":T"&amp;(ROW()-1))))),Первоначальный[[#This Row],[Полученный платеж]]+Y716),
AND(S716=0,Первоначальный[[#This Row],[Дата платежа из графика]]=1),MIN(LOOKUP(,-1/($Z$12:Z717=1),$C$12:C717)+LOOKUP(,-1/($Z$12:Z717=1),$H$12:H717)-IF(Z716=1,0,SUM(INDIRECT("T"&amp;(MAX((1=Z$12:Z716)*ROW(Z$12:Z716)+1,ROW($T$12))&amp;":T"&amp;(ROW()-1))))),Первоначальный[[#This Row],[Полученный платеж]]+Y716),
AND(Z716&gt;0,Первоначальный[[#This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платеж]]+Y716),
AND(S716&gt;0,MAX((0&lt;&gt;S$12:S716)*ROW(S$12:S716),ROW($S$12))&gt;=MAX((1=Z$12:Z716)*ROW(Z$12:Z716),ROW($T$12)),TYPE(VLOOKUP("Да",(INDIRECT("AA"&amp;(MAX((1=Z$12:Z716)*ROW(Z$12:Z716),ROW($T$12))&amp;":AA"&amp;(ROW()-1)))),1,0))=16),MIN(LOOKUP(,-1/($Z$12:Z717=1),$C$12:C717)+LOOKUP(,-1/($Z$12:Z717=1),$H$12:H717)-SUM(INDIRECT("T"&amp;(MAX((1=Z$12:Z716)*ROW(Z$12:Z716),ROW($T$12))&amp;":T"&amp;(ROW()-1)))),Первоначальный[[#This Row],[Полученный платеж]]+Y716),
S716&gt;0,MIN(LOOKUP(,-1/($Z$12:Z717=1),$C$12:C717)+LOOKUP(,-1/($Z$12:Z717=1),$H$12:H717)-IF(Z716=1,0,SUM(INDIRECT("T"&amp;(MAX((1=Z$12:Z716)*ROW(Z$12:Z716)+1,ROW($T$12))&amp;":T"&amp;(ROW()-1))))),Первоначальный[[#This Row],[Полученный платеж]]+Y716)
)
)
)</f>
        <v>0</v>
      </c>
      <c r="U71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платеж]]+Y716-Первоначальный[[#This Row],[Полученный платёж по процентам]])</f>
        <v>0</v>
      </c>
      <c r="V717" s="55">
        <f t="shared" ref="V717:V780" ca="1" si="133">MAX(MIN(SUM(O717,Y716)-SUM(T717:T717),SUM(E717,J717)),0)</f>
        <v>0</v>
      </c>
      <c r="W717" s="55" cm="1">
        <f t="array" aca="1" ref="W717" ca="1">IF(Первоначальный[[#This Row],[Итого остаток на начало периода]]&lt;1,0,
_xlfn.IFS(
AND(TYPE(VLOOKUP(1,$Z$12:Z717,1,0))=16,Первоначальный[[#This Row],[Досрочное погашение (да/"")]]=""),0,
AND(S716=0,Первоначальный[[#This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платеж]]+Y716-SUM(Первоначальный[[#This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комиссиям]]),VLOOKUP(LOOKUP(,-1/($Z$12:Z717=1),$A$12:A717),График[[Срок конец]:[Возврат основной суммы долга]],3,0)),
AND(S716=0,Первоначальный[[#This Row],[Дата платежа из графика]]="",Первоначальный[[#This Row],[Досрочное погашение (да/"")]]&lt;&gt;"Да"),0,
AND(S716=0,Первоначальный[[#This Row],[Досрочное погашение (да/"")]]=""),MIN(Первоначальный[[#This Row],[Полученный платеж]]+Y716-SUM(Первоначальный[[#This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комиссиям]]),VLOOKUP(LOOKUP(,-1/($Z$12:Z717=1),$A$12:A717),График[[Срок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платеж]]+Y716-SUM(Первоначальный[[#This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S716&gt;0,MIN(Первоначальный[[#This Row],[Полученный платеж]]+Y716-SUM(Первоначальный[[#This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комиссиям]]),SUM(INDIRECT("M"&amp;(MAX((1=S$12:S716)*ROW(S$12:S716),ROW($W$12))&amp;":M"&amp;(ROW()))))-SUM(INDIRECT("W"&amp;(MAX((1=S$12:S716)*ROW(S$12:S716),ROW($W$12))&amp;":W"&amp;(ROW()-1)))))
)
)</f>
        <v>0</v>
      </c>
      <c r="X717" s="55">
        <f t="shared" ref="X717:X780" ca="1" si="134">MAX(MIN(SUM(O717,Y716)-SUM(T717:W717),SUM(F717,K717)),0)</f>
        <v>0</v>
      </c>
      <c r="Y717" s="101">
        <f t="shared" ca="1" si="129"/>
        <v>0</v>
      </c>
      <c r="Z717" s="133" t="str">
        <f>IF(TYPE((VLOOKUP(Первоначальный[[#This Row],[Дата платежа]],График[Срок конец],1,0)))=16,"",1)</f>
        <v/>
      </c>
      <c r="AA717" s="57"/>
      <c r="AB717" s="134"/>
      <c r="AC71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1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50777.06000000007</v>
      </c>
      <c r="AE71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1666.0599999999977</v>
      </c>
      <c r="AF71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1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94213.132509836068</v>
      </c>
      <c r="AH717" s="55"/>
      <c r="AI717" s="55"/>
      <c r="AJ717" s="55"/>
      <c r="AK717" s="101">
        <f t="shared" ca="1" si="130"/>
        <v>296289.59250983613</v>
      </c>
      <c r="AL717" s="129">
        <f t="array" ref="AL717">MAX((УслРестрактов[Характеристика]="Дата реструктуризации")*(УслРестрактов[Значение]=Первоначальный!$A717),0)</f>
        <v>0</v>
      </c>
    </row>
    <row r="718" spans="1:38" x14ac:dyDescent="0.25">
      <c r="A718" s="97">
        <f t="shared" ref="A718:A781" si="135">A717+1</f>
        <v>44849</v>
      </c>
      <c r="B718" s="100">
        <f t="shared" ref="B718:B781" ca="1" si="136">AC717</f>
        <v>149633.34</v>
      </c>
      <c r="C718" s="55">
        <f t="shared" ca="1" si="132"/>
        <v>50777.06000000007</v>
      </c>
      <c r="D718" s="55">
        <f t="shared" ca="1" si="132"/>
        <v>1666.0599999999977</v>
      </c>
      <c r="E718" s="55">
        <f t="shared" ref="E718:E781" ca="1" si="137">AF717</f>
        <v>0</v>
      </c>
      <c r="F718" s="55">
        <f t="shared" ref="F718:F781" ca="1" si="138">AG717+AH717</f>
        <v>94213.132509836068</v>
      </c>
      <c r="G718" s="101">
        <f t="shared" ref="G718:G781" ca="1" si="139">AK717</f>
        <v>296289.59250983613</v>
      </c>
      <c r="H718" s="100">
        <f ca="1">ROUND($B718*VLOOKUP($A718,$A$1:$B$10,2,1)/(365+IF(MOD(YEAR($A718),4),0,1)*($A718-$A717)),2)-Первоначальный[[#This Row],[Проценты на просроченный платеж по ОД за период]]</f>
        <v>75.89</v>
      </c>
      <c r="I718" s="55">
        <f t="shared" ref="I718:I781" ca="1" si="140">ROUND(P717*VLOOKUP($A718,$A$1:$B$10,2,1)/(365+IF(MOD(YEAR($A718),4),0,1)*($A718-$A717)),2)</f>
        <v>5.69</v>
      </c>
      <c r="J718" s="55">
        <v>0</v>
      </c>
      <c r="K718" s="55">
        <f t="shared" ca="1" si="131"/>
        <v>304.11850327868842</v>
      </c>
      <c r="L718" s="55">
        <v>0</v>
      </c>
      <c r="M718" s="113">
        <f>SUMIFS(График[Возврат основной суммы долга],График[Дата с учетом нерабочих дней],$A718)</f>
        <v>0</v>
      </c>
      <c r="N718" s="56">
        <f>SUMIFS(График[Возврат начисленных %],График[Дата с учетом нерабочих дней],$A718)</f>
        <v>0</v>
      </c>
      <c r="O718" s="101">
        <v>0</v>
      </c>
      <c r="P718" s="100" cm="1">
        <f t="array" aca="1" ref="P718" ca="1">MAX(IF(AA717="Да",0,SUM(INDIRECT("M"&amp;(MAX(("Да"=AA$12:AA717)*ROW(AA$12:AA717)+1,ROW($P$12))&amp;":M"&amp;(ROW()))))-SUM(INDIRECT("W"&amp;(MAX(("Да"=AA$12:AA717)*ROW(AA$12:AA717)+1,ROW($P$12))&amp;":W"&amp;(ROW()))))),0)</f>
        <v>10428.589999999998</v>
      </c>
      <c r="Q718" s="99">
        <f ca="1">MAX(SUM($N$13:N718)-SUM($T$13:T718),0)</f>
        <v>50395.110655737692</v>
      </c>
      <c r="R718" s="99">
        <f ca="1">Первоначальный[[#This Row],[Просроченный платеж по ОД]]+Первоначальный[[#This Row],[Просроченный платеж по процентам]]</f>
        <v>60823.700655737688</v>
      </c>
      <c r="S718" s="120">
        <f ca="1">IF(Первоначальный[[#This Row],[Просроченный платеж]]&lt;1,0,S717+1)</f>
        <v>614</v>
      </c>
      <c r="T718" s="100" cm="1">
        <f t="array" aca="1" ref="T718" ca="1">IF(Первоначальный[[#This Row],[Итого остаток на начало периода]]&lt;1,0,
IF(
AND(TYPE(VLOOKUP(1,$Z$12:Z718,1,0))=16,Первоначальный[[#This Row],[Досрочное погашение (да/"")]]=""),0,
_xlfn.IFS(AND(S717=0,Первоначальный[[#This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платеж]]&lt;&gt;0),MIN(LOOKUP(,-1/($Z$12:Z718=1),$C$12:C718)+LOOKUP(,-1/($Z$12:Z718=1),$H$12:H718),Первоначальный[[#This Row],[Полученный платеж]]+Y717),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платеж]]+Y717,SUM(Первоначальный[[#This Row],[Остаток процентов на начало периода]],Первоначальный[[#This Row],[Проценты за период]])),
AND(S717=0,Первоначальный[[#This Row],[Дата платежа из графика]]=""),0,
AND(S717=0,Первоначальный[[#This Row],[Дата платежа из графика]]=1,MAX((0&lt;&gt;S$12:S717)*ROW(S$12:S717),ROW($S$12))&gt;=MAX((1=Z$12:Z717)*ROW(Z$12:Z717),ROW($T$12)),TYPE(VLOOKUP("Да",(INDIRECT("AA"&amp;(MAX((1=Z$12:Z717)*ROW(Z$12:Z717),ROW($T$12))&amp;":AA"&amp;(ROW()-1)))),1,0))=16),MIN(LOOKUP(,-1/($Z$12:Z718=1),$C$12:C718)+LOOKUP(,-1/($Z$12:Z718=1),$H$12:H718),Первоначальный[[#This Row],[Полученный платеж]]+Y717),
AND(S717=0,TYPE(VLOOKUP("Да",(INDIRECT("AA"&amp;(MAX((1=Z$12:Z717)*ROW(Z$12:Z717),ROW($T$12))&amp;":AA"&amp;(ROW()-1)))),1,0))&lt;&gt;16),MIN(LOOKUP(,-1/($Z$12:Z718=1),$C$12:C718)+LOOKUP(,-1/($Z$12:Z718=1),$H$12:H718)-IF(AA717="Да",0,SUM(INDIRECT("T"&amp;(MAX(("Да"=AA$12:AA717)*ROW(AA$12:AA717)+1,ROW($T$12))&amp;":T"&amp;(ROW()-1))))),Первоначальный[[#This Row],[Полученный платеж]]+Y717),
AND(S717=0,MAX((0&lt;&gt;N$12:N717)*ROW(N$12:N717),ROW($S$12))&gt;=MAX((1=Z$12:Z717)*ROW(Z$12:Z717),ROW($T$12))),MIN(LOOKUP(,-1/($Z$12:Z718=1),$C$12:C718)+LOOKUP(,-1/($Z$12:Z718=1),$H$12:H718)-IF(N717&lt;&gt;0,0,SUM(INDIRECT("T"&amp;(MAX((0&lt;&gt;N$12:N717)*ROW(N$12:N717)+1,ROW($T$12))&amp;":T"&amp;(ROW()-1))))),Первоначальный[[#This Row],[Полученный платеж]]+Y717),
AND(S717=0,Первоначальный[[#This Row],[Дата платежа из графика]]=1),MIN(LOOKUP(,-1/($Z$12:Z718=1),$C$12:C718)+LOOKUP(,-1/($Z$12:Z718=1),$H$12:H718)-IF(Z717=1,0,SUM(INDIRECT("T"&amp;(MAX((1=Z$12:Z717)*ROW(Z$12:Z717)+1,ROW($T$12))&amp;":T"&amp;(ROW()-1))))),Первоначальный[[#This Row],[Полученный платеж]]+Y717),
AND(Z717&gt;0,Первоначальный[[#This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платеж]]+Y717),
AND(S717&gt;0,MAX((0&lt;&gt;S$12:S717)*ROW(S$12:S717),ROW($S$12))&gt;=MAX((1=Z$12:Z717)*ROW(Z$12:Z717),ROW($T$12)),TYPE(VLOOKUP("Да",(INDIRECT("AA"&amp;(MAX((1=Z$12:Z717)*ROW(Z$12:Z717),ROW($T$12))&amp;":AA"&amp;(ROW()-1)))),1,0))=16),MIN(LOOKUP(,-1/($Z$12:Z718=1),$C$12:C718)+LOOKUP(,-1/($Z$12:Z718=1),$H$12:H718)-SUM(INDIRECT("T"&amp;(MAX((1=Z$12:Z717)*ROW(Z$12:Z717),ROW($T$12))&amp;":T"&amp;(ROW()-1)))),Первоначальный[[#This Row],[Полученный платеж]]+Y717),
S717&gt;0,MIN(LOOKUP(,-1/($Z$12:Z718=1),$C$12:C718)+LOOKUP(,-1/($Z$12:Z718=1),$H$12:H718)-IF(Z717=1,0,SUM(INDIRECT("T"&amp;(MAX((1=Z$12:Z717)*ROW(Z$12:Z717)+1,ROW($T$12))&amp;":T"&amp;(ROW()-1))))),Первоначальный[[#This Row],[Полученный платеж]]+Y717)
)
)
)</f>
        <v>0</v>
      </c>
      <c r="U71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платеж]]+Y717-Первоначальный[[#This Row],[Полученный платёж по процентам]])</f>
        <v>0</v>
      </c>
      <c r="V718" s="55">
        <f t="shared" ca="1" si="133"/>
        <v>0</v>
      </c>
      <c r="W718" s="55" cm="1">
        <f t="array" aca="1" ref="W718" ca="1">IF(Первоначальный[[#This Row],[Итого остаток на начало периода]]&lt;1,0,
_xlfn.IFS(
AND(TYPE(VLOOKUP(1,$Z$12:Z718,1,0))=16,Первоначальный[[#This Row],[Досрочное погашение (да/"")]]=""),0,
AND(S717=0,Первоначальный[[#This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платеж]]+Y717-SUM(Первоначальный[[#This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комиссиям]]),VLOOKUP(LOOKUP(,-1/($Z$12:Z718=1),$A$12:A718),График[[Срок конец]:[Возврат основной суммы долга]],3,0)),
AND(S717=0,Первоначальный[[#This Row],[Дата платежа из графика]]="",Первоначальный[[#This Row],[Досрочное погашение (да/"")]]&lt;&gt;"Да"),0,
AND(S717=0,Первоначальный[[#This Row],[Досрочное погашение (да/"")]]=""),MIN(Первоначальный[[#This Row],[Полученный платеж]]+Y717-SUM(Первоначальный[[#This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комиссиям]]),VLOOKUP(LOOKUP(,-1/($Z$12:Z718=1),$A$12:A718),График[[Срок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платеж]]+Y717-SUM(Первоначальный[[#This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S717&gt;0,MIN(Первоначальный[[#This Row],[Полученный платеж]]+Y717-SUM(Первоначальный[[#This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комиссиям]]),SUM(INDIRECT("M"&amp;(MAX((1=S$12:S717)*ROW(S$12:S717),ROW($W$12))&amp;":M"&amp;(ROW()))))-SUM(INDIRECT("W"&amp;(MAX((1=S$12:S717)*ROW(S$12:S717),ROW($W$12))&amp;":W"&amp;(ROW()-1)))))
)
)</f>
        <v>0</v>
      </c>
      <c r="X718" s="55">
        <f t="shared" ca="1" si="134"/>
        <v>0</v>
      </c>
      <c r="Y718" s="101">
        <f t="shared" ref="Y718:Y781" ca="1" si="141">ROUND(Y717+O718-SUM(T718:X718),2)</f>
        <v>0</v>
      </c>
      <c r="Z718" s="133" t="str">
        <f>IF(TYPE((VLOOKUP(Первоначальный[[#This Row],[Дата платежа]],График[Срок конец],1,0)))=16,"",1)</f>
        <v/>
      </c>
      <c r="AA718" s="57"/>
      <c r="AB718" s="134"/>
      <c r="AC71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1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50852.95000000007</v>
      </c>
      <c r="AE71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1671.7499999999977</v>
      </c>
      <c r="AF71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1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94517.251013114757</v>
      </c>
      <c r="AH718" s="55"/>
      <c r="AI718" s="55"/>
      <c r="AJ718" s="55"/>
      <c r="AK718" s="101">
        <f t="shared" ref="AK718:AK781" ca="1" si="142">SUM(AC718:AJ718)</f>
        <v>296675.29101311485</v>
      </c>
      <c r="AL718" s="129">
        <f t="array" ref="AL718">MAX((УслРестрактов[Характеристика]="Дата реструктуризации")*(УслРестрактов[Значение]=Первоначальный!$A718),0)</f>
        <v>0</v>
      </c>
    </row>
    <row r="719" spans="1:38" x14ac:dyDescent="0.25">
      <c r="A719" s="97">
        <f t="shared" si="135"/>
        <v>44850</v>
      </c>
      <c r="B719" s="100">
        <f t="shared" ca="1" si="136"/>
        <v>149633.34</v>
      </c>
      <c r="C719" s="55">
        <f t="shared" ca="1" si="132"/>
        <v>50852.95000000007</v>
      </c>
      <c r="D719" s="55">
        <f t="shared" ca="1" si="132"/>
        <v>1671.7499999999977</v>
      </c>
      <c r="E719" s="55">
        <f t="shared" ca="1" si="137"/>
        <v>0</v>
      </c>
      <c r="F719" s="55">
        <f t="shared" ca="1" si="138"/>
        <v>94517.251013114757</v>
      </c>
      <c r="G719" s="101">
        <f t="shared" ca="1" si="139"/>
        <v>296675.29101311485</v>
      </c>
      <c r="H719" s="100">
        <f ca="1">ROUND($B719*VLOOKUP($A719,$A$1:$B$10,2,1)/(365+IF(MOD(YEAR($A719),4),0,1)*($A719-$A718)),2)-Первоначальный[[#This Row],[Проценты на просроченный платеж по ОД за период]]</f>
        <v>75.89</v>
      </c>
      <c r="I719" s="55">
        <f t="shared" ca="1" si="140"/>
        <v>5.69</v>
      </c>
      <c r="J719" s="55">
        <v>0</v>
      </c>
      <c r="K719" s="55">
        <f t="shared" ref="K719:K782" ca="1" si="143">IF(S719&lt;&gt;0,R719*$B$7,0)</f>
        <v>304.11850327868842</v>
      </c>
      <c r="L719" s="55">
        <v>0</v>
      </c>
      <c r="M719" s="113">
        <f>SUMIFS(График[Возврат основной суммы долга],График[Дата с учетом нерабочих дней],$A719)</f>
        <v>0</v>
      </c>
      <c r="N719" s="56">
        <f>SUMIFS(График[Возврат начисленных %],График[Дата с учетом нерабочих дней],$A719)</f>
        <v>0</v>
      </c>
      <c r="O719" s="101">
        <v>0</v>
      </c>
      <c r="P719" s="100" cm="1">
        <f t="array" aca="1" ref="P719" ca="1">MAX(IF(AA718="Да",0,SUM(INDIRECT("M"&amp;(MAX(("Да"=AA$12:AA718)*ROW(AA$12:AA718)+1,ROW($P$12))&amp;":M"&amp;(ROW()))))-SUM(INDIRECT("W"&amp;(MAX(("Да"=AA$12:AA718)*ROW(AA$12:AA718)+1,ROW($P$12))&amp;":W"&amp;(ROW()))))),0)</f>
        <v>10428.589999999998</v>
      </c>
      <c r="Q719" s="99">
        <f ca="1">MAX(SUM($N$13:N719)-SUM($T$13:T719),0)</f>
        <v>50395.110655737692</v>
      </c>
      <c r="R719" s="99">
        <f ca="1">Первоначальный[[#This Row],[Просроченный платеж по ОД]]+Первоначальный[[#This Row],[Просроченный платеж по процентам]]</f>
        <v>60823.700655737688</v>
      </c>
      <c r="S719" s="120">
        <f ca="1">IF(Первоначальный[[#This Row],[Просроченный платеж]]&lt;1,0,S718+1)</f>
        <v>615</v>
      </c>
      <c r="T719" s="100" cm="1">
        <f t="array" aca="1" ref="T719" ca="1">IF(Первоначальный[[#This Row],[Итого остаток на начало периода]]&lt;1,0,
IF(
AND(TYPE(VLOOKUP(1,$Z$12:Z719,1,0))=16,Первоначальный[[#This Row],[Досрочное погашение (да/"")]]=""),0,
_xlfn.IFS(AND(S718=0,Первоначальный[[#This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платеж]]&lt;&gt;0),MIN(LOOKUP(,-1/($Z$12:Z719=1),$C$12:C719)+LOOKUP(,-1/($Z$12:Z719=1),$H$12:H719),Первоначальный[[#This Row],[Полученный платеж]]+Y718),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платеж]]+Y718,SUM(Первоначальный[[#This Row],[Остаток процентов на начало периода]],Первоначальный[[#This Row],[Проценты за период]])),
AND(S718=0,Первоначальный[[#This Row],[Дата платежа из графика]]=""),0,
AND(S718=0,Первоначальный[[#This Row],[Дата платежа из графика]]=1,MAX((0&lt;&gt;S$12:S718)*ROW(S$12:S718),ROW($S$12))&gt;=MAX((1=Z$12:Z718)*ROW(Z$12:Z718),ROW($T$12)),TYPE(VLOOKUP("Да",(INDIRECT("AA"&amp;(MAX((1=Z$12:Z718)*ROW(Z$12:Z718),ROW($T$12))&amp;":AA"&amp;(ROW()-1)))),1,0))=16),MIN(LOOKUP(,-1/($Z$12:Z719=1),$C$12:C719)+LOOKUP(,-1/($Z$12:Z719=1),$H$12:H719),Первоначальный[[#This Row],[Полученный платеж]]+Y718),
AND(S718=0,TYPE(VLOOKUP("Да",(INDIRECT("AA"&amp;(MAX((1=Z$12:Z718)*ROW(Z$12:Z718),ROW($T$12))&amp;":AA"&amp;(ROW()-1)))),1,0))&lt;&gt;16),MIN(LOOKUP(,-1/($Z$12:Z719=1),$C$12:C719)+LOOKUP(,-1/($Z$12:Z719=1),$H$12:H719)-IF(AA718="Да",0,SUM(INDIRECT("T"&amp;(MAX(("Да"=AA$12:AA718)*ROW(AA$12:AA718)+1,ROW($T$12))&amp;":T"&amp;(ROW()-1))))),Первоначальный[[#This Row],[Полученный платеж]]+Y718),
AND(S718=0,MAX((0&lt;&gt;N$12:N718)*ROW(N$12:N718),ROW($S$12))&gt;=MAX((1=Z$12:Z718)*ROW(Z$12:Z718),ROW($T$12))),MIN(LOOKUP(,-1/($Z$12:Z719=1),$C$12:C719)+LOOKUP(,-1/($Z$12:Z719=1),$H$12:H719)-IF(N718&lt;&gt;0,0,SUM(INDIRECT("T"&amp;(MAX((0&lt;&gt;N$12:N718)*ROW(N$12:N718)+1,ROW($T$12))&amp;":T"&amp;(ROW()-1))))),Первоначальный[[#This Row],[Полученный платеж]]+Y718),
AND(S718=0,Первоначальный[[#This Row],[Дата платежа из графика]]=1),MIN(LOOKUP(,-1/($Z$12:Z719=1),$C$12:C719)+LOOKUP(,-1/($Z$12:Z719=1),$H$12:H719)-IF(Z718=1,0,SUM(INDIRECT("T"&amp;(MAX((1=Z$12:Z718)*ROW(Z$12:Z718)+1,ROW($T$12))&amp;":T"&amp;(ROW()-1))))),Первоначальный[[#This Row],[Полученный платеж]]+Y718),
AND(Z718&gt;0,Первоначальный[[#This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платеж]]+Y718),
AND(S718&gt;0,MAX((0&lt;&gt;S$12:S718)*ROW(S$12:S718),ROW($S$12))&gt;=MAX((1=Z$12:Z718)*ROW(Z$12:Z718),ROW($T$12)),TYPE(VLOOKUP("Да",(INDIRECT("AA"&amp;(MAX((1=Z$12:Z718)*ROW(Z$12:Z718),ROW($T$12))&amp;":AA"&amp;(ROW()-1)))),1,0))=16),MIN(LOOKUP(,-1/($Z$12:Z719=1),$C$12:C719)+LOOKUP(,-1/($Z$12:Z719=1),$H$12:H719)-SUM(INDIRECT("T"&amp;(MAX((1=Z$12:Z718)*ROW(Z$12:Z718),ROW($T$12))&amp;":T"&amp;(ROW()-1)))),Первоначальный[[#This Row],[Полученный платеж]]+Y718),
S718&gt;0,MIN(LOOKUP(,-1/($Z$12:Z719=1),$C$12:C719)+LOOKUP(,-1/($Z$12:Z719=1),$H$12:H719)-IF(Z718=1,0,SUM(INDIRECT("T"&amp;(MAX((1=Z$12:Z718)*ROW(Z$12:Z718)+1,ROW($T$12))&amp;":T"&amp;(ROW()-1))))),Первоначальный[[#This Row],[Полученный платеж]]+Y718)
)
)
)</f>
        <v>0</v>
      </c>
      <c r="U71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платеж]]+Y718-Первоначальный[[#This Row],[Полученный платёж по процентам]])</f>
        <v>0</v>
      </c>
      <c r="V719" s="55">
        <f t="shared" ca="1" si="133"/>
        <v>0</v>
      </c>
      <c r="W719" s="55" cm="1">
        <f t="array" aca="1" ref="W719" ca="1">IF(Первоначальный[[#This Row],[Итого остаток на начало периода]]&lt;1,0,
_xlfn.IFS(
AND(TYPE(VLOOKUP(1,$Z$12:Z719,1,0))=16,Первоначальный[[#This Row],[Досрочное погашение (да/"")]]=""),0,
AND(S718=0,Первоначальный[[#This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платеж]]+Y718-SUM(Первоначальный[[#This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комиссиям]]),VLOOKUP(LOOKUP(,-1/($Z$12:Z719=1),$A$12:A719),График[[Срок конец]:[Возврат основной суммы долга]],3,0)),
AND(S718=0,Первоначальный[[#This Row],[Дата платежа из графика]]="",Первоначальный[[#This Row],[Досрочное погашение (да/"")]]&lt;&gt;"Да"),0,
AND(S718=0,Первоначальный[[#This Row],[Досрочное погашение (да/"")]]=""),MIN(Первоначальный[[#This Row],[Полученный платеж]]+Y718-SUM(Первоначальный[[#This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комиссиям]]),VLOOKUP(LOOKUP(,-1/($Z$12:Z719=1),$A$12:A719),График[[Срок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платеж]]+Y718-SUM(Первоначальный[[#This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S718&gt;0,MIN(Первоначальный[[#This Row],[Полученный платеж]]+Y718-SUM(Первоначальный[[#This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комиссиям]]),SUM(INDIRECT("M"&amp;(MAX((1=S$12:S718)*ROW(S$12:S718),ROW($W$12))&amp;":M"&amp;(ROW()))))-SUM(INDIRECT("W"&amp;(MAX((1=S$12:S718)*ROW(S$12:S718),ROW($W$12))&amp;":W"&amp;(ROW()-1)))))
)
)</f>
        <v>0</v>
      </c>
      <c r="X719" s="55">
        <f t="shared" ca="1" si="134"/>
        <v>0</v>
      </c>
      <c r="Y719" s="101">
        <f t="shared" ca="1" si="141"/>
        <v>0</v>
      </c>
      <c r="Z719" s="133" t="str">
        <f>IF(TYPE((VLOOKUP(Первоначальный[[#This Row],[Дата платежа]],График[Срок конец],1,0)))=16,"",1)</f>
        <v/>
      </c>
      <c r="AA719" s="57"/>
      <c r="AB719" s="134"/>
      <c r="AC71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1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50928.840000000069</v>
      </c>
      <c r="AE71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1677.4399999999978</v>
      </c>
      <c r="AF71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1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94821.369516393446</v>
      </c>
      <c r="AH719" s="55"/>
      <c r="AI719" s="55"/>
      <c r="AJ719" s="55"/>
      <c r="AK719" s="101">
        <f t="shared" ca="1" si="142"/>
        <v>297060.98951639351</v>
      </c>
      <c r="AL719" s="129">
        <f t="array" ref="AL719">MAX((УслРестрактов[Характеристика]="Дата реструктуризации")*(УслРестрактов[Значение]=Первоначальный!$A719),0)</f>
        <v>0</v>
      </c>
    </row>
    <row r="720" spans="1:38" x14ac:dyDescent="0.25">
      <c r="A720" s="97">
        <f t="shared" si="135"/>
        <v>44851</v>
      </c>
      <c r="B720" s="100">
        <f t="shared" ca="1" si="136"/>
        <v>149633.34</v>
      </c>
      <c r="C720" s="55">
        <f t="shared" ca="1" si="132"/>
        <v>50928.840000000069</v>
      </c>
      <c r="D720" s="55">
        <f t="shared" ca="1" si="132"/>
        <v>1677.4399999999978</v>
      </c>
      <c r="E720" s="55">
        <f t="shared" ca="1" si="137"/>
        <v>0</v>
      </c>
      <c r="F720" s="55">
        <f t="shared" ca="1" si="138"/>
        <v>94821.369516393446</v>
      </c>
      <c r="G720" s="101">
        <f t="shared" ca="1" si="139"/>
        <v>297060.98951639351</v>
      </c>
      <c r="H720" s="100">
        <f ca="1">ROUND($B720*VLOOKUP($A720,$A$1:$B$10,2,1)/(365+IF(MOD(YEAR($A720),4),0,1)*($A720-$A719)),2)-Первоначальный[[#This Row],[Проценты на просроченный платеж по ОД за период]]</f>
        <v>75.89</v>
      </c>
      <c r="I720" s="55">
        <f t="shared" ca="1" si="140"/>
        <v>5.69</v>
      </c>
      <c r="J720" s="55">
        <v>0</v>
      </c>
      <c r="K720" s="55">
        <f t="shared" ca="1" si="143"/>
        <v>304.11850327868842</v>
      </c>
      <c r="L720" s="55">
        <v>0</v>
      </c>
      <c r="M720" s="113">
        <f>SUMIFS(График[Возврат основной суммы долга],График[Дата с учетом нерабочих дней],$A720)</f>
        <v>0</v>
      </c>
      <c r="N720" s="56">
        <f>SUMIFS(График[Возврат начисленных %],График[Дата с учетом нерабочих дней],$A720)</f>
        <v>0</v>
      </c>
      <c r="O720" s="101">
        <v>0</v>
      </c>
      <c r="P720" s="100" cm="1">
        <f t="array" aca="1" ref="P720" ca="1">MAX(IF(AA719="Да",0,SUM(INDIRECT("M"&amp;(MAX(("Да"=AA$12:AA719)*ROW(AA$12:AA719)+1,ROW($P$12))&amp;":M"&amp;(ROW()))))-SUM(INDIRECT("W"&amp;(MAX(("Да"=AA$12:AA719)*ROW(AA$12:AA719)+1,ROW($P$12))&amp;":W"&amp;(ROW()))))),0)</f>
        <v>10428.589999999998</v>
      </c>
      <c r="Q720" s="99">
        <f ca="1">MAX(SUM($N$13:N720)-SUM($T$13:T720),0)</f>
        <v>50395.110655737692</v>
      </c>
      <c r="R720" s="99">
        <f ca="1">Первоначальный[[#This Row],[Просроченный платеж по ОД]]+Первоначальный[[#This Row],[Просроченный платеж по процентам]]</f>
        <v>60823.700655737688</v>
      </c>
      <c r="S720" s="120">
        <f ca="1">IF(Первоначальный[[#This Row],[Просроченный платеж]]&lt;1,0,S719+1)</f>
        <v>616</v>
      </c>
      <c r="T720" s="100" cm="1">
        <f t="array" aca="1" ref="T720" ca="1">IF(Первоначальный[[#This Row],[Итого остаток на начало периода]]&lt;1,0,
IF(
AND(TYPE(VLOOKUP(1,$Z$12:Z720,1,0))=16,Первоначальный[[#This Row],[Досрочное погашение (да/"")]]=""),0,
_xlfn.IFS(AND(S719=0,Первоначальный[[#This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платеж]]&lt;&gt;0),MIN(LOOKUP(,-1/($Z$12:Z720=1),$C$12:C720)+LOOKUP(,-1/($Z$12:Z720=1),$H$12:H720),Первоначальный[[#This Row],[Полученный платеж]]+Y719),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платеж]]+Y719,SUM(Первоначальный[[#This Row],[Остаток процентов на начало периода]],Первоначальный[[#This Row],[Проценты за период]])),
AND(S719=0,Первоначальный[[#This Row],[Дата платежа из графика]]=""),0,
AND(S719=0,Первоначальный[[#This Row],[Дата платежа из графика]]=1,MAX((0&lt;&gt;S$12:S719)*ROW(S$12:S719),ROW($S$12))&gt;=MAX((1=Z$12:Z719)*ROW(Z$12:Z719),ROW($T$12)),TYPE(VLOOKUP("Да",(INDIRECT("AA"&amp;(MAX((1=Z$12:Z719)*ROW(Z$12:Z719),ROW($T$12))&amp;":AA"&amp;(ROW()-1)))),1,0))=16),MIN(LOOKUP(,-1/($Z$12:Z720=1),$C$12:C720)+LOOKUP(,-1/($Z$12:Z720=1),$H$12:H720),Первоначальный[[#This Row],[Полученный платеж]]+Y719),
AND(S719=0,TYPE(VLOOKUP("Да",(INDIRECT("AA"&amp;(MAX((1=Z$12:Z719)*ROW(Z$12:Z719),ROW($T$12))&amp;":AA"&amp;(ROW()-1)))),1,0))&lt;&gt;16),MIN(LOOKUP(,-1/($Z$12:Z720=1),$C$12:C720)+LOOKUP(,-1/($Z$12:Z720=1),$H$12:H720)-IF(AA719="Да",0,SUM(INDIRECT("T"&amp;(MAX(("Да"=AA$12:AA719)*ROW(AA$12:AA719)+1,ROW($T$12))&amp;":T"&amp;(ROW()-1))))),Первоначальный[[#This Row],[Полученный платеж]]+Y719),
AND(S719=0,MAX((0&lt;&gt;N$12:N719)*ROW(N$12:N719),ROW($S$12))&gt;=MAX((1=Z$12:Z719)*ROW(Z$12:Z719),ROW($T$12))),MIN(LOOKUP(,-1/($Z$12:Z720=1),$C$12:C720)+LOOKUP(,-1/($Z$12:Z720=1),$H$12:H720)-IF(N719&lt;&gt;0,0,SUM(INDIRECT("T"&amp;(MAX((0&lt;&gt;N$12:N719)*ROW(N$12:N719)+1,ROW($T$12))&amp;":T"&amp;(ROW()-1))))),Первоначальный[[#This Row],[Полученный платеж]]+Y719),
AND(S719=0,Первоначальный[[#This Row],[Дата платежа из графика]]=1),MIN(LOOKUP(,-1/($Z$12:Z720=1),$C$12:C720)+LOOKUP(,-1/($Z$12:Z720=1),$H$12:H720)-IF(Z719=1,0,SUM(INDIRECT("T"&amp;(MAX((1=Z$12:Z719)*ROW(Z$12:Z719)+1,ROW($T$12))&amp;":T"&amp;(ROW()-1))))),Первоначальный[[#This Row],[Полученный платеж]]+Y719),
AND(Z719&gt;0,Первоначальный[[#This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платеж]]+Y719),
AND(S719&gt;0,MAX((0&lt;&gt;S$12:S719)*ROW(S$12:S719),ROW($S$12))&gt;=MAX((1=Z$12:Z719)*ROW(Z$12:Z719),ROW($T$12)),TYPE(VLOOKUP("Да",(INDIRECT("AA"&amp;(MAX((1=Z$12:Z719)*ROW(Z$12:Z719),ROW($T$12))&amp;":AA"&amp;(ROW()-1)))),1,0))=16),MIN(LOOKUP(,-1/($Z$12:Z720=1),$C$12:C720)+LOOKUP(,-1/($Z$12:Z720=1),$H$12:H720)-SUM(INDIRECT("T"&amp;(MAX((1=Z$12:Z719)*ROW(Z$12:Z719),ROW($T$12))&amp;":T"&amp;(ROW()-1)))),Первоначальный[[#This Row],[Полученный платеж]]+Y719),
S719&gt;0,MIN(LOOKUP(,-1/($Z$12:Z720=1),$C$12:C720)+LOOKUP(,-1/($Z$12:Z720=1),$H$12:H720)-IF(Z719=1,0,SUM(INDIRECT("T"&amp;(MAX((1=Z$12:Z719)*ROW(Z$12:Z719)+1,ROW($T$12))&amp;":T"&amp;(ROW()-1))))),Первоначальный[[#This Row],[Полученный платеж]]+Y719)
)
)
)</f>
        <v>0</v>
      </c>
      <c r="U72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платеж]]+Y719-Первоначальный[[#This Row],[Полученный платёж по процентам]])</f>
        <v>0</v>
      </c>
      <c r="V720" s="55">
        <f t="shared" ca="1" si="133"/>
        <v>0</v>
      </c>
      <c r="W720" s="55" cm="1">
        <f t="array" aca="1" ref="W720" ca="1">IF(Первоначальный[[#This Row],[Итого остаток на начало периода]]&lt;1,0,
_xlfn.IFS(
AND(TYPE(VLOOKUP(1,$Z$12:Z720,1,0))=16,Первоначальный[[#This Row],[Досрочное погашение (да/"")]]=""),0,
AND(S719=0,Первоначальный[[#This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платеж]]+Y719-SUM(Первоначальный[[#This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комиссиям]]),VLOOKUP(LOOKUP(,-1/($Z$12:Z720=1),$A$12:A720),График[[Срок конец]:[Возврат основной суммы долга]],3,0)),
AND(S719=0,Первоначальный[[#This Row],[Дата платежа из графика]]="",Первоначальный[[#This Row],[Досрочное погашение (да/"")]]&lt;&gt;"Да"),0,
AND(S719=0,Первоначальный[[#This Row],[Досрочное погашение (да/"")]]=""),MIN(Первоначальный[[#This Row],[Полученный платеж]]+Y719-SUM(Первоначальный[[#This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комиссиям]]),VLOOKUP(LOOKUP(,-1/($Z$12:Z720=1),$A$12:A720),График[[Срок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платеж]]+Y719-SUM(Первоначальный[[#This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S719&gt;0,MIN(Первоначальный[[#This Row],[Полученный платеж]]+Y719-SUM(Первоначальный[[#This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комиссиям]]),SUM(INDIRECT("M"&amp;(MAX((1=S$12:S719)*ROW(S$12:S719),ROW($W$12))&amp;":M"&amp;(ROW()))))-SUM(INDIRECT("W"&amp;(MAX((1=S$12:S719)*ROW(S$12:S719),ROW($W$12))&amp;":W"&amp;(ROW()-1)))))
)
)</f>
        <v>0</v>
      </c>
      <c r="X720" s="55">
        <f t="shared" ca="1" si="134"/>
        <v>0</v>
      </c>
      <c r="Y720" s="101">
        <f t="shared" ca="1" si="141"/>
        <v>0</v>
      </c>
      <c r="Z720" s="133" t="str">
        <f>IF(TYPE((VLOOKUP(Первоначальный[[#This Row],[Дата платежа]],График[Срок конец],1,0)))=16,"",1)</f>
        <v/>
      </c>
      <c r="AA720" s="57"/>
      <c r="AB720" s="134"/>
      <c r="AC72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2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51004.730000000069</v>
      </c>
      <c r="AE72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1683.1299999999978</v>
      </c>
      <c r="AF72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2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95125.488019672135</v>
      </c>
      <c r="AH720" s="55"/>
      <c r="AI720" s="55"/>
      <c r="AJ720" s="55"/>
      <c r="AK720" s="101">
        <f t="shared" ca="1" si="142"/>
        <v>297446.68801967218</v>
      </c>
      <c r="AL720" s="129">
        <f t="array" ref="AL720">MAX((УслРестрактов[Характеристика]="Дата реструктуризации")*(УслРестрактов[Значение]=Первоначальный!$A720),0)</f>
        <v>0</v>
      </c>
    </row>
    <row r="721" spans="1:38" x14ac:dyDescent="0.25">
      <c r="A721" s="97">
        <f t="shared" si="135"/>
        <v>44852</v>
      </c>
      <c r="B721" s="100">
        <f t="shared" ca="1" si="136"/>
        <v>149633.34</v>
      </c>
      <c r="C721" s="55">
        <f t="shared" ca="1" si="132"/>
        <v>51004.730000000069</v>
      </c>
      <c r="D721" s="55">
        <f t="shared" ca="1" si="132"/>
        <v>1683.1299999999978</v>
      </c>
      <c r="E721" s="55">
        <f t="shared" ca="1" si="137"/>
        <v>0</v>
      </c>
      <c r="F721" s="55">
        <f t="shared" ca="1" si="138"/>
        <v>95125.488019672135</v>
      </c>
      <c r="G721" s="101">
        <f t="shared" ca="1" si="139"/>
        <v>297446.68801967218</v>
      </c>
      <c r="H721" s="100">
        <f ca="1">ROUND($B721*VLOOKUP($A721,$A$1:$B$10,2,1)/(365+IF(MOD(YEAR($A721),4),0,1)*($A721-$A720)),2)-Первоначальный[[#This Row],[Проценты на просроченный платеж по ОД за период]]</f>
        <v>75.89</v>
      </c>
      <c r="I721" s="55">
        <f t="shared" ca="1" si="140"/>
        <v>5.69</v>
      </c>
      <c r="J721" s="55">
        <v>0</v>
      </c>
      <c r="K721" s="55">
        <f t="shared" ca="1" si="143"/>
        <v>304.11850327868842</v>
      </c>
      <c r="L721" s="55">
        <v>0</v>
      </c>
      <c r="M721" s="113">
        <f>SUMIFS(График[Возврат основной суммы долга],График[Дата с учетом нерабочих дней],$A721)</f>
        <v>0</v>
      </c>
      <c r="N721" s="56">
        <f>SUMIFS(График[Возврат начисленных %],График[Дата с учетом нерабочих дней],$A721)</f>
        <v>0</v>
      </c>
      <c r="O721" s="101">
        <v>0</v>
      </c>
      <c r="P721" s="100" cm="1">
        <f t="array" aca="1" ref="P721" ca="1">MAX(IF(AA720="Да",0,SUM(INDIRECT("M"&amp;(MAX(("Да"=AA$12:AA720)*ROW(AA$12:AA720)+1,ROW($P$12))&amp;":M"&amp;(ROW()))))-SUM(INDIRECT("W"&amp;(MAX(("Да"=AA$12:AA720)*ROW(AA$12:AA720)+1,ROW($P$12))&amp;":W"&amp;(ROW()))))),0)</f>
        <v>10428.589999999998</v>
      </c>
      <c r="Q721" s="99">
        <f ca="1">MAX(SUM($N$13:N721)-SUM($T$13:T721),0)</f>
        <v>50395.110655737692</v>
      </c>
      <c r="R721" s="99">
        <f ca="1">Первоначальный[[#This Row],[Просроченный платеж по ОД]]+Первоначальный[[#This Row],[Просроченный платеж по процентам]]</f>
        <v>60823.700655737688</v>
      </c>
      <c r="S721" s="120">
        <f ca="1">IF(Первоначальный[[#This Row],[Просроченный платеж]]&lt;1,0,S720+1)</f>
        <v>617</v>
      </c>
      <c r="T721" s="100" cm="1">
        <f t="array" aca="1" ref="T721" ca="1">IF(Первоначальный[[#This Row],[Итого остаток на начало периода]]&lt;1,0,
IF(
AND(TYPE(VLOOKUP(1,$Z$12:Z721,1,0))=16,Первоначальный[[#This Row],[Досрочное погашение (да/"")]]=""),0,
_xlfn.IFS(AND(S720=0,Первоначальный[[#This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платеж]]&lt;&gt;0),MIN(LOOKUP(,-1/($Z$12:Z721=1),$C$12:C721)+LOOKUP(,-1/($Z$12:Z721=1),$H$12:H721),Первоначальный[[#This Row],[Полученный платеж]]+Y720),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платеж]]+Y720,SUM(Первоначальный[[#This Row],[Остаток процентов на начало периода]],Первоначальный[[#This Row],[Проценты за период]])),
AND(S720=0,Первоначальный[[#This Row],[Дата платежа из графика]]=""),0,
AND(S720=0,Первоначальный[[#This Row],[Дата платежа из графика]]=1,MAX((0&lt;&gt;S$12:S720)*ROW(S$12:S720),ROW($S$12))&gt;=MAX((1=Z$12:Z720)*ROW(Z$12:Z720),ROW($T$12)),TYPE(VLOOKUP("Да",(INDIRECT("AA"&amp;(MAX((1=Z$12:Z720)*ROW(Z$12:Z720),ROW($T$12))&amp;":AA"&amp;(ROW()-1)))),1,0))=16),MIN(LOOKUP(,-1/($Z$12:Z721=1),$C$12:C721)+LOOKUP(,-1/($Z$12:Z721=1),$H$12:H721),Первоначальный[[#This Row],[Полученный платеж]]+Y720),
AND(S720=0,TYPE(VLOOKUP("Да",(INDIRECT("AA"&amp;(MAX((1=Z$12:Z720)*ROW(Z$12:Z720),ROW($T$12))&amp;":AA"&amp;(ROW()-1)))),1,0))&lt;&gt;16),MIN(LOOKUP(,-1/($Z$12:Z721=1),$C$12:C721)+LOOKUP(,-1/($Z$12:Z721=1),$H$12:H721)-IF(AA720="Да",0,SUM(INDIRECT("T"&amp;(MAX(("Да"=AA$12:AA720)*ROW(AA$12:AA720)+1,ROW($T$12))&amp;":T"&amp;(ROW()-1))))),Первоначальный[[#This Row],[Полученный платеж]]+Y720),
AND(S720=0,MAX((0&lt;&gt;N$12:N720)*ROW(N$12:N720),ROW($S$12))&gt;=MAX((1=Z$12:Z720)*ROW(Z$12:Z720),ROW($T$12))),MIN(LOOKUP(,-1/($Z$12:Z721=1),$C$12:C721)+LOOKUP(,-1/($Z$12:Z721=1),$H$12:H721)-IF(N720&lt;&gt;0,0,SUM(INDIRECT("T"&amp;(MAX((0&lt;&gt;N$12:N720)*ROW(N$12:N720)+1,ROW($T$12))&amp;":T"&amp;(ROW()-1))))),Первоначальный[[#This Row],[Полученный платеж]]+Y720),
AND(S720=0,Первоначальный[[#This Row],[Дата платежа из графика]]=1),MIN(LOOKUP(,-1/($Z$12:Z721=1),$C$12:C721)+LOOKUP(,-1/($Z$12:Z721=1),$H$12:H721)-IF(Z720=1,0,SUM(INDIRECT("T"&amp;(MAX((1=Z$12:Z720)*ROW(Z$12:Z720)+1,ROW($T$12))&amp;":T"&amp;(ROW()-1))))),Первоначальный[[#This Row],[Полученный платеж]]+Y720),
AND(Z720&gt;0,Первоначальный[[#This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платеж]]+Y720),
AND(S720&gt;0,MAX((0&lt;&gt;S$12:S720)*ROW(S$12:S720),ROW($S$12))&gt;=MAX((1=Z$12:Z720)*ROW(Z$12:Z720),ROW($T$12)),TYPE(VLOOKUP("Да",(INDIRECT("AA"&amp;(MAX((1=Z$12:Z720)*ROW(Z$12:Z720),ROW($T$12))&amp;":AA"&amp;(ROW()-1)))),1,0))=16),MIN(LOOKUP(,-1/($Z$12:Z721=1),$C$12:C721)+LOOKUP(,-1/($Z$12:Z721=1),$H$12:H721)-SUM(INDIRECT("T"&amp;(MAX((1=Z$12:Z720)*ROW(Z$12:Z720),ROW($T$12))&amp;":T"&amp;(ROW()-1)))),Первоначальный[[#This Row],[Полученный платеж]]+Y720),
S720&gt;0,MIN(LOOKUP(,-1/($Z$12:Z721=1),$C$12:C721)+LOOKUP(,-1/($Z$12:Z721=1),$H$12:H721)-IF(Z720=1,0,SUM(INDIRECT("T"&amp;(MAX((1=Z$12:Z720)*ROW(Z$12:Z720)+1,ROW($T$12))&amp;":T"&amp;(ROW()-1))))),Первоначальный[[#This Row],[Полученный платеж]]+Y720)
)
)
)</f>
        <v>0</v>
      </c>
      <c r="U72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платеж]]+Y720-Первоначальный[[#This Row],[Полученный платёж по процентам]])</f>
        <v>0</v>
      </c>
      <c r="V721" s="55">
        <f t="shared" ca="1" si="133"/>
        <v>0</v>
      </c>
      <c r="W721" s="55" cm="1">
        <f t="array" aca="1" ref="W721" ca="1">IF(Первоначальный[[#This Row],[Итого остаток на начало периода]]&lt;1,0,
_xlfn.IFS(
AND(TYPE(VLOOKUP(1,$Z$12:Z721,1,0))=16,Первоначальный[[#This Row],[Досрочное погашение (да/"")]]=""),0,
AND(S720=0,Первоначальный[[#This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платеж]]+Y720-SUM(Первоначальный[[#This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комиссиям]]),VLOOKUP(LOOKUP(,-1/($Z$12:Z721=1),$A$12:A721),График[[Срок конец]:[Возврат основной суммы долга]],3,0)),
AND(S720=0,Первоначальный[[#This Row],[Дата платежа из графика]]="",Первоначальный[[#This Row],[Досрочное погашение (да/"")]]&lt;&gt;"Да"),0,
AND(S720=0,Первоначальный[[#This Row],[Досрочное погашение (да/"")]]=""),MIN(Первоначальный[[#This Row],[Полученный платеж]]+Y720-SUM(Первоначальный[[#This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комиссиям]]),VLOOKUP(LOOKUP(,-1/($Z$12:Z721=1),$A$12:A721),График[[Срок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платеж]]+Y720-SUM(Первоначальный[[#This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S720&gt;0,MIN(Первоначальный[[#This Row],[Полученный платеж]]+Y720-SUM(Первоначальный[[#This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комиссиям]]),SUM(INDIRECT("M"&amp;(MAX((1=S$12:S720)*ROW(S$12:S720),ROW($W$12))&amp;":M"&amp;(ROW()))))-SUM(INDIRECT("W"&amp;(MAX((1=S$12:S720)*ROW(S$12:S720),ROW($W$12))&amp;":W"&amp;(ROW()-1)))))
)
)</f>
        <v>0</v>
      </c>
      <c r="X721" s="55">
        <f t="shared" ca="1" si="134"/>
        <v>0</v>
      </c>
      <c r="Y721" s="101">
        <f t="shared" ca="1" si="141"/>
        <v>0</v>
      </c>
      <c r="Z721" s="133" t="str">
        <f>IF(TYPE((VLOOKUP(Первоначальный[[#This Row],[Дата платежа]],График[Срок конец],1,0)))=16,"",1)</f>
        <v/>
      </c>
      <c r="AA721" s="57"/>
      <c r="AB721" s="134"/>
      <c r="AC72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2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51080.620000000068</v>
      </c>
      <c r="AE72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1688.8199999999979</v>
      </c>
      <c r="AF72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2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95429.606522950824</v>
      </c>
      <c r="AH721" s="55"/>
      <c r="AI721" s="55"/>
      <c r="AJ721" s="55"/>
      <c r="AK721" s="101">
        <f t="shared" ca="1" si="142"/>
        <v>297832.3865229509</v>
      </c>
      <c r="AL721" s="129">
        <f t="array" ref="AL721">MAX((УслРестрактов[Характеристика]="Дата реструктуризации")*(УслРестрактов[Значение]=Первоначальный!$A721),0)</f>
        <v>0</v>
      </c>
    </row>
    <row r="722" spans="1:38" x14ac:dyDescent="0.25">
      <c r="A722" s="97">
        <f t="shared" si="135"/>
        <v>44853</v>
      </c>
      <c r="B722" s="100">
        <f t="shared" ca="1" si="136"/>
        <v>149633.34</v>
      </c>
      <c r="C722" s="55">
        <f t="shared" ca="1" si="132"/>
        <v>51080.620000000068</v>
      </c>
      <c r="D722" s="55">
        <f t="shared" ca="1" si="132"/>
        <v>1688.8199999999979</v>
      </c>
      <c r="E722" s="55">
        <f t="shared" ca="1" si="137"/>
        <v>0</v>
      </c>
      <c r="F722" s="55">
        <f t="shared" ca="1" si="138"/>
        <v>95429.606522950824</v>
      </c>
      <c r="G722" s="101">
        <f t="shared" ca="1" si="139"/>
        <v>297832.3865229509</v>
      </c>
      <c r="H722" s="100">
        <f ca="1">ROUND($B722*VLOOKUP($A722,$A$1:$B$10,2,1)/(365+IF(MOD(YEAR($A722),4),0,1)*($A722-$A721)),2)-Первоначальный[[#This Row],[Проценты на просроченный платеж по ОД за период]]</f>
        <v>75.89</v>
      </c>
      <c r="I722" s="55">
        <f t="shared" ca="1" si="140"/>
        <v>5.69</v>
      </c>
      <c r="J722" s="55">
        <v>0</v>
      </c>
      <c r="K722" s="55">
        <f t="shared" ca="1" si="143"/>
        <v>304.11850327868842</v>
      </c>
      <c r="L722" s="55">
        <v>0</v>
      </c>
      <c r="M722" s="113">
        <f>SUMIFS(График[Возврат основной суммы долга],График[Дата с учетом нерабочих дней],$A722)</f>
        <v>0</v>
      </c>
      <c r="N722" s="56">
        <f>SUMIFS(График[Возврат начисленных %],График[Дата с учетом нерабочих дней],$A722)</f>
        <v>0</v>
      </c>
      <c r="O722" s="101">
        <v>0</v>
      </c>
      <c r="P722" s="100" cm="1">
        <f t="array" aca="1" ref="P722" ca="1">MAX(IF(AA721="Да",0,SUM(INDIRECT("M"&amp;(MAX(("Да"=AA$12:AA721)*ROW(AA$12:AA721)+1,ROW($P$12))&amp;":M"&amp;(ROW()))))-SUM(INDIRECT("W"&amp;(MAX(("Да"=AA$12:AA721)*ROW(AA$12:AA721)+1,ROW($P$12))&amp;":W"&amp;(ROW()))))),0)</f>
        <v>10428.589999999998</v>
      </c>
      <c r="Q722" s="99">
        <f ca="1">MAX(SUM($N$13:N722)-SUM($T$13:T722),0)</f>
        <v>50395.110655737692</v>
      </c>
      <c r="R722" s="99">
        <f ca="1">Первоначальный[[#This Row],[Просроченный платеж по ОД]]+Первоначальный[[#This Row],[Просроченный платеж по процентам]]</f>
        <v>60823.700655737688</v>
      </c>
      <c r="S722" s="120">
        <f ca="1">IF(Первоначальный[[#This Row],[Просроченный платеж]]&lt;1,0,S721+1)</f>
        <v>618</v>
      </c>
      <c r="T722" s="100" cm="1">
        <f t="array" aca="1" ref="T722" ca="1">IF(Первоначальный[[#This Row],[Итого остаток на начало периода]]&lt;1,0,
IF(
AND(TYPE(VLOOKUP(1,$Z$12:Z722,1,0))=16,Первоначальный[[#This Row],[Досрочное погашение (да/"")]]=""),0,
_xlfn.IFS(AND(S721=0,Первоначальный[[#This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платеж]]&lt;&gt;0),MIN(LOOKUP(,-1/($Z$12:Z722=1),$C$12:C722)+LOOKUP(,-1/($Z$12:Z722=1),$H$12:H722),Первоначальный[[#This Row],[Полученный платеж]]+Y721),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платеж]]+Y721,SUM(Первоначальный[[#This Row],[Остаток процентов на начало периода]],Первоначальный[[#This Row],[Проценты за период]])),
AND(S721=0,Первоначальный[[#This Row],[Дата платежа из графика]]=""),0,
AND(S721=0,Первоначальный[[#This Row],[Дата платежа из графика]]=1,MAX((0&lt;&gt;S$12:S721)*ROW(S$12:S721),ROW($S$12))&gt;=MAX((1=Z$12:Z721)*ROW(Z$12:Z721),ROW($T$12)),TYPE(VLOOKUP("Да",(INDIRECT("AA"&amp;(MAX((1=Z$12:Z721)*ROW(Z$12:Z721),ROW($T$12))&amp;":AA"&amp;(ROW()-1)))),1,0))=16),MIN(LOOKUP(,-1/($Z$12:Z722=1),$C$12:C722)+LOOKUP(,-1/($Z$12:Z722=1),$H$12:H722),Первоначальный[[#This Row],[Полученный платеж]]+Y721),
AND(S721=0,TYPE(VLOOKUP("Да",(INDIRECT("AA"&amp;(MAX((1=Z$12:Z721)*ROW(Z$12:Z721),ROW($T$12))&amp;":AA"&amp;(ROW()-1)))),1,0))&lt;&gt;16),MIN(LOOKUP(,-1/($Z$12:Z722=1),$C$12:C722)+LOOKUP(,-1/($Z$12:Z722=1),$H$12:H722)-IF(AA721="Да",0,SUM(INDIRECT("T"&amp;(MAX(("Да"=AA$12:AA721)*ROW(AA$12:AA721)+1,ROW($T$12))&amp;":T"&amp;(ROW()-1))))),Первоначальный[[#This Row],[Полученный платеж]]+Y721),
AND(S721=0,MAX((0&lt;&gt;N$12:N721)*ROW(N$12:N721),ROW($S$12))&gt;=MAX((1=Z$12:Z721)*ROW(Z$12:Z721),ROW($T$12))),MIN(LOOKUP(,-1/($Z$12:Z722=1),$C$12:C722)+LOOKUP(,-1/($Z$12:Z722=1),$H$12:H722)-IF(N721&lt;&gt;0,0,SUM(INDIRECT("T"&amp;(MAX((0&lt;&gt;N$12:N721)*ROW(N$12:N721)+1,ROW($T$12))&amp;":T"&amp;(ROW()-1))))),Первоначальный[[#This Row],[Полученный платеж]]+Y721),
AND(S721=0,Первоначальный[[#This Row],[Дата платежа из графика]]=1),MIN(LOOKUP(,-1/($Z$12:Z722=1),$C$12:C722)+LOOKUP(,-1/($Z$12:Z722=1),$H$12:H722)-IF(Z721=1,0,SUM(INDIRECT("T"&amp;(MAX((1=Z$12:Z721)*ROW(Z$12:Z721)+1,ROW($T$12))&amp;":T"&amp;(ROW()-1))))),Первоначальный[[#This Row],[Полученный платеж]]+Y721),
AND(Z721&gt;0,Первоначальный[[#This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платеж]]+Y721),
AND(S721&gt;0,MAX((0&lt;&gt;S$12:S721)*ROW(S$12:S721),ROW($S$12))&gt;=MAX((1=Z$12:Z721)*ROW(Z$12:Z721),ROW($T$12)),TYPE(VLOOKUP("Да",(INDIRECT("AA"&amp;(MAX((1=Z$12:Z721)*ROW(Z$12:Z721),ROW($T$12))&amp;":AA"&amp;(ROW()-1)))),1,0))=16),MIN(LOOKUP(,-1/($Z$12:Z722=1),$C$12:C722)+LOOKUP(,-1/($Z$12:Z722=1),$H$12:H722)-SUM(INDIRECT("T"&amp;(MAX((1=Z$12:Z721)*ROW(Z$12:Z721),ROW($T$12))&amp;":T"&amp;(ROW()-1)))),Первоначальный[[#This Row],[Полученный платеж]]+Y721),
S721&gt;0,MIN(LOOKUP(,-1/($Z$12:Z722=1),$C$12:C722)+LOOKUP(,-1/($Z$12:Z722=1),$H$12:H722)-IF(Z721=1,0,SUM(INDIRECT("T"&amp;(MAX((1=Z$12:Z721)*ROW(Z$12:Z721)+1,ROW($T$12))&amp;":T"&amp;(ROW()-1))))),Первоначальный[[#This Row],[Полученный платеж]]+Y721)
)
)
)</f>
        <v>0</v>
      </c>
      <c r="U72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платеж]]+Y721-Первоначальный[[#This Row],[Полученный платёж по процентам]])</f>
        <v>0</v>
      </c>
      <c r="V722" s="55">
        <f t="shared" ca="1" si="133"/>
        <v>0</v>
      </c>
      <c r="W722" s="55" cm="1">
        <f t="array" aca="1" ref="W722" ca="1">IF(Первоначальный[[#This Row],[Итого остаток на начало периода]]&lt;1,0,
_xlfn.IFS(
AND(TYPE(VLOOKUP(1,$Z$12:Z722,1,0))=16,Первоначальный[[#This Row],[Досрочное погашение (да/"")]]=""),0,
AND(S721=0,Первоначальный[[#This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платеж]]+Y721-SUM(Первоначальный[[#This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комиссиям]]),VLOOKUP(LOOKUP(,-1/($Z$12:Z722=1),$A$12:A722),График[[Срок конец]:[Возврат основной суммы долга]],3,0)),
AND(S721=0,Первоначальный[[#This Row],[Дата платежа из графика]]="",Первоначальный[[#This Row],[Досрочное погашение (да/"")]]&lt;&gt;"Да"),0,
AND(S721=0,Первоначальный[[#This Row],[Досрочное погашение (да/"")]]=""),MIN(Первоначальный[[#This Row],[Полученный платеж]]+Y721-SUM(Первоначальный[[#This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комиссиям]]),VLOOKUP(LOOKUP(,-1/($Z$12:Z722=1),$A$12:A722),График[[Срок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платеж]]+Y721-SUM(Первоначальный[[#This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S721&gt;0,MIN(Первоначальный[[#This Row],[Полученный платеж]]+Y721-SUM(Первоначальный[[#This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комиссиям]]),SUM(INDIRECT("M"&amp;(MAX((1=S$12:S721)*ROW(S$12:S721),ROW($W$12))&amp;":M"&amp;(ROW()))))-SUM(INDIRECT("W"&amp;(MAX((1=S$12:S721)*ROW(S$12:S721),ROW($W$12))&amp;":W"&amp;(ROW()-1)))))
)
)</f>
        <v>0</v>
      </c>
      <c r="X722" s="55">
        <f t="shared" ca="1" si="134"/>
        <v>0</v>
      </c>
      <c r="Y722" s="101">
        <f t="shared" ca="1" si="141"/>
        <v>0</v>
      </c>
      <c r="Z722" s="133" t="str">
        <f>IF(TYPE((VLOOKUP(Первоначальный[[#This Row],[Дата платежа]],График[Срок конец],1,0)))=16,"",1)</f>
        <v/>
      </c>
      <c r="AA722" s="57"/>
      <c r="AB722" s="134"/>
      <c r="AC72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2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51156.510000000068</v>
      </c>
      <c r="AE72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1694.5099999999979</v>
      </c>
      <c r="AF72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2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95733.725026229513</v>
      </c>
      <c r="AH722" s="55"/>
      <c r="AI722" s="55"/>
      <c r="AJ722" s="55"/>
      <c r="AK722" s="101">
        <f t="shared" ca="1" si="142"/>
        <v>298218.08502622962</v>
      </c>
      <c r="AL722" s="129">
        <f t="array" ref="AL722">MAX((УслРестрактов[Характеристика]="Дата реструктуризации")*(УслРестрактов[Значение]=Первоначальный!$A722),0)</f>
        <v>0</v>
      </c>
    </row>
    <row r="723" spans="1:38" x14ac:dyDescent="0.25">
      <c r="A723" s="97">
        <f t="shared" si="135"/>
        <v>44854</v>
      </c>
      <c r="B723" s="100">
        <f t="shared" ca="1" si="136"/>
        <v>149633.34</v>
      </c>
      <c r="C723" s="55">
        <f t="shared" ca="1" si="132"/>
        <v>51156.510000000068</v>
      </c>
      <c r="D723" s="55">
        <f t="shared" ca="1" si="132"/>
        <v>1694.5099999999979</v>
      </c>
      <c r="E723" s="55">
        <f t="shared" ca="1" si="137"/>
        <v>0</v>
      </c>
      <c r="F723" s="55">
        <f t="shared" ca="1" si="138"/>
        <v>95733.725026229513</v>
      </c>
      <c r="G723" s="101">
        <f t="shared" ca="1" si="139"/>
        <v>298218.08502622962</v>
      </c>
      <c r="H723" s="100">
        <f ca="1">ROUND($B723*VLOOKUP($A723,$A$1:$B$10,2,1)/(365+IF(MOD(YEAR($A723),4),0,1)*($A723-$A722)),2)-Первоначальный[[#This Row],[Проценты на просроченный платеж по ОД за период]]</f>
        <v>75.89</v>
      </c>
      <c r="I723" s="55">
        <f t="shared" ca="1" si="140"/>
        <v>5.69</v>
      </c>
      <c r="J723" s="55">
        <v>0</v>
      </c>
      <c r="K723" s="55">
        <f t="shared" ca="1" si="143"/>
        <v>304.11850327868842</v>
      </c>
      <c r="L723" s="55">
        <v>0</v>
      </c>
      <c r="M723" s="113">
        <f>SUMIFS(График[Возврат основной суммы долга],График[Дата с учетом нерабочих дней],$A723)</f>
        <v>0</v>
      </c>
      <c r="N723" s="56">
        <f>SUMIFS(График[Возврат начисленных %],График[Дата с учетом нерабочих дней],$A723)</f>
        <v>0</v>
      </c>
      <c r="O723" s="101">
        <v>0</v>
      </c>
      <c r="P723" s="100" cm="1">
        <f t="array" aca="1" ref="P723" ca="1">MAX(IF(AA722="Да",0,SUM(INDIRECT("M"&amp;(MAX(("Да"=AA$12:AA722)*ROW(AA$12:AA722)+1,ROW($P$12))&amp;":M"&amp;(ROW()))))-SUM(INDIRECT("W"&amp;(MAX(("Да"=AA$12:AA722)*ROW(AA$12:AA722)+1,ROW($P$12))&amp;":W"&amp;(ROW()))))),0)</f>
        <v>10428.589999999998</v>
      </c>
      <c r="Q723" s="99">
        <f ca="1">MAX(SUM($N$13:N723)-SUM($T$13:T723),0)</f>
        <v>50395.110655737692</v>
      </c>
      <c r="R723" s="99">
        <f ca="1">Первоначальный[[#This Row],[Просроченный платеж по ОД]]+Первоначальный[[#This Row],[Просроченный платеж по процентам]]</f>
        <v>60823.700655737688</v>
      </c>
      <c r="S723" s="120">
        <f ca="1">IF(Первоначальный[[#This Row],[Просроченный платеж]]&lt;1,0,S722+1)</f>
        <v>619</v>
      </c>
      <c r="T723" s="100" cm="1">
        <f t="array" aca="1" ref="T723" ca="1">IF(Первоначальный[[#This Row],[Итого остаток на начало периода]]&lt;1,0,
IF(
AND(TYPE(VLOOKUP(1,$Z$12:Z723,1,0))=16,Первоначальный[[#This Row],[Досрочное погашение (да/"")]]=""),0,
_xlfn.IFS(AND(S722=0,Первоначальный[[#This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платеж]]&lt;&gt;0),MIN(LOOKUP(,-1/($Z$12:Z723=1),$C$12:C723)+LOOKUP(,-1/($Z$12:Z723=1),$H$12:H723),Первоначальный[[#This Row],[Полученный платеж]]+Y722),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платеж]]+Y722,SUM(Первоначальный[[#This Row],[Остаток процентов на начало периода]],Первоначальный[[#This Row],[Проценты за период]])),
AND(S722=0,Первоначальный[[#This Row],[Дата платежа из графика]]=""),0,
AND(S722=0,Первоначальный[[#This Row],[Дата платежа из графика]]=1,MAX((0&lt;&gt;S$12:S722)*ROW(S$12:S722),ROW($S$12))&gt;=MAX((1=Z$12:Z722)*ROW(Z$12:Z722),ROW($T$12)),TYPE(VLOOKUP("Да",(INDIRECT("AA"&amp;(MAX((1=Z$12:Z722)*ROW(Z$12:Z722),ROW($T$12))&amp;":AA"&amp;(ROW()-1)))),1,0))=16),MIN(LOOKUP(,-1/($Z$12:Z723=1),$C$12:C723)+LOOKUP(,-1/($Z$12:Z723=1),$H$12:H723),Первоначальный[[#This Row],[Полученный платеж]]+Y722),
AND(S722=0,TYPE(VLOOKUP("Да",(INDIRECT("AA"&amp;(MAX((1=Z$12:Z722)*ROW(Z$12:Z722),ROW($T$12))&amp;":AA"&amp;(ROW()-1)))),1,0))&lt;&gt;16),MIN(LOOKUP(,-1/($Z$12:Z723=1),$C$12:C723)+LOOKUP(,-1/($Z$12:Z723=1),$H$12:H723)-IF(AA722="Да",0,SUM(INDIRECT("T"&amp;(MAX(("Да"=AA$12:AA722)*ROW(AA$12:AA722)+1,ROW($T$12))&amp;":T"&amp;(ROW()-1))))),Первоначальный[[#This Row],[Полученный платеж]]+Y722),
AND(S722=0,MAX((0&lt;&gt;N$12:N722)*ROW(N$12:N722),ROW($S$12))&gt;=MAX((1=Z$12:Z722)*ROW(Z$12:Z722),ROW($T$12))),MIN(LOOKUP(,-1/($Z$12:Z723=1),$C$12:C723)+LOOKUP(,-1/($Z$12:Z723=1),$H$12:H723)-IF(N722&lt;&gt;0,0,SUM(INDIRECT("T"&amp;(MAX((0&lt;&gt;N$12:N722)*ROW(N$12:N722)+1,ROW($T$12))&amp;":T"&amp;(ROW()-1))))),Первоначальный[[#This Row],[Полученный платеж]]+Y722),
AND(S722=0,Первоначальный[[#This Row],[Дата платежа из графика]]=1),MIN(LOOKUP(,-1/($Z$12:Z723=1),$C$12:C723)+LOOKUP(,-1/($Z$12:Z723=1),$H$12:H723)-IF(Z722=1,0,SUM(INDIRECT("T"&amp;(MAX((1=Z$12:Z722)*ROW(Z$12:Z722)+1,ROW($T$12))&amp;":T"&amp;(ROW()-1))))),Первоначальный[[#This Row],[Полученный платеж]]+Y722),
AND(Z722&gt;0,Первоначальный[[#This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платеж]]+Y722),
AND(S722&gt;0,MAX((0&lt;&gt;S$12:S722)*ROW(S$12:S722),ROW($S$12))&gt;=MAX((1=Z$12:Z722)*ROW(Z$12:Z722),ROW($T$12)),TYPE(VLOOKUP("Да",(INDIRECT("AA"&amp;(MAX((1=Z$12:Z722)*ROW(Z$12:Z722),ROW($T$12))&amp;":AA"&amp;(ROW()-1)))),1,0))=16),MIN(LOOKUP(,-1/($Z$12:Z723=1),$C$12:C723)+LOOKUP(,-1/($Z$12:Z723=1),$H$12:H723)-SUM(INDIRECT("T"&amp;(MAX((1=Z$12:Z722)*ROW(Z$12:Z722),ROW($T$12))&amp;":T"&amp;(ROW()-1)))),Первоначальный[[#This Row],[Полученный платеж]]+Y722),
S722&gt;0,MIN(LOOKUP(,-1/($Z$12:Z723=1),$C$12:C723)+LOOKUP(,-1/($Z$12:Z723=1),$H$12:H723)-IF(Z722=1,0,SUM(INDIRECT("T"&amp;(MAX((1=Z$12:Z722)*ROW(Z$12:Z722)+1,ROW($T$12))&amp;":T"&amp;(ROW()-1))))),Первоначальный[[#This Row],[Полученный платеж]]+Y722)
)
)
)</f>
        <v>0</v>
      </c>
      <c r="U72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платеж]]+Y722-Первоначальный[[#This Row],[Полученный платёж по процентам]])</f>
        <v>0</v>
      </c>
      <c r="V723" s="55">
        <f t="shared" ca="1" si="133"/>
        <v>0</v>
      </c>
      <c r="W723" s="55" cm="1">
        <f t="array" aca="1" ref="W723" ca="1">IF(Первоначальный[[#This Row],[Итого остаток на начало периода]]&lt;1,0,
_xlfn.IFS(
AND(TYPE(VLOOKUP(1,$Z$12:Z723,1,0))=16,Первоначальный[[#This Row],[Досрочное погашение (да/"")]]=""),0,
AND(S722=0,Первоначальный[[#This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платеж]]+Y722-SUM(Первоначальный[[#This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комиссиям]]),VLOOKUP(LOOKUP(,-1/($Z$12:Z723=1),$A$12:A723),График[[Срок конец]:[Возврат основной суммы долга]],3,0)),
AND(S722=0,Первоначальный[[#This Row],[Дата платежа из графика]]="",Первоначальный[[#This Row],[Досрочное погашение (да/"")]]&lt;&gt;"Да"),0,
AND(S722=0,Первоначальный[[#This Row],[Досрочное погашение (да/"")]]=""),MIN(Первоначальный[[#This Row],[Полученный платеж]]+Y722-SUM(Первоначальный[[#This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комиссиям]]),VLOOKUP(LOOKUP(,-1/($Z$12:Z723=1),$A$12:A723),График[[Срок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платеж]]+Y722-SUM(Первоначальный[[#This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S722&gt;0,MIN(Первоначальный[[#This Row],[Полученный платеж]]+Y722-SUM(Первоначальный[[#This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комиссиям]]),SUM(INDIRECT("M"&amp;(MAX((1=S$12:S722)*ROW(S$12:S722),ROW($W$12))&amp;":M"&amp;(ROW()))))-SUM(INDIRECT("W"&amp;(MAX((1=S$12:S722)*ROW(S$12:S722),ROW($W$12))&amp;":W"&amp;(ROW()-1)))))
)
)</f>
        <v>0</v>
      </c>
      <c r="X723" s="55">
        <f t="shared" ca="1" si="134"/>
        <v>0</v>
      </c>
      <c r="Y723" s="101">
        <f t="shared" ca="1" si="141"/>
        <v>0</v>
      </c>
      <c r="Z723" s="133" t="str">
        <f>IF(TYPE((VLOOKUP(Первоначальный[[#This Row],[Дата платежа]],График[Срок конец],1,0)))=16,"",1)</f>
        <v/>
      </c>
      <c r="AA723" s="57"/>
      <c r="AB723" s="134"/>
      <c r="AC72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2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51232.400000000067</v>
      </c>
      <c r="AE72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1700.199999999998</v>
      </c>
      <c r="AF72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2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96037.843529508202</v>
      </c>
      <c r="AH723" s="55"/>
      <c r="AI723" s="55"/>
      <c r="AJ723" s="55"/>
      <c r="AK723" s="101">
        <f t="shared" ca="1" si="142"/>
        <v>298603.78352950828</v>
      </c>
      <c r="AL723" s="129">
        <f t="array" ref="AL723">MAX((УслРестрактов[Характеристика]="Дата реструктуризации")*(УслРестрактов[Значение]=Первоначальный!$A723),0)</f>
        <v>0</v>
      </c>
    </row>
    <row r="724" spans="1:38" x14ac:dyDescent="0.25">
      <c r="A724" s="97">
        <f t="shared" si="135"/>
        <v>44855</v>
      </c>
      <c r="B724" s="100">
        <f t="shared" ca="1" si="136"/>
        <v>149633.34</v>
      </c>
      <c r="C724" s="55">
        <f t="shared" ca="1" si="132"/>
        <v>51232.400000000067</v>
      </c>
      <c r="D724" s="55">
        <f t="shared" ca="1" si="132"/>
        <v>1700.199999999998</v>
      </c>
      <c r="E724" s="55">
        <f t="shared" ca="1" si="137"/>
        <v>0</v>
      </c>
      <c r="F724" s="55">
        <f t="shared" ca="1" si="138"/>
        <v>96037.843529508202</v>
      </c>
      <c r="G724" s="101">
        <f t="shared" ca="1" si="139"/>
        <v>298603.78352950828</v>
      </c>
      <c r="H724" s="100">
        <f ca="1">ROUND($B724*VLOOKUP($A724,$A$1:$B$10,2,1)/(365+IF(MOD(YEAR($A724),4),0,1)*($A724-$A723)),2)-Первоначальный[[#This Row],[Проценты на просроченный платеж по ОД за период]]</f>
        <v>75.89</v>
      </c>
      <c r="I724" s="55">
        <f t="shared" ca="1" si="140"/>
        <v>5.69</v>
      </c>
      <c r="J724" s="55">
        <v>0</v>
      </c>
      <c r="K724" s="55">
        <f t="shared" ca="1" si="143"/>
        <v>304.11850327868842</v>
      </c>
      <c r="L724" s="55">
        <v>0</v>
      </c>
      <c r="M724" s="113">
        <f>SUMIFS(График[Возврат основной суммы долга],График[Дата с учетом нерабочих дней],$A724)</f>
        <v>0</v>
      </c>
      <c r="N724" s="56">
        <f>SUMIFS(График[Возврат начисленных %],График[Дата с учетом нерабочих дней],$A724)</f>
        <v>0</v>
      </c>
      <c r="O724" s="101">
        <v>0</v>
      </c>
      <c r="P724" s="100" cm="1">
        <f t="array" aca="1" ref="P724" ca="1">MAX(IF(AA723="Да",0,SUM(INDIRECT("M"&amp;(MAX(("Да"=AA$12:AA723)*ROW(AA$12:AA723)+1,ROW($P$12))&amp;":M"&amp;(ROW()))))-SUM(INDIRECT("W"&amp;(MAX(("Да"=AA$12:AA723)*ROW(AA$12:AA723)+1,ROW($P$12))&amp;":W"&amp;(ROW()))))),0)</f>
        <v>10428.589999999998</v>
      </c>
      <c r="Q724" s="99">
        <f ca="1">MAX(SUM($N$13:N724)-SUM($T$13:T724),0)</f>
        <v>50395.110655737692</v>
      </c>
      <c r="R724" s="99">
        <f ca="1">Первоначальный[[#This Row],[Просроченный платеж по ОД]]+Первоначальный[[#This Row],[Просроченный платеж по процентам]]</f>
        <v>60823.700655737688</v>
      </c>
      <c r="S724" s="120">
        <f ca="1">IF(Первоначальный[[#This Row],[Просроченный платеж]]&lt;1,0,S723+1)</f>
        <v>620</v>
      </c>
      <c r="T724" s="100" cm="1">
        <f t="array" aca="1" ref="T724" ca="1">IF(Первоначальный[[#This Row],[Итого остаток на начало периода]]&lt;1,0,
IF(
AND(TYPE(VLOOKUP(1,$Z$12:Z724,1,0))=16,Первоначальный[[#This Row],[Досрочное погашение (да/"")]]=""),0,
_xlfn.IFS(AND(S723=0,Первоначальный[[#This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платеж]]&lt;&gt;0),MIN(LOOKUP(,-1/($Z$12:Z724=1),$C$12:C724)+LOOKUP(,-1/($Z$12:Z724=1),$H$12:H724),Первоначальный[[#This Row],[Полученный платеж]]+Y723),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платеж]]+Y723,SUM(Первоначальный[[#This Row],[Остаток процентов на начало периода]],Первоначальный[[#This Row],[Проценты за период]])),
AND(S723=0,Первоначальный[[#This Row],[Дата платежа из графика]]=""),0,
AND(S723=0,Первоначальный[[#This Row],[Дата платежа из графика]]=1,MAX((0&lt;&gt;S$12:S723)*ROW(S$12:S723),ROW($S$12))&gt;=MAX((1=Z$12:Z723)*ROW(Z$12:Z723),ROW($T$12)),TYPE(VLOOKUP("Да",(INDIRECT("AA"&amp;(MAX((1=Z$12:Z723)*ROW(Z$12:Z723),ROW($T$12))&amp;":AA"&amp;(ROW()-1)))),1,0))=16),MIN(LOOKUP(,-1/($Z$12:Z724=1),$C$12:C724)+LOOKUP(,-1/($Z$12:Z724=1),$H$12:H724),Первоначальный[[#This Row],[Полученный платеж]]+Y723),
AND(S723=0,TYPE(VLOOKUP("Да",(INDIRECT("AA"&amp;(MAX((1=Z$12:Z723)*ROW(Z$12:Z723),ROW($T$12))&amp;":AA"&amp;(ROW()-1)))),1,0))&lt;&gt;16),MIN(LOOKUP(,-1/($Z$12:Z724=1),$C$12:C724)+LOOKUP(,-1/($Z$12:Z724=1),$H$12:H724)-IF(AA723="Да",0,SUM(INDIRECT("T"&amp;(MAX(("Да"=AA$12:AA723)*ROW(AA$12:AA723)+1,ROW($T$12))&amp;":T"&amp;(ROW()-1))))),Первоначальный[[#This Row],[Полученный платеж]]+Y723),
AND(S723=0,MAX((0&lt;&gt;N$12:N723)*ROW(N$12:N723),ROW($S$12))&gt;=MAX((1=Z$12:Z723)*ROW(Z$12:Z723),ROW($T$12))),MIN(LOOKUP(,-1/($Z$12:Z724=1),$C$12:C724)+LOOKUP(,-1/($Z$12:Z724=1),$H$12:H724)-IF(N723&lt;&gt;0,0,SUM(INDIRECT("T"&amp;(MAX((0&lt;&gt;N$12:N723)*ROW(N$12:N723)+1,ROW($T$12))&amp;":T"&amp;(ROW()-1))))),Первоначальный[[#This Row],[Полученный платеж]]+Y723),
AND(S723=0,Первоначальный[[#This Row],[Дата платежа из графика]]=1),MIN(LOOKUP(,-1/($Z$12:Z724=1),$C$12:C724)+LOOKUP(,-1/($Z$12:Z724=1),$H$12:H724)-IF(Z723=1,0,SUM(INDIRECT("T"&amp;(MAX((1=Z$12:Z723)*ROW(Z$12:Z723)+1,ROW($T$12))&amp;":T"&amp;(ROW()-1))))),Первоначальный[[#This Row],[Полученный платеж]]+Y723),
AND(Z723&gt;0,Первоначальный[[#This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платеж]]+Y723),
AND(S723&gt;0,MAX((0&lt;&gt;S$12:S723)*ROW(S$12:S723),ROW($S$12))&gt;=MAX((1=Z$12:Z723)*ROW(Z$12:Z723),ROW($T$12)),TYPE(VLOOKUP("Да",(INDIRECT("AA"&amp;(MAX((1=Z$12:Z723)*ROW(Z$12:Z723),ROW($T$12))&amp;":AA"&amp;(ROW()-1)))),1,0))=16),MIN(LOOKUP(,-1/($Z$12:Z724=1),$C$12:C724)+LOOKUP(,-1/($Z$12:Z724=1),$H$12:H724)-SUM(INDIRECT("T"&amp;(MAX((1=Z$12:Z723)*ROW(Z$12:Z723),ROW($T$12))&amp;":T"&amp;(ROW()-1)))),Первоначальный[[#This Row],[Полученный платеж]]+Y723),
S723&gt;0,MIN(LOOKUP(,-1/($Z$12:Z724=1),$C$12:C724)+LOOKUP(,-1/($Z$12:Z724=1),$H$12:H724)-IF(Z723=1,0,SUM(INDIRECT("T"&amp;(MAX((1=Z$12:Z723)*ROW(Z$12:Z723)+1,ROW($T$12))&amp;":T"&amp;(ROW()-1))))),Первоначальный[[#This Row],[Полученный платеж]]+Y723)
)
)
)</f>
        <v>0</v>
      </c>
      <c r="U72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платеж]]+Y723-Первоначальный[[#This Row],[Полученный платёж по процентам]])</f>
        <v>0</v>
      </c>
      <c r="V724" s="55">
        <f t="shared" ca="1" si="133"/>
        <v>0</v>
      </c>
      <c r="W724" s="55" cm="1">
        <f t="array" aca="1" ref="W724" ca="1">IF(Первоначальный[[#This Row],[Итого остаток на начало периода]]&lt;1,0,
_xlfn.IFS(
AND(TYPE(VLOOKUP(1,$Z$12:Z724,1,0))=16,Первоначальный[[#This Row],[Досрочное погашение (да/"")]]=""),0,
AND(S723=0,Первоначальный[[#This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платеж]]+Y723-SUM(Первоначальный[[#This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комиссиям]]),VLOOKUP(LOOKUP(,-1/($Z$12:Z724=1),$A$12:A724),График[[Срок конец]:[Возврат основной суммы долга]],3,0)),
AND(S723=0,Первоначальный[[#This Row],[Дата платежа из графика]]="",Первоначальный[[#This Row],[Досрочное погашение (да/"")]]&lt;&gt;"Да"),0,
AND(S723=0,Первоначальный[[#This Row],[Досрочное погашение (да/"")]]=""),MIN(Первоначальный[[#This Row],[Полученный платеж]]+Y723-SUM(Первоначальный[[#This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комиссиям]]),VLOOKUP(LOOKUP(,-1/($Z$12:Z724=1),$A$12:A724),График[[Срок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платеж]]+Y723-SUM(Первоначальный[[#This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S723&gt;0,MIN(Первоначальный[[#This Row],[Полученный платеж]]+Y723-SUM(Первоначальный[[#This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комиссиям]]),SUM(INDIRECT("M"&amp;(MAX((1=S$12:S723)*ROW(S$12:S723),ROW($W$12))&amp;":M"&amp;(ROW()))))-SUM(INDIRECT("W"&amp;(MAX((1=S$12:S723)*ROW(S$12:S723),ROW($W$12))&amp;":W"&amp;(ROW()-1)))))
)
)</f>
        <v>0</v>
      </c>
      <c r="X724" s="55">
        <f t="shared" ca="1" si="134"/>
        <v>0</v>
      </c>
      <c r="Y724" s="101">
        <f t="shared" ca="1" si="141"/>
        <v>0</v>
      </c>
      <c r="Z724" s="133" t="str">
        <f>IF(TYPE((VLOOKUP(Первоначальный[[#This Row],[Дата платежа]],График[Срок конец],1,0)))=16,"",1)</f>
        <v/>
      </c>
      <c r="AA724" s="57"/>
      <c r="AB724" s="134"/>
      <c r="AC72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2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51308.290000000066</v>
      </c>
      <c r="AE72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1705.8899999999981</v>
      </c>
      <c r="AF72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2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96341.962032786891</v>
      </c>
      <c r="AH724" s="55"/>
      <c r="AI724" s="55"/>
      <c r="AJ724" s="55"/>
      <c r="AK724" s="101">
        <f t="shared" ca="1" si="142"/>
        <v>298989.48203278694</v>
      </c>
      <c r="AL724" s="129">
        <f t="array" ref="AL724">MAX((УслРестрактов[Характеристика]="Дата реструктуризации")*(УслРестрактов[Значение]=Первоначальный!$A724),0)</f>
        <v>0</v>
      </c>
    </row>
    <row r="725" spans="1:38" x14ac:dyDescent="0.25">
      <c r="A725" s="97">
        <f t="shared" si="135"/>
        <v>44856</v>
      </c>
      <c r="B725" s="100">
        <f t="shared" ca="1" si="136"/>
        <v>149633.34</v>
      </c>
      <c r="C725" s="55">
        <f t="shared" ca="1" si="132"/>
        <v>51308.290000000066</v>
      </c>
      <c r="D725" s="55">
        <f t="shared" ca="1" si="132"/>
        <v>1705.8899999999981</v>
      </c>
      <c r="E725" s="55">
        <f t="shared" ca="1" si="137"/>
        <v>0</v>
      </c>
      <c r="F725" s="55">
        <f t="shared" ca="1" si="138"/>
        <v>96341.962032786891</v>
      </c>
      <c r="G725" s="101">
        <f t="shared" ca="1" si="139"/>
        <v>298989.48203278694</v>
      </c>
      <c r="H725" s="100">
        <f ca="1">ROUND($B725*VLOOKUP($A725,$A$1:$B$10,2,1)/(365+IF(MOD(YEAR($A725),4),0,1)*($A725-$A724)),2)-Первоначальный[[#This Row],[Проценты на просроченный платеж по ОД за период]]</f>
        <v>75.89</v>
      </c>
      <c r="I725" s="55">
        <f t="shared" ca="1" si="140"/>
        <v>5.69</v>
      </c>
      <c r="J725" s="55">
        <v>0</v>
      </c>
      <c r="K725" s="55">
        <f t="shared" ca="1" si="143"/>
        <v>304.11850327868842</v>
      </c>
      <c r="L725" s="55">
        <v>0</v>
      </c>
      <c r="M725" s="113">
        <f>SUMIFS(График[Возврат основной суммы долга],График[Дата с учетом нерабочих дней],$A725)</f>
        <v>0</v>
      </c>
      <c r="N725" s="56">
        <f>SUMIFS(График[Возврат начисленных %],График[Дата с учетом нерабочих дней],$A725)</f>
        <v>0</v>
      </c>
      <c r="O725" s="101">
        <v>0</v>
      </c>
      <c r="P725" s="100" cm="1">
        <f t="array" aca="1" ref="P725" ca="1">MAX(IF(AA724="Да",0,SUM(INDIRECT("M"&amp;(MAX(("Да"=AA$12:AA724)*ROW(AA$12:AA724)+1,ROW($P$12))&amp;":M"&amp;(ROW()))))-SUM(INDIRECT("W"&amp;(MAX(("Да"=AA$12:AA724)*ROW(AA$12:AA724)+1,ROW($P$12))&amp;":W"&amp;(ROW()))))),0)</f>
        <v>10428.589999999998</v>
      </c>
      <c r="Q725" s="99">
        <f ca="1">MAX(SUM($N$13:N725)-SUM($T$13:T725),0)</f>
        <v>50395.110655737692</v>
      </c>
      <c r="R725" s="99">
        <f ca="1">Первоначальный[[#This Row],[Просроченный платеж по ОД]]+Первоначальный[[#This Row],[Просроченный платеж по процентам]]</f>
        <v>60823.700655737688</v>
      </c>
      <c r="S725" s="120">
        <f ca="1">IF(Первоначальный[[#This Row],[Просроченный платеж]]&lt;1,0,S724+1)</f>
        <v>621</v>
      </c>
      <c r="T725" s="100" cm="1">
        <f t="array" aca="1" ref="T725" ca="1">IF(Первоначальный[[#This Row],[Итого остаток на начало периода]]&lt;1,0,
IF(
AND(TYPE(VLOOKUP(1,$Z$12:Z725,1,0))=16,Первоначальный[[#This Row],[Досрочное погашение (да/"")]]=""),0,
_xlfn.IFS(AND(S724=0,Первоначальный[[#This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платеж]]&lt;&gt;0),MIN(LOOKUP(,-1/($Z$12:Z725=1),$C$12:C725)+LOOKUP(,-1/($Z$12:Z725=1),$H$12:H725),Первоначальный[[#This Row],[Полученный платеж]]+Y724),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платеж]]+Y724,SUM(Первоначальный[[#This Row],[Остаток процентов на начало периода]],Первоначальный[[#This Row],[Проценты за период]])),
AND(S724=0,Первоначальный[[#This Row],[Дата платежа из графика]]=""),0,
AND(S724=0,Первоначальный[[#This Row],[Дата платежа из графика]]=1,MAX((0&lt;&gt;S$12:S724)*ROW(S$12:S724),ROW($S$12))&gt;=MAX((1=Z$12:Z724)*ROW(Z$12:Z724),ROW($T$12)),TYPE(VLOOKUP("Да",(INDIRECT("AA"&amp;(MAX((1=Z$12:Z724)*ROW(Z$12:Z724),ROW($T$12))&amp;":AA"&amp;(ROW()-1)))),1,0))=16),MIN(LOOKUP(,-1/($Z$12:Z725=1),$C$12:C725)+LOOKUP(,-1/($Z$12:Z725=1),$H$12:H725),Первоначальный[[#This Row],[Полученный платеж]]+Y724),
AND(S724=0,TYPE(VLOOKUP("Да",(INDIRECT("AA"&amp;(MAX((1=Z$12:Z724)*ROW(Z$12:Z724),ROW($T$12))&amp;":AA"&amp;(ROW()-1)))),1,0))&lt;&gt;16),MIN(LOOKUP(,-1/($Z$12:Z725=1),$C$12:C725)+LOOKUP(,-1/($Z$12:Z725=1),$H$12:H725)-IF(AA724="Да",0,SUM(INDIRECT("T"&amp;(MAX(("Да"=AA$12:AA724)*ROW(AA$12:AA724)+1,ROW($T$12))&amp;":T"&amp;(ROW()-1))))),Первоначальный[[#This Row],[Полученный платеж]]+Y724),
AND(S724=0,MAX((0&lt;&gt;N$12:N724)*ROW(N$12:N724),ROW($S$12))&gt;=MAX((1=Z$12:Z724)*ROW(Z$12:Z724),ROW($T$12))),MIN(LOOKUP(,-1/($Z$12:Z725=1),$C$12:C725)+LOOKUP(,-1/($Z$12:Z725=1),$H$12:H725)-IF(N724&lt;&gt;0,0,SUM(INDIRECT("T"&amp;(MAX((0&lt;&gt;N$12:N724)*ROW(N$12:N724)+1,ROW($T$12))&amp;":T"&amp;(ROW()-1))))),Первоначальный[[#This Row],[Полученный платеж]]+Y724),
AND(S724=0,Первоначальный[[#This Row],[Дата платежа из графика]]=1),MIN(LOOKUP(,-1/($Z$12:Z725=1),$C$12:C725)+LOOKUP(,-1/($Z$12:Z725=1),$H$12:H725)-IF(Z724=1,0,SUM(INDIRECT("T"&amp;(MAX((1=Z$12:Z724)*ROW(Z$12:Z724)+1,ROW($T$12))&amp;":T"&amp;(ROW()-1))))),Первоначальный[[#This Row],[Полученный платеж]]+Y724),
AND(Z724&gt;0,Первоначальный[[#This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платеж]]+Y724),
AND(S724&gt;0,MAX((0&lt;&gt;S$12:S724)*ROW(S$12:S724),ROW($S$12))&gt;=MAX((1=Z$12:Z724)*ROW(Z$12:Z724),ROW($T$12)),TYPE(VLOOKUP("Да",(INDIRECT("AA"&amp;(MAX((1=Z$12:Z724)*ROW(Z$12:Z724),ROW($T$12))&amp;":AA"&amp;(ROW()-1)))),1,0))=16),MIN(LOOKUP(,-1/($Z$12:Z725=1),$C$12:C725)+LOOKUP(,-1/($Z$12:Z725=1),$H$12:H725)-SUM(INDIRECT("T"&amp;(MAX((1=Z$12:Z724)*ROW(Z$12:Z724),ROW($T$12))&amp;":T"&amp;(ROW()-1)))),Первоначальный[[#This Row],[Полученный платеж]]+Y724),
S724&gt;0,MIN(LOOKUP(,-1/($Z$12:Z725=1),$C$12:C725)+LOOKUP(,-1/($Z$12:Z725=1),$H$12:H725)-IF(Z724=1,0,SUM(INDIRECT("T"&amp;(MAX((1=Z$12:Z724)*ROW(Z$12:Z724)+1,ROW($T$12))&amp;":T"&amp;(ROW()-1))))),Первоначальный[[#This Row],[Полученный платеж]]+Y724)
)
)
)</f>
        <v>0</v>
      </c>
      <c r="U72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платеж]]+Y724-Первоначальный[[#This Row],[Полученный платёж по процентам]])</f>
        <v>0</v>
      </c>
      <c r="V725" s="55">
        <f t="shared" ca="1" si="133"/>
        <v>0</v>
      </c>
      <c r="W725" s="55" cm="1">
        <f t="array" aca="1" ref="W725" ca="1">IF(Первоначальный[[#This Row],[Итого остаток на начало периода]]&lt;1,0,
_xlfn.IFS(
AND(TYPE(VLOOKUP(1,$Z$12:Z725,1,0))=16,Первоначальный[[#This Row],[Досрочное погашение (да/"")]]=""),0,
AND(S724=0,Первоначальный[[#This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платеж]]+Y724-SUM(Первоначальный[[#This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комиссиям]]),VLOOKUP(LOOKUP(,-1/($Z$12:Z725=1),$A$12:A725),График[[Срок конец]:[Возврат основной суммы долга]],3,0)),
AND(S724=0,Первоначальный[[#This Row],[Дата платежа из графика]]="",Первоначальный[[#This Row],[Досрочное погашение (да/"")]]&lt;&gt;"Да"),0,
AND(S724=0,Первоначальный[[#This Row],[Досрочное погашение (да/"")]]=""),MIN(Первоначальный[[#This Row],[Полученный платеж]]+Y724-SUM(Первоначальный[[#This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комиссиям]]),VLOOKUP(LOOKUP(,-1/($Z$12:Z725=1),$A$12:A725),График[[Срок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платеж]]+Y724-SUM(Первоначальный[[#This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S724&gt;0,MIN(Первоначальный[[#This Row],[Полученный платеж]]+Y724-SUM(Первоначальный[[#This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комиссиям]]),SUM(INDIRECT("M"&amp;(MAX((1=S$12:S724)*ROW(S$12:S724),ROW($W$12))&amp;":M"&amp;(ROW()))))-SUM(INDIRECT("W"&amp;(MAX((1=S$12:S724)*ROW(S$12:S724),ROW($W$12))&amp;":W"&amp;(ROW()-1)))))
)
)</f>
        <v>0</v>
      </c>
      <c r="X725" s="55">
        <f t="shared" ca="1" si="134"/>
        <v>0</v>
      </c>
      <c r="Y725" s="101">
        <f t="shared" ca="1" si="141"/>
        <v>0</v>
      </c>
      <c r="Z725" s="133" t="str">
        <f>IF(TYPE((VLOOKUP(Первоначальный[[#This Row],[Дата платежа]],График[Срок конец],1,0)))=16,"",1)</f>
        <v/>
      </c>
      <c r="AA725" s="57"/>
      <c r="AB725" s="134"/>
      <c r="AC72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2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51384.180000000066</v>
      </c>
      <c r="AE72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1711.5799999999981</v>
      </c>
      <c r="AF72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2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96646.08053606558</v>
      </c>
      <c r="AH725" s="55"/>
      <c r="AI725" s="55"/>
      <c r="AJ725" s="55"/>
      <c r="AK725" s="101">
        <f t="shared" ca="1" si="142"/>
        <v>299375.18053606566</v>
      </c>
      <c r="AL725" s="129">
        <f t="array" ref="AL725">MAX((УслРестрактов[Характеристика]="Дата реструктуризации")*(УслРестрактов[Значение]=Первоначальный!$A725),0)</f>
        <v>0</v>
      </c>
    </row>
    <row r="726" spans="1:38" x14ac:dyDescent="0.25">
      <c r="A726" s="97">
        <f t="shared" si="135"/>
        <v>44857</v>
      </c>
      <c r="B726" s="100">
        <f t="shared" ca="1" si="136"/>
        <v>149633.34</v>
      </c>
      <c r="C726" s="55">
        <f t="shared" ca="1" si="132"/>
        <v>51384.180000000066</v>
      </c>
      <c r="D726" s="55">
        <f t="shared" ca="1" si="132"/>
        <v>1711.5799999999981</v>
      </c>
      <c r="E726" s="55">
        <f t="shared" ca="1" si="137"/>
        <v>0</v>
      </c>
      <c r="F726" s="55">
        <f t="shared" ca="1" si="138"/>
        <v>96646.08053606558</v>
      </c>
      <c r="G726" s="101">
        <f t="shared" ca="1" si="139"/>
        <v>299375.18053606566</v>
      </c>
      <c r="H726" s="100">
        <f ca="1">ROUND($B726*VLOOKUP($A726,$A$1:$B$10,2,1)/(365+IF(MOD(YEAR($A726),4),0,1)*($A726-$A725)),2)-Первоначальный[[#This Row],[Проценты на просроченный платеж по ОД за период]]</f>
        <v>75.89</v>
      </c>
      <c r="I726" s="55">
        <f t="shared" ca="1" si="140"/>
        <v>5.69</v>
      </c>
      <c r="J726" s="55">
        <v>0</v>
      </c>
      <c r="K726" s="55">
        <f t="shared" ca="1" si="143"/>
        <v>304.11850327868842</v>
      </c>
      <c r="L726" s="55">
        <v>0</v>
      </c>
      <c r="M726" s="113">
        <f>SUMIFS(График[Возврат основной суммы долга],График[Дата с учетом нерабочих дней],$A726)</f>
        <v>0</v>
      </c>
      <c r="N726" s="56">
        <f>SUMIFS(График[Возврат начисленных %],График[Дата с учетом нерабочих дней],$A726)</f>
        <v>0</v>
      </c>
      <c r="O726" s="101">
        <v>0</v>
      </c>
      <c r="P726" s="100" cm="1">
        <f t="array" aca="1" ref="P726" ca="1">MAX(IF(AA725="Да",0,SUM(INDIRECT("M"&amp;(MAX(("Да"=AA$12:AA725)*ROW(AA$12:AA725)+1,ROW($P$12))&amp;":M"&amp;(ROW()))))-SUM(INDIRECT("W"&amp;(MAX(("Да"=AA$12:AA725)*ROW(AA$12:AA725)+1,ROW($P$12))&amp;":W"&amp;(ROW()))))),0)</f>
        <v>10428.589999999998</v>
      </c>
      <c r="Q726" s="99">
        <f ca="1">MAX(SUM($N$13:N726)-SUM($T$13:T726),0)</f>
        <v>50395.110655737692</v>
      </c>
      <c r="R726" s="99">
        <f ca="1">Первоначальный[[#This Row],[Просроченный платеж по ОД]]+Первоначальный[[#This Row],[Просроченный платеж по процентам]]</f>
        <v>60823.700655737688</v>
      </c>
      <c r="S726" s="120">
        <f ca="1">IF(Первоначальный[[#This Row],[Просроченный платеж]]&lt;1,0,S725+1)</f>
        <v>622</v>
      </c>
      <c r="T726" s="100" cm="1">
        <f t="array" aca="1" ref="T726" ca="1">IF(Первоначальный[[#This Row],[Итого остаток на начало периода]]&lt;1,0,
IF(
AND(TYPE(VLOOKUP(1,$Z$12:Z726,1,0))=16,Первоначальный[[#This Row],[Досрочное погашение (да/"")]]=""),0,
_xlfn.IFS(AND(S725=0,Первоначальный[[#This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платеж]]&lt;&gt;0),MIN(LOOKUP(,-1/($Z$12:Z726=1),$C$12:C726)+LOOKUP(,-1/($Z$12:Z726=1),$H$12:H726),Первоначальный[[#This Row],[Полученный платеж]]+Y725),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платеж]]+Y725,SUM(Первоначальный[[#This Row],[Остаток процентов на начало периода]],Первоначальный[[#This Row],[Проценты за период]])),
AND(S725=0,Первоначальный[[#This Row],[Дата платежа из графика]]=""),0,
AND(S725=0,Первоначальный[[#This Row],[Дата платежа из графика]]=1,MAX((0&lt;&gt;S$12:S725)*ROW(S$12:S725),ROW($S$12))&gt;=MAX((1=Z$12:Z725)*ROW(Z$12:Z725),ROW($T$12)),TYPE(VLOOKUP("Да",(INDIRECT("AA"&amp;(MAX((1=Z$12:Z725)*ROW(Z$12:Z725),ROW($T$12))&amp;":AA"&amp;(ROW()-1)))),1,0))=16),MIN(LOOKUP(,-1/($Z$12:Z726=1),$C$12:C726)+LOOKUP(,-1/($Z$12:Z726=1),$H$12:H726),Первоначальный[[#This Row],[Полученный платеж]]+Y725),
AND(S725=0,TYPE(VLOOKUP("Да",(INDIRECT("AA"&amp;(MAX((1=Z$12:Z725)*ROW(Z$12:Z725),ROW($T$12))&amp;":AA"&amp;(ROW()-1)))),1,0))&lt;&gt;16),MIN(LOOKUP(,-1/($Z$12:Z726=1),$C$12:C726)+LOOKUP(,-1/($Z$12:Z726=1),$H$12:H726)-IF(AA725="Да",0,SUM(INDIRECT("T"&amp;(MAX(("Да"=AA$12:AA725)*ROW(AA$12:AA725)+1,ROW($T$12))&amp;":T"&amp;(ROW()-1))))),Первоначальный[[#This Row],[Полученный платеж]]+Y725),
AND(S725=0,MAX((0&lt;&gt;N$12:N725)*ROW(N$12:N725),ROW($S$12))&gt;=MAX((1=Z$12:Z725)*ROW(Z$12:Z725),ROW($T$12))),MIN(LOOKUP(,-1/($Z$12:Z726=1),$C$12:C726)+LOOKUP(,-1/($Z$12:Z726=1),$H$12:H726)-IF(N725&lt;&gt;0,0,SUM(INDIRECT("T"&amp;(MAX((0&lt;&gt;N$12:N725)*ROW(N$12:N725)+1,ROW($T$12))&amp;":T"&amp;(ROW()-1))))),Первоначальный[[#This Row],[Полученный платеж]]+Y725),
AND(S725=0,Первоначальный[[#This Row],[Дата платежа из графика]]=1),MIN(LOOKUP(,-1/($Z$12:Z726=1),$C$12:C726)+LOOKUP(,-1/($Z$12:Z726=1),$H$12:H726)-IF(Z725=1,0,SUM(INDIRECT("T"&amp;(MAX((1=Z$12:Z725)*ROW(Z$12:Z725)+1,ROW($T$12))&amp;":T"&amp;(ROW()-1))))),Первоначальный[[#This Row],[Полученный платеж]]+Y725),
AND(Z725&gt;0,Первоначальный[[#This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платеж]]+Y725),
AND(S725&gt;0,MAX((0&lt;&gt;S$12:S725)*ROW(S$12:S725),ROW($S$12))&gt;=MAX((1=Z$12:Z725)*ROW(Z$12:Z725),ROW($T$12)),TYPE(VLOOKUP("Да",(INDIRECT("AA"&amp;(MAX((1=Z$12:Z725)*ROW(Z$12:Z725),ROW($T$12))&amp;":AA"&amp;(ROW()-1)))),1,0))=16),MIN(LOOKUP(,-1/($Z$12:Z726=1),$C$12:C726)+LOOKUP(,-1/($Z$12:Z726=1),$H$12:H726)-SUM(INDIRECT("T"&amp;(MAX((1=Z$12:Z725)*ROW(Z$12:Z725),ROW($T$12))&amp;":T"&amp;(ROW()-1)))),Первоначальный[[#This Row],[Полученный платеж]]+Y725),
S725&gt;0,MIN(LOOKUP(,-1/($Z$12:Z726=1),$C$12:C726)+LOOKUP(,-1/($Z$12:Z726=1),$H$12:H726)-IF(Z725=1,0,SUM(INDIRECT("T"&amp;(MAX((1=Z$12:Z725)*ROW(Z$12:Z725)+1,ROW($T$12))&amp;":T"&amp;(ROW()-1))))),Первоначальный[[#This Row],[Полученный платеж]]+Y725)
)
)
)</f>
        <v>0</v>
      </c>
      <c r="U72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платеж]]+Y725-Первоначальный[[#This Row],[Полученный платёж по процентам]])</f>
        <v>0</v>
      </c>
      <c r="V726" s="55">
        <f t="shared" ca="1" si="133"/>
        <v>0</v>
      </c>
      <c r="W726" s="55" cm="1">
        <f t="array" aca="1" ref="W726" ca="1">IF(Первоначальный[[#This Row],[Итого остаток на начало периода]]&lt;1,0,
_xlfn.IFS(
AND(TYPE(VLOOKUP(1,$Z$12:Z726,1,0))=16,Первоначальный[[#This Row],[Досрочное погашение (да/"")]]=""),0,
AND(S725=0,Первоначальный[[#This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платеж]]+Y725-SUM(Первоначальный[[#This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комиссиям]]),VLOOKUP(LOOKUP(,-1/($Z$12:Z726=1),$A$12:A726),График[[Срок конец]:[Возврат основной суммы долга]],3,0)),
AND(S725=0,Первоначальный[[#This Row],[Дата платежа из графика]]="",Первоначальный[[#This Row],[Досрочное погашение (да/"")]]&lt;&gt;"Да"),0,
AND(S725=0,Первоначальный[[#This Row],[Досрочное погашение (да/"")]]=""),MIN(Первоначальный[[#This Row],[Полученный платеж]]+Y725-SUM(Первоначальный[[#This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комиссиям]]),VLOOKUP(LOOKUP(,-1/($Z$12:Z726=1),$A$12:A726),График[[Срок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платеж]]+Y725-SUM(Первоначальный[[#This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S725&gt;0,MIN(Первоначальный[[#This Row],[Полученный платеж]]+Y725-SUM(Первоначальный[[#This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комиссиям]]),SUM(INDIRECT("M"&amp;(MAX((1=S$12:S725)*ROW(S$12:S725),ROW($W$12))&amp;":M"&amp;(ROW()))))-SUM(INDIRECT("W"&amp;(MAX((1=S$12:S725)*ROW(S$12:S725),ROW($W$12))&amp;":W"&amp;(ROW()-1)))))
)
)</f>
        <v>0</v>
      </c>
      <c r="X726" s="55">
        <f t="shared" ca="1" si="134"/>
        <v>0</v>
      </c>
      <c r="Y726" s="101">
        <f t="shared" ca="1" si="141"/>
        <v>0</v>
      </c>
      <c r="Z726" s="133" t="str">
        <f>IF(TYPE((VLOOKUP(Первоначальный[[#This Row],[Дата платежа]],График[Срок конец],1,0)))=16,"",1)</f>
        <v/>
      </c>
      <c r="AA726" s="57"/>
      <c r="AB726" s="134"/>
      <c r="AC72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2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51460.070000000065</v>
      </c>
      <c r="AE72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1717.2699999999982</v>
      </c>
      <c r="AF72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2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96950.199039344268</v>
      </c>
      <c r="AH726" s="55"/>
      <c r="AI726" s="55"/>
      <c r="AJ726" s="55"/>
      <c r="AK726" s="101">
        <f t="shared" ca="1" si="142"/>
        <v>299760.87903934432</v>
      </c>
      <c r="AL726" s="129">
        <f t="array" ref="AL726">MAX((УслРестрактов[Характеристика]="Дата реструктуризации")*(УслРестрактов[Значение]=Первоначальный!$A726),0)</f>
        <v>0</v>
      </c>
    </row>
    <row r="727" spans="1:38" x14ac:dyDescent="0.25">
      <c r="A727" s="97">
        <f t="shared" si="135"/>
        <v>44858</v>
      </c>
      <c r="B727" s="100">
        <f t="shared" ca="1" si="136"/>
        <v>149633.34</v>
      </c>
      <c r="C727" s="55">
        <f t="shared" ca="1" si="132"/>
        <v>51460.070000000065</v>
      </c>
      <c r="D727" s="55">
        <f t="shared" ca="1" si="132"/>
        <v>1717.2699999999982</v>
      </c>
      <c r="E727" s="55">
        <f t="shared" ca="1" si="137"/>
        <v>0</v>
      </c>
      <c r="F727" s="55">
        <f t="shared" ca="1" si="138"/>
        <v>96950.199039344268</v>
      </c>
      <c r="G727" s="101">
        <f t="shared" ca="1" si="139"/>
        <v>299760.87903934432</v>
      </c>
      <c r="H727" s="100">
        <f ca="1">ROUND($B727*VLOOKUP($A727,$A$1:$B$10,2,1)/(365+IF(MOD(YEAR($A727),4),0,1)*($A727-$A726)),2)-Первоначальный[[#This Row],[Проценты на просроченный платеж по ОД за период]]</f>
        <v>75.89</v>
      </c>
      <c r="I727" s="55">
        <f t="shared" ca="1" si="140"/>
        <v>5.69</v>
      </c>
      <c r="J727" s="55">
        <v>0</v>
      </c>
      <c r="K727" s="55">
        <f t="shared" ca="1" si="143"/>
        <v>304.11850327868842</v>
      </c>
      <c r="L727" s="55">
        <v>0</v>
      </c>
      <c r="M727" s="113">
        <f>SUMIFS(График[Возврат основной суммы долга],График[Дата с учетом нерабочих дней],$A727)</f>
        <v>0</v>
      </c>
      <c r="N727" s="56">
        <f>SUMIFS(График[Возврат начисленных %],График[Дата с учетом нерабочих дней],$A727)</f>
        <v>0</v>
      </c>
      <c r="O727" s="101">
        <v>0</v>
      </c>
      <c r="P727" s="100" cm="1">
        <f t="array" aca="1" ref="P727" ca="1">MAX(IF(AA726="Да",0,SUM(INDIRECT("M"&amp;(MAX(("Да"=AA$12:AA726)*ROW(AA$12:AA726)+1,ROW($P$12))&amp;":M"&amp;(ROW()))))-SUM(INDIRECT("W"&amp;(MAX(("Да"=AA$12:AA726)*ROW(AA$12:AA726)+1,ROW($P$12))&amp;":W"&amp;(ROW()))))),0)</f>
        <v>10428.589999999998</v>
      </c>
      <c r="Q727" s="99">
        <f ca="1">MAX(SUM($N$13:N727)-SUM($T$13:T727),0)</f>
        <v>50395.110655737692</v>
      </c>
      <c r="R727" s="99">
        <f ca="1">Первоначальный[[#This Row],[Просроченный платеж по ОД]]+Первоначальный[[#This Row],[Просроченный платеж по процентам]]</f>
        <v>60823.700655737688</v>
      </c>
      <c r="S727" s="120">
        <f ca="1">IF(Первоначальный[[#This Row],[Просроченный платеж]]&lt;1,0,S726+1)</f>
        <v>623</v>
      </c>
      <c r="T727" s="100" cm="1">
        <f t="array" aca="1" ref="T727" ca="1">IF(Первоначальный[[#This Row],[Итого остаток на начало периода]]&lt;1,0,
IF(
AND(TYPE(VLOOKUP(1,$Z$12:Z727,1,0))=16,Первоначальный[[#This Row],[Досрочное погашение (да/"")]]=""),0,
_xlfn.IFS(AND(S726=0,Первоначальный[[#This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платеж]]&lt;&gt;0),MIN(LOOKUP(,-1/($Z$12:Z727=1),$C$12:C727)+LOOKUP(,-1/($Z$12:Z727=1),$H$12:H727),Первоначальный[[#This Row],[Полученный платеж]]+Y726),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платеж]]+Y726,SUM(Первоначальный[[#This Row],[Остаток процентов на начало периода]],Первоначальный[[#This Row],[Проценты за период]])),
AND(S726=0,Первоначальный[[#This Row],[Дата платежа из графика]]=""),0,
AND(S726=0,Первоначальный[[#This Row],[Дата платежа из графика]]=1,MAX((0&lt;&gt;S$12:S726)*ROW(S$12:S726),ROW($S$12))&gt;=MAX((1=Z$12:Z726)*ROW(Z$12:Z726),ROW($T$12)),TYPE(VLOOKUP("Да",(INDIRECT("AA"&amp;(MAX((1=Z$12:Z726)*ROW(Z$12:Z726),ROW($T$12))&amp;":AA"&amp;(ROW()-1)))),1,0))=16),MIN(LOOKUP(,-1/($Z$12:Z727=1),$C$12:C727)+LOOKUP(,-1/($Z$12:Z727=1),$H$12:H727),Первоначальный[[#This Row],[Полученный платеж]]+Y726),
AND(S726=0,TYPE(VLOOKUP("Да",(INDIRECT("AA"&amp;(MAX((1=Z$12:Z726)*ROW(Z$12:Z726),ROW($T$12))&amp;":AA"&amp;(ROW()-1)))),1,0))&lt;&gt;16),MIN(LOOKUP(,-1/($Z$12:Z727=1),$C$12:C727)+LOOKUP(,-1/($Z$12:Z727=1),$H$12:H727)-IF(AA726="Да",0,SUM(INDIRECT("T"&amp;(MAX(("Да"=AA$12:AA726)*ROW(AA$12:AA726)+1,ROW($T$12))&amp;":T"&amp;(ROW()-1))))),Первоначальный[[#This Row],[Полученный платеж]]+Y726),
AND(S726=0,MAX((0&lt;&gt;N$12:N726)*ROW(N$12:N726),ROW($S$12))&gt;=MAX((1=Z$12:Z726)*ROW(Z$12:Z726),ROW($T$12))),MIN(LOOKUP(,-1/($Z$12:Z727=1),$C$12:C727)+LOOKUP(,-1/($Z$12:Z727=1),$H$12:H727)-IF(N726&lt;&gt;0,0,SUM(INDIRECT("T"&amp;(MAX((0&lt;&gt;N$12:N726)*ROW(N$12:N726)+1,ROW($T$12))&amp;":T"&amp;(ROW()-1))))),Первоначальный[[#This Row],[Полученный платеж]]+Y726),
AND(S726=0,Первоначальный[[#This Row],[Дата платежа из графика]]=1),MIN(LOOKUP(,-1/($Z$12:Z727=1),$C$12:C727)+LOOKUP(,-1/($Z$12:Z727=1),$H$12:H727)-IF(Z726=1,0,SUM(INDIRECT("T"&amp;(MAX((1=Z$12:Z726)*ROW(Z$12:Z726)+1,ROW($T$12))&amp;":T"&amp;(ROW()-1))))),Первоначальный[[#This Row],[Полученный платеж]]+Y726),
AND(Z726&gt;0,Первоначальный[[#This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платеж]]+Y726),
AND(S726&gt;0,MAX((0&lt;&gt;S$12:S726)*ROW(S$12:S726),ROW($S$12))&gt;=MAX((1=Z$12:Z726)*ROW(Z$12:Z726),ROW($T$12)),TYPE(VLOOKUP("Да",(INDIRECT("AA"&amp;(MAX((1=Z$12:Z726)*ROW(Z$12:Z726),ROW($T$12))&amp;":AA"&amp;(ROW()-1)))),1,0))=16),MIN(LOOKUP(,-1/($Z$12:Z727=1),$C$12:C727)+LOOKUP(,-1/($Z$12:Z727=1),$H$12:H727)-SUM(INDIRECT("T"&amp;(MAX((1=Z$12:Z726)*ROW(Z$12:Z726),ROW($T$12))&amp;":T"&amp;(ROW()-1)))),Первоначальный[[#This Row],[Полученный платеж]]+Y726),
S726&gt;0,MIN(LOOKUP(,-1/($Z$12:Z727=1),$C$12:C727)+LOOKUP(,-1/($Z$12:Z727=1),$H$12:H727)-IF(Z726=1,0,SUM(INDIRECT("T"&amp;(MAX((1=Z$12:Z726)*ROW(Z$12:Z726)+1,ROW($T$12))&amp;":T"&amp;(ROW()-1))))),Первоначальный[[#This Row],[Полученный платеж]]+Y726)
)
)
)</f>
        <v>0</v>
      </c>
      <c r="U72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платеж]]+Y726-Первоначальный[[#This Row],[Полученный платёж по процентам]])</f>
        <v>0</v>
      </c>
      <c r="V727" s="55">
        <f t="shared" ca="1" si="133"/>
        <v>0</v>
      </c>
      <c r="W727" s="55" cm="1">
        <f t="array" aca="1" ref="W727" ca="1">IF(Первоначальный[[#This Row],[Итого остаток на начало периода]]&lt;1,0,
_xlfn.IFS(
AND(TYPE(VLOOKUP(1,$Z$12:Z727,1,0))=16,Первоначальный[[#This Row],[Досрочное погашение (да/"")]]=""),0,
AND(S726=0,Первоначальный[[#This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платеж]]+Y726-SUM(Первоначальный[[#This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комиссиям]]),VLOOKUP(LOOKUP(,-1/($Z$12:Z727=1),$A$12:A727),График[[Срок конец]:[Возврат основной суммы долга]],3,0)),
AND(S726=0,Первоначальный[[#This Row],[Дата платежа из графика]]="",Первоначальный[[#This Row],[Досрочное погашение (да/"")]]&lt;&gt;"Да"),0,
AND(S726=0,Первоначальный[[#This Row],[Досрочное погашение (да/"")]]=""),MIN(Первоначальный[[#This Row],[Полученный платеж]]+Y726-SUM(Первоначальный[[#This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комиссиям]]),VLOOKUP(LOOKUP(,-1/($Z$12:Z727=1),$A$12:A727),График[[Срок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платеж]]+Y726-SUM(Первоначальный[[#This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S726&gt;0,MIN(Первоначальный[[#This Row],[Полученный платеж]]+Y726-SUM(Первоначальный[[#This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комиссиям]]),SUM(INDIRECT("M"&amp;(MAX((1=S$12:S726)*ROW(S$12:S726),ROW($W$12))&amp;":M"&amp;(ROW()))))-SUM(INDIRECT("W"&amp;(MAX((1=S$12:S726)*ROW(S$12:S726),ROW($W$12))&amp;":W"&amp;(ROW()-1)))))
)
)</f>
        <v>0</v>
      </c>
      <c r="X727" s="55">
        <f t="shared" ca="1" si="134"/>
        <v>0</v>
      </c>
      <c r="Y727" s="101">
        <f t="shared" ca="1" si="141"/>
        <v>0</v>
      </c>
      <c r="Z727" s="133" t="str">
        <f>IF(TYPE((VLOOKUP(Первоначальный[[#This Row],[Дата платежа]],График[Срок конец],1,0)))=16,"",1)</f>
        <v/>
      </c>
      <c r="AA727" s="57"/>
      <c r="AB727" s="134"/>
      <c r="AC72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2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51535.960000000065</v>
      </c>
      <c r="AE72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1722.9599999999982</v>
      </c>
      <c r="AF72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2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97254.317542622957</v>
      </c>
      <c r="AH727" s="55"/>
      <c r="AI727" s="55"/>
      <c r="AJ727" s="55"/>
      <c r="AK727" s="101">
        <f t="shared" ca="1" si="142"/>
        <v>300146.57754262298</v>
      </c>
      <c r="AL727" s="129">
        <f t="array" ref="AL727">MAX((УслРестрактов[Характеристика]="Дата реструктуризации")*(УслРестрактов[Значение]=Первоначальный!$A727),0)</f>
        <v>0</v>
      </c>
    </row>
    <row r="728" spans="1:38" x14ac:dyDescent="0.25">
      <c r="A728" s="97">
        <f t="shared" si="135"/>
        <v>44859</v>
      </c>
      <c r="B728" s="100">
        <f t="shared" ca="1" si="136"/>
        <v>149633.34</v>
      </c>
      <c r="C728" s="55">
        <f t="shared" ca="1" si="132"/>
        <v>51535.960000000065</v>
      </c>
      <c r="D728" s="55">
        <f t="shared" ca="1" si="132"/>
        <v>1722.9599999999982</v>
      </c>
      <c r="E728" s="55">
        <f t="shared" ca="1" si="137"/>
        <v>0</v>
      </c>
      <c r="F728" s="55">
        <f t="shared" ca="1" si="138"/>
        <v>97254.317542622957</v>
      </c>
      <c r="G728" s="101">
        <f t="shared" ca="1" si="139"/>
        <v>300146.57754262298</v>
      </c>
      <c r="H728" s="100">
        <f ca="1">ROUND($B728*VLOOKUP($A728,$A$1:$B$10,2,1)/(365+IF(MOD(YEAR($A728),4),0,1)*($A728-$A727)),2)-Первоначальный[[#This Row],[Проценты на просроченный платеж по ОД за период]]</f>
        <v>75.89</v>
      </c>
      <c r="I728" s="55">
        <f t="shared" ca="1" si="140"/>
        <v>5.69</v>
      </c>
      <c r="J728" s="55">
        <v>0</v>
      </c>
      <c r="K728" s="55">
        <f t="shared" ca="1" si="143"/>
        <v>304.11850327868842</v>
      </c>
      <c r="L728" s="55">
        <v>0</v>
      </c>
      <c r="M728" s="113">
        <f>SUMIFS(График[Возврат основной суммы долга],График[Дата с учетом нерабочих дней],$A728)</f>
        <v>0</v>
      </c>
      <c r="N728" s="56">
        <f>SUMIFS(График[Возврат начисленных %],График[Дата с учетом нерабочих дней],$A728)</f>
        <v>0</v>
      </c>
      <c r="O728" s="101">
        <v>0</v>
      </c>
      <c r="P728" s="100" cm="1">
        <f t="array" aca="1" ref="P728" ca="1">MAX(IF(AA727="Да",0,SUM(INDIRECT("M"&amp;(MAX(("Да"=AA$12:AA727)*ROW(AA$12:AA727)+1,ROW($P$12))&amp;":M"&amp;(ROW()))))-SUM(INDIRECT("W"&amp;(MAX(("Да"=AA$12:AA727)*ROW(AA$12:AA727)+1,ROW($P$12))&amp;":W"&amp;(ROW()))))),0)</f>
        <v>10428.589999999998</v>
      </c>
      <c r="Q728" s="99">
        <f ca="1">MAX(SUM($N$13:N728)-SUM($T$13:T728),0)</f>
        <v>50395.110655737692</v>
      </c>
      <c r="R728" s="99">
        <f ca="1">Первоначальный[[#This Row],[Просроченный платеж по ОД]]+Первоначальный[[#This Row],[Просроченный платеж по процентам]]</f>
        <v>60823.700655737688</v>
      </c>
      <c r="S728" s="120">
        <f ca="1">IF(Первоначальный[[#This Row],[Просроченный платеж]]&lt;1,0,S727+1)</f>
        <v>624</v>
      </c>
      <c r="T728" s="100" cm="1">
        <f t="array" aca="1" ref="T728" ca="1">IF(Первоначальный[[#This Row],[Итого остаток на начало периода]]&lt;1,0,
IF(
AND(TYPE(VLOOKUP(1,$Z$12:Z728,1,0))=16,Первоначальный[[#This Row],[Досрочное погашение (да/"")]]=""),0,
_xlfn.IFS(AND(S727=0,Первоначальный[[#This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платеж]]&lt;&gt;0),MIN(LOOKUP(,-1/($Z$12:Z728=1),$C$12:C728)+LOOKUP(,-1/($Z$12:Z728=1),$H$12:H728),Первоначальный[[#This Row],[Полученный платеж]]+Y727),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платеж]]+Y727,SUM(Первоначальный[[#This Row],[Остаток процентов на начало периода]],Первоначальный[[#This Row],[Проценты за период]])),
AND(S727=0,Первоначальный[[#This Row],[Дата платежа из графика]]=""),0,
AND(S727=0,Первоначальный[[#This Row],[Дата платежа из графика]]=1,MAX((0&lt;&gt;S$12:S727)*ROW(S$12:S727),ROW($S$12))&gt;=MAX((1=Z$12:Z727)*ROW(Z$12:Z727),ROW($T$12)),TYPE(VLOOKUP("Да",(INDIRECT("AA"&amp;(MAX((1=Z$12:Z727)*ROW(Z$12:Z727),ROW($T$12))&amp;":AA"&amp;(ROW()-1)))),1,0))=16),MIN(LOOKUP(,-1/($Z$12:Z728=1),$C$12:C728)+LOOKUP(,-1/($Z$12:Z728=1),$H$12:H728),Первоначальный[[#This Row],[Полученный платеж]]+Y727),
AND(S727=0,TYPE(VLOOKUP("Да",(INDIRECT("AA"&amp;(MAX((1=Z$12:Z727)*ROW(Z$12:Z727),ROW($T$12))&amp;":AA"&amp;(ROW()-1)))),1,0))&lt;&gt;16),MIN(LOOKUP(,-1/($Z$12:Z728=1),$C$12:C728)+LOOKUP(,-1/($Z$12:Z728=1),$H$12:H728)-IF(AA727="Да",0,SUM(INDIRECT("T"&amp;(MAX(("Да"=AA$12:AA727)*ROW(AA$12:AA727)+1,ROW($T$12))&amp;":T"&amp;(ROW()-1))))),Первоначальный[[#This Row],[Полученный платеж]]+Y727),
AND(S727=0,MAX((0&lt;&gt;N$12:N727)*ROW(N$12:N727),ROW($S$12))&gt;=MAX((1=Z$12:Z727)*ROW(Z$12:Z727),ROW($T$12))),MIN(LOOKUP(,-1/($Z$12:Z728=1),$C$12:C728)+LOOKUP(,-1/($Z$12:Z728=1),$H$12:H728)-IF(N727&lt;&gt;0,0,SUM(INDIRECT("T"&amp;(MAX((0&lt;&gt;N$12:N727)*ROW(N$12:N727)+1,ROW($T$12))&amp;":T"&amp;(ROW()-1))))),Первоначальный[[#This Row],[Полученный платеж]]+Y727),
AND(S727=0,Первоначальный[[#This Row],[Дата платежа из графика]]=1),MIN(LOOKUP(,-1/($Z$12:Z728=1),$C$12:C728)+LOOKUP(,-1/($Z$12:Z728=1),$H$12:H728)-IF(Z727=1,0,SUM(INDIRECT("T"&amp;(MAX((1=Z$12:Z727)*ROW(Z$12:Z727)+1,ROW($T$12))&amp;":T"&amp;(ROW()-1))))),Первоначальный[[#This Row],[Полученный платеж]]+Y727),
AND(Z727&gt;0,Первоначальный[[#This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платеж]]+Y727),
AND(S727&gt;0,MAX((0&lt;&gt;S$12:S727)*ROW(S$12:S727),ROW($S$12))&gt;=MAX((1=Z$12:Z727)*ROW(Z$12:Z727),ROW($T$12)),TYPE(VLOOKUP("Да",(INDIRECT("AA"&amp;(MAX((1=Z$12:Z727)*ROW(Z$12:Z727),ROW($T$12))&amp;":AA"&amp;(ROW()-1)))),1,0))=16),MIN(LOOKUP(,-1/($Z$12:Z728=1),$C$12:C728)+LOOKUP(,-1/($Z$12:Z728=1),$H$12:H728)-SUM(INDIRECT("T"&amp;(MAX((1=Z$12:Z727)*ROW(Z$12:Z727),ROW($T$12))&amp;":T"&amp;(ROW()-1)))),Первоначальный[[#This Row],[Полученный платеж]]+Y727),
S727&gt;0,MIN(LOOKUP(,-1/($Z$12:Z728=1),$C$12:C728)+LOOKUP(,-1/($Z$12:Z728=1),$H$12:H728)-IF(Z727=1,0,SUM(INDIRECT("T"&amp;(MAX((1=Z$12:Z727)*ROW(Z$12:Z727)+1,ROW($T$12))&amp;":T"&amp;(ROW()-1))))),Первоначальный[[#This Row],[Полученный платеж]]+Y727)
)
)
)</f>
        <v>0</v>
      </c>
      <c r="U72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платеж]]+Y727-Первоначальный[[#This Row],[Полученный платёж по процентам]])</f>
        <v>0</v>
      </c>
      <c r="V728" s="55">
        <f t="shared" ca="1" si="133"/>
        <v>0</v>
      </c>
      <c r="W728" s="55" cm="1">
        <f t="array" aca="1" ref="W728" ca="1">IF(Первоначальный[[#This Row],[Итого остаток на начало периода]]&lt;1,0,
_xlfn.IFS(
AND(TYPE(VLOOKUP(1,$Z$12:Z728,1,0))=16,Первоначальный[[#This Row],[Досрочное погашение (да/"")]]=""),0,
AND(S727=0,Первоначальный[[#This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платеж]]+Y727-SUM(Первоначальный[[#This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комиссиям]]),VLOOKUP(LOOKUP(,-1/($Z$12:Z728=1),$A$12:A728),График[[Срок конец]:[Возврат основной суммы долга]],3,0)),
AND(S727=0,Первоначальный[[#This Row],[Дата платежа из графика]]="",Первоначальный[[#This Row],[Досрочное погашение (да/"")]]&lt;&gt;"Да"),0,
AND(S727=0,Первоначальный[[#This Row],[Досрочное погашение (да/"")]]=""),MIN(Первоначальный[[#This Row],[Полученный платеж]]+Y727-SUM(Первоначальный[[#This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комиссиям]]),VLOOKUP(LOOKUP(,-1/($Z$12:Z728=1),$A$12:A728),График[[Срок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платеж]]+Y727-SUM(Первоначальный[[#This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S727&gt;0,MIN(Первоначальный[[#This Row],[Полученный платеж]]+Y727-SUM(Первоначальный[[#This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комиссиям]]),SUM(INDIRECT("M"&amp;(MAX((1=S$12:S727)*ROW(S$12:S727),ROW($W$12))&amp;":M"&amp;(ROW()))))-SUM(INDIRECT("W"&amp;(MAX((1=S$12:S727)*ROW(S$12:S727),ROW($W$12))&amp;":W"&amp;(ROW()-1)))))
)
)</f>
        <v>0</v>
      </c>
      <c r="X728" s="55">
        <f t="shared" ca="1" si="134"/>
        <v>0</v>
      </c>
      <c r="Y728" s="101">
        <f t="shared" ca="1" si="141"/>
        <v>0</v>
      </c>
      <c r="Z728" s="133" t="str">
        <f>IF(TYPE((VLOOKUP(Первоначальный[[#This Row],[Дата платежа]],График[Срок конец],1,0)))=16,"",1)</f>
        <v/>
      </c>
      <c r="AA728" s="57"/>
      <c r="AB728" s="134"/>
      <c r="AC72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2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51611.850000000064</v>
      </c>
      <c r="AE72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1728.6499999999983</v>
      </c>
      <c r="AF72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2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97558.436045901646</v>
      </c>
      <c r="AH728" s="55"/>
      <c r="AI728" s="55"/>
      <c r="AJ728" s="55"/>
      <c r="AK728" s="101">
        <f t="shared" ca="1" si="142"/>
        <v>300532.2760459017</v>
      </c>
      <c r="AL728" s="129">
        <f t="array" ref="AL728">MAX((УслРестрактов[Характеристика]="Дата реструктуризации")*(УслРестрактов[Значение]=Первоначальный!$A728),0)</f>
        <v>0</v>
      </c>
    </row>
    <row r="729" spans="1:38" x14ac:dyDescent="0.25">
      <c r="A729" s="97">
        <f t="shared" si="135"/>
        <v>44860</v>
      </c>
      <c r="B729" s="100">
        <f t="shared" ca="1" si="136"/>
        <v>149633.34</v>
      </c>
      <c r="C729" s="55">
        <f t="shared" ca="1" si="132"/>
        <v>51611.850000000064</v>
      </c>
      <c r="D729" s="55">
        <f t="shared" ca="1" si="132"/>
        <v>1728.6499999999983</v>
      </c>
      <c r="E729" s="55">
        <f t="shared" ca="1" si="137"/>
        <v>0</v>
      </c>
      <c r="F729" s="55">
        <f t="shared" ca="1" si="138"/>
        <v>97558.436045901646</v>
      </c>
      <c r="G729" s="101">
        <f t="shared" ca="1" si="139"/>
        <v>300532.2760459017</v>
      </c>
      <c r="H729" s="100">
        <f ca="1">ROUND($B729*VLOOKUP($A729,$A$1:$B$10,2,1)/(365+IF(MOD(YEAR($A729),4),0,1)*($A729-$A728)),2)-Первоначальный[[#This Row],[Проценты на просроченный платеж по ОД за период]]</f>
        <v>75.89</v>
      </c>
      <c r="I729" s="55">
        <f t="shared" ca="1" si="140"/>
        <v>5.69</v>
      </c>
      <c r="J729" s="55">
        <v>0</v>
      </c>
      <c r="K729" s="55">
        <f t="shared" ca="1" si="143"/>
        <v>304.11850327868842</v>
      </c>
      <c r="L729" s="55">
        <v>0</v>
      </c>
      <c r="M729" s="113">
        <f>SUMIFS(График[Возврат основной суммы долга],График[Дата с учетом нерабочих дней],$A729)</f>
        <v>0</v>
      </c>
      <c r="N729" s="56">
        <f>SUMIFS(График[Возврат начисленных %],График[Дата с учетом нерабочих дней],$A729)</f>
        <v>0</v>
      </c>
      <c r="O729" s="101">
        <v>0</v>
      </c>
      <c r="P729" s="100" cm="1">
        <f t="array" aca="1" ref="P729" ca="1">MAX(IF(AA728="Да",0,SUM(INDIRECT("M"&amp;(MAX(("Да"=AA$12:AA728)*ROW(AA$12:AA728)+1,ROW($P$12))&amp;":M"&amp;(ROW()))))-SUM(INDIRECT("W"&amp;(MAX(("Да"=AA$12:AA728)*ROW(AA$12:AA728)+1,ROW($P$12))&amp;":W"&amp;(ROW()))))),0)</f>
        <v>10428.589999999998</v>
      </c>
      <c r="Q729" s="99">
        <f ca="1">MAX(SUM($N$13:N729)-SUM($T$13:T729),0)</f>
        <v>50395.110655737692</v>
      </c>
      <c r="R729" s="99">
        <f ca="1">Первоначальный[[#This Row],[Просроченный платеж по ОД]]+Первоначальный[[#This Row],[Просроченный платеж по процентам]]</f>
        <v>60823.700655737688</v>
      </c>
      <c r="S729" s="120">
        <f ca="1">IF(Первоначальный[[#This Row],[Просроченный платеж]]&lt;1,0,S728+1)</f>
        <v>625</v>
      </c>
      <c r="T729" s="100" cm="1">
        <f t="array" aca="1" ref="T729" ca="1">IF(Первоначальный[[#This Row],[Итого остаток на начало периода]]&lt;1,0,
IF(
AND(TYPE(VLOOKUP(1,$Z$12:Z729,1,0))=16,Первоначальный[[#This Row],[Досрочное погашение (да/"")]]=""),0,
_xlfn.IFS(AND(S728=0,Первоначальный[[#This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платеж]]&lt;&gt;0),MIN(LOOKUP(,-1/($Z$12:Z729=1),$C$12:C729)+LOOKUP(,-1/($Z$12:Z729=1),$H$12:H729),Первоначальный[[#This Row],[Полученный платеж]]+Y728),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платеж]]+Y728,SUM(Первоначальный[[#This Row],[Остаток процентов на начало периода]],Первоначальный[[#This Row],[Проценты за период]])),
AND(S728=0,Первоначальный[[#This Row],[Дата платежа из графика]]=""),0,
AND(S728=0,Первоначальный[[#This Row],[Дата платежа из графика]]=1,MAX((0&lt;&gt;S$12:S728)*ROW(S$12:S728),ROW($S$12))&gt;=MAX((1=Z$12:Z728)*ROW(Z$12:Z728),ROW($T$12)),TYPE(VLOOKUP("Да",(INDIRECT("AA"&amp;(MAX((1=Z$12:Z728)*ROW(Z$12:Z728),ROW($T$12))&amp;":AA"&amp;(ROW()-1)))),1,0))=16),MIN(LOOKUP(,-1/($Z$12:Z729=1),$C$12:C729)+LOOKUP(,-1/($Z$12:Z729=1),$H$12:H729),Первоначальный[[#This Row],[Полученный платеж]]+Y728),
AND(S728=0,TYPE(VLOOKUP("Да",(INDIRECT("AA"&amp;(MAX((1=Z$12:Z728)*ROW(Z$12:Z728),ROW($T$12))&amp;":AA"&amp;(ROW()-1)))),1,0))&lt;&gt;16),MIN(LOOKUP(,-1/($Z$12:Z729=1),$C$12:C729)+LOOKUP(,-1/($Z$12:Z729=1),$H$12:H729)-IF(AA728="Да",0,SUM(INDIRECT("T"&amp;(MAX(("Да"=AA$12:AA728)*ROW(AA$12:AA728)+1,ROW($T$12))&amp;":T"&amp;(ROW()-1))))),Первоначальный[[#This Row],[Полученный платеж]]+Y728),
AND(S728=0,MAX((0&lt;&gt;N$12:N728)*ROW(N$12:N728),ROW($S$12))&gt;=MAX((1=Z$12:Z728)*ROW(Z$12:Z728),ROW($T$12))),MIN(LOOKUP(,-1/($Z$12:Z729=1),$C$12:C729)+LOOKUP(,-1/($Z$12:Z729=1),$H$12:H729)-IF(N728&lt;&gt;0,0,SUM(INDIRECT("T"&amp;(MAX((0&lt;&gt;N$12:N728)*ROW(N$12:N728)+1,ROW($T$12))&amp;":T"&amp;(ROW()-1))))),Первоначальный[[#This Row],[Полученный платеж]]+Y728),
AND(S728=0,Первоначальный[[#This Row],[Дата платежа из графика]]=1),MIN(LOOKUP(,-1/($Z$12:Z729=1),$C$12:C729)+LOOKUP(,-1/($Z$12:Z729=1),$H$12:H729)-IF(Z728=1,0,SUM(INDIRECT("T"&amp;(MAX((1=Z$12:Z728)*ROW(Z$12:Z728)+1,ROW($T$12))&amp;":T"&amp;(ROW()-1))))),Первоначальный[[#This Row],[Полученный платеж]]+Y728),
AND(Z728&gt;0,Первоначальный[[#This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платеж]]+Y728),
AND(S728&gt;0,MAX((0&lt;&gt;S$12:S728)*ROW(S$12:S728),ROW($S$12))&gt;=MAX((1=Z$12:Z728)*ROW(Z$12:Z728),ROW($T$12)),TYPE(VLOOKUP("Да",(INDIRECT("AA"&amp;(MAX((1=Z$12:Z728)*ROW(Z$12:Z728),ROW($T$12))&amp;":AA"&amp;(ROW()-1)))),1,0))=16),MIN(LOOKUP(,-1/($Z$12:Z729=1),$C$12:C729)+LOOKUP(,-1/($Z$12:Z729=1),$H$12:H729)-SUM(INDIRECT("T"&amp;(MAX((1=Z$12:Z728)*ROW(Z$12:Z728),ROW($T$12))&amp;":T"&amp;(ROW()-1)))),Первоначальный[[#This Row],[Полученный платеж]]+Y728),
S728&gt;0,MIN(LOOKUP(,-1/($Z$12:Z729=1),$C$12:C729)+LOOKUP(,-1/($Z$12:Z729=1),$H$12:H729)-IF(Z728=1,0,SUM(INDIRECT("T"&amp;(MAX((1=Z$12:Z728)*ROW(Z$12:Z728)+1,ROW($T$12))&amp;":T"&amp;(ROW()-1))))),Первоначальный[[#This Row],[Полученный платеж]]+Y728)
)
)
)</f>
        <v>0</v>
      </c>
      <c r="U72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платеж]]+Y728-Первоначальный[[#This Row],[Полученный платёж по процентам]])</f>
        <v>0</v>
      </c>
      <c r="V729" s="55">
        <f t="shared" ca="1" si="133"/>
        <v>0</v>
      </c>
      <c r="W729" s="55" cm="1">
        <f t="array" aca="1" ref="W729" ca="1">IF(Первоначальный[[#This Row],[Итого остаток на начало периода]]&lt;1,0,
_xlfn.IFS(
AND(TYPE(VLOOKUP(1,$Z$12:Z729,1,0))=16,Первоначальный[[#This Row],[Досрочное погашение (да/"")]]=""),0,
AND(S728=0,Первоначальный[[#This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платеж]]+Y728-SUM(Первоначальный[[#This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комиссиям]]),VLOOKUP(LOOKUP(,-1/($Z$12:Z729=1),$A$12:A729),График[[Срок конец]:[Возврат основной суммы долга]],3,0)),
AND(S728=0,Первоначальный[[#This Row],[Дата платежа из графика]]="",Первоначальный[[#This Row],[Досрочное погашение (да/"")]]&lt;&gt;"Да"),0,
AND(S728=0,Первоначальный[[#This Row],[Досрочное погашение (да/"")]]=""),MIN(Первоначальный[[#This Row],[Полученный платеж]]+Y728-SUM(Первоначальный[[#This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комиссиям]]),VLOOKUP(LOOKUP(,-1/($Z$12:Z729=1),$A$12:A729),График[[Срок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платеж]]+Y728-SUM(Первоначальный[[#This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S728&gt;0,MIN(Первоначальный[[#This Row],[Полученный платеж]]+Y728-SUM(Первоначальный[[#This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комиссиям]]),SUM(INDIRECT("M"&amp;(MAX((1=S$12:S728)*ROW(S$12:S728),ROW($W$12))&amp;":M"&amp;(ROW()))))-SUM(INDIRECT("W"&amp;(MAX((1=S$12:S728)*ROW(S$12:S728),ROW($W$12))&amp;":W"&amp;(ROW()-1)))))
)
)</f>
        <v>0</v>
      </c>
      <c r="X729" s="55">
        <f t="shared" ca="1" si="134"/>
        <v>0</v>
      </c>
      <c r="Y729" s="101">
        <f t="shared" ca="1" si="141"/>
        <v>0</v>
      </c>
      <c r="Z729" s="133" t="str">
        <f>IF(TYPE((VLOOKUP(Первоначальный[[#This Row],[Дата платежа]],График[Срок конец],1,0)))=16,"",1)</f>
        <v/>
      </c>
      <c r="AA729" s="57"/>
      <c r="AB729" s="134"/>
      <c r="AC72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2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51687.740000000063</v>
      </c>
      <c r="AE72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1734.3399999999983</v>
      </c>
      <c r="AF72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2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97862.554549180335</v>
      </c>
      <c r="AH729" s="55"/>
      <c r="AI729" s="55"/>
      <c r="AJ729" s="55"/>
      <c r="AK729" s="101">
        <f t="shared" ca="1" si="142"/>
        <v>300917.97454918042</v>
      </c>
      <c r="AL729" s="129">
        <f t="array" ref="AL729">MAX((УслРестрактов[Характеристика]="Дата реструктуризации")*(УслРестрактов[Значение]=Первоначальный!$A729),0)</f>
        <v>0</v>
      </c>
    </row>
    <row r="730" spans="1:38" x14ac:dyDescent="0.25">
      <c r="A730" s="97">
        <f t="shared" si="135"/>
        <v>44861</v>
      </c>
      <c r="B730" s="100">
        <f t="shared" ca="1" si="136"/>
        <v>149633.34</v>
      </c>
      <c r="C730" s="55">
        <f t="shared" ca="1" si="132"/>
        <v>51687.740000000063</v>
      </c>
      <c r="D730" s="55">
        <f t="shared" ca="1" si="132"/>
        <v>1734.3399999999983</v>
      </c>
      <c r="E730" s="55">
        <f t="shared" ca="1" si="137"/>
        <v>0</v>
      </c>
      <c r="F730" s="55">
        <f t="shared" ca="1" si="138"/>
        <v>97862.554549180335</v>
      </c>
      <c r="G730" s="101">
        <f t="shared" ca="1" si="139"/>
        <v>300917.97454918042</v>
      </c>
      <c r="H730" s="100">
        <f ca="1">ROUND($B730*VLOOKUP($A730,$A$1:$B$10,2,1)/(365+IF(MOD(YEAR($A730),4),0,1)*($A730-$A729)),2)-Первоначальный[[#This Row],[Проценты на просроченный платеж по ОД за период]]</f>
        <v>75.89</v>
      </c>
      <c r="I730" s="55">
        <f t="shared" ca="1" si="140"/>
        <v>5.69</v>
      </c>
      <c r="J730" s="55">
        <v>0</v>
      </c>
      <c r="K730" s="55">
        <f t="shared" ca="1" si="143"/>
        <v>304.11850327868842</v>
      </c>
      <c r="L730" s="55">
        <v>0</v>
      </c>
      <c r="M730" s="113">
        <f>SUMIFS(График[Возврат основной суммы долга],График[Дата с учетом нерабочих дней],$A730)</f>
        <v>0</v>
      </c>
      <c r="N730" s="56">
        <f>SUMIFS(График[Возврат начисленных %],График[Дата с учетом нерабочих дней],$A730)</f>
        <v>0</v>
      </c>
      <c r="O730" s="101">
        <v>0</v>
      </c>
      <c r="P730" s="100" cm="1">
        <f t="array" aca="1" ref="P730" ca="1">MAX(IF(AA729="Да",0,SUM(INDIRECT("M"&amp;(MAX(("Да"=AA$12:AA729)*ROW(AA$12:AA729)+1,ROW($P$12))&amp;":M"&amp;(ROW()))))-SUM(INDIRECT("W"&amp;(MAX(("Да"=AA$12:AA729)*ROW(AA$12:AA729)+1,ROW($P$12))&amp;":W"&amp;(ROW()))))),0)</f>
        <v>10428.589999999998</v>
      </c>
      <c r="Q730" s="99">
        <f ca="1">MAX(SUM($N$13:N730)-SUM($T$13:T730),0)</f>
        <v>50395.110655737692</v>
      </c>
      <c r="R730" s="99">
        <f ca="1">Первоначальный[[#This Row],[Просроченный платеж по ОД]]+Первоначальный[[#This Row],[Просроченный платеж по процентам]]</f>
        <v>60823.700655737688</v>
      </c>
      <c r="S730" s="120">
        <f ca="1">IF(Первоначальный[[#This Row],[Просроченный платеж]]&lt;1,0,S729+1)</f>
        <v>626</v>
      </c>
      <c r="T730" s="100" cm="1">
        <f t="array" aca="1" ref="T730" ca="1">IF(Первоначальный[[#This Row],[Итого остаток на начало периода]]&lt;1,0,
IF(
AND(TYPE(VLOOKUP(1,$Z$12:Z730,1,0))=16,Первоначальный[[#This Row],[Досрочное погашение (да/"")]]=""),0,
_xlfn.IFS(AND(S729=0,Первоначальный[[#This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платеж]]&lt;&gt;0),MIN(LOOKUP(,-1/($Z$12:Z730=1),$C$12:C730)+LOOKUP(,-1/($Z$12:Z730=1),$H$12:H730),Первоначальный[[#This Row],[Полученный платеж]]+Y729),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платеж]]+Y729,SUM(Первоначальный[[#This Row],[Остаток процентов на начало периода]],Первоначальный[[#This Row],[Проценты за период]])),
AND(S729=0,Первоначальный[[#This Row],[Дата платежа из графика]]=""),0,
AND(S729=0,Первоначальный[[#This Row],[Дата платежа из графика]]=1,MAX((0&lt;&gt;S$12:S729)*ROW(S$12:S729),ROW($S$12))&gt;=MAX((1=Z$12:Z729)*ROW(Z$12:Z729),ROW($T$12)),TYPE(VLOOKUP("Да",(INDIRECT("AA"&amp;(MAX((1=Z$12:Z729)*ROW(Z$12:Z729),ROW($T$12))&amp;":AA"&amp;(ROW()-1)))),1,0))=16),MIN(LOOKUP(,-1/($Z$12:Z730=1),$C$12:C730)+LOOKUP(,-1/($Z$12:Z730=1),$H$12:H730),Первоначальный[[#This Row],[Полученный платеж]]+Y729),
AND(S729=0,TYPE(VLOOKUP("Да",(INDIRECT("AA"&amp;(MAX((1=Z$12:Z729)*ROW(Z$12:Z729),ROW($T$12))&amp;":AA"&amp;(ROW()-1)))),1,0))&lt;&gt;16),MIN(LOOKUP(,-1/($Z$12:Z730=1),$C$12:C730)+LOOKUP(,-1/($Z$12:Z730=1),$H$12:H730)-IF(AA729="Да",0,SUM(INDIRECT("T"&amp;(MAX(("Да"=AA$12:AA729)*ROW(AA$12:AA729)+1,ROW($T$12))&amp;":T"&amp;(ROW()-1))))),Первоначальный[[#This Row],[Полученный платеж]]+Y729),
AND(S729=0,MAX((0&lt;&gt;N$12:N729)*ROW(N$12:N729),ROW($S$12))&gt;=MAX((1=Z$12:Z729)*ROW(Z$12:Z729),ROW($T$12))),MIN(LOOKUP(,-1/($Z$12:Z730=1),$C$12:C730)+LOOKUP(,-1/($Z$12:Z730=1),$H$12:H730)-IF(N729&lt;&gt;0,0,SUM(INDIRECT("T"&amp;(MAX((0&lt;&gt;N$12:N729)*ROW(N$12:N729)+1,ROW($T$12))&amp;":T"&amp;(ROW()-1))))),Первоначальный[[#This Row],[Полученный платеж]]+Y729),
AND(S729=0,Первоначальный[[#This Row],[Дата платежа из графика]]=1),MIN(LOOKUP(,-1/($Z$12:Z730=1),$C$12:C730)+LOOKUP(,-1/($Z$12:Z730=1),$H$12:H730)-IF(Z729=1,0,SUM(INDIRECT("T"&amp;(MAX((1=Z$12:Z729)*ROW(Z$12:Z729)+1,ROW($T$12))&amp;":T"&amp;(ROW()-1))))),Первоначальный[[#This Row],[Полученный платеж]]+Y729),
AND(Z729&gt;0,Первоначальный[[#This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платеж]]+Y729),
AND(S729&gt;0,MAX((0&lt;&gt;S$12:S729)*ROW(S$12:S729),ROW($S$12))&gt;=MAX((1=Z$12:Z729)*ROW(Z$12:Z729),ROW($T$12)),TYPE(VLOOKUP("Да",(INDIRECT("AA"&amp;(MAX((1=Z$12:Z729)*ROW(Z$12:Z729),ROW($T$12))&amp;":AA"&amp;(ROW()-1)))),1,0))=16),MIN(LOOKUP(,-1/($Z$12:Z730=1),$C$12:C730)+LOOKUP(,-1/($Z$12:Z730=1),$H$12:H730)-SUM(INDIRECT("T"&amp;(MAX((1=Z$12:Z729)*ROW(Z$12:Z729),ROW($T$12))&amp;":T"&amp;(ROW()-1)))),Первоначальный[[#This Row],[Полученный платеж]]+Y729),
S729&gt;0,MIN(LOOKUP(,-1/($Z$12:Z730=1),$C$12:C730)+LOOKUP(,-1/($Z$12:Z730=1),$H$12:H730)-IF(Z729=1,0,SUM(INDIRECT("T"&amp;(MAX((1=Z$12:Z729)*ROW(Z$12:Z729)+1,ROW($T$12))&amp;":T"&amp;(ROW()-1))))),Первоначальный[[#This Row],[Полученный платеж]]+Y729)
)
)
)</f>
        <v>0</v>
      </c>
      <c r="U73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платеж]]+Y729-Первоначальный[[#This Row],[Полученный платёж по процентам]])</f>
        <v>0</v>
      </c>
      <c r="V730" s="55">
        <f t="shared" ca="1" si="133"/>
        <v>0</v>
      </c>
      <c r="W730" s="55" cm="1">
        <f t="array" aca="1" ref="W730" ca="1">IF(Первоначальный[[#This Row],[Итого остаток на начало периода]]&lt;1,0,
_xlfn.IFS(
AND(TYPE(VLOOKUP(1,$Z$12:Z730,1,0))=16,Первоначальный[[#This Row],[Досрочное погашение (да/"")]]=""),0,
AND(S729=0,Первоначальный[[#This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платеж]]+Y729-SUM(Первоначальный[[#This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комиссиям]]),VLOOKUP(LOOKUP(,-1/($Z$12:Z730=1),$A$12:A730),График[[Срок конец]:[Возврат основной суммы долга]],3,0)),
AND(S729=0,Первоначальный[[#This Row],[Дата платежа из графика]]="",Первоначальный[[#This Row],[Досрочное погашение (да/"")]]&lt;&gt;"Да"),0,
AND(S729=0,Первоначальный[[#This Row],[Досрочное погашение (да/"")]]=""),MIN(Первоначальный[[#This Row],[Полученный платеж]]+Y729-SUM(Первоначальный[[#This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комиссиям]]),VLOOKUP(LOOKUP(,-1/($Z$12:Z730=1),$A$12:A730),График[[Срок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платеж]]+Y729-SUM(Первоначальный[[#This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S729&gt;0,MIN(Первоначальный[[#This Row],[Полученный платеж]]+Y729-SUM(Первоначальный[[#This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комиссиям]]),SUM(INDIRECT("M"&amp;(MAX((1=S$12:S729)*ROW(S$12:S729),ROW($W$12))&amp;":M"&amp;(ROW()))))-SUM(INDIRECT("W"&amp;(MAX((1=S$12:S729)*ROW(S$12:S729),ROW($W$12))&amp;":W"&amp;(ROW()-1)))))
)
)</f>
        <v>0</v>
      </c>
      <c r="X730" s="55">
        <f t="shared" ca="1" si="134"/>
        <v>0</v>
      </c>
      <c r="Y730" s="101">
        <f t="shared" ca="1" si="141"/>
        <v>0</v>
      </c>
      <c r="Z730" s="133" t="str">
        <f>IF(TYPE((VLOOKUP(Первоначальный[[#This Row],[Дата платежа]],График[Срок конец],1,0)))=16,"",1)</f>
        <v/>
      </c>
      <c r="AA730" s="57"/>
      <c r="AB730" s="134"/>
      <c r="AC73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3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51763.630000000063</v>
      </c>
      <c r="AE73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1740.0299999999984</v>
      </c>
      <c r="AF73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3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98166.673052459024</v>
      </c>
      <c r="AH730" s="55"/>
      <c r="AI730" s="55"/>
      <c r="AJ730" s="55"/>
      <c r="AK730" s="101">
        <f t="shared" ca="1" si="142"/>
        <v>301303.67305245908</v>
      </c>
      <c r="AL730" s="129">
        <f t="array" ref="AL730">MAX((УслРестрактов[Характеристика]="Дата реструктуризации")*(УслРестрактов[Значение]=Первоначальный!$A730),0)</f>
        <v>0</v>
      </c>
    </row>
    <row r="731" spans="1:38" x14ac:dyDescent="0.25">
      <c r="A731" s="97">
        <f t="shared" si="135"/>
        <v>44862</v>
      </c>
      <c r="B731" s="100">
        <f t="shared" ca="1" si="136"/>
        <v>149633.34</v>
      </c>
      <c r="C731" s="55">
        <f t="shared" ca="1" si="132"/>
        <v>51763.630000000063</v>
      </c>
      <c r="D731" s="55">
        <f t="shared" ca="1" si="132"/>
        <v>1740.0299999999984</v>
      </c>
      <c r="E731" s="55">
        <f t="shared" ca="1" si="137"/>
        <v>0</v>
      </c>
      <c r="F731" s="55">
        <f t="shared" ca="1" si="138"/>
        <v>98166.673052459024</v>
      </c>
      <c r="G731" s="101">
        <f t="shared" ca="1" si="139"/>
        <v>301303.67305245908</v>
      </c>
      <c r="H731" s="100">
        <f ca="1">ROUND($B731*VLOOKUP($A731,$A$1:$B$10,2,1)/(365+IF(MOD(YEAR($A731),4),0,1)*($A731-$A730)),2)-Первоначальный[[#This Row],[Проценты на просроченный платеж по ОД за период]]</f>
        <v>75.89</v>
      </c>
      <c r="I731" s="55">
        <f t="shared" ca="1" si="140"/>
        <v>5.69</v>
      </c>
      <c r="J731" s="55">
        <v>0</v>
      </c>
      <c r="K731" s="55">
        <f t="shared" ca="1" si="143"/>
        <v>304.11850327868842</v>
      </c>
      <c r="L731" s="55">
        <v>0</v>
      </c>
      <c r="M731" s="113">
        <f>SUMIFS(График[Возврат основной суммы долга],График[Дата с учетом нерабочих дней],$A731)</f>
        <v>0</v>
      </c>
      <c r="N731" s="56">
        <f>SUMIFS(График[Возврат начисленных %],График[Дата с учетом нерабочих дней],$A731)</f>
        <v>0</v>
      </c>
      <c r="O731" s="101">
        <v>0</v>
      </c>
      <c r="P731" s="100" cm="1">
        <f t="array" aca="1" ref="P731" ca="1">MAX(IF(AA730="Да",0,SUM(INDIRECT("M"&amp;(MAX(("Да"=AA$12:AA730)*ROW(AA$12:AA730)+1,ROW($P$12))&amp;":M"&amp;(ROW()))))-SUM(INDIRECT("W"&amp;(MAX(("Да"=AA$12:AA730)*ROW(AA$12:AA730)+1,ROW($P$12))&amp;":W"&amp;(ROW()))))),0)</f>
        <v>10428.589999999998</v>
      </c>
      <c r="Q731" s="99">
        <f ca="1">MAX(SUM($N$13:N731)-SUM($T$13:T731),0)</f>
        <v>50395.110655737692</v>
      </c>
      <c r="R731" s="99">
        <f ca="1">Первоначальный[[#This Row],[Просроченный платеж по ОД]]+Первоначальный[[#This Row],[Просроченный платеж по процентам]]</f>
        <v>60823.700655737688</v>
      </c>
      <c r="S731" s="120">
        <f ca="1">IF(Первоначальный[[#This Row],[Просроченный платеж]]&lt;1,0,S730+1)</f>
        <v>627</v>
      </c>
      <c r="T731" s="100" cm="1">
        <f t="array" aca="1" ref="T731" ca="1">IF(Первоначальный[[#This Row],[Итого остаток на начало периода]]&lt;1,0,
IF(
AND(TYPE(VLOOKUP(1,$Z$12:Z731,1,0))=16,Первоначальный[[#This Row],[Досрочное погашение (да/"")]]=""),0,
_xlfn.IFS(AND(S730=0,Первоначальный[[#This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платеж]]&lt;&gt;0),MIN(LOOKUP(,-1/($Z$12:Z731=1),$C$12:C731)+LOOKUP(,-1/($Z$12:Z731=1),$H$12:H731),Первоначальный[[#This Row],[Полученный платеж]]+Y730),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платеж]]+Y730,SUM(Первоначальный[[#This Row],[Остаток процентов на начало периода]],Первоначальный[[#This Row],[Проценты за период]])),
AND(S730=0,Первоначальный[[#This Row],[Дата платежа из графика]]=""),0,
AND(S730=0,Первоначальный[[#This Row],[Дата платежа из графика]]=1,MAX((0&lt;&gt;S$12:S730)*ROW(S$12:S730),ROW($S$12))&gt;=MAX((1=Z$12:Z730)*ROW(Z$12:Z730),ROW($T$12)),TYPE(VLOOKUP("Да",(INDIRECT("AA"&amp;(MAX((1=Z$12:Z730)*ROW(Z$12:Z730),ROW($T$12))&amp;":AA"&amp;(ROW()-1)))),1,0))=16),MIN(LOOKUP(,-1/($Z$12:Z731=1),$C$12:C731)+LOOKUP(,-1/($Z$12:Z731=1),$H$12:H731),Первоначальный[[#This Row],[Полученный платеж]]+Y730),
AND(S730=0,TYPE(VLOOKUP("Да",(INDIRECT("AA"&amp;(MAX((1=Z$12:Z730)*ROW(Z$12:Z730),ROW($T$12))&amp;":AA"&amp;(ROW()-1)))),1,0))&lt;&gt;16),MIN(LOOKUP(,-1/($Z$12:Z731=1),$C$12:C731)+LOOKUP(,-1/($Z$12:Z731=1),$H$12:H731)-IF(AA730="Да",0,SUM(INDIRECT("T"&amp;(MAX(("Да"=AA$12:AA730)*ROW(AA$12:AA730)+1,ROW($T$12))&amp;":T"&amp;(ROW()-1))))),Первоначальный[[#This Row],[Полученный платеж]]+Y730),
AND(S730=0,MAX((0&lt;&gt;N$12:N730)*ROW(N$12:N730),ROW($S$12))&gt;=MAX((1=Z$12:Z730)*ROW(Z$12:Z730),ROW($T$12))),MIN(LOOKUP(,-1/($Z$12:Z731=1),$C$12:C731)+LOOKUP(,-1/($Z$12:Z731=1),$H$12:H731)-IF(N730&lt;&gt;0,0,SUM(INDIRECT("T"&amp;(MAX((0&lt;&gt;N$12:N730)*ROW(N$12:N730)+1,ROW($T$12))&amp;":T"&amp;(ROW()-1))))),Первоначальный[[#This Row],[Полученный платеж]]+Y730),
AND(S730=0,Первоначальный[[#This Row],[Дата платежа из графика]]=1),MIN(LOOKUP(,-1/($Z$12:Z731=1),$C$12:C731)+LOOKUP(,-1/($Z$12:Z731=1),$H$12:H731)-IF(Z730=1,0,SUM(INDIRECT("T"&amp;(MAX((1=Z$12:Z730)*ROW(Z$12:Z730)+1,ROW($T$12))&amp;":T"&amp;(ROW()-1))))),Первоначальный[[#This Row],[Полученный платеж]]+Y730),
AND(Z730&gt;0,Первоначальный[[#This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платеж]]+Y730),
AND(S730&gt;0,MAX((0&lt;&gt;S$12:S730)*ROW(S$12:S730),ROW($S$12))&gt;=MAX((1=Z$12:Z730)*ROW(Z$12:Z730),ROW($T$12)),TYPE(VLOOKUP("Да",(INDIRECT("AA"&amp;(MAX((1=Z$12:Z730)*ROW(Z$12:Z730),ROW($T$12))&amp;":AA"&amp;(ROW()-1)))),1,0))=16),MIN(LOOKUP(,-1/($Z$12:Z731=1),$C$12:C731)+LOOKUP(,-1/($Z$12:Z731=1),$H$12:H731)-SUM(INDIRECT("T"&amp;(MAX((1=Z$12:Z730)*ROW(Z$12:Z730),ROW($T$12))&amp;":T"&amp;(ROW()-1)))),Первоначальный[[#This Row],[Полученный платеж]]+Y730),
S730&gt;0,MIN(LOOKUP(,-1/($Z$12:Z731=1),$C$12:C731)+LOOKUP(,-1/($Z$12:Z731=1),$H$12:H731)-IF(Z730=1,0,SUM(INDIRECT("T"&amp;(MAX((1=Z$12:Z730)*ROW(Z$12:Z730)+1,ROW($T$12))&amp;":T"&amp;(ROW()-1))))),Первоначальный[[#This Row],[Полученный платеж]]+Y730)
)
)
)</f>
        <v>0</v>
      </c>
      <c r="U73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платеж]]+Y730-Первоначальный[[#This Row],[Полученный платёж по процентам]])</f>
        <v>0</v>
      </c>
      <c r="V731" s="55">
        <f t="shared" ca="1" si="133"/>
        <v>0</v>
      </c>
      <c r="W731" s="55" cm="1">
        <f t="array" aca="1" ref="W731" ca="1">IF(Первоначальный[[#This Row],[Итого остаток на начало периода]]&lt;1,0,
_xlfn.IFS(
AND(TYPE(VLOOKUP(1,$Z$12:Z731,1,0))=16,Первоначальный[[#This Row],[Досрочное погашение (да/"")]]=""),0,
AND(S730=0,Первоначальный[[#This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платеж]]+Y730-SUM(Первоначальный[[#This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комиссиям]]),VLOOKUP(LOOKUP(,-1/($Z$12:Z731=1),$A$12:A731),График[[Срок конец]:[Возврат основной суммы долга]],3,0)),
AND(S730=0,Первоначальный[[#This Row],[Дата платежа из графика]]="",Первоначальный[[#This Row],[Досрочное погашение (да/"")]]&lt;&gt;"Да"),0,
AND(S730=0,Первоначальный[[#This Row],[Досрочное погашение (да/"")]]=""),MIN(Первоначальный[[#This Row],[Полученный платеж]]+Y730-SUM(Первоначальный[[#This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комиссиям]]),VLOOKUP(LOOKUP(,-1/($Z$12:Z731=1),$A$12:A731),График[[Срок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платеж]]+Y730-SUM(Первоначальный[[#This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S730&gt;0,MIN(Первоначальный[[#This Row],[Полученный платеж]]+Y730-SUM(Первоначальный[[#This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комиссиям]]),SUM(INDIRECT("M"&amp;(MAX((1=S$12:S730)*ROW(S$12:S730),ROW($W$12))&amp;":M"&amp;(ROW()))))-SUM(INDIRECT("W"&amp;(MAX((1=S$12:S730)*ROW(S$12:S730),ROW($W$12))&amp;":W"&amp;(ROW()-1)))))
)
)</f>
        <v>0</v>
      </c>
      <c r="X731" s="55">
        <f t="shared" ca="1" si="134"/>
        <v>0</v>
      </c>
      <c r="Y731" s="101">
        <f t="shared" ca="1" si="141"/>
        <v>0</v>
      </c>
      <c r="Z731" s="133" t="str">
        <f>IF(TYPE((VLOOKUP(Первоначальный[[#This Row],[Дата платежа]],График[Срок конец],1,0)))=16,"",1)</f>
        <v/>
      </c>
      <c r="AA731" s="57"/>
      <c r="AB731" s="134"/>
      <c r="AC73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3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51839.520000000062</v>
      </c>
      <c r="AE73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1745.7199999999984</v>
      </c>
      <c r="AF73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3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98470.791555737713</v>
      </c>
      <c r="AH731" s="55"/>
      <c r="AI731" s="55"/>
      <c r="AJ731" s="55"/>
      <c r="AK731" s="101">
        <f t="shared" ca="1" si="142"/>
        <v>301689.37155573774</v>
      </c>
      <c r="AL731" s="129">
        <f t="array" ref="AL731">MAX((УслРестрактов[Характеристика]="Дата реструктуризации")*(УслРестрактов[Значение]=Первоначальный!$A731),0)</f>
        <v>0</v>
      </c>
    </row>
    <row r="732" spans="1:38" x14ac:dyDescent="0.25">
      <c r="A732" s="97">
        <f t="shared" si="135"/>
        <v>44863</v>
      </c>
      <c r="B732" s="100">
        <f t="shared" ca="1" si="136"/>
        <v>149633.34</v>
      </c>
      <c r="C732" s="55">
        <f t="shared" ca="1" si="132"/>
        <v>51839.520000000062</v>
      </c>
      <c r="D732" s="55">
        <f t="shared" ca="1" si="132"/>
        <v>1745.7199999999984</v>
      </c>
      <c r="E732" s="55">
        <f t="shared" ca="1" si="137"/>
        <v>0</v>
      </c>
      <c r="F732" s="55">
        <f t="shared" ca="1" si="138"/>
        <v>98470.791555737713</v>
      </c>
      <c r="G732" s="101">
        <f t="shared" ca="1" si="139"/>
        <v>301689.37155573774</v>
      </c>
      <c r="H732" s="100">
        <f ca="1">ROUND($B732*VLOOKUP($A732,$A$1:$B$10,2,1)/(365+IF(MOD(YEAR($A732),4),0,1)*($A732-$A731)),2)-Первоначальный[[#This Row],[Проценты на просроченный платеж по ОД за период]]</f>
        <v>75.89</v>
      </c>
      <c r="I732" s="55">
        <f t="shared" ca="1" si="140"/>
        <v>5.69</v>
      </c>
      <c r="J732" s="55">
        <v>0</v>
      </c>
      <c r="K732" s="55">
        <f t="shared" ca="1" si="143"/>
        <v>304.11850327868842</v>
      </c>
      <c r="L732" s="55">
        <v>0</v>
      </c>
      <c r="M732" s="113">
        <f>SUMIFS(График[Возврат основной суммы долга],График[Дата с учетом нерабочих дней],$A732)</f>
        <v>0</v>
      </c>
      <c r="N732" s="56">
        <f>SUMIFS(График[Возврат начисленных %],График[Дата с учетом нерабочих дней],$A732)</f>
        <v>0</v>
      </c>
      <c r="O732" s="101">
        <v>0</v>
      </c>
      <c r="P732" s="100" cm="1">
        <f t="array" aca="1" ref="P732" ca="1">MAX(IF(AA731="Да",0,SUM(INDIRECT("M"&amp;(MAX(("Да"=AA$12:AA731)*ROW(AA$12:AA731)+1,ROW($P$12))&amp;":M"&amp;(ROW()))))-SUM(INDIRECT("W"&amp;(MAX(("Да"=AA$12:AA731)*ROW(AA$12:AA731)+1,ROW($P$12))&amp;":W"&amp;(ROW()))))),0)</f>
        <v>10428.589999999998</v>
      </c>
      <c r="Q732" s="99">
        <f ca="1">MAX(SUM($N$13:N732)-SUM($T$13:T732),0)</f>
        <v>50395.110655737692</v>
      </c>
      <c r="R732" s="99">
        <f ca="1">Первоначальный[[#This Row],[Просроченный платеж по ОД]]+Первоначальный[[#This Row],[Просроченный платеж по процентам]]</f>
        <v>60823.700655737688</v>
      </c>
      <c r="S732" s="120">
        <f ca="1">IF(Первоначальный[[#This Row],[Просроченный платеж]]&lt;1,0,S731+1)</f>
        <v>628</v>
      </c>
      <c r="T732" s="100" cm="1">
        <f t="array" aca="1" ref="T732" ca="1">IF(Первоначальный[[#This Row],[Итого остаток на начало периода]]&lt;1,0,
IF(
AND(TYPE(VLOOKUP(1,$Z$12:Z732,1,0))=16,Первоначальный[[#This Row],[Досрочное погашение (да/"")]]=""),0,
_xlfn.IFS(AND(S731=0,Первоначальный[[#This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платеж]]&lt;&gt;0),MIN(LOOKUP(,-1/($Z$12:Z732=1),$C$12:C732)+LOOKUP(,-1/($Z$12:Z732=1),$H$12:H732),Первоначальный[[#This Row],[Полученный платеж]]+Y731),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платеж]]+Y731,SUM(Первоначальный[[#This Row],[Остаток процентов на начало периода]],Первоначальный[[#This Row],[Проценты за период]])),
AND(S731=0,Первоначальный[[#This Row],[Дата платежа из графика]]=""),0,
AND(S731=0,Первоначальный[[#This Row],[Дата платежа из графика]]=1,MAX((0&lt;&gt;S$12:S731)*ROW(S$12:S731),ROW($S$12))&gt;=MAX((1=Z$12:Z731)*ROW(Z$12:Z731),ROW($T$12)),TYPE(VLOOKUP("Да",(INDIRECT("AA"&amp;(MAX((1=Z$12:Z731)*ROW(Z$12:Z731),ROW($T$12))&amp;":AA"&amp;(ROW()-1)))),1,0))=16),MIN(LOOKUP(,-1/($Z$12:Z732=1),$C$12:C732)+LOOKUP(,-1/($Z$12:Z732=1),$H$12:H732),Первоначальный[[#This Row],[Полученный платеж]]+Y731),
AND(S731=0,TYPE(VLOOKUP("Да",(INDIRECT("AA"&amp;(MAX((1=Z$12:Z731)*ROW(Z$12:Z731),ROW($T$12))&amp;":AA"&amp;(ROW()-1)))),1,0))&lt;&gt;16),MIN(LOOKUP(,-1/($Z$12:Z732=1),$C$12:C732)+LOOKUP(,-1/($Z$12:Z732=1),$H$12:H732)-IF(AA731="Да",0,SUM(INDIRECT("T"&amp;(MAX(("Да"=AA$12:AA731)*ROW(AA$12:AA731)+1,ROW($T$12))&amp;":T"&amp;(ROW()-1))))),Первоначальный[[#This Row],[Полученный платеж]]+Y731),
AND(S731=0,MAX((0&lt;&gt;N$12:N731)*ROW(N$12:N731),ROW($S$12))&gt;=MAX((1=Z$12:Z731)*ROW(Z$12:Z731),ROW($T$12))),MIN(LOOKUP(,-1/($Z$12:Z732=1),$C$12:C732)+LOOKUP(,-1/($Z$12:Z732=1),$H$12:H732)-IF(N731&lt;&gt;0,0,SUM(INDIRECT("T"&amp;(MAX((0&lt;&gt;N$12:N731)*ROW(N$12:N731)+1,ROW($T$12))&amp;":T"&amp;(ROW()-1))))),Первоначальный[[#This Row],[Полученный платеж]]+Y731),
AND(S731=0,Первоначальный[[#This Row],[Дата платежа из графика]]=1),MIN(LOOKUP(,-1/($Z$12:Z732=1),$C$12:C732)+LOOKUP(,-1/($Z$12:Z732=1),$H$12:H732)-IF(Z731=1,0,SUM(INDIRECT("T"&amp;(MAX((1=Z$12:Z731)*ROW(Z$12:Z731)+1,ROW($T$12))&amp;":T"&amp;(ROW()-1))))),Первоначальный[[#This Row],[Полученный платеж]]+Y731),
AND(Z731&gt;0,Первоначальный[[#This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платеж]]+Y731),
AND(S731&gt;0,MAX((0&lt;&gt;S$12:S731)*ROW(S$12:S731),ROW($S$12))&gt;=MAX((1=Z$12:Z731)*ROW(Z$12:Z731),ROW($T$12)),TYPE(VLOOKUP("Да",(INDIRECT("AA"&amp;(MAX((1=Z$12:Z731)*ROW(Z$12:Z731),ROW($T$12))&amp;":AA"&amp;(ROW()-1)))),1,0))=16),MIN(LOOKUP(,-1/($Z$12:Z732=1),$C$12:C732)+LOOKUP(,-1/($Z$12:Z732=1),$H$12:H732)-SUM(INDIRECT("T"&amp;(MAX((1=Z$12:Z731)*ROW(Z$12:Z731),ROW($T$12))&amp;":T"&amp;(ROW()-1)))),Первоначальный[[#This Row],[Полученный платеж]]+Y731),
S731&gt;0,MIN(LOOKUP(,-1/($Z$12:Z732=1),$C$12:C732)+LOOKUP(,-1/($Z$12:Z732=1),$H$12:H732)-IF(Z731=1,0,SUM(INDIRECT("T"&amp;(MAX((1=Z$12:Z731)*ROW(Z$12:Z731)+1,ROW($T$12))&amp;":T"&amp;(ROW()-1))))),Первоначальный[[#This Row],[Полученный платеж]]+Y731)
)
)
)</f>
        <v>0</v>
      </c>
      <c r="U73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платеж]]+Y731-Первоначальный[[#This Row],[Полученный платёж по процентам]])</f>
        <v>0</v>
      </c>
      <c r="V732" s="55">
        <f t="shared" ca="1" si="133"/>
        <v>0</v>
      </c>
      <c r="W732" s="55" cm="1">
        <f t="array" aca="1" ref="W732" ca="1">IF(Первоначальный[[#This Row],[Итого остаток на начало периода]]&lt;1,0,
_xlfn.IFS(
AND(TYPE(VLOOKUP(1,$Z$12:Z732,1,0))=16,Первоначальный[[#This Row],[Досрочное погашение (да/"")]]=""),0,
AND(S731=0,Первоначальный[[#This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платеж]]+Y731-SUM(Первоначальный[[#This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комиссиям]]),VLOOKUP(LOOKUP(,-1/($Z$12:Z732=1),$A$12:A732),График[[Срок конец]:[Возврат основной суммы долга]],3,0)),
AND(S731=0,Первоначальный[[#This Row],[Дата платежа из графика]]="",Первоначальный[[#This Row],[Досрочное погашение (да/"")]]&lt;&gt;"Да"),0,
AND(S731=0,Первоначальный[[#This Row],[Досрочное погашение (да/"")]]=""),MIN(Первоначальный[[#This Row],[Полученный платеж]]+Y731-SUM(Первоначальный[[#This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комиссиям]]),VLOOKUP(LOOKUP(,-1/($Z$12:Z732=1),$A$12:A732),График[[Срок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платеж]]+Y731-SUM(Первоначальный[[#This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S731&gt;0,MIN(Первоначальный[[#This Row],[Полученный платеж]]+Y731-SUM(Первоначальный[[#This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комиссиям]]),SUM(INDIRECT("M"&amp;(MAX((1=S$12:S731)*ROW(S$12:S731),ROW($W$12))&amp;":M"&amp;(ROW()))))-SUM(INDIRECT("W"&amp;(MAX((1=S$12:S731)*ROW(S$12:S731),ROW($W$12))&amp;":W"&amp;(ROW()-1)))))
)
)</f>
        <v>0</v>
      </c>
      <c r="X732" s="55">
        <f t="shared" ca="1" si="134"/>
        <v>0</v>
      </c>
      <c r="Y732" s="101">
        <f t="shared" ca="1" si="141"/>
        <v>0</v>
      </c>
      <c r="Z732" s="133" t="str">
        <f>IF(TYPE((VLOOKUP(Первоначальный[[#This Row],[Дата платежа]],График[Срок конец],1,0)))=16,"",1)</f>
        <v/>
      </c>
      <c r="AA732" s="57"/>
      <c r="AB732" s="134"/>
      <c r="AC73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3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51915.410000000062</v>
      </c>
      <c r="AE73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1751.4099999999985</v>
      </c>
      <c r="AF73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3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98774.910059016402</v>
      </c>
      <c r="AH732" s="55"/>
      <c r="AI732" s="55"/>
      <c r="AJ732" s="55"/>
      <c r="AK732" s="101">
        <f t="shared" ca="1" si="142"/>
        <v>302075.07005901646</v>
      </c>
      <c r="AL732" s="129">
        <f t="array" ref="AL732">MAX((УслРестрактов[Характеристика]="Дата реструктуризации")*(УслРестрактов[Значение]=Первоначальный!$A732),0)</f>
        <v>0</v>
      </c>
    </row>
    <row r="733" spans="1:38" x14ac:dyDescent="0.25">
      <c r="A733" s="97">
        <f t="shared" si="135"/>
        <v>44864</v>
      </c>
      <c r="B733" s="100">
        <f t="shared" ca="1" si="136"/>
        <v>149633.34</v>
      </c>
      <c r="C733" s="55">
        <f t="shared" ref="C733:D796" ca="1" si="144">AD732+AI732</f>
        <v>51915.410000000062</v>
      </c>
      <c r="D733" s="55">
        <f t="shared" ca="1" si="144"/>
        <v>1751.4099999999985</v>
      </c>
      <c r="E733" s="55">
        <f t="shared" ca="1" si="137"/>
        <v>0</v>
      </c>
      <c r="F733" s="55">
        <f t="shared" ca="1" si="138"/>
        <v>98774.910059016402</v>
      </c>
      <c r="G733" s="101">
        <f t="shared" ca="1" si="139"/>
        <v>302075.07005901646</v>
      </c>
      <c r="H733" s="100">
        <f ca="1">ROUND($B733*VLOOKUP($A733,$A$1:$B$10,2,1)/(365+IF(MOD(YEAR($A733),4),0,1)*($A733-$A732)),2)-Первоначальный[[#This Row],[Проценты на просроченный платеж по ОД за период]]</f>
        <v>75.89</v>
      </c>
      <c r="I733" s="55">
        <f t="shared" ca="1" si="140"/>
        <v>5.69</v>
      </c>
      <c r="J733" s="55">
        <v>0</v>
      </c>
      <c r="K733" s="55">
        <f t="shared" ca="1" si="143"/>
        <v>304.11850327868842</v>
      </c>
      <c r="L733" s="55">
        <v>0</v>
      </c>
      <c r="M733" s="113">
        <f>SUMIFS(График[Возврат основной суммы долга],График[Дата с учетом нерабочих дней],$A733)</f>
        <v>0</v>
      </c>
      <c r="N733" s="56">
        <f>SUMIFS(График[Возврат начисленных %],График[Дата с учетом нерабочих дней],$A733)</f>
        <v>0</v>
      </c>
      <c r="O733" s="101">
        <v>0</v>
      </c>
      <c r="P733" s="100" cm="1">
        <f t="array" aca="1" ref="P733" ca="1">MAX(IF(AA732="Да",0,SUM(INDIRECT("M"&amp;(MAX(("Да"=AA$12:AA732)*ROW(AA$12:AA732)+1,ROW($P$12))&amp;":M"&amp;(ROW()))))-SUM(INDIRECT("W"&amp;(MAX(("Да"=AA$12:AA732)*ROW(AA$12:AA732)+1,ROW($P$12))&amp;":W"&amp;(ROW()))))),0)</f>
        <v>10428.589999999998</v>
      </c>
      <c r="Q733" s="99">
        <f ca="1">MAX(SUM($N$13:N733)-SUM($T$13:T733),0)</f>
        <v>50395.110655737692</v>
      </c>
      <c r="R733" s="99">
        <f ca="1">Первоначальный[[#This Row],[Просроченный платеж по ОД]]+Первоначальный[[#This Row],[Просроченный платеж по процентам]]</f>
        <v>60823.700655737688</v>
      </c>
      <c r="S733" s="120">
        <f ca="1">IF(Первоначальный[[#This Row],[Просроченный платеж]]&lt;1,0,S732+1)</f>
        <v>629</v>
      </c>
      <c r="T733" s="100" cm="1">
        <f t="array" aca="1" ref="T733" ca="1">IF(Первоначальный[[#This Row],[Итого остаток на начало периода]]&lt;1,0,
IF(
AND(TYPE(VLOOKUP(1,$Z$12:Z733,1,0))=16,Первоначальный[[#This Row],[Досрочное погашение (да/"")]]=""),0,
_xlfn.IFS(AND(S732=0,Первоначальный[[#This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платеж]]&lt;&gt;0),MIN(LOOKUP(,-1/($Z$12:Z733=1),$C$12:C733)+LOOKUP(,-1/($Z$12:Z733=1),$H$12:H733),Первоначальный[[#This Row],[Полученный платеж]]+Y732),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платеж]]+Y732,SUM(Первоначальный[[#This Row],[Остаток процентов на начало периода]],Первоначальный[[#This Row],[Проценты за период]])),
AND(S732=0,Первоначальный[[#This Row],[Дата платежа из графика]]=""),0,
AND(S732=0,Первоначальный[[#This Row],[Дата платежа из графика]]=1,MAX((0&lt;&gt;S$12:S732)*ROW(S$12:S732),ROW($S$12))&gt;=MAX((1=Z$12:Z732)*ROW(Z$12:Z732),ROW($T$12)),TYPE(VLOOKUP("Да",(INDIRECT("AA"&amp;(MAX((1=Z$12:Z732)*ROW(Z$12:Z732),ROW($T$12))&amp;":AA"&amp;(ROW()-1)))),1,0))=16),MIN(LOOKUP(,-1/($Z$12:Z733=1),$C$12:C733)+LOOKUP(,-1/($Z$12:Z733=1),$H$12:H733),Первоначальный[[#This Row],[Полученный платеж]]+Y732),
AND(S732=0,TYPE(VLOOKUP("Да",(INDIRECT("AA"&amp;(MAX((1=Z$12:Z732)*ROW(Z$12:Z732),ROW($T$12))&amp;":AA"&amp;(ROW()-1)))),1,0))&lt;&gt;16),MIN(LOOKUP(,-1/($Z$12:Z733=1),$C$12:C733)+LOOKUP(,-1/($Z$12:Z733=1),$H$12:H733)-IF(AA732="Да",0,SUM(INDIRECT("T"&amp;(MAX(("Да"=AA$12:AA732)*ROW(AA$12:AA732)+1,ROW($T$12))&amp;":T"&amp;(ROW()-1))))),Первоначальный[[#This Row],[Полученный платеж]]+Y732),
AND(S732=0,MAX((0&lt;&gt;N$12:N732)*ROW(N$12:N732),ROW($S$12))&gt;=MAX((1=Z$12:Z732)*ROW(Z$12:Z732),ROW($T$12))),MIN(LOOKUP(,-1/($Z$12:Z733=1),$C$12:C733)+LOOKUP(,-1/($Z$12:Z733=1),$H$12:H733)-IF(N732&lt;&gt;0,0,SUM(INDIRECT("T"&amp;(MAX((0&lt;&gt;N$12:N732)*ROW(N$12:N732)+1,ROW($T$12))&amp;":T"&amp;(ROW()-1))))),Первоначальный[[#This Row],[Полученный платеж]]+Y732),
AND(S732=0,Первоначальный[[#This Row],[Дата платежа из графика]]=1),MIN(LOOKUP(,-1/($Z$12:Z733=1),$C$12:C733)+LOOKUP(,-1/($Z$12:Z733=1),$H$12:H733)-IF(Z732=1,0,SUM(INDIRECT("T"&amp;(MAX((1=Z$12:Z732)*ROW(Z$12:Z732)+1,ROW($T$12))&amp;":T"&amp;(ROW()-1))))),Первоначальный[[#This Row],[Полученный платеж]]+Y732),
AND(Z732&gt;0,Первоначальный[[#This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платеж]]+Y732),
AND(S732&gt;0,MAX((0&lt;&gt;S$12:S732)*ROW(S$12:S732),ROW($S$12))&gt;=MAX((1=Z$12:Z732)*ROW(Z$12:Z732),ROW($T$12)),TYPE(VLOOKUP("Да",(INDIRECT("AA"&amp;(MAX((1=Z$12:Z732)*ROW(Z$12:Z732),ROW($T$12))&amp;":AA"&amp;(ROW()-1)))),1,0))=16),MIN(LOOKUP(,-1/($Z$12:Z733=1),$C$12:C733)+LOOKUP(,-1/($Z$12:Z733=1),$H$12:H733)-SUM(INDIRECT("T"&amp;(MAX((1=Z$12:Z732)*ROW(Z$12:Z732),ROW($T$12))&amp;":T"&amp;(ROW()-1)))),Первоначальный[[#This Row],[Полученный платеж]]+Y732),
S732&gt;0,MIN(LOOKUP(,-1/($Z$12:Z733=1),$C$12:C733)+LOOKUP(,-1/($Z$12:Z733=1),$H$12:H733)-IF(Z732=1,0,SUM(INDIRECT("T"&amp;(MAX((1=Z$12:Z732)*ROW(Z$12:Z732)+1,ROW($T$12))&amp;":T"&amp;(ROW()-1))))),Первоначальный[[#This Row],[Полученный платеж]]+Y732)
)
)
)</f>
        <v>0</v>
      </c>
      <c r="U73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платеж]]+Y732-Первоначальный[[#This Row],[Полученный платёж по процентам]])</f>
        <v>0</v>
      </c>
      <c r="V733" s="55">
        <f t="shared" ca="1" si="133"/>
        <v>0</v>
      </c>
      <c r="W733" s="55" cm="1">
        <f t="array" aca="1" ref="W733" ca="1">IF(Первоначальный[[#This Row],[Итого остаток на начало периода]]&lt;1,0,
_xlfn.IFS(
AND(TYPE(VLOOKUP(1,$Z$12:Z733,1,0))=16,Первоначальный[[#This Row],[Досрочное погашение (да/"")]]=""),0,
AND(S732=0,Первоначальный[[#This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платеж]]+Y732-SUM(Первоначальный[[#This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комиссиям]]),VLOOKUP(LOOKUP(,-1/($Z$12:Z733=1),$A$12:A733),График[[Срок конец]:[Возврат основной суммы долга]],3,0)),
AND(S732=0,Первоначальный[[#This Row],[Дата платежа из графика]]="",Первоначальный[[#This Row],[Досрочное погашение (да/"")]]&lt;&gt;"Да"),0,
AND(S732=0,Первоначальный[[#This Row],[Досрочное погашение (да/"")]]=""),MIN(Первоначальный[[#This Row],[Полученный платеж]]+Y732-SUM(Первоначальный[[#This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комиссиям]]),VLOOKUP(LOOKUP(,-1/($Z$12:Z733=1),$A$12:A733),График[[Срок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платеж]]+Y732-SUM(Первоначальный[[#This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S732&gt;0,MIN(Первоначальный[[#This Row],[Полученный платеж]]+Y732-SUM(Первоначальный[[#This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комиссиям]]),SUM(INDIRECT("M"&amp;(MAX((1=S$12:S732)*ROW(S$12:S732),ROW($W$12))&amp;":M"&amp;(ROW()))))-SUM(INDIRECT("W"&amp;(MAX((1=S$12:S732)*ROW(S$12:S732),ROW($W$12))&amp;":W"&amp;(ROW()-1)))))
)
)</f>
        <v>0</v>
      </c>
      <c r="X733" s="55">
        <f t="shared" ca="1" si="134"/>
        <v>0</v>
      </c>
      <c r="Y733" s="101">
        <f t="shared" ca="1" si="141"/>
        <v>0</v>
      </c>
      <c r="Z733" s="133" t="str">
        <f>IF(TYPE((VLOOKUP(Первоначальный[[#This Row],[Дата платежа]],График[Срок конец],1,0)))=16,"",1)</f>
        <v/>
      </c>
      <c r="AA733" s="57"/>
      <c r="AB733" s="134"/>
      <c r="AC73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3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51991.300000000061</v>
      </c>
      <c r="AE73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1757.0999999999985</v>
      </c>
      <c r="AF73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3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99079.028562295091</v>
      </c>
      <c r="AH733" s="55"/>
      <c r="AI733" s="55"/>
      <c r="AJ733" s="55"/>
      <c r="AK733" s="101">
        <f t="shared" ca="1" si="142"/>
        <v>302460.76856229518</v>
      </c>
      <c r="AL733" s="129">
        <f t="array" ref="AL733">MAX((УслРестрактов[Характеристика]="Дата реструктуризации")*(УслРестрактов[Значение]=Первоначальный!$A733),0)</f>
        <v>0</v>
      </c>
    </row>
    <row r="734" spans="1:38" x14ac:dyDescent="0.25">
      <c r="A734" s="97">
        <f t="shared" si="135"/>
        <v>44865</v>
      </c>
      <c r="B734" s="100">
        <f t="shared" ca="1" si="136"/>
        <v>149633.34</v>
      </c>
      <c r="C734" s="55">
        <f t="shared" ca="1" si="144"/>
        <v>51991.300000000061</v>
      </c>
      <c r="D734" s="55">
        <f t="shared" ca="1" si="144"/>
        <v>1757.0999999999985</v>
      </c>
      <c r="E734" s="55">
        <f t="shared" ca="1" si="137"/>
        <v>0</v>
      </c>
      <c r="F734" s="55">
        <f t="shared" ca="1" si="138"/>
        <v>99079.028562295091</v>
      </c>
      <c r="G734" s="101">
        <f t="shared" ca="1" si="139"/>
        <v>302460.76856229518</v>
      </c>
      <c r="H734" s="100">
        <f ca="1">ROUND($B734*VLOOKUP($A734,$A$1:$B$10,2,1)/(365+IF(MOD(YEAR($A734),4),0,1)*($A734-$A733)),2)-Первоначальный[[#This Row],[Проценты на просроченный платеж по ОД за период]]</f>
        <v>75.89</v>
      </c>
      <c r="I734" s="55">
        <f t="shared" ca="1" si="140"/>
        <v>5.69</v>
      </c>
      <c r="J734" s="55">
        <v>0</v>
      </c>
      <c r="K734" s="55">
        <f t="shared" ca="1" si="143"/>
        <v>304.11850327868842</v>
      </c>
      <c r="L734" s="55">
        <v>0</v>
      </c>
      <c r="M734" s="113">
        <f>SUMIFS(График[Возврат основной суммы долга],График[Дата с учетом нерабочих дней],$A734)</f>
        <v>0</v>
      </c>
      <c r="N734" s="56">
        <f>SUMIFS(График[Возврат начисленных %],График[Дата с учетом нерабочих дней],$A734)</f>
        <v>0</v>
      </c>
      <c r="O734" s="101">
        <v>0</v>
      </c>
      <c r="P734" s="100" cm="1">
        <f t="array" aca="1" ref="P734" ca="1">MAX(IF(AA733="Да",0,SUM(INDIRECT("M"&amp;(MAX(("Да"=AA$12:AA733)*ROW(AA$12:AA733)+1,ROW($P$12))&amp;":M"&amp;(ROW()))))-SUM(INDIRECT("W"&amp;(MAX(("Да"=AA$12:AA733)*ROW(AA$12:AA733)+1,ROW($P$12))&amp;":W"&amp;(ROW()))))),0)</f>
        <v>10428.589999999998</v>
      </c>
      <c r="Q734" s="99">
        <f ca="1">MAX(SUM($N$13:N734)-SUM($T$13:T734),0)</f>
        <v>50395.110655737692</v>
      </c>
      <c r="R734" s="99">
        <f ca="1">Первоначальный[[#This Row],[Просроченный платеж по ОД]]+Первоначальный[[#This Row],[Просроченный платеж по процентам]]</f>
        <v>60823.700655737688</v>
      </c>
      <c r="S734" s="120">
        <f ca="1">IF(Первоначальный[[#This Row],[Просроченный платеж]]&lt;1,0,S733+1)</f>
        <v>630</v>
      </c>
      <c r="T734" s="100" cm="1">
        <f t="array" aca="1" ref="T734" ca="1">IF(Первоначальный[[#This Row],[Итого остаток на начало периода]]&lt;1,0,
IF(
AND(TYPE(VLOOKUP(1,$Z$12:Z734,1,0))=16,Первоначальный[[#This Row],[Досрочное погашение (да/"")]]=""),0,
_xlfn.IFS(AND(S733=0,Первоначальный[[#This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платеж]]&lt;&gt;0),MIN(LOOKUP(,-1/($Z$12:Z734=1),$C$12:C734)+LOOKUP(,-1/($Z$12:Z734=1),$H$12:H734),Первоначальный[[#This Row],[Полученный платеж]]+Y733),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платеж]]+Y733,SUM(Первоначальный[[#This Row],[Остаток процентов на начало периода]],Первоначальный[[#This Row],[Проценты за период]])),
AND(S733=0,Первоначальный[[#This Row],[Дата платежа из графика]]=""),0,
AND(S733=0,Первоначальный[[#This Row],[Дата платежа из графика]]=1,MAX((0&lt;&gt;S$12:S733)*ROW(S$12:S733),ROW($S$12))&gt;=MAX((1=Z$12:Z733)*ROW(Z$12:Z733),ROW($T$12)),TYPE(VLOOKUP("Да",(INDIRECT("AA"&amp;(MAX((1=Z$12:Z733)*ROW(Z$12:Z733),ROW($T$12))&amp;":AA"&amp;(ROW()-1)))),1,0))=16),MIN(LOOKUP(,-1/($Z$12:Z734=1),$C$12:C734)+LOOKUP(,-1/($Z$12:Z734=1),$H$12:H734),Первоначальный[[#This Row],[Полученный платеж]]+Y733),
AND(S733=0,TYPE(VLOOKUP("Да",(INDIRECT("AA"&amp;(MAX((1=Z$12:Z733)*ROW(Z$12:Z733),ROW($T$12))&amp;":AA"&amp;(ROW()-1)))),1,0))&lt;&gt;16),MIN(LOOKUP(,-1/($Z$12:Z734=1),$C$12:C734)+LOOKUP(,-1/($Z$12:Z734=1),$H$12:H734)-IF(AA733="Да",0,SUM(INDIRECT("T"&amp;(MAX(("Да"=AA$12:AA733)*ROW(AA$12:AA733)+1,ROW($T$12))&amp;":T"&amp;(ROW()-1))))),Первоначальный[[#This Row],[Полученный платеж]]+Y733),
AND(S733=0,MAX((0&lt;&gt;N$12:N733)*ROW(N$12:N733),ROW($S$12))&gt;=MAX((1=Z$12:Z733)*ROW(Z$12:Z733),ROW($T$12))),MIN(LOOKUP(,-1/($Z$12:Z734=1),$C$12:C734)+LOOKUP(,-1/($Z$12:Z734=1),$H$12:H734)-IF(N733&lt;&gt;0,0,SUM(INDIRECT("T"&amp;(MAX((0&lt;&gt;N$12:N733)*ROW(N$12:N733)+1,ROW($T$12))&amp;":T"&amp;(ROW()-1))))),Первоначальный[[#This Row],[Полученный платеж]]+Y733),
AND(S733=0,Первоначальный[[#This Row],[Дата платежа из графика]]=1),MIN(LOOKUP(,-1/($Z$12:Z734=1),$C$12:C734)+LOOKUP(,-1/($Z$12:Z734=1),$H$12:H734)-IF(Z733=1,0,SUM(INDIRECT("T"&amp;(MAX((1=Z$12:Z733)*ROW(Z$12:Z733)+1,ROW($T$12))&amp;":T"&amp;(ROW()-1))))),Первоначальный[[#This Row],[Полученный платеж]]+Y733),
AND(Z733&gt;0,Первоначальный[[#This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платеж]]+Y733),
AND(S733&gt;0,MAX((0&lt;&gt;S$12:S733)*ROW(S$12:S733),ROW($S$12))&gt;=MAX((1=Z$12:Z733)*ROW(Z$12:Z733),ROW($T$12)),TYPE(VLOOKUP("Да",(INDIRECT("AA"&amp;(MAX((1=Z$12:Z733)*ROW(Z$12:Z733),ROW($T$12))&amp;":AA"&amp;(ROW()-1)))),1,0))=16),MIN(LOOKUP(,-1/($Z$12:Z734=1),$C$12:C734)+LOOKUP(,-1/($Z$12:Z734=1),$H$12:H734)-SUM(INDIRECT("T"&amp;(MAX((1=Z$12:Z733)*ROW(Z$12:Z733),ROW($T$12))&amp;":T"&amp;(ROW()-1)))),Первоначальный[[#This Row],[Полученный платеж]]+Y733),
S733&gt;0,MIN(LOOKUP(,-1/($Z$12:Z734=1),$C$12:C734)+LOOKUP(,-1/($Z$12:Z734=1),$H$12:H734)-IF(Z733=1,0,SUM(INDIRECT("T"&amp;(MAX((1=Z$12:Z733)*ROW(Z$12:Z733)+1,ROW($T$12))&amp;":T"&amp;(ROW()-1))))),Первоначальный[[#This Row],[Полученный платеж]]+Y733)
)
)
)</f>
        <v>0</v>
      </c>
      <c r="U73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платеж]]+Y733-Первоначальный[[#This Row],[Полученный платёж по процентам]])</f>
        <v>0</v>
      </c>
      <c r="V734" s="55">
        <f t="shared" ca="1" si="133"/>
        <v>0</v>
      </c>
      <c r="W734" s="55" cm="1">
        <f t="array" aca="1" ref="W734" ca="1">IF(Первоначальный[[#This Row],[Итого остаток на начало периода]]&lt;1,0,
_xlfn.IFS(
AND(TYPE(VLOOKUP(1,$Z$12:Z734,1,0))=16,Первоначальный[[#This Row],[Досрочное погашение (да/"")]]=""),0,
AND(S733=0,Первоначальный[[#This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платеж]]+Y733-SUM(Первоначальный[[#This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комиссиям]]),VLOOKUP(LOOKUP(,-1/($Z$12:Z734=1),$A$12:A734),График[[Срок конец]:[Возврат основной суммы долга]],3,0)),
AND(S733=0,Первоначальный[[#This Row],[Дата платежа из графика]]="",Первоначальный[[#This Row],[Досрочное погашение (да/"")]]&lt;&gt;"Да"),0,
AND(S733=0,Первоначальный[[#This Row],[Досрочное погашение (да/"")]]=""),MIN(Первоначальный[[#This Row],[Полученный платеж]]+Y733-SUM(Первоначальный[[#This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комиссиям]]),VLOOKUP(LOOKUP(,-1/($Z$12:Z734=1),$A$12:A734),График[[Срок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платеж]]+Y733-SUM(Первоначальный[[#This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S733&gt;0,MIN(Первоначальный[[#This Row],[Полученный платеж]]+Y733-SUM(Первоначальный[[#This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комиссиям]]),SUM(INDIRECT("M"&amp;(MAX((1=S$12:S733)*ROW(S$12:S733),ROW($W$12))&amp;":M"&amp;(ROW()))))-SUM(INDIRECT("W"&amp;(MAX((1=S$12:S733)*ROW(S$12:S733),ROW($W$12))&amp;":W"&amp;(ROW()-1)))))
)
)</f>
        <v>0</v>
      </c>
      <c r="X734" s="55">
        <f t="shared" ca="1" si="134"/>
        <v>0</v>
      </c>
      <c r="Y734" s="101">
        <f t="shared" ca="1" si="141"/>
        <v>0</v>
      </c>
      <c r="Z734" s="133" t="str">
        <f>IF(TYPE((VLOOKUP(Первоначальный[[#This Row],[Дата платежа]],График[Срок конец],1,0)))=16,"",1)</f>
        <v/>
      </c>
      <c r="AA734" s="57"/>
      <c r="AB734" s="134"/>
      <c r="AC73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3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52067.190000000061</v>
      </c>
      <c r="AE73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1762.7899999999986</v>
      </c>
      <c r="AF73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3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99383.147065573779</v>
      </c>
      <c r="AH734" s="55"/>
      <c r="AI734" s="55"/>
      <c r="AJ734" s="55"/>
      <c r="AK734" s="101">
        <f t="shared" ca="1" si="142"/>
        <v>302846.46706557384</v>
      </c>
      <c r="AL734" s="129">
        <f t="array" ref="AL734">MAX((УслРестрактов[Характеристика]="Дата реструктуризации")*(УслРестрактов[Значение]=Первоначальный!$A734),0)</f>
        <v>0</v>
      </c>
    </row>
    <row r="735" spans="1:38" x14ac:dyDescent="0.25">
      <c r="A735" s="97">
        <f t="shared" si="135"/>
        <v>44866</v>
      </c>
      <c r="B735" s="100">
        <f t="shared" ca="1" si="136"/>
        <v>149633.34</v>
      </c>
      <c r="C735" s="55">
        <f t="shared" ca="1" si="144"/>
        <v>52067.190000000061</v>
      </c>
      <c r="D735" s="55">
        <f t="shared" ca="1" si="144"/>
        <v>1762.7899999999986</v>
      </c>
      <c r="E735" s="55">
        <f t="shared" ca="1" si="137"/>
        <v>0</v>
      </c>
      <c r="F735" s="55">
        <f t="shared" ca="1" si="138"/>
        <v>99383.147065573779</v>
      </c>
      <c r="G735" s="101">
        <f t="shared" ca="1" si="139"/>
        <v>302846.46706557384</v>
      </c>
      <c r="H735" s="100">
        <f ca="1">ROUND($B735*VLOOKUP($A735,$A$1:$B$10,2,1)/(365+IF(MOD(YEAR($A735),4),0,1)*($A735-$A734)),2)-Первоначальный[[#This Row],[Проценты на просроченный платеж по ОД за период]]</f>
        <v>75.89</v>
      </c>
      <c r="I735" s="55">
        <f t="shared" ca="1" si="140"/>
        <v>5.69</v>
      </c>
      <c r="J735" s="55">
        <v>0</v>
      </c>
      <c r="K735" s="55">
        <f t="shared" ca="1" si="143"/>
        <v>304.11850327868842</v>
      </c>
      <c r="L735" s="55">
        <v>0</v>
      </c>
      <c r="M735" s="113">
        <f>SUMIFS(График[Возврат основной суммы долга],График[Дата с учетом нерабочих дней],$A735)</f>
        <v>0</v>
      </c>
      <c r="N735" s="56">
        <f>SUMIFS(График[Возврат начисленных %],График[Дата с учетом нерабочих дней],$A735)</f>
        <v>0</v>
      </c>
      <c r="O735" s="101">
        <v>0</v>
      </c>
      <c r="P735" s="100" cm="1">
        <f t="array" aca="1" ref="P735" ca="1">MAX(IF(AA734="Да",0,SUM(INDIRECT("M"&amp;(MAX(("Да"=AA$12:AA734)*ROW(AA$12:AA734)+1,ROW($P$12))&amp;":M"&amp;(ROW()))))-SUM(INDIRECT("W"&amp;(MAX(("Да"=AA$12:AA734)*ROW(AA$12:AA734)+1,ROW($P$12))&amp;":W"&amp;(ROW()))))),0)</f>
        <v>10428.589999999998</v>
      </c>
      <c r="Q735" s="99">
        <f ca="1">MAX(SUM($N$13:N735)-SUM($T$13:T735),0)</f>
        <v>50395.110655737692</v>
      </c>
      <c r="R735" s="99">
        <f ca="1">Первоначальный[[#This Row],[Просроченный платеж по ОД]]+Первоначальный[[#This Row],[Просроченный платеж по процентам]]</f>
        <v>60823.700655737688</v>
      </c>
      <c r="S735" s="120">
        <f ca="1">IF(Первоначальный[[#This Row],[Просроченный платеж]]&lt;1,0,S734+1)</f>
        <v>631</v>
      </c>
      <c r="T735" s="100" cm="1">
        <f t="array" aca="1" ref="T735" ca="1">IF(Первоначальный[[#This Row],[Итого остаток на начало периода]]&lt;1,0,
IF(
AND(TYPE(VLOOKUP(1,$Z$12:Z735,1,0))=16,Первоначальный[[#This Row],[Досрочное погашение (да/"")]]=""),0,
_xlfn.IFS(AND(S734=0,Первоначальный[[#This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платеж]]&lt;&gt;0),MIN(LOOKUP(,-1/($Z$12:Z735=1),$C$12:C735)+LOOKUP(,-1/($Z$12:Z735=1),$H$12:H735),Первоначальный[[#This Row],[Полученный платеж]]+Y734),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платеж]]+Y734,SUM(Первоначальный[[#This Row],[Остаток процентов на начало периода]],Первоначальный[[#This Row],[Проценты за период]])),
AND(S734=0,Первоначальный[[#This Row],[Дата платежа из графика]]=""),0,
AND(S734=0,Первоначальный[[#This Row],[Дата платежа из графика]]=1,MAX((0&lt;&gt;S$12:S734)*ROW(S$12:S734),ROW($S$12))&gt;=MAX((1=Z$12:Z734)*ROW(Z$12:Z734),ROW($T$12)),TYPE(VLOOKUP("Да",(INDIRECT("AA"&amp;(MAX((1=Z$12:Z734)*ROW(Z$12:Z734),ROW($T$12))&amp;":AA"&amp;(ROW()-1)))),1,0))=16),MIN(LOOKUP(,-1/($Z$12:Z735=1),$C$12:C735)+LOOKUP(,-1/($Z$12:Z735=1),$H$12:H735),Первоначальный[[#This Row],[Полученный платеж]]+Y734),
AND(S734=0,TYPE(VLOOKUP("Да",(INDIRECT("AA"&amp;(MAX((1=Z$12:Z734)*ROW(Z$12:Z734),ROW($T$12))&amp;":AA"&amp;(ROW()-1)))),1,0))&lt;&gt;16),MIN(LOOKUP(,-1/($Z$12:Z735=1),$C$12:C735)+LOOKUP(,-1/($Z$12:Z735=1),$H$12:H735)-IF(AA734="Да",0,SUM(INDIRECT("T"&amp;(MAX(("Да"=AA$12:AA734)*ROW(AA$12:AA734)+1,ROW($T$12))&amp;":T"&amp;(ROW()-1))))),Первоначальный[[#This Row],[Полученный платеж]]+Y734),
AND(S734=0,MAX((0&lt;&gt;N$12:N734)*ROW(N$12:N734),ROW($S$12))&gt;=MAX((1=Z$12:Z734)*ROW(Z$12:Z734),ROW($T$12))),MIN(LOOKUP(,-1/($Z$12:Z735=1),$C$12:C735)+LOOKUP(,-1/($Z$12:Z735=1),$H$12:H735)-IF(N734&lt;&gt;0,0,SUM(INDIRECT("T"&amp;(MAX((0&lt;&gt;N$12:N734)*ROW(N$12:N734)+1,ROW($T$12))&amp;":T"&amp;(ROW()-1))))),Первоначальный[[#This Row],[Полученный платеж]]+Y734),
AND(S734=0,Первоначальный[[#This Row],[Дата платежа из графика]]=1),MIN(LOOKUP(,-1/($Z$12:Z735=1),$C$12:C735)+LOOKUP(,-1/($Z$12:Z735=1),$H$12:H735)-IF(Z734=1,0,SUM(INDIRECT("T"&amp;(MAX((1=Z$12:Z734)*ROW(Z$12:Z734)+1,ROW($T$12))&amp;":T"&amp;(ROW()-1))))),Первоначальный[[#This Row],[Полученный платеж]]+Y734),
AND(Z734&gt;0,Первоначальный[[#This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платеж]]+Y734),
AND(S734&gt;0,MAX((0&lt;&gt;S$12:S734)*ROW(S$12:S734),ROW($S$12))&gt;=MAX((1=Z$12:Z734)*ROW(Z$12:Z734),ROW($T$12)),TYPE(VLOOKUP("Да",(INDIRECT("AA"&amp;(MAX((1=Z$12:Z734)*ROW(Z$12:Z734),ROW($T$12))&amp;":AA"&amp;(ROW()-1)))),1,0))=16),MIN(LOOKUP(,-1/($Z$12:Z735=1),$C$12:C735)+LOOKUP(,-1/($Z$12:Z735=1),$H$12:H735)-SUM(INDIRECT("T"&amp;(MAX((1=Z$12:Z734)*ROW(Z$12:Z734),ROW($T$12))&amp;":T"&amp;(ROW()-1)))),Первоначальный[[#This Row],[Полученный платеж]]+Y734),
S734&gt;0,MIN(LOOKUP(,-1/($Z$12:Z735=1),$C$12:C735)+LOOKUP(,-1/($Z$12:Z735=1),$H$12:H735)-IF(Z734=1,0,SUM(INDIRECT("T"&amp;(MAX((1=Z$12:Z734)*ROW(Z$12:Z734)+1,ROW($T$12))&amp;":T"&amp;(ROW()-1))))),Первоначальный[[#This Row],[Полученный платеж]]+Y734)
)
)
)</f>
        <v>0</v>
      </c>
      <c r="U73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платеж]]+Y734-Первоначальный[[#This Row],[Полученный платёж по процентам]])</f>
        <v>0</v>
      </c>
      <c r="V735" s="55">
        <f t="shared" ca="1" si="133"/>
        <v>0</v>
      </c>
      <c r="W735" s="55" cm="1">
        <f t="array" aca="1" ref="W735" ca="1">IF(Первоначальный[[#This Row],[Итого остаток на начало периода]]&lt;1,0,
_xlfn.IFS(
AND(TYPE(VLOOKUP(1,$Z$12:Z735,1,0))=16,Первоначальный[[#This Row],[Досрочное погашение (да/"")]]=""),0,
AND(S734=0,Первоначальный[[#This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платеж]]+Y734-SUM(Первоначальный[[#This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комиссиям]]),VLOOKUP(LOOKUP(,-1/($Z$12:Z735=1),$A$12:A735),График[[Срок конец]:[Возврат основной суммы долга]],3,0)),
AND(S734=0,Первоначальный[[#This Row],[Дата платежа из графика]]="",Первоначальный[[#This Row],[Досрочное погашение (да/"")]]&lt;&gt;"Да"),0,
AND(S734=0,Первоначальный[[#This Row],[Досрочное погашение (да/"")]]=""),MIN(Первоначальный[[#This Row],[Полученный платеж]]+Y734-SUM(Первоначальный[[#This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комиссиям]]),VLOOKUP(LOOKUP(,-1/($Z$12:Z735=1),$A$12:A735),График[[Срок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платеж]]+Y734-SUM(Первоначальный[[#This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S734&gt;0,MIN(Первоначальный[[#This Row],[Полученный платеж]]+Y734-SUM(Первоначальный[[#This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комиссиям]]),SUM(INDIRECT("M"&amp;(MAX((1=S$12:S734)*ROW(S$12:S734),ROW($W$12))&amp;":M"&amp;(ROW()))))-SUM(INDIRECT("W"&amp;(MAX((1=S$12:S734)*ROW(S$12:S734),ROW($W$12))&amp;":W"&amp;(ROW()-1)))))
)
)</f>
        <v>0</v>
      </c>
      <c r="X735" s="55">
        <f t="shared" ca="1" si="134"/>
        <v>0</v>
      </c>
      <c r="Y735" s="101">
        <f t="shared" ca="1" si="141"/>
        <v>0</v>
      </c>
      <c r="Z735" s="133" t="str">
        <f>IF(TYPE((VLOOKUP(Первоначальный[[#This Row],[Дата платежа]],График[Срок конец],1,0)))=16,"",1)</f>
        <v/>
      </c>
      <c r="AA735" s="57"/>
      <c r="AB735" s="134"/>
      <c r="AC73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3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52143.08000000006</v>
      </c>
      <c r="AE73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1768.4799999999987</v>
      </c>
      <c r="AF73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3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99687.265568852468</v>
      </c>
      <c r="AH735" s="55"/>
      <c r="AI735" s="55"/>
      <c r="AJ735" s="55"/>
      <c r="AK735" s="101">
        <f t="shared" ca="1" si="142"/>
        <v>303232.16556885251</v>
      </c>
      <c r="AL735" s="129">
        <f t="array" ref="AL735">MAX((УслРестрактов[Характеристика]="Дата реструктуризации")*(УслРестрактов[Значение]=Первоначальный!$A735),0)</f>
        <v>0</v>
      </c>
    </row>
    <row r="736" spans="1:38" x14ac:dyDescent="0.25">
      <c r="A736" s="97">
        <f t="shared" si="135"/>
        <v>44867</v>
      </c>
      <c r="B736" s="100">
        <f t="shared" ca="1" si="136"/>
        <v>149633.34</v>
      </c>
      <c r="C736" s="55">
        <f t="shared" ca="1" si="144"/>
        <v>52143.08000000006</v>
      </c>
      <c r="D736" s="55">
        <f t="shared" ca="1" si="144"/>
        <v>1768.4799999999987</v>
      </c>
      <c r="E736" s="55">
        <f t="shared" ca="1" si="137"/>
        <v>0</v>
      </c>
      <c r="F736" s="55">
        <f t="shared" ca="1" si="138"/>
        <v>99687.265568852468</v>
      </c>
      <c r="G736" s="101">
        <f t="shared" ca="1" si="139"/>
        <v>303232.16556885251</v>
      </c>
      <c r="H736" s="100">
        <f ca="1">ROUND($B736*VLOOKUP($A736,$A$1:$B$10,2,1)/(365+IF(MOD(YEAR($A736),4),0,1)*($A736-$A735)),2)-Первоначальный[[#This Row],[Проценты на просроченный платеж по ОД за период]]</f>
        <v>75.89</v>
      </c>
      <c r="I736" s="55">
        <f t="shared" ca="1" si="140"/>
        <v>5.69</v>
      </c>
      <c r="J736" s="55">
        <v>0</v>
      </c>
      <c r="K736" s="55">
        <f t="shared" ca="1" si="143"/>
        <v>304.11850327868842</v>
      </c>
      <c r="L736" s="55">
        <v>0</v>
      </c>
      <c r="M736" s="113">
        <f>SUMIFS(График[Возврат основной суммы долга],График[Дата с учетом нерабочих дней],$A736)</f>
        <v>0</v>
      </c>
      <c r="N736" s="56">
        <f>SUMIFS(График[Возврат начисленных %],График[Дата с учетом нерабочих дней],$A736)</f>
        <v>0</v>
      </c>
      <c r="O736" s="101">
        <v>0</v>
      </c>
      <c r="P736" s="100" cm="1">
        <f t="array" aca="1" ref="P736" ca="1">MAX(IF(AA735="Да",0,SUM(INDIRECT("M"&amp;(MAX(("Да"=AA$12:AA735)*ROW(AA$12:AA735)+1,ROW($P$12))&amp;":M"&amp;(ROW()))))-SUM(INDIRECT("W"&amp;(MAX(("Да"=AA$12:AA735)*ROW(AA$12:AA735)+1,ROW($P$12))&amp;":W"&amp;(ROW()))))),0)</f>
        <v>10428.589999999998</v>
      </c>
      <c r="Q736" s="99">
        <f ca="1">MAX(SUM($N$13:N736)-SUM($T$13:T736),0)</f>
        <v>50395.110655737692</v>
      </c>
      <c r="R736" s="99">
        <f ca="1">Первоначальный[[#This Row],[Просроченный платеж по ОД]]+Первоначальный[[#This Row],[Просроченный платеж по процентам]]</f>
        <v>60823.700655737688</v>
      </c>
      <c r="S736" s="120">
        <f ca="1">IF(Первоначальный[[#This Row],[Просроченный платеж]]&lt;1,0,S735+1)</f>
        <v>632</v>
      </c>
      <c r="T736" s="100" cm="1">
        <f t="array" aca="1" ref="T736" ca="1">IF(Первоначальный[[#This Row],[Итого остаток на начало периода]]&lt;1,0,
IF(
AND(TYPE(VLOOKUP(1,$Z$12:Z736,1,0))=16,Первоначальный[[#This Row],[Досрочное погашение (да/"")]]=""),0,
_xlfn.IFS(AND(S735=0,Первоначальный[[#This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платеж]]&lt;&gt;0),MIN(LOOKUP(,-1/($Z$12:Z736=1),$C$12:C736)+LOOKUP(,-1/($Z$12:Z736=1),$H$12:H736),Первоначальный[[#This Row],[Полученный платеж]]+Y735),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платеж]]+Y735,SUM(Первоначальный[[#This Row],[Остаток процентов на начало периода]],Первоначальный[[#This Row],[Проценты за период]])),
AND(S735=0,Первоначальный[[#This Row],[Дата платежа из графика]]=""),0,
AND(S735=0,Первоначальный[[#This Row],[Дата платежа из графика]]=1,MAX((0&lt;&gt;S$12:S735)*ROW(S$12:S735),ROW($S$12))&gt;=MAX((1=Z$12:Z735)*ROW(Z$12:Z735),ROW($T$12)),TYPE(VLOOKUP("Да",(INDIRECT("AA"&amp;(MAX((1=Z$12:Z735)*ROW(Z$12:Z735),ROW($T$12))&amp;":AA"&amp;(ROW()-1)))),1,0))=16),MIN(LOOKUP(,-1/($Z$12:Z736=1),$C$12:C736)+LOOKUP(,-1/($Z$12:Z736=1),$H$12:H736),Первоначальный[[#This Row],[Полученный платеж]]+Y735),
AND(S735=0,TYPE(VLOOKUP("Да",(INDIRECT("AA"&amp;(MAX((1=Z$12:Z735)*ROW(Z$12:Z735),ROW($T$12))&amp;":AA"&amp;(ROW()-1)))),1,0))&lt;&gt;16),MIN(LOOKUP(,-1/($Z$12:Z736=1),$C$12:C736)+LOOKUP(,-1/($Z$12:Z736=1),$H$12:H736)-IF(AA735="Да",0,SUM(INDIRECT("T"&amp;(MAX(("Да"=AA$12:AA735)*ROW(AA$12:AA735)+1,ROW($T$12))&amp;":T"&amp;(ROW()-1))))),Первоначальный[[#This Row],[Полученный платеж]]+Y735),
AND(S735=0,MAX((0&lt;&gt;N$12:N735)*ROW(N$12:N735),ROW($S$12))&gt;=MAX((1=Z$12:Z735)*ROW(Z$12:Z735),ROW($T$12))),MIN(LOOKUP(,-1/($Z$12:Z736=1),$C$12:C736)+LOOKUP(,-1/($Z$12:Z736=1),$H$12:H736)-IF(N735&lt;&gt;0,0,SUM(INDIRECT("T"&amp;(MAX((0&lt;&gt;N$12:N735)*ROW(N$12:N735)+1,ROW($T$12))&amp;":T"&amp;(ROW()-1))))),Первоначальный[[#This Row],[Полученный платеж]]+Y735),
AND(S735=0,Первоначальный[[#This Row],[Дата платежа из графика]]=1),MIN(LOOKUP(,-1/($Z$12:Z736=1),$C$12:C736)+LOOKUP(,-1/($Z$12:Z736=1),$H$12:H736)-IF(Z735=1,0,SUM(INDIRECT("T"&amp;(MAX((1=Z$12:Z735)*ROW(Z$12:Z735)+1,ROW($T$12))&amp;":T"&amp;(ROW()-1))))),Первоначальный[[#This Row],[Полученный платеж]]+Y735),
AND(Z735&gt;0,Первоначальный[[#This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платеж]]+Y735),
AND(S735&gt;0,MAX((0&lt;&gt;S$12:S735)*ROW(S$12:S735),ROW($S$12))&gt;=MAX((1=Z$12:Z735)*ROW(Z$12:Z735),ROW($T$12)),TYPE(VLOOKUP("Да",(INDIRECT("AA"&amp;(MAX((1=Z$12:Z735)*ROW(Z$12:Z735),ROW($T$12))&amp;":AA"&amp;(ROW()-1)))),1,0))=16),MIN(LOOKUP(,-1/($Z$12:Z736=1),$C$12:C736)+LOOKUP(,-1/($Z$12:Z736=1),$H$12:H736)-SUM(INDIRECT("T"&amp;(MAX((1=Z$12:Z735)*ROW(Z$12:Z735),ROW($T$12))&amp;":T"&amp;(ROW()-1)))),Первоначальный[[#This Row],[Полученный платеж]]+Y735),
S735&gt;0,MIN(LOOKUP(,-1/($Z$12:Z736=1),$C$12:C736)+LOOKUP(,-1/($Z$12:Z736=1),$H$12:H736)-IF(Z735=1,0,SUM(INDIRECT("T"&amp;(MAX((1=Z$12:Z735)*ROW(Z$12:Z735)+1,ROW($T$12))&amp;":T"&amp;(ROW()-1))))),Первоначальный[[#This Row],[Полученный платеж]]+Y735)
)
)
)</f>
        <v>0</v>
      </c>
      <c r="U73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платеж]]+Y735-Первоначальный[[#This Row],[Полученный платёж по процентам]])</f>
        <v>0</v>
      </c>
      <c r="V736" s="55">
        <f t="shared" ca="1" si="133"/>
        <v>0</v>
      </c>
      <c r="W736" s="55" cm="1">
        <f t="array" aca="1" ref="W736" ca="1">IF(Первоначальный[[#This Row],[Итого остаток на начало периода]]&lt;1,0,
_xlfn.IFS(
AND(TYPE(VLOOKUP(1,$Z$12:Z736,1,0))=16,Первоначальный[[#This Row],[Досрочное погашение (да/"")]]=""),0,
AND(S735=0,Первоначальный[[#This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платеж]]+Y735-SUM(Первоначальный[[#This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комиссиям]]),VLOOKUP(LOOKUP(,-1/($Z$12:Z736=1),$A$12:A736),График[[Срок конец]:[Возврат основной суммы долга]],3,0)),
AND(S735=0,Первоначальный[[#This Row],[Дата платежа из графика]]="",Первоначальный[[#This Row],[Досрочное погашение (да/"")]]&lt;&gt;"Да"),0,
AND(S735=0,Первоначальный[[#This Row],[Досрочное погашение (да/"")]]=""),MIN(Первоначальный[[#This Row],[Полученный платеж]]+Y735-SUM(Первоначальный[[#This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комиссиям]]),VLOOKUP(LOOKUP(,-1/($Z$12:Z736=1),$A$12:A736),График[[Срок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платеж]]+Y735-SUM(Первоначальный[[#This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S735&gt;0,MIN(Первоначальный[[#This Row],[Полученный платеж]]+Y735-SUM(Первоначальный[[#This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комиссиям]]),SUM(INDIRECT("M"&amp;(MAX((1=S$12:S735)*ROW(S$12:S735),ROW($W$12))&amp;":M"&amp;(ROW()))))-SUM(INDIRECT("W"&amp;(MAX((1=S$12:S735)*ROW(S$12:S735),ROW($W$12))&amp;":W"&amp;(ROW()-1)))))
)
)</f>
        <v>0</v>
      </c>
      <c r="X736" s="55">
        <f t="shared" ca="1" si="134"/>
        <v>0</v>
      </c>
      <c r="Y736" s="101">
        <f t="shared" ca="1" si="141"/>
        <v>0</v>
      </c>
      <c r="Z736" s="133" t="str">
        <f>IF(TYPE((VLOOKUP(Первоначальный[[#This Row],[Дата платежа]],График[Срок конец],1,0)))=16,"",1)</f>
        <v/>
      </c>
      <c r="AA736" s="57"/>
      <c r="AB736" s="134"/>
      <c r="AC73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3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52218.970000000059</v>
      </c>
      <c r="AE73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1774.1699999999987</v>
      </c>
      <c r="AF73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3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99991.384072131157</v>
      </c>
      <c r="AH736" s="55"/>
      <c r="AI736" s="55"/>
      <c r="AJ736" s="55"/>
      <c r="AK736" s="101">
        <f t="shared" ca="1" si="142"/>
        <v>303617.86407213123</v>
      </c>
      <c r="AL736" s="129">
        <f t="array" ref="AL736">MAX((УслРестрактов[Характеристика]="Дата реструктуризации")*(УслРестрактов[Значение]=Первоначальный!$A736),0)</f>
        <v>0</v>
      </c>
    </row>
    <row r="737" spans="1:38" x14ac:dyDescent="0.25">
      <c r="A737" s="97">
        <f t="shared" si="135"/>
        <v>44868</v>
      </c>
      <c r="B737" s="100">
        <f t="shared" ca="1" si="136"/>
        <v>149633.34</v>
      </c>
      <c r="C737" s="55">
        <f t="shared" ca="1" si="144"/>
        <v>52218.970000000059</v>
      </c>
      <c r="D737" s="55">
        <f t="shared" ca="1" si="144"/>
        <v>1774.1699999999987</v>
      </c>
      <c r="E737" s="55">
        <f t="shared" ca="1" si="137"/>
        <v>0</v>
      </c>
      <c r="F737" s="55">
        <f t="shared" ca="1" si="138"/>
        <v>99991.384072131157</v>
      </c>
      <c r="G737" s="101">
        <f t="shared" ca="1" si="139"/>
        <v>303617.86407213123</v>
      </c>
      <c r="H737" s="100">
        <f ca="1">ROUND($B737*VLOOKUP($A737,$A$1:$B$10,2,1)/(365+IF(MOD(YEAR($A737),4),0,1)*($A737-$A736)),2)-Первоначальный[[#This Row],[Проценты на просроченный платеж по ОД за период]]</f>
        <v>75.89</v>
      </c>
      <c r="I737" s="55">
        <f t="shared" ca="1" si="140"/>
        <v>5.69</v>
      </c>
      <c r="J737" s="55">
        <v>0</v>
      </c>
      <c r="K737" s="55">
        <f t="shared" ca="1" si="143"/>
        <v>304.11850327868842</v>
      </c>
      <c r="L737" s="55">
        <v>0</v>
      </c>
      <c r="M737" s="113">
        <f>SUMIFS(График[Возврат основной суммы долга],График[Дата с учетом нерабочих дней],$A737)</f>
        <v>0</v>
      </c>
      <c r="N737" s="56">
        <f>SUMIFS(График[Возврат начисленных %],График[Дата с учетом нерабочих дней],$A737)</f>
        <v>0</v>
      </c>
      <c r="O737" s="101">
        <v>0</v>
      </c>
      <c r="P737" s="100" cm="1">
        <f t="array" aca="1" ref="P737" ca="1">MAX(IF(AA736="Да",0,SUM(INDIRECT("M"&amp;(MAX(("Да"=AA$12:AA736)*ROW(AA$12:AA736)+1,ROW($P$12))&amp;":M"&amp;(ROW()))))-SUM(INDIRECT("W"&amp;(MAX(("Да"=AA$12:AA736)*ROW(AA$12:AA736)+1,ROW($P$12))&amp;":W"&amp;(ROW()))))),0)</f>
        <v>10428.589999999998</v>
      </c>
      <c r="Q737" s="99">
        <f ca="1">MAX(SUM($N$13:N737)-SUM($T$13:T737),0)</f>
        <v>50395.110655737692</v>
      </c>
      <c r="R737" s="99">
        <f ca="1">Первоначальный[[#This Row],[Просроченный платеж по ОД]]+Первоначальный[[#This Row],[Просроченный платеж по процентам]]</f>
        <v>60823.700655737688</v>
      </c>
      <c r="S737" s="120">
        <f ca="1">IF(Первоначальный[[#This Row],[Просроченный платеж]]&lt;1,0,S736+1)</f>
        <v>633</v>
      </c>
      <c r="T737" s="100" cm="1">
        <f t="array" aca="1" ref="T737" ca="1">IF(Первоначальный[[#This Row],[Итого остаток на начало периода]]&lt;1,0,
IF(
AND(TYPE(VLOOKUP(1,$Z$12:Z737,1,0))=16,Первоначальный[[#This Row],[Досрочное погашение (да/"")]]=""),0,
_xlfn.IFS(AND(S736=0,Первоначальный[[#This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платеж]]&lt;&gt;0),MIN(LOOKUP(,-1/($Z$12:Z737=1),$C$12:C737)+LOOKUP(,-1/($Z$12:Z737=1),$H$12:H737),Первоначальный[[#This Row],[Полученный платеж]]+Y736),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платеж]]+Y736,SUM(Первоначальный[[#This Row],[Остаток процентов на начало периода]],Первоначальный[[#This Row],[Проценты за период]])),
AND(S736=0,Первоначальный[[#This Row],[Дата платежа из графика]]=""),0,
AND(S736=0,Первоначальный[[#This Row],[Дата платежа из графика]]=1,MAX((0&lt;&gt;S$12:S736)*ROW(S$12:S736),ROW($S$12))&gt;=MAX((1=Z$12:Z736)*ROW(Z$12:Z736),ROW($T$12)),TYPE(VLOOKUP("Да",(INDIRECT("AA"&amp;(MAX((1=Z$12:Z736)*ROW(Z$12:Z736),ROW($T$12))&amp;":AA"&amp;(ROW()-1)))),1,0))=16),MIN(LOOKUP(,-1/($Z$12:Z737=1),$C$12:C737)+LOOKUP(,-1/($Z$12:Z737=1),$H$12:H737),Первоначальный[[#This Row],[Полученный платеж]]+Y736),
AND(S736=0,TYPE(VLOOKUP("Да",(INDIRECT("AA"&amp;(MAX((1=Z$12:Z736)*ROW(Z$12:Z736),ROW($T$12))&amp;":AA"&amp;(ROW()-1)))),1,0))&lt;&gt;16),MIN(LOOKUP(,-1/($Z$12:Z737=1),$C$12:C737)+LOOKUP(,-1/($Z$12:Z737=1),$H$12:H737)-IF(AA736="Да",0,SUM(INDIRECT("T"&amp;(MAX(("Да"=AA$12:AA736)*ROW(AA$12:AA736)+1,ROW($T$12))&amp;":T"&amp;(ROW()-1))))),Первоначальный[[#This Row],[Полученный платеж]]+Y736),
AND(S736=0,MAX((0&lt;&gt;N$12:N736)*ROW(N$12:N736),ROW($S$12))&gt;=MAX((1=Z$12:Z736)*ROW(Z$12:Z736),ROW($T$12))),MIN(LOOKUP(,-1/($Z$12:Z737=1),$C$12:C737)+LOOKUP(,-1/($Z$12:Z737=1),$H$12:H737)-IF(N736&lt;&gt;0,0,SUM(INDIRECT("T"&amp;(MAX((0&lt;&gt;N$12:N736)*ROW(N$12:N736)+1,ROW($T$12))&amp;":T"&amp;(ROW()-1))))),Первоначальный[[#This Row],[Полученный платеж]]+Y736),
AND(S736=0,Первоначальный[[#This Row],[Дата платежа из графика]]=1),MIN(LOOKUP(,-1/($Z$12:Z737=1),$C$12:C737)+LOOKUP(,-1/($Z$12:Z737=1),$H$12:H737)-IF(Z736=1,0,SUM(INDIRECT("T"&amp;(MAX((1=Z$12:Z736)*ROW(Z$12:Z736)+1,ROW($T$12))&amp;":T"&amp;(ROW()-1))))),Первоначальный[[#This Row],[Полученный платеж]]+Y736),
AND(Z736&gt;0,Первоначальный[[#This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платеж]]+Y736),
AND(S736&gt;0,MAX((0&lt;&gt;S$12:S736)*ROW(S$12:S736),ROW($S$12))&gt;=MAX((1=Z$12:Z736)*ROW(Z$12:Z736),ROW($T$12)),TYPE(VLOOKUP("Да",(INDIRECT("AA"&amp;(MAX((1=Z$12:Z736)*ROW(Z$12:Z736),ROW($T$12))&amp;":AA"&amp;(ROW()-1)))),1,0))=16),MIN(LOOKUP(,-1/($Z$12:Z737=1),$C$12:C737)+LOOKUP(,-1/($Z$12:Z737=1),$H$12:H737)-SUM(INDIRECT("T"&amp;(MAX((1=Z$12:Z736)*ROW(Z$12:Z736),ROW($T$12))&amp;":T"&amp;(ROW()-1)))),Первоначальный[[#This Row],[Полученный платеж]]+Y736),
S736&gt;0,MIN(LOOKUP(,-1/($Z$12:Z737=1),$C$12:C737)+LOOKUP(,-1/($Z$12:Z737=1),$H$12:H737)-IF(Z736=1,0,SUM(INDIRECT("T"&amp;(MAX((1=Z$12:Z736)*ROW(Z$12:Z736)+1,ROW($T$12))&amp;":T"&amp;(ROW()-1))))),Первоначальный[[#This Row],[Полученный платеж]]+Y736)
)
)
)</f>
        <v>0</v>
      </c>
      <c r="U73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платеж]]+Y736-Первоначальный[[#This Row],[Полученный платёж по процентам]])</f>
        <v>0</v>
      </c>
      <c r="V737" s="55">
        <f t="shared" ca="1" si="133"/>
        <v>0</v>
      </c>
      <c r="W737" s="55" cm="1">
        <f t="array" aca="1" ref="W737" ca="1">IF(Первоначальный[[#This Row],[Итого остаток на начало периода]]&lt;1,0,
_xlfn.IFS(
AND(TYPE(VLOOKUP(1,$Z$12:Z737,1,0))=16,Первоначальный[[#This Row],[Досрочное погашение (да/"")]]=""),0,
AND(S736=0,Первоначальный[[#This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платеж]]+Y736-SUM(Первоначальный[[#This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комиссиям]]),VLOOKUP(LOOKUP(,-1/($Z$12:Z737=1),$A$12:A737),График[[Срок конец]:[Возврат основной суммы долга]],3,0)),
AND(S736=0,Первоначальный[[#This Row],[Дата платежа из графика]]="",Первоначальный[[#This Row],[Досрочное погашение (да/"")]]&lt;&gt;"Да"),0,
AND(S736=0,Первоначальный[[#This Row],[Досрочное погашение (да/"")]]=""),MIN(Первоначальный[[#This Row],[Полученный платеж]]+Y736-SUM(Первоначальный[[#This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комиссиям]]),VLOOKUP(LOOKUP(,-1/($Z$12:Z737=1),$A$12:A737),График[[Срок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платеж]]+Y736-SUM(Первоначальный[[#This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S736&gt;0,MIN(Первоначальный[[#This Row],[Полученный платеж]]+Y736-SUM(Первоначальный[[#This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комиссиям]]),SUM(INDIRECT("M"&amp;(MAX((1=S$12:S736)*ROW(S$12:S736),ROW($W$12))&amp;":M"&amp;(ROW()))))-SUM(INDIRECT("W"&amp;(MAX((1=S$12:S736)*ROW(S$12:S736),ROW($W$12))&amp;":W"&amp;(ROW()-1)))))
)
)</f>
        <v>0</v>
      </c>
      <c r="X737" s="55">
        <f t="shared" ca="1" si="134"/>
        <v>0</v>
      </c>
      <c r="Y737" s="101">
        <f t="shared" ca="1" si="141"/>
        <v>0</v>
      </c>
      <c r="Z737" s="133" t="str">
        <f>IF(TYPE((VLOOKUP(Первоначальный[[#This Row],[Дата платежа]],График[Срок конец],1,0)))=16,"",1)</f>
        <v/>
      </c>
      <c r="AA737" s="57"/>
      <c r="AB737" s="134"/>
      <c r="AC73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3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52294.860000000059</v>
      </c>
      <c r="AE73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1779.8599999999988</v>
      </c>
      <c r="AF73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3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100295.50257540985</v>
      </c>
      <c r="AH737" s="55"/>
      <c r="AI737" s="55"/>
      <c r="AJ737" s="55"/>
      <c r="AK737" s="101">
        <f t="shared" ca="1" si="142"/>
        <v>304003.56257540989</v>
      </c>
      <c r="AL737" s="129">
        <f t="array" ref="AL737">MAX((УслРестрактов[Характеристика]="Дата реструктуризации")*(УслРестрактов[Значение]=Первоначальный!$A737),0)</f>
        <v>0</v>
      </c>
    </row>
    <row r="738" spans="1:38" x14ac:dyDescent="0.25">
      <c r="A738" s="97">
        <f t="shared" si="135"/>
        <v>44869</v>
      </c>
      <c r="B738" s="100">
        <f t="shared" ca="1" si="136"/>
        <v>149633.34</v>
      </c>
      <c r="C738" s="55">
        <f t="shared" ca="1" si="144"/>
        <v>52294.860000000059</v>
      </c>
      <c r="D738" s="55">
        <f t="shared" ca="1" si="144"/>
        <v>1779.8599999999988</v>
      </c>
      <c r="E738" s="55">
        <f t="shared" ca="1" si="137"/>
        <v>0</v>
      </c>
      <c r="F738" s="55">
        <f t="shared" ca="1" si="138"/>
        <v>100295.50257540985</v>
      </c>
      <c r="G738" s="101">
        <f t="shared" ca="1" si="139"/>
        <v>304003.56257540989</v>
      </c>
      <c r="H738" s="100">
        <f ca="1">ROUND($B738*VLOOKUP($A738,$A$1:$B$10,2,1)/(365+IF(MOD(YEAR($A738),4),0,1)*($A738-$A737)),2)-Первоначальный[[#This Row],[Проценты на просроченный платеж по ОД за период]]</f>
        <v>75.89</v>
      </c>
      <c r="I738" s="55">
        <f t="shared" ca="1" si="140"/>
        <v>5.69</v>
      </c>
      <c r="J738" s="55">
        <v>0</v>
      </c>
      <c r="K738" s="55">
        <f t="shared" ca="1" si="143"/>
        <v>304.11850327868842</v>
      </c>
      <c r="L738" s="55">
        <v>0</v>
      </c>
      <c r="M738" s="113">
        <f>SUMIFS(График[Возврат основной суммы долга],График[Дата с учетом нерабочих дней],$A738)</f>
        <v>0</v>
      </c>
      <c r="N738" s="56">
        <f>SUMIFS(График[Возврат начисленных %],График[Дата с учетом нерабочих дней],$A738)</f>
        <v>0</v>
      </c>
      <c r="O738" s="101">
        <v>0</v>
      </c>
      <c r="P738" s="100" cm="1">
        <f t="array" aca="1" ref="P738" ca="1">MAX(IF(AA737="Да",0,SUM(INDIRECT("M"&amp;(MAX(("Да"=AA$12:AA737)*ROW(AA$12:AA737)+1,ROW($P$12))&amp;":M"&amp;(ROW()))))-SUM(INDIRECT("W"&amp;(MAX(("Да"=AA$12:AA737)*ROW(AA$12:AA737)+1,ROW($P$12))&amp;":W"&amp;(ROW()))))),0)</f>
        <v>10428.589999999998</v>
      </c>
      <c r="Q738" s="99">
        <f ca="1">MAX(SUM($N$13:N738)-SUM($T$13:T738),0)</f>
        <v>50395.110655737692</v>
      </c>
      <c r="R738" s="99">
        <f ca="1">Первоначальный[[#This Row],[Просроченный платеж по ОД]]+Первоначальный[[#This Row],[Просроченный платеж по процентам]]</f>
        <v>60823.700655737688</v>
      </c>
      <c r="S738" s="120">
        <f ca="1">IF(Первоначальный[[#This Row],[Просроченный платеж]]&lt;1,0,S737+1)</f>
        <v>634</v>
      </c>
      <c r="T738" s="100" cm="1">
        <f t="array" aca="1" ref="T738" ca="1">IF(Первоначальный[[#This Row],[Итого остаток на начало периода]]&lt;1,0,
IF(
AND(TYPE(VLOOKUP(1,$Z$12:Z738,1,0))=16,Первоначальный[[#This Row],[Досрочное погашение (да/"")]]=""),0,
_xlfn.IFS(AND(S737=0,Первоначальный[[#This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платеж]]&lt;&gt;0),MIN(LOOKUP(,-1/($Z$12:Z738=1),$C$12:C738)+LOOKUP(,-1/($Z$12:Z738=1),$H$12:H738),Первоначальный[[#This Row],[Полученный платеж]]+Y737),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платеж]]+Y737,SUM(Первоначальный[[#This Row],[Остаток процентов на начало периода]],Первоначальный[[#This Row],[Проценты за период]])),
AND(S737=0,Первоначальный[[#This Row],[Дата платежа из графика]]=""),0,
AND(S737=0,Первоначальный[[#This Row],[Дата платежа из графика]]=1,MAX((0&lt;&gt;S$12:S737)*ROW(S$12:S737),ROW($S$12))&gt;=MAX((1=Z$12:Z737)*ROW(Z$12:Z737),ROW($T$12)),TYPE(VLOOKUP("Да",(INDIRECT("AA"&amp;(MAX((1=Z$12:Z737)*ROW(Z$12:Z737),ROW($T$12))&amp;":AA"&amp;(ROW()-1)))),1,0))=16),MIN(LOOKUP(,-1/($Z$12:Z738=1),$C$12:C738)+LOOKUP(,-1/($Z$12:Z738=1),$H$12:H738),Первоначальный[[#This Row],[Полученный платеж]]+Y737),
AND(S737=0,TYPE(VLOOKUP("Да",(INDIRECT("AA"&amp;(MAX((1=Z$12:Z737)*ROW(Z$12:Z737),ROW($T$12))&amp;":AA"&amp;(ROW()-1)))),1,0))&lt;&gt;16),MIN(LOOKUP(,-1/($Z$12:Z738=1),$C$12:C738)+LOOKUP(,-1/($Z$12:Z738=1),$H$12:H738)-IF(AA737="Да",0,SUM(INDIRECT("T"&amp;(MAX(("Да"=AA$12:AA737)*ROW(AA$12:AA737)+1,ROW($T$12))&amp;":T"&amp;(ROW()-1))))),Первоначальный[[#This Row],[Полученный платеж]]+Y737),
AND(S737=0,MAX((0&lt;&gt;N$12:N737)*ROW(N$12:N737),ROW($S$12))&gt;=MAX((1=Z$12:Z737)*ROW(Z$12:Z737),ROW($T$12))),MIN(LOOKUP(,-1/($Z$12:Z738=1),$C$12:C738)+LOOKUP(,-1/($Z$12:Z738=1),$H$12:H738)-IF(N737&lt;&gt;0,0,SUM(INDIRECT("T"&amp;(MAX((0&lt;&gt;N$12:N737)*ROW(N$12:N737)+1,ROW($T$12))&amp;":T"&amp;(ROW()-1))))),Первоначальный[[#This Row],[Полученный платеж]]+Y737),
AND(S737=0,Первоначальный[[#This Row],[Дата платежа из графика]]=1),MIN(LOOKUP(,-1/($Z$12:Z738=1),$C$12:C738)+LOOKUP(,-1/($Z$12:Z738=1),$H$12:H738)-IF(Z737=1,0,SUM(INDIRECT("T"&amp;(MAX((1=Z$12:Z737)*ROW(Z$12:Z737)+1,ROW($T$12))&amp;":T"&amp;(ROW()-1))))),Первоначальный[[#This Row],[Полученный платеж]]+Y737),
AND(Z737&gt;0,Первоначальный[[#This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платеж]]+Y737),
AND(S737&gt;0,MAX((0&lt;&gt;S$12:S737)*ROW(S$12:S737),ROW($S$12))&gt;=MAX((1=Z$12:Z737)*ROW(Z$12:Z737),ROW($T$12)),TYPE(VLOOKUP("Да",(INDIRECT("AA"&amp;(MAX((1=Z$12:Z737)*ROW(Z$12:Z737),ROW($T$12))&amp;":AA"&amp;(ROW()-1)))),1,0))=16),MIN(LOOKUP(,-1/($Z$12:Z738=1),$C$12:C738)+LOOKUP(,-1/($Z$12:Z738=1),$H$12:H738)-SUM(INDIRECT("T"&amp;(MAX((1=Z$12:Z737)*ROW(Z$12:Z737),ROW($T$12))&amp;":T"&amp;(ROW()-1)))),Первоначальный[[#This Row],[Полученный платеж]]+Y737),
S737&gt;0,MIN(LOOKUP(,-1/($Z$12:Z738=1),$C$12:C738)+LOOKUP(,-1/($Z$12:Z738=1),$H$12:H738)-IF(Z737=1,0,SUM(INDIRECT("T"&amp;(MAX((1=Z$12:Z737)*ROW(Z$12:Z737)+1,ROW($T$12))&amp;":T"&amp;(ROW()-1))))),Первоначальный[[#This Row],[Полученный платеж]]+Y737)
)
)
)</f>
        <v>0</v>
      </c>
      <c r="U73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платеж]]+Y737-Первоначальный[[#This Row],[Полученный платёж по процентам]])</f>
        <v>0</v>
      </c>
      <c r="V738" s="55">
        <f t="shared" ca="1" si="133"/>
        <v>0</v>
      </c>
      <c r="W738" s="55" cm="1">
        <f t="array" aca="1" ref="W738" ca="1">IF(Первоначальный[[#This Row],[Итого остаток на начало периода]]&lt;1,0,
_xlfn.IFS(
AND(TYPE(VLOOKUP(1,$Z$12:Z738,1,0))=16,Первоначальный[[#This Row],[Досрочное погашение (да/"")]]=""),0,
AND(S737=0,Первоначальный[[#This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платеж]]+Y737-SUM(Первоначальный[[#This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комиссиям]]),VLOOKUP(LOOKUP(,-1/($Z$12:Z738=1),$A$12:A738),График[[Срок конец]:[Возврат основной суммы долга]],3,0)),
AND(S737=0,Первоначальный[[#This Row],[Дата платежа из графика]]="",Первоначальный[[#This Row],[Досрочное погашение (да/"")]]&lt;&gt;"Да"),0,
AND(S737=0,Первоначальный[[#This Row],[Досрочное погашение (да/"")]]=""),MIN(Первоначальный[[#This Row],[Полученный платеж]]+Y737-SUM(Первоначальный[[#This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комиссиям]]),VLOOKUP(LOOKUP(,-1/($Z$12:Z738=1),$A$12:A738),График[[Срок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платеж]]+Y737-SUM(Первоначальный[[#This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S737&gt;0,MIN(Первоначальный[[#This Row],[Полученный платеж]]+Y737-SUM(Первоначальный[[#This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комиссиям]]),SUM(INDIRECT("M"&amp;(MAX((1=S$12:S737)*ROW(S$12:S737),ROW($W$12))&amp;":M"&amp;(ROW()))))-SUM(INDIRECT("W"&amp;(MAX((1=S$12:S737)*ROW(S$12:S737),ROW($W$12))&amp;":W"&amp;(ROW()-1)))))
)
)</f>
        <v>0</v>
      </c>
      <c r="X738" s="55">
        <f t="shared" ca="1" si="134"/>
        <v>0</v>
      </c>
      <c r="Y738" s="101">
        <f t="shared" ca="1" si="141"/>
        <v>0</v>
      </c>
      <c r="Z738" s="133" t="str">
        <f>IF(TYPE((VLOOKUP(Первоначальный[[#This Row],[Дата платежа]],График[Срок конец],1,0)))=16,"",1)</f>
        <v/>
      </c>
      <c r="AA738" s="57"/>
      <c r="AB738" s="134"/>
      <c r="AC73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3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52370.750000000058</v>
      </c>
      <c r="AE73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1785.5499999999988</v>
      </c>
      <c r="AF73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3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100599.62107868853</v>
      </c>
      <c r="AH738" s="55"/>
      <c r="AI738" s="55"/>
      <c r="AJ738" s="55"/>
      <c r="AK738" s="101">
        <f t="shared" ca="1" si="142"/>
        <v>304389.26107868855</v>
      </c>
      <c r="AL738" s="129">
        <f t="array" ref="AL738">MAX((УслРестрактов[Характеристика]="Дата реструктуризации")*(УслРестрактов[Значение]=Первоначальный!$A738),0)</f>
        <v>0</v>
      </c>
    </row>
    <row r="739" spans="1:38" x14ac:dyDescent="0.25">
      <c r="A739" s="97">
        <f t="shared" si="135"/>
        <v>44870</v>
      </c>
      <c r="B739" s="100">
        <f t="shared" ca="1" si="136"/>
        <v>149633.34</v>
      </c>
      <c r="C739" s="55">
        <f t="shared" ca="1" si="144"/>
        <v>52370.750000000058</v>
      </c>
      <c r="D739" s="55">
        <f t="shared" ca="1" si="144"/>
        <v>1785.5499999999988</v>
      </c>
      <c r="E739" s="55">
        <f t="shared" ca="1" si="137"/>
        <v>0</v>
      </c>
      <c r="F739" s="55">
        <f t="shared" ca="1" si="138"/>
        <v>100599.62107868853</v>
      </c>
      <c r="G739" s="101">
        <f t="shared" ca="1" si="139"/>
        <v>304389.26107868855</v>
      </c>
      <c r="H739" s="100">
        <f ca="1">ROUND($B739*VLOOKUP($A739,$A$1:$B$10,2,1)/(365+IF(MOD(YEAR($A739),4),0,1)*($A739-$A738)),2)-Первоначальный[[#This Row],[Проценты на просроченный платеж по ОД за период]]</f>
        <v>75.89</v>
      </c>
      <c r="I739" s="55">
        <f t="shared" ca="1" si="140"/>
        <v>5.69</v>
      </c>
      <c r="J739" s="55">
        <v>0</v>
      </c>
      <c r="K739" s="55">
        <f t="shared" ca="1" si="143"/>
        <v>304.11850327868842</v>
      </c>
      <c r="L739" s="55">
        <v>0</v>
      </c>
      <c r="M739" s="113">
        <f>SUMIFS(График[Возврат основной суммы долга],График[Дата с учетом нерабочих дней],$A739)</f>
        <v>0</v>
      </c>
      <c r="N739" s="56">
        <f>SUMIFS(График[Возврат начисленных %],График[Дата с учетом нерабочих дней],$A739)</f>
        <v>0</v>
      </c>
      <c r="O739" s="101">
        <v>0</v>
      </c>
      <c r="P739" s="100" cm="1">
        <f t="array" aca="1" ref="P739" ca="1">MAX(IF(AA738="Да",0,SUM(INDIRECT("M"&amp;(MAX(("Да"=AA$12:AA738)*ROW(AA$12:AA738)+1,ROW($P$12))&amp;":M"&amp;(ROW()))))-SUM(INDIRECT("W"&amp;(MAX(("Да"=AA$12:AA738)*ROW(AA$12:AA738)+1,ROW($P$12))&amp;":W"&amp;(ROW()))))),0)</f>
        <v>10428.589999999998</v>
      </c>
      <c r="Q739" s="99">
        <f ca="1">MAX(SUM($N$13:N739)-SUM($T$13:T739),0)</f>
        <v>50395.110655737692</v>
      </c>
      <c r="R739" s="99">
        <f ca="1">Первоначальный[[#This Row],[Просроченный платеж по ОД]]+Первоначальный[[#This Row],[Просроченный платеж по процентам]]</f>
        <v>60823.700655737688</v>
      </c>
      <c r="S739" s="120">
        <f ca="1">IF(Первоначальный[[#This Row],[Просроченный платеж]]&lt;1,0,S738+1)</f>
        <v>635</v>
      </c>
      <c r="T739" s="100" cm="1">
        <f t="array" aca="1" ref="T739" ca="1">IF(Первоначальный[[#This Row],[Итого остаток на начало периода]]&lt;1,0,
IF(
AND(TYPE(VLOOKUP(1,$Z$12:Z739,1,0))=16,Первоначальный[[#This Row],[Досрочное погашение (да/"")]]=""),0,
_xlfn.IFS(AND(S738=0,Первоначальный[[#This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платеж]]&lt;&gt;0),MIN(LOOKUP(,-1/($Z$12:Z739=1),$C$12:C739)+LOOKUP(,-1/($Z$12:Z739=1),$H$12:H739),Первоначальный[[#This Row],[Полученный платеж]]+Y738),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платеж]]+Y738,SUM(Первоначальный[[#This Row],[Остаток процентов на начало периода]],Первоначальный[[#This Row],[Проценты за период]])),
AND(S738=0,Первоначальный[[#This Row],[Дата платежа из графика]]=""),0,
AND(S738=0,Первоначальный[[#This Row],[Дата платежа из графика]]=1,MAX((0&lt;&gt;S$12:S738)*ROW(S$12:S738),ROW($S$12))&gt;=MAX((1=Z$12:Z738)*ROW(Z$12:Z738),ROW($T$12)),TYPE(VLOOKUP("Да",(INDIRECT("AA"&amp;(MAX((1=Z$12:Z738)*ROW(Z$12:Z738),ROW($T$12))&amp;":AA"&amp;(ROW()-1)))),1,0))=16),MIN(LOOKUP(,-1/($Z$12:Z739=1),$C$12:C739)+LOOKUP(,-1/($Z$12:Z739=1),$H$12:H739),Первоначальный[[#This Row],[Полученный платеж]]+Y738),
AND(S738=0,TYPE(VLOOKUP("Да",(INDIRECT("AA"&amp;(MAX((1=Z$12:Z738)*ROW(Z$12:Z738),ROW($T$12))&amp;":AA"&amp;(ROW()-1)))),1,0))&lt;&gt;16),MIN(LOOKUP(,-1/($Z$12:Z739=1),$C$12:C739)+LOOKUP(,-1/($Z$12:Z739=1),$H$12:H739)-IF(AA738="Да",0,SUM(INDIRECT("T"&amp;(MAX(("Да"=AA$12:AA738)*ROW(AA$12:AA738)+1,ROW($T$12))&amp;":T"&amp;(ROW()-1))))),Первоначальный[[#This Row],[Полученный платеж]]+Y738),
AND(S738=0,MAX((0&lt;&gt;N$12:N738)*ROW(N$12:N738),ROW($S$12))&gt;=MAX((1=Z$12:Z738)*ROW(Z$12:Z738),ROW($T$12))),MIN(LOOKUP(,-1/($Z$12:Z739=1),$C$12:C739)+LOOKUP(,-1/($Z$12:Z739=1),$H$12:H739)-IF(N738&lt;&gt;0,0,SUM(INDIRECT("T"&amp;(MAX((0&lt;&gt;N$12:N738)*ROW(N$12:N738)+1,ROW($T$12))&amp;":T"&amp;(ROW()-1))))),Первоначальный[[#This Row],[Полученный платеж]]+Y738),
AND(S738=0,Первоначальный[[#This Row],[Дата платежа из графика]]=1),MIN(LOOKUP(,-1/($Z$12:Z739=1),$C$12:C739)+LOOKUP(,-1/($Z$12:Z739=1),$H$12:H739)-IF(Z738=1,0,SUM(INDIRECT("T"&amp;(MAX((1=Z$12:Z738)*ROW(Z$12:Z738)+1,ROW($T$12))&amp;":T"&amp;(ROW()-1))))),Первоначальный[[#This Row],[Полученный платеж]]+Y738),
AND(Z738&gt;0,Первоначальный[[#This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платеж]]+Y738),
AND(S738&gt;0,MAX((0&lt;&gt;S$12:S738)*ROW(S$12:S738),ROW($S$12))&gt;=MAX((1=Z$12:Z738)*ROW(Z$12:Z738),ROW($T$12)),TYPE(VLOOKUP("Да",(INDIRECT("AA"&amp;(MAX((1=Z$12:Z738)*ROW(Z$12:Z738),ROW($T$12))&amp;":AA"&amp;(ROW()-1)))),1,0))=16),MIN(LOOKUP(,-1/($Z$12:Z739=1),$C$12:C739)+LOOKUP(,-1/($Z$12:Z739=1),$H$12:H739)-SUM(INDIRECT("T"&amp;(MAX((1=Z$12:Z738)*ROW(Z$12:Z738),ROW($T$12))&amp;":T"&amp;(ROW()-1)))),Первоначальный[[#This Row],[Полученный платеж]]+Y738),
S738&gt;0,MIN(LOOKUP(,-1/($Z$12:Z739=1),$C$12:C739)+LOOKUP(,-1/($Z$12:Z739=1),$H$12:H739)-IF(Z738=1,0,SUM(INDIRECT("T"&amp;(MAX((1=Z$12:Z738)*ROW(Z$12:Z738)+1,ROW($T$12))&amp;":T"&amp;(ROW()-1))))),Первоначальный[[#This Row],[Полученный платеж]]+Y738)
)
)
)</f>
        <v>0</v>
      </c>
      <c r="U73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платеж]]+Y738-Первоначальный[[#This Row],[Полученный платёж по процентам]])</f>
        <v>0</v>
      </c>
      <c r="V739" s="55">
        <f t="shared" ca="1" si="133"/>
        <v>0</v>
      </c>
      <c r="W739" s="55" cm="1">
        <f t="array" aca="1" ref="W739" ca="1">IF(Первоначальный[[#This Row],[Итого остаток на начало периода]]&lt;1,0,
_xlfn.IFS(
AND(TYPE(VLOOKUP(1,$Z$12:Z739,1,0))=16,Первоначальный[[#This Row],[Досрочное погашение (да/"")]]=""),0,
AND(S738=0,Первоначальный[[#This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платеж]]+Y738-SUM(Первоначальный[[#This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комиссиям]]),VLOOKUP(LOOKUP(,-1/($Z$12:Z739=1),$A$12:A739),График[[Срок конец]:[Возврат основной суммы долга]],3,0)),
AND(S738=0,Первоначальный[[#This Row],[Дата платежа из графика]]="",Первоначальный[[#This Row],[Досрочное погашение (да/"")]]&lt;&gt;"Да"),0,
AND(S738=0,Первоначальный[[#This Row],[Досрочное погашение (да/"")]]=""),MIN(Первоначальный[[#This Row],[Полученный платеж]]+Y738-SUM(Первоначальный[[#This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комиссиям]]),VLOOKUP(LOOKUP(,-1/($Z$12:Z739=1),$A$12:A739),График[[Срок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платеж]]+Y738-SUM(Первоначальный[[#This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S738&gt;0,MIN(Первоначальный[[#This Row],[Полученный платеж]]+Y738-SUM(Первоначальный[[#This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комиссиям]]),SUM(INDIRECT("M"&amp;(MAX((1=S$12:S738)*ROW(S$12:S738),ROW($W$12))&amp;":M"&amp;(ROW()))))-SUM(INDIRECT("W"&amp;(MAX((1=S$12:S738)*ROW(S$12:S738),ROW($W$12))&amp;":W"&amp;(ROW()-1)))))
)
)</f>
        <v>0</v>
      </c>
      <c r="X739" s="55">
        <f t="shared" ca="1" si="134"/>
        <v>0</v>
      </c>
      <c r="Y739" s="101">
        <f t="shared" ca="1" si="141"/>
        <v>0</v>
      </c>
      <c r="Z739" s="133" t="str">
        <f>IF(TYPE((VLOOKUP(Первоначальный[[#This Row],[Дата платежа]],График[Срок конец],1,0)))=16,"",1)</f>
        <v/>
      </c>
      <c r="AA739" s="57"/>
      <c r="AB739" s="134"/>
      <c r="AC73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3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52446.640000000058</v>
      </c>
      <c r="AE73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1791.2399999999989</v>
      </c>
      <c r="AF73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3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100903.73958196722</v>
      </c>
      <c r="AH739" s="55"/>
      <c r="AI739" s="55"/>
      <c r="AJ739" s="55"/>
      <c r="AK739" s="101">
        <f t="shared" ca="1" si="142"/>
        <v>304774.95958196727</v>
      </c>
      <c r="AL739" s="129">
        <f t="array" ref="AL739">MAX((УслРестрактов[Характеристика]="Дата реструктуризации")*(УслРестрактов[Значение]=Первоначальный!$A739),0)</f>
        <v>0</v>
      </c>
    </row>
    <row r="740" spans="1:38" x14ac:dyDescent="0.25">
      <c r="A740" s="97">
        <f t="shared" si="135"/>
        <v>44871</v>
      </c>
      <c r="B740" s="100">
        <f t="shared" ca="1" si="136"/>
        <v>149633.34</v>
      </c>
      <c r="C740" s="55">
        <f t="shared" ca="1" si="144"/>
        <v>52446.640000000058</v>
      </c>
      <c r="D740" s="55">
        <f t="shared" ca="1" si="144"/>
        <v>1791.2399999999989</v>
      </c>
      <c r="E740" s="55">
        <f t="shared" ca="1" si="137"/>
        <v>0</v>
      </c>
      <c r="F740" s="55">
        <f t="shared" ca="1" si="138"/>
        <v>100903.73958196722</v>
      </c>
      <c r="G740" s="101">
        <f t="shared" ca="1" si="139"/>
        <v>304774.95958196727</v>
      </c>
      <c r="H740" s="100">
        <f ca="1">ROUND($B740*VLOOKUP($A740,$A$1:$B$10,2,1)/(365+IF(MOD(YEAR($A740),4),0,1)*($A740-$A739)),2)-Первоначальный[[#This Row],[Проценты на просроченный платеж по ОД за период]]</f>
        <v>75.89</v>
      </c>
      <c r="I740" s="55">
        <f t="shared" ca="1" si="140"/>
        <v>5.69</v>
      </c>
      <c r="J740" s="55">
        <v>0</v>
      </c>
      <c r="K740" s="55">
        <f t="shared" ca="1" si="143"/>
        <v>304.11850327868842</v>
      </c>
      <c r="L740" s="55">
        <v>0</v>
      </c>
      <c r="M740" s="113">
        <f>SUMIFS(График[Возврат основной суммы долга],График[Дата с учетом нерабочих дней],$A740)</f>
        <v>0</v>
      </c>
      <c r="N740" s="56">
        <f>SUMIFS(График[Возврат начисленных %],График[Дата с учетом нерабочих дней],$A740)</f>
        <v>0</v>
      </c>
      <c r="O740" s="101">
        <v>0</v>
      </c>
      <c r="P740" s="100" cm="1">
        <f t="array" aca="1" ref="P740" ca="1">MAX(IF(AA739="Да",0,SUM(INDIRECT("M"&amp;(MAX(("Да"=AA$12:AA739)*ROW(AA$12:AA739)+1,ROW($P$12))&amp;":M"&amp;(ROW()))))-SUM(INDIRECT("W"&amp;(MAX(("Да"=AA$12:AA739)*ROW(AA$12:AA739)+1,ROW($P$12))&amp;":W"&amp;(ROW()))))),0)</f>
        <v>10428.589999999998</v>
      </c>
      <c r="Q740" s="99">
        <f ca="1">MAX(SUM($N$13:N740)-SUM($T$13:T740),0)</f>
        <v>50395.110655737692</v>
      </c>
      <c r="R740" s="99">
        <f ca="1">Первоначальный[[#This Row],[Просроченный платеж по ОД]]+Первоначальный[[#This Row],[Просроченный платеж по процентам]]</f>
        <v>60823.700655737688</v>
      </c>
      <c r="S740" s="120">
        <f ca="1">IF(Первоначальный[[#This Row],[Просроченный платеж]]&lt;1,0,S739+1)</f>
        <v>636</v>
      </c>
      <c r="T740" s="100" cm="1">
        <f t="array" aca="1" ref="T740" ca="1">IF(Первоначальный[[#This Row],[Итого остаток на начало периода]]&lt;1,0,
IF(
AND(TYPE(VLOOKUP(1,$Z$12:Z740,1,0))=16,Первоначальный[[#This Row],[Досрочное погашение (да/"")]]=""),0,
_xlfn.IFS(AND(S739=0,Первоначальный[[#This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платеж]]&lt;&gt;0),MIN(LOOKUP(,-1/($Z$12:Z740=1),$C$12:C740)+LOOKUP(,-1/($Z$12:Z740=1),$H$12:H740),Первоначальный[[#This Row],[Полученный платеж]]+Y739),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платеж]]+Y739,SUM(Первоначальный[[#This Row],[Остаток процентов на начало периода]],Первоначальный[[#This Row],[Проценты за период]])),
AND(S739=0,Первоначальный[[#This Row],[Дата платежа из графика]]=""),0,
AND(S739=0,Первоначальный[[#This Row],[Дата платежа из графика]]=1,MAX((0&lt;&gt;S$12:S739)*ROW(S$12:S739),ROW($S$12))&gt;=MAX((1=Z$12:Z739)*ROW(Z$12:Z739),ROW($T$12)),TYPE(VLOOKUP("Да",(INDIRECT("AA"&amp;(MAX((1=Z$12:Z739)*ROW(Z$12:Z739),ROW($T$12))&amp;":AA"&amp;(ROW()-1)))),1,0))=16),MIN(LOOKUP(,-1/($Z$12:Z740=1),$C$12:C740)+LOOKUP(,-1/($Z$12:Z740=1),$H$12:H740),Первоначальный[[#This Row],[Полученный платеж]]+Y739),
AND(S739=0,TYPE(VLOOKUP("Да",(INDIRECT("AA"&amp;(MAX((1=Z$12:Z739)*ROW(Z$12:Z739),ROW($T$12))&amp;":AA"&amp;(ROW()-1)))),1,0))&lt;&gt;16),MIN(LOOKUP(,-1/($Z$12:Z740=1),$C$12:C740)+LOOKUP(,-1/($Z$12:Z740=1),$H$12:H740)-IF(AA739="Да",0,SUM(INDIRECT("T"&amp;(MAX(("Да"=AA$12:AA739)*ROW(AA$12:AA739)+1,ROW($T$12))&amp;":T"&amp;(ROW()-1))))),Первоначальный[[#This Row],[Полученный платеж]]+Y739),
AND(S739=0,MAX((0&lt;&gt;N$12:N739)*ROW(N$12:N739),ROW($S$12))&gt;=MAX((1=Z$12:Z739)*ROW(Z$12:Z739),ROW($T$12))),MIN(LOOKUP(,-1/($Z$12:Z740=1),$C$12:C740)+LOOKUP(,-1/($Z$12:Z740=1),$H$12:H740)-IF(N739&lt;&gt;0,0,SUM(INDIRECT("T"&amp;(MAX((0&lt;&gt;N$12:N739)*ROW(N$12:N739)+1,ROW($T$12))&amp;":T"&amp;(ROW()-1))))),Первоначальный[[#This Row],[Полученный платеж]]+Y739),
AND(S739=0,Первоначальный[[#This Row],[Дата платежа из графика]]=1),MIN(LOOKUP(,-1/($Z$12:Z740=1),$C$12:C740)+LOOKUP(,-1/($Z$12:Z740=1),$H$12:H740)-IF(Z739=1,0,SUM(INDIRECT("T"&amp;(MAX((1=Z$12:Z739)*ROW(Z$12:Z739)+1,ROW($T$12))&amp;":T"&amp;(ROW()-1))))),Первоначальный[[#This Row],[Полученный платеж]]+Y739),
AND(Z739&gt;0,Первоначальный[[#This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платеж]]+Y739),
AND(S739&gt;0,MAX((0&lt;&gt;S$12:S739)*ROW(S$12:S739),ROW($S$12))&gt;=MAX((1=Z$12:Z739)*ROW(Z$12:Z739),ROW($T$12)),TYPE(VLOOKUP("Да",(INDIRECT("AA"&amp;(MAX((1=Z$12:Z739)*ROW(Z$12:Z739),ROW($T$12))&amp;":AA"&amp;(ROW()-1)))),1,0))=16),MIN(LOOKUP(,-1/($Z$12:Z740=1),$C$12:C740)+LOOKUP(,-1/($Z$12:Z740=1),$H$12:H740)-SUM(INDIRECT("T"&amp;(MAX((1=Z$12:Z739)*ROW(Z$12:Z739),ROW($T$12))&amp;":T"&amp;(ROW()-1)))),Первоначальный[[#This Row],[Полученный платеж]]+Y739),
S739&gt;0,MIN(LOOKUP(,-1/($Z$12:Z740=1),$C$12:C740)+LOOKUP(,-1/($Z$12:Z740=1),$H$12:H740)-IF(Z739=1,0,SUM(INDIRECT("T"&amp;(MAX((1=Z$12:Z739)*ROW(Z$12:Z739)+1,ROW($T$12))&amp;":T"&amp;(ROW()-1))))),Первоначальный[[#This Row],[Полученный платеж]]+Y739)
)
)
)</f>
        <v>0</v>
      </c>
      <c r="U74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платеж]]+Y739-Первоначальный[[#This Row],[Полученный платёж по процентам]])</f>
        <v>0</v>
      </c>
      <c r="V740" s="55">
        <f t="shared" ca="1" si="133"/>
        <v>0</v>
      </c>
      <c r="W740" s="55" cm="1">
        <f t="array" aca="1" ref="W740" ca="1">IF(Первоначальный[[#This Row],[Итого остаток на начало периода]]&lt;1,0,
_xlfn.IFS(
AND(TYPE(VLOOKUP(1,$Z$12:Z740,1,0))=16,Первоначальный[[#This Row],[Досрочное погашение (да/"")]]=""),0,
AND(S739=0,Первоначальный[[#This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платеж]]+Y739-SUM(Первоначальный[[#This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комиссиям]]),VLOOKUP(LOOKUP(,-1/($Z$12:Z740=1),$A$12:A740),График[[Срок конец]:[Возврат основной суммы долга]],3,0)),
AND(S739=0,Первоначальный[[#This Row],[Дата платежа из графика]]="",Первоначальный[[#This Row],[Досрочное погашение (да/"")]]&lt;&gt;"Да"),0,
AND(S739=0,Первоначальный[[#This Row],[Досрочное погашение (да/"")]]=""),MIN(Первоначальный[[#This Row],[Полученный платеж]]+Y739-SUM(Первоначальный[[#This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комиссиям]]),VLOOKUP(LOOKUP(,-1/($Z$12:Z740=1),$A$12:A740),График[[Срок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платеж]]+Y739-SUM(Первоначальный[[#This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S739&gt;0,MIN(Первоначальный[[#This Row],[Полученный платеж]]+Y739-SUM(Первоначальный[[#This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комиссиям]]),SUM(INDIRECT("M"&amp;(MAX((1=S$12:S739)*ROW(S$12:S739),ROW($W$12))&amp;":M"&amp;(ROW()))))-SUM(INDIRECT("W"&amp;(MAX((1=S$12:S739)*ROW(S$12:S739),ROW($W$12))&amp;":W"&amp;(ROW()-1)))))
)
)</f>
        <v>0</v>
      </c>
      <c r="X740" s="55">
        <f t="shared" ca="1" si="134"/>
        <v>0</v>
      </c>
      <c r="Y740" s="101">
        <f t="shared" ca="1" si="141"/>
        <v>0</v>
      </c>
      <c r="Z740" s="133" t="str">
        <f>IF(TYPE((VLOOKUP(Первоначальный[[#This Row],[Дата платежа]],График[Срок конец],1,0)))=16,"",1)</f>
        <v/>
      </c>
      <c r="AA740" s="57"/>
      <c r="AB740" s="134"/>
      <c r="AC74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4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52522.530000000057</v>
      </c>
      <c r="AE74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1796.9299999999989</v>
      </c>
      <c r="AF74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4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101207.85808524591</v>
      </c>
      <c r="AH740" s="55"/>
      <c r="AI740" s="55"/>
      <c r="AJ740" s="55"/>
      <c r="AK740" s="101">
        <f t="shared" ca="1" si="142"/>
        <v>305160.65808524599</v>
      </c>
      <c r="AL740" s="129">
        <f t="array" ref="AL740">MAX((УслРестрактов[Характеристика]="Дата реструктуризации")*(УслРестрактов[Значение]=Первоначальный!$A740),0)</f>
        <v>0</v>
      </c>
    </row>
    <row r="741" spans="1:38" x14ac:dyDescent="0.25">
      <c r="A741" s="97">
        <f t="shared" si="135"/>
        <v>44872</v>
      </c>
      <c r="B741" s="100">
        <f t="shared" ca="1" si="136"/>
        <v>149633.34</v>
      </c>
      <c r="C741" s="55">
        <f t="shared" ca="1" si="144"/>
        <v>52522.530000000057</v>
      </c>
      <c r="D741" s="55">
        <f t="shared" ca="1" si="144"/>
        <v>1796.9299999999989</v>
      </c>
      <c r="E741" s="55">
        <f t="shared" ca="1" si="137"/>
        <v>0</v>
      </c>
      <c r="F741" s="55">
        <f t="shared" ca="1" si="138"/>
        <v>101207.85808524591</v>
      </c>
      <c r="G741" s="101">
        <f t="shared" ca="1" si="139"/>
        <v>305160.65808524599</v>
      </c>
      <c r="H741" s="100">
        <f ca="1">ROUND($B741*VLOOKUP($A741,$A$1:$B$10,2,1)/(365+IF(MOD(YEAR($A741),4),0,1)*($A741-$A740)),2)-Первоначальный[[#This Row],[Проценты на просроченный платеж по ОД за период]]</f>
        <v>75.89</v>
      </c>
      <c r="I741" s="55">
        <f t="shared" ca="1" si="140"/>
        <v>5.69</v>
      </c>
      <c r="J741" s="55">
        <v>0</v>
      </c>
      <c r="K741" s="55">
        <f t="shared" ca="1" si="143"/>
        <v>304.11850327868842</v>
      </c>
      <c r="L741" s="55">
        <v>0</v>
      </c>
      <c r="M741" s="113">
        <f>SUMIFS(График[Возврат основной суммы долга],График[Дата с учетом нерабочих дней],$A741)</f>
        <v>0</v>
      </c>
      <c r="N741" s="56">
        <f>SUMIFS(График[Возврат начисленных %],График[Дата с учетом нерабочих дней],$A741)</f>
        <v>0</v>
      </c>
      <c r="O741" s="101">
        <v>0</v>
      </c>
      <c r="P741" s="100" cm="1">
        <f t="array" aca="1" ref="P741" ca="1">MAX(IF(AA740="Да",0,SUM(INDIRECT("M"&amp;(MAX(("Да"=AA$12:AA740)*ROW(AA$12:AA740)+1,ROW($P$12))&amp;":M"&amp;(ROW()))))-SUM(INDIRECT("W"&amp;(MAX(("Да"=AA$12:AA740)*ROW(AA$12:AA740)+1,ROW($P$12))&amp;":W"&amp;(ROW()))))),0)</f>
        <v>10428.589999999998</v>
      </c>
      <c r="Q741" s="99">
        <f ca="1">MAX(SUM($N$13:N741)-SUM($T$13:T741),0)</f>
        <v>50395.110655737692</v>
      </c>
      <c r="R741" s="99">
        <f ca="1">Первоначальный[[#This Row],[Просроченный платеж по ОД]]+Первоначальный[[#This Row],[Просроченный платеж по процентам]]</f>
        <v>60823.700655737688</v>
      </c>
      <c r="S741" s="120">
        <f ca="1">IF(Первоначальный[[#This Row],[Просроченный платеж]]&lt;1,0,S740+1)</f>
        <v>637</v>
      </c>
      <c r="T741" s="100" cm="1">
        <f t="array" aca="1" ref="T741" ca="1">IF(Первоначальный[[#This Row],[Итого остаток на начало периода]]&lt;1,0,
IF(
AND(TYPE(VLOOKUP(1,$Z$12:Z741,1,0))=16,Первоначальный[[#This Row],[Досрочное погашение (да/"")]]=""),0,
_xlfn.IFS(AND(S740=0,Первоначальный[[#This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платеж]]&lt;&gt;0),MIN(LOOKUP(,-1/($Z$12:Z741=1),$C$12:C741)+LOOKUP(,-1/($Z$12:Z741=1),$H$12:H741),Первоначальный[[#This Row],[Полученный платеж]]+Y740),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платеж]]+Y740,SUM(Первоначальный[[#This Row],[Остаток процентов на начало периода]],Первоначальный[[#This Row],[Проценты за период]])),
AND(S740=0,Первоначальный[[#This Row],[Дата платежа из графика]]=""),0,
AND(S740=0,Первоначальный[[#This Row],[Дата платежа из графика]]=1,MAX((0&lt;&gt;S$12:S740)*ROW(S$12:S740),ROW($S$12))&gt;=MAX((1=Z$12:Z740)*ROW(Z$12:Z740),ROW($T$12)),TYPE(VLOOKUP("Да",(INDIRECT("AA"&amp;(MAX((1=Z$12:Z740)*ROW(Z$12:Z740),ROW($T$12))&amp;":AA"&amp;(ROW()-1)))),1,0))=16),MIN(LOOKUP(,-1/($Z$12:Z741=1),$C$12:C741)+LOOKUP(,-1/($Z$12:Z741=1),$H$12:H741),Первоначальный[[#This Row],[Полученный платеж]]+Y740),
AND(S740=0,TYPE(VLOOKUP("Да",(INDIRECT("AA"&amp;(MAX((1=Z$12:Z740)*ROW(Z$12:Z740),ROW($T$12))&amp;":AA"&amp;(ROW()-1)))),1,0))&lt;&gt;16),MIN(LOOKUP(,-1/($Z$12:Z741=1),$C$12:C741)+LOOKUP(,-1/($Z$12:Z741=1),$H$12:H741)-IF(AA740="Да",0,SUM(INDIRECT("T"&amp;(MAX(("Да"=AA$12:AA740)*ROW(AA$12:AA740)+1,ROW($T$12))&amp;":T"&amp;(ROW()-1))))),Первоначальный[[#This Row],[Полученный платеж]]+Y740),
AND(S740=0,MAX((0&lt;&gt;N$12:N740)*ROW(N$12:N740),ROW($S$12))&gt;=MAX((1=Z$12:Z740)*ROW(Z$12:Z740),ROW($T$12))),MIN(LOOKUP(,-1/($Z$12:Z741=1),$C$12:C741)+LOOKUP(,-1/($Z$12:Z741=1),$H$12:H741)-IF(N740&lt;&gt;0,0,SUM(INDIRECT("T"&amp;(MAX((0&lt;&gt;N$12:N740)*ROW(N$12:N740)+1,ROW($T$12))&amp;":T"&amp;(ROW()-1))))),Первоначальный[[#This Row],[Полученный платеж]]+Y740),
AND(S740=0,Первоначальный[[#This Row],[Дата платежа из графика]]=1),MIN(LOOKUP(,-1/($Z$12:Z741=1),$C$12:C741)+LOOKUP(,-1/($Z$12:Z741=1),$H$12:H741)-IF(Z740=1,0,SUM(INDIRECT("T"&amp;(MAX((1=Z$12:Z740)*ROW(Z$12:Z740)+1,ROW($T$12))&amp;":T"&amp;(ROW()-1))))),Первоначальный[[#This Row],[Полученный платеж]]+Y740),
AND(Z740&gt;0,Первоначальный[[#This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платеж]]+Y740),
AND(S740&gt;0,MAX((0&lt;&gt;S$12:S740)*ROW(S$12:S740),ROW($S$12))&gt;=MAX((1=Z$12:Z740)*ROW(Z$12:Z740),ROW($T$12)),TYPE(VLOOKUP("Да",(INDIRECT("AA"&amp;(MAX((1=Z$12:Z740)*ROW(Z$12:Z740),ROW($T$12))&amp;":AA"&amp;(ROW()-1)))),1,0))=16),MIN(LOOKUP(,-1/($Z$12:Z741=1),$C$12:C741)+LOOKUP(,-1/($Z$12:Z741=1),$H$12:H741)-SUM(INDIRECT("T"&amp;(MAX((1=Z$12:Z740)*ROW(Z$12:Z740),ROW($T$12))&amp;":T"&amp;(ROW()-1)))),Первоначальный[[#This Row],[Полученный платеж]]+Y740),
S740&gt;0,MIN(LOOKUP(,-1/($Z$12:Z741=1),$C$12:C741)+LOOKUP(,-1/($Z$12:Z741=1),$H$12:H741)-IF(Z740=1,0,SUM(INDIRECT("T"&amp;(MAX((1=Z$12:Z740)*ROW(Z$12:Z740)+1,ROW($T$12))&amp;":T"&amp;(ROW()-1))))),Первоначальный[[#This Row],[Полученный платеж]]+Y740)
)
)
)</f>
        <v>0</v>
      </c>
      <c r="U74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платеж]]+Y740-Первоначальный[[#This Row],[Полученный платёж по процентам]])</f>
        <v>0</v>
      </c>
      <c r="V741" s="55">
        <f t="shared" ca="1" si="133"/>
        <v>0</v>
      </c>
      <c r="W741" s="55" cm="1">
        <f t="array" aca="1" ref="W741" ca="1">IF(Первоначальный[[#This Row],[Итого остаток на начало периода]]&lt;1,0,
_xlfn.IFS(
AND(TYPE(VLOOKUP(1,$Z$12:Z741,1,0))=16,Первоначальный[[#This Row],[Досрочное погашение (да/"")]]=""),0,
AND(S740=0,Первоначальный[[#This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платеж]]+Y740-SUM(Первоначальный[[#This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комиссиям]]),VLOOKUP(LOOKUP(,-1/($Z$12:Z741=1),$A$12:A741),График[[Срок конец]:[Возврат основной суммы долга]],3,0)),
AND(S740=0,Первоначальный[[#This Row],[Дата платежа из графика]]="",Первоначальный[[#This Row],[Досрочное погашение (да/"")]]&lt;&gt;"Да"),0,
AND(S740=0,Первоначальный[[#This Row],[Досрочное погашение (да/"")]]=""),MIN(Первоначальный[[#This Row],[Полученный платеж]]+Y740-SUM(Первоначальный[[#This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комиссиям]]),VLOOKUP(LOOKUP(,-1/($Z$12:Z741=1),$A$12:A741),График[[Срок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платеж]]+Y740-SUM(Первоначальный[[#This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S740&gt;0,MIN(Первоначальный[[#This Row],[Полученный платеж]]+Y740-SUM(Первоначальный[[#This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комиссиям]]),SUM(INDIRECT("M"&amp;(MAX((1=S$12:S740)*ROW(S$12:S740),ROW($W$12))&amp;":M"&amp;(ROW()))))-SUM(INDIRECT("W"&amp;(MAX((1=S$12:S740)*ROW(S$12:S740),ROW($W$12))&amp;":W"&amp;(ROW()-1)))))
)
)</f>
        <v>0</v>
      </c>
      <c r="X741" s="55">
        <f t="shared" ca="1" si="134"/>
        <v>0</v>
      </c>
      <c r="Y741" s="101">
        <f t="shared" ca="1" si="141"/>
        <v>0</v>
      </c>
      <c r="Z741" s="133" t="str">
        <f>IF(TYPE((VLOOKUP(Первоначальный[[#This Row],[Дата платежа]],График[Срок конец],1,0)))=16,"",1)</f>
        <v/>
      </c>
      <c r="AA741" s="57"/>
      <c r="AB741" s="134"/>
      <c r="AC74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4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52598.420000000056</v>
      </c>
      <c r="AE74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1802.619999999999</v>
      </c>
      <c r="AF74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4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101511.9765885246</v>
      </c>
      <c r="AH741" s="55"/>
      <c r="AI741" s="55"/>
      <c r="AJ741" s="55"/>
      <c r="AK741" s="101">
        <f t="shared" ca="1" si="142"/>
        <v>305546.35658852465</v>
      </c>
      <c r="AL741" s="129">
        <f t="array" ref="AL741">MAX((УслРестрактов[Характеристика]="Дата реструктуризации")*(УслРестрактов[Значение]=Первоначальный!$A741),0)</f>
        <v>0</v>
      </c>
    </row>
    <row r="742" spans="1:38" x14ac:dyDescent="0.25">
      <c r="A742" s="97">
        <f t="shared" si="135"/>
        <v>44873</v>
      </c>
      <c r="B742" s="100">
        <f t="shared" ca="1" si="136"/>
        <v>149633.34</v>
      </c>
      <c r="C742" s="55">
        <f t="shared" ca="1" si="144"/>
        <v>52598.420000000056</v>
      </c>
      <c r="D742" s="55">
        <f t="shared" ca="1" si="144"/>
        <v>1802.619999999999</v>
      </c>
      <c r="E742" s="55">
        <f t="shared" ca="1" si="137"/>
        <v>0</v>
      </c>
      <c r="F742" s="55">
        <f t="shared" ca="1" si="138"/>
        <v>101511.9765885246</v>
      </c>
      <c r="G742" s="101">
        <f t="shared" ca="1" si="139"/>
        <v>305546.35658852465</v>
      </c>
      <c r="H742" s="100">
        <f ca="1">ROUND($B742*VLOOKUP($A742,$A$1:$B$10,2,1)/(365+IF(MOD(YEAR($A742),4),0,1)*($A742-$A741)),2)-Первоначальный[[#This Row],[Проценты на просроченный платеж по ОД за период]]</f>
        <v>75.89</v>
      </c>
      <c r="I742" s="55">
        <f t="shared" ca="1" si="140"/>
        <v>5.69</v>
      </c>
      <c r="J742" s="55">
        <v>0</v>
      </c>
      <c r="K742" s="55">
        <f t="shared" ca="1" si="143"/>
        <v>304.11850327868842</v>
      </c>
      <c r="L742" s="55">
        <v>0</v>
      </c>
      <c r="M742" s="113">
        <f>SUMIFS(График[Возврат основной суммы долга],График[Дата с учетом нерабочих дней],$A742)</f>
        <v>0</v>
      </c>
      <c r="N742" s="56">
        <f>SUMIFS(График[Возврат начисленных %],График[Дата с учетом нерабочих дней],$A742)</f>
        <v>0</v>
      </c>
      <c r="O742" s="101">
        <v>0</v>
      </c>
      <c r="P742" s="100" cm="1">
        <f t="array" aca="1" ref="P742" ca="1">MAX(IF(AA741="Да",0,SUM(INDIRECT("M"&amp;(MAX(("Да"=AA$12:AA741)*ROW(AA$12:AA741)+1,ROW($P$12))&amp;":M"&amp;(ROW()))))-SUM(INDIRECT("W"&amp;(MAX(("Да"=AA$12:AA741)*ROW(AA$12:AA741)+1,ROW($P$12))&amp;":W"&amp;(ROW()))))),0)</f>
        <v>10428.589999999998</v>
      </c>
      <c r="Q742" s="99">
        <f ca="1">MAX(SUM($N$13:N742)-SUM($T$13:T742),0)</f>
        <v>50395.110655737692</v>
      </c>
      <c r="R742" s="99">
        <f ca="1">Первоначальный[[#This Row],[Просроченный платеж по ОД]]+Первоначальный[[#This Row],[Просроченный платеж по процентам]]</f>
        <v>60823.700655737688</v>
      </c>
      <c r="S742" s="120">
        <f ca="1">IF(Первоначальный[[#This Row],[Просроченный платеж]]&lt;1,0,S741+1)</f>
        <v>638</v>
      </c>
      <c r="T742" s="100" cm="1">
        <f t="array" aca="1" ref="T742" ca="1">IF(Первоначальный[[#This Row],[Итого остаток на начало периода]]&lt;1,0,
IF(
AND(TYPE(VLOOKUP(1,$Z$12:Z742,1,0))=16,Первоначальный[[#This Row],[Досрочное погашение (да/"")]]=""),0,
_xlfn.IFS(AND(S741=0,Первоначальный[[#This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платеж]]&lt;&gt;0),MIN(LOOKUP(,-1/($Z$12:Z742=1),$C$12:C742)+LOOKUP(,-1/($Z$12:Z742=1),$H$12:H742),Первоначальный[[#This Row],[Полученный платеж]]+Y741),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платеж]]+Y741,SUM(Первоначальный[[#This Row],[Остаток процентов на начало периода]],Первоначальный[[#This Row],[Проценты за период]])),
AND(S741=0,Первоначальный[[#This Row],[Дата платежа из графика]]=""),0,
AND(S741=0,Первоначальный[[#This Row],[Дата платежа из графика]]=1,MAX((0&lt;&gt;S$12:S741)*ROW(S$12:S741),ROW($S$12))&gt;=MAX((1=Z$12:Z741)*ROW(Z$12:Z741),ROW($T$12)),TYPE(VLOOKUP("Да",(INDIRECT("AA"&amp;(MAX((1=Z$12:Z741)*ROW(Z$12:Z741),ROW($T$12))&amp;":AA"&amp;(ROW()-1)))),1,0))=16),MIN(LOOKUP(,-1/($Z$12:Z742=1),$C$12:C742)+LOOKUP(,-1/($Z$12:Z742=1),$H$12:H742),Первоначальный[[#This Row],[Полученный платеж]]+Y741),
AND(S741=0,TYPE(VLOOKUP("Да",(INDIRECT("AA"&amp;(MAX((1=Z$12:Z741)*ROW(Z$12:Z741),ROW($T$12))&amp;":AA"&amp;(ROW()-1)))),1,0))&lt;&gt;16),MIN(LOOKUP(,-1/($Z$12:Z742=1),$C$12:C742)+LOOKUP(,-1/($Z$12:Z742=1),$H$12:H742)-IF(AA741="Да",0,SUM(INDIRECT("T"&amp;(MAX(("Да"=AA$12:AA741)*ROW(AA$12:AA741)+1,ROW($T$12))&amp;":T"&amp;(ROW()-1))))),Первоначальный[[#This Row],[Полученный платеж]]+Y741),
AND(S741=0,MAX((0&lt;&gt;N$12:N741)*ROW(N$12:N741),ROW($S$12))&gt;=MAX((1=Z$12:Z741)*ROW(Z$12:Z741),ROW($T$12))),MIN(LOOKUP(,-1/($Z$12:Z742=1),$C$12:C742)+LOOKUP(,-1/($Z$12:Z742=1),$H$12:H742)-IF(N741&lt;&gt;0,0,SUM(INDIRECT("T"&amp;(MAX((0&lt;&gt;N$12:N741)*ROW(N$12:N741)+1,ROW($T$12))&amp;":T"&amp;(ROW()-1))))),Первоначальный[[#This Row],[Полученный платеж]]+Y741),
AND(S741=0,Первоначальный[[#This Row],[Дата платежа из графика]]=1),MIN(LOOKUP(,-1/($Z$12:Z742=1),$C$12:C742)+LOOKUP(,-1/($Z$12:Z742=1),$H$12:H742)-IF(Z741=1,0,SUM(INDIRECT("T"&amp;(MAX((1=Z$12:Z741)*ROW(Z$12:Z741)+1,ROW($T$12))&amp;":T"&amp;(ROW()-1))))),Первоначальный[[#This Row],[Полученный платеж]]+Y741),
AND(Z741&gt;0,Первоначальный[[#This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платеж]]+Y741),
AND(S741&gt;0,MAX((0&lt;&gt;S$12:S741)*ROW(S$12:S741),ROW($S$12))&gt;=MAX((1=Z$12:Z741)*ROW(Z$12:Z741),ROW($T$12)),TYPE(VLOOKUP("Да",(INDIRECT("AA"&amp;(MAX((1=Z$12:Z741)*ROW(Z$12:Z741),ROW($T$12))&amp;":AA"&amp;(ROW()-1)))),1,0))=16),MIN(LOOKUP(,-1/($Z$12:Z742=1),$C$12:C742)+LOOKUP(,-1/($Z$12:Z742=1),$H$12:H742)-SUM(INDIRECT("T"&amp;(MAX((1=Z$12:Z741)*ROW(Z$12:Z741),ROW($T$12))&amp;":T"&amp;(ROW()-1)))),Первоначальный[[#This Row],[Полученный платеж]]+Y741),
S741&gt;0,MIN(LOOKUP(,-1/($Z$12:Z742=1),$C$12:C742)+LOOKUP(,-1/($Z$12:Z742=1),$H$12:H742)-IF(Z741=1,0,SUM(INDIRECT("T"&amp;(MAX((1=Z$12:Z741)*ROW(Z$12:Z741)+1,ROW($T$12))&amp;":T"&amp;(ROW()-1))))),Первоначальный[[#This Row],[Полученный платеж]]+Y741)
)
)
)</f>
        <v>0</v>
      </c>
      <c r="U74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платеж]]+Y741-Первоначальный[[#This Row],[Полученный платёж по процентам]])</f>
        <v>0</v>
      </c>
      <c r="V742" s="55">
        <f t="shared" ca="1" si="133"/>
        <v>0</v>
      </c>
      <c r="W742" s="55" cm="1">
        <f t="array" aca="1" ref="W742" ca="1">IF(Первоначальный[[#This Row],[Итого остаток на начало периода]]&lt;1,0,
_xlfn.IFS(
AND(TYPE(VLOOKUP(1,$Z$12:Z742,1,0))=16,Первоначальный[[#This Row],[Досрочное погашение (да/"")]]=""),0,
AND(S741=0,Первоначальный[[#This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платеж]]+Y741-SUM(Первоначальный[[#This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комиссиям]]),VLOOKUP(LOOKUP(,-1/($Z$12:Z742=1),$A$12:A742),График[[Срок конец]:[Возврат основной суммы долга]],3,0)),
AND(S741=0,Первоначальный[[#This Row],[Дата платежа из графика]]="",Первоначальный[[#This Row],[Досрочное погашение (да/"")]]&lt;&gt;"Да"),0,
AND(S741=0,Первоначальный[[#This Row],[Досрочное погашение (да/"")]]=""),MIN(Первоначальный[[#This Row],[Полученный платеж]]+Y741-SUM(Первоначальный[[#This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комиссиям]]),VLOOKUP(LOOKUP(,-1/($Z$12:Z742=1),$A$12:A742),График[[Срок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платеж]]+Y741-SUM(Первоначальный[[#This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S741&gt;0,MIN(Первоначальный[[#This Row],[Полученный платеж]]+Y741-SUM(Первоначальный[[#This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комиссиям]]),SUM(INDIRECT("M"&amp;(MAX((1=S$12:S741)*ROW(S$12:S741),ROW($W$12))&amp;":M"&amp;(ROW()))))-SUM(INDIRECT("W"&amp;(MAX((1=S$12:S741)*ROW(S$12:S741),ROW($W$12))&amp;":W"&amp;(ROW()-1)))))
)
)</f>
        <v>0</v>
      </c>
      <c r="X742" s="55">
        <f t="shared" ca="1" si="134"/>
        <v>0</v>
      </c>
      <c r="Y742" s="101">
        <f t="shared" ca="1" si="141"/>
        <v>0</v>
      </c>
      <c r="Z742" s="133" t="str">
        <f>IF(TYPE((VLOOKUP(Первоначальный[[#This Row],[Дата платежа]],График[Срок конец],1,0)))=16,"",1)</f>
        <v/>
      </c>
      <c r="AA742" s="57"/>
      <c r="AB742" s="134"/>
      <c r="AC74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4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52674.310000000056</v>
      </c>
      <c r="AE74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1808.309999999999</v>
      </c>
      <c r="AF74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4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101816.09509180329</v>
      </c>
      <c r="AH742" s="55"/>
      <c r="AI742" s="55"/>
      <c r="AJ742" s="55"/>
      <c r="AK742" s="101">
        <f t="shared" ca="1" si="142"/>
        <v>305932.05509180331</v>
      </c>
      <c r="AL742" s="129">
        <f t="array" ref="AL742">MAX((УслРестрактов[Характеристика]="Дата реструктуризации")*(УслРестрактов[Значение]=Первоначальный!$A742),0)</f>
        <v>0</v>
      </c>
    </row>
    <row r="743" spans="1:38" x14ac:dyDescent="0.25">
      <c r="A743" s="97">
        <f t="shared" si="135"/>
        <v>44874</v>
      </c>
      <c r="B743" s="100">
        <f t="shared" ca="1" si="136"/>
        <v>149633.34</v>
      </c>
      <c r="C743" s="55">
        <f t="shared" ca="1" si="144"/>
        <v>52674.310000000056</v>
      </c>
      <c r="D743" s="55">
        <f t="shared" ca="1" si="144"/>
        <v>1808.309999999999</v>
      </c>
      <c r="E743" s="55">
        <f t="shared" ca="1" si="137"/>
        <v>0</v>
      </c>
      <c r="F743" s="55">
        <f t="shared" ca="1" si="138"/>
        <v>101816.09509180329</v>
      </c>
      <c r="G743" s="101">
        <f t="shared" ca="1" si="139"/>
        <v>305932.05509180331</v>
      </c>
      <c r="H743" s="100">
        <f ca="1">ROUND($B743*VLOOKUP($A743,$A$1:$B$10,2,1)/(365+IF(MOD(YEAR($A743),4),0,1)*($A743-$A742)),2)-Первоначальный[[#This Row],[Проценты на просроченный платеж по ОД за период]]</f>
        <v>75.89</v>
      </c>
      <c r="I743" s="55">
        <f t="shared" ca="1" si="140"/>
        <v>5.69</v>
      </c>
      <c r="J743" s="55">
        <v>0</v>
      </c>
      <c r="K743" s="55">
        <f t="shared" ca="1" si="143"/>
        <v>318.60350327868844</v>
      </c>
      <c r="L743" s="55">
        <v>0</v>
      </c>
      <c r="M743" s="113">
        <f>SUMIFS(График[Возврат основной суммы долга],График[Дата с учетом нерабочих дней],$A743)</f>
        <v>544.25</v>
      </c>
      <c r="N743" s="56">
        <f>SUMIFS(График[Возврат начисленных %],График[Дата с учетом нерабочих дней],$A743)</f>
        <v>2352.75</v>
      </c>
      <c r="O743" s="101">
        <v>0</v>
      </c>
      <c r="P743" s="100" cm="1">
        <f t="array" aca="1" ref="P743" ca="1">MAX(IF(AA742="Да",0,SUM(INDIRECT("M"&amp;(MAX(("Да"=AA$12:AA742)*ROW(AA$12:AA742)+1,ROW($P$12))&amp;":M"&amp;(ROW()))))-SUM(INDIRECT("W"&amp;(MAX(("Да"=AA$12:AA742)*ROW(AA$12:AA742)+1,ROW($P$12))&amp;":W"&amp;(ROW()))))),0)</f>
        <v>10972.839999999998</v>
      </c>
      <c r="Q743" s="99">
        <f ca="1">MAX(SUM($N$13:N743)-SUM($T$13:T743),0)</f>
        <v>52747.860655737692</v>
      </c>
      <c r="R743" s="99">
        <f ca="1">Первоначальный[[#This Row],[Просроченный платеж по ОД]]+Первоначальный[[#This Row],[Просроченный платеж по процентам]]</f>
        <v>63720.700655737688</v>
      </c>
      <c r="S743" s="120">
        <f ca="1">IF(Первоначальный[[#This Row],[Просроченный платеж]]&lt;1,0,S742+1)</f>
        <v>639</v>
      </c>
      <c r="T743" s="100" cm="1">
        <f t="array" aca="1" ref="T743" ca="1">IF(Первоначальный[[#This Row],[Итого остаток на начало периода]]&lt;1,0,
IF(
AND(TYPE(VLOOKUP(1,$Z$12:Z743,1,0))=16,Первоначальный[[#This Row],[Досрочное погашение (да/"")]]=""),0,
_xlfn.IFS(AND(S742=0,Первоначальный[[#This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платеж]]&lt;&gt;0),MIN(LOOKUP(,-1/($Z$12:Z743=1),$C$12:C743)+LOOKUP(,-1/($Z$12:Z743=1),$H$12:H743),Первоначальный[[#This Row],[Полученный платеж]]+Y742),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платеж]]+Y742,SUM(Первоначальный[[#This Row],[Остаток процентов на начало периода]],Первоначальный[[#This Row],[Проценты за период]])),
AND(S742=0,Первоначальный[[#This Row],[Дата платежа из графика]]=""),0,
AND(S742=0,Первоначальный[[#This Row],[Дата платежа из графика]]=1,MAX((0&lt;&gt;S$12:S742)*ROW(S$12:S742),ROW($S$12))&gt;=MAX((1=Z$12:Z742)*ROW(Z$12:Z742),ROW($T$12)),TYPE(VLOOKUP("Да",(INDIRECT("AA"&amp;(MAX((1=Z$12:Z742)*ROW(Z$12:Z742),ROW($T$12))&amp;":AA"&amp;(ROW()-1)))),1,0))=16),MIN(LOOKUP(,-1/($Z$12:Z743=1),$C$12:C743)+LOOKUP(,-1/($Z$12:Z743=1),$H$12:H743),Первоначальный[[#This Row],[Полученный платеж]]+Y742),
AND(S742=0,TYPE(VLOOKUP("Да",(INDIRECT("AA"&amp;(MAX((1=Z$12:Z742)*ROW(Z$12:Z742),ROW($T$12))&amp;":AA"&amp;(ROW()-1)))),1,0))&lt;&gt;16),MIN(LOOKUP(,-1/($Z$12:Z743=1),$C$12:C743)+LOOKUP(,-1/($Z$12:Z743=1),$H$12:H743)-IF(AA742="Да",0,SUM(INDIRECT("T"&amp;(MAX(("Да"=AA$12:AA742)*ROW(AA$12:AA742)+1,ROW($T$12))&amp;":T"&amp;(ROW()-1))))),Первоначальный[[#This Row],[Полученный платеж]]+Y742),
AND(S742=0,MAX((0&lt;&gt;N$12:N742)*ROW(N$12:N742),ROW($S$12))&gt;=MAX((1=Z$12:Z742)*ROW(Z$12:Z742),ROW($T$12))),MIN(LOOKUP(,-1/($Z$12:Z743=1),$C$12:C743)+LOOKUP(,-1/($Z$12:Z743=1),$H$12:H743)-IF(N742&lt;&gt;0,0,SUM(INDIRECT("T"&amp;(MAX((0&lt;&gt;N$12:N742)*ROW(N$12:N742)+1,ROW($T$12))&amp;":T"&amp;(ROW()-1))))),Первоначальный[[#This Row],[Полученный платеж]]+Y742),
AND(S742=0,Первоначальный[[#This Row],[Дата платежа из графика]]=1),MIN(LOOKUP(,-1/($Z$12:Z743=1),$C$12:C743)+LOOKUP(,-1/($Z$12:Z743=1),$H$12:H743)-IF(Z742=1,0,SUM(INDIRECT("T"&amp;(MAX((1=Z$12:Z742)*ROW(Z$12:Z742)+1,ROW($T$12))&amp;":T"&amp;(ROW()-1))))),Первоначальный[[#This Row],[Полученный платеж]]+Y742),
AND(Z742&gt;0,Первоначальный[[#This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платеж]]+Y742),
AND(S742&gt;0,MAX((0&lt;&gt;S$12:S742)*ROW(S$12:S742),ROW($S$12))&gt;=MAX((1=Z$12:Z742)*ROW(Z$12:Z742),ROW($T$12)),TYPE(VLOOKUP("Да",(INDIRECT("AA"&amp;(MAX((1=Z$12:Z742)*ROW(Z$12:Z742),ROW($T$12))&amp;":AA"&amp;(ROW()-1)))),1,0))=16),MIN(LOOKUP(,-1/($Z$12:Z743=1),$C$12:C743)+LOOKUP(,-1/($Z$12:Z743=1),$H$12:H743)-SUM(INDIRECT("T"&amp;(MAX((1=Z$12:Z742)*ROW(Z$12:Z742),ROW($T$12))&amp;":T"&amp;(ROW()-1)))),Первоначальный[[#This Row],[Полученный платеж]]+Y742),
S742&gt;0,MIN(LOOKUP(,-1/($Z$12:Z743=1),$C$12:C743)+LOOKUP(,-1/($Z$12:Z743=1),$H$12:H743)-IF(Z742=1,0,SUM(INDIRECT("T"&amp;(MAX((1=Z$12:Z742)*ROW(Z$12:Z742)+1,ROW($T$12))&amp;":T"&amp;(ROW()-1))))),Первоначальный[[#This Row],[Полученный платеж]]+Y742)
)
)
)</f>
        <v>0</v>
      </c>
      <c r="U74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платеж]]+Y742-Первоначальный[[#This Row],[Полученный платёж по процентам]])</f>
        <v>0</v>
      </c>
      <c r="V743" s="55">
        <f t="shared" ca="1" si="133"/>
        <v>0</v>
      </c>
      <c r="W743" s="55" cm="1">
        <f t="array" aca="1" ref="W743" ca="1">IF(Первоначальный[[#This Row],[Итого остаток на начало периода]]&lt;1,0,
_xlfn.IFS(
AND(TYPE(VLOOKUP(1,$Z$12:Z743,1,0))=16,Первоначальный[[#This Row],[Досрочное погашение (да/"")]]=""),0,
AND(S742=0,Первоначальный[[#This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платеж]]+Y742-SUM(Первоначальный[[#This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комиссиям]]),VLOOKUP(LOOKUP(,-1/($Z$12:Z743=1),$A$12:A743),График[[Срок конец]:[Возврат основной суммы долга]],3,0)),
AND(S742=0,Первоначальный[[#This Row],[Дата платежа из графика]]="",Первоначальный[[#This Row],[Досрочное погашение (да/"")]]&lt;&gt;"Да"),0,
AND(S742=0,Первоначальный[[#This Row],[Досрочное погашение (да/"")]]=""),MIN(Первоначальный[[#This Row],[Полученный платеж]]+Y742-SUM(Первоначальный[[#This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комиссиям]]),VLOOKUP(LOOKUP(,-1/($Z$12:Z743=1),$A$12:A743),График[[Срок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платеж]]+Y742-SUM(Первоначальный[[#This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S742&gt;0,MIN(Первоначальный[[#This Row],[Полученный платеж]]+Y742-SUM(Первоначальный[[#This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комиссиям]]),SUM(INDIRECT("M"&amp;(MAX((1=S$12:S742)*ROW(S$12:S742),ROW($W$12))&amp;":M"&amp;(ROW()))))-SUM(INDIRECT("W"&amp;(MAX((1=S$12:S742)*ROW(S$12:S742),ROW($W$12))&amp;":W"&amp;(ROW()-1)))))
)
)</f>
        <v>0</v>
      </c>
      <c r="X743" s="55">
        <f t="shared" ca="1" si="134"/>
        <v>0</v>
      </c>
      <c r="Y743" s="101">
        <f t="shared" ca="1" si="141"/>
        <v>0</v>
      </c>
      <c r="Z743" s="133">
        <f>IF(TYPE((VLOOKUP(Первоначальный[[#This Row],[Дата платежа]],График[Срок конец],1,0)))=16,"",1)</f>
        <v>1</v>
      </c>
      <c r="AA743" s="57"/>
      <c r="AB743" s="134"/>
      <c r="AC74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4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52750.200000000055</v>
      </c>
      <c r="AE74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1813.9999999999991</v>
      </c>
      <c r="AF74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4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102134.69859508198</v>
      </c>
      <c r="AH743" s="55"/>
      <c r="AI743" s="55"/>
      <c r="AJ743" s="55"/>
      <c r="AK743" s="101">
        <f t="shared" ca="1" si="142"/>
        <v>306332.23859508202</v>
      </c>
      <c r="AL743" s="129">
        <f t="array" ref="AL743">MAX((УслРестрактов[Характеристика]="Дата реструктуризации")*(УслРестрактов[Значение]=Первоначальный!$A743),0)</f>
        <v>0</v>
      </c>
    </row>
    <row r="744" spans="1:38" x14ac:dyDescent="0.25">
      <c r="A744" s="97">
        <f t="shared" si="135"/>
        <v>44875</v>
      </c>
      <c r="B744" s="100">
        <f t="shared" ca="1" si="136"/>
        <v>149633.34</v>
      </c>
      <c r="C744" s="55">
        <f t="shared" ca="1" si="144"/>
        <v>52750.200000000055</v>
      </c>
      <c r="D744" s="55">
        <f t="shared" ca="1" si="144"/>
        <v>1813.9999999999991</v>
      </c>
      <c r="E744" s="55">
        <f t="shared" ca="1" si="137"/>
        <v>0</v>
      </c>
      <c r="F744" s="55">
        <f t="shared" ca="1" si="138"/>
        <v>102134.69859508198</v>
      </c>
      <c r="G744" s="101">
        <f t="shared" ca="1" si="139"/>
        <v>306332.23859508202</v>
      </c>
      <c r="H744" s="100">
        <f ca="1">ROUND($B744*VLOOKUP($A744,$A$1:$B$10,2,1)/(365+IF(MOD(YEAR($A744),4),0,1)*($A744-$A743)),2)-Первоначальный[[#This Row],[Проценты на просроченный платеж по ОД за период]]</f>
        <v>75.599999999999994</v>
      </c>
      <c r="I744" s="55">
        <f t="shared" ca="1" si="140"/>
        <v>5.98</v>
      </c>
      <c r="J744" s="55">
        <v>0</v>
      </c>
      <c r="K744" s="55">
        <f t="shared" ca="1" si="143"/>
        <v>318.60350327868844</v>
      </c>
      <c r="L744" s="55">
        <v>0</v>
      </c>
      <c r="M744" s="113">
        <f>SUMIFS(График[Возврат основной суммы долга],График[Дата с учетом нерабочих дней],$A744)</f>
        <v>0</v>
      </c>
      <c r="N744" s="56">
        <f>SUMIFS(График[Возврат начисленных %],График[Дата с учетом нерабочих дней],$A744)</f>
        <v>0</v>
      </c>
      <c r="O744" s="101">
        <v>0</v>
      </c>
      <c r="P744" s="100" cm="1">
        <f t="array" aca="1" ref="P744" ca="1">MAX(IF(AA743="Да",0,SUM(INDIRECT("M"&amp;(MAX(("Да"=AA$12:AA743)*ROW(AA$12:AA743)+1,ROW($P$12))&amp;":M"&amp;(ROW()))))-SUM(INDIRECT("W"&amp;(MAX(("Да"=AA$12:AA743)*ROW(AA$12:AA743)+1,ROW($P$12))&amp;":W"&amp;(ROW()))))),0)</f>
        <v>10972.839999999998</v>
      </c>
      <c r="Q744" s="99">
        <f ca="1">MAX(SUM($N$13:N744)-SUM($T$13:T744),0)</f>
        <v>52747.860655737692</v>
      </c>
      <c r="R744" s="99">
        <f ca="1">Первоначальный[[#This Row],[Просроченный платеж по ОД]]+Первоначальный[[#This Row],[Просроченный платеж по процентам]]</f>
        <v>63720.700655737688</v>
      </c>
      <c r="S744" s="120">
        <f ca="1">IF(Первоначальный[[#This Row],[Просроченный платеж]]&lt;1,0,S743+1)</f>
        <v>640</v>
      </c>
      <c r="T744" s="100" cm="1">
        <f t="array" aca="1" ref="T744" ca="1">IF(Первоначальный[[#This Row],[Итого остаток на начало периода]]&lt;1,0,
IF(
AND(TYPE(VLOOKUP(1,$Z$12:Z744,1,0))=16,Первоначальный[[#This Row],[Досрочное погашение (да/"")]]=""),0,
_xlfn.IFS(AND(S743=0,Первоначальный[[#This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платеж]]&lt;&gt;0),MIN(LOOKUP(,-1/($Z$12:Z744=1),$C$12:C744)+LOOKUP(,-1/($Z$12:Z744=1),$H$12:H744),Первоначальный[[#This Row],[Полученный платеж]]+Y743),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платеж]]+Y743,SUM(Первоначальный[[#This Row],[Остаток процентов на начало периода]],Первоначальный[[#This Row],[Проценты за период]])),
AND(S743=0,Первоначальный[[#This Row],[Дата платежа из графика]]=""),0,
AND(S743=0,Первоначальный[[#This Row],[Дата платежа из графика]]=1,MAX((0&lt;&gt;S$12:S743)*ROW(S$12:S743),ROW($S$12))&gt;=MAX((1=Z$12:Z743)*ROW(Z$12:Z743),ROW($T$12)),TYPE(VLOOKUP("Да",(INDIRECT("AA"&amp;(MAX((1=Z$12:Z743)*ROW(Z$12:Z743),ROW($T$12))&amp;":AA"&amp;(ROW()-1)))),1,0))=16),MIN(LOOKUP(,-1/($Z$12:Z744=1),$C$12:C744)+LOOKUP(,-1/($Z$12:Z744=1),$H$12:H744),Первоначальный[[#This Row],[Полученный платеж]]+Y743),
AND(S743=0,TYPE(VLOOKUP("Да",(INDIRECT("AA"&amp;(MAX((1=Z$12:Z743)*ROW(Z$12:Z743),ROW($T$12))&amp;":AA"&amp;(ROW()-1)))),1,0))&lt;&gt;16),MIN(LOOKUP(,-1/($Z$12:Z744=1),$C$12:C744)+LOOKUP(,-1/($Z$12:Z744=1),$H$12:H744)-IF(AA743="Да",0,SUM(INDIRECT("T"&amp;(MAX(("Да"=AA$12:AA743)*ROW(AA$12:AA743)+1,ROW($T$12))&amp;":T"&amp;(ROW()-1))))),Первоначальный[[#This Row],[Полученный платеж]]+Y743),
AND(S743=0,MAX((0&lt;&gt;N$12:N743)*ROW(N$12:N743),ROW($S$12))&gt;=MAX((1=Z$12:Z743)*ROW(Z$12:Z743),ROW($T$12))),MIN(LOOKUP(,-1/($Z$12:Z744=1),$C$12:C744)+LOOKUP(,-1/($Z$12:Z744=1),$H$12:H744)-IF(N743&lt;&gt;0,0,SUM(INDIRECT("T"&amp;(MAX((0&lt;&gt;N$12:N743)*ROW(N$12:N743)+1,ROW($T$12))&amp;":T"&amp;(ROW()-1))))),Первоначальный[[#This Row],[Полученный платеж]]+Y743),
AND(S743=0,Первоначальный[[#This Row],[Дата платежа из графика]]=1),MIN(LOOKUP(,-1/($Z$12:Z744=1),$C$12:C744)+LOOKUP(,-1/($Z$12:Z744=1),$H$12:H744)-IF(Z743=1,0,SUM(INDIRECT("T"&amp;(MAX((1=Z$12:Z743)*ROW(Z$12:Z743)+1,ROW($T$12))&amp;":T"&amp;(ROW()-1))))),Первоначальный[[#This Row],[Полученный платеж]]+Y743),
AND(Z743&gt;0,Первоначальный[[#This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платеж]]+Y743),
AND(S743&gt;0,MAX((0&lt;&gt;S$12:S743)*ROW(S$12:S743),ROW($S$12))&gt;=MAX((1=Z$12:Z743)*ROW(Z$12:Z743),ROW($T$12)),TYPE(VLOOKUP("Да",(INDIRECT("AA"&amp;(MAX((1=Z$12:Z743)*ROW(Z$12:Z743),ROW($T$12))&amp;":AA"&amp;(ROW()-1)))),1,0))=16),MIN(LOOKUP(,-1/($Z$12:Z744=1),$C$12:C744)+LOOKUP(,-1/($Z$12:Z744=1),$H$12:H744)-SUM(INDIRECT("T"&amp;(MAX((1=Z$12:Z743)*ROW(Z$12:Z743),ROW($T$12))&amp;":T"&amp;(ROW()-1)))),Первоначальный[[#This Row],[Полученный платеж]]+Y743),
S743&gt;0,MIN(LOOKUP(,-1/($Z$12:Z744=1),$C$12:C744)+LOOKUP(,-1/($Z$12:Z744=1),$H$12:H744)-IF(Z743=1,0,SUM(INDIRECT("T"&amp;(MAX((1=Z$12:Z743)*ROW(Z$12:Z743)+1,ROW($T$12))&amp;":T"&amp;(ROW()-1))))),Первоначальный[[#This Row],[Полученный платеж]]+Y743)
)
)
)</f>
        <v>0</v>
      </c>
      <c r="U74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платеж]]+Y743-Первоначальный[[#This Row],[Полученный платёж по процентам]])</f>
        <v>0</v>
      </c>
      <c r="V744" s="55">
        <f t="shared" ca="1" si="133"/>
        <v>0</v>
      </c>
      <c r="W744" s="55" cm="1">
        <f t="array" aca="1" ref="W744" ca="1">IF(Первоначальный[[#This Row],[Итого остаток на начало периода]]&lt;1,0,
_xlfn.IFS(
AND(TYPE(VLOOKUP(1,$Z$12:Z744,1,0))=16,Первоначальный[[#This Row],[Досрочное погашение (да/"")]]=""),0,
AND(S743=0,Первоначальный[[#This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платеж]]+Y743-SUM(Первоначальный[[#This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комиссиям]]),VLOOKUP(LOOKUP(,-1/($Z$12:Z744=1),$A$12:A744),График[[Срок конец]:[Возврат основной суммы долга]],3,0)),
AND(S743=0,Первоначальный[[#This Row],[Дата платежа из графика]]="",Первоначальный[[#This Row],[Досрочное погашение (да/"")]]&lt;&gt;"Да"),0,
AND(S743=0,Первоначальный[[#This Row],[Досрочное погашение (да/"")]]=""),MIN(Первоначальный[[#This Row],[Полученный платеж]]+Y743-SUM(Первоначальный[[#This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комиссиям]]),VLOOKUP(LOOKUP(,-1/($Z$12:Z744=1),$A$12:A744),График[[Срок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платеж]]+Y743-SUM(Первоначальный[[#This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S743&gt;0,MIN(Первоначальный[[#This Row],[Полученный платеж]]+Y743-SUM(Первоначальный[[#This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комиссиям]]),SUM(INDIRECT("M"&amp;(MAX((1=S$12:S743)*ROW(S$12:S743),ROW($W$12))&amp;":M"&amp;(ROW()))))-SUM(INDIRECT("W"&amp;(MAX((1=S$12:S743)*ROW(S$12:S743),ROW($W$12))&amp;":W"&amp;(ROW()-1)))))
)
)</f>
        <v>0</v>
      </c>
      <c r="X744" s="55">
        <f t="shared" ca="1" si="134"/>
        <v>0</v>
      </c>
      <c r="Y744" s="101">
        <f t="shared" ca="1" si="141"/>
        <v>0</v>
      </c>
      <c r="Z744" s="133" t="str">
        <f>IF(TYPE((VLOOKUP(Первоначальный[[#This Row],[Дата платежа]],График[Срок конец],1,0)))=16,"",1)</f>
        <v/>
      </c>
      <c r="AA744" s="57"/>
      <c r="AB744" s="134"/>
      <c r="AC74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4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52825.800000000054</v>
      </c>
      <c r="AE74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1819.9799999999991</v>
      </c>
      <c r="AF74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4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102453.30209836067</v>
      </c>
      <c r="AH744" s="55"/>
      <c r="AI744" s="55"/>
      <c r="AJ744" s="55"/>
      <c r="AK744" s="101">
        <f t="shared" ca="1" si="142"/>
        <v>306732.42209836072</v>
      </c>
      <c r="AL744" s="129">
        <f t="array" ref="AL744">MAX((УслРестрактов[Характеристика]="Дата реструктуризации")*(УслРестрактов[Значение]=Первоначальный!$A744),0)</f>
        <v>0</v>
      </c>
    </row>
    <row r="745" spans="1:38" x14ac:dyDescent="0.25">
      <c r="A745" s="97">
        <f t="shared" si="135"/>
        <v>44876</v>
      </c>
      <c r="B745" s="100">
        <f t="shared" ca="1" si="136"/>
        <v>149633.34</v>
      </c>
      <c r="C745" s="55">
        <f t="shared" ca="1" si="144"/>
        <v>52825.800000000054</v>
      </c>
      <c r="D745" s="55">
        <f t="shared" ca="1" si="144"/>
        <v>1819.9799999999991</v>
      </c>
      <c r="E745" s="55">
        <f t="shared" ca="1" si="137"/>
        <v>0</v>
      </c>
      <c r="F745" s="55">
        <f t="shared" ca="1" si="138"/>
        <v>102453.30209836067</v>
      </c>
      <c r="G745" s="101">
        <f t="shared" ca="1" si="139"/>
        <v>306732.42209836072</v>
      </c>
      <c r="H745" s="100">
        <f ca="1">ROUND($B745*VLOOKUP($A745,$A$1:$B$10,2,1)/(365+IF(MOD(YEAR($A745),4),0,1)*($A745-$A744)),2)-Первоначальный[[#This Row],[Проценты на просроченный платеж по ОД за период]]</f>
        <v>75.599999999999994</v>
      </c>
      <c r="I745" s="55">
        <f t="shared" ca="1" si="140"/>
        <v>5.98</v>
      </c>
      <c r="J745" s="55">
        <v>0</v>
      </c>
      <c r="K745" s="55">
        <f t="shared" ca="1" si="143"/>
        <v>318.60350327868844</v>
      </c>
      <c r="L745" s="55">
        <v>0</v>
      </c>
      <c r="M745" s="113">
        <f>SUMIFS(График[Возврат основной суммы долга],График[Дата с учетом нерабочих дней],$A745)</f>
        <v>0</v>
      </c>
      <c r="N745" s="56">
        <f>SUMIFS(График[Возврат начисленных %],График[Дата с учетом нерабочих дней],$A745)</f>
        <v>0</v>
      </c>
      <c r="O745" s="101">
        <v>0</v>
      </c>
      <c r="P745" s="100" cm="1">
        <f t="array" aca="1" ref="P745" ca="1">MAX(IF(AA744="Да",0,SUM(INDIRECT("M"&amp;(MAX(("Да"=AA$12:AA744)*ROW(AA$12:AA744)+1,ROW($P$12))&amp;":M"&amp;(ROW()))))-SUM(INDIRECT("W"&amp;(MAX(("Да"=AA$12:AA744)*ROW(AA$12:AA744)+1,ROW($P$12))&amp;":W"&amp;(ROW()))))),0)</f>
        <v>10972.839999999998</v>
      </c>
      <c r="Q745" s="99">
        <f ca="1">MAX(SUM($N$13:N745)-SUM($T$13:T745),0)</f>
        <v>52747.860655737692</v>
      </c>
      <c r="R745" s="99">
        <f ca="1">Первоначальный[[#This Row],[Просроченный платеж по ОД]]+Первоначальный[[#This Row],[Просроченный платеж по процентам]]</f>
        <v>63720.700655737688</v>
      </c>
      <c r="S745" s="120">
        <f ca="1">IF(Первоначальный[[#This Row],[Просроченный платеж]]&lt;1,0,S744+1)</f>
        <v>641</v>
      </c>
      <c r="T745" s="100" cm="1">
        <f t="array" aca="1" ref="T745" ca="1">IF(Первоначальный[[#This Row],[Итого остаток на начало периода]]&lt;1,0,
IF(
AND(TYPE(VLOOKUP(1,$Z$12:Z745,1,0))=16,Первоначальный[[#This Row],[Досрочное погашение (да/"")]]=""),0,
_xlfn.IFS(AND(S744=0,Первоначальный[[#This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платеж]]&lt;&gt;0),MIN(LOOKUP(,-1/($Z$12:Z745=1),$C$12:C745)+LOOKUP(,-1/($Z$12:Z745=1),$H$12:H745),Первоначальный[[#This Row],[Полученный платеж]]+Y744),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платеж]]+Y744,SUM(Первоначальный[[#This Row],[Остаток процентов на начало периода]],Первоначальный[[#This Row],[Проценты за период]])),
AND(S744=0,Первоначальный[[#This Row],[Дата платежа из графика]]=""),0,
AND(S744=0,Первоначальный[[#This Row],[Дата платежа из графика]]=1,MAX((0&lt;&gt;S$12:S744)*ROW(S$12:S744),ROW($S$12))&gt;=MAX((1=Z$12:Z744)*ROW(Z$12:Z744),ROW($T$12)),TYPE(VLOOKUP("Да",(INDIRECT("AA"&amp;(MAX((1=Z$12:Z744)*ROW(Z$12:Z744),ROW($T$12))&amp;":AA"&amp;(ROW()-1)))),1,0))=16),MIN(LOOKUP(,-1/($Z$12:Z745=1),$C$12:C745)+LOOKUP(,-1/($Z$12:Z745=1),$H$12:H745),Первоначальный[[#This Row],[Полученный платеж]]+Y744),
AND(S744=0,TYPE(VLOOKUP("Да",(INDIRECT("AA"&amp;(MAX((1=Z$12:Z744)*ROW(Z$12:Z744),ROW($T$12))&amp;":AA"&amp;(ROW()-1)))),1,0))&lt;&gt;16),MIN(LOOKUP(,-1/($Z$12:Z745=1),$C$12:C745)+LOOKUP(,-1/($Z$12:Z745=1),$H$12:H745)-IF(AA744="Да",0,SUM(INDIRECT("T"&amp;(MAX(("Да"=AA$12:AA744)*ROW(AA$12:AA744)+1,ROW($T$12))&amp;":T"&amp;(ROW()-1))))),Первоначальный[[#This Row],[Полученный платеж]]+Y744),
AND(S744=0,MAX((0&lt;&gt;N$12:N744)*ROW(N$12:N744),ROW($S$12))&gt;=MAX((1=Z$12:Z744)*ROW(Z$12:Z744),ROW($T$12))),MIN(LOOKUP(,-1/($Z$12:Z745=1),$C$12:C745)+LOOKUP(,-1/($Z$12:Z745=1),$H$12:H745)-IF(N744&lt;&gt;0,0,SUM(INDIRECT("T"&amp;(MAX((0&lt;&gt;N$12:N744)*ROW(N$12:N744)+1,ROW($T$12))&amp;":T"&amp;(ROW()-1))))),Первоначальный[[#This Row],[Полученный платеж]]+Y744),
AND(S744=0,Первоначальный[[#This Row],[Дата платежа из графика]]=1),MIN(LOOKUP(,-1/($Z$12:Z745=1),$C$12:C745)+LOOKUP(,-1/($Z$12:Z745=1),$H$12:H745)-IF(Z744=1,0,SUM(INDIRECT("T"&amp;(MAX((1=Z$12:Z744)*ROW(Z$12:Z744)+1,ROW($T$12))&amp;":T"&amp;(ROW()-1))))),Первоначальный[[#This Row],[Полученный платеж]]+Y744),
AND(Z744&gt;0,Первоначальный[[#This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платеж]]+Y744),
AND(S744&gt;0,MAX((0&lt;&gt;S$12:S744)*ROW(S$12:S744),ROW($S$12))&gt;=MAX((1=Z$12:Z744)*ROW(Z$12:Z744),ROW($T$12)),TYPE(VLOOKUP("Да",(INDIRECT("AA"&amp;(MAX((1=Z$12:Z744)*ROW(Z$12:Z744),ROW($T$12))&amp;":AA"&amp;(ROW()-1)))),1,0))=16),MIN(LOOKUP(,-1/($Z$12:Z745=1),$C$12:C745)+LOOKUP(,-1/($Z$12:Z745=1),$H$12:H745)-SUM(INDIRECT("T"&amp;(MAX((1=Z$12:Z744)*ROW(Z$12:Z744),ROW($T$12))&amp;":T"&amp;(ROW()-1)))),Первоначальный[[#This Row],[Полученный платеж]]+Y744),
S744&gt;0,MIN(LOOKUP(,-1/($Z$12:Z745=1),$C$12:C745)+LOOKUP(,-1/($Z$12:Z745=1),$H$12:H745)-IF(Z744=1,0,SUM(INDIRECT("T"&amp;(MAX((1=Z$12:Z744)*ROW(Z$12:Z744)+1,ROW($T$12))&amp;":T"&amp;(ROW()-1))))),Первоначальный[[#This Row],[Полученный платеж]]+Y744)
)
)
)</f>
        <v>0</v>
      </c>
      <c r="U74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платеж]]+Y744-Первоначальный[[#This Row],[Полученный платёж по процентам]])</f>
        <v>0</v>
      </c>
      <c r="V745" s="55">
        <f t="shared" ca="1" si="133"/>
        <v>0</v>
      </c>
      <c r="W745" s="55" cm="1">
        <f t="array" aca="1" ref="W745" ca="1">IF(Первоначальный[[#This Row],[Итого остаток на начало периода]]&lt;1,0,
_xlfn.IFS(
AND(TYPE(VLOOKUP(1,$Z$12:Z745,1,0))=16,Первоначальный[[#This Row],[Досрочное погашение (да/"")]]=""),0,
AND(S744=0,Первоначальный[[#This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платеж]]+Y744-SUM(Первоначальный[[#This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комиссиям]]),VLOOKUP(LOOKUP(,-1/($Z$12:Z745=1),$A$12:A745),График[[Срок конец]:[Возврат основной суммы долга]],3,0)),
AND(S744=0,Первоначальный[[#This Row],[Дата платежа из графика]]="",Первоначальный[[#This Row],[Досрочное погашение (да/"")]]&lt;&gt;"Да"),0,
AND(S744=0,Первоначальный[[#This Row],[Досрочное погашение (да/"")]]=""),MIN(Первоначальный[[#This Row],[Полученный платеж]]+Y744-SUM(Первоначальный[[#This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комиссиям]]),VLOOKUP(LOOKUP(,-1/($Z$12:Z745=1),$A$12:A745),График[[Срок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платеж]]+Y744-SUM(Первоначальный[[#This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S744&gt;0,MIN(Первоначальный[[#This Row],[Полученный платеж]]+Y744-SUM(Первоначальный[[#This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комиссиям]]),SUM(INDIRECT("M"&amp;(MAX((1=S$12:S744)*ROW(S$12:S744),ROW($W$12))&amp;":M"&amp;(ROW()))))-SUM(INDIRECT("W"&amp;(MAX((1=S$12:S744)*ROW(S$12:S744),ROW($W$12))&amp;":W"&amp;(ROW()-1)))))
)
)</f>
        <v>0</v>
      </c>
      <c r="X745" s="55">
        <f t="shared" ca="1" si="134"/>
        <v>0</v>
      </c>
      <c r="Y745" s="101">
        <f t="shared" ca="1" si="141"/>
        <v>0</v>
      </c>
      <c r="Z745" s="133" t="str">
        <f>IF(TYPE((VLOOKUP(Первоначальный[[#This Row],[Дата платежа]],График[Срок конец],1,0)))=16,"",1)</f>
        <v/>
      </c>
      <c r="AA745" s="57"/>
      <c r="AB745" s="134"/>
      <c r="AC74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4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52901.400000000052</v>
      </c>
      <c r="AE74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1825.9599999999991</v>
      </c>
      <c r="AF74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4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102771.90560163936</v>
      </c>
      <c r="AH745" s="55"/>
      <c r="AI745" s="55"/>
      <c r="AJ745" s="55"/>
      <c r="AK745" s="101">
        <f t="shared" ca="1" si="142"/>
        <v>307132.60560163937</v>
      </c>
      <c r="AL745" s="129">
        <f t="array" ref="AL745">MAX((УслРестрактов[Характеристика]="Дата реструктуризации")*(УслРестрактов[Значение]=Первоначальный!$A745),0)</f>
        <v>0</v>
      </c>
    </row>
    <row r="746" spans="1:38" x14ac:dyDescent="0.25">
      <c r="A746" s="97">
        <f t="shared" si="135"/>
        <v>44877</v>
      </c>
      <c r="B746" s="100">
        <f t="shared" ca="1" si="136"/>
        <v>149633.34</v>
      </c>
      <c r="C746" s="55">
        <f t="shared" ca="1" si="144"/>
        <v>52901.400000000052</v>
      </c>
      <c r="D746" s="55">
        <f t="shared" ca="1" si="144"/>
        <v>1825.9599999999991</v>
      </c>
      <c r="E746" s="55">
        <f t="shared" ca="1" si="137"/>
        <v>0</v>
      </c>
      <c r="F746" s="55">
        <f t="shared" ca="1" si="138"/>
        <v>102771.90560163936</v>
      </c>
      <c r="G746" s="101">
        <f t="shared" ca="1" si="139"/>
        <v>307132.60560163937</v>
      </c>
      <c r="H746" s="100">
        <f ca="1">ROUND($B746*VLOOKUP($A746,$A$1:$B$10,2,1)/(365+IF(MOD(YEAR($A746),4),0,1)*($A746-$A745)),2)-Первоначальный[[#This Row],[Проценты на просроченный платеж по ОД за период]]</f>
        <v>75.599999999999994</v>
      </c>
      <c r="I746" s="55">
        <f t="shared" ca="1" si="140"/>
        <v>5.98</v>
      </c>
      <c r="J746" s="55">
        <v>0</v>
      </c>
      <c r="K746" s="55">
        <f t="shared" ca="1" si="143"/>
        <v>318.60350327868844</v>
      </c>
      <c r="L746" s="55">
        <v>0</v>
      </c>
      <c r="M746" s="113">
        <f>SUMIFS(График[Возврат основной суммы долга],График[Дата с учетом нерабочих дней],$A746)</f>
        <v>0</v>
      </c>
      <c r="N746" s="56">
        <f>SUMIFS(График[Возврат начисленных %],График[Дата с учетом нерабочих дней],$A746)</f>
        <v>0</v>
      </c>
      <c r="O746" s="101">
        <v>0</v>
      </c>
      <c r="P746" s="100" cm="1">
        <f t="array" aca="1" ref="P746" ca="1">MAX(IF(AA745="Да",0,SUM(INDIRECT("M"&amp;(MAX(("Да"=AA$12:AA745)*ROW(AA$12:AA745)+1,ROW($P$12))&amp;":M"&amp;(ROW()))))-SUM(INDIRECT("W"&amp;(MAX(("Да"=AA$12:AA745)*ROW(AA$12:AA745)+1,ROW($P$12))&amp;":W"&amp;(ROW()))))),0)</f>
        <v>10972.839999999998</v>
      </c>
      <c r="Q746" s="99">
        <f ca="1">MAX(SUM($N$13:N746)-SUM($T$13:T746),0)</f>
        <v>52747.860655737692</v>
      </c>
      <c r="R746" s="99">
        <f ca="1">Первоначальный[[#This Row],[Просроченный платеж по ОД]]+Первоначальный[[#This Row],[Просроченный платеж по процентам]]</f>
        <v>63720.700655737688</v>
      </c>
      <c r="S746" s="120">
        <f ca="1">IF(Первоначальный[[#This Row],[Просроченный платеж]]&lt;1,0,S745+1)</f>
        <v>642</v>
      </c>
      <c r="T746" s="100" cm="1">
        <f t="array" aca="1" ref="T746" ca="1">IF(Первоначальный[[#This Row],[Итого остаток на начало периода]]&lt;1,0,
IF(
AND(TYPE(VLOOKUP(1,$Z$12:Z746,1,0))=16,Первоначальный[[#This Row],[Досрочное погашение (да/"")]]=""),0,
_xlfn.IFS(AND(S745=0,Первоначальный[[#This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платеж]]&lt;&gt;0),MIN(LOOKUP(,-1/($Z$12:Z746=1),$C$12:C746)+LOOKUP(,-1/($Z$12:Z746=1),$H$12:H746),Первоначальный[[#This Row],[Полученный платеж]]+Y745),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платеж]]+Y745,SUM(Первоначальный[[#This Row],[Остаток процентов на начало периода]],Первоначальный[[#This Row],[Проценты за период]])),
AND(S745=0,Первоначальный[[#This Row],[Дата платежа из графика]]=""),0,
AND(S745=0,Первоначальный[[#This Row],[Дата платежа из графика]]=1,MAX((0&lt;&gt;S$12:S745)*ROW(S$12:S745),ROW($S$12))&gt;=MAX((1=Z$12:Z745)*ROW(Z$12:Z745),ROW($T$12)),TYPE(VLOOKUP("Да",(INDIRECT("AA"&amp;(MAX((1=Z$12:Z745)*ROW(Z$12:Z745),ROW($T$12))&amp;":AA"&amp;(ROW()-1)))),1,0))=16),MIN(LOOKUP(,-1/($Z$12:Z746=1),$C$12:C746)+LOOKUP(,-1/($Z$12:Z746=1),$H$12:H746),Первоначальный[[#This Row],[Полученный платеж]]+Y745),
AND(S745=0,TYPE(VLOOKUP("Да",(INDIRECT("AA"&amp;(MAX((1=Z$12:Z745)*ROW(Z$12:Z745),ROW($T$12))&amp;":AA"&amp;(ROW()-1)))),1,0))&lt;&gt;16),MIN(LOOKUP(,-1/($Z$12:Z746=1),$C$12:C746)+LOOKUP(,-1/($Z$12:Z746=1),$H$12:H746)-IF(AA745="Да",0,SUM(INDIRECT("T"&amp;(MAX(("Да"=AA$12:AA745)*ROW(AA$12:AA745)+1,ROW($T$12))&amp;":T"&amp;(ROW()-1))))),Первоначальный[[#This Row],[Полученный платеж]]+Y745),
AND(S745=0,MAX((0&lt;&gt;N$12:N745)*ROW(N$12:N745),ROW($S$12))&gt;=MAX((1=Z$12:Z745)*ROW(Z$12:Z745),ROW($T$12))),MIN(LOOKUP(,-1/($Z$12:Z746=1),$C$12:C746)+LOOKUP(,-1/($Z$12:Z746=1),$H$12:H746)-IF(N745&lt;&gt;0,0,SUM(INDIRECT("T"&amp;(MAX((0&lt;&gt;N$12:N745)*ROW(N$12:N745)+1,ROW($T$12))&amp;":T"&amp;(ROW()-1))))),Первоначальный[[#This Row],[Полученный платеж]]+Y745),
AND(S745=0,Первоначальный[[#This Row],[Дата платежа из графика]]=1),MIN(LOOKUP(,-1/($Z$12:Z746=1),$C$12:C746)+LOOKUP(,-1/($Z$12:Z746=1),$H$12:H746)-IF(Z745=1,0,SUM(INDIRECT("T"&amp;(MAX((1=Z$12:Z745)*ROW(Z$12:Z745)+1,ROW($T$12))&amp;":T"&amp;(ROW()-1))))),Первоначальный[[#This Row],[Полученный платеж]]+Y745),
AND(Z745&gt;0,Первоначальный[[#This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платеж]]+Y745),
AND(S745&gt;0,MAX((0&lt;&gt;S$12:S745)*ROW(S$12:S745),ROW($S$12))&gt;=MAX((1=Z$12:Z745)*ROW(Z$12:Z745),ROW($T$12)),TYPE(VLOOKUP("Да",(INDIRECT("AA"&amp;(MAX((1=Z$12:Z745)*ROW(Z$12:Z745),ROW($T$12))&amp;":AA"&amp;(ROW()-1)))),1,0))=16),MIN(LOOKUP(,-1/($Z$12:Z746=1),$C$12:C746)+LOOKUP(,-1/($Z$12:Z746=1),$H$12:H746)-SUM(INDIRECT("T"&amp;(MAX((1=Z$12:Z745)*ROW(Z$12:Z745),ROW($T$12))&amp;":T"&amp;(ROW()-1)))),Первоначальный[[#This Row],[Полученный платеж]]+Y745),
S745&gt;0,MIN(LOOKUP(,-1/($Z$12:Z746=1),$C$12:C746)+LOOKUP(,-1/($Z$12:Z746=1),$H$12:H746)-IF(Z745=1,0,SUM(INDIRECT("T"&amp;(MAX((1=Z$12:Z745)*ROW(Z$12:Z745)+1,ROW($T$12))&amp;":T"&amp;(ROW()-1))))),Первоначальный[[#This Row],[Полученный платеж]]+Y745)
)
)
)</f>
        <v>0</v>
      </c>
      <c r="U74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платеж]]+Y745-Первоначальный[[#This Row],[Полученный платёж по процентам]])</f>
        <v>0</v>
      </c>
      <c r="V746" s="55">
        <f t="shared" ca="1" si="133"/>
        <v>0</v>
      </c>
      <c r="W746" s="55" cm="1">
        <f t="array" aca="1" ref="W746" ca="1">IF(Первоначальный[[#This Row],[Итого остаток на начало периода]]&lt;1,0,
_xlfn.IFS(
AND(TYPE(VLOOKUP(1,$Z$12:Z746,1,0))=16,Первоначальный[[#This Row],[Досрочное погашение (да/"")]]=""),0,
AND(S745=0,Первоначальный[[#This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платеж]]+Y745-SUM(Первоначальный[[#This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комиссиям]]),VLOOKUP(LOOKUP(,-1/($Z$12:Z746=1),$A$12:A746),График[[Срок конец]:[Возврат основной суммы долга]],3,0)),
AND(S745=0,Первоначальный[[#This Row],[Дата платежа из графика]]="",Первоначальный[[#This Row],[Досрочное погашение (да/"")]]&lt;&gt;"Да"),0,
AND(S745=0,Первоначальный[[#This Row],[Досрочное погашение (да/"")]]=""),MIN(Первоначальный[[#This Row],[Полученный платеж]]+Y745-SUM(Первоначальный[[#This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комиссиям]]),VLOOKUP(LOOKUP(,-1/($Z$12:Z746=1),$A$12:A746),График[[Срок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платеж]]+Y745-SUM(Первоначальный[[#This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S745&gt;0,MIN(Первоначальный[[#This Row],[Полученный платеж]]+Y745-SUM(Первоначальный[[#This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комиссиям]]),SUM(INDIRECT("M"&amp;(MAX((1=S$12:S745)*ROW(S$12:S745),ROW($W$12))&amp;":M"&amp;(ROW()))))-SUM(INDIRECT("W"&amp;(MAX((1=S$12:S745)*ROW(S$12:S745),ROW($W$12))&amp;":W"&amp;(ROW()-1)))))
)
)</f>
        <v>0</v>
      </c>
      <c r="X746" s="55">
        <f t="shared" ca="1" si="134"/>
        <v>0</v>
      </c>
      <c r="Y746" s="101">
        <f t="shared" ca="1" si="141"/>
        <v>0</v>
      </c>
      <c r="Z746" s="133" t="str">
        <f>IF(TYPE((VLOOKUP(Первоначальный[[#This Row],[Дата платежа]],График[Срок конец],1,0)))=16,"",1)</f>
        <v/>
      </c>
      <c r="AA746" s="57"/>
      <c r="AB746" s="134"/>
      <c r="AC74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4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52977.000000000051</v>
      </c>
      <c r="AE74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1831.9399999999991</v>
      </c>
      <c r="AF74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4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103090.50910491805</v>
      </c>
      <c r="AH746" s="55"/>
      <c r="AI746" s="55"/>
      <c r="AJ746" s="55"/>
      <c r="AK746" s="101">
        <f t="shared" ca="1" si="142"/>
        <v>307532.78910491813</v>
      </c>
      <c r="AL746" s="129">
        <f t="array" ref="AL746">MAX((УслРестрактов[Характеристика]="Дата реструктуризации")*(УслРестрактов[Значение]=Первоначальный!$A746),0)</f>
        <v>0</v>
      </c>
    </row>
    <row r="747" spans="1:38" x14ac:dyDescent="0.25">
      <c r="A747" s="97">
        <f t="shared" si="135"/>
        <v>44878</v>
      </c>
      <c r="B747" s="100">
        <f t="shared" ca="1" si="136"/>
        <v>149633.34</v>
      </c>
      <c r="C747" s="55">
        <f t="shared" ca="1" si="144"/>
        <v>52977.000000000051</v>
      </c>
      <c r="D747" s="55">
        <f t="shared" ca="1" si="144"/>
        <v>1831.9399999999991</v>
      </c>
      <c r="E747" s="55">
        <f t="shared" ca="1" si="137"/>
        <v>0</v>
      </c>
      <c r="F747" s="55">
        <f t="shared" ca="1" si="138"/>
        <v>103090.50910491805</v>
      </c>
      <c r="G747" s="101">
        <f t="shared" ca="1" si="139"/>
        <v>307532.78910491813</v>
      </c>
      <c r="H747" s="100">
        <f ca="1">ROUND($B747*VLOOKUP($A747,$A$1:$B$10,2,1)/(365+IF(MOD(YEAR($A747),4),0,1)*($A747-$A746)),2)-Первоначальный[[#This Row],[Проценты на просроченный платеж по ОД за период]]</f>
        <v>75.599999999999994</v>
      </c>
      <c r="I747" s="55">
        <f t="shared" ca="1" si="140"/>
        <v>5.98</v>
      </c>
      <c r="J747" s="55">
        <v>0</v>
      </c>
      <c r="K747" s="55">
        <f t="shared" ca="1" si="143"/>
        <v>318.60350327868844</v>
      </c>
      <c r="L747" s="55">
        <v>0</v>
      </c>
      <c r="M747" s="113">
        <f>SUMIFS(График[Возврат основной суммы долга],График[Дата с учетом нерабочих дней],$A747)</f>
        <v>0</v>
      </c>
      <c r="N747" s="56">
        <f>SUMIFS(График[Возврат начисленных %],График[Дата с учетом нерабочих дней],$A747)</f>
        <v>0</v>
      </c>
      <c r="O747" s="101">
        <v>0</v>
      </c>
      <c r="P747" s="100" cm="1">
        <f t="array" aca="1" ref="P747" ca="1">MAX(IF(AA746="Да",0,SUM(INDIRECT("M"&amp;(MAX(("Да"=AA$12:AA746)*ROW(AA$12:AA746)+1,ROW($P$12))&amp;":M"&amp;(ROW()))))-SUM(INDIRECT("W"&amp;(MAX(("Да"=AA$12:AA746)*ROW(AA$12:AA746)+1,ROW($P$12))&amp;":W"&amp;(ROW()))))),0)</f>
        <v>10972.839999999998</v>
      </c>
      <c r="Q747" s="99">
        <f ca="1">MAX(SUM($N$13:N747)-SUM($T$13:T747),0)</f>
        <v>52747.860655737692</v>
      </c>
      <c r="R747" s="99">
        <f ca="1">Первоначальный[[#This Row],[Просроченный платеж по ОД]]+Первоначальный[[#This Row],[Просроченный платеж по процентам]]</f>
        <v>63720.700655737688</v>
      </c>
      <c r="S747" s="120">
        <f ca="1">IF(Первоначальный[[#This Row],[Просроченный платеж]]&lt;1,0,S746+1)</f>
        <v>643</v>
      </c>
      <c r="T747" s="100" cm="1">
        <f t="array" aca="1" ref="T747" ca="1">IF(Первоначальный[[#This Row],[Итого остаток на начало периода]]&lt;1,0,
IF(
AND(TYPE(VLOOKUP(1,$Z$12:Z747,1,0))=16,Первоначальный[[#This Row],[Досрочное погашение (да/"")]]=""),0,
_xlfn.IFS(AND(S746=0,Первоначальный[[#This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платеж]]&lt;&gt;0),MIN(LOOKUP(,-1/($Z$12:Z747=1),$C$12:C747)+LOOKUP(,-1/($Z$12:Z747=1),$H$12:H747),Первоначальный[[#This Row],[Полученный платеж]]+Y746),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платеж]]+Y746,SUM(Первоначальный[[#This Row],[Остаток процентов на начало периода]],Первоначальный[[#This Row],[Проценты за период]])),
AND(S746=0,Первоначальный[[#This Row],[Дата платежа из графика]]=""),0,
AND(S746=0,Первоначальный[[#This Row],[Дата платежа из графика]]=1,MAX((0&lt;&gt;S$12:S746)*ROW(S$12:S746),ROW($S$12))&gt;=MAX((1=Z$12:Z746)*ROW(Z$12:Z746),ROW($T$12)),TYPE(VLOOKUP("Да",(INDIRECT("AA"&amp;(MAX((1=Z$12:Z746)*ROW(Z$12:Z746),ROW($T$12))&amp;":AA"&amp;(ROW()-1)))),1,0))=16),MIN(LOOKUP(,-1/($Z$12:Z747=1),$C$12:C747)+LOOKUP(,-1/($Z$12:Z747=1),$H$12:H747),Первоначальный[[#This Row],[Полученный платеж]]+Y746),
AND(S746=0,TYPE(VLOOKUP("Да",(INDIRECT("AA"&amp;(MAX((1=Z$12:Z746)*ROW(Z$12:Z746),ROW($T$12))&amp;":AA"&amp;(ROW()-1)))),1,0))&lt;&gt;16),MIN(LOOKUP(,-1/($Z$12:Z747=1),$C$12:C747)+LOOKUP(,-1/($Z$12:Z747=1),$H$12:H747)-IF(AA746="Да",0,SUM(INDIRECT("T"&amp;(MAX(("Да"=AA$12:AA746)*ROW(AA$12:AA746)+1,ROW($T$12))&amp;":T"&amp;(ROW()-1))))),Первоначальный[[#This Row],[Полученный платеж]]+Y746),
AND(S746=0,MAX((0&lt;&gt;N$12:N746)*ROW(N$12:N746),ROW($S$12))&gt;=MAX((1=Z$12:Z746)*ROW(Z$12:Z746),ROW($T$12))),MIN(LOOKUP(,-1/($Z$12:Z747=1),$C$12:C747)+LOOKUP(,-1/($Z$12:Z747=1),$H$12:H747)-IF(N746&lt;&gt;0,0,SUM(INDIRECT("T"&amp;(MAX((0&lt;&gt;N$12:N746)*ROW(N$12:N746)+1,ROW($T$12))&amp;":T"&amp;(ROW()-1))))),Первоначальный[[#This Row],[Полученный платеж]]+Y746),
AND(S746=0,Первоначальный[[#This Row],[Дата платежа из графика]]=1),MIN(LOOKUP(,-1/($Z$12:Z747=1),$C$12:C747)+LOOKUP(,-1/($Z$12:Z747=1),$H$12:H747)-IF(Z746=1,0,SUM(INDIRECT("T"&amp;(MAX((1=Z$12:Z746)*ROW(Z$12:Z746)+1,ROW($T$12))&amp;":T"&amp;(ROW()-1))))),Первоначальный[[#This Row],[Полученный платеж]]+Y746),
AND(Z746&gt;0,Первоначальный[[#This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платеж]]+Y746),
AND(S746&gt;0,MAX((0&lt;&gt;S$12:S746)*ROW(S$12:S746),ROW($S$12))&gt;=MAX((1=Z$12:Z746)*ROW(Z$12:Z746),ROW($T$12)),TYPE(VLOOKUP("Да",(INDIRECT("AA"&amp;(MAX((1=Z$12:Z746)*ROW(Z$12:Z746),ROW($T$12))&amp;":AA"&amp;(ROW()-1)))),1,0))=16),MIN(LOOKUP(,-1/($Z$12:Z747=1),$C$12:C747)+LOOKUP(,-1/($Z$12:Z747=1),$H$12:H747)-SUM(INDIRECT("T"&amp;(MAX((1=Z$12:Z746)*ROW(Z$12:Z746),ROW($T$12))&amp;":T"&amp;(ROW()-1)))),Первоначальный[[#This Row],[Полученный платеж]]+Y746),
S746&gt;0,MIN(LOOKUP(,-1/($Z$12:Z747=1),$C$12:C747)+LOOKUP(,-1/($Z$12:Z747=1),$H$12:H747)-IF(Z746=1,0,SUM(INDIRECT("T"&amp;(MAX((1=Z$12:Z746)*ROW(Z$12:Z746)+1,ROW($T$12))&amp;":T"&amp;(ROW()-1))))),Первоначальный[[#This Row],[Полученный платеж]]+Y746)
)
)
)</f>
        <v>0</v>
      </c>
      <c r="U74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платеж]]+Y746-Первоначальный[[#This Row],[Полученный платёж по процентам]])</f>
        <v>0</v>
      </c>
      <c r="V747" s="55">
        <f t="shared" ca="1" si="133"/>
        <v>0</v>
      </c>
      <c r="W747" s="55" cm="1">
        <f t="array" aca="1" ref="W747" ca="1">IF(Первоначальный[[#This Row],[Итого остаток на начало периода]]&lt;1,0,
_xlfn.IFS(
AND(TYPE(VLOOKUP(1,$Z$12:Z747,1,0))=16,Первоначальный[[#This Row],[Досрочное погашение (да/"")]]=""),0,
AND(S746=0,Первоначальный[[#This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платеж]]+Y746-SUM(Первоначальный[[#This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комиссиям]]),VLOOKUP(LOOKUP(,-1/($Z$12:Z747=1),$A$12:A747),График[[Срок конец]:[Возврат основной суммы долга]],3,0)),
AND(S746=0,Первоначальный[[#This Row],[Дата платежа из графика]]="",Первоначальный[[#This Row],[Досрочное погашение (да/"")]]&lt;&gt;"Да"),0,
AND(S746=0,Первоначальный[[#This Row],[Досрочное погашение (да/"")]]=""),MIN(Первоначальный[[#This Row],[Полученный платеж]]+Y746-SUM(Первоначальный[[#This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комиссиям]]),VLOOKUP(LOOKUP(,-1/($Z$12:Z747=1),$A$12:A747),График[[Срок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платеж]]+Y746-SUM(Первоначальный[[#This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S746&gt;0,MIN(Первоначальный[[#This Row],[Полученный платеж]]+Y746-SUM(Первоначальный[[#This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комиссиям]]),SUM(INDIRECT("M"&amp;(MAX((1=S$12:S746)*ROW(S$12:S746),ROW($W$12))&amp;":M"&amp;(ROW()))))-SUM(INDIRECT("W"&amp;(MAX((1=S$12:S746)*ROW(S$12:S746),ROW($W$12))&amp;":W"&amp;(ROW()-1)))))
)
)</f>
        <v>0</v>
      </c>
      <c r="X747" s="55">
        <f t="shared" ca="1" si="134"/>
        <v>0</v>
      </c>
      <c r="Y747" s="101">
        <f t="shared" ca="1" si="141"/>
        <v>0</v>
      </c>
      <c r="Z747" s="133" t="str">
        <f>IF(TYPE((VLOOKUP(Первоначальный[[#This Row],[Дата платежа]],График[Срок конец],1,0)))=16,"",1)</f>
        <v/>
      </c>
      <c r="AA747" s="57"/>
      <c r="AB747" s="134"/>
      <c r="AC74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4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53052.600000000049</v>
      </c>
      <c r="AE74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1837.9199999999992</v>
      </c>
      <c r="AF74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4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103409.11260819674</v>
      </c>
      <c r="AH747" s="55"/>
      <c r="AI747" s="55"/>
      <c r="AJ747" s="55"/>
      <c r="AK747" s="101">
        <f t="shared" ca="1" si="142"/>
        <v>307932.97260819678</v>
      </c>
      <c r="AL747" s="129">
        <f t="array" ref="AL747">MAX((УслРестрактов[Характеристика]="Дата реструктуризации")*(УслРестрактов[Значение]=Первоначальный!$A747),0)</f>
        <v>0</v>
      </c>
    </row>
    <row r="748" spans="1:38" x14ac:dyDescent="0.25">
      <c r="A748" s="97">
        <f t="shared" si="135"/>
        <v>44879</v>
      </c>
      <c r="B748" s="100">
        <f t="shared" ca="1" si="136"/>
        <v>149633.34</v>
      </c>
      <c r="C748" s="55">
        <f t="shared" ca="1" si="144"/>
        <v>53052.600000000049</v>
      </c>
      <c r="D748" s="55">
        <f t="shared" ca="1" si="144"/>
        <v>1837.9199999999992</v>
      </c>
      <c r="E748" s="55">
        <f t="shared" ca="1" si="137"/>
        <v>0</v>
      </c>
      <c r="F748" s="55">
        <f t="shared" ca="1" si="138"/>
        <v>103409.11260819674</v>
      </c>
      <c r="G748" s="101">
        <f t="shared" ca="1" si="139"/>
        <v>307932.97260819678</v>
      </c>
      <c r="H748" s="100">
        <f ca="1">ROUND($B748*VLOOKUP($A748,$A$1:$B$10,2,1)/(365+IF(MOD(YEAR($A748),4),0,1)*($A748-$A747)),2)-Первоначальный[[#This Row],[Проценты на просроченный платеж по ОД за период]]</f>
        <v>75.599999999999994</v>
      </c>
      <c r="I748" s="55">
        <f t="shared" ca="1" si="140"/>
        <v>5.98</v>
      </c>
      <c r="J748" s="55">
        <v>0</v>
      </c>
      <c r="K748" s="55">
        <f t="shared" ca="1" si="143"/>
        <v>318.60350327868844</v>
      </c>
      <c r="L748" s="55">
        <v>0</v>
      </c>
      <c r="M748" s="113">
        <f>SUMIFS(График[Возврат основной суммы долга],График[Дата с учетом нерабочих дней],$A748)</f>
        <v>0</v>
      </c>
      <c r="N748" s="56">
        <f>SUMIFS(График[Возврат начисленных %],График[Дата с учетом нерабочих дней],$A748)</f>
        <v>0</v>
      </c>
      <c r="O748" s="101">
        <v>0</v>
      </c>
      <c r="P748" s="100" cm="1">
        <f t="array" aca="1" ref="P748" ca="1">MAX(IF(AA747="Да",0,SUM(INDIRECT("M"&amp;(MAX(("Да"=AA$12:AA747)*ROW(AA$12:AA747)+1,ROW($P$12))&amp;":M"&amp;(ROW()))))-SUM(INDIRECT("W"&amp;(MAX(("Да"=AA$12:AA747)*ROW(AA$12:AA747)+1,ROW($P$12))&amp;":W"&amp;(ROW()))))),0)</f>
        <v>10972.839999999998</v>
      </c>
      <c r="Q748" s="99">
        <f ca="1">MAX(SUM($N$13:N748)-SUM($T$13:T748),0)</f>
        <v>52747.860655737692</v>
      </c>
      <c r="R748" s="99">
        <f ca="1">Первоначальный[[#This Row],[Просроченный платеж по ОД]]+Первоначальный[[#This Row],[Просроченный платеж по процентам]]</f>
        <v>63720.700655737688</v>
      </c>
      <c r="S748" s="120">
        <f ca="1">IF(Первоначальный[[#This Row],[Просроченный платеж]]&lt;1,0,S747+1)</f>
        <v>644</v>
      </c>
      <c r="T748" s="100" cm="1">
        <f t="array" aca="1" ref="T748" ca="1">IF(Первоначальный[[#This Row],[Итого остаток на начало периода]]&lt;1,0,
IF(
AND(TYPE(VLOOKUP(1,$Z$12:Z748,1,0))=16,Первоначальный[[#This Row],[Досрочное погашение (да/"")]]=""),0,
_xlfn.IFS(AND(S747=0,Первоначальный[[#This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платеж]]&lt;&gt;0),MIN(LOOKUP(,-1/($Z$12:Z748=1),$C$12:C748)+LOOKUP(,-1/($Z$12:Z748=1),$H$12:H748),Первоначальный[[#This Row],[Полученный платеж]]+Y747),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платеж]]+Y747,SUM(Первоначальный[[#This Row],[Остаток процентов на начало периода]],Первоначальный[[#This Row],[Проценты за период]])),
AND(S747=0,Первоначальный[[#This Row],[Дата платежа из графика]]=""),0,
AND(S747=0,Первоначальный[[#This Row],[Дата платежа из графика]]=1,MAX((0&lt;&gt;S$12:S747)*ROW(S$12:S747),ROW($S$12))&gt;=MAX((1=Z$12:Z747)*ROW(Z$12:Z747),ROW($T$12)),TYPE(VLOOKUP("Да",(INDIRECT("AA"&amp;(MAX((1=Z$12:Z747)*ROW(Z$12:Z747),ROW($T$12))&amp;":AA"&amp;(ROW()-1)))),1,0))=16),MIN(LOOKUP(,-1/($Z$12:Z748=1),$C$12:C748)+LOOKUP(,-1/($Z$12:Z748=1),$H$12:H748),Первоначальный[[#This Row],[Полученный платеж]]+Y747),
AND(S747=0,TYPE(VLOOKUP("Да",(INDIRECT("AA"&amp;(MAX((1=Z$12:Z747)*ROW(Z$12:Z747),ROW($T$12))&amp;":AA"&amp;(ROW()-1)))),1,0))&lt;&gt;16),MIN(LOOKUP(,-1/($Z$12:Z748=1),$C$12:C748)+LOOKUP(,-1/($Z$12:Z748=1),$H$12:H748)-IF(AA747="Да",0,SUM(INDIRECT("T"&amp;(MAX(("Да"=AA$12:AA747)*ROW(AA$12:AA747)+1,ROW($T$12))&amp;":T"&amp;(ROW()-1))))),Первоначальный[[#This Row],[Полученный платеж]]+Y747),
AND(S747=0,MAX((0&lt;&gt;N$12:N747)*ROW(N$12:N747),ROW($S$12))&gt;=MAX((1=Z$12:Z747)*ROW(Z$12:Z747),ROW($T$12))),MIN(LOOKUP(,-1/($Z$12:Z748=1),$C$12:C748)+LOOKUP(,-1/($Z$12:Z748=1),$H$12:H748)-IF(N747&lt;&gt;0,0,SUM(INDIRECT("T"&amp;(MAX((0&lt;&gt;N$12:N747)*ROW(N$12:N747)+1,ROW($T$12))&amp;":T"&amp;(ROW()-1))))),Первоначальный[[#This Row],[Полученный платеж]]+Y747),
AND(S747=0,Первоначальный[[#This Row],[Дата платежа из графика]]=1),MIN(LOOKUP(,-1/($Z$12:Z748=1),$C$12:C748)+LOOKUP(,-1/($Z$12:Z748=1),$H$12:H748)-IF(Z747=1,0,SUM(INDIRECT("T"&amp;(MAX((1=Z$12:Z747)*ROW(Z$12:Z747)+1,ROW($T$12))&amp;":T"&amp;(ROW()-1))))),Первоначальный[[#This Row],[Полученный платеж]]+Y747),
AND(Z747&gt;0,Первоначальный[[#This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платеж]]+Y747),
AND(S747&gt;0,MAX((0&lt;&gt;S$12:S747)*ROW(S$12:S747),ROW($S$12))&gt;=MAX((1=Z$12:Z747)*ROW(Z$12:Z747),ROW($T$12)),TYPE(VLOOKUP("Да",(INDIRECT("AA"&amp;(MAX((1=Z$12:Z747)*ROW(Z$12:Z747),ROW($T$12))&amp;":AA"&amp;(ROW()-1)))),1,0))=16),MIN(LOOKUP(,-1/($Z$12:Z748=1),$C$12:C748)+LOOKUP(,-1/($Z$12:Z748=1),$H$12:H748)-SUM(INDIRECT("T"&amp;(MAX((1=Z$12:Z747)*ROW(Z$12:Z747),ROW($T$12))&amp;":T"&amp;(ROW()-1)))),Первоначальный[[#This Row],[Полученный платеж]]+Y747),
S747&gt;0,MIN(LOOKUP(,-1/($Z$12:Z748=1),$C$12:C748)+LOOKUP(,-1/($Z$12:Z748=1),$H$12:H748)-IF(Z747=1,0,SUM(INDIRECT("T"&amp;(MAX((1=Z$12:Z747)*ROW(Z$12:Z747)+1,ROW($T$12))&amp;":T"&amp;(ROW()-1))))),Первоначальный[[#This Row],[Полученный платеж]]+Y747)
)
)
)</f>
        <v>0</v>
      </c>
      <c r="U74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платеж]]+Y747-Первоначальный[[#This Row],[Полученный платёж по процентам]])</f>
        <v>0</v>
      </c>
      <c r="V748" s="55">
        <f t="shared" ca="1" si="133"/>
        <v>0</v>
      </c>
      <c r="W748" s="55" cm="1">
        <f t="array" aca="1" ref="W748" ca="1">IF(Первоначальный[[#This Row],[Итого остаток на начало периода]]&lt;1,0,
_xlfn.IFS(
AND(TYPE(VLOOKUP(1,$Z$12:Z748,1,0))=16,Первоначальный[[#This Row],[Досрочное погашение (да/"")]]=""),0,
AND(S747=0,Первоначальный[[#This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платеж]]+Y747-SUM(Первоначальный[[#This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комиссиям]]),VLOOKUP(LOOKUP(,-1/($Z$12:Z748=1),$A$12:A748),График[[Срок конец]:[Возврат основной суммы долга]],3,0)),
AND(S747=0,Первоначальный[[#This Row],[Дата платежа из графика]]="",Первоначальный[[#This Row],[Досрочное погашение (да/"")]]&lt;&gt;"Да"),0,
AND(S747=0,Первоначальный[[#This Row],[Досрочное погашение (да/"")]]=""),MIN(Первоначальный[[#This Row],[Полученный платеж]]+Y747-SUM(Первоначальный[[#This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комиссиям]]),VLOOKUP(LOOKUP(,-1/($Z$12:Z748=1),$A$12:A748),График[[Срок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платеж]]+Y747-SUM(Первоначальный[[#This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S747&gt;0,MIN(Первоначальный[[#This Row],[Полученный платеж]]+Y747-SUM(Первоначальный[[#This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комиссиям]]),SUM(INDIRECT("M"&amp;(MAX((1=S$12:S747)*ROW(S$12:S747),ROW($W$12))&amp;":M"&amp;(ROW()))))-SUM(INDIRECT("W"&amp;(MAX((1=S$12:S747)*ROW(S$12:S747),ROW($W$12))&amp;":W"&amp;(ROW()-1)))))
)
)</f>
        <v>0</v>
      </c>
      <c r="X748" s="55">
        <f t="shared" ca="1" si="134"/>
        <v>0</v>
      </c>
      <c r="Y748" s="101">
        <f t="shared" ca="1" si="141"/>
        <v>0</v>
      </c>
      <c r="Z748" s="133" t="str">
        <f>IF(TYPE((VLOOKUP(Первоначальный[[#This Row],[Дата платежа]],График[Срок конец],1,0)))=16,"",1)</f>
        <v/>
      </c>
      <c r="AA748" s="57"/>
      <c r="AB748" s="134"/>
      <c r="AC74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4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53128.200000000048</v>
      </c>
      <c r="AE74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1843.8999999999992</v>
      </c>
      <c r="AF74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4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103727.71611147543</v>
      </c>
      <c r="AH748" s="55"/>
      <c r="AI748" s="55"/>
      <c r="AJ748" s="55"/>
      <c r="AK748" s="101">
        <f t="shared" ca="1" si="142"/>
        <v>308333.15611147543</v>
      </c>
      <c r="AL748" s="129">
        <f t="array" ref="AL748">MAX((УслРестрактов[Характеристика]="Дата реструктуризации")*(УслРестрактов[Значение]=Первоначальный!$A748),0)</f>
        <v>0</v>
      </c>
    </row>
    <row r="749" spans="1:38" x14ac:dyDescent="0.25">
      <c r="A749" s="97">
        <f t="shared" si="135"/>
        <v>44880</v>
      </c>
      <c r="B749" s="100">
        <f t="shared" ca="1" si="136"/>
        <v>149633.34</v>
      </c>
      <c r="C749" s="55">
        <f t="shared" ca="1" si="144"/>
        <v>53128.200000000048</v>
      </c>
      <c r="D749" s="55">
        <f t="shared" ca="1" si="144"/>
        <v>1843.8999999999992</v>
      </c>
      <c r="E749" s="55">
        <f t="shared" ca="1" si="137"/>
        <v>0</v>
      </c>
      <c r="F749" s="55">
        <f t="shared" ca="1" si="138"/>
        <v>103727.71611147543</v>
      </c>
      <c r="G749" s="101">
        <f t="shared" ca="1" si="139"/>
        <v>308333.15611147543</v>
      </c>
      <c r="H749" s="100">
        <f ca="1">ROUND($B749*VLOOKUP($A749,$A$1:$B$10,2,1)/(365+IF(MOD(YEAR($A749),4),0,1)*($A749-$A748)),2)-Первоначальный[[#This Row],[Проценты на просроченный платеж по ОД за период]]</f>
        <v>75.599999999999994</v>
      </c>
      <c r="I749" s="55">
        <f t="shared" ca="1" si="140"/>
        <v>5.98</v>
      </c>
      <c r="J749" s="55">
        <v>0</v>
      </c>
      <c r="K749" s="55">
        <f t="shared" ca="1" si="143"/>
        <v>318.60350327868844</v>
      </c>
      <c r="L749" s="55">
        <v>0</v>
      </c>
      <c r="M749" s="113">
        <f>SUMIFS(График[Возврат основной суммы долга],График[Дата с учетом нерабочих дней],$A749)</f>
        <v>0</v>
      </c>
      <c r="N749" s="56">
        <f>SUMIFS(График[Возврат начисленных %],График[Дата с учетом нерабочих дней],$A749)</f>
        <v>0</v>
      </c>
      <c r="O749" s="101">
        <v>0</v>
      </c>
      <c r="P749" s="100" cm="1">
        <f t="array" aca="1" ref="P749" ca="1">MAX(IF(AA748="Да",0,SUM(INDIRECT("M"&amp;(MAX(("Да"=AA$12:AA748)*ROW(AA$12:AA748)+1,ROW($P$12))&amp;":M"&amp;(ROW()))))-SUM(INDIRECT("W"&amp;(MAX(("Да"=AA$12:AA748)*ROW(AA$12:AA748)+1,ROW($P$12))&amp;":W"&amp;(ROW()))))),0)</f>
        <v>10972.839999999998</v>
      </c>
      <c r="Q749" s="99">
        <f ca="1">MAX(SUM($N$13:N749)-SUM($T$13:T749),0)</f>
        <v>52747.860655737692</v>
      </c>
      <c r="R749" s="99">
        <f ca="1">Первоначальный[[#This Row],[Просроченный платеж по ОД]]+Первоначальный[[#This Row],[Просроченный платеж по процентам]]</f>
        <v>63720.700655737688</v>
      </c>
      <c r="S749" s="120">
        <f ca="1">IF(Первоначальный[[#This Row],[Просроченный платеж]]&lt;1,0,S748+1)</f>
        <v>645</v>
      </c>
      <c r="T749" s="100" cm="1">
        <f t="array" aca="1" ref="T749" ca="1">IF(Первоначальный[[#This Row],[Итого остаток на начало периода]]&lt;1,0,
IF(
AND(TYPE(VLOOKUP(1,$Z$12:Z749,1,0))=16,Первоначальный[[#This Row],[Досрочное погашение (да/"")]]=""),0,
_xlfn.IFS(AND(S748=0,Первоначальный[[#This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платеж]]&lt;&gt;0),MIN(LOOKUP(,-1/($Z$12:Z749=1),$C$12:C749)+LOOKUP(,-1/($Z$12:Z749=1),$H$12:H749),Первоначальный[[#This Row],[Полученный платеж]]+Y748),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платеж]]+Y748,SUM(Первоначальный[[#This Row],[Остаток процентов на начало периода]],Первоначальный[[#This Row],[Проценты за период]])),
AND(S748=0,Первоначальный[[#This Row],[Дата платежа из графика]]=""),0,
AND(S748=0,Первоначальный[[#This Row],[Дата платежа из графика]]=1,MAX((0&lt;&gt;S$12:S748)*ROW(S$12:S748),ROW($S$12))&gt;=MAX((1=Z$12:Z748)*ROW(Z$12:Z748),ROW($T$12)),TYPE(VLOOKUP("Да",(INDIRECT("AA"&amp;(MAX((1=Z$12:Z748)*ROW(Z$12:Z748),ROW($T$12))&amp;":AA"&amp;(ROW()-1)))),1,0))=16),MIN(LOOKUP(,-1/($Z$12:Z749=1),$C$12:C749)+LOOKUP(,-1/($Z$12:Z749=1),$H$12:H749),Первоначальный[[#This Row],[Полученный платеж]]+Y748),
AND(S748=0,TYPE(VLOOKUP("Да",(INDIRECT("AA"&amp;(MAX((1=Z$12:Z748)*ROW(Z$12:Z748),ROW($T$12))&amp;":AA"&amp;(ROW()-1)))),1,0))&lt;&gt;16),MIN(LOOKUP(,-1/($Z$12:Z749=1),$C$12:C749)+LOOKUP(,-1/($Z$12:Z749=1),$H$12:H749)-IF(AA748="Да",0,SUM(INDIRECT("T"&amp;(MAX(("Да"=AA$12:AA748)*ROW(AA$12:AA748)+1,ROW($T$12))&amp;":T"&amp;(ROW()-1))))),Первоначальный[[#This Row],[Полученный платеж]]+Y748),
AND(S748=0,MAX((0&lt;&gt;N$12:N748)*ROW(N$12:N748),ROW($S$12))&gt;=MAX((1=Z$12:Z748)*ROW(Z$12:Z748),ROW($T$12))),MIN(LOOKUP(,-1/($Z$12:Z749=1),$C$12:C749)+LOOKUP(,-1/($Z$12:Z749=1),$H$12:H749)-IF(N748&lt;&gt;0,0,SUM(INDIRECT("T"&amp;(MAX((0&lt;&gt;N$12:N748)*ROW(N$12:N748)+1,ROW($T$12))&amp;":T"&amp;(ROW()-1))))),Первоначальный[[#This Row],[Полученный платеж]]+Y748),
AND(S748=0,Первоначальный[[#This Row],[Дата платежа из графика]]=1),MIN(LOOKUP(,-1/($Z$12:Z749=1),$C$12:C749)+LOOKUP(,-1/($Z$12:Z749=1),$H$12:H749)-IF(Z748=1,0,SUM(INDIRECT("T"&amp;(MAX((1=Z$12:Z748)*ROW(Z$12:Z748)+1,ROW($T$12))&amp;":T"&amp;(ROW()-1))))),Первоначальный[[#This Row],[Полученный платеж]]+Y748),
AND(Z748&gt;0,Первоначальный[[#This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платеж]]+Y748),
AND(S748&gt;0,MAX((0&lt;&gt;S$12:S748)*ROW(S$12:S748),ROW($S$12))&gt;=MAX((1=Z$12:Z748)*ROW(Z$12:Z748),ROW($T$12)),TYPE(VLOOKUP("Да",(INDIRECT("AA"&amp;(MAX((1=Z$12:Z748)*ROW(Z$12:Z748),ROW($T$12))&amp;":AA"&amp;(ROW()-1)))),1,0))=16),MIN(LOOKUP(,-1/($Z$12:Z749=1),$C$12:C749)+LOOKUP(,-1/($Z$12:Z749=1),$H$12:H749)-SUM(INDIRECT("T"&amp;(MAX((1=Z$12:Z748)*ROW(Z$12:Z748),ROW($T$12))&amp;":T"&amp;(ROW()-1)))),Первоначальный[[#This Row],[Полученный платеж]]+Y748),
S748&gt;0,MIN(LOOKUP(,-1/($Z$12:Z749=1),$C$12:C749)+LOOKUP(,-1/($Z$12:Z749=1),$H$12:H749)-IF(Z748=1,0,SUM(INDIRECT("T"&amp;(MAX((1=Z$12:Z748)*ROW(Z$12:Z748)+1,ROW($T$12))&amp;":T"&amp;(ROW()-1))))),Первоначальный[[#This Row],[Полученный платеж]]+Y748)
)
)
)</f>
        <v>0</v>
      </c>
      <c r="U74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платеж]]+Y748-Первоначальный[[#This Row],[Полученный платёж по процентам]])</f>
        <v>0</v>
      </c>
      <c r="V749" s="55">
        <f t="shared" ca="1" si="133"/>
        <v>0</v>
      </c>
      <c r="W749" s="55" cm="1">
        <f t="array" aca="1" ref="W749" ca="1">IF(Первоначальный[[#This Row],[Итого остаток на начало периода]]&lt;1,0,
_xlfn.IFS(
AND(TYPE(VLOOKUP(1,$Z$12:Z749,1,0))=16,Первоначальный[[#This Row],[Досрочное погашение (да/"")]]=""),0,
AND(S748=0,Первоначальный[[#This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платеж]]+Y748-SUM(Первоначальный[[#This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комиссиям]]),VLOOKUP(LOOKUP(,-1/($Z$12:Z749=1),$A$12:A749),График[[Срок конец]:[Возврат основной суммы долга]],3,0)),
AND(S748=0,Первоначальный[[#This Row],[Дата платежа из графика]]="",Первоначальный[[#This Row],[Досрочное погашение (да/"")]]&lt;&gt;"Да"),0,
AND(S748=0,Первоначальный[[#This Row],[Досрочное погашение (да/"")]]=""),MIN(Первоначальный[[#This Row],[Полученный платеж]]+Y748-SUM(Первоначальный[[#This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комиссиям]]),VLOOKUP(LOOKUP(,-1/($Z$12:Z749=1),$A$12:A749),График[[Срок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платеж]]+Y748-SUM(Первоначальный[[#This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S748&gt;0,MIN(Первоначальный[[#This Row],[Полученный платеж]]+Y748-SUM(Первоначальный[[#This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комиссиям]]),SUM(INDIRECT("M"&amp;(MAX((1=S$12:S748)*ROW(S$12:S748),ROW($W$12))&amp;":M"&amp;(ROW()))))-SUM(INDIRECT("W"&amp;(MAX((1=S$12:S748)*ROW(S$12:S748),ROW($W$12))&amp;":W"&amp;(ROW()-1)))))
)
)</f>
        <v>0</v>
      </c>
      <c r="X749" s="55">
        <f t="shared" ca="1" si="134"/>
        <v>0</v>
      </c>
      <c r="Y749" s="101">
        <f t="shared" ca="1" si="141"/>
        <v>0</v>
      </c>
      <c r="Z749" s="133" t="str">
        <f>IF(TYPE((VLOOKUP(Первоначальный[[#This Row],[Дата платежа]],График[Срок конец],1,0)))=16,"",1)</f>
        <v/>
      </c>
      <c r="AA749" s="57"/>
      <c r="AB749" s="134"/>
      <c r="AC74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4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53203.800000000047</v>
      </c>
      <c r="AE74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1849.8799999999992</v>
      </c>
      <c r="AF74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4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104046.31961475412</v>
      </c>
      <c r="AH749" s="55"/>
      <c r="AI749" s="55"/>
      <c r="AJ749" s="55"/>
      <c r="AK749" s="101">
        <f t="shared" ca="1" si="142"/>
        <v>308733.33961475419</v>
      </c>
      <c r="AL749" s="129">
        <f t="array" ref="AL749">MAX((УслРестрактов[Характеристика]="Дата реструктуризации")*(УслРестрактов[Значение]=Первоначальный!$A749),0)</f>
        <v>0</v>
      </c>
    </row>
    <row r="750" spans="1:38" x14ac:dyDescent="0.25">
      <c r="A750" s="97">
        <f t="shared" si="135"/>
        <v>44881</v>
      </c>
      <c r="B750" s="100">
        <f t="shared" ca="1" si="136"/>
        <v>149633.34</v>
      </c>
      <c r="C750" s="55">
        <f t="shared" ca="1" si="144"/>
        <v>53203.800000000047</v>
      </c>
      <c r="D750" s="55">
        <f t="shared" ca="1" si="144"/>
        <v>1849.8799999999992</v>
      </c>
      <c r="E750" s="55">
        <f t="shared" ca="1" si="137"/>
        <v>0</v>
      </c>
      <c r="F750" s="55">
        <f t="shared" ca="1" si="138"/>
        <v>104046.31961475412</v>
      </c>
      <c r="G750" s="101">
        <f t="shared" ca="1" si="139"/>
        <v>308733.33961475419</v>
      </c>
      <c r="H750" s="100">
        <f ca="1">ROUND($B750*VLOOKUP($A750,$A$1:$B$10,2,1)/(365+IF(MOD(YEAR($A750),4),0,1)*($A750-$A749)),2)-Первоначальный[[#This Row],[Проценты на просроченный платеж по ОД за период]]</f>
        <v>75.599999999999994</v>
      </c>
      <c r="I750" s="55">
        <f t="shared" ca="1" si="140"/>
        <v>5.98</v>
      </c>
      <c r="J750" s="55">
        <v>0</v>
      </c>
      <c r="K750" s="55">
        <f t="shared" ca="1" si="143"/>
        <v>318.60350327868844</v>
      </c>
      <c r="L750" s="55">
        <v>0</v>
      </c>
      <c r="M750" s="113">
        <f>SUMIFS(График[Возврат основной суммы долга],График[Дата с учетом нерабочих дней],$A750)</f>
        <v>0</v>
      </c>
      <c r="N750" s="56">
        <f>SUMIFS(График[Возврат начисленных %],График[Дата с учетом нерабочих дней],$A750)</f>
        <v>0</v>
      </c>
      <c r="O750" s="101">
        <v>0</v>
      </c>
      <c r="P750" s="100" cm="1">
        <f t="array" aca="1" ref="P750" ca="1">MAX(IF(AA749="Да",0,SUM(INDIRECT("M"&amp;(MAX(("Да"=AA$12:AA749)*ROW(AA$12:AA749)+1,ROW($P$12))&amp;":M"&amp;(ROW()))))-SUM(INDIRECT("W"&amp;(MAX(("Да"=AA$12:AA749)*ROW(AA$12:AA749)+1,ROW($P$12))&amp;":W"&amp;(ROW()))))),0)</f>
        <v>10972.839999999998</v>
      </c>
      <c r="Q750" s="99">
        <f ca="1">MAX(SUM($N$13:N750)-SUM($T$13:T750),0)</f>
        <v>52747.860655737692</v>
      </c>
      <c r="R750" s="99">
        <f ca="1">Первоначальный[[#This Row],[Просроченный платеж по ОД]]+Первоначальный[[#This Row],[Просроченный платеж по процентам]]</f>
        <v>63720.700655737688</v>
      </c>
      <c r="S750" s="120">
        <f ca="1">IF(Первоначальный[[#This Row],[Просроченный платеж]]&lt;1,0,S749+1)</f>
        <v>646</v>
      </c>
      <c r="T750" s="100" cm="1">
        <f t="array" aca="1" ref="T750" ca="1">IF(Первоначальный[[#This Row],[Итого остаток на начало периода]]&lt;1,0,
IF(
AND(TYPE(VLOOKUP(1,$Z$12:Z750,1,0))=16,Первоначальный[[#This Row],[Досрочное погашение (да/"")]]=""),0,
_xlfn.IFS(AND(S749=0,Первоначальный[[#This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платеж]]&lt;&gt;0),MIN(LOOKUP(,-1/($Z$12:Z750=1),$C$12:C750)+LOOKUP(,-1/($Z$12:Z750=1),$H$12:H750),Первоначальный[[#This Row],[Полученный платеж]]+Y749),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платеж]]+Y749,SUM(Первоначальный[[#This Row],[Остаток процентов на начало периода]],Первоначальный[[#This Row],[Проценты за период]])),
AND(S749=0,Первоначальный[[#This Row],[Дата платежа из графика]]=""),0,
AND(S749=0,Первоначальный[[#This Row],[Дата платежа из графика]]=1,MAX((0&lt;&gt;S$12:S749)*ROW(S$12:S749),ROW($S$12))&gt;=MAX((1=Z$12:Z749)*ROW(Z$12:Z749),ROW($T$12)),TYPE(VLOOKUP("Да",(INDIRECT("AA"&amp;(MAX((1=Z$12:Z749)*ROW(Z$12:Z749),ROW($T$12))&amp;":AA"&amp;(ROW()-1)))),1,0))=16),MIN(LOOKUP(,-1/($Z$12:Z750=1),$C$12:C750)+LOOKUP(,-1/($Z$12:Z750=1),$H$12:H750),Первоначальный[[#This Row],[Полученный платеж]]+Y749),
AND(S749=0,TYPE(VLOOKUP("Да",(INDIRECT("AA"&amp;(MAX((1=Z$12:Z749)*ROW(Z$12:Z749),ROW($T$12))&amp;":AA"&amp;(ROW()-1)))),1,0))&lt;&gt;16),MIN(LOOKUP(,-1/($Z$12:Z750=1),$C$12:C750)+LOOKUP(,-1/($Z$12:Z750=1),$H$12:H750)-IF(AA749="Да",0,SUM(INDIRECT("T"&amp;(MAX(("Да"=AA$12:AA749)*ROW(AA$12:AA749)+1,ROW($T$12))&amp;":T"&amp;(ROW()-1))))),Первоначальный[[#This Row],[Полученный платеж]]+Y749),
AND(S749=0,MAX((0&lt;&gt;N$12:N749)*ROW(N$12:N749),ROW($S$12))&gt;=MAX((1=Z$12:Z749)*ROW(Z$12:Z749),ROW($T$12))),MIN(LOOKUP(,-1/($Z$12:Z750=1),$C$12:C750)+LOOKUP(,-1/($Z$12:Z750=1),$H$12:H750)-IF(N749&lt;&gt;0,0,SUM(INDIRECT("T"&amp;(MAX((0&lt;&gt;N$12:N749)*ROW(N$12:N749)+1,ROW($T$12))&amp;":T"&amp;(ROW()-1))))),Первоначальный[[#This Row],[Полученный платеж]]+Y749),
AND(S749=0,Первоначальный[[#This Row],[Дата платежа из графика]]=1),MIN(LOOKUP(,-1/($Z$12:Z750=1),$C$12:C750)+LOOKUP(,-1/($Z$12:Z750=1),$H$12:H750)-IF(Z749=1,0,SUM(INDIRECT("T"&amp;(MAX((1=Z$12:Z749)*ROW(Z$12:Z749)+1,ROW($T$12))&amp;":T"&amp;(ROW()-1))))),Первоначальный[[#This Row],[Полученный платеж]]+Y749),
AND(Z749&gt;0,Первоначальный[[#This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платеж]]+Y749),
AND(S749&gt;0,MAX((0&lt;&gt;S$12:S749)*ROW(S$12:S749),ROW($S$12))&gt;=MAX((1=Z$12:Z749)*ROW(Z$12:Z749),ROW($T$12)),TYPE(VLOOKUP("Да",(INDIRECT("AA"&amp;(MAX((1=Z$12:Z749)*ROW(Z$12:Z749),ROW($T$12))&amp;":AA"&amp;(ROW()-1)))),1,0))=16),MIN(LOOKUP(,-1/($Z$12:Z750=1),$C$12:C750)+LOOKUP(,-1/($Z$12:Z750=1),$H$12:H750)-SUM(INDIRECT("T"&amp;(MAX((1=Z$12:Z749)*ROW(Z$12:Z749),ROW($T$12))&amp;":T"&amp;(ROW()-1)))),Первоначальный[[#This Row],[Полученный платеж]]+Y749),
S749&gt;0,MIN(LOOKUP(,-1/($Z$12:Z750=1),$C$12:C750)+LOOKUP(,-1/($Z$12:Z750=1),$H$12:H750)-IF(Z749=1,0,SUM(INDIRECT("T"&amp;(MAX((1=Z$12:Z749)*ROW(Z$12:Z749)+1,ROW($T$12))&amp;":T"&amp;(ROW()-1))))),Первоначальный[[#This Row],[Полученный платеж]]+Y749)
)
)
)</f>
        <v>0</v>
      </c>
      <c r="U75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платеж]]+Y749-Первоначальный[[#This Row],[Полученный платёж по процентам]])</f>
        <v>0</v>
      </c>
      <c r="V750" s="55">
        <f t="shared" ca="1" si="133"/>
        <v>0</v>
      </c>
      <c r="W750" s="55" cm="1">
        <f t="array" aca="1" ref="W750" ca="1">IF(Первоначальный[[#This Row],[Итого остаток на начало периода]]&lt;1,0,
_xlfn.IFS(
AND(TYPE(VLOOKUP(1,$Z$12:Z750,1,0))=16,Первоначальный[[#This Row],[Досрочное погашение (да/"")]]=""),0,
AND(S749=0,Первоначальный[[#This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платеж]]+Y749-SUM(Первоначальный[[#This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комиссиям]]),VLOOKUP(LOOKUP(,-1/($Z$12:Z750=1),$A$12:A750),График[[Срок конец]:[Возврат основной суммы долга]],3,0)),
AND(S749=0,Первоначальный[[#This Row],[Дата платежа из графика]]="",Первоначальный[[#This Row],[Досрочное погашение (да/"")]]&lt;&gt;"Да"),0,
AND(S749=0,Первоначальный[[#This Row],[Досрочное погашение (да/"")]]=""),MIN(Первоначальный[[#This Row],[Полученный платеж]]+Y749-SUM(Первоначальный[[#This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комиссиям]]),VLOOKUP(LOOKUP(,-1/($Z$12:Z750=1),$A$12:A750),График[[Срок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платеж]]+Y749-SUM(Первоначальный[[#This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S749&gt;0,MIN(Первоначальный[[#This Row],[Полученный платеж]]+Y749-SUM(Первоначальный[[#This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комиссиям]]),SUM(INDIRECT("M"&amp;(MAX((1=S$12:S749)*ROW(S$12:S749),ROW($W$12))&amp;":M"&amp;(ROW()))))-SUM(INDIRECT("W"&amp;(MAX((1=S$12:S749)*ROW(S$12:S749),ROW($W$12))&amp;":W"&amp;(ROW()-1)))))
)
)</f>
        <v>0</v>
      </c>
      <c r="X750" s="55">
        <f t="shared" ca="1" si="134"/>
        <v>0</v>
      </c>
      <c r="Y750" s="101">
        <f t="shared" ca="1" si="141"/>
        <v>0</v>
      </c>
      <c r="Z750" s="133" t="str">
        <f>IF(TYPE((VLOOKUP(Первоначальный[[#This Row],[Дата платежа]],График[Срок конец],1,0)))=16,"",1)</f>
        <v/>
      </c>
      <c r="AA750" s="57"/>
      <c r="AB750" s="134"/>
      <c r="AC75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5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53279.400000000045</v>
      </c>
      <c r="AE75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1855.8599999999992</v>
      </c>
      <c r="AF75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5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104364.92311803281</v>
      </c>
      <c r="AH750" s="55"/>
      <c r="AI750" s="55"/>
      <c r="AJ750" s="55"/>
      <c r="AK750" s="101">
        <f t="shared" ca="1" si="142"/>
        <v>309133.52311803284</v>
      </c>
      <c r="AL750" s="129">
        <f t="array" ref="AL750">MAX((УслРестрактов[Характеристика]="Дата реструктуризации")*(УслРестрактов[Значение]=Первоначальный!$A750),0)</f>
        <v>0</v>
      </c>
    </row>
    <row r="751" spans="1:38" x14ac:dyDescent="0.25">
      <c r="A751" s="97">
        <f t="shared" si="135"/>
        <v>44882</v>
      </c>
      <c r="B751" s="100">
        <f t="shared" ca="1" si="136"/>
        <v>149633.34</v>
      </c>
      <c r="C751" s="55">
        <f t="shared" ca="1" si="144"/>
        <v>53279.400000000045</v>
      </c>
      <c r="D751" s="55">
        <f t="shared" ca="1" si="144"/>
        <v>1855.8599999999992</v>
      </c>
      <c r="E751" s="55">
        <f t="shared" ca="1" si="137"/>
        <v>0</v>
      </c>
      <c r="F751" s="55">
        <f t="shared" ca="1" si="138"/>
        <v>104364.92311803281</v>
      </c>
      <c r="G751" s="101">
        <f t="shared" ca="1" si="139"/>
        <v>309133.52311803284</v>
      </c>
      <c r="H751" s="100">
        <f ca="1">ROUND($B751*VLOOKUP($A751,$A$1:$B$10,2,1)/(365+IF(MOD(YEAR($A751),4),0,1)*($A751-$A750)),2)-Первоначальный[[#This Row],[Проценты на просроченный платеж по ОД за период]]</f>
        <v>75.599999999999994</v>
      </c>
      <c r="I751" s="55">
        <f t="shared" ca="1" si="140"/>
        <v>5.98</v>
      </c>
      <c r="J751" s="55">
        <v>0</v>
      </c>
      <c r="K751" s="55">
        <f t="shared" ca="1" si="143"/>
        <v>318.60350327868844</v>
      </c>
      <c r="L751" s="55">
        <v>0</v>
      </c>
      <c r="M751" s="113">
        <f>SUMIFS(График[Возврат основной суммы долга],График[Дата с учетом нерабочих дней],$A751)</f>
        <v>0</v>
      </c>
      <c r="N751" s="56">
        <f>SUMIFS(График[Возврат начисленных %],График[Дата с учетом нерабочих дней],$A751)</f>
        <v>0</v>
      </c>
      <c r="O751" s="101">
        <v>0</v>
      </c>
      <c r="P751" s="100" cm="1">
        <f t="array" aca="1" ref="P751" ca="1">MAX(IF(AA750="Да",0,SUM(INDIRECT("M"&amp;(MAX(("Да"=AA$12:AA750)*ROW(AA$12:AA750)+1,ROW($P$12))&amp;":M"&amp;(ROW()))))-SUM(INDIRECT("W"&amp;(MAX(("Да"=AA$12:AA750)*ROW(AA$12:AA750)+1,ROW($P$12))&amp;":W"&amp;(ROW()))))),0)</f>
        <v>10972.839999999998</v>
      </c>
      <c r="Q751" s="99">
        <f ca="1">MAX(SUM($N$13:N751)-SUM($T$13:T751),0)</f>
        <v>52747.860655737692</v>
      </c>
      <c r="R751" s="99">
        <f ca="1">Первоначальный[[#This Row],[Просроченный платеж по ОД]]+Первоначальный[[#This Row],[Просроченный платеж по процентам]]</f>
        <v>63720.700655737688</v>
      </c>
      <c r="S751" s="120">
        <f ca="1">IF(Первоначальный[[#This Row],[Просроченный платеж]]&lt;1,0,S750+1)</f>
        <v>647</v>
      </c>
      <c r="T751" s="100" cm="1">
        <f t="array" aca="1" ref="T751" ca="1">IF(Первоначальный[[#This Row],[Итого остаток на начало периода]]&lt;1,0,
IF(
AND(TYPE(VLOOKUP(1,$Z$12:Z751,1,0))=16,Первоначальный[[#This Row],[Досрочное погашение (да/"")]]=""),0,
_xlfn.IFS(AND(S750=0,Первоначальный[[#This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платеж]]&lt;&gt;0),MIN(LOOKUP(,-1/($Z$12:Z751=1),$C$12:C751)+LOOKUP(,-1/($Z$12:Z751=1),$H$12:H751),Первоначальный[[#This Row],[Полученный платеж]]+Y750),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платеж]]+Y750,SUM(Первоначальный[[#This Row],[Остаток процентов на начало периода]],Первоначальный[[#This Row],[Проценты за период]])),
AND(S750=0,Первоначальный[[#This Row],[Дата платежа из графика]]=""),0,
AND(S750=0,Первоначальный[[#This Row],[Дата платежа из графика]]=1,MAX((0&lt;&gt;S$12:S750)*ROW(S$12:S750),ROW($S$12))&gt;=MAX((1=Z$12:Z750)*ROW(Z$12:Z750),ROW($T$12)),TYPE(VLOOKUP("Да",(INDIRECT("AA"&amp;(MAX((1=Z$12:Z750)*ROW(Z$12:Z750),ROW($T$12))&amp;":AA"&amp;(ROW()-1)))),1,0))=16),MIN(LOOKUP(,-1/($Z$12:Z751=1),$C$12:C751)+LOOKUP(,-1/($Z$12:Z751=1),$H$12:H751),Первоначальный[[#This Row],[Полученный платеж]]+Y750),
AND(S750=0,TYPE(VLOOKUP("Да",(INDIRECT("AA"&amp;(MAX((1=Z$12:Z750)*ROW(Z$12:Z750),ROW($T$12))&amp;":AA"&amp;(ROW()-1)))),1,0))&lt;&gt;16),MIN(LOOKUP(,-1/($Z$12:Z751=1),$C$12:C751)+LOOKUP(,-1/($Z$12:Z751=1),$H$12:H751)-IF(AA750="Да",0,SUM(INDIRECT("T"&amp;(MAX(("Да"=AA$12:AA750)*ROW(AA$12:AA750)+1,ROW($T$12))&amp;":T"&amp;(ROW()-1))))),Первоначальный[[#This Row],[Полученный платеж]]+Y750),
AND(S750=0,MAX((0&lt;&gt;N$12:N750)*ROW(N$12:N750),ROW($S$12))&gt;=MAX((1=Z$12:Z750)*ROW(Z$12:Z750),ROW($T$12))),MIN(LOOKUP(,-1/($Z$12:Z751=1),$C$12:C751)+LOOKUP(,-1/($Z$12:Z751=1),$H$12:H751)-IF(N750&lt;&gt;0,0,SUM(INDIRECT("T"&amp;(MAX((0&lt;&gt;N$12:N750)*ROW(N$12:N750)+1,ROW($T$12))&amp;":T"&amp;(ROW()-1))))),Первоначальный[[#This Row],[Полученный платеж]]+Y750),
AND(S750=0,Первоначальный[[#This Row],[Дата платежа из графика]]=1),MIN(LOOKUP(,-1/($Z$12:Z751=1),$C$12:C751)+LOOKUP(,-1/($Z$12:Z751=1),$H$12:H751)-IF(Z750=1,0,SUM(INDIRECT("T"&amp;(MAX((1=Z$12:Z750)*ROW(Z$12:Z750)+1,ROW($T$12))&amp;":T"&amp;(ROW()-1))))),Первоначальный[[#This Row],[Полученный платеж]]+Y750),
AND(Z750&gt;0,Первоначальный[[#This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платеж]]+Y750),
AND(S750&gt;0,MAX((0&lt;&gt;S$12:S750)*ROW(S$12:S750),ROW($S$12))&gt;=MAX((1=Z$12:Z750)*ROW(Z$12:Z750),ROW($T$12)),TYPE(VLOOKUP("Да",(INDIRECT("AA"&amp;(MAX((1=Z$12:Z750)*ROW(Z$12:Z750),ROW($T$12))&amp;":AA"&amp;(ROW()-1)))),1,0))=16),MIN(LOOKUP(,-1/($Z$12:Z751=1),$C$12:C751)+LOOKUP(,-1/($Z$12:Z751=1),$H$12:H751)-SUM(INDIRECT("T"&amp;(MAX((1=Z$12:Z750)*ROW(Z$12:Z750),ROW($T$12))&amp;":T"&amp;(ROW()-1)))),Первоначальный[[#This Row],[Полученный платеж]]+Y750),
S750&gt;0,MIN(LOOKUP(,-1/($Z$12:Z751=1),$C$12:C751)+LOOKUP(,-1/($Z$12:Z751=1),$H$12:H751)-IF(Z750=1,0,SUM(INDIRECT("T"&amp;(MAX((1=Z$12:Z750)*ROW(Z$12:Z750)+1,ROW($T$12))&amp;":T"&amp;(ROW()-1))))),Первоначальный[[#This Row],[Полученный платеж]]+Y750)
)
)
)</f>
        <v>0</v>
      </c>
      <c r="U75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платеж]]+Y750-Первоначальный[[#This Row],[Полученный платёж по процентам]])</f>
        <v>0</v>
      </c>
      <c r="V751" s="55">
        <f t="shared" ca="1" si="133"/>
        <v>0</v>
      </c>
      <c r="W751" s="55" cm="1">
        <f t="array" aca="1" ref="W751" ca="1">IF(Первоначальный[[#This Row],[Итого остаток на начало периода]]&lt;1,0,
_xlfn.IFS(
AND(TYPE(VLOOKUP(1,$Z$12:Z751,1,0))=16,Первоначальный[[#This Row],[Досрочное погашение (да/"")]]=""),0,
AND(S750=0,Первоначальный[[#This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платеж]]+Y750-SUM(Первоначальный[[#This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комиссиям]]),VLOOKUP(LOOKUP(,-1/($Z$12:Z751=1),$A$12:A751),График[[Срок конец]:[Возврат основной суммы долга]],3,0)),
AND(S750=0,Первоначальный[[#This Row],[Дата платежа из графика]]="",Первоначальный[[#This Row],[Досрочное погашение (да/"")]]&lt;&gt;"Да"),0,
AND(S750=0,Первоначальный[[#This Row],[Досрочное погашение (да/"")]]=""),MIN(Первоначальный[[#This Row],[Полученный платеж]]+Y750-SUM(Первоначальный[[#This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комиссиям]]),VLOOKUP(LOOKUP(,-1/($Z$12:Z751=1),$A$12:A751),График[[Срок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платеж]]+Y750-SUM(Первоначальный[[#This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S750&gt;0,MIN(Первоначальный[[#This Row],[Полученный платеж]]+Y750-SUM(Первоначальный[[#This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комиссиям]]),SUM(INDIRECT("M"&amp;(MAX((1=S$12:S750)*ROW(S$12:S750),ROW($W$12))&amp;":M"&amp;(ROW()))))-SUM(INDIRECT("W"&amp;(MAX((1=S$12:S750)*ROW(S$12:S750),ROW($W$12))&amp;":W"&amp;(ROW()-1)))))
)
)</f>
        <v>0</v>
      </c>
      <c r="X751" s="55">
        <f t="shared" ca="1" si="134"/>
        <v>0</v>
      </c>
      <c r="Y751" s="101">
        <f t="shared" ca="1" si="141"/>
        <v>0</v>
      </c>
      <c r="Z751" s="133" t="str">
        <f>IF(TYPE((VLOOKUP(Первоначальный[[#This Row],[Дата платежа]],График[Срок конец],1,0)))=16,"",1)</f>
        <v/>
      </c>
      <c r="AA751" s="57"/>
      <c r="AB751" s="134"/>
      <c r="AC75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5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53355.000000000044</v>
      </c>
      <c r="AE75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1861.8399999999992</v>
      </c>
      <c r="AF75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5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104683.5266213115</v>
      </c>
      <c r="AH751" s="55"/>
      <c r="AI751" s="55"/>
      <c r="AJ751" s="55"/>
      <c r="AK751" s="101">
        <f t="shared" ca="1" si="142"/>
        <v>309533.70662131149</v>
      </c>
      <c r="AL751" s="129">
        <f t="array" ref="AL751">MAX((УслРестрактов[Характеристика]="Дата реструктуризации")*(УслРестрактов[Значение]=Первоначальный!$A751),0)</f>
        <v>0</v>
      </c>
    </row>
    <row r="752" spans="1:38" x14ac:dyDescent="0.25">
      <c r="A752" s="97">
        <f t="shared" si="135"/>
        <v>44883</v>
      </c>
      <c r="B752" s="100">
        <f t="shared" ca="1" si="136"/>
        <v>149633.34</v>
      </c>
      <c r="C752" s="55">
        <f t="shared" ca="1" si="144"/>
        <v>53355.000000000044</v>
      </c>
      <c r="D752" s="55">
        <f t="shared" ca="1" si="144"/>
        <v>1861.8399999999992</v>
      </c>
      <c r="E752" s="55">
        <f t="shared" ca="1" si="137"/>
        <v>0</v>
      </c>
      <c r="F752" s="55">
        <f t="shared" ca="1" si="138"/>
        <v>104683.5266213115</v>
      </c>
      <c r="G752" s="101">
        <f t="shared" ca="1" si="139"/>
        <v>309533.70662131149</v>
      </c>
      <c r="H752" s="100">
        <f ca="1">ROUND($B752*VLOOKUP($A752,$A$1:$B$10,2,1)/(365+IF(MOD(YEAR($A752),4),0,1)*($A752-$A751)),2)-Первоначальный[[#This Row],[Проценты на просроченный платеж по ОД за период]]</f>
        <v>75.599999999999994</v>
      </c>
      <c r="I752" s="55">
        <f t="shared" ca="1" si="140"/>
        <v>5.98</v>
      </c>
      <c r="J752" s="55">
        <v>0</v>
      </c>
      <c r="K752" s="55">
        <f t="shared" ca="1" si="143"/>
        <v>318.60350327868844</v>
      </c>
      <c r="L752" s="55">
        <v>0</v>
      </c>
      <c r="M752" s="113">
        <f>SUMIFS(График[Возврат основной суммы долга],График[Дата с учетом нерабочих дней],$A752)</f>
        <v>0</v>
      </c>
      <c r="N752" s="56">
        <f>SUMIFS(График[Возврат начисленных %],График[Дата с учетом нерабочих дней],$A752)</f>
        <v>0</v>
      </c>
      <c r="O752" s="101">
        <v>0</v>
      </c>
      <c r="P752" s="100" cm="1">
        <f t="array" aca="1" ref="P752" ca="1">MAX(IF(AA751="Да",0,SUM(INDIRECT("M"&amp;(MAX(("Да"=AA$12:AA751)*ROW(AA$12:AA751)+1,ROW($P$12))&amp;":M"&amp;(ROW()))))-SUM(INDIRECT("W"&amp;(MAX(("Да"=AA$12:AA751)*ROW(AA$12:AA751)+1,ROW($P$12))&amp;":W"&amp;(ROW()))))),0)</f>
        <v>10972.839999999998</v>
      </c>
      <c r="Q752" s="99">
        <f ca="1">MAX(SUM($N$13:N752)-SUM($T$13:T752),0)</f>
        <v>52747.860655737692</v>
      </c>
      <c r="R752" s="99">
        <f ca="1">Первоначальный[[#This Row],[Просроченный платеж по ОД]]+Первоначальный[[#This Row],[Просроченный платеж по процентам]]</f>
        <v>63720.700655737688</v>
      </c>
      <c r="S752" s="120">
        <f ca="1">IF(Первоначальный[[#This Row],[Просроченный платеж]]&lt;1,0,S751+1)</f>
        <v>648</v>
      </c>
      <c r="T752" s="100" cm="1">
        <f t="array" aca="1" ref="T752" ca="1">IF(Первоначальный[[#This Row],[Итого остаток на начало периода]]&lt;1,0,
IF(
AND(TYPE(VLOOKUP(1,$Z$12:Z752,1,0))=16,Первоначальный[[#This Row],[Досрочное погашение (да/"")]]=""),0,
_xlfn.IFS(AND(S751=0,Первоначальный[[#This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платеж]]&lt;&gt;0),MIN(LOOKUP(,-1/($Z$12:Z752=1),$C$12:C752)+LOOKUP(,-1/($Z$12:Z752=1),$H$12:H752),Первоначальный[[#This Row],[Полученный платеж]]+Y751),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платеж]]+Y751,SUM(Первоначальный[[#This Row],[Остаток процентов на начало периода]],Первоначальный[[#This Row],[Проценты за период]])),
AND(S751=0,Первоначальный[[#This Row],[Дата платежа из графика]]=""),0,
AND(S751=0,Первоначальный[[#This Row],[Дата платежа из графика]]=1,MAX((0&lt;&gt;S$12:S751)*ROW(S$12:S751),ROW($S$12))&gt;=MAX((1=Z$12:Z751)*ROW(Z$12:Z751),ROW($T$12)),TYPE(VLOOKUP("Да",(INDIRECT("AA"&amp;(MAX((1=Z$12:Z751)*ROW(Z$12:Z751),ROW($T$12))&amp;":AA"&amp;(ROW()-1)))),1,0))=16),MIN(LOOKUP(,-1/($Z$12:Z752=1),$C$12:C752)+LOOKUP(,-1/($Z$12:Z752=1),$H$12:H752),Первоначальный[[#This Row],[Полученный платеж]]+Y751),
AND(S751=0,TYPE(VLOOKUP("Да",(INDIRECT("AA"&amp;(MAX((1=Z$12:Z751)*ROW(Z$12:Z751),ROW($T$12))&amp;":AA"&amp;(ROW()-1)))),1,0))&lt;&gt;16),MIN(LOOKUP(,-1/($Z$12:Z752=1),$C$12:C752)+LOOKUP(,-1/($Z$12:Z752=1),$H$12:H752)-IF(AA751="Да",0,SUM(INDIRECT("T"&amp;(MAX(("Да"=AA$12:AA751)*ROW(AA$12:AA751)+1,ROW($T$12))&amp;":T"&amp;(ROW()-1))))),Первоначальный[[#This Row],[Полученный платеж]]+Y751),
AND(S751=0,MAX((0&lt;&gt;N$12:N751)*ROW(N$12:N751),ROW($S$12))&gt;=MAX((1=Z$12:Z751)*ROW(Z$12:Z751),ROW($T$12))),MIN(LOOKUP(,-1/($Z$12:Z752=1),$C$12:C752)+LOOKUP(,-1/($Z$12:Z752=1),$H$12:H752)-IF(N751&lt;&gt;0,0,SUM(INDIRECT("T"&amp;(MAX((0&lt;&gt;N$12:N751)*ROW(N$12:N751)+1,ROW($T$12))&amp;":T"&amp;(ROW()-1))))),Первоначальный[[#This Row],[Полученный платеж]]+Y751),
AND(S751=0,Первоначальный[[#This Row],[Дата платежа из графика]]=1),MIN(LOOKUP(,-1/($Z$12:Z752=1),$C$12:C752)+LOOKUP(,-1/($Z$12:Z752=1),$H$12:H752)-IF(Z751=1,0,SUM(INDIRECT("T"&amp;(MAX((1=Z$12:Z751)*ROW(Z$12:Z751)+1,ROW($T$12))&amp;":T"&amp;(ROW()-1))))),Первоначальный[[#This Row],[Полученный платеж]]+Y751),
AND(Z751&gt;0,Первоначальный[[#This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платеж]]+Y751),
AND(S751&gt;0,MAX((0&lt;&gt;S$12:S751)*ROW(S$12:S751),ROW($S$12))&gt;=MAX((1=Z$12:Z751)*ROW(Z$12:Z751),ROW($T$12)),TYPE(VLOOKUP("Да",(INDIRECT("AA"&amp;(MAX((1=Z$12:Z751)*ROW(Z$12:Z751),ROW($T$12))&amp;":AA"&amp;(ROW()-1)))),1,0))=16),MIN(LOOKUP(,-1/($Z$12:Z752=1),$C$12:C752)+LOOKUP(,-1/($Z$12:Z752=1),$H$12:H752)-SUM(INDIRECT("T"&amp;(MAX((1=Z$12:Z751)*ROW(Z$12:Z751),ROW($T$12))&amp;":T"&amp;(ROW()-1)))),Первоначальный[[#This Row],[Полученный платеж]]+Y751),
S751&gt;0,MIN(LOOKUP(,-1/($Z$12:Z752=1),$C$12:C752)+LOOKUP(,-1/($Z$12:Z752=1),$H$12:H752)-IF(Z751=1,0,SUM(INDIRECT("T"&amp;(MAX((1=Z$12:Z751)*ROW(Z$12:Z751)+1,ROW($T$12))&amp;":T"&amp;(ROW()-1))))),Первоначальный[[#This Row],[Полученный платеж]]+Y751)
)
)
)</f>
        <v>0</v>
      </c>
      <c r="U75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платеж]]+Y751-Первоначальный[[#This Row],[Полученный платёж по процентам]])</f>
        <v>0</v>
      </c>
      <c r="V752" s="55">
        <f t="shared" ca="1" si="133"/>
        <v>0</v>
      </c>
      <c r="W752" s="55" cm="1">
        <f t="array" aca="1" ref="W752" ca="1">IF(Первоначальный[[#This Row],[Итого остаток на начало периода]]&lt;1,0,
_xlfn.IFS(
AND(TYPE(VLOOKUP(1,$Z$12:Z752,1,0))=16,Первоначальный[[#This Row],[Досрочное погашение (да/"")]]=""),0,
AND(S751=0,Первоначальный[[#This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платеж]]+Y751-SUM(Первоначальный[[#This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комиссиям]]),VLOOKUP(LOOKUP(,-1/($Z$12:Z752=1),$A$12:A752),График[[Срок конец]:[Возврат основной суммы долга]],3,0)),
AND(S751=0,Первоначальный[[#This Row],[Дата платежа из графика]]="",Первоначальный[[#This Row],[Досрочное погашение (да/"")]]&lt;&gt;"Да"),0,
AND(S751=0,Первоначальный[[#This Row],[Досрочное погашение (да/"")]]=""),MIN(Первоначальный[[#This Row],[Полученный платеж]]+Y751-SUM(Первоначальный[[#This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комиссиям]]),VLOOKUP(LOOKUP(,-1/($Z$12:Z752=1),$A$12:A752),График[[Срок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платеж]]+Y751-SUM(Первоначальный[[#This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S751&gt;0,MIN(Первоначальный[[#This Row],[Полученный платеж]]+Y751-SUM(Первоначальный[[#This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комиссиям]]),SUM(INDIRECT("M"&amp;(MAX((1=S$12:S751)*ROW(S$12:S751),ROW($W$12))&amp;":M"&amp;(ROW()))))-SUM(INDIRECT("W"&amp;(MAX((1=S$12:S751)*ROW(S$12:S751),ROW($W$12))&amp;":W"&amp;(ROW()-1)))))
)
)</f>
        <v>0</v>
      </c>
      <c r="X752" s="55">
        <f t="shared" ca="1" si="134"/>
        <v>0</v>
      </c>
      <c r="Y752" s="101">
        <f t="shared" ca="1" si="141"/>
        <v>0</v>
      </c>
      <c r="Z752" s="133" t="str">
        <f>IF(TYPE((VLOOKUP(Первоначальный[[#This Row],[Дата платежа]],График[Срок конец],1,0)))=16,"",1)</f>
        <v/>
      </c>
      <c r="AA752" s="57"/>
      <c r="AB752" s="134"/>
      <c r="AC75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5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53430.600000000042</v>
      </c>
      <c r="AE75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1867.8199999999993</v>
      </c>
      <c r="AF75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5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105002.13012459019</v>
      </c>
      <c r="AH752" s="55"/>
      <c r="AI752" s="55"/>
      <c r="AJ752" s="55"/>
      <c r="AK752" s="101">
        <f t="shared" ca="1" si="142"/>
        <v>309933.89012459025</v>
      </c>
      <c r="AL752" s="129">
        <f t="array" ref="AL752">MAX((УслРестрактов[Характеристика]="Дата реструктуризации")*(УслРестрактов[Значение]=Первоначальный!$A752),0)</f>
        <v>0</v>
      </c>
    </row>
    <row r="753" spans="1:38" x14ac:dyDescent="0.25">
      <c r="A753" s="97">
        <f t="shared" si="135"/>
        <v>44884</v>
      </c>
      <c r="B753" s="100">
        <f t="shared" ca="1" si="136"/>
        <v>149633.34</v>
      </c>
      <c r="C753" s="55">
        <f t="shared" ca="1" si="144"/>
        <v>53430.600000000042</v>
      </c>
      <c r="D753" s="55">
        <f t="shared" ca="1" si="144"/>
        <v>1867.8199999999993</v>
      </c>
      <c r="E753" s="55">
        <f t="shared" ca="1" si="137"/>
        <v>0</v>
      </c>
      <c r="F753" s="55">
        <f t="shared" ca="1" si="138"/>
        <v>105002.13012459019</v>
      </c>
      <c r="G753" s="101">
        <f t="shared" ca="1" si="139"/>
        <v>309933.89012459025</v>
      </c>
      <c r="H753" s="100">
        <f ca="1">ROUND($B753*VLOOKUP($A753,$A$1:$B$10,2,1)/(365+IF(MOD(YEAR($A753),4),0,1)*($A753-$A752)),2)-Первоначальный[[#This Row],[Проценты на просроченный платеж по ОД за период]]</f>
        <v>75.599999999999994</v>
      </c>
      <c r="I753" s="55">
        <f t="shared" ca="1" si="140"/>
        <v>5.98</v>
      </c>
      <c r="J753" s="55">
        <v>0</v>
      </c>
      <c r="K753" s="55">
        <f t="shared" ca="1" si="143"/>
        <v>318.60350327868844</v>
      </c>
      <c r="L753" s="55">
        <v>0</v>
      </c>
      <c r="M753" s="113">
        <f>SUMIFS(График[Возврат основной суммы долга],График[Дата с учетом нерабочих дней],$A753)</f>
        <v>0</v>
      </c>
      <c r="N753" s="56">
        <f>SUMIFS(График[Возврат начисленных %],График[Дата с учетом нерабочих дней],$A753)</f>
        <v>0</v>
      </c>
      <c r="O753" s="101">
        <v>0</v>
      </c>
      <c r="P753" s="100" cm="1">
        <f t="array" aca="1" ref="P753" ca="1">MAX(IF(AA752="Да",0,SUM(INDIRECT("M"&amp;(MAX(("Да"=AA$12:AA752)*ROW(AA$12:AA752)+1,ROW($P$12))&amp;":M"&amp;(ROW()))))-SUM(INDIRECT("W"&amp;(MAX(("Да"=AA$12:AA752)*ROW(AA$12:AA752)+1,ROW($P$12))&amp;":W"&amp;(ROW()))))),0)</f>
        <v>10972.839999999998</v>
      </c>
      <c r="Q753" s="99">
        <f ca="1">MAX(SUM($N$13:N753)-SUM($T$13:T753),0)</f>
        <v>52747.860655737692</v>
      </c>
      <c r="R753" s="99">
        <f ca="1">Первоначальный[[#This Row],[Просроченный платеж по ОД]]+Первоначальный[[#This Row],[Просроченный платеж по процентам]]</f>
        <v>63720.700655737688</v>
      </c>
      <c r="S753" s="120">
        <f ca="1">IF(Первоначальный[[#This Row],[Просроченный платеж]]&lt;1,0,S752+1)</f>
        <v>649</v>
      </c>
      <c r="T753" s="100" cm="1">
        <f t="array" aca="1" ref="T753" ca="1">IF(Первоначальный[[#This Row],[Итого остаток на начало периода]]&lt;1,0,
IF(
AND(TYPE(VLOOKUP(1,$Z$12:Z753,1,0))=16,Первоначальный[[#This Row],[Досрочное погашение (да/"")]]=""),0,
_xlfn.IFS(AND(S752=0,Первоначальный[[#This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платеж]]&lt;&gt;0),MIN(LOOKUP(,-1/($Z$12:Z753=1),$C$12:C753)+LOOKUP(,-1/($Z$12:Z753=1),$H$12:H753),Первоначальный[[#This Row],[Полученный платеж]]+Y752),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платеж]]+Y752,SUM(Первоначальный[[#This Row],[Остаток процентов на начало периода]],Первоначальный[[#This Row],[Проценты за период]])),
AND(S752=0,Первоначальный[[#This Row],[Дата платежа из графика]]=""),0,
AND(S752=0,Первоначальный[[#This Row],[Дата платежа из графика]]=1,MAX((0&lt;&gt;S$12:S752)*ROW(S$12:S752),ROW($S$12))&gt;=MAX((1=Z$12:Z752)*ROW(Z$12:Z752),ROW($T$12)),TYPE(VLOOKUP("Да",(INDIRECT("AA"&amp;(MAX((1=Z$12:Z752)*ROW(Z$12:Z752),ROW($T$12))&amp;":AA"&amp;(ROW()-1)))),1,0))=16),MIN(LOOKUP(,-1/($Z$12:Z753=1),$C$12:C753)+LOOKUP(,-1/($Z$12:Z753=1),$H$12:H753),Первоначальный[[#This Row],[Полученный платеж]]+Y752),
AND(S752=0,TYPE(VLOOKUP("Да",(INDIRECT("AA"&amp;(MAX((1=Z$12:Z752)*ROW(Z$12:Z752),ROW($T$12))&amp;":AA"&amp;(ROW()-1)))),1,0))&lt;&gt;16),MIN(LOOKUP(,-1/($Z$12:Z753=1),$C$12:C753)+LOOKUP(,-1/($Z$12:Z753=1),$H$12:H753)-IF(AA752="Да",0,SUM(INDIRECT("T"&amp;(MAX(("Да"=AA$12:AA752)*ROW(AA$12:AA752)+1,ROW($T$12))&amp;":T"&amp;(ROW()-1))))),Первоначальный[[#This Row],[Полученный платеж]]+Y752),
AND(S752=0,MAX((0&lt;&gt;N$12:N752)*ROW(N$12:N752),ROW($S$12))&gt;=MAX((1=Z$12:Z752)*ROW(Z$12:Z752),ROW($T$12))),MIN(LOOKUP(,-1/($Z$12:Z753=1),$C$12:C753)+LOOKUP(,-1/($Z$12:Z753=1),$H$12:H753)-IF(N752&lt;&gt;0,0,SUM(INDIRECT("T"&amp;(MAX((0&lt;&gt;N$12:N752)*ROW(N$12:N752)+1,ROW($T$12))&amp;":T"&amp;(ROW()-1))))),Первоначальный[[#This Row],[Полученный платеж]]+Y752),
AND(S752=0,Первоначальный[[#This Row],[Дата платежа из графика]]=1),MIN(LOOKUP(,-1/($Z$12:Z753=1),$C$12:C753)+LOOKUP(,-1/($Z$12:Z753=1),$H$12:H753)-IF(Z752=1,0,SUM(INDIRECT("T"&amp;(MAX((1=Z$12:Z752)*ROW(Z$12:Z752)+1,ROW($T$12))&amp;":T"&amp;(ROW()-1))))),Первоначальный[[#This Row],[Полученный платеж]]+Y752),
AND(Z752&gt;0,Первоначальный[[#This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платеж]]+Y752),
AND(S752&gt;0,MAX((0&lt;&gt;S$12:S752)*ROW(S$12:S752),ROW($S$12))&gt;=MAX((1=Z$12:Z752)*ROW(Z$12:Z752),ROW($T$12)),TYPE(VLOOKUP("Да",(INDIRECT("AA"&amp;(MAX((1=Z$12:Z752)*ROW(Z$12:Z752),ROW($T$12))&amp;":AA"&amp;(ROW()-1)))),1,0))=16),MIN(LOOKUP(,-1/($Z$12:Z753=1),$C$12:C753)+LOOKUP(,-1/($Z$12:Z753=1),$H$12:H753)-SUM(INDIRECT("T"&amp;(MAX((1=Z$12:Z752)*ROW(Z$12:Z752),ROW($T$12))&amp;":T"&amp;(ROW()-1)))),Первоначальный[[#This Row],[Полученный платеж]]+Y752),
S752&gt;0,MIN(LOOKUP(,-1/($Z$12:Z753=1),$C$12:C753)+LOOKUP(,-1/($Z$12:Z753=1),$H$12:H753)-IF(Z752=1,0,SUM(INDIRECT("T"&amp;(MAX((1=Z$12:Z752)*ROW(Z$12:Z752)+1,ROW($T$12))&amp;":T"&amp;(ROW()-1))))),Первоначальный[[#This Row],[Полученный платеж]]+Y752)
)
)
)</f>
        <v>0</v>
      </c>
      <c r="U75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платеж]]+Y752-Первоначальный[[#This Row],[Полученный платёж по процентам]])</f>
        <v>0</v>
      </c>
      <c r="V753" s="55">
        <f t="shared" ca="1" si="133"/>
        <v>0</v>
      </c>
      <c r="W753" s="55" cm="1">
        <f t="array" aca="1" ref="W753" ca="1">IF(Первоначальный[[#This Row],[Итого остаток на начало периода]]&lt;1,0,
_xlfn.IFS(
AND(TYPE(VLOOKUP(1,$Z$12:Z753,1,0))=16,Первоначальный[[#This Row],[Досрочное погашение (да/"")]]=""),0,
AND(S752=0,Первоначальный[[#This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платеж]]+Y752-SUM(Первоначальный[[#This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комиссиям]]),VLOOKUP(LOOKUP(,-1/($Z$12:Z753=1),$A$12:A753),График[[Срок конец]:[Возврат основной суммы долга]],3,0)),
AND(S752=0,Первоначальный[[#This Row],[Дата платежа из графика]]="",Первоначальный[[#This Row],[Досрочное погашение (да/"")]]&lt;&gt;"Да"),0,
AND(S752=0,Первоначальный[[#This Row],[Досрочное погашение (да/"")]]=""),MIN(Первоначальный[[#This Row],[Полученный платеж]]+Y752-SUM(Первоначальный[[#This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комиссиям]]),VLOOKUP(LOOKUP(,-1/($Z$12:Z753=1),$A$12:A753),График[[Срок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платеж]]+Y752-SUM(Первоначальный[[#This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S752&gt;0,MIN(Первоначальный[[#This Row],[Полученный платеж]]+Y752-SUM(Первоначальный[[#This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комиссиям]]),SUM(INDIRECT("M"&amp;(MAX((1=S$12:S752)*ROW(S$12:S752),ROW($W$12))&amp;":M"&amp;(ROW()))))-SUM(INDIRECT("W"&amp;(MAX((1=S$12:S752)*ROW(S$12:S752),ROW($W$12))&amp;":W"&amp;(ROW()-1)))))
)
)</f>
        <v>0</v>
      </c>
      <c r="X753" s="55">
        <f t="shared" ca="1" si="134"/>
        <v>0</v>
      </c>
      <c r="Y753" s="101">
        <f t="shared" ca="1" si="141"/>
        <v>0</v>
      </c>
      <c r="Z753" s="133" t="str">
        <f>IF(TYPE((VLOOKUP(Первоначальный[[#This Row],[Дата платежа]],График[Срок конец],1,0)))=16,"",1)</f>
        <v/>
      </c>
      <c r="AA753" s="57"/>
      <c r="AB753" s="134"/>
      <c r="AC75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5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53506.200000000041</v>
      </c>
      <c r="AE75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1873.7999999999993</v>
      </c>
      <c r="AF75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5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105320.73362786887</v>
      </c>
      <c r="AH753" s="55"/>
      <c r="AI753" s="55"/>
      <c r="AJ753" s="55"/>
      <c r="AK753" s="101">
        <f t="shared" ca="1" si="142"/>
        <v>310334.0736278689</v>
      </c>
      <c r="AL753" s="129">
        <f t="array" ref="AL753">MAX((УслРестрактов[Характеристика]="Дата реструктуризации")*(УслРестрактов[Значение]=Первоначальный!$A753),0)</f>
        <v>0</v>
      </c>
    </row>
    <row r="754" spans="1:38" x14ac:dyDescent="0.25">
      <c r="A754" s="97">
        <f t="shared" si="135"/>
        <v>44885</v>
      </c>
      <c r="B754" s="100">
        <f t="shared" ca="1" si="136"/>
        <v>149633.34</v>
      </c>
      <c r="C754" s="55">
        <f t="shared" ca="1" si="144"/>
        <v>53506.200000000041</v>
      </c>
      <c r="D754" s="55">
        <f t="shared" ca="1" si="144"/>
        <v>1873.7999999999993</v>
      </c>
      <c r="E754" s="55">
        <f t="shared" ca="1" si="137"/>
        <v>0</v>
      </c>
      <c r="F754" s="55">
        <f t="shared" ca="1" si="138"/>
        <v>105320.73362786887</v>
      </c>
      <c r="G754" s="101">
        <f t="shared" ca="1" si="139"/>
        <v>310334.0736278689</v>
      </c>
      <c r="H754" s="100">
        <f ca="1">ROUND($B754*VLOOKUP($A754,$A$1:$B$10,2,1)/(365+IF(MOD(YEAR($A754),4),0,1)*($A754-$A753)),2)-Первоначальный[[#This Row],[Проценты на просроченный платеж по ОД за период]]</f>
        <v>75.599999999999994</v>
      </c>
      <c r="I754" s="55">
        <f t="shared" ca="1" si="140"/>
        <v>5.98</v>
      </c>
      <c r="J754" s="55">
        <v>0</v>
      </c>
      <c r="K754" s="55">
        <f t="shared" ca="1" si="143"/>
        <v>318.60350327868844</v>
      </c>
      <c r="L754" s="55">
        <v>0</v>
      </c>
      <c r="M754" s="113">
        <f>SUMIFS(График[Возврат основной суммы долга],График[Дата с учетом нерабочих дней],$A754)</f>
        <v>0</v>
      </c>
      <c r="N754" s="56">
        <f>SUMIFS(График[Возврат начисленных %],График[Дата с учетом нерабочих дней],$A754)</f>
        <v>0</v>
      </c>
      <c r="O754" s="101">
        <v>0</v>
      </c>
      <c r="P754" s="100" cm="1">
        <f t="array" aca="1" ref="P754" ca="1">MAX(IF(AA753="Да",0,SUM(INDIRECT("M"&amp;(MAX(("Да"=AA$12:AA753)*ROW(AA$12:AA753)+1,ROW($P$12))&amp;":M"&amp;(ROW()))))-SUM(INDIRECT("W"&amp;(MAX(("Да"=AA$12:AA753)*ROW(AA$12:AA753)+1,ROW($P$12))&amp;":W"&amp;(ROW()))))),0)</f>
        <v>10972.839999999998</v>
      </c>
      <c r="Q754" s="99">
        <f ca="1">MAX(SUM($N$13:N754)-SUM($T$13:T754),0)</f>
        <v>52747.860655737692</v>
      </c>
      <c r="R754" s="99">
        <f ca="1">Первоначальный[[#This Row],[Просроченный платеж по ОД]]+Первоначальный[[#This Row],[Просроченный платеж по процентам]]</f>
        <v>63720.700655737688</v>
      </c>
      <c r="S754" s="120">
        <f ca="1">IF(Первоначальный[[#This Row],[Просроченный платеж]]&lt;1,0,S753+1)</f>
        <v>650</v>
      </c>
      <c r="T754" s="100" cm="1">
        <f t="array" aca="1" ref="T754" ca="1">IF(Первоначальный[[#This Row],[Итого остаток на начало периода]]&lt;1,0,
IF(
AND(TYPE(VLOOKUP(1,$Z$12:Z754,1,0))=16,Первоначальный[[#This Row],[Досрочное погашение (да/"")]]=""),0,
_xlfn.IFS(AND(S753=0,Первоначальный[[#This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платеж]]&lt;&gt;0),MIN(LOOKUP(,-1/($Z$12:Z754=1),$C$12:C754)+LOOKUP(,-1/($Z$12:Z754=1),$H$12:H754),Первоначальный[[#This Row],[Полученный платеж]]+Y753),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платеж]]+Y753,SUM(Первоначальный[[#This Row],[Остаток процентов на начало периода]],Первоначальный[[#This Row],[Проценты за период]])),
AND(S753=0,Первоначальный[[#This Row],[Дата платежа из графика]]=""),0,
AND(S753=0,Первоначальный[[#This Row],[Дата платежа из графика]]=1,MAX((0&lt;&gt;S$12:S753)*ROW(S$12:S753),ROW($S$12))&gt;=MAX((1=Z$12:Z753)*ROW(Z$12:Z753),ROW($T$12)),TYPE(VLOOKUP("Да",(INDIRECT("AA"&amp;(MAX((1=Z$12:Z753)*ROW(Z$12:Z753),ROW($T$12))&amp;":AA"&amp;(ROW()-1)))),1,0))=16),MIN(LOOKUP(,-1/($Z$12:Z754=1),$C$12:C754)+LOOKUP(,-1/($Z$12:Z754=1),$H$12:H754),Первоначальный[[#This Row],[Полученный платеж]]+Y753),
AND(S753=0,TYPE(VLOOKUP("Да",(INDIRECT("AA"&amp;(MAX((1=Z$12:Z753)*ROW(Z$12:Z753),ROW($T$12))&amp;":AA"&amp;(ROW()-1)))),1,0))&lt;&gt;16),MIN(LOOKUP(,-1/($Z$12:Z754=1),$C$12:C754)+LOOKUP(,-1/($Z$12:Z754=1),$H$12:H754)-IF(AA753="Да",0,SUM(INDIRECT("T"&amp;(MAX(("Да"=AA$12:AA753)*ROW(AA$12:AA753)+1,ROW($T$12))&amp;":T"&amp;(ROW()-1))))),Первоначальный[[#This Row],[Полученный платеж]]+Y753),
AND(S753=0,MAX((0&lt;&gt;N$12:N753)*ROW(N$12:N753),ROW($S$12))&gt;=MAX((1=Z$12:Z753)*ROW(Z$12:Z753),ROW($T$12))),MIN(LOOKUP(,-1/($Z$12:Z754=1),$C$12:C754)+LOOKUP(,-1/($Z$12:Z754=1),$H$12:H754)-IF(N753&lt;&gt;0,0,SUM(INDIRECT("T"&amp;(MAX((0&lt;&gt;N$12:N753)*ROW(N$12:N753)+1,ROW($T$12))&amp;":T"&amp;(ROW()-1))))),Первоначальный[[#This Row],[Полученный платеж]]+Y753),
AND(S753=0,Первоначальный[[#This Row],[Дата платежа из графика]]=1),MIN(LOOKUP(,-1/($Z$12:Z754=1),$C$12:C754)+LOOKUP(,-1/($Z$12:Z754=1),$H$12:H754)-IF(Z753=1,0,SUM(INDIRECT("T"&amp;(MAX((1=Z$12:Z753)*ROW(Z$12:Z753)+1,ROW($T$12))&amp;":T"&amp;(ROW()-1))))),Первоначальный[[#This Row],[Полученный платеж]]+Y753),
AND(Z753&gt;0,Первоначальный[[#This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платеж]]+Y753),
AND(S753&gt;0,MAX((0&lt;&gt;S$12:S753)*ROW(S$12:S753),ROW($S$12))&gt;=MAX((1=Z$12:Z753)*ROW(Z$12:Z753),ROW($T$12)),TYPE(VLOOKUP("Да",(INDIRECT("AA"&amp;(MAX((1=Z$12:Z753)*ROW(Z$12:Z753),ROW($T$12))&amp;":AA"&amp;(ROW()-1)))),1,0))=16),MIN(LOOKUP(,-1/($Z$12:Z754=1),$C$12:C754)+LOOKUP(,-1/($Z$12:Z754=1),$H$12:H754)-SUM(INDIRECT("T"&amp;(MAX((1=Z$12:Z753)*ROW(Z$12:Z753),ROW($T$12))&amp;":T"&amp;(ROW()-1)))),Первоначальный[[#This Row],[Полученный платеж]]+Y753),
S753&gt;0,MIN(LOOKUP(,-1/($Z$12:Z754=1),$C$12:C754)+LOOKUP(,-1/($Z$12:Z754=1),$H$12:H754)-IF(Z753=1,0,SUM(INDIRECT("T"&amp;(MAX((1=Z$12:Z753)*ROW(Z$12:Z753)+1,ROW($T$12))&amp;":T"&amp;(ROW()-1))))),Первоначальный[[#This Row],[Полученный платеж]]+Y753)
)
)
)</f>
        <v>0</v>
      </c>
      <c r="U75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платеж]]+Y753-Первоначальный[[#This Row],[Полученный платёж по процентам]])</f>
        <v>0</v>
      </c>
      <c r="V754" s="55">
        <f t="shared" ca="1" si="133"/>
        <v>0</v>
      </c>
      <c r="W754" s="55" cm="1">
        <f t="array" aca="1" ref="W754" ca="1">IF(Первоначальный[[#This Row],[Итого остаток на начало периода]]&lt;1,0,
_xlfn.IFS(
AND(TYPE(VLOOKUP(1,$Z$12:Z754,1,0))=16,Первоначальный[[#This Row],[Досрочное погашение (да/"")]]=""),0,
AND(S753=0,Первоначальный[[#This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платеж]]+Y753-SUM(Первоначальный[[#This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комиссиям]]),VLOOKUP(LOOKUP(,-1/($Z$12:Z754=1),$A$12:A754),График[[Срок конец]:[Возврат основной суммы долга]],3,0)),
AND(S753=0,Первоначальный[[#This Row],[Дата платежа из графика]]="",Первоначальный[[#This Row],[Досрочное погашение (да/"")]]&lt;&gt;"Да"),0,
AND(S753=0,Первоначальный[[#This Row],[Досрочное погашение (да/"")]]=""),MIN(Первоначальный[[#This Row],[Полученный платеж]]+Y753-SUM(Первоначальный[[#This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комиссиям]]),VLOOKUP(LOOKUP(,-1/($Z$12:Z754=1),$A$12:A754),График[[Срок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платеж]]+Y753-SUM(Первоначальный[[#This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S753&gt;0,MIN(Первоначальный[[#This Row],[Полученный платеж]]+Y753-SUM(Первоначальный[[#This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комиссиям]]),SUM(INDIRECT("M"&amp;(MAX((1=S$12:S753)*ROW(S$12:S753),ROW($W$12))&amp;":M"&amp;(ROW()))))-SUM(INDIRECT("W"&amp;(MAX((1=S$12:S753)*ROW(S$12:S753),ROW($W$12))&amp;":W"&amp;(ROW()-1)))))
)
)</f>
        <v>0</v>
      </c>
      <c r="X754" s="55">
        <f t="shared" ca="1" si="134"/>
        <v>0</v>
      </c>
      <c r="Y754" s="101">
        <f t="shared" ca="1" si="141"/>
        <v>0</v>
      </c>
      <c r="Z754" s="133" t="str">
        <f>IF(TYPE((VLOOKUP(Первоначальный[[#This Row],[Дата платежа]],График[Срок конец],1,0)))=16,"",1)</f>
        <v/>
      </c>
      <c r="AA754" s="57"/>
      <c r="AB754" s="134"/>
      <c r="AC75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5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53581.800000000039</v>
      </c>
      <c r="AE75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1879.7799999999993</v>
      </c>
      <c r="AF75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5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105639.33713114756</v>
      </c>
      <c r="AH754" s="55"/>
      <c r="AI754" s="55"/>
      <c r="AJ754" s="55"/>
      <c r="AK754" s="101">
        <f t="shared" ca="1" si="142"/>
        <v>310734.25713114761</v>
      </c>
      <c r="AL754" s="129">
        <f t="array" ref="AL754">MAX((УслРестрактов[Характеристика]="Дата реструктуризации")*(УслРестрактов[Значение]=Первоначальный!$A754),0)</f>
        <v>0</v>
      </c>
    </row>
    <row r="755" spans="1:38" x14ac:dyDescent="0.25">
      <c r="A755" s="97">
        <f t="shared" si="135"/>
        <v>44886</v>
      </c>
      <c r="B755" s="100">
        <f t="shared" ca="1" si="136"/>
        <v>149633.34</v>
      </c>
      <c r="C755" s="55">
        <f t="shared" ca="1" si="144"/>
        <v>53581.800000000039</v>
      </c>
      <c r="D755" s="55">
        <f t="shared" ca="1" si="144"/>
        <v>1879.7799999999993</v>
      </c>
      <c r="E755" s="55">
        <f t="shared" ca="1" si="137"/>
        <v>0</v>
      </c>
      <c r="F755" s="55">
        <f t="shared" ca="1" si="138"/>
        <v>105639.33713114756</v>
      </c>
      <c r="G755" s="101">
        <f t="shared" ca="1" si="139"/>
        <v>310734.25713114761</v>
      </c>
      <c r="H755" s="100">
        <f ca="1">ROUND($B755*VLOOKUP($A755,$A$1:$B$10,2,1)/(365+IF(MOD(YEAR($A755),4),0,1)*($A755-$A754)),2)-Первоначальный[[#This Row],[Проценты на просроченный платеж по ОД за период]]</f>
        <v>75.599999999999994</v>
      </c>
      <c r="I755" s="55">
        <f t="shared" ca="1" si="140"/>
        <v>5.98</v>
      </c>
      <c r="J755" s="55">
        <v>0</v>
      </c>
      <c r="K755" s="55">
        <f t="shared" ca="1" si="143"/>
        <v>318.60350327868844</v>
      </c>
      <c r="L755" s="55">
        <v>0</v>
      </c>
      <c r="M755" s="113">
        <f>SUMIFS(График[Возврат основной суммы долга],График[Дата с учетом нерабочих дней],$A755)</f>
        <v>0</v>
      </c>
      <c r="N755" s="56">
        <f>SUMIFS(График[Возврат начисленных %],График[Дата с учетом нерабочих дней],$A755)</f>
        <v>0</v>
      </c>
      <c r="O755" s="101">
        <v>0</v>
      </c>
      <c r="P755" s="100" cm="1">
        <f t="array" aca="1" ref="P755" ca="1">MAX(IF(AA754="Да",0,SUM(INDIRECT("M"&amp;(MAX(("Да"=AA$12:AA754)*ROW(AA$12:AA754)+1,ROW($P$12))&amp;":M"&amp;(ROW()))))-SUM(INDIRECT("W"&amp;(MAX(("Да"=AA$12:AA754)*ROW(AA$12:AA754)+1,ROW($P$12))&amp;":W"&amp;(ROW()))))),0)</f>
        <v>10972.839999999998</v>
      </c>
      <c r="Q755" s="99">
        <f ca="1">MAX(SUM($N$13:N755)-SUM($T$13:T755),0)</f>
        <v>52747.860655737692</v>
      </c>
      <c r="R755" s="99">
        <f ca="1">Первоначальный[[#This Row],[Просроченный платеж по ОД]]+Первоначальный[[#This Row],[Просроченный платеж по процентам]]</f>
        <v>63720.700655737688</v>
      </c>
      <c r="S755" s="120">
        <f ca="1">IF(Первоначальный[[#This Row],[Просроченный платеж]]&lt;1,0,S754+1)</f>
        <v>651</v>
      </c>
      <c r="T755" s="100" cm="1">
        <f t="array" aca="1" ref="T755" ca="1">IF(Первоначальный[[#This Row],[Итого остаток на начало периода]]&lt;1,0,
IF(
AND(TYPE(VLOOKUP(1,$Z$12:Z755,1,0))=16,Первоначальный[[#This Row],[Досрочное погашение (да/"")]]=""),0,
_xlfn.IFS(AND(S754=0,Первоначальный[[#This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платеж]]&lt;&gt;0),MIN(LOOKUP(,-1/($Z$12:Z755=1),$C$12:C755)+LOOKUP(,-1/($Z$12:Z755=1),$H$12:H755),Первоначальный[[#This Row],[Полученный платеж]]+Y754),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платеж]]+Y754,SUM(Первоначальный[[#This Row],[Остаток процентов на начало периода]],Первоначальный[[#This Row],[Проценты за период]])),
AND(S754=0,Первоначальный[[#This Row],[Дата платежа из графика]]=""),0,
AND(S754=0,Первоначальный[[#This Row],[Дата платежа из графика]]=1,MAX((0&lt;&gt;S$12:S754)*ROW(S$12:S754),ROW($S$12))&gt;=MAX((1=Z$12:Z754)*ROW(Z$12:Z754),ROW($T$12)),TYPE(VLOOKUP("Да",(INDIRECT("AA"&amp;(MAX((1=Z$12:Z754)*ROW(Z$12:Z754),ROW($T$12))&amp;":AA"&amp;(ROW()-1)))),1,0))=16),MIN(LOOKUP(,-1/($Z$12:Z755=1),$C$12:C755)+LOOKUP(,-1/($Z$12:Z755=1),$H$12:H755),Первоначальный[[#This Row],[Полученный платеж]]+Y754),
AND(S754=0,TYPE(VLOOKUP("Да",(INDIRECT("AA"&amp;(MAX((1=Z$12:Z754)*ROW(Z$12:Z754),ROW($T$12))&amp;":AA"&amp;(ROW()-1)))),1,0))&lt;&gt;16),MIN(LOOKUP(,-1/($Z$12:Z755=1),$C$12:C755)+LOOKUP(,-1/($Z$12:Z755=1),$H$12:H755)-IF(AA754="Да",0,SUM(INDIRECT("T"&amp;(MAX(("Да"=AA$12:AA754)*ROW(AA$12:AA754)+1,ROW($T$12))&amp;":T"&amp;(ROW()-1))))),Первоначальный[[#This Row],[Полученный платеж]]+Y754),
AND(S754=0,MAX((0&lt;&gt;N$12:N754)*ROW(N$12:N754),ROW($S$12))&gt;=MAX((1=Z$12:Z754)*ROW(Z$12:Z754),ROW($T$12))),MIN(LOOKUP(,-1/($Z$12:Z755=1),$C$12:C755)+LOOKUP(,-1/($Z$12:Z755=1),$H$12:H755)-IF(N754&lt;&gt;0,0,SUM(INDIRECT("T"&amp;(MAX((0&lt;&gt;N$12:N754)*ROW(N$12:N754)+1,ROW($T$12))&amp;":T"&amp;(ROW()-1))))),Первоначальный[[#This Row],[Полученный платеж]]+Y754),
AND(S754=0,Первоначальный[[#This Row],[Дата платежа из графика]]=1),MIN(LOOKUP(,-1/($Z$12:Z755=1),$C$12:C755)+LOOKUP(,-1/($Z$12:Z755=1),$H$12:H755)-IF(Z754=1,0,SUM(INDIRECT("T"&amp;(MAX((1=Z$12:Z754)*ROW(Z$12:Z754)+1,ROW($T$12))&amp;":T"&amp;(ROW()-1))))),Первоначальный[[#This Row],[Полученный платеж]]+Y754),
AND(Z754&gt;0,Первоначальный[[#This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платеж]]+Y754),
AND(S754&gt;0,MAX((0&lt;&gt;S$12:S754)*ROW(S$12:S754),ROW($S$12))&gt;=MAX((1=Z$12:Z754)*ROW(Z$12:Z754),ROW($T$12)),TYPE(VLOOKUP("Да",(INDIRECT("AA"&amp;(MAX((1=Z$12:Z754)*ROW(Z$12:Z754),ROW($T$12))&amp;":AA"&amp;(ROW()-1)))),1,0))=16),MIN(LOOKUP(,-1/($Z$12:Z755=1),$C$12:C755)+LOOKUP(,-1/($Z$12:Z755=1),$H$12:H755)-SUM(INDIRECT("T"&amp;(MAX((1=Z$12:Z754)*ROW(Z$12:Z754),ROW($T$12))&amp;":T"&amp;(ROW()-1)))),Первоначальный[[#This Row],[Полученный платеж]]+Y754),
S754&gt;0,MIN(LOOKUP(,-1/($Z$12:Z755=1),$C$12:C755)+LOOKUP(,-1/($Z$12:Z755=1),$H$12:H755)-IF(Z754=1,0,SUM(INDIRECT("T"&amp;(MAX((1=Z$12:Z754)*ROW(Z$12:Z754)+1,ROW($T$12))&amp;":T"&amp;(ROW()-1))))),Первоначальный[[#This Row],[Полученный платеж]]+Y754)
)
)
)</f>
        <v>0</v>
      </c>
      <c r="U75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платеж]]+Y754-Первоначальный[[#This Row],[Полученный платёж по процентам]])</f>
        <v>0</v>
      </c>
      <c r="V755" s="55">
        <f t="shared" ca="1" si="133"/>
        <v>0</v>
      </c>
      <c r="W755" s="55" cm="1">
        <f t="array" aca="1" ref="W755" ca="1">IF(Первоначальный[[#This Row],[Итого остаток на начало периода]]&lt;1,0,
_xlfn.IFS(
AND(TYPE(VLOOKUP(1,$Z$12:Z755,1,0))=16,Первоначальный[[#This Row],[Досрочное погашение (да/"")]]=""),0,
AND(S754=0,Первоначальный[[#This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платеж]]+Y754-SUM(Первоначальный[[#This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комиссиям]]),VLOOKUP(LOOKUP(,-1/($Z$12:Z755=1),$A$12:A755),График[[Срок конец]:[Возврат основной суммы долга]],3,0)),
AND(S754=0,Первоначальный[[#This Row],[Дата платежа из графика]]="",Первоначальный[[#This Row],[Досрочное погашение (да/"")]]&lt;&gt;"Да"),0,
AND(S754=0,Первоначальный[[#This Row],[Досрочное погашение (да/"")]]=""),MIN(Первоначальный[[#This Row],[Полученный платеж]]+Y754-SUM(Первоначальный[[#This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комиссиям]]),VLOOKUP(LOOKUP(,-1/($Z$12:Z755=1),$A$12:A755),График[[Срок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платеж]]+Y754-SUM(Первоначальный[[#This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S754&gt;0,MIN(Первоначальный[[#This Row],[Полученный платеж]]+Y754-SUM(Первоначальный[[#This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комиссиям]]),SUM(INDIRECT("M"&amp;(MAX((1=S$12:S754)*ROW(S$12:S754),ROW($W$12))&amp;":M"&amp;(ROW()))))-SUM(INDIRECT("W"&amp;(MAX((1=S$12:S754)*ROW(S$12:S754),ROW($W$12))&amp;":W"&amp;(ROW()-1)))))
)
)</f>
        <v>0</v>
      </c>
      <c r="X755" s="55">
        <f t="shared" ca="1" si="134"/>
        <v>0</v>
      </c>
      <c r="Y755" s="101">
        <f t="shared" ca="1" si="141"/>
        <v>0</v>
      </c>
      <c r="Z755" s="133" t="str">
        <f>IF(TYPE((VLOOKUP(Первоначальный[[#This Row],[Дата платежа]],График[Срок конец],1,0)))=16,"",1)</f>
        <v/>
      </c>
      <c r="AA755" s="57"/>
      <c r="AB755" s="134"/>
      <c r="AC75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5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53657.400000000038</v>
      </c>
      <c r="AE75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1885.7599999999993</v>
      </c>
      <c r="AF75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5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105957.94063442625</v>
      </c>
      <c r="AH755" s="55"/>
      <c r="AI755" s="55"/>
      <c r="AJ755" s="55"/>
      <c r="AK755" s="101">
        <f t="shared" ca="1" si="142"/>
        <v>311134.44063442631</v>
      </c>
      <c r="AL755" s="129">
        <f t="array" ref="AL755">MAX((УслРестрактов[Характеристика]="Дата реструктуризации")*(УслРестрактов[Значение]=Первоначальный!$A755),0)</f>
        <v>0</v>
      </c>
    </row>
    <row r="756" spans="1:38" x14ac:dyDescent="0.25">
      <c r="A756" s="97">
        <f t="shared" si="135"/>
        <v>44887</v>
      </c>
      <c r="B756" s="100">
        <f t="shared" ca="1" si="136"/>
        <v>149633.34</v>
      </c>
      <c r="C756" s="55">
        <f t="shared" ca="1" si="144"/>
        <v>53657.400000000038</v>
      </c>
      <c r="D756" s="55">
        <f t="shared" ca="1" si="144"/>
        <v>1885.7599999999993</v>
      </c>
      <c r="E756" s="55">
        <f t="shared" ca="1" si="137"/>
        <v>0</v>
      </c>
      <c r="F756" s="55">
        <f t="shared" ca="1" si="138"/>
        <v>105957.94063442625</v>
      </c>
      <c r="G756" s="101">
        <f t="shared" ca="1" si="139"/>
        <v>311134.44063442631</v>
      </c>
      <c r="H756" s="100">
        <f ca="1">ROUND($B756*VLOOKUP($A756,$A$1:$B$10,2,1)/(365+IF(MOD(YEAR($A756),4),0,1)*($A756-$A755)),2)-Первоначальный[[#This Row],[Проценты на просроченный платеж по ОД за период]]</f>
        <v>75.599999999999994</v>
      </c>
      <c r="I756" s="55">
        <f t="shared" ca="1" si="140"/>
        <v>5.98</v>
      </c>
      <c r="J756" s="55">
        <v>0</v>
      </c>
      <c r="K756" s="55">
        <f t="shared" ca="1" si="143"/>
        <v>318.60350327868844</v>
      </c>
      <c r="L756" s="55">
        <v>0</v>
      </c>
      <c r="M756" s="113">
        <f>SUMIFS(График[Возврат основной суммы долга],График[Дата с учетом нерабочих дней],$A756)</f>
        <v>0</v>
      </c>
      <c r="N756" s="56">
        <f>SUMIFS(График[Возврат начисленных %],График[Дата с учетом нерабочих дней],$A756)</f>
        <v>0</v>
      </c>
      <c r="O756" s="101">
        <v>0</v>
      </c>
      <c r="P756" s="100" cm="1">
        <f t="array" aca="1" ref="P756" ca="1">MAX(IF(AA755="Да",0,SUM(INDIRECT("M"&amp;(MAX(("Да"=AA$12:AA755)*ROW(AA$12:AA755)+1,ROW($P$12))&amp;":M"&amp;(ROW()))))-SUM(INDIRECT("W"&amp;(MAX(("Да"=AA$12:AA755)*ROW(AA$12:AA755)+1,ROW($P$12))&amp;":W"&amp;(ROW()))))),0)</f>
        <v>10972.839999999998</v>
      </c>
      <c r="Q756" s="99">
        <f ca="1">MAX(SUM($N$13:N756)-SUM($T$13:T756),0)</f>
        <v>52747.860655737692</v>
      </c>
      <c r="R756" s="99">
        <f ca="1">Первоначальный[[#This Row],[Просроченный платеж по ОД]]+Первоначальный[[#This Row],[Просроченный платеж по процентам]]</f>
        <v>63720.700655737688</v>
      </c>
      <c r="S756" s="120">
        <f ca="1">IF(Первоначальный[[#This Row],[Просроченный платеж]]&lt;1,0,S755+1)</f>
        <v>652</v>
      </c>
      <c r="T756" s="100" cm="1">
        <f t="array" aca="1" ref="T756" ca="1">IF(Первоначальный[[#This Row],[Итого остаток на начало периода]]&lt;1,0,
IF(
AND(TYPE(VLOOKUP(1,$Z$12:Z756,1,0))=16,Первоначальный[[#This Row],[Досрочное погашение (да/"")]]=""),0,
_xlfn.IFS(AND(S755=0,Первоначальный[[#This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платеж]]&lt;&gt;0),MIN(LOOKUP(,-1/($Z$12:Z756=1),$C$12:C756)+LOOKUP(,-1/($Z$12:Z756=1),$H$12:H756),Первоначальный[[#This Row],[Полученный платеж]]+Y755),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платеж]]+Y755,SUM(Первоначальный[[#This Row],[Остаток процентов на начало периода]],Первоначальный[[#This Row],[Проценты за период]])),
AND(S755=0,Первоначальный[[#This Row],[Дата платежа из графика]]=""),0,
AND(S755=0,Первоначальный[[#This Row],[Дата платежа из графика]]=1,MAX((0&lt;&gt;S$12:S755)*ROW(S$12:S755),ROW($S$12))&gt;=MAX((1=Z$12:Z755)*ROW(Z$12:Z755),ROW($T$12)),TYPE(VLOOKUP("Да",(INDIRECT("AA"&amp;(MAX((1=Z$12:Z755)*ROW(Z$12:Z755),ROW($T$12))&amp;":AA"&amp;(ROW()-1)))),1,0))=16),MIN(LOOKUP(,-1/($Z$12:Z756=1),$C$12:C756)+LOOKUP(,-1/($Z$12:Z756=1),$H$12:H756),Первоначальный[[#This Row],[Полученный платеж]]+Y755),
AND(S755=0,TYPE(VLOOKUP("Да",(INDIRECT("AA"&amp;(MAX((1=Z$12:Z755)*ROW(Z$12:Z755),ROW($T$12))&amp;":AA"&amp;(ROW()-1)))),1,0))&lt;&gt;16),MIN(LOOKUP(,-1/($Z$12:Z756=1),$C$12:C756)+LOOKUP(,-1/($Z$12:Z756=1),$H$12:H756)-IF(AA755="Да",0,SUM(INDIRECT("T"&amp;(MAX(("Да"=AA$12:AA755)*ROW(AA$12:AA755)+1,ROW($T$12))&amp;":T"&amp;(ROW()-1))))),Первоначальный[[#This Row],[Полученный платеж]]+Y755),
AND(S755=0,MAX((0&lt;&gt;N$12:N755)*ROW(N$12:N755),ROW($S$12))&gt;=MAX((1=Z$12:Z755)*ROW(Z$12:Z755),ROW($T$12))),MIN(LOOKUP(,-1/($Z$12:Z756=1),$C$12:C756)+LOOKUP(,-1/($Z$12:Z756=1),$H$12:H756)-IF(N755&lt;&gt;0,0,SUM(INDIRECT("T"&amp;(MAX((0&lt;&gt;N$12:N755)*ROW(N$12:N755)+1,ROW($T$12))&amp;":T"&amp;(ROW()-1))))),Первоначальный[[#This Row],[Полученный платеж]]+Y755),
AND(S755=0,Первоначальный[[#This Row],[Дата платежа из графика]]=1),MIN(LOOKUP(,-1/($Z$12:Z756=1),$C$12:C756)+LOOKUP(,-1/($Z$12:Z756=1),$H$12:H756)-IF(Z755=1,0,SUM(INDIRECT("T"&amp;(MAX((1=Z$12:Z755)*ROW(Z$12:Z755)+1,ROW($T$12))&amp;":T"&amp;(ROW()-1))))),Первоначальный[[#This Row],[Полученный платеж]]+Y755),
AND(Z755&gt;0,Первоначальный[[#This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платеж]]+Y755),
AND(S755&gt;0,MAX((0&lt;&gt;S$12:S755)*ROW(S$12:S755),ROW($S$12))&gt;=MAX((1=Z$12:Z755)*ROW(Z$12:Z755),ROW($T$12)),TYPE(VLOOKUP("Да",(INDIRECT("AA"&amp;(MAX((1=Z$12:Z755)*ROW(Z$12:Z755),ROW($T$12))&amp;":AA"&amp;(ROW()-1)))),1,0))=16),MIN(LOOKUP(,-1/($Z$12:Z756=1),$C$12:C756)+LOOKUP(,-1/($Z$12:Z756=1),$H$12:H756)-SUM(INDIRECT("T"&amp;(MAX((1=Z$12:Z755)*ROW(Z$12:Z755),ROW($T$12))&amp;":T"&amp;(ROW()-1)))),Первоначальный[[#This Row],[Полученный платеж]]+Y755),
S755&gt;0,MIN(LOOKUP(,-1/($Z$12:Z756=1),$C$12:C756)+LOOKUP(,-1/($Z$12:Z756=1),$H$12:H756)-IF(Z755=1,0,SUM(INDIRECT("T"&amp;(MAX((1=Z$12:Z755)*ROW(Z$12:Z755)+1,ROW($T$12))&amp;":T"&amp;(ROW()-1))))),Первоначальный[[#This Row],[Полученный платеж]]+Y755)
)
)
)</f>
        <v>0</v>
      </c>
      <c r="U75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платеж]]+Y755-Первоначальный[[#This Row],[Полученный платёж по процентам]])</f>
        <v>0</v>
      </c>
      <c r="V756" s="55">
        <f t="shared" ca="1" si="133"/>
        <v>0</v>
      </c>
      <c r="W756" s="55" cm="1">
        <f t="array" aca="1" ref="W756" ca="1">IF(Первоначальный[[#This Row],[Итого остаток на начало периода]]&lt;1,0,
_xlfn.IFS(
AND(TYPE(VLOOKUP(1,$Z$12:Z756,1,0))=16,Первоначальный[[#This Row],[Досрочное погашение (да/"")]]=""),0,
AND(S755=0,Первоначальный[[#This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платеж]]+Y755-SUM(Первоначальный[[#This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комиссиям]]),VLOOKUP(LOOKUP(,-1/($Z$12:Z756=1),$A$12:A756),График[[Срок конец]:[Возврат основной суммы долга]],3,0)),
AND(S755=0,Первоначальный[[#This Row],[Дата платежа из графика]]="",Первоначальный[[#This Row],[Досрочное погашение (да/"")]]&lt;&gt;"Да"),0,
AND(S755=0,Первоначальный[[#This Row],[Досрочное погашение (да/"")]]=""),MIN(Первоначальный[[#This Row],[Полученный платеж]]+Y755-SUM(Первоначальный[[#This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комиссиям]]),VLOOKUP(LOOKUP(,-1/($Z$12:Z756=1),$A$12:A756),График[[Срок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платеж]]+Y755-SUM(Первоначальный[[#This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S755&gt;0,MIN(Первоначальный[[#This Row],[Полученный платеж]]+Y755-SUM(Первоначальный[[#This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комиссиям]]),SUM(INDIRECT("M"&amp;(MAX((1=S$12:S755)*ROW(S$12:S755),ROW($W$12))&amp;":M"&amp;(ROW()))))-SUM(INDIRECT("W"&amp;(MAX((1=S$12:S755)*ROW(S$12:S755),ROW($W$12))&amp;":W"&amp;(ROW()-1)))))
)
)</f>
        <v>0</v>
      </c>
      <c r="X756" s="55">
        <f t="shared" ca="1" si="134"/>
        <v>0</v>
      </c>
      <c r="Y756" s="101">
        <f t="shared" ca="1" si="141"/>
        <v>0</v>
      </c>
      <c r="Z756" s="133" t="str">
        <f>IF(TYPE((VLOOKUP(Первоначальный[[#This Row],[Дата платежа]],График[Срок конец],1,0)))=16,"",1)</f>
        <v/>
      </c>
      <c r="AA756" s="57"/>
      <c r="AB756" s="134"/>
      <c r="AC75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5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53733.000000000036</v>
      </c>
      <c r="AE75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1891.7399999999993</v>
      </c>
      <c r="AF75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5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106276.54413770494</v>
      </c>
      <c r="AH756" s="55"/>
      <c r="AI756" s="55"/>
      <c r="AJ756" s="55"/>
      <c r="AK756" s="101">
        <f t="shared" ca="1" si="142"/>
        <v>311534.62413770496</v>
      </c>
      <c r="AL756" s="129">
        <f t="array" ref="AL756">MAX((УслРестрактов[Характеристика]="Дата реструктуризации")*(УслРестрактов[Значение]=Первоначальный!$A756),0)</f>
        <v>0</v>
      </c>
    </row>
    <row r="757" spans="1:38" x14ac:dyDescent="0.25">
      <c r="A757" s="97">
        <f t="shared" si="135"/>
        <v>44888</v>
      </c>
      <c r="B757" s="100">
        <f t="shared" ca="1" si="136"/>
        <v>149633.34</v>
      </c>
      <c r="C757" s="55">
        <f t="shared" ca="1" si="144"/>
        <v>53733.000000000036</v>
      </c>
      <c r="D757" s="55">
        <f t="shared" ca="1" si="144"/>
        <v>1891.7399999999993</v>
      </c>
      <c r="E757" s="55">
        <f t="shared" ca="1" si="137"/>
        <v>0</v>
      </c>
      <c r="F757" s="55">
        <f t="shared" ca="1" si="138"/>
        <v>106276.54413770494</v>
      </c>
      <c r="G757" s="101">
        <f t="shared" ca="1" si="139"/>
        <v>311534.62413770496</v>
      </c>
      <c r="H757" s="100">
        <f ca="1">ROUND($B757*VLOOKUP($A757,$A$1:$B$10,2,1)/(365+IF(MOD(YEAR($A757),4),0,1)*($A757-$A756)),2)-Первоначальный[[#This Row],[Проценты на просроченный платеж по ОД за период]]</f>
        <v>75.599999999999994</v>
      </c>
      <c r="I757" s="55">
        <f t="shared" ca="1" si="140"/>
        <v>5.98</v>
      </c>
      <c r="J757" s="55">
        <v>0</v>
      </c>
      <c r="K757" s="55">
        <f t="shared" ca="1" si="143"/>
        <v>318.60350327868844</v>
      </c>
      <c r="L757" s="55">
        <v>0</v>
      </c>
      <c r="M757" s="113">
        <f>SUMIFS(График[Возврат основной суммы долга],График[Дата с учетом нерабочих дней],$A757)</f>
        <v>0</v>
      </c>
      <c r="N757" s="56">
        <f>SUMIFS(График[Возврат начисленных %],График[Дата с учетом нерабочих дней],$A757)</f>
        <v>0</v>
      </c>
      <c r="O757" s="101">
        <v>0</v>
      </c>
      <c r="P757" s="100" cm="1">
        <f t="array" aca="1" ref="P757" ca="1">MAX(IF(AA756="Да",0,SUM(INDIRECT("M"&amp;(MAX(("Да"=AA$12:AA756)*ROW(AA$12:AA756)+1,ROW($P$12))&amp;":M"&amp;(ROW()))))-SUM(INDIRECT("W"&amp;(MAX(("Да"=AA$12:AA756)*ROW(AA$12:AA756)+1,ROW($P$12))&amp;":W"&amp;(ROW()))))),0)</f>
        <v>10972.839999999998</v>
      </c>
      <c r="Q757" s="99">
        <f ca="1">MAX(SUM($N$13:N757)-SUM($T$13:T757),0)</f>
        <v>52747.860655737692</v>
      </c>
      <c r="R757" s="99">
        <f ca="1">Первоначальный[[#This Row],[Просроченный платеж по ОД]]+Первоначальный[[#This Row],[Просроченный платеж по процентам]]</f>
        <v>63720.700655737688</v>
      </c>
      <c r="S757" s="120">
        <f ca="1">IF(Первоначальный[[#This Row],[Просроченный платеж]]&lt;1,0,S756+1)</f>
        <v>653</v>
      </c>
      <c r="T757" s="100" cm="1">
        <f t="array" aca="1" ref="T757" ca="1">IF(Первоначальный[[#This Row],[Итого остаток на начало периода]]&lt;1,0,
IF(
AND(TYPE(VLOOKUP(1,$Z$12:Z757,1,0))=16,Первоначальный[[#This Row],[Досрочное погашение (да/"")]]=""),0,
_xlfn.IFS(AND(S756=0,Первоначальный[[#This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платеж]]&lt;&gt;0),MIN(LOOKUP(,-1/($Z$12:Z757=1),$C$12:C757)+LOOKUP(,-1/($Z$12:Z757=1),$H$12:H757),Первоначальный[[#This Row],[Полученный платеж]]+Y756),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платеж]]+Y756,SUM(Первоначальный[[#This Row],[Остаток процентов на начало периода]],Первоначальный[[#This Row],[Проценты за период]])),
AND(S756=0,Первоначальный[[#This Row],[Дата платежа из графика]]=""),0,
AND(S756=0,Первоначальный[[#This Row],[Дата платежа из графика]]=1,MAX((0&lt;&gt;S$12:S756)*ROW(S$12:S756),ROW($S$12))&gt;=MAX((1=Z$12:Z756)*ROW(Z$12:Z756),ROW($T$12)),TYPE(VLOOKUP("Да",(INDIRECT("AA"&amp;(MAX((1=Z$12:Z756)*ROW(Z$12:Z756),ROW($T$12))&amp;":AA"&amp;(ROW()-1)))),1,0))=16),MIN(LOOKUP(,-1/($Z$12:Z757=1),$C$12:C757)+LOOKUP(,-1/($Z$12:Z757=1),$H$12:H757),Первоначальный[[#This Row],[Полученный платеж]]+Y756),
AND(S756=0,TYPE(VLOOKUP("Да",(INDIRECT("AA"&amp;(MAX((1=Z$12:Z756)*ROW(Z$12:Z756),ROW($T$12))&amp;":AA"&amp;(ROW()-1)))),1,0))&lt;&gt;16),MIN(LOOKUP(,-1/($Z$12:Z757=1),$C$12:C757)+LOOKUP(,-1/($Z$12:Z757=1),$H$12:H757)-IF(AA756="Да",0,SUM(INDIRECT("T"&amp;(MAX(("Да"=AA$12:AA756)*ROW(AA$12:AA756)+1,ROW($T$12))&amp;":T"&amp;(ROW()-1))))),Первоначальный[[#This Row],[Полученный платеж]]+Y756),
AND(S756=0,MAX((0&lt;&gt;N$12:N756)*ROW(N$12:N756),ROW($S$12))&gt;=MAX((1=Z$12:Z756)*ROW(Z$12:Z756),ROW($T$12))),MIN(LOOKUP(,-1/($Z$12:Z757=1),$C$12:C757)+LOOKUP(,-1/($Z$12:Z757=1),$H$12:H757)-IF(N756&lt;&gt;0,0,SUM(INDIRECT("T"&amp;(MAX((0&lt;&gt;N$12:N756)*ROW(N$12:N756)+1,ROW($T$12))&amp;":T"&amp;(ROW()-1))))),Первоначальный[[#This Row],[Полученный платеж]]+Y756),
AND(S756=0,Первоначальный[[#This Row],[Дата платежа из графика]]=1),MIN(LOOKUP(,-1/($Z$12:Z757=1),$C$12:C757)+LOOKUP(,-1/($Z$12:Z757=1),$H$12:H757)-IF(Z756=1,0,SUM(INDIRECT("T"&amp;(MAX((1=Z$12:Z756)*ROW(Z$12:Z756)+1,ROW($T$12))&amp;":T"&amp;(ROW()-1))))),Первоначальный[[#This Row],[Полученный платеж]]+Y756),
AND(Z756&gt;0,Первоначальный[[#This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платеж]]+Y756),
AND(S756&gt;0,MAX((0&lt;&gt;S$12:S756)*ROW(S$12:S756),ROW($S$12))&gt;=MAX((1=Z$12:Z756)*ROW(Z$12:Z756),ROW($T$12)),TYPE(VLOOKUP("Да",(INDIRECT("AA"&amp;(MAX((1=Z$12:Z756)*ROW(Z$12:Z756),ROW($T$12))&amp;":AA"&amp;(ROW()-1)))),1,0))=16),MIN(LOOKUP(,-1/($Z$12:Z757=1),$C$12:C757)+LOOKUP(,-1/($Z$12:Z757=1),$H$12:H757)-SUM(INDIRECT("T"&amp;(MAX((1=Z$12:Z756)*ROW(Z$12:Z756),ROW($T$12))&amp;":T"&amp;(ROW()-1)))),Первоначальный[[#This Row],[Полученный платеж]]+Y756),
S756&gt;0,MIN(LOOKUP(,-1/($Z$12:Z757=1),$C$12:C757)+LOOKUP(,-1/($Z$12:Z757=1),$H$12:H757)-IF(Z756=1,0,SUM(INDIRECT("T"&amp;(MAX((1=Z$12:Z756)*ROW(Z$12:Z756)+1,ROW($T$12))&amp;":T"&amp;(ROW()-1))))),Первоначальный[[#This Row],[Полученный платеж]]+Y756)
)
)
)</f>
        <v>0</v>
      </c>
      <c r="U75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платеж]]+Y756-Первоначальный[[#This Row],[Полученный платёж по процентам]])</f>
        <v>0</v>
      </c>
      <c r="V757" s="55">
        <f t="shared" ca="1" si="133"/>
        <v>0</v>
      </c>
      <c r="W757" s="55" cm="1">
        <f t="array" aca="1" ref="W757" ca="1">IF(Первоначальный[[#This Row],[Итого остаток на начало периода]]&lt;1,0,
_xlfn.IFS(
AND(TYPE(VLOOKUP(1,$Z$12:Z757,1,0))=16,Первоначальный[[#This Row],[Досрочное погашение (да/"")]]=""),0,
AND(S756=0,Первоначальный[[#This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платеж]]+Y756-SUM(Первоначальный[[#This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комиссиям]]),VLOOKUP(LOOKUP(,-1/($Z$12:Z757=1),$A$12:A757),График[[Срок конец]:[Возврат основной суммы долга]],3,0)),
AND(S756=0,Первоначальный[[#This Row],[Дата платежа из графика]]="",Первоначальный[[#This Row],[Досрочное погашение (да/"")]]&lt;&gt;"Да"),0,
AND(S756=0,Первоначальный[[#This Row],[Досрочное погашение (да/"")]]=""),MIN(Первоначальный[[#This Row],[Полученный платеж]]+Y756-SUM(Первоначальный[[#This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комиссиям]]),VLOOKUP(LOOKUP(,-1/($Z$12:Z757=1),$A$12:A757),График[[Срок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платеж]]+Y756-SUM(Первоначальный[[#This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S756&gt;0,MIN(Первоначальный[[#This Row],[Полученный платеж]]+Y756-SUM(Первоначальный[[#This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комиссиям]]),SUM(INDIRECT("M"&amp;(MAX((1=S$12:S756)*ROW(S$12:S756),ROW($W$12))&amp;":M"&amp;(ROW()))))-SUM(INDIRECT("W"&amp;(MAX((1=S$12:S756)*ROW(S$12:S756),ROW($W$12))&amp;":W"&amp;(ROW()-1)))))
)
)</f>
        <v>0</v>
      </c>
      <c r="X757" s="55">
        <f t="shared" ca="1" si="134"/>
        <v>0</v>
      </c>
      <c r="Y757" s="101">
        <f t="shared" ca="1" si="141"/>
        <v>0</v>
      </c>
      <c r="Z757" s="133" t="str">
        <f>IF(TYPE((VLOOKUP(Первоначальный[[#This Row],[Дата платежа]],График[Срок конец],1,0)))=16,"",1)</f>
        <v/>
      </c>
      <c r="AA757" s="57"/>
      <c r="AB757" s="134"/>
      <c r="AC75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5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53808.600000000035</v>
      </c>
      <c r="AE75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1897.7199999999993</v>
      </c>
      <c r="AF75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5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106595.14764098363</v>
      </c>
      <c r="AH757" s="55"/>
      <c r="AI757" s="55"/>
      <c r="AJ757" s="55"/>
      <c r="AK757" s="101">
        <f t="shared" ca="1" si="142"/>
        <v>311934.80764098366</v>
      </c>
      <c r="AL757" s="129">
        <f t="array" ref="AL757">MAX((УслРестрактов[Характеристика]="Дата реструктуризации")*(УслРестрактов[Значение]=Первоначальный!$A757),0)</f>
        <v>0</v>
      </c>
    </row>
    <row r="758" spans="1:38" x14ac:dyDescent="0.25">
      <c r="A758" s="97">
        <f t="shared" si="135"/>
        <v>44889</v>
      </c>
      <c r="B758" s="100">
        <f t="shared" ca="1" si="136"/>
        <v>149633.34</v>
      </c>
      <c r="C758" s="55">
        <f t="shared" ca="1" si="144"/>
        <v>53808.600000000035</v>
      </c>
      <c r="D758" s="55">
        <f t="shared" ca="1" si="144"/>
        <v>1897.7199999999993</v>
      </c>
      <c r="E758" s="55">
        <f t="shared" ca="1" si="137"/>
        <v>0</v>
      </c>
      <c r="F758" s="55">
        <f t="shared" ca="1" si="138"/>
        <v>106595.14764098363</v>
      </c>
      <c r="G758" s="101">
        <f t="shared" ca="1" si="139"/>
        <v>311934.80764098366</v>
      </c>
      <c r="H758" s="100">
        <f ca="1">ROUND($B758*VLOOKUP($A758,$A$1:$B$10,2,1)/(365+IF(MOD(YEAR($A758),4),0,1)*($A758-$A757)),2)-Первоначальный[[#This Row],[Проценты на просроченный платеж по ОД за период]]</f>
        <v>75.599999999999994</v>
      </c>
      <c r="I758" s="55">
        <f t="shared" ca="1" si="140"/>
        <v>5.98</v>
      </c>
      <c r="J758" s="55">
        <v>0</v>
      </c>
      <c r="K758" s="55">
        <f t="shared" ca="1" si="143"/>
        <v>318.60350327868844</v>
      </c>
      <c r="L758" s="55">
        <v>0</v>
      </c>
      <c r="M758" s="113">
        <f>SUMIFS(График[Возврат основной суммы долга],График[Дата с учетом нерабочих дней],$A758)</f>
        <v>0</v>
      </c>
      <c r="N758" s="56">
        <f>SUMIFS(График[Возврат начисленных %],График[Дата с учетом нерабочих дней],$A758)</f>
        <v>0</v>
      </c>
      <c r="O758" s="101">
        <v>0</v>
      </c>
      <c r="P758" s="100" cm="1">
        <f t="array" aca="1" ref="P758" ca="1">MAX(IF(AA757="Да",0,SUM(INDIRECT("M"&amp;(MAX(("Да"=AA$12:AA757)*ROW(AA$12:AA757)+1,ROW($P$12))&amp;":M"&amp;(ROW()))))-SUM(INDIRECT("W"&amp;(MAX(("Да"=AA$12:AA757)*ROW(AA$12:AA757)+1,ROW($P$12))&amp;":W"&amp;(ROW()))))),0)</f>
        <v>10972.839999999998</v>
      </c>
      <c r="Q758" s="99">
        <f ca="1">MAX(SUM($N$13:N758)-SUM($T$13:T758),0)</f>
        <v>52747.860655737692</v>
      </c>
      <c r="R758" s="99">
        <f ca="1">Первоначальный[[#This Row],[Просроченный платеж по ОД]]+Первоначальный[[#This Row],[Просроченный платеж по процентам]]</f>
        <v>63720.700655737688</v>
      </c>
      <c r="S758" s="120">
        <f ca="1">IF(Первоначальный[[#This Row],[Просроченный платеж]]&lt;1,0,S757+1)</f>
        <v>654</v>
      </c>
      <c r="T758" s="100" cm="1">
        <f t="array" aca="1" ref="T758" ca="1">IF(Первоначальный[[#This Row],[Итого остаток на начало периода]]&lt;1,0,
IF(
AND(TYPE(VLOOKUP(1,$Z$12:Z758,1,0))=16,Первоначальный[[#This Row],[Досрочное погашение (да/"")]]=""),0,
_xlfn.IFS(AND(S757=0,Первоначальный[[#This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платеж]]&lt;&gt;0),MIN(LOOKUP(,-1/($Z$12:Z758=1),$C$12:C758)+LOOKUP(,-1/($Z$12:Z758=1),$H$12:H758),Первоначальный[[#This Row],[Полученный платеж]]+Y757),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платеж]]+Y757,SUM(Первоначальный[[#This Row],[Остаток процентов на начало периода]],Первоначальный[[#This Row],[Проценты за период]])),
AND(S757=0,Первоначальный[[#This Row],[Дата платежа из графика]]=""),0,
AND(S757=0,Первоначальный[[#This Row],[Дата платежа из графика]]=1,MAX((0&lt;&gt;S$12:S757)*ROW(S$12:S757),ROW($S$12))&gt;=MAX((1=Z$12:Z757)*ROW(Z$12:Z757),ROW($T$12)),TYPE(VLOOKUP("Да",(INDIRECT("AA"&amp;(MAX((1=Z$12:Z757)*ROW(Z$12:Z757),ROW($T$12))&amp;":AA"&amp;(ROW()-1)))),1,0))=16),MIN(LOOKUP(,-1/($Z$12:Z758=1),$C$12:C758)+LOOKUP(,-1/($Z$12:Z758=1),$H$12:H758),Первоначальный[[#This Row],[Полученный платеж]]+Y757),
AND(S757=0,TYPE(VLOOKUP("Да",(INDIRECT("AA"&amp;(MAX((1=Z$12:Z757)*ROW(Z$12:Z757),ROW($T$12))&amp;":AA"&amp;(ROW()-1)))),1,0))&lt;&gt;16),MIN(LOOKUP(,-1/($Z$12:Z758=1),$C$12:C758)+LOOKUP(,-1/($Z$12:Z758=1),$H$12:H758)-IF(AA757="Да",0,SUM(INDIRECT("T"&amp;(MAX(("Да"=AA$12:AA757)*ROW(AA$12:AA757)+1,ROW($T$12))&amp;":T"&amp;(ROW()-1))))),Первоначальный[[#This Row],[Полученный платеж]]+Y757),
AND(S757=0,MAX((0&lt;&gt;N$12:N757)*ROW(N$12:N757),ROW($S$12))&gt;=MAX((1=Z$12:Z757)*ROW(Z$12:Z757),ROW($T$12))),MIN(LOOKUP(,-1/($Z$12:Z758=1),$C$12:C758)+LOOKUP(,-1/($Z$12:Z758=1),$H$12:H758)-IF(N757&lt;&gt;0,0,SUM(INDIRECT("T"&amp;(MAX((0&lt;&gt;N$12:N757)*ROW(N$12:N757)+1,ROW($T$12))&amp;":T"&amp;(ROW()-1))))),Первоначальный[[#This Row],[Полученный платеж]]+Y757),
AND(S757=0,Первоначальный[[#This Row],[Дата платежа из графика]]=1),MIN(LOOKUP(,-1/($Z$12:Z758=1),$C$12:C758)+LOOKUP(,-1/($Z$12:Z758=1),$H$12:H758)-IF(Z757=1,0,SUM(INDIRECT("T"&amp;(MAX((1=Z$12:Z757)*ROW(Z$12:Z757)+1,ROW($T$12))&amp;":T"&amp;(ROW()-1))))),Первоначальный[[#This Row],[Полученный платеж]]+Y757),
AND(Z757&gt;0,Первоначальный[[#This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платеж]]+Y757),
AND(S757&gt;0,MAX((0&lt;&gt;S$12:S757)*ROW(S$12:S757),ROW($S$12))&gt;=MAX((1=Z$12:Z757)*ROW(Z$12:Z757),ROW($T$12)),TYPE(VLOOKUP("Да",(INDIRECT("AA"&amp;(MAX((1=Z$12:Z757)*ROW(Z$12:Z757),ROW($T$12))&amp;":AA"&amp;(ROW()-1)))),1,0))=16),MIN(LOOKUP(,-1/($Z$12:Z758=1),$C$12:C758)+LOOKUP(,-1/($Z$12:Z758=1),$H$12:H758)-SUM(INDIRECT("T"&amp;(MAX((1=Z$12:Z757)*ROW(Z$12:Z757),ROW($T$12))&amp;":T"&amp;(ROW()-1)))),Первоначальный[[#This Row],[Полученный платеж]]+Y757),
S757&gt;0,MIN(LOOKUP(,-1/($Z$12:Z758=1),$C$12:C758)+LOOKUP(,-1/($Z$12:Z758=1),$H$12:H758)-IF(Z757=1,0,SUM(INDIRECT("T"&amp;(MAX((1=Z$12:Z757)*ROW(Z$12:Z757)+1,ROW($T$12))&amp;":T"&amp;(ROW()-1))))),Первоначальный[[#This Row],[Полученный платеж]]+Y757)
)
)
)</f>
        <v>0</v>
      </c>
      <c r="U75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платеж]]+Y757-Первоначальный[[#This Row],[Полученный платёж по процентам]])</f>
        <v>0</v>
      </c>
      <c r="V758" s="55">
        <f t="shared" ca="1" si="133"/>
        <v>0</v>
      </c>
      <c r="W758" s="55" cm="1">
        <f t="array" aca="1" ref="W758" ca="1">IF(Первоначальный[[#This Row],[Итого остаток на начало периода]]&lt;1,0,
_xlfn.IFS(
AND(TYPE(VLOOKUP(1,$Z$12:Z758,1,0))=16,Первоначальный[[#This Row],[Досрочное погашение (да/"")]]=""),0,
AND(S757=0,Первоначальный[[#This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платеж]]+Y757-SUM(Первоначальный[[#This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комиссиям]]),VLOOKUP(LOOKUP(,-1/($Z$12:Z758=1),$A$12:A758),График[[Срок конец]:[Возврат основной суммы долга]],3,0)),
AND(S757=0,Первоначальный[[#This Row],[Дата платежа из графика]]="",Первоначальный[[#This Row],[Досрочное погашение (да/"")]]&lt;&gt;"Да"),0,
AND(S757=0,Первоначальный[[#This Row],[Досрочное погашение (да/"")]]=""),MIN(Первоначальный[[#This Row],[Полученный платеж]]+Y757-SUM(Первоначальный[[#This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комиссиям]]),VLOOKUP(LOOKUP(,-1/($Z$12:Z758=1),$A$12:A758),График[[Срок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платеж]]+Y757-SUM(Первоначальный[[#This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S757&gt;0,MIN(Первоначальный[[#This Row],[Полученный платеж]]+Y757-SUM(Первоначальный[[#This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комиссиям]]),SUM(INDIRECT("M"&amp;(MAX((1=S$12:S757)*ROW(S$12:S757),ROW($W$12))&amp;":M"&amp;(ROW()))))-SUM(INDIRECT("W"&amp;(MAX((1=S$12:S757)*ROW(S$12:S757),ROW($W$12))&amp;":W"&amp;(ROW()-1)))))
)
)</f>
        <v>0</v>
      </c>
      <c r="X758" s="55">
        <f t="shared" ca="1" si="134"/>
        <v>0</v>
      </c>
      <c r="Y758" s="101">
        <f t="shared" ca="1" si="141"/>
        <v>0</v>
      </c>
      <c r="Z758" s="133" t="str">
        <f>IF(TYPE((VLOOKUP(Первоначальный[[#This Row],[Дата платежа]],График[Срок конец],1,0)))=16,"",1)</f>
        <v/>
      </c>
      <c r="AA758" s="57"/>
      <c r="AB758" s="134"/>
      <c r="AC75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5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53884.200000000033</v>
      </c>
      <c r="AE75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1903.6999999999994</v>
      </c>
      <c r="AF75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5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106913.75114426232</v>
      </c>
      <c r="AH758" s="55"/>
      <c r="AI758" s="55"/>
      <c r="AJ758" s="55"/>
      <c r="AK758" s="101">
        <f t="shared" ca="1" si="142"/>
        <v>312334.99114426237</v>
      </c>
      <c r="AL758" s="129">
        <f t="array" ref="AL758">MAX((УслРестрактов[Характеристика]="Дата реструктуризации")*(УслРестрактов[Значение]=Первоначальный!$A758),0)</f>
        <v>0</v>
      </c>
    </row>
    <row r="759" spans="1:38" x14ac:dyDescent="0.25">
      <c r="A759" s="97">
        <f t="shared" si="135"/>
        <v>44890</v>
      </c>
      <c r="B759" s="100">
        <f t="shared" ca="1" si="136"/>
        <v>149633.34</v>
      </c>
      <c r="C759" s="55">
        <f t="shared" ca="1" si="144"/>
        <v>53884.200000000033</v>
      </c>
      <c r="D759" s="55">
        <f t="shared" ca="1" si="144"/>
        <v>1903.6999999999994</v>
      </c>
      <c r="E759" s="55">
        <f t="shared" ca="1" si="137"/>
        <v>0</v>
      </c>
      <c r="F759" s="55">
        <f t="shared" ca="1" si="138"/>
        <v>106913.75114426232</v>
      </c>
      <c r="G759" s="101">
        <f t="shared" ca="1" si="139"/>
        <v>312334.99114426237</v>
      </c>
      <c r="H759" s="100">
        <f ca="1">ROUND($B759*VLOOKUP($A759,$A$1:$B$10,2,1)/(365+IF(MOD(YEAR($A759),4),0,1)*($A759-$A758)),2)-Первоначальный[[#This Row],[Проценты на просроченный платеж по ОД за период]]</f>
        <v>75.599999999999994</v>
      </c>
      <c r="I759" s="55">
        <f t="shared" ca="1" si="140"/>
        <v>5.98</v>
      </c>
      <c r="J759" s="55">
        <v>0</v>
      </c>
      <c r="K759" s="55">
        <f t="shared" ca="1" si="143"/>
        <v>318.60350327868844</v>
      </c>
      <c r="L759" s="55">
        <v>0</v>
      </c>
      <c r="M759" s="113">
        <f>SUMIFS(График[Возврат основной суммы долга],График[Дата с учетом нерабочих дней],$A759)</f>
        <v>0</v>
      </c>
      <c r="N759" s="56">
        <f>SUMIFS(График[Возврат начисленных %],График[Дата с учетом нерабочих дней],$A759)</f>
        <v>0</v>
      </c>
      <c r="O759" s="101">
        <v>0</v>
      </c>
      <c r="P759" s="100" cm="1">
        <f t="array" aca="1" ref="P759" ca="1">MAX(IF(AA758="Да",0,SUM(INDIRECT("M"&amp;(MAX(("Да"=AA$12:AA758)*ROW(AA$12:AA758)+1,ROW($P$12))&amp;":M"&amp;(ROW()))))-SUM(INDIRECT("W"&amp;(MAX(("Да"=AA$12:AA758)*ROW(AA$12:AA758)+1,ROW($P$12))&amp;":W"&amp;(ROW()))))),0)</f>
        <v>10972.839999999998</v>
      </c>
      <c r="Q759" s="99">
        <f ca="1">MAX(SUM($N$13:N759)-SUM($T$13:T759),0)</f>
        <v>52747.860655737692</v>
      </c>
      <c r="R759" s="99">
        <f ca="1">Первоначальный[[#This Row],[Просроченный платеж по ОД]]+Первоначальный[[#This Row],[Просроченный платеж по процентам]]</f>
        <v>63720.700655737688</v>
      </c>
      <c r="S759" s="120">
        <f ca="1">IF(Первоначальный[[#This Row],[Просроченный платеж]]&lt;1,0,S758+1)</f>
        <v>655</v>
      </c>
      <c r="T759" s="100" cm="1">
        <f t="array" aca="1" ref="T759" ca="1">IF(Первоначальный[[#This Row],[Итого остаток на начало периода]]&lt;1,0,
IF(
AND(TYPE(VLOOKUP(1,$Z$12:Z759,1,0))=16,Первоначальный[[#This Row],[Досрочное погашение (да/"")]]=""),0,
_xlfn.IFS(AND(S758=0,Первоначальный[[#This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платеж]]&lt;&gt;0),MIN(LOOKUP(,-1/($Z$12:Z759=1),$C$12:C759)+LOOKUP(,-1/($Z$12:Z759=1),$H$12:H759),Первоначальный[[#This Row],[Полученный платеж]]+Y758),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платеж]]+Y758,SUM(Первоначальный[[#This Row],[Остаток процентов на начало периода]],Первоначальный[[#This Row],[Проценты за период]])),
AND(S758=0,Первоначальный[[#This Row],[Дата платежа из графика]]=""),0,
AND(S758=0,Первоначальный[[#This Row],[Дата платежа из графика]]=1,MAX((0&lt;&gt;S$12:S758)*ROW(S$12:S758),ROW($S$12))&gt;=MAX((1=Z$12:Z758)*ROW(Z$12:Z758),ROW($T$12)),TYPE(VLOOKUP("Да",(INDIRECT("AA"&amp;(MAX((1=Z$12:Z758)*ROW(Z$12:Z758),ROW($T$12))&amp;":AA"&amp;(ROW()-1)))),1,0))=16),MIN(LOOKUP(,-1/($Z$12:Z759=1),$C$12:C759)+LOOKUP(,-1/($Z$12:Z759=1),$H$12:H759),Первоначальный[[#This Row],[Полученный платеж]]+Y758),
AND(S758=0,TYPE(VLOOKUP("Да",(INDIRECT("AA"&amp;(MAX((1=Z$12:Z758)*ROW(Z$12:Z758),ROW($T$12))&amp;":AA"&amp;(ROW()-1)))),1,0))&lt;&gt;16),MIN(LOOKUP(,-1/($Z$12:Z759=1),$C$12:C759)+LOOKUP(,-1/($Z$12:Z759=1),$H$12:H759)-IF(AA758="Да",0,SUM(INDIRECT("T"&amp;(MAX(("Да"=AA$12:AA758)*ROW(AA$12:AA758)+1,ROW($T$12))&amp;":T"&amp;(ROW()-1))))),Первоначальный[[#This Row],[Полученный платеж]]+Y758),
AND(S758=0,MAX((0&lt;&gt;N$12:N758)*ROW(N$12:N758),ROW($S$12))&gt;=MAX((1=Z$12:Z758)*ROW(Z$12:Z758),ROW($T$12))),MIN(LOOKUP(,-1/($Z$12:Z759=1),$C$12:C759)+LOOKUP(,-1/($Z$12:Z759=1),$H$12:H759)-IF(N758&lt;&gt;0,0,SUM(INDIRECT("T"&amp;(MAX((0&lt;&gt;N$12:N758)*ROW(N$12:N758)+1,ROW($T$12))&amp;":T"&amp;(ROW()-1))))),Первоначальный[[#This Row],[Полученный платеж]]+Y758),
AND(S758=0,Первоначальный[[#This Row],[Дата платежа из графика]]=1),MIN(LOOKUP(,-1/($Z$12:Z759=1),$C$12:C759)+LOOKUP(,-1/($Z$12:Z759=1),$H$12:H759)-IF(Z758=1,0,SUM(INDIRECT("T"&amp;(MAX((1=Z$12:Z758)*ROW(Z$12:Z758)+1,ROW($T$12))&amp;":T"&amp;(ROW()-1))))),Первоначальный[[#This Row],[Полученный платеж]]+Y758),
AND(Z758&gt;0,Первоначальный[[#This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платеж]]+Y758),
AND(S758&gt;0,MAX((0&lt;&gt;S$12:S758)*ROW(S$12:S758),ROW($S$12))&gt;=MAX((1=Z$12:Z758)*ROW(Z$12:Z758),ROW($T$12)),TYPE(VLOOKUP("Да",(INDIRECT("AA"&amp;(MAX((1=Z$12:Z758)*ROW(Z$12:Z758),ROW($T$12))&amp;":AA"&amp;(ROW()-1)))),1,0))=16),MIN(LOOKUP(,-1/($Z$12:Z759=1),$C$12:C759)+LOOKUP(,-1/($Z$12:Z759=1),$H$12:H759)-SUM(INDIRECT("T"&amp;(MAX((1=Z$12:Z758)*ROW(Z$12:Z758),ROW($T$12))&amp;":T"&amp;(ROW()-1)))),Первоначальный[[#This Row],[Полученный платеж]]+Y758),
S758&gt;0,MIN(LOOKUP(,-1/($Z$12:Z759=1),$C$12:C759)+LOOKUP(,-1/($Z$12:Z759=1),$H$12:H759)-IF(Z758=1,0,SUM(INDIRECT("T"&amp;(MAX((1=Z$12:Z758)*ROW(Z$12:Z758)+1,ROW($T$12))&amp;":T"&amp;(ROW()-1))))),Первоначальный[[#This Row],[Полученный платеж]]+Y758)
)
)
)</f>
        <v>0</v>
      </c>
      <c r="U75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платеж]]+Y758-Первоначальный[[#This Row],[Полученный платёж по процентам]])</f>
        <v>0</v>
      </c>
      <c r="V759" s="55">
        <f t="shared" ca="1" si="133"/>
        <v>0</v>
      </c>
      <c r="W759" s="55" cm="1">
        <f t="array" aca="1" ref="W759" ca="1">IF(Первоначальный[[#This Row],[Итого остаток на начало периода]]&lt;1,0,
_xlfn.IFS(
AND(TYPE(VLOOKUP(1,$Z$12:Z759,1,0))=16,Первоначальный[[#This Row],[Досрочное погашение (да/"")]]=""),0,
AND(S758=0,Первоначальный[[#This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платеж]]+Y758-SUM(Первоначальный[[#This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комиссиям]]),VLOOKUP(LOOKUP(,-1/($Z$12:Z759=1),$A$12:A759),График[[Срок конец]:[Возврат основной суммы долга]],3,0)),
AND(S758=0,Первоначальный[[#This Row],[Дата платежа из графика]]="",Первоначальный[[#This Row],[Досрочное погашение (да/"")]]&lt;&gt;"Да"),0,
AND(S758=0,Первоначальный[[#This Row],[Досрочное погашение (да/"")]]=""),MIN(Первоначальный[[#This Row],[Полученный платеж]]+Y758-SUM(Первоначальный[[#This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комиссиям]]),VLOOKUP(LOOKUP(,-1/($Z$12:Z759=1),$A$12:A759),График[[Срок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платеж]]+Y758-SUM(Первоначальный[[#This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S758&gt;0,MIN(Первоначальный[[#This Row],[Полученный платеж]]+Y758-SUM(Первоначальный[[#This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комиссиям]]),SUM(INDIRECT("M"&amp;(MAX((1=S$12:S758)*ROW(S$12:S758),ROW($W$12))&amp;":M"&amp;(ROW()))))-SUM(INDIRECT("W"&amp;(MAX((1=S$12:S758)*ROW(S$12:S758),ROW($W$12))&amp;":W"&amp;(ROW()-1)))))
)
)</f>
        <v>0</v>
      </c>
      <c r="X759" s="55">
        <f t="shared" ca="1" si="134"/>
        <v>0</v>
      </c>
      <c r="Y759" s="101">
        <f t="shared" ca="1" si="141"/>
        <v>0</v>
      </c>
      <c r="Z759" s="133" t="str">
        <f>IF(TYPE((VLOOKUP(Первоначальный[[#This Row],[Дата платежа]],График[Срок конец],1,0)))=16,"",1)</f>
        <v/>
      </c>
      <c r="AA759" s="57"/>
      <c r="AB759" s="134"/>
      <c r="AC75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5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53959.800000000032</v>
      </c>
      <c r="AE75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1909.6799999999994</v>
      </c>
      <c r="AF75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5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107232.35464754101</v>
      </c>
      <c r="AH759" s="55"/>
      <c r="AI759" s="55"/>
      <c r="AJ759" s="55"/>
      <c r="AK759" s="101">
        <f t="shared" ca="1" si="142"/>
        <v>312735.17464754102</v>
      </c>
      <c r="AL759" s="129">
        <f t="array" ref="AL759">MAX((УслРестрактов[Характеристика]="Дата реструктуризации")*(УслРестрактов[Значение]=Первоначальный!$A759),0)</f>
        <v>0</v>
      </c>
    </row>
    <row r="760" spans="1:38" x14ac:dyDescent="0.25">
      <c r="A760" s="97">
        <f t="shared" si="135"/>
        <v>44891</v>
      </c>
      <c r="B760" s="100">
        <f t="shared" ca="1" si="136"/>
        <v>149633.34</v>
      </c>
      <c r="C760" s="55">
        <f t="shared" ca="1" si="144"/>
        <v>53959.800000000032</v>
      </c>
      <c r="D760" s="55">
        <f t="shared" ca="1" si="144"/>
        <v>1909.6799999999994</v>
      </c>
      <c r="E760" s="55">
        <f t="shared" ca="1" si="137"/>
        <v>0</v>
      </c>
      <c r="F760" s="55">
        <f t="shared" ca="1" si="138"/>
        <v>107232.35464754101</v>
      </c>
      <c r="G760" s="101">
        <f t="shared" ca="1" si="139"/>
        <v>312735.17464754102</v>
      </c>
      <c r="H760" s="100">
        <f ca="1">ROUND($B760*VLOOKUP($A760,$A$1:$B$10,2,1)/(365+IF(MOD(YEAR($A760),4),0,1)*($A760-$A759)),2)-Первоначальный[[#This Row],[Проценты на просроченный платеж по ОД за период]]</f>
        <v>75.599999999999994</v>
      </c>
      <c r="I760" s="55">
        <f t="shared" ca="1" si="140"/>
        <v>5.98</v>
      </c>
      <c r="J760" s="55">
        <v>0</v>
      </c>
      <c r="K760" s="55">
        <f t="shared" ca="1" si="143"/>
        <v>318.60350327868844</v>
      </c>
      <c r="L760" s="55">
        <v>0</v>
      </c>
      <c r="M760" s="113">
        <f>SUMIFS(График[Возврат основной суммы долга],График[Дата с учетом нерабочих дней],$A760)</f>
        <v>0</v>
      </c>
      <c r="N760" s="56">
        <f>SUMIFS(График[Возврат начисленных %],График[Дата с учетом нерабочих дней],$A760)</f>
        <v>0</v>
      </c>
      <c r="O760" s="101">
        <v>0</v>
      </c>
      <c r="P760" s="100" cm="1">
        <f t="array" aca="1" ref="P760" ca="1">MAX(IF(AA759="Да",0,SUM(INDIRECT("M"&amp;(MAX(("Да"=AA$12:AA759)*ROW(AA$12:AA759)+1,ROW($P$12))&amp;":M"&amp;(ROW()))))-SUM(INDIRECT("W"&amp;(MAX(("Да"=AA$12:AA759)*ROW(AA$12:AA759)+1,ROW($P$12))&amp;":W"&amp;(ROW()))))),0)</f>
        <v>10972.839999999998</v>
      </c>
      <c r="Q760" s="99">
        <f ca="1">MAX(SUM($N$13:N760)-SUM($T$13:T760),0)</f>
        <v>52747.860655737692</v>
      </c>
      <c r="R760" s="99">
        <f ca="1">Первоначальный[[#This Row],[Просроченный платеж по ОД]]+Первоначальный[[#This Row],[Просроченный платеж по процентам]]</f>
        <v>63720.700655737688</v>
      </c>
      <c r="S760" s="120">
        <f ca="1">IF(Первоначальный[[#This Row],[Просроченный платеж]]&lt;1,0,S759+1)</f>
        <v>656</v>
      </c>
      <c r="T760" s="100" cm="1">
        <f t="array" aca="1" ref="T760" ca="1">IF(Первоначальный[[#This Row],[Итого остаток на начало периода]]&lt;1,0,
IF(
AND(TYPE(VLOOKUP(1,$Z$12:Z760,1,0))=16,Первоначальный[[#This Row],[Досрочное погашение (да/"")]]=""),0,
_xlfn.IFS(AND(S759=0,Первоначальный[[#This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платеж]]&lt;&gt;0),MIN(LOOKUP(,-1/($Z$12:Z760=1),$C$12:C760)+LOOKUP(,-1/($Z$12:Z760=1),$H$12:H760),Первоначальный[[#This Row],[Полученный платеж]]+Y759),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платеж]]+Y759,SUM(Первоначальный[[#This Row],[Остаток процентов на начало периода]],Первоначальный[[#This Row],[Проценты за период]])),
AND(S759=0,Первоначальный[[#This Row],[Дата платежа из графика]]=""),0,
AND(S759=0,Первоначальный[[#This Row],[Дата платежа из графика]]=1,MAX((0&lt;&gt;S$12:S759)*ROW(S$12:S759),ROW($S$12))&gt;=MAX((1=Z$12:Z759)*ROW(Z$12:Z759),ROW($T$12)),TYPE(VLOOKUP("Да",(INDIRECT("AA"&amp;(MAX((1=Z$12:Z759)*ROW(Z$12:Z759),ROW($T$12))&amp;":AA"&amp;(ROW()-1)))),1,0))=16),MIN(LOOKUP(,-1/($Z$12:Z760=1),$C$12:C760)+LOOKUP(,-1/($Z$12:Z760=1),$H$12:H760),Первоначальный[[#This Row],[Полученный платеж]]+Y759),
AND(S759=0,TYPE(VLOOKUP("Да",(INDIRECT("AA"&amp;(MAX((1=Z$12:Z759)*ROW(Z$12:Z759),ROW($T$12))&amp;":AA"&amp;(ROW()-1)))),1,0))&lt;&gt;16),MIN(LOOKUP(,-1/($Z$12:Z760=1),$C$12:C760)+LOOKUP(,-1/($Z$12:Z760=1),$H$12:H760)-IF(AA759="Да",0,SUM(INDIRECT("T"&amp;(MAX(("Да"=AA$12:AA759)*ROW(AA$12:AA759)+1,ROW($T$12))&amp;":T"&amp;(ROW()-1))))),Первоначальный[[#This Row],[Полученный платеж]]+Y759),
AND(S759=0,MAX((0&lt;&gt;N$12:N759)*ROW(N$12:N759),ROW($S$12))&gt;=MAX((1=Z$12:Z759)*ROW(Z$12:Z759),ROW($T$12))),MIN(LOOKUP(,-1/($Z$12:Z760=1),$C$12:C760)+LOOKUP(,-1/($Z$12:Z760=1),$H$12:H760)-IF(N759&lt;&gt;0,0,SUM(INDIRECT("T"&amp;(MAX((0&lt;&gt;N$12:N759)*ROW(N$12:N759)+1,ROW($T$12))&amp;":T"&amp;(ROW()-1))))),Первоначальный[[#This Row],[Полученный платеж]]+Y759),
AND(S759=0,Первоначальный[[#This Row],[Дата платежа из графика]]=1),MIN(LOOKUP(,-1/($Z$12:Z760=1),$C$12:C760)+LOOKUP(,-1/($Z$12:Z760=1),$H$12:H760)-IF(Z759=1,0,SUM(INDIRECT("T"&amp;(MAX((1=Z$12:Z759)*ROW(Z$12:Z759)+1,ROW($T$12))&amp;":T"&amp;(ROW()-1))))),Первоначальный[[#This Row],[Полученный платеж]]+Y759),
AND(Z759&gt;0,Первоначальный[[#This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платеж]]+Y759),
AND(S759&gt;0,MAX((0&lt;&gt;S$12:S759)*ROW(S$12:S759),ROW($S$12))&gt;=MAX((1=Z$12:Z759)*ROW(Z$12:Z759),ROW($T$12)),TYPE(VLOOKUP("Да",(INDIRECT("AA"&amp;(MAX((1=Z$12:Z759)*ROW(Z$12:Z759),ROW($T$12))&amp;":AA"&amp;(ROW()-1)))),1,0))=16),MIN(LOOKUP(,-1/($Z$12:Z760=1),$C$12:C760)+LOOKUP(,-1/($Z$12:Z760=1),$H$12:H760)-SUM(INDIRECT("T"&amp;(MAX((1=Z$12:Z759)*ROW(Z$12:Z759),ROW($T$12))&amp;":T"&amp;(ROW()-1)))),Первоначальный[[#This Row],[Полученный платеж]]+Y759),
S759&gt;0,MIN(LOOKUP(,-1/($Z$12:Z760=1),$C$12:C760)+LOOKUP(,-1/($Z$12:Z760=1),$H$12:H760)-IF(Z759=1,0,SUM(INDIRECT("T"&amp;(MAX((1=Z$12:Z759)*ROW(Z$12:Z759)+1,ROW($T$12))&amp;":T"&amp;(ROW()-1))))),Первоначальный[[#This Row],[Полученный платеж]]+Y759)
)
)
)</f>
        <v>0</v>
      </c>
      <c r="U76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платеж]]+Y759-Первоначальный[[#This Row],[Полученный платёж по процентам]])</f>
        <v>0</v>
      </c>
      <c r="V760" s="55">
        <f t="shared" ca="1" si="133"/>
        <v>0</v>
      </c>
      <c r="W760" s="55" cm="1">
        <f t="array" aca="1" ref="W760" ca="1">IF(Первоначальный[[#This Row],[Итого остаток на начало периода]]&lt;1,0,
_xlfn.IFS(
AND(TYPE(VLOOKUP(1,$Z$12:Z760,1,0))=16,Первоначальный[[#This Row],[Досрочное погашение (да/"")]]=""),0,
AND(S759=0,Первоначальный[[#This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платеж]]+Y759-SUM(Первоначальный[[#This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комиссиям]]),VLOOKUP(LOOKUP(,-1/($Z$12:Z760=1),$A$12:A760),График[[Срок конец]:[Возврат основной суммы долга]],3,0)),
AND(S759=0,Первоначальный[[#This Row],[Дата платежа из графика]]="",Первоначальный[[#This Row],[Досрочное погашение (да/"")]]&lt;&gt;"Да"),0,
AND(S759=0,Первоначальный[[#This Row],[Досрочное погашение (да/"")]]=""),MIN(Первоначальный[[#This Row],[Полученный платеж]]+Y759-SUM(Первоначальный[[#This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комиссиям]]),VLOOKUP(LOOKUP(,-1/($Z$12:Z760=1),$A$12:A760),График[[Срок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платеж]]+Y759-SUM(Первоначальный[[#This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S759&gt;0,MIN(Первоначальный[[#This Row],[Полученный платеж]]+Y759-SUM(Первоначальный[[#This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комиссиям]]),SUM(INDIRECT("M"&amp;(MAX((1=S$12:S759)*ROW(S$12:S759),ROW($W$12))&amp;":M"&amp;(ROW()))))-SUM(INDIRECT("W"&amp;(MAX((1=S$12:S759)*ROW(S$12:S759),ROW($W$12))&amp;":W"&amp;(ROW()-1)))))
)
)</f>
        <v>0</v>
      </c>
      <c r="X760" s="55">
        <f t="shared" ca="1" si="134"/>
        <v>0</v>
      </c>
      <c r="Y760" s="101">
        <f t="shared" ca="1" si="141"/>
        <v>0</v>
      </c>
      <c r="Z760" s="133" t="str">
        <f>IF(TYPE((VLOOKUP(Первоначальный[[#This Row],[Дата платежа]],График[Срок конец],1,0)))=16,"",1)</f>
        <v/>
      </c>
      <c r="AA760" s="57"/>
      <c r="AB760" s="134"/>
      <c r="AC76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6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54035.400000000031</v>
      </c>
      <c r="AE76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1915.6599999999994</v>
      </c>
      <c r="AF76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6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107550.9581508197</v>
      </c>
      <c r="AH760" s="55"/>
      <c r="AI760" s="55"/>
      <c r="AJ760" s="55"/>
      <c r="AK760" s="101">
        <f t="shared" ca="1" si="142"/>
        <v>313135.35815081972</v>
      </c>
      <c r="AL760" s="129">
        <f t="array" ref="AL760">MAX((УслРестрактов[Характеристика]="Дата реструктуризации")*(УслРестрактов[Значение]=Первоначальный!$A760),0)</f>
        <v>0</v>
      </c>
    </row>
    <row r="761" spans="1:38" x14ac:dyDescent="0.25">
      <c r="A761" s="97">
        <f t="shared" si="135"/>
        <v>44892</v>
      </c>
      <c r="B761" s="100">
        <f t="shared" ca="1" si="136"/>
        <v>149633.34</v>
      </c>
      <c r="C761" s="55">
        <f t="shared" ca="1" si="144"/>
        <v>54035.400000000031</v>
      </c>
      <c r="D761" s="55">
        <f t="shared" ca="1" si="144"/>
        <v>1915.6599999999994</v>
      </c>
      <c r="E761" s="55">
        <f t="shared" ca="1" si="137"/>
        <v>0</v>
      </c>
      <c r="F761" s="55">
        <f t="shared" ca="1" si="138"/>
        <v>107550.9581508197</v>
      </c>
      <c r="G761" s="101">
        <f t="shared" ca="1" si="139"/>
        <v>313135.35815081972</v>
      </c>
      <c r="H761" s="100">
        <f ca="1">ROUND($B761*VLOOKUP($A761,$A$1:$B$10,2,1)/(365+IF(MOD(YEAR($A761),4),0,1)*($A761-$A760)),2)-Первоначальный[[#This Row],[Проценты на просроченный платеж по ОД за период]]</f>
        <v>75.599999999999994</v>
      </c>
      <c r="I761" s="55">
        <f t="shared" ca="1" si="140"/>
        <v>5.98</v>
      </c>
      <c r="J761" s="55">
        <v>0</v>
      </c>
      <c r="K761" s="55">
        <f t="shared" ca="1" si="143"/>
        <v>318.60350327868844</v>
      </c>
      <c r="L761" s="55">
        <v>0</v>
      </c>
      <c r="M761" s="113">
        <f>SUMIFS(График[Возврат основной суммы долга],График[Дата с учетом нерабочих дней],$A761)</f>
        <v>0</v>
      </c>
      <c r="N761" s="56">
        <f>SUMIFS(График[Возврат начисленных %],График[Дата с учетом нерабочих дней],$A761)</f>
        <v>0</v>
      </c>
      <c r="O761" s="101">
        <v>0</v>
      </c>
      <c r="P761" s="100" cm="1">
        <f t="array" aca="1" ref="P761" ca="1">MAX(IF(AA760="Да",0,SUM(INDIRECT("M"&amp;(MAX(("Да"=AA$12:AA760)*ROW(AA$12:AA760)+1,ROW($P$12))&amp;":M"&amp;(ROW()))))-SUM(INDIRECT("W"&amp;(MAX(("Да"=AA$12:AA760)*ROW(AA$12:AA760)+1,ROW($P$12))&amp;":W"&amp;(ROW()))))),0)</f>
        <v>10972.839999999998</v>
      </c>
      <c r="Q761" s="99">
        <f ca="1">MAX(SUM($N$13:N761)-SUM($T$13:T761),0)</f>
        <v>52747.860655737692</v>
      </c>
      <c r="R761" s="99">
        <f ca="1">Первоначальный[[#This Row],[Просроченный платеж по ОД]]+Первоначальный[[#This Row],[Просроченный платеж по процентам]]</f>
        <v>63720.700655737688</v>
      </c>
      <c r="S761" s="120">
        <f ca="1">IF(Первоначальный[[#This Row],[Просроченный платеж]]&lt;1,0,S760+1)</f>
        <v>657</v>
      </c>
      <c r="T761" s="100" cm="1">
        <f t="array" aca="1" ref="T761" ca="1">IF(Первоначальный[[#This Row],[Итого остаток на начало периода]]&lt;1,0,
IF(
AND(TYPE(VLOOKUP(1,$Z$12:Z761,1,0))=16,Первоначальный[[#This Row],[Досрочное погашение (да/"")]]=""),0,
_xlfn.IFS(AND(S760=0,Первоначальный[[#This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платеж]]&lt;&gt;0),MIN(LOOKUP(,-1/($Z$12:Z761=1),$C$12:C761)+LOOKUP(,-1/($Z$12:Z761=1),$H$12:H761),Первоначальный[[#This Row],[Полученный платеж]]+Y760),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платеж]]+Y760,SUM(Первоначальный[[#This Row],[Остаток процентов на начало периода]],Первоначальный[[#This Row],[Проценты за период]])),
AND(S760=0,Первоначальный[[#This Row],[Дата платежа из графика]]=""),0,
AND(S760=0,Первоначальный[[#This Row],[Дата платежа из графика]]=1,MAX((0&lt;&gt;S$12:S760)*ROW(S$12:S760),ROW($S$12))&gt;=MAX((1=Z$12:Z760)*ROW(Z$12:Z760),ROW($T$12)),TYPE(VLOOKUP("Да",(INDIRECT("AA"&amp;(MAX((1=Z$12:Z760)*ROW(Z$12:Z760),ROW($T$12))&amp;":AA"&amp;(ROW()-1)))),1,0))=16),MIN(LOOKUP(,-1/($Z$12:Z761=1),$C$12:C761)+LOOKUP(,-1/($Z$12:Z761=1),$H$12:H761),Первоначальный[[#This Row],[Полученный платеж]]+Y760),
AND(S760=0,TYPE(VLOOKUP("Да",(INDIRECT("AA"&amp;(MAX((1=Z$12:Z760)*ROW(Z$12:Z760),ROW($T$12))&amp;":AA"&amp;(ROW()-1)))),1,0))&lt;&gt;16),MIN(LOOKUP(,-1/($Z$12:Z761=1),$C$12:C761)+LOOKUP(,-1/($Z$12:Z761=1),$H$12:H761)-IF(AA760="Да",0,SUM(INDIRECT("T"&amp;(MAX(("Да"=AA$12:AA760)*ROW(AA$12:AA760)+1,ROW($T$12))&amp;":T"&amp;(ROW()-1))))),Первоначальный[[#This Row],[Полученный платеж]]+Y760),
AND(S760=0,MAX((0&lt;&gt;N$12:N760)*ROW(N$12:N760),ROW($S$12))&gt;=MAX((1=Z$12:Z760)*ROW(Z$12:Z760),ROW($T$12))),MIN(LOOKUP(,-1/($Z$12:Z761=1),$C$12:C761)+LOOKUP(,-1/($Z$12:Z761=1),$H$12:H761)-IF(N760&lt;&gt;0,0,SUM(INDIRECT("T"&amp;(MAX((0&lt;&gt;N$12:N760)*ROW(N$12:N760)+1,ROW($T$12))&amp;":T"&amp;(ROW()-1))))),Первоначальный[[#This Row],[Полученный платеж]]+Y760),
AND(S760=0,Первоначальный[[#This Row],[Дата платежа из графика]]=1),MIN(LOOKUP(,-1/($Z$12:Z761=1),$C$12:C761)+LOOKUP(,-1/($Z$12:Z761=1),$H$12:H761)-IF(Z760=1,0,SUM(INDIRECT("T"&amp;(MAX((1=Z$12:Z760)*ROW(Z$12:Z760)+1,ROW($T$12))&amp;":T"&amp;(ROW()-1))))),Первоначальный[[#This Row],[Полученный платеж]]+Y760),
AND(Z760&gt;0,Первоначальный[[#This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платеж]]+Y760),
AND(S760&gt;0,MAX((0&lt;&gt;S$12:S760)*ROW(S$12:S760),ROW($S$12))&gt;=MAX((1=Z$12:Z760)*ROW(Z$12:Z760),ROW($T$12)),TYPE(VLOOKUP("Да",(INDIRECT("AA"&amp;(MAX((1=Z$12:Z760)*ROW(Z$12:Z760),ROW($T$12))&amp;":AA"&amp;(ROW()-1)))),1,0))=16),MIN(LOOKUP(,-1/($Z$12:Z761=1),$C$12:C761)+LOOKUP(,-1/($Z$12:Z761=1),$H$12:H761)-SUM(INDIRECT("T"&amp;(MAX((1=Z$12:Z760)*ROW(Z$12:Z760),ROW($T$12))&amp;":T"&amp;(ROW()-1)))),Первоначальный[[#This Row],[Полученный платеж]]+Y760),
S760&gt;0,MIN(LOOKUP(,-1/($Z$12:Z761=1),$C$12:C761)+LOOKUP(,-1/($Z$12:Z761=1),$H$12:H761)-IF(Z760=1,0,SUM(INDIRECT("T"&amp;(MAX((1=Z$12:Z760)*ROW(Z$12:Z760)+1,ROW($T$12))&amp;":T"&amp;(ROW()-1))))),Первоначальный[[#This Row],[Полученный платеж]]+Y760)
)
)
)</f>
        <v>0</v>
      </c>
      <c r="U76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платеж]]+Y760-Первоначальный[[#This Row],[Полученный платёж по процентам]])</f>
        <v>0</v>
      </c>
      <c r="V761" s="55">
        <f t="shared" ca="1" si="133"/>
        <v>0</v>
      </c>
      <c r="W761" s="55" cm="1">
        <f t="array" aca="1" ref="W761" ca="1">IF(Первоначальный[[#This Row],[Итого остаток на начало периода]]&lt;1,0,
_xlfn.IFS(
AND(TYPE(VLOOKUP(1,$Z$12:Z761,1,0))=16,Первоначальный[[#This Row],[Досрочное погашение (да/"")]]=""),0,
AND(S760=0,Первоначальный[[#This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платеж]]+Y760-SUM(Первоначальный[[#This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комиссиям]]),VLOOKUP(LOOKUP(,-1/($Z$12:Z761=1),$A$12:A761),График[[Срок конец]:[Возврат основной суммы долга]],3,0)),
AND(S760=0,Первоначальный[[#This Row],[Дата платежа из графика]]="",Первоначальный[[#This Row],[Досрочное погашение (да/"")]]&lt;&gt;"Да"),0,
AND(S760=0,Первоначальный[[#This Row],[Досрочное погашение (да/"")]]=""),MIN(Первоначальный[[#This Row],[Полученный платеж]]+Y760-SUM(Первоначальный[[#This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комиссиям]]),VLOOKUP(LOOKUP(,-1/($Z$12:Z761=1),$A$12:A761),График[[Срок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платеж]]+Y760-SUM(Первоначальный[[#This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S760&gt;0,MIN(Первоначальный[[#This Row],[Полученный платеж]]+Y760-SUM(Первоначальный[[#This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комиссиям]]),SUM(INDIRECT("M"&amp;(MAX((1=S$12:S760)*ROW(S$12:S760),ROW($W$12))&amp;":M"&amp;(ROW()))))-SUM(INDIRECT("W"&amp;(MAX((1=S$12:S760)*ROW(S$12:S760),ROW($W$12))&amp;":W"&amp;(ROW()-1)))))
)
)</f>
        <v>0</v>
      </c>
      <c r="X761" s="55">
        <f t="shared" ca="1" si="134"/>
        <v>0</v>
      </c>
      <c r="Y761" s="101">
        <f t="shared" ca="1" si="141"/>
        <v>0</v>
      </c>
      <c r="Z761" s="133" t="str">
        <f>IF(TYPE((VLOOKUP(Первоначальный[[#This Row],[Дата платежа]],График[Срок конец],1,0)))=16,"",1)</f>
        <v/>
      </c>
      <c r="AA761" s="57"/>
      <c r="AB761" s="134"/>
      <c r="AC76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6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54111.000000000029</v>
      </c>
      <c r="AE76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1921.6399999999994</v>
      </c>
      <c r="AF76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6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107869.56165409839</v>
      </c>
      <c r="AH761" s="55"/>
      <c r="AI761" s="55"/>
      <c r="AJ761" s="55"/>
      <c r="AK761" s="101">
        <f t="shared" ca="1" si="142"/>
        <v>313535.54165409843</v>
      </c>
      <c r="AL761" s="129">
        <f t="array" ref="AL761">MAX((УслРестрактов[Характеристика]="Дата реструктуризации")*(УслРестрактов[Значение]=Первоначальный!$A761),0)</f>
        <v>0</v>
      </c>
    </row>
    <row r="762" spans="1:38" x14ac:dyDescent="0.25">
      <c r="A762" s="97">
        <f t="shared" si="135"/>
        <v>44893</v>
      </c>
      <c r="B762" s="100">
        <f t="shared" ca="1" si="136"/>
        <v>149633.34</v>
      </c>
      <c r="C762" s="55">
        <f t="shared" ca="1" si="144"/>
        <v>54111.000000000029</v>
      </c>
      <c r="D762" s="55">
        <f t="shared" ca="1" si="144"/>
        <v>1921.6399999999994</v>
      </c>
      <c r="E762" s="55">
        <f t="shared" ca="1" si="137"/>
        <v>0</v>
      </c>
      <c r="F762" s="55">
        <f t="shared" ca="1" si="138"/>
        <v>107869.56165409839</v>
      </c>
      <c r="G762" s="101">
        <f t="shared" ca="1" si="139"/>
        <v>313535.54165409843</v>
      </c>
      <c r="H762" s="100">
        <f ca="1">ROUND($B762*VLOOKUP($A762,$A$1:$B$10,2,1)/(365+IF(MOD(YEAR($A762),4),0,1)*($A762-$A761)),2)-Первоначальный[[#This Row],[Проценты на просроченный платеж по ОД за период]]</f>
        <v>75.599999999999994</v>
      </c>
      <c r="I762" s="55">
        <f t="shared" ca="1" si="140"/>
        <v>5.98</v>
      </c>
      <c r="J762" s="55">
        <v>0</v>
      </c>
      <c r="K762" s="55">
        <f t="shared" ca="1" si="143"/>
        <v>318.60350327868844</v>
      </c>
      <c r="L762" s="55">
        <v>0</v>
      </c>
      <c r="M762" s="113">
        <f>SUMIFS(График[Возврат основной суммы долга],График[Дата с учетом нерабочих дней],$A762)</f>
        <v>0</v>
      </c>
      <c r="N762" s="56">
        <f>SUMIFS(График[Возврат начисленных %],График[Дата с учетом нерабочих дней],$A762)</f>
        <v>0</v>
      </c>
      <c r="O762" s="101">
        <v>0</v>
      </c>
      <c r="P762" s="100" cm="1">
        <f t="array" aca="1" ref="P762" ca="1">MAX(IF(AA761="Да",0,SUM(INDIRECT("M"&amp;(MAX(("Да"=AA$12:AA761)*ROW(AA$12:AA761)+1,ROW($P$12))&amp;":M"&amp;(ROW()))))-SUM(INDIRECT("W"&amp;(MAX(("Да"=AA$12:AA761)*ROW(AA$12:AA761)+1,ROW($P$12))&amp;":W"&amp;(ROW()))))),0)</f>
        <v>10972.839999999998</v>
      </c>
      <c r="Q762" s="99">
        <f ca="1">MAX(SUM($N$13:N762)-SUM($T$13:T762),0)</f>
        <v>52747.860655737692</v>
      </c>
      <c r="R762" s="99">
        <f ca="1">Первоначальный[[#This Row],[Просроченный платеж по ОД]]+Первоначальный[[#This Row],[Просроченный платеж по процентам]]</f>
        <v>63720.700655737688</v>
      </c>
      <c r="S762" s="120">
        <f ca="1">IF(Первоначальный[[#This Row],[Просроченный платеж]]&lt;1,0,S761+1)</f>
        <v>658</v>
      </c>
      <c r="T762" s="100" cm="1">
        <f t="array" aca="1" ref="T762" ca="1">IF(Первоначальный[[#This Row],[Итого остаток на начало периода]]&lt;1,0,
IF(
AND(TYPE(VLOOKUP(1,$Z$12:Z762,1,0))=16,Первоначальный[[#This Row],[Досрочное погашение (да/"")]]=""),0,
_xlfn.IFS(AND(S761=0,Первоначальный[[#This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платеж]]&lt;&gt;0),MIN(LOOKUP(,-1/($Z$12:Z762=1),$C$12:C762)+LOOKUP(,-1/($Z$12:Z762=1),$H$12:H762),Первоначальный[[#This Row],[Полученный платеж]]+Y761),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платеж]]+Y761,SUM(Первоначальный[[#This Row],[Остаток процентов на начало периода]],Первоначальный[[#This Row],[Проценты за период]])),
AND(S761=0,Первоначальный[[#This Row],[Дата платежа из графика]]=""),0,
AND(S761=0,Первоначальный[[#This Row],[Дата платежа из графика]]=1,MAX((0&lt;&gt;S$12:S761)*ROW(S$12:S761),ROW($S$12))&gt;=MAX((1=Z$12:Z761)*ROW(Z$12:Z761),ROW($T$12)),TYPE(VLOOKUP("Да",(INDIRECT("AA"&amp;(MAX((1=Z$12:Z761)*ROW(Z$12:Z761),ROW($T$12))&amp;":AA"&amp;(ROW()-1)))),1,0))=16),MIN(LOOKUP(,-1/($Z$12:Z762=1),$C$12:C762)+LOOKUP(,-1/($Z$12:Z762=1),$H$12:H762),Первоначальный[[#This Row],[Полученный платеж]]+Y761),
AND(S761=0,TYPE(VLOOKUP("Да",(INDIRECT("AA"&amp;(MAX((1=Z$12:Z761)*ROW(Z$12:Z761),ROW($T$12))&amp;":AA"&amp;(ROW()-1)))),1,0))&lt;&gt;16),MIN(LOOKUP(,-1/($Z$12:Z762=1),$C$12:C762)+LOOKUP(,-1/($Z$12:Z762=1),$H$12:H762)-IF(AA761="Да",0,SUM(INDIRECT("T"&amp;(MAX(("Да"=AA$12:AA761)*ROW(AA$12:AA761)+1,ROW($T$12))&amp;":T"&amp;(ROW()-1))))),Первоначальный[[#This Row],[Полученный платеж]]+Y761),
AND(S761=0,MAX((0&lt;&gt;N$12:N761)*ROW(N$12:N761),ROW($S$12))&gt;=MAX((1=Z$12:Z761)*ROW(Z$12:Z761),ROW($T$12))),MIN(LOOKUP(,-1/($Z$12:Z762=1),$C$12:C762)+LOOKUP(,-1/($Z$12:Z762=1),$H$12:H762)-IF(N761&lt;&gt;0,0,SUM(INDIRECT("T"&amp;(MAX((0&lt;&gt;N$12:N761)*ROW(N$12:N761)+1,ROW($T$12))&amp;":T"&amp;(ROW()-1))))),Первоначальный[[#This Row],[Полученный платеж]]+Y761),
AND(S761=0,Первоначальный[[#This Row],[Дата платежа из графика]]=1),MIN(LOOKUP(,-1/($Z$12:Z762=1),$C$12:C762)+LOOKUP(,-1/($Z$12:Z762=1),$H$12:H762)-IF(Z761=1,0,SUM(INDIRECT("T"&amp;(MAX((1=Z$12:Z761)*ROW(Z$12:Z761)+1,ROW($T$12))&amp;":T"&amp;(ROW()-1))))),Первоначальный[[#This Row],[Полученный платеж]]+Y761),
AND(Z761&gt;0,Первоначальный[[#This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платеж]]+Y761),
AND(S761&gt;0,MAX((0&lt;&gt;S$12:S761)*ROW(S$12:S761),ROW($S$12))&gt;=MAX((1=Z$12:Z761)*ROW(Z$12:Z761),ROW($T$12)),TYPE(VLOOKUP("Да",(INDIRECT("AA"&amp;(MAX((1=Z$12:Z761)*ROW(Z$12:Z761),ROW($T$12))&amp;":AA"&amp;(ROW()-1)))),1,0))=16),MIN(LOOKUP(,-1/($Z$12:Z762=1),$C$12:C762)+LOOKUP(,-1/($Z$12:Z762=1),$H$12:H762)-SUM(INDIRECT("T"&amp;(MAX((1=Z$12:Z761)*ROW(Z$12:Z761),ROW($T$12))&amp;":T"&amp;(ROW()-1)))),Первоначальный[[#This Row],[Полученный платеж]]+Y761),
S761&gt;0,MIN(LOOKUP(,-1/($Z$12:Z762=1),$C$12:C762)+LOOKUP(,-1/($Z$12:Z762=1),$H$12:H762)-IF(Z761=1,0,SUM(INDIRECT("T"&amp;(MAX((1=Z$12:Z761)*ROW(Z$12:Z761)+1,ROW($T$12))&amp;":T"&amp;(ROW()-1))))),Первоначальный[[#This Row],[Полученный платеж]]+Y761)
)
)
)</f>
        <v>0</v>
      </c>
      <c r="U76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платеж]]+Y761-Первоначальный[[#This Row],[Полученный платёж по процентам]])</f>
        <v>0</v>
      </c>
      <c r="V762" s="55">
        <f t="shared" ca="1" si="133"/>
        <v>0</v>
      </c>
      <c r="W762" s="55" cm="1">
        <f t="array" aca="1" ref="W762" ca="1">IF(Первоначальный[[#This Row],[Итого остаток на начало периода]]&lt;1,0,
_xlfn.IFS(
AND(TYPE(VLOOKUP(1,$Z$12:Z762,1,0))=16,Первоначальный[[#This Row],[Досрочное погашение (да/"")]]=""),0,
AND(S761=0,Первоначальный[[#This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платеж]]+Y761-SUM(Первоначальный[[#This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комиссиям]]),VLOOKUP(LOOKUP(,-1/($Z$12:Z762=1),$A$12:A762),График[[Срок конец]:[Возврат основной суммы долга]],3,0)),
AND(S761=0,Первоначальный[[#This Row],[Дата платежа из графика]]="",Первоначальный[[#This Row],[Досрочное погашение (да/"")]]&lt;&gt;"Да"),0,
AND(S761=0,Первоначальный[[#This Row],[Досрочное погашение (да/"")]]=""),MIN(Первоначальный[[#This Row],[Полученный платеж]]+Y761-SUM(Первоначальный[[#This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комиссиям]]),VLOOKUP(LOOKUP(,-1/($Z$12:Z762=1),$A$12:A762),График[[Срок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платеж]]+Y761-SUM(Первоначальный[[#This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S761&gt;0,MIN(Первоначальный[[#This Row],[Полученный платеж]]+Y761-SUM(Первоначальный[[#This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комиссиям]]),SUM(INDIRECT("M"&amp;(MAX((1=S$12:S761)*ROW(S$12:S761),ROW($W$12))&amp;":M"&amp;(ROW()))))-SUM(INDIRECT("W"&amp;(MAX((1=S$12:S761)*ROW(S$12:S761),ROW($W$12))&amp;":W"&amp;(ROW()-1)))))
)
)</f>
        <v>0</v>
      </c>
      <c r="X762" s="55">
        <f t="shared" ca="1" si="134"/>
        <v>0</v>
      </c>
      <c r="Y762" s="101">
        <f t="shared" ca="1" si="141"/>
        <v>0</v>
      </c>
      <c r="Z762" s="133" t="str">
        <f>IF(TYPE((VLOOKUP(Первоначальный[[#This Row],[Дата платежа]],График[Срок конец],1,0)))=16,"",1)</f>
        <v/>
      </c>
      <c r="AA762" s="57"/>
      <c r="AB762" s="134"/>
      <c r="AC76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6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54186.600000000028</v>
      </c>
      <c r="AE76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1927.6199999999994</v>
      </c>
      <c r="AF76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6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108188.16515737708</v>
      </c>
      <c r="AH762" s="55"/>
      <c r="AI762" s="55"/>
      <c r="AJ762" s="55"/>
      <c r="AK762" s="101">
        <f t="shared" ca="1" si="142"/>
        <v>313935.72515737708</v>
      </c>
      <c r="AL762" s="129">
        <f t="array" ref="AL762">MAX((УслРестрактов[Характеристика]="Дата реструктуризации")*(УслРестрактов[Значение]=Первоначальный!$A762),0)</f>
        <v>0</v>
      </c>
    </row>
    <row r="763" spans="1:38" x14ac:dyDescent="0.25">
      <c r="A763" s="97">
        <f t="shared" si="135"/>
        <v>44894</v>
      </c>
      <c r="B763" s="100">
        <f t="shared" ca="1" si="136"/>
        <v>149633.34</v>
      </c>
      <c r="C763" s="55">
        <f t="shared" ca="1" si="144"/>
        <v>54186.600000000028</v>
      </c>
      <c r="D763" s="55">
        <f t="shared" ca="1" si="144"/>
        <v>1927.6199999999994</v>
      </c>
      <c r="E763" s="55">
        <f t="shared" ca="1" si="137"/>
        <v>0</v>
      </c>
      <c r="F763" s="55">
        <f t="shared" ca="1" si="138"/>
        <v>108188.16515737708</v>
      </c>
      <c r="G763" s="101">
        <f t="shared" ca="1" si="139"/>
        <v>313935.72515737708</v>
      </c>
      <c r="H763" s="100">
        <f ca="1">ROUND($B763*VLOOKUP($A763,$A$1:$B$10,2,1)/(365+IF(MOD(YEAR($A763),4),0,1)*($A763-$A762)),2)-Первоначальный[[#This Row],[Проценты на просроченный платеж по ОД за период]]</f>
        <v>75.599999999999994</v>
      </c>
      <c r="I763" s="55">
        <f t="shared" ca="1" si="140"/>
        <v>5.98</v>
      </c>
      <c r="J763" s="55">
        <v>0</v>
      </c>
      <c r="K763" s="55">
        <f t="shared" ca="1" si="143"/>
        <v>318.60350327868844</v>
      </c>
      <c r="L763" s="55">
        <v>0</v>
      </c>
      <c r="M763" s="113">
        <f>SUMIFS(График[Возврат основной суммы долга],График[Дата с учетом нерабочих дней],$A763)</f>
        <v>0</v>
      </c>
      <c r="N763" s="56">
        <f>SUMIFS(График[Возврат начисленных %],График[Дата с учетом нерабочих дней],$A763)</f>
        <v>0</v>
      </c>
      <c r="O763" s="101">
        <v>0</v>
      </c>
      <c r="P763" s="100" cm="1">
        <f t="array" aca="1" ref="P763" ca="1">MAX(IF(AA762="Да",0,SUM(INDIRECT("M"&amp;(MAX(("Да"=AA$12:AA762)*ROW(AA$12:AA762)+1,ROW($P$12))&amp;":M"&amp;(ROW()))))-SUM(INDIRECT("W"&amp;(MAX(("Да"=AA$12:AA762)*ROW(AA$12:AA762)+1,ROW($P$12))&amp;":W"&amp;(ROW()))))),0)</f>
        <v>10972.839999999998</v>
      </c>
      <c r="Q763" s="99">
        <f ca="1">MAX(SUM($N$13:N763)-SUM($T$13:T763),0)</f>
        <v>52747.860655737692</v>
      </c>
      <c r="R763" s="99">
        <f ca="1">Первоначальный[[#This Row],[Просроченный платеж по ОД]]+Первоначальный[[#This Row],[Просроченный платеж по процентам]]</f>
        <v>63720.700655737688</v>
      </c>
      <c r="S763" s="120">
        <f ca="1">IF(Первоначальный[[#This Row],[Просроченный платеж]]&lt;1,0,S762+1)</f>
        <v>659</v>
      </c>
      <c r="T763" s="100" cm="1">
        <f t="array" aca="1" ref="T763" ca="1">IF(Первоначальный[[#This Row],[Итого остаток на начало периода]]&lt;1,0,
IF(
AND(TYPE(VLOOKUP(1,$Z$12:Z763,1,0))=16,Первоначальный[[#This Row],[Досрочное погашение (да/"")]]=""),0,
_xlfn.IFS(AND(S762=0,Первоначальный[[#This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платеж]]&lt;&gt;0),MIN(LOOKUP(,-1/($Z$12:Z763=1),$C$12:C763)+LOOKUP(,-1/($Z$12:Z763=1),$H$12:H763),Первоначальный[[#This Row],[Полученный платеж]]+Y762),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платеж]]+Y762,SUM(Первоначальный[[#This Row],[Остаток процентов на начало периода]],Первоначальный[[#This Row],[Проценты за период]])),
AND(S762=0,Первоначальный[[#This Row],[Дата платежа из графика]]=""),0,
AND(S762=0,Первоначальный[[#This Row],[Дата платежа из графика]]=1,MAX((0&lt;&gt;S$12:S762)*ROW(S$12:S762),ROW($S$12))&gt;=MAX((1=Z$12:Z762)*ROW(Z$12:Z762),ROW($T$12)),TYPE(VLOOKUP("Да",(INDIRECT("AA"&amp;(MAX((1=Z$12:Z762)*ROW(Z$12:Z762),ROW($T$12))&amp;":AA"&amp;(ROW()-1)))),1,0))=16),MIN(LOOKUP(,-1/($Z$12:Z763=1),$C$12:C763)+LOOKUP(,-1/($Z$12:Z763=1),$H$12:H763),Первоначальный[[#This Row],[Полученный платеж]]+Y762),
AND(S762=0,TYPE(VLOOKUP("Да",(INDIRECT("AA"&amp;(MAX((1=Z$12:Z762)*ROW(Z$12:Z762),ROW($T$12))&amp;":AA"&amp;(ROW()-1)))),1,0))&lt;&gt;16),MIN(LOOKUP(,-1/($Z$12:Z763=1),$C$12:C763)+LOOKUP(,-1/($Z$12:Z763=1),$H$12:H763)-IF(AA762="Да",0,SUM(INDIRECT("T"&amp;(MAX(("Да"=AA$12:AA762)*ROW(AA$12:AA762)+1,ROW($T$12))&amp;":T"&amp;(ROW()-1))))),Первоначальный[[#This Row],[Полученный платеж]]+Y762),
AND(S762=0,MAX((0&lt;&gt;N$12:N762)*ROW(N$12:N762),ROW($S$12))&gt;=MAX((1=Z$12:Z762)*ROW(Z$12:Z762),ROW($T$12))),MIN(LOOKUP(,-1/($Z$12:Z763=1),$C$12:C763)+LOOKUP(,-1/($Z$12:Z763=1),$H$12:H763)-IF(N762&lt;&gt;0,0,SUM(INDIRECT("T"&amp;(MAX((0&lt;&gt;N$12:N762)*ROW(N$12:N762)+1,ROW($T$12))&amp;":T"&amp;(ROW()-1))))),Первоначальный[[#This Row],[Полученный платеж]]+Y762),
AND(S762=0,Первоначальный[[#This Row],[Дата платежа из графика]]=1),MIN(LOOKUP(,-1/($Z$12:Z763=1),$C$12:C763)+LOOKUP(,-1/($Z$12:Z763=1),$H$12:H763)-IF(Z762=1,0,SUM(INDIRECT("T"&amp;(MAX((1=Z$12:Z762)*ROW(Z$12:Z762)+1,ROW($T$12))&amp;":T"&amp;(ROW()-1))))),Первоначальный[[#This Row],[Полученный платеж]]+Y762),
AND(Z762&gt;0,Первоначальный[[#This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платеж]]+Y762),
AND(S762&gt;0,MAX((0&lt;&gt;S$12:S762)*ROW(S$12:S762),ROW($S$12))&gt;=MAX((1=Z$12:Z762)*ROW(Z$12:Z762),ROW($T$12)),TYPE(VLOOKUP("Да",(INDIRECT("AA"&amp;(MAX((1=Z$12:Z762)*ROW(Z$12:Z762),ROW($T$12))&amp;":AA"&amp;(ROW()-1)))),1,0))=16),MIN(LOOKUP(,-1/($Z$12:Z763=1),$C$12:C763)+LOOKUP(,-1/($Z$12:Z763=1),$H$12:H763)-SUM(INDIRECT("T"&amp;(MAX((1=Z$12:Z762)*ROW(Z$12:Z762),ROW($T$12))&amp;":T"&amp;(ROW()-1)))),Первоначальный[[#This Row],[Полученный платеж]]+Y762),
S762&gt;0,MIN(LOOKUP(,-1/($Z$12:Z763=1),$C$12:C763)+LOOKUP(,-1/($Z$12:Z763=1),$H$12:H763)-IF(Z762=1,0,SUM(INDIRECT("T"&amp;(MAX((1=Z$12:Z762)*ROW(Z$12:Z762)+1,ROW($T$12))&amp;":T"&amp;(ROW()-1))))),Первоначальный[[#This Row],[Полученный платеж]]+Y762)
)
)
)</f>
        <v>0</v>
      </c>
      <c r="U76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платеж]]+Y762-Первоначальный[[#This Row],[Полученный платёж по процентам]])</f>
        <v>0</v>
      </c>
      <c r="V763" s="55">
        <f t="shared" ca="1" si="133"/>
        <v>0</v>
      </c>
      <c r="W763" s="55" cm="1">
        <f t="array" aca="1" ref="W763" ca="1">IF(Первоначальный[[#This Row],[Итого остаток на начало периода]]&lt;1,0,
_xlfn.IFS(
AND(TYPE(VLOOKUP(1,$Z$12:Z763,1,0))=16,Первоначальный[[#This Row],[Досрочное погашение (да/"")]]=""),0,
AND(S762=0,Первоначальный[[#This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платеж]]+Y762-SUM(Первоначальный[[#This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комиссиям]]),VLOOKUP(LOOKUP(,-1/($Z$12:Z763=1),$A$12:A763),График[[Срок конец]:[Возврат основной суммы долга]],3,0)),
AND(S762=0,Первоначальный[[#This Row],[Дата платежа из графика]]="",Первоначальный[[#This Row],[Досрочное погашение (да/"")]]&lt;&gt;"Да"),0,
AND(S762=0,Первоначальный[[#This Row],[Досрочное погашение (да/"")]]=""),MIN(Первоначальный[[#This Row],[Полученный платеж]]+Y762-SUM(Первоначальный[[#This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комиссиям]]),VLOOKUP(LOOKUP(,-1/($Z$12:Z763=1),$A$12:A763),График[[Срок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платеж]]+Y762-SUM(Первоначальный[[#This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S762&gt;0,MIN(Первоначальный[[#This Row],[Полученный платеж]]+Y762-SUM(Первоначальный[[#This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комиссиям]]),SUM(INDIRECT("M"&amp;(MAX((1=S$12:S762)*ROW(S$12:S762),ROW($W$12))&amp;":M"&amp;(ROW()))))-SUM(INDIRECT("W"&amp;(MAX((1=S$12:S762)*ROW(S$12:S762),ROW($W$12))&amp;":W"&amp;(ROW()-1)))))
)
)</f>
        <v>0</v>
      </c>
      <c r="X763" s="55">
        <f t="shared" ca="1" si="134"/>
        <v>0</v>
      </c>
      <c r="Y763" s="101">
        <f t="shared" ca="1" si="141"/>
        <v>0</v>
      </c>
      <c r="Z763" s="133" t="str">
        <f>IF(TYPE((VLOOKUP(Первоначальный[[#This Row],[Дата платежа]],График[Срок конец],1,0)))=16,"",1)</f>
        <v/>
      </c>
      <c r="AA763" s="57"/>
      <c r="AB763" s="134"/>
      <c r="AC76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6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54262.200000000026</v>
      </c>
      <c r="AE76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1933.5999999999995</v>
      </c>
      <c r="AF76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6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108506.76866065577</v>
      </c>
      <c r="AH763" s="55"/>
      <c r="AI763" s="55"/>
      <c r="AJ763" s="55"/>
      <c r="AK763" s="101">
        <f t="shared" ca="1" si="142"/>
        <v>314335.90866065584</v>
      </c>
      <c r="AL763" s="129">
        <f t="array" ref="AL763">MAX((УслРестрактов[Характеристика]="Дата реструктуризации")*(УслРестрактов[Значение]=Первоначальный!$A763),0)</f>
        <v>0</v>
      </c>
    </row>
    <row r="764" spans="1:38" x14ac:dyDescent="0.25">
      <c r="A764" s="97">
        <f t="shared" si="135"/>
        <v>44895</v>
      </c>
      <c r="B764" s="100">
        <f t="shared" ca="1" si="136"/>
        <v>149633.34</v>
      </c>
      <c r="C764" s="55">
        <f t="shared" ca="1" si="144"/>
        <v>54262.200000000026</v>
      </c>
      <c r="D764" s="55">
        <f t="shared" ca="1" si="144"/>
        <v>1933.5999999999995</v>
      </c>
      <c r="E764" s="55">
        <f t="shared" ca="1" si="137"/>
        <v>0</v>
      </c>
      <c r="F764" s="55">
        <f t="shared" ca="1" si="138"/>
        <v>108506.76866065577</v>
      </c>
      <c r="G764" s="101">
        <f t="shared" ca="1" si="139"/>
        <v>314335.90866065584</v>
      </c>
      <c r="H764" s="100">
        <f ca="1">ROUND($B764*VLOOKUP($A764,$A$1:$B$10,2,1)/(365+IF(MOD(YEAR($A764),4),0,1)*($A764-$A763)),2)-Первоначальный[[#This Row],[Проценты на просроченный платеж по ОД за период]]</f>
        <v>75.599999999999994</v>
      </c>
      <c r="I764" s="55">
        <f t="shared" ca="1" si="140"/>
        <v>5.98</v>
      </c>
      <c r="J764" s="55">
        <v>0</v>
      </c>
      <c r="K764" s="55">
        <f t="shared" ca="1" si="143"/>
        <v>318.60350327868844</v>
      </c>
      <c r="L764" s="55">
        <v>0</v>
      </c>
      <c r="M764" s="113">
        <f>SUMIFS(График[Возврат основной суммы долга],График[Дата с учетом нерабочих дней],$A764)</f>
        <v>0</v>
      </c>
      <c r="N764" s="56">
        <f>SUMIFS(График[Возврат начисленных %],График[Дата с учетом нерабочих дней],$A764)</f>
        <v>0</v>
      </c>
      <c r="O764" s="101">
        <v>0</v>
      </c>
      <c r="P764" s="100" cm="1">
        <f t="array" aca="1" ref="P764" ca="1">MAX(IF(AA763="Да",0,SUM(INDIRECT("M"&amp;(MAX(("Да"=AA$12:AA763)*ROW(AA$12:AA763)+1,ROW($P$12))&amp;":M"&amp;(ROW()))))-SUM(INDIRECT("W"&amp;(MAX(("Да"=AA$12:AA763)*ROW(AA$12:AA763)+1,ROW($P$12))&amp;":W"&amp;(ROW()))))),0)</f>
        <v>10972.839999999998</v>
      </c>
      <c r="Q764" s="99">
        <f ca="1">MAX(SUM($N$13:N764)-SUM($T$13:T764),0)</f>
        <v>52747.860655737692</v>
      </c>
      <c r="R764" s="99">
        <f ca="1">Первоначальный[[#This Row],[Просроченный платеж по ОД]]+Первоначальный[[#This Row],[Просроченный платеж по процентам]]</f>
        <v>63720.700655737688</v>
      </c>
      <c r="S764" s="120">
        <f ca="1">IF(Первоначальный[[#This Row],[Просроченный платеж]]&lt;1,0,S763+1)</f>
        <v>660</v>
      </c>
      <c r="T764" s="100" cm="1">
        <f t="array" aca="1" ref="T764" ca="1">IF(Первоначальный[[#This Row],[Итого остаток на начало периода]]&lt;1,0,
IF(
AND(TYPE(VLOOKUP(1,$Z$12:Z764,1,0))=16,Первоначальный[[#This Row],[Досрочное погашение (да/"")]]=""),0,
_xlfn.IFS(AND(S763=0,Первоначальный[[#This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платеж]]&lt;&gt;0),MIN(LOOKUP(,-1/($Z$12:Z764=1),$C$12:C764)+LOOKUP(,-1/($Z$12:Z764=1),$H$12:H764),Первоначальный[[#This Row],[Полученный платеж]]+Y763),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платеж]]+Y763,SUM(Первоначальный[[#This Row],[Остаток процентов на начало периода]],Первоначальный[[#This Row],[Проценты за период]])),
AND(S763=0,Первоначальный[[#This Row],[Дата платежа из графика]]=""),0,
AND(S763=0,Первоначальный[[#This Row],[Дата платежа из графика]]=1,MAX((0&lt;&gt;S$12:S763)*ROW(S$12:S763),ROW($S$12))&gt;=MAX((1=Z$12:Z763)*ROW(Z$12:Z763),ROW($T$12)),TYPE(VLOOKUP("Да",(INDIRECT("AA"&amp;(MAX((1=Z$12:Z763)*ROW(Z$12:Z763),ROW($T$12))&amp;":AA"&amp;(ROW()-1)))),1,0))=16),MIN(LOOKUP(,-1/($Z$12:Z764=1),$C$12:C764)+LOOKUP(,-1/($Z$12:Z764=1),$H$12:H764),Первоначальный[[#This Row],[Полученный платеж]]+Y763),
AND(S763=0,TYPE(VLOOKUP("Да",(INDIRECT("AA"&amp;(MAX((1=Z$12:Z763)*ROW(Z$12:Z763),ROW($T$12))&amp;":AA"&amp;(ROW()-1)))),1,0))&lt;&gt;16),MIN(LOOKUP(,-1/($Z$12:Z764=1),$C$12:C764)+LOOKUP(,-1/($Z$12:Z764=1),$H$12:H764)-IF(AA763="Да",0,SUM(INDIRECT("T"&amp;(MAX(("Да"=AA$12:AA763)*ROW(AA$12:AA763)+1,ROW($T$12))&amp;":T"&amp;(ROW()-1))))),Первоначальный[[#This Row],[Полученный платеж]]+Y763),
AND(S763=0,MAX((0&lt;&gt;N$12:N763)*ROW(N$12:N763),ROW($S$12))&gt;=MAX((1=Z$12:Z763)*ROW(Z$12:Z763),ROW($T$12))),MIN(LOOKUP(,-1/($Z$12:Z764=1),$C$12:C764)+LOOKUP(,-1/($Z$12:Z764=1),$H$12:H764)-IF(N763&lt;&gt;0,0,SUM(INDIRECT("T"&amp;(MAX((0&lt;&gt;N$12:N763)*ROW(N$12:N763)+1,ROW($T$12))&amp;":T"&amp;(ROW()-1))))),Первоначальный[[#This Row],[Полученный платеж]]+Y763),
AND(S763=0,Первоначальный[[#This Row],[Дата платежа из графика]]=1),MIN(LOOKUP(,-1/($Z$12:Z764=1),$C$12:C764)+LOOKUP(,-1/($Z$12:Z764=1),$H$12:H764)-IF(Z763=1,0,SUM(INDIRECT("T"&amp;(MAX((1=Z$12:Z763)*ROW(Z$12:Z763)+1,ROW($T$12))&amp;":T"&amp;(ROW()-1))))),Первоначальный[[#This Row],[Полученный платеж]]+Y763),
AND(Z763&gt;0,Первоначальный[[#This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платеж]]+Y763),
AND(S763&gt;0,MAX((0&lt;&gt;S$12:S763)*ROW(S$12:S763),ROW($S$12))&gt;=MAX((1=Z$12:Z763)*ROW(Z$12:Z763),ROW($T$12)),TYPE(VLOOKUP("Да",(INDIRECT("AA"&amp;(MAX((1=Z$12:Z763)*ROW(Z$12:Z763),ROW($T$12))&amp;":AA"&amp;(ROW()-1)))),1,0))=16),MIN(LOOKUP(,-1/($Z$12:Z764=1),$C$12:C764)+LOOKUP(,-1/($Z$12:Z764=1),$H$12:H764)-SUM(INDIRECT("T"&amp;(MAX((1=Z$12:Z763)*ROW(Z$12:Z763),ROW($T$12))&amp;":T"&amp;(ROW()-1)))),Первоначальный[[#This Row],[Полученный платеж]]+Y763),
S763&gt;0,MIN(LOOKUP(,-1/($Z$12:Z764=1),$C$12:C764)+LOOKUP(,-1/($Z$12:Z764=1),$H$12:H764)-IF(Z763=1,0,SUM(INDIRECT("T"&amp;(MAX((1=Z$12:Z763)*ROW(Z$12:Z763)+1,ROW($T$12))&amp;":T"&amp;(ROW()-1))))),Первоначальный[[#This Row],[Полученный платеж]]+Y763)
)
)
)</f>
        <v>0</v>
      </c>
      <c r="U76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платеж]]+Y763-Первоначальный[[#This Row],[Полученный платёж по процентам]])</f>
        <v>0</v>
      </c>
      <c r="V764" s="55">
        <f t="shared" ca="1" si="133"/>
        <v>0</v>
      </c>
      <c r="W764" s="55" cm="1">
        <f t="array" aca="1" ref="W764" ca="1">IF(Первоначальный[[#This Row],[Итого остаток на начало периода]]&lt;1,0,
_xlfn.IFS(
AND(TYPE(VLOOKUP(1,$Z$12:Z764,1,0))=16,Первоначальный[[#This Row],[Досрочное погашение (да/"")]]=""),0,
AND(S763=0,Первоначальный[[#This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платеж]]+Y763-SUM(Первоначальный[[#This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комиссиям]]),VLOOKUP(LOOKUP(,-1/($Z$12:Z764=1),$A$12:A764),График[[Срок конец]:[Возврат основной суммы долга]],3,0)),
AND(S763=0,Первоначальный[[#This Row],[Дата платежа из графика]]="",Первоначальный[[#This Row],[Досрочное погашение (да/"")]]&lt;&gt;"Да"),0,
AND(S763=0,Первоначальный[[#This Row],[Досрочное погашение (да/"")]]=""),MIN(Первоначальный[[#This Row],[Полученный платеж]]+Y763-SUM(Первоначальный[[#This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комиссиям]]),VLOOKUP(LOOKUP(,-1/($Z$12:Z764=1),$A$12:A764),График[[Срок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платеж]]+Y763-SUM(Первоначальный[[#This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S763&gt;0,MIN(Первоначальный[[#This Row],[Полученный платеж]]+Y763-SUM(Первоначальный[[#This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комиссиям]]),SUM(INDIRECT("M"&amp;(MAX((1=S$12:S763)*ROW(S$12:S763),ROW($W$12))&amp;":M"&amp;(ROW()))))-SUM(INDIRECT("W"&amp;(MAX((1=S$12:S763)*ROW(S$12:S763),ROW($W$12))&amp;":W"&amp;(ROW()-1)))))
)
)</f>
        <v>0</v>
      </c>
      <c r="X764" s="55">
        <f t="shared" ca="1" si="134"/>
        <v>0</v>
      </c>
      <c r="Y764" s="101">
        <f t="shared" ca="1" si="141"/>
        <v>0</v>
      </c>
      <c r="Z764" s="133" t="str">
        <f>IF(TYPE((VLOOKUP(Первоначальный[[#This Row],[Дата платежа]],График[Срок конец],1,0)))=16,"",1)</f>
        <v/>
      </c>
      <c r="AA764" s="57"/>
      <c r="AB764" s="134"/>
      <c r="AC76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6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54337.800000000025</v>
      </c>
      <c r="AE76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1939.5799999999995</v>
      </c>
      <c r="AF76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6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108825.37216393446</v>
      </c>
      <c r="AH764" s="55"/>
      <c r="AI764" s="55"/>
      <c r="AJ764" s="55"/>
      <c r="AK764" s="101">
        <f t="shared" ca="1" si="142"/>
        <v>314736.09216393449</v>
      </c>
      <c r="AL764" s="129">
        <f t="array" ref="AL764">MAX((УслРестрактов[Характеристика]="Дата реструктуризации")*(УслРестрактов[Значение]=Первоначальный!$A764),0)</f>
        <v>0</v>
      </c>
    </row>
    <row r="765" spans="1:38" x14ac:dyDescent="0.25">
      <c r="A765" s="97">
        <f t="shared" si="135"/>
        <v>44896</v>
      </c>
      <c r="B765" s="100">
        <f t="shared" ca="1" si="136"/>
        <v>149633.34</v>
      </c>
      <c r="C765" s="55">
        <f t="shared" ca="1" si="144"/>
        <v>54337.800000000025</v>
      </c>
      <c r="D765" s="55">
        <f t="shared" ca="1" si="144"/>
        <v>1939.5799999999995</v>
      </c>
      <c r="E765" s="55">
        <f t="shared" ca="1" si="137"/>
        <v>0</v>
      </c>
      <c r="F765" s="55">
        <f t="shared" ca="1" si="138"/>
        <v>108825.37216393446</v>
      </c>
      <c r="G765" s="101">
        <f t="shared" ca="1" si="139"/>
        <v>314736.09216393449</v>
      </c>
      <c r="H765" s="100">
        <f ca="1">ROUND($B765*VLOOKUP($A765,$A$1:$B$10,2,1)/(365+IF(MOD(YEAR($A765),4),0,1)*($A765-$A764)),2)-Первоначальный[[#This Row],[Проценты на просроченный платеж по ОД за период]]</f>
        <v>75.599999999999994</v>
      </c>
      <c r="I765" s="55">
        <f t="shared" ca="1" si="140"/>
        <v>5.98</v>
      </c>
      <c r="J765" s="55">
        <v>0</v>
      </c>
      <c r="K765" s="55">
        <f t="shared" ca="1" si="143"/>
        <v>318.60350327868844</v>
      </c>
      <c r="L765" s="55">
        <v>0</v>
      </c>
      <c r="M765" s="113">
        <f>SUMIFS(График[Возврат основной суммы долга],График[Дата с учетом нерабочих дней],$A765)</f>
        <v>0</v>
      </c>
      <c r="N765" s="56">
        <f>SUMIFS(График[Возврат начисленных %],График[Дата с учетом нерабочих дней],$A765)</f>
        <v>0</v>
      </c>
      <c r="O765" s="101">
        <v>0</v>
      </c>
      <c r="P765" s="100" cm="1">
        <f t="array" aca="1" ref="P765" ca="1">MAX(IF(AA764="Да",0,SUM(INDIRECT("M"&amp;(MAX(("Да"=AA$12:AA764)*ROW(AA$12:AA764)+1,ROW($P$12))&amp;":M"&amp;(ROW()))))-SUM(INDIRECT("W"&amp;(MAX(("Да"=AA$12:AA764)*ROW(AA$12:AA764)+1,ROW($P$12))&amp;":W"&amp;(ROW()))))),0)</f>
        <v>10972.839999999998</v>
      </c>
      <c r="Q765" s="99">
        <f ca="1">MAX(SUM($N$13:N765)-SUM($T$13:T765),0)</f>
        <v>52747.860655737692</v>
      </c>
      <c r="R765" s="99">
        <f ca="1">Первоначальный[[#This Row],[Просроченный платеж по ОД]]+Первоначальный[[#This Row],[Просроченный платеж по процентам]]</f>
        <v>63720.700655737688</v>
      </c>
      <c r="S765" s="120">
        <f ca="1">IF(Первоначальный[[#This Row],[Просроченный платеж]]&lt;1,0,S764+1)</f>
        <v>661</v>
      </c>
      <c r="T765" s="100" cm="1">
        <f t="array" aca="1" ref="T765" ca="1">IF(Первоначальный[[#This Row],[Итого остаток на начало периода]]&lt;1,0,
IF(
AND(TYPE(VLOOKUP(1,$Z$12:Z765,1,0))=16,Первоначальный[[#This Row],[Досрочное погашение (да/"")]]=""),0,
_xlfn.IFS(AND(S764=0,Первоначальный[[#This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платеж]]&lt;&gt;0),MIN(LOOKUP(,-1/($Z$12:Z765=1),$C$12:C765)+LOOKUP(,-1/($Z$12:Z765=1),$H$12:H765),Первоначальный[[#This Row],[Полученный платеж]]+Y764),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платеж]]+Y764,SUM(Первоначальный[[#This Row],[Остаток процентов на начало периода]],Первоначальный[[#This Row],[Проценты за период]])),
AND(S764=0,Первоначальный[[#This Row],[Дата платежа из графика]]=""),0,
AND(S764=0,Первоначальный[[#This Row],[Дата платежа из графика]]=1,MAX((0&lt;&gt;S$12:S764)*ROW(S$12:S764),ROW($S$12))&gt;=MAX((1=Z$12:Z764)*ROW(Z$12:Z764),ROW($T$12)),TYPE(VLOOKUP("Да",(INDIRECT("AA"&amp;(MAX((1=Z$12:Z764)*ROW(Z$12:Z764),ROW($T$12))&amp;":AA"&amp;(ROW()-1)))),1,0))=16),MIN(LOOKUP(,-1/($Z$12:Z765=1),$C$12:C765)+LOOKUP(,-1/($Z$12:Z765=1),$H$12:H765),Первоначальный[[#This Row],[Полученный платеж]]+Y764),
AND(S764=0,TYPE(VLOOKUP("Да",(INDIRECT("AA"&amp;(MAX((1=Z$12:Z764)*ROW(Z$12:Z764),ROW($T$12))&amp;":AA"&amp;(ROW()-1)))),1,0))&lt;&gt;16),MIN(LOOKUP(,-1/($Z$12:Z765=1),$C$12:C765)+LOOKUP(,-1/($Z$12:Z765=1),$H$12:H765)-IF(AA764="Да",0,SUM(INDIRECT("T"&amp;(MAX(("Да"=AA$12:AA764)*ROW(AA$12:AA764)+1,ROW($T$12))&amp;":T"&amp;(ROW()-1))))),Первоначальный[[#This Row],[Полученный платеж]]+Y764),
AND(S764=0,MAX((0&lt;&gt;N$12:N764)*ROW(N$12:N764),ROW($S$12))&gt;=MAX((1=Z$12:Z764)*ROW(Z$12:Z764),ROW($T$12))),MIN(LOOKUP(,-1/($Z$12:Z765=1),$C$12:C765)+LOOKUP(,-1/($Z$12:Z765=1),$H$12:H765)-IF(N764&lt;&gt;0,0,SUM(INDIRECT("T"&amp;(MAX((0&lt;&gt;N$12:N764)*ROW(N$12:N764)+1,ROW($T$12))&amp;":T"&amp;(ROW()-1))))),Первоначальный[[#This Row],[Полученный платеж]]+Y764),
AND(S764=0,Первоначальный[[#This Row],[Дата платежа из графика]]=1),MIN(LOOKUP(,-1/($Z$12:Z765=1),$C$12:C765)+LOOKUP(,-1/($Z$12:Z765=1),$H$12:H765)-IF(Z764=1,0,SUM(INDIRECT("T"&amp;(MAX((1=Z$12:Z764)*ROW(Z$12:Z764)+1,ROW($T$12))&amp;":T"&amp;(ROW()-1))))),Первоначальный[[#This Row],[Полученный платеж]]+Y764),
AND(Z764&gt;0,Первоначальный[[#This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платеж]]+Y764),
AND(S764&gt;0,MAX((0&lt;&gt;S$12:S764)*ROW(S$12:S764),ROW($S$12))&gt;=MAX((1=Z$12:Z764)*ROW(Z$12:Z764),ROW($T$12)),TYPE(VLOOKUP("Да",(INDIRECT("AA"&amp;(MAX((1=Z$12:Z764)*ROW(Z$12:Z764),ROW($T$12))&amp;":AA"&amp;(ROW()-1)))),1,0))=16),MIN(LOOKUP(,-1/($Z$12:Z765=1),$C$12:C765)+LOOKUP(,-1/($Z$12:Z765=1),$H$12:H765)-SUM(INDIRECT("T"&amp;(MAX((1=Z$12:Z764)*ROW(Z$12:Z764),ROW($T$12))&amp;":T"&amp;(ROW()-1)))),Первоначальный[[#This Row],[Полученный платеж]]+Y764),
S764&gt;0,MIN(LOOKUP(,-1/($Z$12:Z765=1),$C$12:C765)+LOOKUP(,-1/($Z$12:Z765=1),$H$12:H765)-IF(Z764=1,0,SUM(INDIRECT("T"&amp;(MAX((1=Z$12:Z764)*ROW(Z$12:Z764)+1,ROW($T$12))&amp;":T"&amp;(ROW()-1))))),Первоначальный[[#This Row],[Полученный платеж]]+Y764)
)
)
)</f>
        <v>0</v>
      </c>
      <c r="U76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платеж]]+Y764-Первоначальный[[#This Row],[Полученный платёж по процентам]])</f>
        <v>0</v>
      </c>
      <c r="V765" s="55">
        <f t="shared" ca="1" si="133"/>
        <v>0</v>
      </c>
      <c r="W765" s="55" cm="1">
        <f t="array" aca="1" ref="W765" ca="1">IF(Первоначальный[[#This Row],[Итого остаток на начало периода]]&lt;1,0,
_xlfn.IFS(
AND(TYPE(VLOOKUP(1,$Z$12:Z765,1,0))=16,Первоначальный[[#This Row],[Досрочное погашение (да/"")]]=""),0,
AND(S764=0,Первоначальный[[#This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платеж]]+Y764-SUM(Первоначальный[[#This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комиссиям]]),VLOOKUP(LOOKUP(,-1/($Z$12:Z765=1),$A$12:A765),График[[Срок конец]:[Возврат основной суммы долга]],3,0)),
AND(S764=0,Первоначальный[[#This Row],[Дата платежа из графика]]="",Первоначальный[[#This Row],[Досрочное погашение (да/"")]]&lt;&gt;"Да"),0,
AND(S764=0,Первоначальный[[#This Row],[Досрочное погашение (да/"")]]=""),MIN(Первоначальный[[#This Row],[Полученный платеж]]+Y764-SUM(Первоначальный[[#This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комиссиям]]),VLOOKUP(LOOKUP(,-1/($Z$12:Z765=1),$A$12:A765),График[[Срок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платеж]]+Y764-SUM(Первоначальный[[#This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S764&gt;0,MIN(Первоначальный[[#This Row],[Полученный платеж]]+Y764-SUM(Первоначальный[[#This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комиссиям]]),SUM(INDIRECT("M"&amp;(MAX((1=S$12:S764)*ROW(S$12:S764),ROW($W$12))&amp;":M"&amp;(ROW()))))-SUM(INDIRECT("W"&amp;(MAX((1=S$12:S764)*ROW(S$12:S764),ROW($W$12))&amp;":W"&amp;(ROW()-1)))))
)
)</f>
        <v>0</v>
      </c>
      <c r="X765" s="55">
        <f t="shared" ca="1" si="134"/>
        <v>0</v>
      </c>
      <c r="Y765" s="101">
        <f t="shared" ca="1" si="141"/>
        <v>0</v>
      </c>
      <c r="Z765" s="133" t="str">
        <f>IF(TYPE((VLOOKUP(Первоначальный[[#This Row],[Дата платежа]],График[Срок конец],1,0)))=16,"",1)</f>
        <v/>
      </c>
      <c r="AA765" s="57"/>
      <c r="AB765" s="134"/>
      <c r="AC76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6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54413.400000000023</v>
      </c>
      <c r="AE76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1945.5599999999995</v>
      </c>
      <c r="AF76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6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109143.97566721315</v>
      </c>
      <c r="AH765" s="55"/>
      <c r="AI765" s="55"/>
      <c r="AJ765" s="55"/>
      <c r="AK765" s="101">
        <f t="shared" ca="1" si="142"/>
        <v>315136.27566721314</v>
      </c>
      <c r="AL765" s="129">
        <f t="array" ref="AL765">MAX((УслРестрактов[Характеристика]="Дата реструктуризации")*(УслРестрактов[Значение]=Первоначальный!$A765),0)</f>
        <v>0</v>
      </c>
    </row>
    <row r="766" spans="1:38" x14ac:dyDescent="0.25">
      <c r="A766" s="97">
        <f t="shared" si="135"/>
        <v>44897</v>
      </c>
      <c r="B766" s="100">
        <f t="shared" ca="1" si="136"/>
        <v>149633.34</v>
      </c>
      <c r="C766" s="55">
        <f t="shared" ca="1" si="144"/>
        <v>54413.400000000023</v>
      </c>
      <c r="D766" s="55">
        <f t="shared" ca="1" si="144"/>
        <v>1945.5599999999995</v>
      </c>
      <c r="E766" s="55">
        <f t="shared" ca="1" si="137"/>
        <v>0</v>
      </c>
      <c r="F766" s="55">
        <f t="shared" ca="1" si="138"/>
        <v>109143.97566721315</v>
      </c>
      <c r="G766" s="101">
        <f t="shared" ca="1" si="139"/>
        <v>315136.27566721314</v>
      </c>
      <c r="H766" s="100">
        <f ca="1">ROUND($B766*VLOOKUP($A766,$A$1:$B$10,2,1)/(365+IF(MOD(YEAR($A766),4),0,1)*($A766-$A765)),2)-Первоначальный[[#This Row],[Проценты на просроченный платеж по ОД за период]]</f>
        <v>75.599999999999994</v>
      </c>
      <c r="I766" s="55">
        <f t="shared" ca="1" si="140"/>
        <v>5.98</v>
      </c>
      <c r="J766" s="55">
        <v>0</v>
      </c>
      <c r="K766" s="55">
        <f t="shared" ca="1" si="143"/>
        <v>318.60350327868844</v>
      </c>
      <c r="L766" s="55">
        <v>0</v>
      </c>
      <c r="M766" s="113">
        <f>SUMIFS(График[Возврат основной суммы долга],График[Дата с учетом нерабочих дней],$A766)</f>
        <v>0</v>
      </c>
      <c r="N766" s="56">
        <f>SUMIFS(График[Возврат начисленных %],График[Дата с учетом нерабочих дней],$A766)</f>
        <v>0</v>
      </c>
      <c r="O766" s="101">
        <v>0</v>
      </c>
      <c r="P766" s="100" cm="1">
        <f t="array" aca="1" ref="P766" ca="1">MAX(IF(AA765="Да",0,SUM(INDIRECT("M"&amp;(MAX(("Да"=AA$12:AA765)*ROW(AA$12:AA765)+1,ROW($P$12))&amp;":M"&amp;(ROW()))))-SUM(INDIRECT("W"&amp;(MAX(("Да"=AA$12:AA765)*ROW(AA$12:AA765)+1,ROW($P$12))&amp;":W"&amp;(ROW()))))),0)</f>
        <v>10972.839999999998</v>
      </c>
      <c r="Q766" s="99">
        <f ca="1">MAX(SUM($N$13:N766)-SUM($T$13:T766),0)</f>
        <v>52747.860655737692</v>
      </c>
      <c r="R766" s="99">
        <f ca="1">Первоначальный[[#This Row],[Просроченный платеж по ОД]]+Первоначальный[[#This Row],[Просроченный платеж по процентам]]</f>
        <v>63720.700655737688</v>
      </c>
      <c r="S766" s="120">
        <f ca="1">IF(Первоначальный[[#This Row],[Просроченный платеж]]&lt;1,0,S765+1)</f>
        <v>662</v>
      </c>
      <c r="T766" s="100" cm="1">
        <f t="array" aca="1" ref="T766" ca="1">IF(Первоначальный[[#This Row],[Итого остаток на начало периода]]&lt;1,0,
IF(
AND(TYPE(VLOOKUP(1,$Z$12:Z766,1,0))=16,Первоначальный[[#This Row],[Досрочное погашение (да/"")]]=""),0,
_xlfn.IFS(AND(S765=0,Первоначальный[[#This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платеж]]&lt;&gt;0),MIN(LOOKUP(,-1/($Z$12:Z766=1),$C$12:C766)+LOOKUP(,-1/($Z$12:Z766=1),$H$12:H766),Первоначальный[[#This Row],[Полученный платеж]]+Y765),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платеж]]+Y765,SUM(Первоначальный[[#This Row],[Остаток процентов на начало периода]],Первоначальный[[#This Row],[Проценты за период]])),
AND(S765=0,Первоначальный[[#This Row],[Дата платежа из графика]]=""),0,
AND(S765=0,Первоначальный[[#This Row],[Дата платежа из графика]]=1,MAX((0&lt;&gt;S$12:S765)*ROW(S$12:S765),ROW($S$12))&gt;=MAX((1=Z$12:Z765)*ROW(Z$12:Z765),ROW($T$12)),TYPE(VLOOKUP("Да",(INDIRECT("AA"&amp;(MAX((1=Z$12:Z765)*ROW(Z$12:Z765),ROW($T$12))&amp;":AA"&amp;(ROW()-1)))),1,0))=16),MIN(LOOKUP(,-1/($Z$12:Z766=1),$C$12:C766)+LOOKUP(,-1/($Z$12:Z766=1),$H$12:H766),Первоначальный[[#This Row],[Полученный платеж]]+Y765),
AND(S765=0,TYPE(VLOOKUP("Да",(INDIRECT("AA"&amp;(MAX((1=Z$12:Z765)*ROW(Z$12:Z765),ROW($T$12))&amp;":AA"&amp;(ROW()-1)))),1,0))&lt;&gt;16),MIN(LOOKUP(,-1/($Z$12:Z766=1),$C$12:C766)+LOOKUP(,-1/($Z$12:Z766=1),$H$12:H766)-IF(AA765="Да",0,SUM(INDIRECT("T"&amp;(MAX(("Да"=AA$12:AA765)*ROW(AA$12:AA765)+1,ROW($T$12))&amp;":T"&amp;(ROW()-1))))),Первоначальный[[#This Row],[Полученный платеж]]+Y765),
AND(S765=0,MAX((0&lt;&gt;N$12:N765)*ROW(N$12:N765),ROW($S$12))&gt;=MAX((1=Z$12:Z765)*ROW(Z$12:Z765),ROW($T$12))),MIN(LOOKUP(,-1/($Z$12:Z766=1),$C$12:C766)+LOOKUP(,-1/($Z$12:Z766=1),$H$12:H766)-IF(N765&lt;&gt;0,0,SUM(INDIRECT("T"&amp;(MAX((0&lt;&gt;N$12:N765)*ROW(N$12:N765)+1,ROW($T$12))&amp;":T"&amp;(ROW()-1))))),Первоначальный[[#This Row],[Полученный платеж]]+Y765),
AND(S765=0,Первоначальный[[#This Row],[Дата платежа из графика]]=1),MIN(LOOKUP(,-1/($Z$12:Z766=1),$C$12:C766)+LOOKUP(,-1/($Z$12:Z766=1),$H$12:H766)-IF(Z765=1,0,SUM(INDIRECT("T"&amp;(MAX((1=Z$12:Z765)*ROW(Z$12:Z765)+1,ROW($T$12))&amp;":T"&amp;(ROW()-1))))),Первоначальный[[#This Row],[Полученный платеж]]+Y765),
AND(Z765&gt;0,Первоначальный[[#This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платеж]]+Y765),
AND(S765&gt;0,MAX((0&lt;&gt;S$12:S765)*ROW(S$12:S765),ROW($S$12))&gt;=MAX((1=Z$12:Z765)*ROW(Z$12:Z765),ROW($T$12)),TYPE(VLOOKUP("Да",(INDIRECT("AA"&amp;(MAX((1=Z$12:Z765)*ROW(Z$12:Z765),ROW($T$12))&amp;":AA"&amp;(ROW()-1)))),1,0))=16),MIN(LOOKUP(,-1/($Z$12:Z766=1),$C$12:C766)+LOOKUP(,-1/($Z$12:Z766=1),$H$12:H766)-SUM(INDIRECT("T"&amp;(MAX((1=Z$12:Z765)*ROW(Z$12:Z765),ROW($T$12))&amp;":T"&amp;(ROW()-1)))),Первоначальный[[#This Row],[Полученный платеж]]+Y765),
S765&gt;0,MIN(LOOKUP(,-1/($Z$12:Z766=1),$C$12:C766)+LOOKUP(,-1/($Z$12:Z766=1),$H$12:H766)-IF(Z765=1,0,SUM(INDIRECT("T"&amp;(MAX((1=Z$12:Z765)*ROW(Z$12:Z765)+1,ROW($T$12))&amp;":T"&amp;(ROW()-1))))),Первоначальный[[#This Row],[Полученный платеж]]+Y765)
)
)
)</f>
        <v>0</v>
      </c>
      <c r="U76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платеж]]+Y765-Первоначальный[[#This Row],[Полученный платёж по процентам]])</f>
        <v>0</v>
      </c>
      <c r="V766" s="55">
        <f t="shared" ca="1" si="133"/>
        <v>0</v>
      </c>
      <c r="W766" s="55" cm="1">
        <f t="array" aca="1" ref="W766" ca="1">IF(Первоначальный[[#This Row],[Итого остаток на начало периода]]&lt;1,0,
_xlfn.IFS(
AND(TYPE(VLOOKUP(1,$Z$12:Z766,1,0))=16,Первоначальный[[#This Row],[Досрочное погашение (да/"")]]=""),0,
AND(S765=0,Первоначальный[[#This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платеж]]+Y765-SUM(Первоначальный[[#This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комиссиям]]),VLOOKUP(LOOKUP(,-1/($Z$12:Z766=1),$A$12:A766),График[[Срок конец]:[Возврат основной суммы долга]],3,0)),
AND(S765=0,Первоначальный[[#This Row],[Дата платежа из графика]]="",Первоначальный[[#This Row],[Досрочное погашение (да/"")]]&lt;&gt;"Да"),0,
AND(S765=0,Первоначальный[[#This Row],[Досрочное погашение (да/"")]]=""),MIN(Первоначальный[[#This Row],[Полученный платеж]]+Y765-SUM(Первоначальный[[#This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комиссиям]]),VLOOKUP(LOOKUP(,-1/($Z$12:Z766=1),$A$12:A766),График[[Срок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платеж]]+Y765-SUM(Первоначальный[[#This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S765&gt;0,MIN(Первоначальный[[#This Row],[Полученный платеж]]+Y765-SUM(Первоначальный[[#This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комиссиям]]),SUM(INDIRECT("M"&amp;(MAX((1=S$12:S765)*ROW(S$12:S765),ROW($W$12))&amp;":M"&amp;(ROW()))))-SUM(INDIRECT("W"&amp;(MAX((1=S$12:S765)*ROW(S$12:S765),ROW($W$12))&amp;":W"&amp;(ROW()-1)))))
)
)</f>
        <v>0</v>
      </c>
      <c r="X766" s="55">
        <f t="shared" ca="1" si="134"/>
        <v>0</v>
      </c>
      <c r="Y766" s="101">
        <f t="shared" ca="1" si="141"/>
        <v>0</v>
      </c>
      <c r="Z766" s="133" t="str">
        <f>IF(TYPE((VLOOKUP(Первоначальный[[#This Row],[Дата платежа]],График[Срок конец],1,0)))=16,"",1)</f>
        <v/>
      </c>
      <c r="AA766" s="57"/>
      <c r="AB766" s="134"/>
      <c r="AC76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6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54489.000000000022</v>
      </c>
      <c r="AE76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1951.5399999999995</v>
      </c>
      <c r="AF76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6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109462.57917049184</v>
      </c>
      <c r="AH766" s="55"/>
      <c r="AI766" s="55"/>
      <c r="AJ766" s="55"/>
      <c r="AK766" s="101">
        <f t="shared" ca="1" si="142"/>
        <v>315536.4591704919</v>
      </c>
      <c r="AL766" s="129">
        <f t="array" ref="AL766">MAX((УслРестрактов[Характеристика]="Дата реструктуризации")*(УслРестрактов[Значение]=Первоначальный!$A766),0)</f>
        <v>0</v>
      </c>
    </row>
    <row r="767" spans="1:38" x14ac:dyDescent="0.25">
      <c r="A767" s="97">
        <f t="shared" si="135"/>
        <v>44898</v>
      </c>
      <c r="B767" s="100">
        <f t="shared" ca="1" si="136"/>
        <v>149633.34</v>
      </c>
      <c r="C767" s="55">
        <f t="shared" ca="1" si="144"/>
        <v>54489.000000000022</v>
      </c>
      <c r="D767" s="55">
        <f t="shared" ca="1" si="144"/>
        <v>1951.5399999999995</v>
      </c>
      <c r="E767" s="55">
        <f t="shared" ca="1" si="137"/>
        <v>0</v>
      </c>
      <c r="F767" s="55">
        <f t="shared" ca="1" si="138"/>
        <v>109462.57917049184</v>
      </c>
      <c r="G767" s="101">
        <f t="shared" ca="1" si="139"/>
        <v>315536.4591704919</v>
      </c>
      <c r="H767" s="100">
        <f ca="1">ROUND($B767*VLOOKUP($A767,$A$1:$B$10,2,1)/(365+IF(MOD(YEAR($A767),4),0,1)*($A767-$A766)),2)-Первоначальный[[#This Row],[Проценты на просроченный платеж по ОД за период]]</f>
        <v>75.599999999999994</v>
      </c>
      <c r="I767" s="55">
        <f t="shared" ca="1" si="140"/>
        <v>5.98</v>
      </c>
      <c r="J767" s="55">
        <v>0</v>
      </c>
      <c r="K767" s="55">
        <f t="shared" ca="1" si="143"/>
        <v>318.60350327868844</v>
      </c>
      <c r="L767" s="55">
        <v>0</v>
      </c>
      <c r="M767" s="113">
        <f>SUMIFS(График[Возврат основной суммы долга],График[Дата с учетом нерабочих дней],$A767)</f>
        <v>0</v>
      </c>
      <c r="N767" s="56">
        <f>SUMIFS(График[Возврат начисленных %],График[Дата с учетом нерабочих дней],$A767)</f>
        <v>0</v>
      </c>
      <c r="O767" s="101">
        <v>0</v>
      </c>
      <c r="P767" s="100" cm="1">
        <f t="array" aca="1" ref="P767" ca="1">MAX(IF(AA766="Да",0,SUM(INDIRECT("M"&amp;(MAX(("Да"=AA$12:AA766)*ROW(AA$12:AA766)+1,ROW($P$12))&amp;":M"&amp;(ROW()))))-SUM(INDIRECT("W"&amp;(MAX(("Да"=AA$12:AA766)*ROW(AA$12:AA766)+1,ROW($P$12))&amp;":W"&amp;(ROW()))))),0)</f>
        <v>10972.839999999998</v>
      </c>
      <c r="Q767" s="99">
        <f ca="1">MAX(SUM($N$13:N767)-SUM($T$13:T767),0)</f>
        <v>52747.860655737692</v>
      </c>
      <c r="R767" s="99">
        <f ca="1">Первоначальный[[#This Row],[Просроченный платеж по ОД]]+Первоначальный[[#This Row],[Просроченный платеж по процентам]]</f>
        <v>63720.700655737688</v>
      </c>
      <c r="S767" s="120">
        <f ca="1">IF(Первоначальный[[#This Row],[Просроченный платеж]]&lt;1,0,S766+1)</f>
        <v>663</v>
      </c>
      <c r="T767" s="100" cm="1">
        <f t="array" aca="1" ref="T767" ca="1">IF(Первоначальный[[#This Row],[Итого остаток на начало периода]]&lt;1,0,
IF(
AND(TYPE(VLOOKUP(1,$Z$12:Z767,1,0))=16,Первоначальный[[#This Row],[Досрочное погашение (да/"")]]=""),0,
_xlfn.IFS(AND(S766=0,Первоначальный[[#This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платеж]]&lt;&gt;0),MIN(LOOKUP(,-1/($Z$12:Z767=1),$C$12:C767)+LOOKUP(,-1/($Z$12:Z767=1),$H$12:H767),Первоначальный[[#This Row],[Полученный платеж]]+Y766),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платеж]]+Y766,SUM(Первоначальный[[#This Row],[Остаток процентов на начало периода]],Первоначальный[[#This Row],[Проценты за период]])),
AND(S766=0,Первоначальный[[#This Row],[Дата платежа из графика]]=""),0,
AND(S766=0,Первоначальный[[#This Row],[Дата платежа из графика]]=1,MAX((0&lt;&gt;S$12:S766)*ROW(S$12:S766),ROW($S$12))&gt;=MAX((1=Z$12:Z766)*ROW(Z$12:Z766),ROW($T$12)),TYPE(VLOOKUP("Да",(INDIRECT("AA"&amp;(MAX((1=Z$12:Z766)*ROW(Z$12:Z766),ROW($T$12))&amp;":AA"&amp;(ROW()-1)))),1,0))=16),MIN(LOOKUP(,-1/($Z$12:Z767=1),$C$12:C767)+LOOKUP(,-1/($Z$12:Z767=1),$H$12:H767),Первоначальный[[#This Row],[Полученный платеж]]+Y766),
AND(S766=0,TYPE(VLOOKUP("Да",(INDIRECT("AA"&amp;(MAX((1=Z$12:Z766)*ROW(Z$12:Z766),ROW($T$12))&amp;":AA"&amp;(ROW()-1)))),1,0))&lt;&gt;16),MIN(LOOKUP(,-1/($Z$12:Z767=1),$C$12:C767)+LOOKUP(,-1/($Z$12:Z767=1),$H$12:H767)-IF(AA766="Да",0,SUM(INDIRECT("T"&amp;(MAX(("Да"=AA$12:AA766)*ROW(AA$12:AA766)+1,ROW($T$12))&amp;":T"&amp;(ROW()-1))))),Первоначальный[[#This Row],[Полученный платеж]]+Y766),
AND(S766=0,MAX((0&lt;&gt;N$12:N766)*ROW(N$12:N766),ROW($S$12))&gt;=MAX((1=Z$12:Z766)*ROW(Z$12:Z766),ROW($T$12))),MIN(LOOKUP(,-1/($Z$12:Z767=1),$C$12:C767)+LOOKUP(,-1/($Z$12:Z767=1),$H$12:H767)-IF(N766&lt;&gt;0,0,SUM(INDIRECT("T"&amp;(MAX((0&lt;&gt;N$12:N766)*ROW(N$12:N766)+1,ROW($T$12))&amp;":T"&amp;(ROW()-1))))),Первоначальный[[#This Row],[Полученный платеж]]+Y766),
AND(S766=0,Первоначальный[[#This Row],[Дата платежа из графика]]=1),MIN(LOOKUP(,-1/($Z$12:Z767=1),$C$12:C767)+LOOKUP(,-1/($Z$12:Z767=1),$H$12:H767)-IF(Z766=1,0,SUM(INDIRECT("T"&amp;(MAX((1=Z$12:Z766)*ROW(Z$12:Z766)+1,ROW($T$12))&amp;":T"&amp;(ROW()-1))))),Первоначальный[[#This Row],[Полученный платеж]]+Y766),
AND(Z766&gt;0,Первоначальный[[#This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платеж]]+Y766),
AND(S766&gt;0,MAX((0&lt;&gt;S$12:S766)*ROW(S$12:S766),ROW($S$12))&gt;=MAX((1=Z$12:Z766)*ROW(Z$12:Z766),ROW($T$12)),TYPE(VLOOKUP("Да",(INDIRECT("AA"&amp;(MAX((1=Z$12:Z766)*ROW(Z$12:Z766),ROW($T$12))&amp;":AA"&amp;(ROW()-1)))),1,0))=16),MIN(LOOKUP(,-1/($Z$12:Z767=1),$C$12:C767)+LOOKUP(,-1/($Z$12:Z767=1),$H$12:H767)-SUM(INDIRECT("T"&amp;(MAX((1=Z$12:Z766)*ROW(Z$12:Z766),ROW($T$12))&amp;":T"&amp;(ROW()-1)))),Первоначальный[[#This Row],[Полученный платеж]]+Y766),
S766&gt;0,MIN(LOOKUP(,-1/($Z$12:Z767=1),$C$12:C767)+LOOKUP(,-1/($Z$12:Z767=1),$H$12:H767)-IF(Z766=1,0,SUM(INDIRECT("T"&amp;(MAX((1=Z$12:Z766)*ROW(Z$12:Z766)+1,ROW($T$12))&amp;":T"&amp;(ROW()-1))))),Первоначальный[[#This Row],[Полученный платеж]]+Y766)
)
)
)</f>
        <v>0</v>
      </c>
      <c r="U76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платеж]]+Y766-Первоначальный[[#This Row],[Полученный платёж по процентам]])</f>
        <v>0</v>
      </c>
      <c r="V767" s="55">
        <f t="shared" ca="1" si="133"/>
        <v>0</v>
      </c>
      <c r="W767" s="55" cm="1">
        <f t="array" aca="1" ref="W767" ca="1">IF(Первоначальный[[#This Row],[Итого остаток на начало периода]]&lt;1,0,
_xlfn.IFS(
AND(TYPE(VLOOKUP(1,$Z$12:Z767,1,0))=16,Первоначальный[[#This Row],[Досрочное погашение (да/"")]]=""),0,
AND(S766=0,Первоначальный[[#This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платеж]]+Y766-SUM(Первоначальный[[#This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комиссиям]]),VLOOKUP(LOOKUP(,-1/($Z$12:Z767=1),$A$12:A767),График[[Срок конец]:[Возврат основной суммы долга]],3,0)),
AND(S766=0,Первоначальный[[#This Row],[Дата платежа из графика]]="",Первоначальный[[#This Row],[Досрочное погашение (да/"")]]&lt;&gt;"Да"),0,
AND(S766=0,Первоначальный[[#This Row],[Досрочное погашение (да/"")]]=""),MIN(Первоначальный[[#This Row],[Полученный платеж]]+Y766-SUM(Первоначальный[[#This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комиссиям]]),VLOOKUP(LOOKUP(,-1/($Z$12:Z767=1),$A$12:A767),График[[Срок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платеж]]+Y766-SUM(Первоначальный[[#This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S766&gt;0,MIN(Первоначальный[[#This Row],[Полученный платеж]]+Y766-SUM(Первоначальный[[#This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комиссиям]]),SUM(INDIRECT("M"&amp;(MAX((1=S$12:S766)*ROW(S$12:S766),ROW($W$12))&amp;":M"&amp;(ROW()))))-SUM(INDIRECT("W"&amp;(MAX((1=S$12:S766)*ROW(S$12:S766),ROW($W$12))&amp;":W"&amp;(ROW()-1)))))
)
)</f>
        <v>0</v>
      </c>
      <c r="X767" s="55">
        <f t="shared" ca="1" si="134"/>
        <v>0</v>
      </c>
      <c r="Y767" s="101">
        <f t="shared" ca="1" si="141"/>
        <v>0</v>
      </c>
      <c r="Z767" s="133" t="str">
        <f>IF(TYPE((VLOOKUP(Первоначальный[[#This Row],[Дата платежа]],График[Срок конец],1,0)))=16,"",1)</f>
        <v/>
      </c>
      <c r="AA767" s="57"/>
      <c r="AB767" s="134"/>
      <c r="AC76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6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54564.60000000002</v>
      </c>
      <c r="AE76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1957.5199999999995</v>
      </c>
      <c r="AF76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6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109781.18267377053</v>
      </c>
      <c r="AH767" s="55"/>
      <c r="AI767" s="55"/>
      <c r="AJ767" s="55"/>
      <c r="AK767" s="101">
        <f t="shared" ca="1" si="142"/>
        <v>315936.64267377055</v>
      </c>
      <c r="AL767" s="129">
        <f t="array" ref="AL767">MAX((УслРестрактов[Характеристика]="Дата реструктуризации")*(УслРестрактов[Значение]=Первоначальный!$A767),0)</f>
        <v>0</v>
      </c>
    </row>
    <row r="768" spans="1:38" x14ac:dyDescent="0.25">
      <c r="A768" s="97">
        <f t="shared" si="135"/>
        <v>44899</v>
      </c>
      <c r="B768" s="100">
        <f t="shared" ca="1" si="136"/>
        <v>149633.34</v>
      </c>
      <c r="C768" s="55">
        <f t="shared" ca="1" si="144"/>
        <v>54564.60000000002</v>
      </c>
      <c r="D768" s="55">
        <f t="shared" ca="1" si="144"/>
        <v>1957.5199999999995</v>
      </c>
      <c r="E768" s="55">
        <f t="shared" ca="1" si="137"/>
        <v>0</v>
      </c>
      <c r="F768" s="55">
        <f t="shared" ca="1" si="138"/>
        <v>109781.18267377053</v>
      </c>
      <c r="G768" s="101">
        <f t="shared" ca="1" si="139"/>
        <v>315936.64267377055</v>
      </c>
      <c r="H768" s="100">
        <f ca="1">ROUND($B768*VLOOKUP($A768,$A$1:$B$10,2,1)/(365+IF(MOD(YEAR($A768),4),0,1)*($A768-$A767)),2)-Первоначальный[[#This Row],[Проценты на просроченный платеж по ОД за период]]</f>
        <v>75.599999999999994</v>
      </c>
      <c r="I768" s="55">
        <f t="shared" ca="1" si="140"/>
        <v>5.98</v>
      </c>
      <c r="J768" s="55">
        <v>0</v>
      </c>
      <c r="K768" s="55">
        <f t="shared" ca="1" si="143"/>
        <v>318.60350327868844</v>
      </c>
      <c r="L768" s="55">
        <v>0</v>
      </c>
      <c r="M768" s="113">
        <f>SUMIFS(График[Возврат основной суммы долга],График[Дата с учетом нерабочих дней],$A768)</f>
        <v>0</v>
      </c>
      <c r="N768" s="56">
        <f>SUMIFS(График[Возврат начисленных %],График[Дата с учетом нерабочих дней],$A768)</f>
        <v>0</v>
      </c>
      <c r="O768" s="101">
        <v>0</v>
      </c>
      <c r="P768" s="100" cm="1">
        <f t="array" aca="1" ref="P768" ca="1">MAX(IF(AA767="Да",0,SUM(INDIRECT("M"&amp;(MAX(("Да"=AA$12:AA767)*ROW(AA$12:AA767)+1,ROW($P$12))&amp;":M"&amp;(ROW()))))-SUM(INDIRECT("W"&amp;(MAX(("Да"=AA$12:AA767)*ROW(AA$12:AA767)+1,ROW($P$12))&amp;":W"&amp;(ROW()))))),0)</f>
        <v>10972.839999999998</v>
      </c>
      <c r="Q768" s="99">
        <f ca="1">MAX(SUM($N$13:N768)-SUM($T$13:T768),0)</f>
        <v>52747.860655737692</v>
      </c>
      <c r="R768" s="99">
        <f ca="1">Первоначальный[[#This Row],[Просроченный платеж по ОД]]+Первоначальный[[#This Row],[Просроченный платеж по процентам]]</f>
        <v>63720.700655737688</v>
      </c>
      <c r="S768" s="120">
        <f ca="1">IF(Первоначальный[[#This Row],[Просроченный платеж]]&lt;1,0,S767+1)</f>
        <v>664</v>
      </c>
      <c r="T768" s="100" cm="1">
        <f t="array" aca="1" ref="T768" ca="1">IF(Первоначальный[[#This Row],[Итого остаток на начало периода]]&lt;1,0,
IF(
AND(TYPE(VLOOKUP(1,$Z$12:Z768,1,0))=16,Первоначальный[[#This Row],[Досрочное погашение (да/"")]]=""),0,
_xlfn.IFS(AND(S767=0,Первоначальный[[#This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платеж]]&lt;&gt;0),MIN(LOOKUP(,-1/($Z$12:Z768=1),$C$12:C768)+LOOKUP(,-1/($Z$12:Z768=1),$H$12:H768),Первоначальный[[#This Row],[Полученный платеж]]+Y767),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платеж]]+Y767,SUM(Первоначальный[[#This Row],[Остаток процентов на начало периода]],Первоначальный[[#This Row],[Проценты за период]])),
AND(S767=0,Первоначальный[[#This Row],[Дата платежа из графика]]=""),0,
AND(S767=0,Первоначальный[[#This Row],[Дата платежа из графика]]=1,MAX((0&lt;&gt;S$12:S767)*ROW(S$12:S767),ROW($S$12))&gt;=MAX((1=Z$12:Z767)*ROW(Z$12:Z767),ROW($T$12)),TYPE(VLOOKUP("Да",(INDIRECT("AA"&amp;(MAX((1=Z$12:Z767)*ROW(Z$12:Z767),ROW($T$12))&amp;":AA"&amp;(ROW()-1)))),1,0))=16),MIN(LOOKUP(,-1/($Z$12:Z768=1),$C$12:C768)+LOOKUP(,-1/($Z$12:Z768=1),$H$12:H768),Первоначальный[[#This Row],[Полученный платеж]]+Y767),
AND(S767=0,TYPE(VLOOKUP("Да",(INDIRECT("AA"&amp;(MAX((1=Z$12:Z767)*ROW(Z$12:Z767),ROW($T$12))&amp;":AA"&amp;(ROW()-1)))),1,0))&lt;&gt;16),MIN(LOOKUP(,-1/($Z$12:Z768=1),$C$12:C768)+LOOKUP(,-1/($Z$12:Z768=1),$H$12:H768)-IF(AA767="Да",0,SUM(INDIRECT("T"&amp;(MAX(("Да"=AA$12:AA767)*ROW(AA$12:AA767)+1,ROW($T$12))&amp;":T"&amp;(ROW()-1))))),Первоначальный[[#This Row],[Полученный платеж]]+Y767),
AND(S767=0,MAX((0&lt;&gt;N$12:N767)*ROW(N$12:N767),ROW($S$12))&gt;=MAX((1=Z$12:Z767)*ROW(Z$12:Z767),ROW($T$12))),MIN(LOOKUP(,-1/($Z$12:Z768=1),$C$12:C768)+LOOKUP(,-1/($Z$12:Z768=1),$H$12:H768)-IF(N767&lt;&gt;0,0,SUM(INDIRECT("T"&amp;(MAX((0&lt;&gt;N$12:N767)*ROW(N$12:N767)+1,ROW($T$12))&amp;":T"&amp;(ROW()-1))))),Первоначальный[[#This Row],[Полученный платеж]]+Y767),
AND(S767=0,Первоначальный[[#This Row],[Дата платежа из графика]]=1),MIN(LOOKUP(,-1/($Z$12:Z768=1),$C$12:C768)+LOOKUP(,-1/($Z$12:Z768=1),$H$12:H768)-IF(Z767=1,0,SUM(INDIRECT("T"&amp;(MAX((1=Z$12:Z767)*ROW(Z$12:Z767)+1,ROW($T$12))&amp;":T"&amp;(ROW()-1))))),Первоначальный[[#This Row],[Полученный платеж]]+Y767),
AND(Z767&gt;0,Первоначальный[[#This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платеж]]+Y767),
AND(S767&gt;0,MAX((0&lt;&gt;S$12:S767)*ROW(S$12:S767),ROW($S$12))&gt;=MAX((1=Z$12:Z767)*ROW(Z$12:Z767),ROW($T$12)),TYPE(VLOOKUP("Да",(INDIRECT("AA"&amp;(MAX((1=Z$12:Z767)*ROW(Z$12:Z767),ROW($T$12))&amp;":AA"&amp;(ROW()-1)))),1,0))=16),MIN(LOOKUP(,-1/($Z$12:Z768=1),$C$12:C768)+LOOKUP(,-1/($Z$12:Z768=1),$H$12:H768)-SUM(INDIRECT("T"&amp;(MAX((1=Z$12:Z767)*ROW(Z$12:Z767),ROW($T$12))&amp;":T"&amp;(ROW()-1)))),Первоначальный[[#This Row],[Полученный платеж]]+Y767),
S767&gt;0,MIN(LOOKUP(,-1/($Z$12:Z768=1),$C$12:C768)+LOOKUP(,-1/($Z$12:Z768=1),$H$12:H768)-IF(Z767=1,0,SUM(INDIRECT("T"&amp;(MAX((1=Z$12:Z767)*ROW(Z$12:Z767)+1,ROW($T$12))&amp;":T"&amp;(ROW()-1))))),Первоначальный[[#This Row],[Полученный платеж]]+Y767)
)
)
)</f>
        <v>0</v>
      </c>
      <c r="U76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платеж]]+Y767-Первоначальный[[#This Row],[Полученный платёж по процентам]])</f>
        <v>0</v>
      </c>
      <c r="V768" s="55">
        <f t="shared" ca="1" si="133"/>
        <v>0</v>
      </c>
      <c r="W768" s="55" cm="1">
        <f t="array" aca="1" ref="W768" ca="1">IF(Первоначальный[[#This Row],[Итого остаток на начало периода]]&lt;1,0,
_xlfn.IFS(
AND(TYPE(VLOOKUP(1,$Z$12:Z768,1,0))=16,Первоначальный[[#This Row],[Досрочное погашение (да/"")]]=""),0,
AND(S767=0,Первоначальный[[#This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платеж]]+Y767-SUM(Первоначальный[[#This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комиссиям]]),VLOOKUP(LOOKUP(,-1/($Z$12:Z768=1),$A$12:A768),График[[Срок конец]:[Возврат основной суммы долга]],3,0)),
AND(S767=0,Первоначальный[[#This Row],[Дата платежа из графика]]="",Первоначальный[[#This Row],[Досрочное погашение (да/"")]]&lt;&gt;"Да"),0,
AND(S767=0,Первоначальный[[#This Row],[Досрочное погашение (да/"")]]=""),MIN(Первоначальный[[#This Row],[Полученный платеж]]+Y767-SUM(Первоначальный[[#This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комиссиям]]),VLOOKUP(LOOKUP(,-1/($Z$12:Z768=1),$A$12:A768),График[[Срок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платеж]]+Y767-SUM(Первоначальный[[#This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S767&gt;0,MIN(Первоначальный[[#This Row],[Полученный платеж]]+Y767-SUM(Первоначальный[[#This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комиссиям]]),SUM(INDIRECT("M"&amp;(MAX((1=S$12:S767)*ROW(S$12:S767),ROW($W$12))&amp;":M"&amp;(ROW()))))-SUM(INDIRECT("W"&amp;(MAX((1=S$12:S767)*ROW(S$12:S767),ROW($W$12))&amp;":W"&amp;(ROW()-1)))))
)
)</f>
        <v>0</v>
      </c>
      <c r="X768" s="55">
        <f t="shared" ca="1" si="134"/>
        <v>0</v>
      </c>
      <c r="Y768" s="101">
        <f t="shared" ca="1" si="141"/>
        <v>0</v>
      </c>
      <c r="Z768" s="133" t="str">
        <f>IF(TYPE((VLOOKUP(Первоначальный[[#This Row],[Дата платежа]],График[Срок конец],1,0)))=16,"",1)</f>
        <v/>
      </c>
      <c r="AA768" s="57"/>
      <c r="AB768" s="134"/>
      <c r="AC76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6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54640.200000000019</v>
      </c>
      <c r="AE76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1963.4999999999995</v>
      </c>
      <c r="AF76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6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110099.78617704922</v>
      </c>
      <c r="AH768" s="55"/>
      <c r="AI768" s="55"/>
      <c r="AJ768" s="55"/>
      <c r="AK768" s="101">
        <f t="shared" ca="1" si="142"/>
        <v>316336.8261770492</v>
      </c>
      <c r="AL768" s="129">
        <f t="array" ref="AL768">MAX((УслРестрактов[Характеристика]="Дата реструктуризации")*(УслРестрактов[Значение]=Первоначальный!$A768),0)</f>
        <v>0</v>
      </c>
    </row>
    <row r="769" spans="1:38" x14ac:dyDescent="0.25">
      <c r="A769" s="97">
        <f t="shared" si="135"/>
        <v>44900</v>
      </c>
      <c r="B769" s="100">
        <f t="shared" ca="1" si="136"/>
        <v>149633.34</v>
      </c>
      <c r="C769" s="55">
        <f t="shared" ca="1" si="144"/>
        <v>54640.200000000019</v>
      </c>
      <c r="D769" s="55">
        <f t="shared" ca="1" si="144"/>
        <v>1963.4999999999995</v>
      </c>
      <c r="E769" s="55">
        <f t="shared" ca="1" si="137"/>
        <v>0</v>
      </c>
      <c r="F769" s="55">
        <f t="shared" ca="1" si="138"/>
        <v>110099.78617704922</v>
      </c>
      <c r="G769" s="101">
        <f t="shared" ca="1" si="139"/>
        <v>316336.8261770492</v>
      </c>
      <c r="H769" s="100">
        <f ca="1">ROUND($B769*VLOOKUP($A769,$A$1:$B$10,2,1)/(365+IF(MOD(YEAR($A769),4),0,1)*($A769-$A768)),2)-Первоначальный[[#This Row],[Проценты на просроченный платеж по ОД за период]]</f>
        <v>75.599999999999994</v>
      </c>
      <c r="I769" s="55">
        <f t="shared" ca="1" si="140"/>
        <v>5.98</v>
      </c>
      <c r="J769" s="55">
        <v>0</v>
      </c>
      <c r="K769" s="55">
        <f t="shared" ca="1" si="143"/>
        <v>318.60350327868844</v>
      </c>
      <c r="L769" s="55">
        <v>0</v>
      </c>
      <c r="M769" s="113">
        <f>SUMIFS(График[Возврат основной суммы долга],График[Дата с учетом нерабочих дней],$A769)</f>
        <v>0</v>
      </c>
      <c r="N769" s="56">
        <f>SUMIFS(График[Возврат начисленных %],График[Дата с учетом нерабочих дней],$A769)</f>
        <v>0</v>
      </c>
      <c r="O769" s="101">
        <v>0</v>
      </c>
      <c r="P769" s="100" cm="1">
        <f t="array" aca="1" ref="P769" ca="1">MAX(IF(AA768="Да",0,SUM(INDIRECT("M"&amp;(MAX(("Да"=AA$12:AA768)*ROW(AA$12:AA768)+1,ROW($P$12))&amp;":M"&amp;(ROW()))))-SUM(INDIRECT("W"&amp;(MAX(("Да"=AA$12:AA768)*ROW(AA$12:AA768)+1,ROW($P$12))&amp;":W"&amp;(ROW()))))),0)</f>
        <v>10972.839999999998</v>
      </c>
      <c r="Q769" s="99">
        <f ca="1">MAX(SUM($N$13:N769)-SUM($T$13:T769),0)</f>
        <v>52747.860655737692</v>
      </c>
      <c r="R769" s="99">
        <f ca="1">Первоначальный[[#This Row],[Просроченный платеж по ОД]]+Первоначальный[[#This Row],[Просроченный платеж по процентам]]</f>
        <v>63720.700655737688</v>
      </c>
      <c r="S769" s="120">
        <f ca="1">IF(Первоначальный[[#This Row],[Просроченный платеж]]&lt;1,0,S768+1)</f>
        <v>665</v>
      </c>
      <c r="T769" s="100" cm="1">
        <f t="array" aca="1" ref="T769" ca="1">IF(Первоначальный[[#This Row],[Итого остаток на начало периода]]&lt;1,0,
IF(
AND(TYPE(VLOOKUP(1,$Z$12:Z769,1,0))=16,Первоначальный[[#This Row],[Досрочное погашение (да/"")]]=""),0,
_xlfn.IFS(AND(S768=0,Первоначальный[[#This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платеж]]&lt;&gt;0),MIN(LOOKUP(,-1/($Z$12:Z769=1),$C$12:C769)+LOOKUP(,-1/($Z$12:Z769=1),$H$12:H769),Первоначальный[[#This Row],[Полученный платеж]]+Y768),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платеж]]+Y768,SUM(Первоначальный[[#This Row],[Остаток процентов на начало периода]],Первоначальный[[#This Row],[Проценты за период]])),
AND(S768=0,Первоначальный[[#This Row],[Дата платежа из графика]]=""),0,
AND(S768=0,Первоначальный[[#This Row],[Дата платежа из графика]]=1,MAX((0&lt;&gt;S$12:S768)*ROW(S$12:S768),ROW($S$12))&gt;=MAX((1=Z$12:Z768)*ROW(Z$12:Z768),ROW($T$12)),TYPE(VLOOKUP("Да",(INDIRECT("AA"&amp;(MAX((1=Z$12:Z768)*ROW(Z$12:Z768),ROW($T$12))&amp;":AA"&amp;(ROW()-1)))),1,0))=16),MIN(LOOKUP(,-1/($Z$12:Z769=1),$C$12:C769)+LOOKUP(,-1/($Z$12:Z769=1),$H$12:H769),Первоначальный[[#This Row],[Полученный платеж]]+Y768),
AND(S768=0,TYPE(VLOOKUP("Да",(INDIRECT("AA"&amp;(MAX((1=Z$12:Z768)*ROW(Z$12:Z768),ROW($T$12))&amp;":AA"&amp;(ROW()-1)))),1,0))&lt;&gt;16),MIN(LOOKUP(,-1/($Z$12:Z769=1),$C$12:C769)+LOOKUP(,-1/($Z$12:Z769=1),$H$12:H769)-IF(AA768="Да",0,SUM(INDIRECT("T"&amp;(MAX(("Да"=AA$12:AA768)*ROW(AA$12:AA768)+1,ROW($T$12))&amp;":T"&amp;(ROW()-1))))),Первоначальный[[#This Row],[Полученный платеж]]+Y768),
AND(S768=0,MAX((0&lt;&gt;N$12:N768)*ROW(N$12:N768),ROW($S$12))&gt;=MAX((1=Z$12:Z768)*ROW(Z$12:Z768),ROW($T$12))),MIN(LOOKUP(,-1/($Z$12:Z769=1),$C$12:C769)+LOOKUP(,-1/($Z$12:Z769=1),$H$12:H769)-IF(N768&lt;&gt;0,0,SUM(INDIRECT("T"&amp;(MAX((0&lt;&gt;N$12:N768)*ROW(N$12:N768)+1,ROW($T$12))&amp;":T"&amp;(ROW()-1))))),Первоначальный[[#This Row],[Полученный платеж]]+Y768),
AND(S768=0,Первоначальный[[#This Row],[Дата платежа из графика]]=1),MIN(LOOKUP(,-1/($Z$12:Z769=1),$C$12:C769)+LOOKUP(,-1/($Z$12:Z769=1),$H$12:H769)-IF(Z768=1,0,SUM(INDIRECT("T"&amp;(MAX((1=Z$12:Z768)*ROW(Z$12:Z768)+1,ROW($T$12))&amp;":T"&amp;(ROW()-1))))),Первоначальный[[#This Row],[Полученный платеж]]+Y768),
AND(Z768&gt;0,Первоначальный[[#This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платеж]]+Y768),
AND(S768&gt;0,MAX((0&lt;&gt;S$12:S768)*ROW(S$12:S768),ROW($S$12))&gt;=MAX((1=Z$12:Z768)*ROW(Z$12:Z768),ROW($T$12)),TYPE(VLOOKUP("Да",(INDIRECT("AA"&amp;(MAX((1=Z$12:Z768)*ROW(Z$12:Z768),ROW($T$12))&amp;":AA"&amp;(ROW()-1)))),1,0))=16),MIN(LOOKUP(,-1/($Z$12:Z769=1),$C$12:C769)+LOOKUP(,-1/($Z$12:Z769=1),$H$12:H769)-SUM(INDIRECT("T"&amp;(MAX((1=Z$12:Z768)*ROW(Z$12:Z768),ROW($T$12))&amp;":T"&amp;(ROW()-1)))),Первоначальный[[#This Row],[Полученный платеж]]+Y768),
S768&gt;0,MIN(LOOKUP(,-1/($Z$12:Z769=1),$C$12:C769)+LOOKUP(,-1/($Z$12:Z769=1),$H$12:H769)-IF(Z768=1,0,SUM(INDIRECT("T"&amp;(MAX((1=Z$12:Z768)*ROW(Z$12:Z768)+1,ROW($T$12))&amp;":T"&amp;(ROW()-1))))),Первоначальный[[#This Row],[Полученный платеж]]+Y768)
)
)
)</f>
        <v>0</v>
      </c>
      <c r="U76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платеж]]+Y768-Первоначальный[[#This Row],[Полученный платёж по процентам]])</f>
        <v>0</v>
      </c>
      <c r="V769" s="55">
        <f t="shared" ca="1" si="133"/>
        <v>0</v>
      </c>
      <c r="W769" s="55" cm="1">
        <f t="array" aca="1" ref="W769" ca="1">IF(Первоначальный[[#This Row],[Итого остаток на начало периода]]&lt;1,0,
_xlfn.IFS(
AND(TYPE(VLOOKUP(1,$Z$12:Z769,1,0))=16,Первоначальный[[#This Row],[Досрочное погашение (да/"")]]=""),0,
AND(S768=0,Первоначальный[[#This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платеж]]+Y768-SUM(Первоначальный[[#This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комиссиям]]),VLOOKUP(LOOKUP(,-1/($Z$12:Z769=1),$A$12:A769),График[[Срок конец]:[Возврат основной суммы долга]],3,0)),
AND(S768=0,Первоначальный[[#This Row],[Дата платежа из графика]]="",Первоначальный[[#This Row],[Досрочное погашение (да/"")]]&lt;&gt;"Да"),0,
AND(S768=0,Первоначальный[[#This Row],[Досрочное погашение (да/"")]]=""),MIN(Первоначальный[[#This Row],[Полученный платеж]]+Y768-SUM(Первоначальный[[#This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комиссиям]]),VLOOKUP(LOOKUP(,-1/($Z$12:Z769=1),$A$12:A769),График[[Срок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платеж]]+Y768-SUM(Первоначальный[[#This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S768&gt;0,MIN(Первоначальный[[#This Row],[Полученный платеж]]+Y768-SUM(Первоначальный[[#This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комиссиям]]),SUM(INDIRECT("M"&amp;(MAX((1=S$12:S768)*ROW(S$12:S768),ROW($W$12))&amp;":M"&amp;(ROW()))))-SUM(INDIRECT("W"&amp;(MAX((1=S$12:S768)*ROW(S$12:S768),ROW($W$12))&amp;":W"&amp;(ROW()-1)))))
)
)</f>
        <v>0</v>
      </c>
      <c r="X769" s="55">
        <f t="shared" ca="1" si="134"/>
        <v>0</v>
      </c>
      <c r="Y769" s="101">
        <f t="shared" ca="1" si="141"/>
        <v>0</v>
      </c>
      <c r="Z769" s="133" t="str">
        <f>IF(TYPE((VLOOKUP(Первоначальный[[#This Row],[Дата платежа]],График[Срок конец],1,0)))=16,"",1)</f>
        <v/>
      </c>
      <c r="AA769" s="57"/>
      <c r="AB769" s="134"/>
      <c r="AC76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6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54715.800000000017</v>
      </c>
      <c r="AE76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1969.4799999999996</v>
      </c>
      <c r="AF76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6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110418.38968032791</v>
      </c>
      <c r="AH769" s="55"/>
      <c r="AI769" s="55"/>
      <c r="AJ769" s="55"/>
      <c r="AK769" s="101">
        <f t="shared" ca="1" si="142"/>
        <v>316737.00968032796</v>
      </c>
      <c r="AL769" s="129">
        <f t="array" ref="AL769">MAX((УслРестрактов[Характеристика]="Дата реструктуризации")*(УслРестрактов[Значение]=Первоначальный!$A769),0)</f>
        <v>0</v>
      </c>
    </row>
    <row r="770" spans="1:38" x14ac:dyDescent="0.25">
      <c r="A770" s="97">
        <f t="shared" si="135"/>
        <v>44901</v>
      </c>
      <c r="B770" s="100">
        <f t="shared" ca="1" si="136"/>
        <v>149633.34</v>
      </c>
      <c r="C770" s="55">
        <f t="shared" ca="1" si="144"/>
        <v>54715.800000000017</v>
      </c>
      <c r="D770" s="55">
        <f t="shared" ca="1" si="144"/>
        <v>1969.4799999999996</v>
      </c>
      <c r="E770" s="55">
        <f t="shared" ca="1" si="137"/>
        <v>0</v>
      </c>
      <c r="F770" s="55">
        <f t="shared" ca="1" si="138"/>
        <v>110418.38968032791</v>
      </c>
      <c r="G770" s="101">
        <f t="shared" ca="1" si="139"/>
        <v>316737.00968032796</v>
      </c>
      <c r="H770" s="100">
        <f ca="1">ROUND($B770*VLOOKUP($A770,$A$1:$B$10,2,1)/(365+IF(MOD(YEAR($A770),4),0,1)*($A770-$A769)),2)-Первоначальный[[#This Row],[Проценты на просроченный платеж по ОД за период]]</f>
        <v>75.599999999999994</v>
      </c>
      <c r="I770" s="55">
        <f t="shared" ca="1" si="140"/>
        <v>5.98</v>
      </c>
      <c r="J770" s="55">
        <v>0</v>
      </c>
      <c r="K770" s="55">
        <f t="shared" ca="1" si="143"/>
        <v>318.60350327868844</v>
      </c>
      <c r="L770" s="55">
        <v>0</v>
      </c>
      <c r="M770" s="113">
        <f>SUMIFS(График[Возврат основной суммы долга],График[Дата с учетом нерабочих дней],$A770)</f>
        <v>0</v>
      </c>
      <c r="N770" s="56">
        <f>SUMIFS(График[Возврат начисленных %],График[Дата с учетом нерабочих дней],$A770)</f>
        <v>0</v>
      </c>
      <c r="O770" s="101">
        <v>0</v>
      </c>
      <c r="P770" s="100" cm="1">
        <f t="array" aca="1" ref="P770" ca="1">MAX(IF(AA769="Да",0,SUM(INDIRECT("M"&amp;(MAX(("Да"=AA$12:AA769)*ROW(AA$12:AA769)+1,ROW($P$12))&amp;":M"&amp;(ROW()))))-SUM(INDIRECT("W"&amp;(MAX(("Да"=AA$12:AA769)*ROW(AA$12:AA769)+1,ROW($P$12))&amp;":W"&amp;(ROW()))))),0)</f>
        <v>10972.839999999998</v>
      </c>
      <c r="Q770" s="99">
        <f ca="1">MAX(SUM($N$13:N770)-SUM($T$13:T770),0)</f>
        <v>52747.860655737692</v>
      </c>
      <c r="R770" s="99">
        <f ca="1">Первоначальный[[#This Row],[Просроченный платеж по ОД]]+Первоначальный[[#This Row],[Просроченный платеж по процентам]]</f>
        <v>63720.700655737688</v>
      </c>
      <c r="S770" s="120">
        <f ca="1">IF(Первоначальный[[#This Row],[Просроченный платеж]]&lt;1,0,S769+1)</f>
        <v>666</v>
      </c>
      <c r="T770" s="100" cm="1">
        <f t="array" aca="1" ref="T770" ca="1">IF(Первоначальный[[#This Row],[Итого остаток на начало периода]]&lt;1,0,
IF(
AND(TYPE(VLOOKUP(1,$Z$12:Z770,1,0))=16,Первоначальный[[#This Row],[Досрочное погашение (да/"")]]=""),0,
_xlfn.IFS(AND(S769=0,Первоначальный[[#This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платеж]]&lt;&gt;0),MIN(LOOKUP(,-1/($Z$12:Z770=1),$C$12:C770)+LOOKUP(,-1/($Z$12:Z770=1),$H$12:H770),Первоначальный[[#This Row],[Полученный платеж]]+Y769),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платеж]]+Y769,SUM(Первоначальный[[#This Row],[Остаток процентов на начало периода]],Первоначальный[[#This Row],[Проценты за период]])),
AND(S769=0,Первоначальный[[#This Row],[Дата платежа из графика]]=""),0,
AND(S769=0,Первоначальный[[#This Row],[Дата платежа из графика]]=1,MAX((0&lt;&gt;S$12:S769)*ROW(S$12:S769),ROW($S$12))&gt;=MAX((1=Z$12:Z769)*ROW(Z$12:Z769),ROW($T$12)),TYPE(VLOOKUP("Да",(INDIRECT("AA"&amp;(MAX((1=Z$12:Z769)*ROW(Z$12:Z769),ROW($T$12))&amp;":AA"&amp;(ROW()-1)))),1,0))=16),MIN(LOOKUP(,-1/($Z$12:Z770=1),$C$12:C770)+LOOKUP(,-1/($Z$12:Z770=1),$H$12:H770),Первоначальный[[#This Row],[Полученный платеж]]+Y769),
AND(S769=0,TYPE(VLOOKUP("Да",(INDIRECT("AA"&amp;(MAX((1=Z$12:Z769)*ROW(Z$12:Z769),ROW($T$12))&amp;":AA"&amp;(ROW()-1)))),1,0))&lt;&gt;16),MIN(LOOKUP(,-1/($Z$12:Z770=1),$C$12:C770)+LOOKUP(,-1/($Z$12:Z770=1),$H$12:H770)-IF(AA769="Да",0,SUM(INDIRECT("T"&amp;(MAX(("Да"=AA$12:AA769)*ROW(AA$12:AA769)+1,ROW($T$12))&amp;":T"&amp;(ROW()-1))))),Первоначальный[[#This Row],[Полученный платеж]]+Y769),
AND(S769=0,MAX((0&lt;&gt;N$12:N769)*ROW(N$12:N769),ROW($S$12))&gt;=MAX((1=Z$12:Z769)*ROW(Z$12:Z769),ROW($T$12))),MIN(LOOKUP(,-1/($Z$12:Z770=1),$C$12:C770)+LOOKUP(,-1/($Z$12:Z770=1),$H$12:H770)-IF(N769&lt;&gt;0,0,SUM(INDIRECT("T"&amp;(MAX((0&lt;&gt;N$12:N769)*ROW(N$12:N769)+1,ROW($T$12))&amp;":T"&amp;(ROW()-1))))),Первоначальный[[#This Row],[Полученный платеж]]+Y769),
AND(S769=0,Первоначальный[[#This Row],[Дата платежа из графика]]=1),MIN(LOOKUP(,-1/($Z$12:Z770=1),$C$12:C770)+LOOKUP(,-1/($Z$12:Z770=1),$H$12:H770)-IF(Z769=1,0,SUM(INDIRECT("T"&amp;(MAX((1=Z$12:Z769)*ROW(Z$12:Z769)+1,ROW($T$12))&amp;":T"&amp;(ROW()-1))))),Первоначальный[[#This Row],[Полученный платеж]]+Y769),
AND(Z769&gt;0,Первоначальный[[#This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платеж]]+Y769),
AND(S769&gt;0,MAX((0&lt;&gt;S$12:S769)*ROW(S$12:S769),ROW($S$12))&gt;=MAX((1=Z$12:Z769)*ROW(Z$12:Z769),ROW($T$12)),TYPE(VLOOKUP("Да",(INDIRECT("AA"&amp;(MAX((1=Z$12:Z769)*ROW(Z$12:Z769),ROW($T$12))&amp;":AA"&amp;(ROW()-1)))),1,0))=16),MIN(LOOKUP(,-1/($Z$12:Z770=1),$C$12:C770)+LOOKUP(,-1/($Z$12:Z770=1),$H$12:H770)-SUM(INDIRECT("T"&amp;(MAX((1=Z$12:Z769)*ROW(Z$12:Z769),ROW($T$12))&amp;":T"&amp;(ROW()-1)))),Первоначальный[[#This Row],[Полученный платеж]]+Y769),
S769&gt;0,MIN(LOOKUP(,-1/($Z$12:Z770=1),$C$12:C770)+LOOKUP(,-1/($Z$12:Z770=1),$H$12:H770)-IF(Z769=1,0,SUM(INDIRECT("T"&amp;(MAX((1=Z$12:Z769)*ROW(Z$12:Z769)+1,ROW($T$12))&amp;":T"&amp;(ROW()-1))))),Первоначальный[[#This Row],[Полученный платеж]]+Y769)
)
)
)</f>
        <v>0</v>
      </c>
      <c r="U77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платеж]]+Y769-Первоначальный[[#This Row],[Полученный платёж по процентам]])</f>
        <v>0</v>
      </c>
      <c r="V770" s="55">
        <f t="shared" ca="1" si="133"/>
        <v>0</v>
      </c>
      <c r="W770" s="55" cm="1">
        <f t="array" aca="1" ref="W770" ca="1">IF(Первоначальный[[#This Row],[Итого остаток на начало периода]]&lt;1,0,
_xlfn.IFS(
AND(TYPE(VLOOKUP(1,$Z$12:Z770,1,0))=16,Первоначальный[[#This Row],[Досрочное погашение (да/"")]]=""),0,
AND(S769=0,Первоначальный[[#This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платеж]]+Y769-SUM(Первоначальный[[#This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комиссиям]]),VLOOKUP(LOOKUP(,-1/($Z$12:Z770=1),$A$12:A770),График[[Срок конец]:[Возврат основной суммы долга]],3,0)),
AND(S769=0,Первоначальный[[#This Row],[Дата платежа из графика]]="",Первоначальный[[#This Row],[Досрочное погашение (да/"")]]&lt;&gt;"Да"),0,
AND(S769=0,Первоначальный[[#This Row],[Досрочное погашение (да/"")]]=""),MIN(Первоначальный[[#This Row],[Полученный платеж]]+Y769-SUM(Первоначальный[[#This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комиссиям]]),VLOOKUP(LOOKUP(,-1/($Z$12:Z770=1),$A$12:A770),График[[Срок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платеж]]+Y769-SUM(Первоначальный[[#This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S769&gt;0,MIN(Первоначальный[[#This Row],[Полученный платеж]]+Y769-SUM(Первоначальный[[#This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комиссиям]]),SUM(INDIRECT("M"&amp;(MAX((1=S$12:S769)*ROW(S$12:S769),ROW($W$12))&amp;":M"&amp;(ROW()))))-SUM(INDIRECT("W"&amp;(MAX((1=S$12:S769)*ROW(S$12:S769),ROW($W$12))&amp;":W"&amp;(ROW()-1)))))
)
)</f>
        <v>0</v>
      </c>
      <c r="X770" s="55">
        <f t="shared" ca="1" si="134"/>
        <v>0</v>
      </c>
      <c r="Y770" s="101">
        <f t="shared" ca="1" si="141"/>
        <v>0</v>
      </c>
      <c r="Z770" s="133" t="str">
        <f>IF(TYPE((VLOOKUP(Первоначальный[[#This Row],[Дата платежа]],График[Срок конец],1,0)))=16,"",1)</f>
        <v/>
      </c>
      <c r="AA770" s="57"/>
      <c r="AB770" s="134"/>
      <c r="AC77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7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54791.400000000016</v>
      </c>
      <c r="AE77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1975.4599999999996</v>
      </c>
      <c r="AF77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7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110736.9931836066</v>
      </c>
      <c r="AH770" s="55"/>
      <c r="AI770" s="55"/>
      <c r="AJ770" s="55"/>
      <c r="AK770" s="101">
        <f t="shared" ca="1" si="142"/>
        <v>317137.19318360661</v>
      </c>
      <c r="AL770" s="129">
        <f t="array" ref="AL770">MAX((УслРестрактов[Характеристика]="Дата реструктуризации")*(УслРестрактов[Значение]=Первоначальный!$A770),0)</f>
        <v>0</v>
      </c>
    </row>
    <row r="771" spans="1:38" x14ac:dyDescent="0.25">
      <c r="A771" s="97">
        <f t="shared" si="135"/>
        <v>44902</v>
      </c>
      <c r="B771" s="100">
        <f t="shared" ca="1" si="136"/>
        <v>149633.34</v>
      </c>
      <c r="C771" s="55">
        <f t="shared" ca="1" si="144"/>
        <v>54791.400000000016</v>
      </c>
      <c r="D771" s="55">
        <f t="shared" ca="1" si="144"/>
        <v>1975.4599999999996</v>
      </c>
      <c r="E771" s="55">
        <f t="shared" ca="1" si="137"/>
        <v>0</v>
      </c>
      <c r="F771" s="55">
        <f t="shared" ca="1" si="138"/>
        <v>110736.9931836066</v>
      </c>
      <c r="G771" s="101">
        <f t="shared" ca="1" si="139"/>
        <v>317137.19318360661</v>
      </c>
      <c r="H771" s="100">
        <f ca="1">ROUND($B771*VLOOKUP($A771,$A$1:$B$10,2,1)/(365+IF(MOD(YEAR($A771),4),0,1)*($A771-$A770)),2)-Первоначальный[[#This Row],[Проценты на просроченный платеж по ОД за период]]</f>
        <v>75.599999999999994</v>
      </c>
      <c r="I771" s="55">
        <f t="shared" ca="1" si="140"/>
        <v>5.98</v>
      </c>
      <c r="J771" s="55">
        <v>0</v>
      </c>
      <c r="K771" s="55">
        <f t="shared" ca="1" si="143"/>
        <v>318.60350327868844</v>
      </c>
      <c r="L771" s="55">
        <v>0</v>
      </c>
      <c r="M771" s="113">
        <f>SUMIFS(График[Возврат основной суммы долга],График[Дата с учетом нерабочих дней],$A771)</f>
        <v>0</v>
      </c>
      <c r="N771" s="56">
        <f>SUMIFS(График[Возврат начисленных %],График[Дата с учетом нерабочих дней],$A771)</f>
        <v>0</v>
      </c>
      <c r="O771" s="101">
        <v>0</v>
      </c>
      <c r="P771" s="100" cm="1">
        <f t="array" aca="1" ref="P771" ca="1">MAX(IF(AA770="Да",0,SUM(INDIRECT("M"&amp;(MAX(("Да"=AA$12:AA770)*ROW(AA$12:AA770)+1,ROW($P$12))&amp;":M"&amp;(ROW()))))-SUM(INDIRECT("W"&amp;(MAX(("Да"=AA$12:AA770)*ROW(AA$12:AA770)+1,ROW($P$12))&amp;":W"&amp;(ROW()))))),0)</f>
        <v>10972.839999999998</v>
      </c>
      <c r="Q771" s="99">
        <f ca="1">MAX(SUM($N$13:N771)-SUM($T$13:T771),0)</f>
        <v>52747.860655737692</v>
      </c>
      <c r="R771" s="99">
        <f ca="1">Первоначальный[[#This Row],[Просроченный платеж по ОД]]+Первоначальный[[#This Row],[Просроченный платеж по процентам]]</f>
        <v>63720.700655737688</v>
      </c>
      <c r="S771" s="120">
        <f ca="1">IF(Первоначальный[[#This Row],[Просроченный платеж]]&lt;1,0,S770+1)</f>
        <v>667</v>
      </c>
      <c r="T771" s="100" cm="1">
        <f t="array" aca="1" ref="T771" ca="1">IF(Первоначальный[[#This Row],[Итого остаток на начало периода]]&lt;1,0,
IF(
AND(TYPE(VLOOKUP(1,$Z$12:Z771,1,0))=16,Первоначальный[[#This Row],[Досрочное погашение (да/"")]]=""),0,
_xlfn.IFS(AND(S770=0,Первоначальный[[#This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платеж]]&lt;&gt;0),MIN(LOOKUP(,-1/($Z$12:Z771=1),$C$12:C771)+LOOKUP(,-1/($Z$12:Z771=1),$H$12:H771),Первоначальный[[#This Row],[Полученный платеж]]+Y770),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платеж]]+Y770,SUM(Первоначальный[[#This Row],[Остаток процентов на начало периода]],Первоначальный[[#This Row],[Проценты за период]])),
AND(S770=0,Первоначальный[[#This Row],[Дата платежа из графика]]=""),0,
AND(S770=0,Первоначальный[[#This Row],[Дата платежа из графика]]=1,MAX((0&lt;&gt;S$12:S770)*ROW(S$12:S770),ROW($S$12))&gt;=MAX((1=Z$12:Z770)*ROW(Z$12:Z770),ROW($T$12)),TYPE(VLOOKUP("Да",(INDIRECT("AA"&amp;(MAX((1=Z$12:Z770)*ROW(Z$12:Z770),ROW($T$12))&amp;":AA"&amp;(ROW()-1)))),1,0))=16),MIN(LOOKUP(,-1/($Z$12:Z771=1),$C$12:C771)+LOOKUP(,-1/($Z$12:Z771=1),$H$12:H771),Первоначальный[[#This Row],[Полученный платеж]]+Y770),
AND(S770=0,TYPE(VLOOKUP("Да",(INDIRECT("AA"&amp;(MAX((1=Z$12:Z770)*ROW(Z$12:Z770),ROW($T$12))&amp;":AA"&amp;(ROW()-1)))),1,0))&lt;&gt;16),MIN(LOOKUP(,-1/($Z$12:Z771=1),$C$12:C771)+LOOKUP(,-1/($Z$12:Z771=1),$H$12:H771)-IF(AA770="Да",0,SUM(INDIRECT("T"&amp;(MAX(("Да"=AA$12:AA770)*ROW(AA$12:AA770)+1,ROW($T$12))&amp;":T"&amp;(ROW()-1))))),Первоначальный[[#This Row],[Полученный платеж]]+Y770),
AND(S770=0,MAX((0&lt;&gt;N$12:N770)*ROW(N$12:N770),ROW($S$12))&gt;=MAX((1=Z$12:Z770)*ROW(Z$12:Z770),ROW($T$12))),MIN(LOOKUP(,-1/($Z$12:Z771=1),$C$12:C771)+LOOKUP(,-1/($Z$12:Z771=1),$H$12:H771)-IF(N770&lt;&gt;0,0,SUM(INDIRECT("T"&amp;(MAX((0&lt;&gt;N$12:N770)*ROW(N$12:N770)+1,ROW($T$12))&amp;":T"&amp;(ROW()-1))))),Первоначальный[[#This Row],[Полученный платеж]]+Y770),
AND(S770=0,Первоначальный[[#This Row],[Дата платежа из графика]]=1),MIN(LOOKUP(,-1/($Z$12:Z771=1),$C$12:C771)+LOOKUP(,-1/($Z$12:Z771=1),$H$12:H771)-IF(Z770=1,0,SUM(INDIRECT("T"&amp;(MAX((1=Z$12:Z770)*ROW(Z$12:Z770)+1,ROW($T$12))&amp;":T"&amp;(ROW()-1))))),Первоначальный[[#This Row],[Полученный платеж]]+Y770),
AND(Z770&gt;0,Первоначальный[[#This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платеж]]+Y770),
AND(S770&gt;0,MAX((0&lt;&gt;S$12:S770)*ROW(S$12:S770),ROW($S$12))&gt;=MAX((1=Z$12:Z770)*ROW(Z$12:Z770),ROW($T$12)),TYPE(VLOOKUP("Да",(INDIRECT("AA"&amp;(MAX((1=Z$12:Z770)*ROW(Z$12:Z770),ROW($T$12))&amp;":AA"&amp;(ROW()-1)))),1,0))=16),MIN(LOOKUP(,-1/($Z$12:Z771=1),$C$12:C771)+LOOKUP(,-1/($Z$12:Z771=1),$H$12:H771)-SUM(INDIRECT("T"&amp;(MAX((1=Z$12:Z770)*ROW(Z$12:Z770),ROW($T$12))&amp;":T"&amp;(ROW()-1)))),Первоначальный[[#This Row],[Полученный платеж]]+Y770),
S770&gt;0,MIN(LOOKUP(,-1/($Z$12:Z771=1),$C$12:C771)+LOOKUP(,-1/($Z$12:Z771=1),$H$12:H771)-IF(Z770=1,0,SUM(INDIRECT("T"&amp;(MAX((1=Z$12:Z770)*ROW(Z$12:Z770)+1,ROW($T$12))&amp;":T"&amp;(ROW()-1))))),Первоначальный[[#This Row],[Полученный платеж]]+Y770)
)
)
)</f>
        <v>0</v>
      </c>
      <c r="U77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платеж]]+Y770-Первоначальный[[#This Row],[Полученный платёж по процентам]])</f>
        <v>0</v>
      </c>
      <c r="V771" s="55">
        <f t="shared" ca="1" si="133"/>
        <v>0</v>
      </c>
      <c r="W771" s="55" cm="1">
        <f t="array" aca="1" ref="W771" ca="1">IF(Первоначальный[[#This Row],[Итого остаток на начало периода]]&lt;1,0,
_xlfn.IFS(
AND(TYPE(VLOOKUP(1,$Z$12:Z771,1,0))=16,Первоначальный[[#This Row],[Досрочное погашение (да/"")]]=""),0,
AND(S770=0,Первоначальный[[#This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платеж]]+Y770-SUM(Первоначальный[[#This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комиссиям]]),VLOOKUP(LOOKUP(,-1/($Z$12:Z771=1),$A$12:A771),График[[Срок конец]:[Возврат основной суммы долга]],3,0)),
AND(S770=0,Первоначальный[[#This Row],[Дата платежа из графика]]="",Первоначальный[[#This Row],[Досрочное погашение (да/"")]]&lt;&gt;"Да"),0,
AND(S770=0,Первоначальный[[#This Row],[Досрочное погашение (да/"")]]=""),MIN(Первоначальный[[#This Row],[Полученный платеж]]+Y770-SUM(Первоначальный[[#This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комиссиям]]),VLOOKUP(LOOKUP(,-1/($Z$12:Z771=1),$A$12:A771),График[[Срок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платеж]]+Y770-SUM(Первоначальный[[#This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S770&gt;0,MIN(Первоначальный[[#This Row],[Полученный платеж]]+Y770-SUM(Первоначальный[[#This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комиссиям]]),SUM(INDIRECT("M"&amp;(MAX((1=S$12:S770)*ROW(S$12:S770),ROW($W$12))&amp;":M"&amp;(ROW()))))-SUM(INDIRECT("W"&amp;(MAX((1=S$12:S770)*ROW(S$12:S770),ROW($W$12))&amp;":W"&amp;(ROW()-1)))))
)
)</f>
        <v>0</v>
      </c>
      <c r="X771" s="55">
        <f t="shared" ca="1" si="134"/>
        <v>0</v>
      </c>
      <c r="Y771" s="101">
        <f t="shared" ca="1" si="141"/>
        <v>0</v>
      </c>
      <c r="Z771" s="133" t="str">
        <f>IF(TYPE((VLOOKUP(Первоначальный[[#This Row],[Дата платежа]],График[Срок конец],1,0)))=16,"",1)</f>
        <v/>
      </c>
      <c r="AA771" s="57"/>
      <c r="AB771" s="134"/>
      <c r="AC77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7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54867.000000000015</v>
      </c>
      <c r="AE77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1981.4399999999996</v>
      </c>
      <c r="AF77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7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111055.59668688528</v>
      </c>
      <c r="AH771" s="55"/>
      <c r="AI771" s="55"/>
      <c r="AJ771" s="55"/>
      <c r="AK771" s="101">
        <f t="shared" ca="1" si="142"/>
        <v>317537.37668688531</v>
      </c>
      <c r="AL771" s="129">
        <f t="array" ref="AL771">MAX((УслРестрактов[Характеристика]="Дата реструктуризации")*(УслРестрактов[Значение]=Первоначальный!$A771),0)</f>
        <v>0</v>
      </c>
    </row>
    <row r="772" spans="1:38" x14ac:dyDescent="0.25">
      <c r="A772" s="97">
        <f t="shared" si="135"/>
        <v>44903</v>
      </c>
      <c r="B772" s="100">
        <f t="shared" ca="1" si="136"/>
        <v>149633.34</v>
      </c>
      <c r="C772" s="55">
        <f t="shared" ca="1" si="144"/>
        <v>54867.000000000015</v>
      </c>
      <c r="D772" s="55">
        <f t="shared" ca="1" si="144"/>
        <v>1981.4399999999996</v>
      </c>
      <c r="E772" s="55">
        <f t="shared" ca="1" si="137"/>
        <v>0</v>
      </c>
      <c r="F772" s="55">
        <f t="shared" ca="1" si="138"/>
        <v>111055.59668688528</v>
      </c>
      <c r="G772" s="101">
        <f t="shared" ca="1" si="139"/>
        <v>317537.37668688531</v>
      </c>
      <c r="H772" s="100">
        <f ca="1">ROUND($B772*VLOOKUP($A772,$A$1:$B$10,2,1)/(365+IF(MOD(YEAR($A772),4),0,1)*($A772-$A771)),2)-Первоначальный[[#This Row],[Проценты на просроченный платеж по ОД за период]]</f>
        <v>75.599999999999994</v>
      </c>
      <c r="I772" s="55">
        <f t="shared" ca="1" si="140"/>
        <v>5.98</v>
      </c>
      <c r="J772" s="55">
        <v>0</v>
      </c>
      <c r="K772" s="55">
        <f t="shared" ca="1" si="143"/>
        <v>318.60350327868844</v>
      </c>
      <c r="L772" s="55">
        <v>0</v>
      </c>
      <c r="M772" s="113">
        <f>SUMIFS(График[Возврат основной суммы долга],График[Дата с учетом нерабочих дней],$A772)</f>
        <v>0</v>
      </c>
      <c r="N772" s="56">
        <f>SUMIFS(График[Возврат начисленных %],График[Дата с учетом нерабочих дней],$A772)</f>
        <v>0</v>
      </c>
      <c r="O772" s="101">
        <v>0</v>
      </c>
      <c r="P772" s="100" cm="1">
        <f t="array" aca="1" ref="P772" ca="1">MAX(IF(AA771="Да",0,SUM(INDIRECT("M"&amp;(MAX(("Да"=AA$12:AA771)*ROW(AA$12:AA771)+1,ROW($P$12))&amp;":M"&amp;(ROW()))))-SUM(INDIRECT("W"&amp;(MAX(("Да"=AA$12:AA771)*ROW(AA$12:AA771)+1,ROW($P$12))&amp;":W"&amp;(ROW()))))),0)</f>
        <v>10972.839999999998</v>
      </c>
      <c r="Q772" s="99">
        <f ca="1">MAX(SUM($N$13:N772)-SUM($T$13:T772),0)</f>
        <v>52747.860655737692</v>
      </c>
      <c r="R772" s="99">
        <f ca="1">Первоначальный[[#This Row],[Просроченный платеж по ОД]]+Первоначальный[[#This Row],[Просроченный платеж по процентам]]</f>
        <v>63720.700655737688</v>
      </c>
      <c r="S772" s="120">
        <f ca="1">IF(Первоначальный[[#This Row],[Просроченный платеж]]&lt;1,0,S771+1)</f>
        <v>668</v>
      </c>
      <c r="T772" s="100" cm="1">
        <f t="array" aca="1" ref="T772" ca="1">IF(Первоначальный[[#This Row],[Итого остаток на начало периода]]&lt;1,0,
IF(
AND(TYPE(VLOOKUP(1,$Z$12:Z772,1,0))=16,Первоначальный[[#This Row],[Досрочное погашение (да/"")]]=""),0,
_xlfn.IFS(AND(S771=0,Первоначальный[[#This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платеж]]&lt;&gt;0),MIN(LOOKUP(,-1/($Z$12:Z772=1),$C$12:C772)+LOOKUP(,-1/($Z$12:Z772=1),$H$12:H772),Первоначальный[[#This Row],[Полученный платеж]]+Y771),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платеж]]+Y771,SUM(Первоначальный[[#This Row],[Остаток процентов на начало периода]],Первоначальный[[#This Row],[Проценты за период]])),
AND(S771=0,Первоначальный[[#This Row],[Дата платежа из графика]]=""),0,
AND(S771=0,Первоначальный[[#This Row],[Дата платежа из графика]]=1,MAX((0&lt;&gt;S$12:S771)*ROW(S$12:S771),ROW($S$12))&gt;=MAX((1=Z$12:Z771)*ROW(Z$12:Z771),ROW($T$12)),TYPE(VLOOKUP("Да",(INDIRECT("AA"&amp;(MAX((1=Z$12:Z771)*ROW(Z$12:Z771),ROW($T$12))&amp;":AA"&amp;(ROW()-1)))),1,0))=16),MIN(LOOKUP(,-1/($Z$12:Z772=1),$C$12:C772)+LOOKUP(,-1/($Z$12:Z772=1),$H$12:H772),Первоначальный[[#This Row],[Полученный платеж]]+Y771),
AND(S771=0,TYPE(VLOOKUP("Да",(INDIRECT("AA"&amp;(MAX((1=Z$12:Z771)*ROW(Z$12:Z771),ROW($T$12))&amp;":AA"&amp;(ROW()-1)))),1,0))&lt;&gt;16),MIN(LOOKUP(,-1/($Z$12:Z772=1),$C$12:C772)+LOOKUP(,-1/($Z$12:Z772=1),$H$12:H772)-IF(AA771="Да",0,SUM(INDIRECT("T"&amp;(MAX(("Да"=AA$12:AA771)*ROW(AA$12:AA771)+1,ROW($T$12))&amp;":T"&amp;(ROW()-1))))),Первоначальный[[#This Row],[Полученный платеж]]+Y771),
AND(S771=0,MAX((0&lt;&gt;N$12:N771)*ROW(N$12:N771),ROW($S$12))&gt;=MAX((1=Z$12:Z771)*ROW(Z$12:Z771),ROW($T$12))),MIN(LOOKUP(,-1/($Z$12:Z772=1),$C$12:C772)+LOOKUP(,-1/($Z$12:Z772=1),$H$12:H772)-IF(N771&lt;&gt;0,0,SUM(INDIRECT("T"&amp;(MAX((0&lt;&gt;N$12:N771)*ROW(N$12:N771)+1,ROW($T$12))&amp;":T"&amp;(ROW()-1))))),Первоначальный[[#This Row],[Полученный платеж]]+Y771),
AND(S771=0,Первоначальный[[#This Row],[Дата платежа из графика]]=1),MIN(LOOKUP(,-1/($Z$12:Z772=1),$C$12:C772)+LOOKUP(,-1/($Z$12:Z772=1),$H$12:H772)-IF(Z771=1,0,SUM(INDIRECT("T"&amp;(MAX((1=Z$12:Z771)*ROW(Z$12:Z771)+1,ROW($T$12))&amp;":T"&amp;(ROW()-1))))),Первоначальный[[#This Row],[Полученный платеж]]+Y771),
AND(Z771&gt;0,Первоначальный[[#This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платеж]]+Y771),
AND(S771&gt;0,MAX((0&lt;&gt;S$12:S771)*ROW(S$12:S771),ROW($S$12))&gt;=MAX((1=Z$12:Z771)*ROW(Z$12:Z771),ROW($T$12)),TYPE(VLOOKUP("Да",(INDIRECT("AA"&amp;(MAX((1=Z$12:Z771)*ROW(Z$12:Z771),ROW($T$12))&amp;":AA"&amp;(ROW()-1)))),1,0))=16),MIN(LOOKUP(,-1/($Z$12:Z772=1),$C$12:C772)+LOOKUP(,-1/($Z$12:Z772=1),$H$12:H772)-SUM(INDIRECT("T"&amp;(MAX((1=Z$12:Z771)*ROW(Z$12:Z771),ROW($T$12))&amp;":T"&amp;(ROW()-1)))),Первоначальный[[#This Row],[Полученный платеж]]+Y771),
S771&gt;0,MIN(LOOKUP(,-1/($Z$12:Z772=1),$C$12:C772)+LOOKUP(,-1/($Z$12:Z772=1),$H$12:H772)-IF(Z771=1,0,SUM(INDIRECT("T"&amp;(MAX((1=Z$12:Z771)*ROW(Z$12:Z771)+1,ROW($T$12))&amp;":T"&amp;(ROW()-1))))),Первоначальный[[#This Row],[Полученный платеж]]+Y771)
)
)
)</f>
        <v>0</v>
      </c>
      <c r="U77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платеж]]+Y771-Первоначальный[[#This Row],[Полученный платёж по процентам]])</f>
        <v>0</v>
      </c>
      <c r="V772" s="55">
        <f t="shared" ca="1" si="133"/>
        <v>0</v>
      </c>
      <c r="W772" s="55" cm="1">
        <f t="array" aca="1" ref="W772" ca="1">IF(Первоначальный[[#This Row],[Итого остаток на начало периода]]&lt;1,0,
_xlfn.IFS(
AND(TYPE(VLOOKUP(1,$Z$12:Z772,1,0))=16,Первоначальный[[#This Row],[Досрочное погашение (да/"")]]=""),0,
AND(S771=0,Первоначальный[[#This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платеж]]+Y771-SUM(Первоначальный[[#This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комиссиям]]),VLOOKUP(LOOKUP(,-1/($Z$12:Z772=1),$A$12:A772),График[[Срок конец]:[Возврат основной суммы долга]],3,0)),
AND(S771=0,Первоначальный[[#This Row],[Дата платежа из графика]]="",Первоначальный[[#This Row],[Досрочное погашение (да/"")]]&lt;&gt;"Да"),0,
AND(S771=0,Первоначальный[[#This Row],[Досрочное погашение (да/"")]]=""),MIN(Первоначальный[[#This Row],[Полученный платеж]]+Y771-SUM(Первоначальный[[#This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комиссиям]]),VLOOKUP(LOOKUP(,-1/($Z$12:Z772=1),$A$12:A772),График[[Срок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платеж]]+Y771-SUM(Первоначальный[[#This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S771&gt;0,MIN(Первоначальный[[#This Row],[Полученный платеж]]+Y771-SUM(Первоначальный[[#This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комиссиям]]),SUM(INDIRECT("M"&amp;(MAX((1=S$12:S771)*ROW(S$12:S771),ROW($W$12))&amp;":M"&amp;(ROW()))))-SUM(INDIRECT("W"&amp;(MAX((1=S$12:S771)*ROW(S$12:S771),ROW($W$12))&amp;":W"&amp;(ROW()-1)))))
)
)</f>
        <v>0</v>
      </c>
      <c r="X772" s="55">
        <f t="shared" ca="1" si="134"/>
        <v>0</v>
      </c>
      <c r="Y772" s="101">
        <f t="shared" ca="1" si="141"/>
        <v>0</v>
      </c>
      <c r="Z772" s="133" t="str">
        <f>IF(TYPE((VLOOKUP(Первоначальный[[#This Row],[Дата платежа]],График[Срок конец],1,0)))=16,"",1)</f>
        <v/>
      </c>
      <c r="AA772" s="57"/>
      <c r="AB772" s="134"/>
      <c r="AC77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7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54942.600000000013</v>
      </c>
      <c r="AE77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1987.4199999999996</v>
      </c>
      <c r="AF77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7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111374.20019016397</v>
      </c>
      <c r="AH772" s="55"/>
      <c r="AI772" s="55"/>
      <c r="AJ772" s="55"/>
      <c r="AK772" s="101">
        <f t="shared" ca="1" si="142"/>
        <v>317937.56019016402</v>
      </c>
      <c r="AL772" s="129">
        <f t="array" ref="AL772">MAX((УслРестрактов[Характеристика]="Дата реструктуризации")*(УслРестрактов[Значение]=Первоначальный!$A772),0)</f>
        <v>0</v>
      </c>
    </row>
    <row r="773" spans="1:38" x14ac:dyDescent="0.25">
      <c r="A773" s="97">
        <f t="shared" si="135"/>
        <v>44904</v>
      </c>
      <c r="B773" s="100">
        <f t="shared" ca="1" si="136"/>
        <v>149633.34</v>
      </c>
      <c r="C773" s="55">
        <f t="shared" ca="1" si="144"/>
        <v>54942.600000000013</v>
      </c>
      <c r="D773" s="55">
        <f t="shared" ca="1" si="144"/>
        <v>1987.4199999999996</v>
      </c>
      <c r="E773" s="55">
        <f t="shared" ca="1" si="137"/>
        <v>0</v>
      </c>
      <c r="F773" s="55">
        <f t="shared" ca="1" si="138"/>
        <v>111374.20019016397</v>
      </c>
      <c r="G773" s="101">
        <f t="shared" ca="1" si="139"/>
        <v>317937.56019016402</v>
      </c>
      <c r="H773" s="100">
        <f ca="1">ROUND($B773*VLOOKUP($A773,$A$1:$B$10,2,1)/(365+IF(MOD(YEAR($A773),4),0,1)*($A773-$A772)),2)-Первоначальный[[#This Row],[Проценты на просроченный платеж по ОД за период]]</f>
        <v>75.599999999999994</v>
      </c>
      <c r="I773" s="55">
        <f t="shared" ca="1" si="140"/>
        <v>5.98</v>
      </c>
      <c r="J773" s="55">
        <v>0</v>
      </c>
      <c r="K773" s="55">
        <f t="shared" ca="1" si="143"/>
        <v>333.08850327868845</v>
      </c>
      <c r="L773" s="55">
        <v>0</v>
      </c>
      <c r="M773" s="113">
        <f>SUMIFS(График[Возврат основной суммы долга],График[Дата с учетом нерабочих дней],$A773)</f>
        <v>629.05000000000018</v>
      </c>
      <c r="N773" s="56">
        <f>SUMIFS(График[Возврат начисленных %],График[Дата с учетом нерабочих дней],$A773)</f>
        <v>2267.9499999999998</v>
      </c>
      <c r="O773" s="101">
        <v>0</v>
      </c>
      <c r="P773" s="100" cm="1">
        <f t="array" aca="1" ref="P773" ca="1">MAX(IF(AA772="Да",0,SUM(INDIRECT("M"&amp;(MAX(("Да"=AA$12:AA772)*ROW(AA$12:AA772)+1,ROW($P$12))&amp;":M"&amp;(ROW()))))-SUM(INDIRECT("W"&amp;(MAX(("Да"=AA$12:AA772)*ROW(AA$12:AA772)+1,ROW($P$12))&amp;":W"&amp;(ROW()))))),0)</f>
        <v>11601.89</v>
      </c>
      <c r="Q773" s="99">
        <f ca="1">MAX(SUM($N$13:N773)-SUM($T$13:T773),0)</f>
        <v>55015.810655737689</v>
      </c>
      <c r="R773" s="99">
        <f ca="1">Первоначальный[[#This Row],[Просроченный платеж по ОД]]+Первоначальный[[#This Row],[Просроченный платеж по процентам]]</f>
        <v>66617.700655737688</v>
      </c>
      <c r="S773" s="120">
        <f ca="1">IF(Первоначальный[[#This Row],[Просроченный платеж]]&lt;1,0,S772+1)</f>
        <v>669</v>
      </c>
      <c r="T773" s="100" cm="1">
        <f t="array" aca="1" ref="T773" ca="1">IF(Первоначальный[[#This Row],[Итого остаток на начало периода]]&lt;1,0,
IF(
AND(TYPE(VLOOKUP(1,$Z$12:Z773,1,0))=16,Первоначальный[[#This Row],[Досрочное погашение (да/"")]]=""),0,
_xlfn.IFS(AND(S772=0,Первоначальный[[#This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платеж]]&lt;&gt;0),MIN(LOOKUP(,-1/($Z$12:Z773=1),$C$12:C773)+LOOKUP(,-1/($Z$12:Z773=1),$H$12:H773),Первоначальный[[#This Row],[Полученный платеж]]+Y772),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платеж]]+Y772,SUM(Первоначальный[[#This Row],[Остаток процентов на начало периода]],Первоначальный[[#This Row],[Проценты за период]])),
AND(S772=0,Первоначальный[[#This Row],[Дата платежа из графика]]=""),0,
AND(S772=0,Первоначальный[[#This Row],[Дата платежа из графика]]=1,MAX((0&lt;&gt;S$12:S772)*ROW(S$12:S772),ROW($S$12))&gt;=MAX((1=Z$12:Z772)*ROW(Z$12:Z772),ROW($T$12)),TYPE(VLOOKUP("Да",(INDIRECT("AA"&amp;(MAX((1=Z$12:Z772)*ROW(Z$12:Z772),ROW($T$12))&amp;":AA"&amp;(ROW()-1)))),1,0))=16),MIN(LOOKUP(,-1/($Z$12:Z773=1),$C$12:C773)+LOOKUP(,-1/($Z$12:Z773=1),$H$12:H773),Первоначальный[[#This Row],[Полученный платеж]]+Y772),
AND(S772=0,TYPE(VLOOKUP("Да",(INDIRECT("AA"&amp;(MAX((1=Z$12:Z772)*ROW(Z$12:Z772),ROW($T$12))&amp;":AA"&amp;(ROW()-1)))),1,0))&lt;&gt;16),MIN(LOOKUP(,-1/($Z$12:Z773=1),$C$12:C773)+LOOKUP(,-1/($Z$12:Z773=1),$H$12:H773)-IF(AA772="Да",0,SUM(INDIRECT("T"&amp;(MAX(("Да"=AA$12:AA772)*ROW(AA$12:AA772)+1,ROW($T$12))&amp;":T"&amp;(ROW()-1))))),Первоначальный[[#This Row],[Полученный платеж]]+Y772),
AND(S772=0,MAX((0&lt;&gt;N$12:N772)*ROW(N$12:N772),ROW($S$12))&gt;=MAX((1=Z$12:Z772)*ROW(Z$12:Z772),ROW($T$12))),MIN(LOOKUP(,-1/($Z$12:Z773=1),$C$12:C773)+LOOKUP(,-1/($Z$12:Z773=1),$H$12:H773)-IF(N772&lt;&gt;0,0,SUM(INDIRECT("T"&amp;(MAX((0&lt;&gt;N$12:N772)*ROW(N$12:N772)+1,ROW($T$12))&amp;":T"&amp;(ROW()-1))))),Первоначальный[[#This Row],[Полученный платеж]]+Y772),
AND(S772=0,Первоначальный[[#This Row],[Дата платежа из графика]]=1),MIN(LOOKUP(,-1/($Z$12:Z773=1),$C$12:C773)+LOOKUP(,-1/($Z$12:Z773=1),$H$12:H773)-IF(Z772=1,0,SUM(INDIRECT("T"&amp;(MAX((1=Z$12:Z772)*ROW(Z$12:Z772)+1,ROW($T$12))&amp;":T"&amp;(ROW()-1))))),Первоначальный[[#This Row],[Полученный платеж]]+Y772),
AND(Z772&gt;0,Первоначальный[[#This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платеж]]+Y772),
AND(S772&gt;0,MAX((0&lt;&gt;S$12:S772)*ROW(S$12:S772),ROW($S$12))&gt;=MAX((1=Z$12:Z772)*ROW(Z$12:Z772),ROW($T$12)),TYPE(VLOOKUP("Да",(INDIRECT("AA"&amp;(MAX((1=Z$12:Z772)*ROW(Z$12:Z772),ROW($T$12))&amp;":AA"&amp;(ROW()-1)))),1,0))=16),MIN(LOOKUP(,-1/($Z$12:Z773=1),$C$12:C773)+LOOKUP(,-1/($Z$12:Z773=1),$H$12:H773)-SUM(INDIRECT("T"&amp;(MAX((1=Z$12:Z772)*ROW(Z$12:Z772),ROW($T$12))&amp;":T"&amp;(ROW()-1)))),Первоначальный[[#This Row],[Полученный платеж]]+Y772),
S772&gt;0,MIN(LOOKUP(,-1/($Z$12:Z773=1),$C$12:C773)+LOOKUP(,-1/($Z$12:Z773=1),$H$12:H773)-IF(Z772=1,0,SUM(INDIRECT("T"&amp;(MAX((1=Z$12:Z772)*ROW(Z$12:Z772)+1,ROW($T$12))&amp;":T"&amp;(ROW()-1))))),Первоначальный[[#This Row],[Полученный платеж]]+Y772)
)
)
)</f>
        <v>0</v>
      </c>
      <c r="U77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платеж]]+Y772-Первоначальный[[#This Row],[Полученный платёж по процентам]])</f>
        <v>0</v>
      </c>
      <c r="V773" s="55">
        <f t="shared" ca="1" si="133"/>
        <v>0</v>
      </c>
      <c r="W773" s="55" cm="1">
        <f t="array" aca="1" ref="W773" ca="1">IF(Первоначальный[[#This Row],[Итого остаток на начало периода]]&lt;1,0,
_xlfn.IFS(
AND(TYPE(VLOOKUP(1,$Z$12:Z773,1,0))=16,Первоначальный[[#This Row],[Досрочное погашение (да/"")]]=""),0,
AND(S772=0,Первоначальный[[#This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платеж]]+Y772-SUM(Первоначальный[[#This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комиссиям]]),VLOOKUP(LOOKUP(,-1/($Z$12:Z773=1),$A$12:A773),График[[Срок конец]:[Возврат основной суммы долга]],3,0)),
AND(S772=0,Первоначальный[[#This Row],[Дата платежа из графика]]="",Первоначальный[[#This Row],[Досрочное погашение (да/"")]]&lt;&gt;"Да"),0,
AND(S772=0,Первоначальный[[#This Row],[Досрочное погашение (да/"")]]=""),MIN(Первоначальный[[#This Row],[Полученный платеж]]+Y772-SUM(Первоначальный[[#This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комиссиям]]),VLOOKUP(LOOKUP(,-1/($Z$12:Z773=1),$A$12:A773),График[[Срок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платеж]]+Y772-SUM(Первоначальный[[#This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S772&gt;0,MIN(Первоначальный[[#This Row],[Полученный платеж]]+Y772-SUM(Первоначальный[[#This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комиссиям]]),SUM(INDIRECT("M"&amp;(MAX((1=S$12:S772)*ROW(S$12:S772),ROW($W$12))&amp;":M"&amp;(ROW()))))-SUM(INDIRECT("W"&amp;(MAX((1=S$12:S772)*ROW(S$12:S772),ROW($W$12))&amp;":W"&amp;(ROW()-1)))))
)
)</f>
        <v>0</v>
      </c>
      <c r="X773" s="55">
        <f t="shared" ca="1" si="134"/>
        <v>0</v>
      </c>
      <c r="Y773" s="101">
        <f t="shared" ca="1" si="141"/>
        <v>0</v>
      </c>
      <c r="Z773" s="133">
        <f>IF(TYPE((VLOOKUP(Первоначальный[[#This Row],[Дата платежа]],График[Срок конец],1,0)))=16,"",1)</f>
        <v>1</v>
      </c>
      <c r="AA773" s="57"/>
      <c r="AB773" s="134"/>
      <c r="AC77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7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55018.200000000012</v>
      </c>
      <c r="AE77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1993.3999999999996</v>
      </c>
      <c r="AF77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7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111707.28869344266</v>
      </c>
      <c r="AH773" s="55"/>
      <c r="AI773" s="55"/>
      <c r="AJ773" s="55"/>
      <c r="AK773" s="101">
        <f t="shared" ca="1" si="142"/>
        <v>318352.22869344265</v>
      </c>
      <c r="AL773" s="129">
        <f t="array" ref="AL773">MAX((УслРестрактов[Характеристика]="Дата реструктуризации")*(УслРестрактов[Значение]=Первоначальный!$A773),0)</f>
        <v>0</v>
      </c>
    </row>
    <row r="774" spans="1:38" x14ac:dyDescent="0.25">
      <c r="A774" s="97">
        <f t="shared" si="135"/>
        <v>44905</v>
      </c>
      <c r="B774" s="100">
        <f t="shared" ca="1" si="136"/>
        <v>149633.34</v>
      </c>
      <c r="C774" s="55">
        <f t="shared" ca="1" si="144"/>
        <v>55018.200000000012</v>
      </c>
      <c r="D774" s="55">
        <f t="shared" ca="1" si="144"/>
        <v>1993.3999999999996</v>
      </c>
      <c r="E774" s="55">
        <f t="shared" ca="1" si="137"/>
        <v>0</v>
      </c>
      <c r="F774" s="55">
        <f t="shared" ca="1" si="138"/>
        <v>111707.28869344266</v>
      </c>
      <c r="G774" s="101">
        <f t="shared" ca="1" si="139"/>
        <v>318352.22869344265</v>
      </c>
      <c r="H774" s="100">
        <f ca="1">ROUND($B774*VLOOKUP($A774,$A$1:$B$10,2,1)/(365+IF(MOD(YEAR($A774),4),0,1)*($A774-$A773)),2)-Первоначальный[[#This Row],[Проценты на просроченный платеж по ОД за период]]</f>
        <v>75.25</v>
      </c>
      <c r="I774" s="55">
        <f t="shared" ca="1" si="140"/>
        <v>6.33</v>
      </c>
      <c r="J774" s="55">
        <v>0</v>
      </c>
      <c r="K774" s="55">
        <f t="shared" ca="1" si="143"/>
        <v>333.08850327868845</v>
      </c>
      <c r="L774" s="55">
        <v>0</v>
      </c>
      <c r="M774" s="113">
        <f>SUMIFS(График[Возврат основной суммы долга],График[Дата с учетом нерабочих дней],$A774)</f>
        <v>0</v>
      </c>
      <c r="N774" s="56">
        <f>SUMIFS(График[Возврат начисленных %],График[Дата с учетом нерабочих дней],$A774)</f>
        <v>0</v>
      </c>
      <c r="O774" s="101">
        <v>0</v>
      </c>
      <c r="P774" s="100" cm="1">
        <f t="array" aca="1" ref="P774" ca="1">MAX(IF(AA773="Да",0,SUM(INDIRECT("M"&amp;(MAX(("Да"=AA$12:AA773)*ROW(AA$12:AA773)+1,ROW($P$12))&amp;":M"&amp;(ROW()))))-SUM(INDIRECT("W"&amp;(MAX(("Да"=AA$12:AA773)*ROW(AA$12:AA773)+1,ROW($P$12))&amp;":W"&amp;(ROW()))))),0)</f>
        <v>11601.89</v>
      </c>
      <c r="Q774" s="99">
        <f ca="1">MAX(SUM($N$13:N774)-SUM($T$13:T774),0)</f>
        <v>55015.810655737689</v>
      </c>
      <c r="R774" s="99">
        <f ca="1">Первоначальный[[#This Row],[Просроченный платеж по ОД]]+Первоначальный[[#This Row],[Просроченный платеж по процентам]]</f>
        <v>66617.700655737688</v>
      </c>
      <c r="S774" s="120">
        <f ca="1">IF(Первоначальный[[#This Row],[Просроченный платеж]]&lt;1,0,S773+1)</f>
        <v>670</v>
      </c>
      <c r="T774" s="100" cm="1">
        <f t="array" aca="1" ref="T774" ca="1">IF(Первоначальный[[#This Row],[Итого остаток на начало периода]]&lt;1,0,
IF(
AND(TYPE(VLOOKUP(1,$Z$12:Z774,1,0))=16,Первоначальный[[#This Row],[Досрочное погашение (да/"")]]=""),0,
_xlfn.IFS(AND(S773=0,Первоначальный[[#This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платеж]]&lt;&gt;0),MIN(LOOKUP(,-1/($Z$12:Z774=1),$C$12:C774)+LOOKUP(,-1/($Z$12:Z774=1),$H$12:H774),Первоначальный[[#This Row],[Полученный платеж]]+Y773),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платеж]]+Y773,SUM(Первоначальный[[#This Row],[Остаток процентов на начало периода]],Первоначальный[[#This Row],[Проценты за период]])),
AND(S773=0,Первоначальный[[#This Row],[Дата платежа из графика]]=""),0,
AND(S773=0,Первоначальный[[#This Row],[Дата платежа из графика]]=1,MAX((0&lt;&gt;S$12:S773)*ROW(S$12:S773),ROW($S$12))&gt;=MAX((1=Z$12:Z773)*ROW(Z$12:Z773),ROW($T$12)),TYPE(VLOOKUP("Да",(INDIRECT("AA"&amp;(MAX((1=Z$12:Z773)*ROW(Z$12:Z773),ROW($T$12))&amp;":AA"&amp;(ROW()-1)))),1,0))=16),MIN(LOOKUP(,-1/($Z$12:Z774=1),$C$12:C774)+LOOKUP(,-1/($Z$12:Z774=1),$H$12:H774),Первоначальный[[#This Row],[Полученный платеж]]+Y773),
AND(S773=0,TYPE(VLOOKUP("Да",(INDIRECT("AA"&amp;(MAX((1=Z$12:Z773)*ROW(Z$12:Z773),ROW($T$12))&amp;":AA"&amp;(ROW()-1)))),1,0))&lt;&gt;16),MIN(LOOKUP(,-1/($Z$12:Z774=1),$C$12:C774)+LOOKUP(,-1/($Z$12:Z774=1),$H$12:H774)-IF(AA773="Да",0,SUM(INDIRECT("T"&amp;(MAX(("Да"=AA$12:AA773)*ROW(AA$12:AA773)+1,ROW($T$12))&amp;":T"&amp;(ROW()-1))))),Первоначальный[[#This Row],[Полученный платеж]]+Y773),
AND(S773=0,MAX((0&lt;&gt;N$12:N773)*ROW(N$12:N773),ROW($S$12))&gt;=MAX((1=Z$12:Z773)*ROW(Z$12:Z773),ROW($T$12))),MIN(LOOKUP(,-1/($Z$12:Z774=1),$C$12:C774)+LOOKUP(,-1/($Z$12:Z774=1),$H$12:H774)-IF(N773&lt;&gt;0,0,SUM(INDIRECT("T"&amp;(MAX((0&lt;&gt;N$12:N773)*ROW(N$12:N773)+1,ROW($T$12))&amp;":T"&amp;(ROW()-1))))),Первоначальный[[#This Row],[Полученный платеж]]+Y773),
AND(S773=0,Первоначальный[[#This Row],[Дата платежа из графика]]=1),MIN(LOOKUP(,-1/($Z$12:Z774=1),$C$12:C774)+LOOKUP(,-1/($Z$12:Z774=1),$H$12:H774)-IF(Z773=1,0,SUM(INDIRECT("T"&amp;(MAX((1=Z$12:Z773)*ROW(Z$12:Z773)+1,ROW($T$12))&amp;":T"&amp;(ROW()-1))))),Первоначальный[[#This Row],[Полученный платеж]]+Y773),
AND(Z773&gt;0,Первоначальный[[#This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платеж]]+Y773),
AND(S773&gt;0,MAX((0&lt;&gt;S$12:S773)*ROW(S$12:S773),ROW($S$12))&gt;=MAX((1=Z$12:Z773)*ROW(Z$12:Z773),ROW($T$12)),TYPE(VLOOKUP("Да",(INDIRECT("AA"&amp;(MAX((1=Z$12:Z773)*ROW(Z$12:Z773),ROW($T$12))&amp;":AA"&amp;(ROW()-1)))),1,0))=16),MIN(LOOKUP(,-1/($Z$12:Z774=1),$C$12:C774)+LOOKUP(,-1/($Z$12:Z774=1),$H$12:H774)-SUM(INDIRECT("T"&amp;(MAX((1=Z$12:Z773)*ROW(Z$12:Z773),ROW($T$12))&amp;":T"&amp;(ROW()-1)))),Первоначальный[[#This Row],[Полученный платеж]]+Y773),
S773&gt;0,MIN(LOOKUP(,-1/($Z$12:Z774=1),$C$12:C774)+LOOKUP(,-1/($Z$12:Z774=1),$H$12:H774)-IF(Z773=1,0,SUM(INDIRECT("T"&amp;(MAX((1=Z$12:Z773)*ROW(Z$12:Z773)+1,ROW($T$12))&amp;":T"&amp;(ROW()-1))))),Первоначальный[[#This Row],[Полученный платеж]]+Y773)
)
)
)</f>
        <v>0</v>
      </c>
      <c r="U77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платеж]]+Y773-Первоначальный[[#This Row],[Полученный платёж по процентам]])</f>
        <v>0</v>
      </c>
      <c r="V774" s="55">
        <f t="shared" ca="1" si="133"/>
        <v>0</v>
      </c>
      <c r="W774" s="55" cm="1">
        <f t="array" aca="1" ref="W774" ca="1">IF(Первоначальный[[#This Row],[Итого остаток на начало периода]]&lt;1,0,
_xlfn.IFS(
AND(TYPE(VLOOKUP(1,$Z$12:Z774,1,0))=16,Первоначальный[[#This Row],[Досрочное погашение (да/"")]]=""),0,
AND(S773=0,Первоначальный[[#This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платеж]]+Y773-SUM(Первоначальный[[#This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комиссиям]]),VLOOKUP(LOOKUP(,-1/($Z$12:Z774=1),$A$12:A774),График[[Срок конец]:[Возврат основной суммы долга]],3,0)),
AND(S773=0,Первоначальный[[#This Row],[Дата платежа из графика]]="",Первоначальный[[#This Row],[Досрочное погашение (да/"")]]&lt;&gt;"Да"),0,
AND(S773=0,Первоначальный[[#This Row],[Досрочное погашение (да/"")]]=""),MIN(Первоначальный[[#This Row],[Полученный платеж]]+Y773-SUM(Первоначальный[[#This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комиссиям]]),VLOOKUP(LOOKUP(,-1/($Z$12:Z774=1),$A$12:A774),График[[Срок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платеж]]+Y773-SUM(Первоначальный[[#This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S773&gt;0,MIN(Первоначальный[[#This Row],[Полученный платеж]]+Y773-SUM(Первоначальный[[#This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комиссиям]]),SUM(INDIRECT("M"&amp;(MAX((1=S$12:S773)*ROW(S$12:S773),ROW($W$12))&amp;":M"&amp;(ROW()))))-SUM(INDIRECT("W"&amp;(MAX((1=S$12:S773)*ROW(S$12:S773),ROW($W$12))&amp;":W"&amp;(ROW()-1)))))
)
)</f>
        <v>0</v>
      </c>
      <c r="X774" s="55">
        <f t="shared" ca="1" si="134"/>
        <v>0</v>
      </c>
      <c r="Y774" s="101">
        <f t="shared" ca="1" si="141"/>
        <v>0</v>
      </c>
      <c r="Z774" s="133" t="str">
        <f>IF(TYPE((VLOOKUP(Первоначальный[[#This Row],[Дата платежа]],График[Срок конец],1,0)))=16,"",1)</f>
        <v/>
      </c>
      <c r="AA774" s="57"/>
      <c r="AB774" s="134"/>
      <c r="AC77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7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55093.450000000012</v>
      </c>
      <c r="AE77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1999.7299999999996</v>
      </c>
      <c r="AF77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7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112040.37719672135</v>
      </c>
      <c r="AH774" s="55"/>
      <c r="AI774" s="55"/>
      <c r="AJ774" s="55"/>
      <c r="AK774" s="101">
        <f t="shared" ca="1" si="142"/>
        <v>318766.8971967214</v>
      </c>
      <c r="AL774" s="129">
        <f t="array" ref="AL774">MAX((УслРестрактов[Характеристика]="Дата реструктуризации")*(УслРестрактов[Значение]=Первоначальный!$A774),0)</f>
        <v>0</v>
      </c>
    </row>
    <row r="775" spans="1:38" x14ac:dyDescent="0.25">
      <c r="A775" s="97">
        <f t="shared" si="135"/>
        <v>44906</v>
      </c>
      <c r="B775" s="100">
        <f t="shared" ca="1" si="136"/>
        <v>149633.34</v>
      </c>
      <c r="C775" s="55">
        <f t="shared" ca="1" si="144"/>
        <v>55093.450000000012</v>
      </c>
      <c r="D775" s="55">
        <f t="shared" ca="1" si="144"/>
        <v>1999.7299999999996</v>
      </c>
      <c r="E775" s="55">
        <f t="shared" ca="1" si="137"/>
        <v>0</v>
      </c>
      <c r="F775" s="55">
        <f t="shared" ca="1" si="138"/>
        <v>112040.37719672135</v>
      </c>
      <c r="G775" s="101">
        <f t="shared" ca="1" si="139"/>
        <v>318766.8971967214</v>
      </c>
      <c r="H775" s="100">
        <f ca="1">ROUND($B775*VLOOKUP($A775,$A$1:$B$10,2,1)/(365+IF(MOD(YEAR($A775),4),0,1)*($A775-$A774)),2)-Первоначальный[[#This Row],[Проценты на просроченный платеж по ОД за период]]</f>
        <v>75.25</v>
      </c>
      <c r="I775" s="55">
        <f t="shared" ca="1" si="140"/>
        <v>6.33</v>
      </c>
      <c r="J775" s="55">
        <v>0</v>
      </c>
      <c r="K775" s="55">
        <f t="shared" ca="1" si="143"/>
        <v>333.08850327868845</v>
      </c>
      <c r="L775" s="55">
        <v>0</v>
      </c>
      <c r="M775" s="113">
        <f>SUMIFS(График[Возврат основной суммы долга],График[Дата с учетом нерабочих дней],$A775)</f>
        <v>0</v>
      </c>
      <c r="N775" s="56">
        <f>SUMIFS(График[Возврат начисленных %],График[Дата с учетом нерабочих дней],$A775)</f>
        <v>0</v>
      </c>
      <c r="O775" s="101">
        <v>0</v>
      </c>
      <c r="P775" s="100" cm="1">
        <f t="array" aca="1" ref="P775" ca="1">MAX(IF(AA774="Да",0,SUM(INDIRECT("M"&amp;(MAX(("Да"=AA$12:AA774)*ROW(AA$12:AA774)+1,ROW($P$12))&amp;":M"&amp;(ROW()))))-SUM(INDIRECT("W"&amp;(MAX(("Да"=AA$12:AA774)*ROW(AA$12:AA774)+1,ROW($P$12))&amp;":W"&amp;(ROW()))))),0)</f>
        <v>11601.89</v>
      </c>
      <c r="Q775" s="99">
        <f ca="1">MAX(SUM($N$13:N775)-SUM($T$13:T775),0)</f>
        <v>55015.810655737689</v>
      </c>
      <c r="R775" s="99">
        <f ca="1">Первоначальный[[#This Row],[Просроченный платеж по ОД]]+Первоначальный[[#This Row],[Просроченный платеж по процентам]]</f>
        <v>66617.700655737688</v>
      </c>
      <c r="S775" s="120">
        <f ca="1">IF(Первоначальный[[#This Row],[Просроченный платеж]]&lt;1,0,S774+1)</f>
        <v>671</v>
      </c>
      <c r="T775" s="100" cm="1">
        <f t="array" aca="1" ref="T775" ca="1">IF(Первоначальный[[#This Row],[Итого остаток на начало периода]]&lt;1,0,
IF(
AND(TYPE(VLOOKUP(1,$Z$12:Z775,1,0))=16,Первоначальный[[#This Row],[Досрочное погашение (да/"")]]=""),0,
_xlfn.IFS(AND(S774=0,Первоначальный[[#This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платеж]]&lt;&gt;0),MIN(LOOKUP(,-1/($Z$12:Z775=1),$C$12:C775)+LOOKUP(,-1/($Z$12:Z775=1),$H$12:H775),Первоначальный[[#This Row],[Полученный платеж]]+Y774),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платеж]]+Y774,SUM(Первоначальный[[#This Row],[Остаток процентов на начало периода]],Первоначальный[[#This Row],[Проценты за период]])),
AND(S774=0,Первоначальный[[#This Row],[Дата платежа из графика]]=""),0,
AND(S774=0,Первоначальный[[#This Row],[Дата платежа из графика]]=1,MAX((0&lt;&gt;S$12:S774)*ROW(S$12:S774),ROW($S$12))&gt;=MAX((1=Z$12:Z774)*ROW(Z$12:Z774),ROW($T$12)),TYPE(VLOOKUP("Да",(INDIRECT("AA"&amp;(MAX((1=Z$12:Z774)*ROW(Z$12:Z774),ROW($T$12))&amp;":AA"&amp;(ROW()-1)))),1,0))=16),MIN(LOOKUP(,-1/($Z$12:Z775=1),$C$12:C775)+LOOKUP(,-1/($Z$12:Z775=1),$H$12:H775),Первоначальный[[#This Row],[Полученный платеж]]+Y774),
AND(S774=0,TYPE(VLOOKUP("Да",(INDIRECT("AA"&amp;(MAX((1=Z$12:Z774)*ROW(Z$12:Z774),ROW($T$12))&amp;":AA"&amp;(ROW()-1)))),1,0))&lt;&gt;16),MIN(LOOKUP(,-1/($Z$12:Z775=1),$C$12:C775)+LOOKUP(,-1/($Z$12:Z775=1),$H$12:H775)-IF(AA774="Да",0,SUM(INDIRECT("T"&amp;(MAX(("Да"=AA$12:AA774)*ROW(AA$12:AA774)+1,ROW($T$12))&amp;":T"&amp;(ROW()-1))))),Первоначальный[[#This Row],[Полученный платеж]]+Y774),
AND(S774=0,MAX((0&lt;&gt;N$12:N774)*ROW(N$12:N774),ROW($S$12))&gt;=MAX((1=Z$12:Z774)*ROW(Z$12:Z774),ROW($T$12))),MIN(LOOKUP(,-1/($Z$12:Z775=1),$C$12:C775)+LOOKUP(,-1/($Z$12:Z775=1),$H$12:H775)-IF(N774&lt;&gt;0,0,SUM(INDIRECT("T"&amp;(MAX((0&lt;&gt;N$12:N774)*ROW(N$12:N774)+1,ROW($T$12))&amp;":T"&amp;(ROW()-1))))),Первоначальный[[#This Row],[Полученный платеж]]+Y774),
AND(S774=0,Первоначальный[[#This Row],[Дата платежа из графика]]=1),MIN(LOOKUP(,-1/($Z$12:Z775=1),$C$12:C775)+LOOKUP(,-1/($Z$12:Z775=1),$H$12:H775)-IF(Z774=1,0,SUM(INDIRECT("T"&amp;(MAX((1=Z$12:Z774)*ROW(Z$12:Z774)+1,ROW($T$12))&amp;":T"&amp;(ROW()-1))))),Первоначальный[[#This Row],[Полученный платеж]]+Y774),
AND(Z774&gt;0,Первоначальный[[#This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платеж]]+Y774),
AND(S774&gt;0,MAX((0&lt;&gt;S$12:S774)*ROW(S$12:S774),ROW($S$12))&gt;=MAX((1=Z$12:Z774)*ROW(Z$12:Z774),ROW($T$12)),TYPE(VLOOKUP("Да",(INDIRECT("AA"&amp;(MAX((1=Z$12:Z774)*ROW(Z$12:Z774),ROW($T$12))&amp;":AA"&amp;(ROW()-1)))),1,0))=16),MIN(LOOKUP(,-1/($Z$12:Z775=1),$C$12:C775)+LOOKUP(,-1/($Z$12:Z775=1),$H$12:H775)-SUM(INDIRECT("T"&amp;(MAX((1=Z$12:Z774)*ROW(Z$12:Z774),ROW($T$12))&amp;":T"&amp;(ROW()-1)))),Первоначальный[[#This Row],[Полученный платеж]]+Y774),
S774&gt;0,MIN(LOOKUP(,-1/($Z$12:Z775=1),$C$12:C775)+LOOKUP(,-1/($Z$12:Z775=1),$H$12:H775)-IF(Z774=1,0,SUM(INDIRECT("T"&amp;(MAX((1=Z$12:Z774)*ROW(Z$12:Z774)+1,ROW($T$12))&amp;":T"&amp;(ROW()-1))))),Первоначальный[[#This Row],[Полученный платеж]]+Y774)
)
)
)</f>
        <v>0</v>
      </c>
      <c r="U77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платеж]]+Y774-Первоначальный[[#This Row],[Полученный платёж по процентам]])</f>
        <v>0</v>
      </c>
      <c r="V775" s="55">
        <f t="shared" ca="1" si="133"/>
        <v>0</v>
      </c>
      <c r="W775" s="55" cm="1">
        <f t="array" aca="1" ref="W775" ca="1">IF(Первоначальный[[#This Row],[Итого остаток на начало периода]]&lt;1,0,
_xlfn.IFS(
AND(TYPE(VLOOKUP(1,$Z$12:Z775,1,0))=16,Первоначальный[[#This Row],[Досрочное погашение (да/"")]]=""),0,
AND(S774=0,Первоначальный[[#This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платеж]]+Y774-SUM(Первоначальный[[#This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комиссиям]]),VLOOKUP(LOOKUP(,-1/($Z$12:Z775=1),$A$12:A775),График[[Срок конец]:[Возврат основной суммы долга]],3,0)),
AND(S774=0,Первоначальный[[#This Row],[Дата платежа из графика]]="",Первоначальный[[#This Row],[Досрочное погашение (да/"")]]&lt;&gt;"Да"),0,
AND(S774=0,Первоначальный[[#This Row],[Досрочное погашение (да/"")]]=""),MIN(Первоначальный[[#This Row],[Полученный платеж]]+Y774-SUM(Первоначальный[[#This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комиссиям]]),VLOOKUP(LOOKUP(,-1/($Z$12:Z775=1),$A$12:A775),График[[Срок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платеж]]+Y774-SUM(Первоначальный[[#This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S774&gt;0,MIN(Первоначальный[[#This Row],[Полученный платеж]]+Y774-SUM(Первоначальный[[#This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комиссиям]]),SUM(INDIRECT("M"&amp;(MAX((1=S$12:S774)*ROW(S$12:S774),ROW($W$12))&amp;":M"&amp;(ROW()))))-SUM(INDIRECT("W"&amp;(MAX((1=S$12:S774)*ROW(S$12:S774),ROW($W$12))&amp;":W"&amp;(ROW()-1)))))
)
)</f>
        <v>0</v>
      </c>
      <c r="X775" s="55">
        <f t="shared" ca="1" si="134"/>
        <v>0</v>
      </c>
      <c r="Y775" s="101">
        <f t="shared" ca="1" si="141"/>
        <v>0</v>
      </c>
      <c r="Z775" s="133" t="str">
        <f>IF(TYPE((VLOOKUP(Первоначальный[[#This Row],[Дата платежа]],График[Срок конец],1,0)))=16,"",1)</f>
        <v/>
      </c>
      <c r="AA775" s="57"/>
      <c r="AB775" s="134"/>
      <c r="AC77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7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55168.700000000012</v>
      </c>
      <c r="AE77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2006.0599999999995</v>
      </c>
      <c r="AF77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7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112373.46570000004</v>
      </c>
      <c r="AH775" s="55"/>
      <c r="AI775" s="55"/>
      <c r="AJ775" s="55"/>
      <c r="AK775" s="101">
        <f t="shared" ca="1" si="142"/>
        <v>319181.56570000004</v>
      </c>
      <c r="AL775" s="129">
        <f t="array" ref="AL775">MAX((УслРестрактов[Характеристика]="Дата реструктуризации")*(УслРестрактов[Значение]=Первоначальный!$A775),0)</f>
        <v>0</v>
      </c>
    </row>
    <row r="776" spans="1:38" x14ac:dyDescent="0.25">
      <c r="A776" s="97">
        <f t="shared" si="135"/>
        <v>44907</v>
      </c>
      <c r="B776" s="100">
        <f t="shared" ca="1" si="136"/>
        <v>149633.34</v>
      </c>
      <c r="C776" s="55">
        <f t="shared" ca="1" si="144"/>
        <v>55168.700000000012</v>
      </c>
      <c r="D776" s="55">
        <f t="shared" ca="1" si="144"/>
        <v>2006.0599999999995</v>
      </c>
      <c r="E776" s="55">
        <f t="shared" ca="1" si="137"/>
        <v>0</v>
      </c>
      <c r="F776" s="55">
        <f t="shared" ca="1" si="138"/>
        <v>112373.46570000004</v>
      </c>
      <c r="G776" s="101">
        <f t="shared" ca="1" si="139"/>
        <v>319181.56570000004</v>
      </c>
      <c r="H776" s="100">
        <f ca="1">ROUND($B776*VLOOKUP($A776,$A$1:$B$10,2,1)/(365+IF(MOD(YEAR($A776),4),0,1)*($A776-$A775)),2)-Первоначальный[[#This Row],[Проценты на просроченный платеж по ОД за период]]</f>
        <v>75.25</v>
      </c>
      <c r="I776" s="55">
        <f t="shared" ca="1" si="140"/>
        <v>6.33</v>
      </c>
      <c r="J776" s="55">
        <v>0</v>
      </c>
      <c r="K776" s="55">
        <f t="shared" ca="1" si="143"/>
        <v>333.08850327868845</v>
      </c>
      <c r="L776" s="55">
        <v>0</v>
      </c>
      <c r="M776" s="113">
        <f>SUMIFS(График[Возврат основной суммы долга],График[Дата с учетом нерабочих дней],$A776)</f>
        <v>0</v>
      </c>
      <c r="N776" s="56">
        <f>SUMIFS(График[Возврат начисленных %],График[Дата с учетом нерабочих дней],$A776)</f>
        <v>0</v>
      </c>
      <c r="O776" s="101">
        <v>0</v>
      </c>
      <c r="P776" s="100" cm="1">
        <f t="array" aca="1" ref="P776" ca="1">MAX(IF(AA775="Да",0,SUM(INDIRECT("M"&amp;(MAX(("Да"=AA$12:AA775)*ROW(AA$12:AA775)+1,ROW($P$12))&amp;":M"&amp;(ROW()))))-SUM(INDIRECT("W"&amp;(MAX(("Да"=AA$12:AA775)*ROW(AA$12:AA775)+1,ROW($P$12))&amp;":W"&amp;(ROW()))))),0)</f>
        <v>11601.89</v>
      </c>
      <c r="Q776" s="99">
        <f ca="1">MAX(SUM($N$13:N776)-SUM($T$13:T776),0)</f>
        <v>55015.810655737689</v>
      </c>
      <c r="R776" s="99">
        <f ca="1">Первоначальный[[#This Row],[Просроченный платеж по ОД]]+Первоначальный[[#This Row],[Просроченный платеж по процентам]]</f>
        <v>66617.700655737688</v>
      </c>
      <c r="S776" s="120">
        <f ca="1">IF(Первоначальный[[#This Row],[Просроченный платеж]]&lt;1,0,S775+1)</f>
        <v>672</v>
      </c>
      <c r="T776" s="100" cm="1">
        <f t="array" aca="1" ref="T776" ca="1">IF(Первоначальный[[#This Row],[Итого остаток на начало периода]]&lt;1,0,
IF(
AND(TYPE(VLOOKUP(1,$Z$12:Z776,1,0))=16,Первоначальный[[#This Row],[Досрочное погашение (да/"")]]=""),0,
_xlfn.IFS(AND(S775=0,Первоначальный[[#This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платеж]]&lt;&gt;0),MIN(LOOKUP(,-1/($Z$12:Z776=1),$C$12:C776)+LOOKUP(,-1/($Z$12:Z776=1),$H$12:H776),Первоначальный[[#This Row],[Полученный платеж]]+Y775),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платеж]]+Y775,SUM(Первоначальный[[#This Row],[Остаток процентов на начало периода]],Первоначальный[[#This Row],[Проценты за период]])),
AND(S775=0,Первоначальный[[#This Row],[Дата платежа из графика]]=""),0,
AND(S775=0,Первоначальный[[#This Row],[Дата платежа из графика]]=1,MAX((0&lt;&gt;S$12:S775)*ROW(S$12:S775),ROW($S$12))&gt;=MAX((1=Z$12:Z775)*ROW(Z$12:Z775),ROW($T$12)),TYPE(VLOOKUP("Да",(INDIRECT("AA"&amp;(MAX((1=Z$12:Z775)*ROW(Z$12:Z775),ROW($T$12))&amp;":AA"&amp;(ROW()-1)))),1,0))=16),MIN(LOOKUP(,-1/($Z$12:Z776=1),$C$12:C776)+LOOKUP(,-1/($Z$12:Z776=1),$H$12:H776),Первоначальный[[#This Row],[Полученный платеж]]+Y775),
AND(S775=0,TYPE(VLOOKUP("Да",(INDIRECT("AA"&amp;(MAX((1=Z$12:Z775)*ROW(Z$12:Z775),ROW($T$12))&amp;":AA"&amp;(ROW()-1)))),1,0))&lt;&gt;16),MIN(LOOKUP(,-1/($Z$12:Z776=1),$C$12:C776)+LOOKUP(,-1/($Z$12:Z776=1),$H$12:H776)-IF(AA775="Да",0,SUM(INDIRECT("T"&amp;(MAX(("Да"=AA$12:AA775)*ROW(AA$12:AA775)+1,ROW($T$12))&amp;":T"&amp;(ROW()-1))))),Первоначальный[[#This Row],[Полученный платеж]]+Y775),
AND(S775=0,MAX((0&lt;&gt;N$12:N775)*ROW(N$12:N775),ROW($S$12))&gt;=MAX((1=Z$12:Z775)*ROW(Z$12:Z775),ROW($T$12))),MIN(LOOKUP(,-1/($Z$12:Z776=1),$C$12:C776)+LOOKUP(,-1/($Z$12:Z776=1),$H$12:H776)-IF(N775&lt;&gt;0,0,SUM(INDIRECT("T"&amp;(MAX((0&lt;&gt;N$12:N775)*ROW(N$12:N775)+1,ROW($T$12))&amp;":T"&amp;(ROW()-1))))),Первоначальный[[#This Row],[Полученный платеж]]+Y775),
AND(S775=0,Первоначальный[[#This Row],[Дата платежа из графика]]=1),MIN(LOOKUP(,-1/($Z$12:Z776=1),$C$12:C776)+LOOKUP(,-1/($Z$12:Z776=1),$H$12:H776)-IF(Z775=1,0,SUM(INDIRECT("T"&amp;(MAX((1=Z$12:Z775)*ROW(Z$12:Z775)+1,ROW($T$12))&amp;":T"&amp;(ROW()-1))))),Первоначальный[[#This Row],[Полученный платеж]]+Y775),
AND(Z775&gt;0,Первоначальный[[#This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платеж]]+Y775),
AND(S775&gt;0,MAX((0&lt;&gt;S$12:S775)*ROW(S$12:S775),ROW($S$12))&gt;=MAX((1=Z$12:Z775)*ROW(Z$12:Z775),ROW($T$12)),TYPE(VLOOKUP("Да",(INDIRECT("AA"&amp;(MAX((1=Z$12:Z775)*ROW(Z$12:Z775),ROW($T$12))&amp;":AA"&amp;(ROW()-1)))),1,0))=16),MIN(LOOKUP(,-1/($Z$12:Z776=1),$C$12:C776)+LOOKUP(,-1/($Z$12:Z776=1),$H$12:H776)-SUM(INDIRECT("T"&amp;(MAX((1=Z$12:Z775)*ROW(Z$12:Z775),ROW($T$12))&amp;":T"&amp;(ROW()-1)))),Первоначальный[[#This Row],[Полученный платеж]]+Y775),
S775&gt;0,MIN(LOOKUP(,-1/($Z$12:Z776=1),$C$12:C776)+LOOKUP(,-1/($Z$12:Z776=1),$H$12:H776)-IF(Z775=1,0,SUM(INDIRECT("T"&amp;(MAX((1=Z$12:Z775)*ROW(Z$12:Z775)+1,ROW($T$12))&amp;":T"&amp;(ROW()-1))))),Первоначальный[[#This Row],[Полученный платеж]]+Y775)
)
)
)</f>
        <v>0</v>
      </c>
      <c r="U77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платеж]]+Y775-Первоначальный[[#This Row],[Полученный платёж по процентам]])</f>
        <v>0</v>
      </c>
      <c r="V776" s="55">
        <f t="shared" ca="1" si="133"/>
        <v>0</v>
      </c>
      <c r="W776" s="55" cm="1">
        <f t="array" aca="1" ref="W776" ca="1">IF(Первоначальный[[#This Row],[Итого остаток на начало периода]]&lt;1,0,
_xlfn.IFS(
AND(TYPE(VLOOKUP(1,$Z$12:Z776,1,0))=16,Первоначальный[[#This Row],[Досрочное погашение (да/"")]]=""),0,
AND(S775=0,Первоначальный[[#This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платеж]]+Y775-SUM(Первоначальный[[#This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комиссиям]]),VLOOKUP(LOOKUP(,-1/($Z$12:Z776=1),$A$12:A776),График[[Срок конец]:[Возврат основной суммы долга]],3,0)),
AND(S775=0,Первоначальный[[#This Row],[Дата платежа из графика]]="",Первоначальный[[#This Row],[Досрочное погашение (да/"")]]&lt;&gt;"Да"),0,
AND(S775=0,Первоначальный[[#This Row],[Досрочное погашение (да/"")]]=""),MIN(Первоначальный[[#This Row],[Полученный платеж]]+Y775-SUM(Первоначальный[[#This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комиссиям]]),VLOOKUP(LOOKUP(,-1/($Z$12:Z776=1),$A$12:A776),График[[Срок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платеж]]+Y775-SUM(Первоначальный[[#This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S775&gt;0,MIN(Первоначальный[[#This Row],[Полученный платеж]]+Y775-SUM(Первоначальный[[#This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комиссиям]]),SUM(INDIRECT("M"&amp;(MAX((1=S$12:S775)*ROW(S$12:S775),ROW($W$12))&amp;":M"&amp;(ROW()))))-SUM(INDIRECT("W"&amp;(MAX((1=S$12:S775)*ROW(S$12:S775),ROW($W$12))&amp;":W"&amp;(ROW()-1)))))
)
)</f>
        <v>0</v>
      </c>
      <c r="X776" s="55">
        <f t="shared" ca="1" si="134"/>
        <v>0</v>
      </c>
      <c r="Y776" s="101">
        <f t="shared" ca="1" si="141"/>
        <v>0</v>
      </c>
      <c r="Z776" s="133" t="str">
        <f>IF(TYPE((VLOOKUP(Первоначальный[[#This Row],[Дата платежа]],График[Срок конец],1,0)))=16,"",1)</f>
        <v/>
      </c>
      <c r="AA776" s="57"/>
      <c r="AB776" s="134"/>
      <c r="AC77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7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55243.950000000012</v>
      </c>
      <c r="AE77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2012.3899999999994</v>
      </c>
      <c r="AF77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7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112706.55420327873</v>
      </c>
      <c r="AH776" s="55"/>
      <c r="AI776" s="55"/>
      <c r="AJ776" s="55"/>
      <c r="AK776" s="101">
        <f t="shared" ca="1" si="142"/>
        <v>319596.23420327873</v>
      </c>
      <c r="AL776" s="129">
        <f t="array" ref="AL776">MAX((УслРестрактов[Характеристика]="Дата реструктуризации")*(УслРестрактов[Значение]=Первоначальный!$A776),0)</f>
        <v>0</v>
      </c>
    </row>
    <row r="777" spans="1:38" x14ac:dyDescent="0.25">
      <c r="A777" s="97">
        <f t="shared" si="135"/>
        <v>44908</v>
      </c>
      <c r="B777" s="100">
        <f t="shared" ca="1" si="136"/>
        <v>149633.34</v>
      </c>
      <c r="C777" s="55">
        <f t="shared" ca="1" si="144"/>
        <v>55243.950000000012</v>
      </c>
      <c r="D777" s="55">
        <f t="shared" ca="1" si="144"/>
        <v>2012.3899999999994</v>
      </c>
      <c r="E777" s="55">
        <f t="shared" ca="1" si="137"/>
        <v>0</v>
      </c>
      <c r="F777" s="55">
        <f t="shared" ca="1" si="138"/>
        <v>112706.55420327873</v>
      </c>
      <c r="G777" s="101">
        <f t="shared" ca="1" si="139"/>
        <v>319596.23420327873</v>
      </c>
      <c r="H777" s="100">
        <f ca="1">ROUND($B777*VLOOKUP($A777,$A$1:$B$10,2,1)/(365+IF(MOD(YEAR($A777),4),0,1)*($A777-$A776)),2)-Первоначальный[[#This Row],[Проценты на просроченный платеж по ОД за период]]</f>
        <v>75.25</v>
      </c>
      <c r="I777" s="55">
        <f t="shared" ca="1" si="140"/>
        <v>6.33</v>
      </c>
      <c r="J777" s="55">
        <v>0</v>
      </c>
      <c r="K777" s="55">
        <f t="shared" ca="1" si="143"/>
        <v>333.08850327868845</v>
      </c>
      <c r="L777" s="55">
        <v>0</v>
      </c>
      <c r="M777" s="113">
        <f>SUMIFS(График[Возврат основной суммы долга],График[Дата с учетом нерабочих дней],$A777)</f>
        <v>0</v>
      </c>
      <c r="N777" s="56">
        <f>SUMIFS(График[Возврат начисленных %],График[Дата с учетом нерабочих дней],$A777)</f>
        <v>0</v>
      </c>
      <c r="O777" s="101">
        <v>0</v>
      </c>
      <c r="P777" s="100" cm="1">
        <f t="array" aca="1" ref="P777" ca="1">MAX(IF(AA776="Да",0,SUM(INDIRECT("M"&amp;(MAX(("Да"=AA$12:AA776)*ROW(AA$12:AA776)+1,ROW($P$12))&amp;":M"&amp;(ROW()))))-SUM(INDIRECT("W"&amp;(MAX(("Да"=AA$12:AA776)*ROW(AA$12:AA776)+1,ROW($P$12))&amp;":W"&amp;(ROW()))))),0)</f>
        <v>11601.89</v>
      </c>
      <c r="Q777" s="99">
        <f ca="1">MAX(SUM($N$13:N777)-SUM($T$13:T777),0)</f>
        <v>55015.810655737689</v>
      </c>
      <c r="R777" s="99">
        <f ca="1">Первоначальный[[#This Row],[Просроченный платеж по ОД]]+Первоначальный[[#This Row],[Просроченный платеж по процентам]]</f>
        <v>66617.700655737688</v>
      </c>
      <c r="S777" s="120">
        <f ca="1">IF(Первоначальный[[#This Row],[Просроченный платеж]]&lt;1,0,S776+1)</f>
        <v>673</v>
      </c>
      <c r="T777" s="100" cm="1">
        <f t="array" aca="1" ref="T777" ca="1">IF(Первоначальный[[#This Row],[Итого остаток на начало периода]]&lt;1,0,
IF(
AND(TYPE(VLOOKUP(1,$Z$12:Z777,1,0))=16,Первоначальный[[#This Row],[Досрочное погашение (да/"")]]=""),0,
_xlfn.IFS(AND(S776=0,Первоначальный[[#This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платеж]]&lt;&gt;0),MIN(LOOKUP(,-1/($Z$12:Z777=1),$C$12:C777)+LOOKUP(,-1/($Z$12:Z777=1),$H$12:H777),Первоначальный[[#This Row],[Полученный платеж]]+Y776),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платеж]]+Y776,SUM(Первоначальный[[#This Row],[Остаток процентов на начало периода]],Первоначальный[[#This Row],[Проценты за период]])),
AND(S776=0,Первоначальный[[#This Row],[Дата платежа из графика]]=""),0,
AND(S776=0,Первоначальный[[#This Row],[Дата платежа из графика]]=1,MAX((0&lt;&gt;S$12:S776)*ROW(S$12:S776),ROW($S$12))&gt;=MAX((1=Z$12:Z776)*ROW(Z$12:Z776),ROW($T$12)),TYPE(VLOOKUP("Да",(INDIRECT("AA"&amp;(MAX((1=Z$12:Z776)*ROW(Z$12:Z776),ROW($T$12))&amp;":AA"&amp;(ROW()-1)))),1,0))=16),MIN(LOOKUP(,-1/($Z$12:Z777=1),$C$12:C777)+LOOKUP(,-1/($Z$12:Z777=1),$H$12:H777),Первоначальный[[#This Row],[Полученный платеж]]+Y776),
AND(S776=0,TYPE(VLOOKUP("Да",(INDIRECT("AA"&amp;(MAX((1=Z$12:Z776)*ROW(Z$12:Z776),ROW($T$12))&amp;":AA"&amp;(ROW()-1)))),1,0))&lt;&gt;16),MIN(LOOKUP(,-1/($Z$12:Z777=1),$C$12:C777)+LOOKUP(,-1/($Z$12:Z777=1),$H$12:H777)-IF(AA776="Да",0,SUM(INDIRECT("T"&amp;(MAX(("Да"=AA$12:AA776)*ROW(AA$12:AA776)+1,ROW($T$12))&amp;":T"&amp;(ROW()-1))))),Первоначальный[[#This Row],[Полученный платеж]]+Y776),
AND(S776=0,MAX((0&lt;&gt;N$12:N776)*ROW(N$12:N776),ROW($S$12))&gt;=MAX((1=Z$12:Z776)*ROW(Z$12:Z776),ROW($T$12))),MIN(LOOKUP(,-1/($Z$12:Z777=1),$C$12:C777)+LOOKUP(,-1/($Z$12:Z777=1),$H$12:H777)-IF(N776&lt;&gt;0,0,SUM(INDIRECT("T"&amp;(MAX((0&lt;&gt;N$12:N776)*ROW(N$12:N776)+1,ROW($T$12))&amp;":T"&amp;(ROW()-1))))),Первоначальный[[#This Row],[Полученный платеж]]+Y776),
AND(S776=0,Первоначальный[[#This Row],[Дата платежа из графика]]=1),MIN(LOOKUP(,-1/($Z$12:Z777=1),$C$12:C777)+LOOKUP(,-1/($Z$12:Z777=1),$H$12:H777)-IF(Z776=1,0,SUM(INDIRECT("T"&amp;(MAX((1=Z$12:Z776)*ROW(Z$12:Z776)+1,ROW($T$12))&amp;":T"&amp;(ROW()-1))))),Первоначальный[[#This Row],[Полученный платеж]]+Y776),
AND(Z776&gt;0,Первоначальный[[#This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платеж]]+Y776),
AND(S776&gt;0,MAX((0&lt;&gt;S$12:S776)*ROW(S$12:S776),ROW($S$12))&gt;=MAX((1=Z$12:Z776)*ROW(Z$12:Z776),ROW($T$12)),TYPE(VLOOKUP("Да",(INDIRECT("AA"&amp;(MAX((1=Z$12:Z776)*ROW(Z$12:Z776),ROW($T$12))&amp;":AA"&amp;(ROW()-1)))),1,0))=16),MIN(LOOKUP(,-1/($Z$12:Z777=1),$C$12:C777)+LOOKUP(,-1/($Z$12:Z777=1),$H$12:H777)-SUM(INDIRECT("T"&amp;(MAX((1=Z$12:Z776)*ROW(Z$12:Z776),ROW($T$12))&amp;":T"&amp;(ROW()-1)))),Первоначальный[[#This Row],[Полученный платеж]]+Y776),
S776&gt;0,MIN(LOOKUP(,-1/($Z$12:Z777=1),$C$12:C777)+LOOKUP(,-1/($Z$12:Z777=1),$H$12:H777)-IF(Z776=1,0,SUM(INDIRECT("T"&amp;(MAX((1=Z$12:Z776)*ROW(Z$12:Z776)+1,ROW($T$12))&amp;":T"&amp;(ROW()-1))))),Первоначальный[[#This Row],[Полученный платеж]]+Y776)
)
)
)</f>
        <v>0</v>
      </c>
      <c r="U77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платеж]]+Y776-Первоначальный[[#This Row],[Полученный платёж по процентам]])</f>
        <v>0</v>
      </c>
      <c r="V777" s="55">
        <f t="shared" ca="1" si="133"/>
        <v>0</v>
      </c>
      <c r="W777" s="55" cm="1">
        <f t="array" aca="1" ref="W777" ca="1">IF(Первоначальный[[#This Row],[Итого остаток на начало периода]]&lt;1,0,
_xlfn.IFS(
AND(TYPE(VLOOKUP(1,$Z$12:Z777,1,0))=16,Первоначальный[[#This Row],[Досрочное погашение (да/"")]]=""),0,
AND(S776=0,Первоначальный[[#This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платеж]]+Y776-SUM(Первоначальный[[#This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комиссиям]]),VLOOKUP(LOOKUP(,-1/($Z$12:Z777=1),$A$12:A777),График[[Срок конец]:[Возврат основной суммы долга]],3,0)),
AND(S776=0,Первоначальный[[#This Row],[Дата платежа из графика]]="",Первоначальный[[#This Row],[Досрочное погашение (да/"")]]&lt;&gt;"Да"),0,
AND(S776=0,Первоначальный[[#This Row],[Досрочное погашение (да/"")]]=""),MIN(Первоначальный[[#This Row],[Полученный платеж]]+Y776-SUM(Первоначальный[[#This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комиссиям]]),VLOOKUP(LOOKUP(,-1/($Z$12:Z777=1),$A$12:A777),График[[Срок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платеж]]+Y776-SUM(Первоначальный[[#This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S776&gt;0,MIN(Первоначальный[[#This Row],[Полученный платеж]]+Y776-SUM(Первоначальный[[#This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комиссиям]]),SUM(INDIRECT("M"&amp;(MAX((1=S$12:S776)*ROW(S$12:S776),ROW($W$12))&amp;":M"&amp;(ROW()))))-SUM(INDIRECT("W"&amp;(MAX((1=S$12:S776)*ROW(S$12:S776),ROW($W$12))&amp;":W"&amp;(ROW()-1)))))
)
)</f>
        <v>0</v>
      </c>
      <c r="X777" s="55">
        <f t="shared" ca="1" si="134"/>
        <v>0</v>
      </c>
      <c r="Y777" s="101">
        <f t="shared" ca="1" si="141"/>
        <v>0</v>
      </c>
      <c r="Z777" s="133" t="str">
        <f>IF(TYPE((VLOOKUP(Первоначальный[[#This Row],[Дата платежа]],График[Срок конец],1,0)))=16,"",1)</f>
        <v/>
      </c>
      <c r="AA777" s="57"/>
      <c r="AB777" s="134"/>
      <c r="AC77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7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55319.200000000012</v>
      </c>
      <c r="AE77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2018.7199999999993</v>
      </c>
      <c r="AF77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7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113039.64270655742</v>
      </c>
      <c r="AH777" s="55"/>
      <c r="AI777" s="55"/>
      <c r="AJ777" s="55"/>
      <c r="AK777" s="101">
        <f t="shared" ca="1" si="142"/>
        <v>320010.90270655742</v>
      </c>
      <c r="AL777" s="129">
        <f t="array" ref="AL777">MAX((УслРестрактов[Характеристика]="Дата реструктуризации")*(УслРестрактов[Значение]=Первоначальный!$A777),0)</f>
        <v>0</v>
      </c>
    </row>
    <row r="778" spans="1:38" x14ac:dyDescent="0.25">
      <c r="A778" s="97">
        <f t="shared" si="135"/>
        <v>44909</v>
      </c>
      <c r="B778" s="100">
        <f t="shared" ca="1" si="136"/>
        <v>149633.34</v>
      </c>
      <c r="C778" s="55">
        <f t="shared" ca="1" si="144"/>
        <v>55319.200000000012</v>
      </c>
      <c r="D778" s="55">
        <f t="shared" ca="1" si="144"/>
        <v>2018.7199999999993</v>
      </c>
      <c r="E778" s="55">
        <f t="shared" ca="1" si="137"/>
        <v>0</v>
      </c>
      <c r="F778" s="55">
        <f t="shared" ca="1" si="138"/>
        <v>113039.64270655742</v>
      </c>
      <c r="G778" s="101">
        <f t="shared" ca="1" si="139"/>
        <v>320010.90270655742</v>
      </c>
      <c r="H778" s="100">
        <f ca="1">ROUND($B778*VLOOKUP($A778,$A$1:$B$10,2,1)/(365+IF(MOD(YEAR($A778),4),0,1)*($A778-$A777)),2)-Первоначальный[[#This Row],[Проценты на просроченный платеж по ОД за период]]</f>
        <v>75.25</v>
      </c>
      <c r="I778" s="55">
        <f t="shared" ca="1" si="140"/>
        <v>6.33</v>
      </c>
      <c r="J778" s="55">
        <v>0</v>
      </c>
      <c r="K778" s="55">
        <f t="shared" ca="1" si="143"/>
        <v>333.08850327868845</v>
      </c>
      <c r="L778" s="55">
        <v>0</v>
      </c>
      <c r="M778" s="113">
        <f>SUMIFS(График[Возврат основной суммы долга],График[Дата с учетом нерабочих дней],$A778)</f>
        <v>0</v>
      </c>
      <c r="N778" s="56">
        <f>SUMIFS(График[Возврат начисленных %],График[Дата с учетом нерабочих дней],$A778)</f>
        <v>0</v>
      </c>
      <c r="O778" s="101">
        <v>0</v>
      </c>
      <c r="P778" s="100" cm="1">
        <f t="array" aca="1" ref="P778" ca="1">MAX(IF(AA777="Да",0,SUM(INDIRECT("M"&amp;(MAX(("Да"=AA$12:AA777)*ROW(AA$12:AA777)+1,ROW($P$12))&amp;":M"&amp;(ROW()))))-SUM(INDIRECT("W"&amp;(MAX(("Да"=AA$12:AA777)*ROW(AA$12:AA777)+1,ROW($P$12))&amp;":W"&amp;(ROW()))))),0)</f>
        <v>11601.89</v>
      </c>
      <c r="Q778" s="99">
        <f ca="1">MAX(SUM($N$13:N778)-SUM($T$13:T778),0)</f>
        <v>55015.810655737689</v>
      </c>
      <c r="R778" s="99">
        <f ca="1">Первоначальный[[#This Row],[Просроченный платеж по ОД]]+Первоначальный[[#This Row],[Просроченный платеж по процентам]]</f>
        <v>66617.700655737688</v>
      </c>
      <c r="S778" s="120">
        <f ca="1">IF(Первоначальный[[#This Row],[Просроченный платеж]]&lt;1,0,S777+1)</f>
        <v>674</v>
      </c>
      <c r="T778" s="100" cm="1">
        <f t="array" aca="1" ref="T778" ca="1">IF(Первоначальный[[#This Row],[Итого остаток на начало периода]]&lt;1,0,
IF(
AND(TYPE(VLOOKUP(1,$Z$12:Z778,1,0))=16,Первоначальный[[#This Row],[Досрочное погашение (да/"")]]=""),0,
_xlfn.IFS(AND(S777=0,Первоначальный[[#This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платеж]]&lt;&gt;0),MIN(LOOKUP(,-1/($Z$12:Z778=1),$C$12:C778)+LOOKUP(,-1/($Z$12:Z778=1),$H$12:H778),Первоначальный[[#This Row],[Полученный платеж]]+Y777),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платеж]]+Y777,SUM(Первоначальный[[#This Row],[Остаток процентов на начало периода]],Первоначальный[[#This Row],[Проценты за период]])),
AND(S777=0,Первоначальный[[#This Row],[Дата платежа из графика]]=""),0,
AND(S777=0,Первоначальный[[#This Row],[Дата платежа из графика]]=1,MAX((0&lt;&gt;S$12:S777)*ROW(S$12:S777),ROW($S$12))&gt;=MAX((1=Z$12:Z777)*ROW(Z$12:Z777),ROW($T$12)),TYPE(VLOOKUP("Да",(INDIRECT("AA"&amp;(MAX((1=Z$12:Z777)*ROW(Z$12:Z777),ROW($T$12))&amp;":AA"&amp;(ROW()-1)))),1,0))=16),MIN(LOOKUP(,-1/($Z$12:Z778=1),$C$12:C778)+LOOKUP(,-1/($Z$12:Z778=1),$H$12:H778),Первоначальный[[#This Row],[Полученный платеж]]+Y777),
AND(S777=0,TYPE(VLOOKUP("Да",(INDIRECT("AA"&amp;(MAX((1=Z$12:Z777)*ROW(Z$12:Z777),ROW($T$12))&amp;":AA"&amp;(ROW()-1)))),1,0))&lt;&gt;16),MIN(LOOKUP(,-1/($Z$12:Z778=1),$C$12:C778)+LOOKUP(,-1/($Z$12:Z778=1),$H$12:H778)-IF(AA777="Да",0,SUM(INDIRECT("T"&amp;(MAX(("Да"=AA$12:AA777)*ROW(AA$12:AA777)+1,ROW($T$12))&amp;":T"&amp;(ROW()-1))))),Первоначальный[[#This Row],[Полученный платеж]]+Y777),
AND(S777=0,MAX((0&lt;&gt;N$12:N777)*ROW(N$12:N777),ROW($S$12))&gt;=MAX((1=Z$12:Z777)*ROW(Z$12:Z777),ROW($T$12))),MIN(LOOKUP(,-1/($Z$12:Z778=1),$C$12:C778)+LOOKUP(,-1/($Z$12:Z778=1),$H$12:H778)-IF(N777&lt;&gt;0,0,SUM(INDIRECT("T"&amp;(MAX((0&lt;&gt;N$12:N777)*ROW(N$12:N777)+1,ROW($T$12))&amp;":T"&amp;(ROW()-1))))),Первоначальный[[#This Row],[Полученный платеж]]+Y777),
AND(S777=0,Первоначальный[[#This Row],[Дата платежа из графика]]=1),MIN(LOOKUP(,-1/($Z$12:Z778=1),$C$12:C778)+LOOKUP(,-1/($Z$12:Z778=1),$H$12:H778)-IF(Z777=1,0,SUM(INDIRECT("T"&amp;(MAX((1=Z$12:Z777)*ROW(Z$12:Z777)+1,ROW($T$12))&amp;":T"&amp;(ROW()-1))))),Первоначальный[[#This Row],[Полученный платеж]]+Y777),
AND(Z777&gt;0,Первоначальный[[#This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платеж]]+Y777),
AND(S777&gt;0,MAX((0&lt;&gt;S$12:S777)*ROW(S$12:S777),ROW($S$12))&gt;=MAX((1=Z$12:Z777)*ROW(Z$12:Z777),ROW($T$12)),TYPE(VLOOKUP("Да",(INDIRECT("AA"&amp;(MAX((1=Z$12:Z777)*ROW(Z$12:Z777),ROW($T$12))&amp;":AA"&amp;(ROW()-1)))),1,0))=16),MIN(LOOKUP(,-1/($Z$12:Z778=1),$C$12:C778)+LOOKUP(,-1/($Z$12:Z778=1),$H$12:H778)-SUM(INDIRECT("T"&amp;(MAX((1=Z$12:Z777)*ROW(Z$12:Z777),ROW($T$12))&amp;":T"&amp;(ROW()-1)))),Первоначальный[[#This Row],[Полученный платеж]]+Y777),
S777&gt;0,MIN(LOOKUP(,-1/($Z$12:Z778=1),$C$12:C778)+LOOKUP(,-1/($Z$12:Z778=1),$H$12:H778)-IF(Z777=1,0,SUM(INDIRECT("T"&amp;(MAX((1=Z$12:Z777)*ROW(Z$12:Z777)+1,ROW($T$12))&amp;":T"&amp;(ROW()-1))))),Первоначальный[[#This Row],[Полученный платеж]]+Y777)
)
)
)</f>
        <v>0</v>
      </c>
      <c r="U77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платеж]]+Y777-Первоначальный[[#This Row],[Полученный платёж по процентам]])</f>
        <v>0</v>
      </c>
      <c r="V778" s="55">
        <f t="shared" ca="1" si="133"/>
        <v>0</v>
      </c>
      <c r="W778" s="55" cm="1">
        <f t="array" aca="1" ref="W778" ca="1">IF(Первоначальный[[#This Row],[Итого остаток на начало периода]]&lt;1,0,
_xlfn.IFS(
AND(TYPE(VLOOKUP(1,$Z$12:Z778,1,0))=16,Первоначальный[[#This Row],[Досрочное погашение (да/"")]]=""),0,
AND(S777=0,Первоначальный[[#This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платеж]]+Y777-SUM(Первоначальный[[#This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комиссиям]]),VLOOKUP(LOOKUP(,-1/($Z$12:Z778=1),$A$12:A778),График[[Срок конец]:[Возврат основной суммы долга]],3,0)),
AND(S777=0,Первоначальный[[#This Row],[Дата платежа из графика]]="",Первоначальный[[#This Row],[Досрочное погашение (да/"")]]&lt;&gt;"Да"),0,
AND(S777=0,Первоначальный[[#This Row],[Досрочное погашение (да/"")]]=""),MIN(Первоначальный[[#This Row],[Полученный платеж]]+Y777-SUM(Первоначальный[[#This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комиссиям]]),VLOOKUP(LOOKUP(,-1/($Z$12:Z778=1),$A$12:A778),График[[Срок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платеж]]+Y777-SUM(Первоначальный[[#This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S777&gt;0,MIN(Первоначальный[[#This Row],[Полученный платеж]]+Y777-SUM(Первоначальный[[#This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комиссиям]]),SUM(INDIRECT("M"&amp;(MAX((1=S$12:S777)*ROW(S$12:S777),ROW($W$12))&amp;":M"&amp;(ROW()))))-SUM(INDIRECT("W"&amp;(MAX((1=S$12:S777)*ROW(S$12:S777),ROW($W$12))&amp;":W"&amp;(ROW()-1)))))
)
)</f>
        <v>0</v>
      </c>
      <c r="X778" s="55">
        <f t="shared" ca="1" si="134"/>
        <v>0</v>
      </c>
      <c r="Y778" s="101">
        <f t="shared" ca="1" si="141"/>
        <v>0</v>
      </c>
      <c r="Z778" s="133" t="str">
        <f>IF(TYPE((VLOOKUP(Первоначальный[[#This Row],[Дата платежа]],График[Срок конец],1,0)))=16,"",1)</f>
        <v/>
      </c>
      <c r="AA778" s="57"/>
      <c r="AB778" s="134"/>
      <c r="AC77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7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55394.450000000012</v>
      </c>
      <c r="AE77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2025.0499999999993</v>
      </c>
      <c r="AF77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7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113372.73120983611</v>
      </c>
      <c r="AH778" s="55"/>
      <c r="AI778" s="55"/>
      <c r="AJ778" s="55"/>
      <c r="AK778" s="101">
        <f t="shared" ca="1" si="142"/>
        <v>320425.57120983611</v>
      </c>
      <c r="AL778" s="129">
        <f t="array" ref="AL778">MAX((УслРестрактов[Характеристика]="Дата реструктуризации")*(УслРестрактов[Значение]=Первоначальный!$A778),0)</f>
        <v>0</v>
      </c>
    </row>
    <row r="779" spans="1:38" x14ac:dyDescent="0.25">
      <c r="A779" s="97">
        <f t="shared" si="135"/>
        <v>44910</v>
      </c>
      <c r="B779" s="100">
        <f t="shared" ca="1" si="136"/>
        <v>149633.34</v>
      </c>
      <c r="C779" s="55">
        <f t="shared" ca="1" si="144"/>
        <v>55394.450000000012</v>
      </c>
      <c r="D779" s="55">
        <f t="shared" ca="1" si="144"/>
        <v>2025.0499999999993</v>
      </c>
      <c r="E779" s="55">
        <f t="shared" ca="1" si="137"/>
        <v>0</v>
      </c>
      <c r="F779" s="55">
        <f t="shared" ca="1" si="138"/>
        <v>113372.73120983611</v>
      </c>
      <c r="G779" s="101">
        <f t="shared" ca="1" si="139"/>
        <v>320425.57120983611</v>
      </c>
      <c r="H779" s="100">
        <f ca="1">ROUND($B779*VLOOKUP($A779,$A$1:$B$10,2,1)/(365+IF(MOD(YEAR($A779),4),0,1)*($A779-$A778)),2)-Первоначальный[[#This Row],[Проценты на просроченный платеж по ОД за период]]</f>
        <v>75.25</v>
      </c>
      <c r="I779" s="55">
        <f t="shared" ca="1" si="140"/>
        <v>6.33</v>
      </c>
      <c r="J779" s="55">
        <v>0</v>
      </c>
      <c r="K779" s="55">
        <f t="shared" ca="1" si="143"/>
        <v>333.08850327868845</v>
      </c>
      <c r="L779" s="55">
        <v>0</v>
      </c>
      <c r="M779" s="113">
        <f>SUMIFS(График[Возврат основной суммы долга],График[Дата с учетом нерабочих дней],$A779)</f>
        <v>0</v>
      </c>
      <c r="N779" s="56">
        <f>SUMIFS(График[Возврат начисленных %],График[Дата с учетом нерабочих дней],$A779)</f>
        <v>0</v>
      </c>
      <c r="O779" s="101">
        <v>0</v>
      </c>
      <c r="P779" s="100" cm="1">
        <f t="array" aca="1" ref="P779" ca="1">MAX(IF(AA778="Да",0,SUM(INDIRECT("M"&amp;(MAX(("Да"=AA$12:AA778)*ROW(AA$12:AA778)+1,ROW($P$12))&amp;":M"&amp;(ROW()))))-SUM(INDIRECT("W"&amp;(MAX(("Да"=AA$12:AA778)*ROW(AA$12:AA778)+1,ROW($P$12))&amp;":W"&amp;(ROW()))))),0)</f>
        <v>11601.89</v>
      </c>
      <c r="Q779" s="99">
        <f ca="1">MAX(SUM($N$13:N779)-SUM($T$13:T779),0)</f>
        <v>55015.810655737689</v>
      </c>
      <c r="R779" s="99">
        <f ca="1">Первоначальный[[#This Row],[Просроченный платеж по ОД]]+Первоначальный[[#This Row],[Просроченный платеж по процентам]]</f>
        <v>66617.700655737688</v>
      </c>
      <c r="S779" s="120">
        <f ca="1">IF(Первоначальный[[#This Row],[Просроченный платеж]]&lt;1,0,S778+1)</f>
        <v>675</v>
      </c>
      <c r="T779" s="100" cm="1">
        <f t="array" aca="1" ref="T779" ca="1">IF(Первоначальный[[#This Row],[Итого остаток на начало периода]]&lt;1,0,
IF(
AND(TYPE(VLOOKUP(1,$Z$12:Z779,1,0))=16,Первоначальный[[#This Row],[Досрочное погашение (да/"")]]=""),0,
_xlfn.IFS(AND(S778=0,Первоначальный[[#This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платеж]]&lt;&gt;0),MIN(LOOKUP(,-1/($Z$12:Z779=1),$C$12:C779)+LOOKUP(,-1/($Z$12:Z779=1),$H$12:H779),Первоначальный[[#This Row],[Полученный платеж]]+Y778),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платеж]]+Y778,SUM(Первоначальный[[#This Row],[Остаток процентов на начало периода]],Первоначальный[[#This Row],[Проценты за период]])),
AND(S778=0,Первоначальный[[#This Row],[Дата платежа из графика]]=""),0,
AND(S778=0,Первоначальный[[#This Row],[Дата платежа из графика]]=1,MAX((0&lt;&gt;S$12:S778)*ROW(S$12:S778),ROW($S$12))&gt;=MAX((1=Z$12:Z778)*ROW(Z$12:Z778),ROW($T$12)),TYPE(VLOOKUP("Да",(INDIRECT("AA"&amp;(MAX((1=Z$12:Z778)*ROW(Z$12:Z778),ROW($T$12))&amp;":AA"&amp;(ROW()-1)))),1,0))=16),MIN(LOOKUP(,-1/($Z$12:Z779=1),$C$12:C779)+LOOKUP(,-1/($Z$12:Z779=1),$H$12:H779),Первоначальный[[#This Row],[Полученный платеж]]+Y778),
AND(S778=0,TYPE(VLOOKUP("Да",(INDIRECT("AA"&amp;(MAX((1=Z$12:Z778)*ROW(Z$12:Z778),ROW($T$12))&amp;":AA"&amp;(ROW()-1)))),1,0))&lt;&gt;16),MIN(LOOKUP(,-1/($Z$12:Z779=1),$C$12:C779)+LOOKUP(,-1/($Z$12:Z779=1),$H$12:H779)-IF(AA778="Да",0,SUM(INDIRECT("T"&amp;(MAX(("Да"=AA$12:AA778)*ROW(AA$12:AA778)+1,ROW($T$12))&amp;":T"&amp;(ROW()-1))))),Первоначальный[[#This Row],[Полученный платеж]]+Y778),
AND(S778=0,MAX((0&lt;&gt;N$12:N778)*ROW(N$12:N778),ROW($S$12))&gt;=MAX((1=Z$12:Z778)*ROW(Z$12:Z778),ROW($T$12))),MIN(LOOKUP(,-1/($Z$12:Z779=1),$C$12:C779)+LOOKUP(,-1/($Z$12:Z779=1),$H$12:H779)-IF(N778&lt;&gt;0,0,SUM(INDIRECT("T"&amp;(MAX((0&lt;&gt;N$12:N778)*ROW(N$12:N778)+1,ROW($T$12))&amp;":T"&amp;(ROW()-1))))),Первоначальный[[#This Row],[Полученный платеж]]+Y778),
AND(S778=0,Первоначальный[[#This Row],[Дата платежа из графика]]=1),MIN(LOOKUP(,-1/($Z$12:Z779=1),$C$12:C779)+LOOKUP(,-1/($Z$12:Z779=1),$H$12:H779)-IF(Z778=1,0,SUM(INDIRECT("T"&amp;(MAX((1=Z$12:Z778)*ROW(Z$12:Z778)+1,ROW($T$12))&amp;":T"&amp;(ROW()-1))))),Первоначальный[[#This Row],[Полученный платеж]]+Y778),
AND(Z778&gt;0,Первоначальный[[#This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платеж]]+Y778),
AND(S778&gt;0,MAX((0&lt;&gt;S$12:S778)*ROW(S$12:S778),ROW($S$12))&gt;=MAX((1=Z$12:Z778)*ROW(Z$12:Z778),ROW($T$12)),TYPE(VLOOKUP("Да",(INDIRECT("AA"&amp;(MAX((1=Z$12:Z778)*ROW(Z$12:Z778),ROW($T$12))&amp;":AA"&amp;(ROW()-1)))),1,0))=16),MIN(LOOKUP(,-1/($Z$12:Z779=1),$C$12:C779)+LOOKUP(,-1/($Z$12:Z779=1),$H$12:H779)-SUM(INDIRECT("T"&amp;(MAX((1=Z$12:Z778)*ROW(Z$12:Z778),ROW($T$12))&amp;":T"&amp;(ROW()-1)))),Первоначальный[[#This Row],[Полученный платеж]]+Y778),
S778&gt;0,MIN(LOOKUP(,-1/($Z$12:Z779=1),$C$12:C779)+LOOKUP(,-1/($Z$12:Z779=1),$H$12:H779)-IF(Z778=1,0,SUM(INDIRECT("T"&amp;(MAX((1=Z$12:Z778)*ROW(Z$12:Z778)+1,ROW($T$12))&amp;":T"&amp;(ROW()-1))))),Первоначальный[[#This Row],[Полученный платеж]]+Y778)
)
)
)</f>
        <v>0</v>
      </c>
      <c r="U77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платеж]]+Y778-Первоначальный[[#This Row],[Полученный платёж по процентам]])</f>
        <v>0</v>
      </c>
      <c r="V779" s="55">
        <f t="shared" ca="1" si="133"/>
        <v>0</v>
      </c>
      <c r="W779" s="55" cm="1">
        <f t="array" aca="1" ref="W779" ca="1">IF(Первоначальный[[#This Row],[Итого остаток на начало периода]]&lt;1,0,
_xlfn.IFS(
AND(TYPE(VLOOKUP(1,$Z$12:Z779,1,0))=16,Первоначальный[[#This Row],[Досрочное погашение (да/"")]]=""),0,
AND(S778=0,Первоначальный[[#This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платеж]]+Y778-SUM(Первоначальный[[#This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комиссиям]]),VLOOKUP(LOOKUP(,-1/($Z$12:Z779=1),$A$12:A779),График[[Срок конец]:[Возврат основной суммы долга]],3,0)),
AND(S778=0,Первоначальный[[#This Row],[Дата платежа из графика]]="",Первоначальный[[#This Row],[Досрочное погашение (да/"")]]&lt;&gt;"Да"),0,
AND(S778=0,Первоначальный[[#This Row],[Досрочное погашение (да/"")]]=""),MIN(Первоначальный[[#This Row],[Полученный платеж]]+Y778-SUM(Первоначальный[[#This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комиссиям]]),VLOOKUP(LOOKUP(,-1/($Z$12:Z779=1),$A$12:A779),График[[Срок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платеж]]+Y778-SUM(Первоначальный[[#This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S778&gt;0,MIN(Первоначальный[[#This Row],[Полученный платеж]]+Y778-SUM(Первоначальный[[#This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комиссиям]]),SUM(INDIRECT("M"&amp;(MAX((1=S$12:S778)*ROW(S$12:S778),ROW($W$12))&amp;":M"&amp;(ROW()))))-SUM(INDIRECT("W"&amp;(MAX((1=S$12:S778)*ROW(S$12:S778),ROW($W$12))&amp;":W"&amp;(ROW()-1)))))
)
)</f>
        <v>0</v>
      </c>
      <c r="X779" s="55">
        <f t="shared" ca="1" si="134"/>
        <v>0</v>
      </c>
      <c r="Y779" s="101">
        <f t="shared" ca="1" si="141"/>
        <v>0</v>
      </c>
      <c r="Z779" s="133" t="str">
        <f>IF(TYPE((VLOOKUP(Первоначальный[[#This Row],[Дата платежа]],График[Срок конец],1,0)))=16,"",1)</f>
        <v/>
      </c>
      <c r="AA779" s="57"/>
      <c r="AB779" s="134"/>
      <c r="AC77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7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55469.700000000012</v>
      </c>
      <c r="AE77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2031.3799999999992</v>
      </c>
      <c r="AF77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7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113705.8197131148</v>
      </c>
      <c r="AH779" s="55"/>
      <c r="AI779" s="55"/>
      <c r="AJ779" s="55"/>
      <c r="AK779" s="101">
        <f t="shared" ca="1" si="142"/>
        <v>320840.2397131148</v>
      </c>
      <c r="AL779" s="129">
        <f t="array" ref="AL779">MAX((УслРестрактов[Характеристика]="Дата реструктуризации")*(УслРестрактов[Значение]=Первоначальный!$A779),0)</f>
        <v>0</v>
      </c>
    </row>
    <row r="780" spans="1:38" x14ac:dyDescent="0.25">
      <c r="A780" s="97">
        <f t="shared" si="135"/>
        <v>44911</v>
      </c>
      <c r="B780" s="100">
        <f t="shared" ca="1" si="136"/>
        <v>149633.34</v>
      </c>
      <c r="C780" s="55">
        <f t="shared" ca="1" si="144"/>
        <v>55469.700000000012</v>
      </c>
      <c r="D780" s="55">
        <f t="shared" ca="1" si="144"/>
        <v>2031.3799999999992</v>
      </c>
      <c r="E780" s="55">
        <f t="shared" ca="1" si="137"/>
        <v>0</v>
      </c>
      <c r="F780" s="55">
        <f t="shared" ca="1" si="138"/>
        <v>113705.8197131148</v>
      </c>
      <c r="G780" s="101">
        <f t="shared" ca="1" si="139"/>
        <v>320840.2397131148</v>
      </c>
      <c r="H780" s="100">
        <f ca="1">ROUND($B780*VLOOKUP($A780,$A$1:$B$10,2,1)/(365+IF(MOD(YEAR($A780),4),0,1)*($A780-$A779)),2)-Первоначальный[[#This Row],[Проценты на просроченный платеж по ОД за период]]</f>
        <v>75.25</v>
      </c>
      <c r="I780" s="55">
        <f t="shared" ca="1" si="140"/>
        <v>6.33</v>
      </c>
      <c r="J780" s="55">
        <v>0</v>
      </c>
      <c r="K780" s="55">
        <f t="shared" ca="1" si="143"/>
        <v>333.08850327868845</v>
      </c>
      <c r="L780" s="55">
        <v>0</v>
      </c>
      <c r="M780" s="113">
        <f>SUMIFS(График[Возврат основной суммы долга],График[Дата с учетом нерабочих дней],$A780)</f>
        <v>0</v>
      </c>
      <c r="N780" s="56">
        <f>SUMIFS(График[Возврат начисленных %],График[Дата с учетом нерабочих дней],$A780)</f>
        <v>0</v>
      </c>
      <c r="O780" s="101">
        <v>0</v>
      </c>
      <c r="P780" s="100" cm="1">
        <f t="array" aca="1" ref="P780" ca="1">MAX(IF(AA779="Да",0,SUM(INDIRECT("M"&amp;(MAX(("Да"=AA$12:AA779)*ROW(AA$12:AA779)+1,ROW($P$12))&amp;":M"&amp;(ROW()))))-SUM(INDIRECT("W"&amp;(MAX(("Да"=AA$12:AA779)*ROW(AA$12:AA779)+1,ROW($P$12))&amp;":W"&amp;(ROW()))))),0)</f>
        <v>11601.89</v>
      </c>
      <c r="Q780" s="99">
        <f ca="1">MAX(SUM($N$13:N780)-SUM($T$13:T780),0)</f>
        <v>55015.810655737689</v>
      </c>
      <c r="R780" s="99">
        <f ca="1">Первоначальный[[#This Row],[Просроченный платеж по ОД]]+Первоначальный[[#This Row],[Просроченный платеж по процентам]]</f>
        <v>66617.700655737688</v>
      </c>
      <c r="S780" s="120">
        <f ca="1">IF(Первоначальный[[#This Row],[Просроченный платеж]]&lt;1,0,S779+1)</f>
        <v>676</v>
      </c>
      <c r="T780" s="100" cm="1">
        <f t="array" aca="1" ref="T780" ca="1">IF(Первоначальный[[#This Row],[Итого остаток на начало периода]]&lt;1,0,
IF(
AND(TYPE(VLOOKUP(1,$Z$12:Z780,1,0))=16,Первоначальный[[#This Row],[Досрочное погашение (да/"")]]=""),0,
_xlfn.IFS(AND(S779=0,Первоначальный[[#This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платеж]]&lt;&gt;0),MIN(LOOKUP(,-1/($Z$12:Z780=1),$C$12:C780)+LOOKUP(,-1/($Z$12:Z780=1),$H$12:H780),Первоначальный[[#This Row],[Полученный платеж]]+Y779),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платеж]]+Y779,SUM(Первоначальный[[#This Row],[Остаток процентов на начало периода]],Первоначальный[[#This Row],[Проценты за период]])),
AND(S779=0,Первоначальный[[#This Row],[Дата платежа из графика]]=""),0,
AND(S779=0,Первоначальный[[#This Row],[Дата платежа из графика]]=1,MAX((0&lt;&gt;S$12:S779)*ROW(S$12:S779),ROW($S$12))&gt;=MAX((1=Z$12:Z779)*ROW(Z$12:Z779),ROW($T$12)),TYPE(VLOOKUP("Да",(INDIRECT("AA"&amp;(MAX((1=Z$12:Z779)*ROW(Z$12:Z779),ROW($T$12))&amp;":AA"&amp;(ROW()-1)))),1,0))=16),MIN(LOOKUP(,-1/($Z$12:Z780=1),$C$12:C780)+LOOKUP(,-1/($Z$12:Z780=1),$H$12:H780),Первоначальный[[#This Row],[Полученный платеж]]+Y779),
AND(S779=0,TYPE(VLOOKUP("Да",(INDIRECT("AA"&amp;(MAX((1=Z$12:Z779)*ROW(Z$12:Z779),ROW($T$12))&amp;":AA"&amp;(ROW()-1)))),1,0))&lt;&gt;16),MIN(LOOKUP(,-1/($Z$12:Z780=1),$C$12:C780)+LOOKUP(,-1/($Z$12:Z780=1),$H$12:H780)-IF(AA779="Да",0,SUM(INDIRECT("T"&amp;(MAX(("Да"=AA$12:AA779)*ROW(AA$12:AA779)+1,ROW($T$12))&amp;":T"&amp;(ROW()-1))))),Первоначальный[[#This Row],[Полученный платеж]]+Y779),
AND(S779=0,MAX((0&lt;&gt;N$12:N779)*ROW(N$12:N779),ROW($S$12))&gt;=MAX((1=Z$12:Z779)*ROW(Z$12:Z779),ROW($T$12))),MIN(LOOKUP(,-1/($Z$12:Z780=1),$C$12:C780)+LOOKUP(,-1/($Z$12:Z780=1),$H$12:H780)-IF(N779&lt;&gt;0,0,SUM(INDIRECT("T"&amp;(MAX((0&lt;&gt;N$12:N779)*ROW(N$12:N779)+1,ROW($T$12))&amp;":T"&amp;(ROW()-1))))),Первоначальный[[#This Row],[Полученный платеж]]+Y779),
AND(S779=0,Первоначальный[[#This Row],[Дата платежа из графика]]=1),MIN(LOOKUP(,-1/($Z$12:Z780=1),$C$12:C780)+LOOKUP(,-1/($Z$12:Z780=1),$H$12:H780)-IF(Z779=1,0,SUM(INDIRECT("T"&amp;(MAX((1=Z$12:Z779)*ROW(Z$12:Z779)+1,ROW($T$12))&amp;":T"&amp;(ROW()-1))))),Первоначальный[[#This Row],[Полученный платеж]]+Y779),
AND(Z779&gt;0,Первоначальный[[#This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платеж]]+Y779),
AND(S779&gt;0,MAX((0&lt;&gt;S$12:S779)*ROW(S$12:S779),ROW($S$12))&gt;=MAX((1=Z$12:Z779)*ROW(Z$12:Z779),ROW($T$12)),TYPE(VLOOKUP("Да",(INDIRECT("AA"&amp;(MAX((1=Z$12:Z779)*ROW(Z$12:Z779),ROW($T$12))&amp;":AA"&amp;(ROW()-1)))),1,0))=16),MIN(LOOKUP(,-1/($Z$12:Z780=1),$C$12:C780)+LOOKUP(,-1/($Z$12:Z780=1),$H$12:H780)-SUM(INDIRECT("T"&amp;(MAX((1=Z$12:Z779)*ROW(Z$12:Z779),ROW($T$12))&amp;":T"&amp;(ROW()-1)))),Первоначальный[[#This Row],[Полученный платеж]]+Y779),
S779&gt;0,MIN(LOOKUP(,-1/($Z$12:Z780=1),$C$12:C780)+LOOKUP(,-1/($Z$12:Z780=1),$H$12:H780)-IF(Z779=1,0,SUM(INDIRECT("T"&amp;(MAX((1=Z$12:Z779)*ROW(Z$12:Z779)+1,ROW($T$12))&amp;":T"&amp;(ROW()-1))))),Первоначальный[[#This Row],[Полученный платеж]]+Y779)
)
)
)</f>
        <v>0</v>
      </c>
      <c r="U78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платеж]]+Y779-Первоначальный[[#This Row],[Полученный платёж по процентам]])</f>
        <v>0</v>
      </c>
      <c r="V780" s="55">
        <f t="shared" ca="1" si="133"/>
        <v>0</v>
      </c>
      <c r="W780" s="55" cm="1">
        <f t="array" aca="1" ref="W780" ca="1">IF(Первоначальный[[#This Row],[Итого остаток на начало периода]]&lt;1,0,
_xlfn.IFS(
AND(TYPE(VLOOKUP(1,$Z$12:Z780,1,0))=16,Первоначальный[[#This Row],[Досрочное погашение (да/"")]]=""),0,
AND(S779=0,Первоначальный[[#This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платеж]]+Y779-SUM(Первоначальный[[#This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комиссиям]]),VLOOKUP(LOOKUP(,-1/($Z$12:Z780=1),$A$12:A780),График[[Срок конец]:[Возврат основной суммы долга]],3,0)),
AND(S779=0,Первоначальный[[#This Row],[Дата платежа из графика]]="",Первоначальный[[#This Row],[Досрочное погашение (да/"")]]&lt;&gt;"Да"),0,
AND(S779=0,Первоначальный[[#This Row],[Досрочное погашение (да/"")]]=""),MIN(Первоначальный[[#This Row],[Полученный платеж]]+Y779-SUM(Первоначальный[[#This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комиссиям]]),VLOOKUP(LOOKUP(,-1/($Z$12:Z780=1),$A$12:A780),График[[Срок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платеж]]+Y779-SUM(Первоначальный[[#This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S779&gt;0,MIN(Первоначальный[[#This Row],[Полученный платеж]]+Y779-SUM(Первоначальный[[#This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комиссиям]]),SUM(INDIRECT("M"&amp;(MAX((1=S$12:S779)*ROW(S$12:S779),ROW($W$12))&amp;":M"&amp;(ROW()))))-SUM(INDIRECT("W"&amp;(MAX((1=S$12:S779)*ROW(S$12:S779),ROW($W$12))&amp;":W"&amp;(ROW()-1)))))
)
)</f>
        <v>0</v>
      </c>
      <c r="X780" s="55">
        <f t="shared" ca="1" si="134"/>
        <v>0</v>
      </c>
      <c r="Y780" s="101">
        <f t="shared" ca="1" si="141"/>
        <v>0</v>
      </c>
      <c r="Z780" s="133" t="str">
        <f>IF(TYPE((VLOOKUP(Первоначальный[[#This Row],[Дата платежа]],График[Срок конец],1,0)))=16,"",1)</f>
        <v/>
      </c>
      <c r="AA780" s="57"/>
      <c r="AB780" s="134"/>
      <c r="AC78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8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55544.950000000012</v>
      </c>
      <c r="AE78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2037.7099999999991</v>
      </c>
      <c r="AF78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8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114038.90821639349</v>
      </c>
      <c r="AH780" s="55"/>
      <c r="AI780" s="55"/>
      <c r="AJ780" s="55"/>
      <c r="AK780" s="101">
        <f t="shared" ca="1" si="142"/>
        <v>321254.90821639349</v>
      </c>
      <c r="AL780" s="129">
        <f t="array" ref="AL780">MAX((УслРестрактов[Характеристика]="Дата реструктуризации")*(УслРестрактов[Значение]=Первоначальный!$A780),0)</f>
        <v>0</v>
      </c>
    </row>
    <row r="781" spans="1:38" x14ac:dyDescent="0.25">
      <c r="A781" s="97">
        <f t="shared" si="135"/>
        <v>44912</v>
      </c>
      <c r="B781" s="100">
        <f t="shared" ca="1" si="136"/>
        <v>149633.34</v>
      </c>
      <c r="C781" s="55">
        <f t="shared" ca="1" si="144"/>
        <v>55544.950000000012</v>
      </c>
      <c r="D781" s="55">
        <f t="shared" ca="1" si="144"/>
        <v>2037.7099999999991</v>
      </c>
      <c r="E781" s="55">
        <f t="shared" ca="1" si="137"/>
        <v>0</v>
      </c>
      <c r="F781" s="55">
        <f t="shared" ca="1" si="138"/>
        <v>114038.90821639349</v>
      </c>
      <c r="G781" s="101">
        <f t="shared" ca="1" si="139"/>
        <v>321254.90821639349</v>
      </c>
      <c r="H781" s="100">
        <f ca="1">ROUND($B781*VLOOKUP($A781,$A$1:$B$10,2,1)/(365+IF(MOD(YEAR($A781),4),0,1)*($A781-$A780)),2)-Первоначальный[[#This Row],[Проценты на просроченный платеж по ОД за период]]</f>
        <v>75.25</v>
      </c>
      <c r="I781" s="55">
        <f t="shared" ca="1" si="140"/>
        <v>6.33</v>
      </c>
      <c r="J781" s="55">
        <v>0</v>
      </c>
      <c r="K781" s="55">
        <f t="shared" ca="1" si="143"/>
        <v>333.08850327868845</v>
      </c>
      <c r="L781" s="55">
        <v>0</v>
      </c>
      <c r="M781" s="113">
        <f>SUMIFS(График[Возврат основной суммы долга],График[Дата с учетом нерабочих дней],$A781)</f>
        <v>0</v>
      </c>
      <c r="N781" s="56">
        <f>SUMIFS(График[Возврат начисленных %],График[Дата с учетом нерабочих дней],$A781)</f>
        <v>0</v>
      </c>
      <c r="O781" s="101">
        <v>0</v>
      </c>
      <c r="P781" s="100" cm="1">
        <f t="array" aca="1" ref="P781" ca="1">MAX(IF(AA780="Да",0,SUM(INDIRECT("M"&amp;(MAX(("Да"=AA$12:AA780)*ROW(AA$12:AA780)+1,ROW($P$12))&amp;":M"&amp;(ROW()))))-SUM(INDIRECT("W"&amp;(MAX(("Да"=AA$12:AA780)*ROW(AA$12:AA780)+1,ROW($P$12))&amp;":W"&amp;(ROW()))))),0)</f>
        <v>11601.89</v>
      </c>
      <c r="Q781" s="99">
        <f ca="1">MAX(SUM($N$13:N781)-SUM($T$13:T781),0)</f>
        <v>55015.810655737689</v>
      </c>
      <c r="R781" s="99">
        <f ca="1">Первоначальный[[#This Row],[Просроченный платеж по ОД]]+Первоначальный[[#This Row],[Просроченный платеж по процентам]]</f>
        <v>66617.700655737688</v>
      </c>
      <c r="S781" s="120">
        <f ca="1">IF(Первоначальный[[#This Row],[Просроченный платеж]]&lt;1,0,S780+1)</f>
        <v>677</v>
      </c>
      <c r="T781" s="100" cm="1">
        <f t="array" aca="1" ref="T781" ca="1">IF(Первоначальный[[#This Row],[Итого остаток на начало периода]]&lt;1,0,
IF(
AND(TYPE(VLOOKUP(1,$Z$12:Z781,1,0))=16,Первоначальный[[#This Row],[Досрочное погашение (да/"")]]=""),0,
_xlfn.IFS(AND(S780=0,Первоначальный[[#This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платеж]]&lt;&gt;0),MIN(LOOKUP(,-1/($Z$12:Z781=1),$C$12:C781)+LOOKUP(,-1/($Z$12:Z781=1),$H$12:H781),Первоначальный[[#This Row],[Полученный платеж]]+Y780),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платеж]]+Y780,SUM(Первоначальный[[#This Row],[Остаток процентов на начало периода]],Первоначальный[[#This Row],[Проценты за период]])),
AND(S780=0,Первоначальный[[#This Row],[Дата платежа из графика]]=""),0,
AND(S780=0,Первоначальный[[#This Row],[Дата платежа из графика]]=1,MAX((0&lt;&gt;S$12:S780)*ROW(S$12:S780),ROW($S$12))&gt;=MAX((1=Z$12:Z780)*ROW(Z$12:Z780),ROW($T$12)),TYPE(VLOOKUP("Да",(INDIRECT("AA"&amp;(MAX((1=Z$12:Z780)*ROW(Z$12:Z780),ROW($T$12))&amp;":AA"&amp;(ROW()-1)))),1,0))=16),MIN(LOOKUP(,-1/($Z$12:Z781=1),$C$12:C781)+LOOKUP(,-1/($Z$12:Z781=1),$H$12:H781),Первоначальный[[#This Row],[Полученный платеж]]+Y780),
AND(S780=0,TYPE(VLOOKUP("Да",(INDIRECT("AA"&amp;(MAX((1=Z$12:Z780)*ROW(Z$12:Z780),ROW($T$12))&amp;":AA"&amp;(ROW()-1)))),1,0))&lt;&gt;16),MIN(LOOKUP(,-1/($Z$12:Z781=1),$C$12:C781)+LOOKUP(,-1/($Z$12:Z781=1),$H$12:H781)-IF(AA780="Да",0,SUM(INDIRECT("T"&amp;(MAX(("Да"=AA$12:AA780)*ROW(AA$12:AA780)+1,ROW($T$12))&amp;":T"&amp;(ROW()-1))))),Первоначальный[[#This Row],[Полученный платеж]]+Y780),
AND(S780=0,MAX((0&lt;&gt;N$12:N780)*ROW(N$12:N780),ROW($S$12))&gt;=MAX((1=Z$12:Z780)*ROW(Z$12:Z780),ROW($T$12))),MIN(LOOKUP(,-1/($Z$12:Z781=1),$C$12:C781)+LOOKUP(,-1/($Z$12:Z781=1),$H$12:H781)-IF(N780&lt;&gt;0,0,SUM(INDIRECT("T"&amp;(MAX((0&lt;&gt;N$12:N780)*ROW(N$12:N780)+1,ROW($T$12))&amp;":T"&amp;(ROW()-1))))),Первоначальный[[#This Row],[Полученный платеж]]+Y780),
AND(S780=0,Первоначальный[[#This Row],[Дата платежа из графика]]=1),MIN(LOOKUP(,-1/($Z$12:Z781=1),$C$12:C781)+LOOKUP(,-1/($Z$12:Z781=1),$H$12:H781)-IF(Z780=1,0,SUM(INDIRECT("T"&amp;(MAX((1=Z$12:Z780)*ROW(Z$12:Z780)+1,ROW($T$12))&amp;":T"&amp;(ROW()-1))))),Первоначальный[[#This Row],[Полученный платеж]]+Y780),
AND(Z780&gt;0,Первоначальный[[#This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платеж]]+Y780),
AND(S780&gt;0,MAX((0&lt;&gt;S$12:S780)*ROW(S$12:S780),ROW($S$12))&gt;=MAX((1=Z$12:Z780)*ROW(Z$12:Z780),ROW($T$12)),TYPE(VLOOKUP("Да",(INDIRECT("AA"&amp;(MAX((1=Z$12:Z780)*ROW(Z$12:Z780),ROW($T$12))&amp;":AA"&amp;(ROW()-1)))),1,0))=16),MIN(LOOKUP(,-1/($Z$12:Z781=1),$C$12:C781)+LOOKUP(,-1/($Z$12:Z781=1),$H$12:H781)-SUM(INDIRECT("T"&amp;(MAX((1=Z$12:Z780)*ROW(Z$12:Z780),ROW($T$12))&amp;":T"&amp;(ROW()-1)))),Первоначальный[[#This Row],[Полученный платеж]]+Y780),
S780&gt;0,MIN(LOOKUP(,-1/($Z$12:Z781=1),$C$12:C781)+LOOKUP(,-1/($Z$12:Z781=1),$H$12:H781)-IF(Z780=1,0,SUM(INDIRECT("T"&amp;(MAX((1=Z$12:Z780)*ROW(Z$12:Z780)+1,ROW($T$12))&amp;":T"&amp;(ROW()-1))))),Первоначальный[[#This Row],[Полученный платеж]]+Y780)
)
)
)</f>
        <v>0</v>
      </c>
      <c r="U78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платеж]]+Y780-Первоначальный[[#This Row],[Полученный платёж по процентам]])</f>
        <v>0</v>
      </c>
      <c r="V781" s="55">
        <f t="shared" ref="V781:V844" ca="1" si="145">MAX(MIN(SUM(O781,Y780)-SUM(T781:T781),SUM(E781,J781)),0)</f>
        <v>0</v>
      </c>
      <c r="W781" s="55" cm="1">
        <f t="array" aca="1" ref="W781" ca="1">IF(Первоначальный[[#This Row],[Итого остаток на начало периода]]&lt;1,0,
_xlfn.IFS(
AND(TYPE(VLOOKUP(1,$Z$12:Z781,1,0))=16,Первоначальный[[#This Row],[Досрочное погашение (да/"")]]=""),0,
AND(S780=0,Первоначальный[[#This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платеж]]+Y780-SUM(Первоначальный[[#This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комиссиям]]),VLOOKUP(LOOKUP(,-1/($Z$12:Z781=1),$A$12:A781),График[[Срок конец]:[Возврат основной суммы долга]],3,0)),
AND(S780=0,Первоначальный[[#This Row],[Дата платежа из графика]]="",Первоначальный[[#This Row],[Досрочное погашение (да/"")]]&lt;&gt;"Да"),0,
AND(S780=0,Первоначальный[[#This Row],[Досрочное погашение (да/"")]]=""),MIN(Первоначальный[[#This Row],[Полученный платеж]]+Y780-SUM(Первоначальный[[#This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комиссиям]]),VLOOKUP(LOOKUP(,-1/($Z$12:Z781=1),$A$12:A781),График[[Срок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платеж]]+Y780-SUM(Первоначальный[[#This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S780&gt;0,MIN(Первоначальный[[#This Row],[Полученный платеж]]+Y780-SUM(Первоначальный[[#This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комиссиям]]),SUM(INDIRECT("M"&amp;(MAX((1=S$12:S780)*ROW(S$12:S780),ROW($W$12))&amp;":M"&amp;(ROW()))))-SUM(INDIRECT("W"&amp;(MAX((1=S$12:S780)*ROW(S$12:S780),ROW($W$12))&amp;":W"&amp;(ROW()-1)))))
)
)</f>
        <v>0</v>
      </c>
      <c r="X781" s="55">
        <f t="shared" ref="X781:X844" ca="1" si="146">MAX(MIN(SUM(O781,Y780)-SUM(T781:W781),SUM(F781,K781)),0)</f>
        <v>0</v>
      </c>
      <c r="Y781" s="101">
        <f t="shared" ca="1" si="141"/>
        <v>0</v>
      </c>
      <c r="Z781" s="133" t="str">
        <f>IF(TYPE((VLOOKUP(Первоначальный[[#This Row],[Дата платежа]],График[Срок конец],1,0)))=16,"",1)</f>
        <v/>
      </c>
      <c r="AA781" s="57"/>
      <c r="AB781" s="134"/>
      <c r="AC78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8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55620.200000000012</v>
      </c>
      <c r="AE78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2044.0399999999991</v>
      </c>
      <c r="AF78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8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114371.99671967218</v>
      </c>
      <c r="AH781" s="55"/>
      <c r="AI781" s="55"/>
      <c r="AJ781" s="55"/>
      <c r="AK781" s="101">
        <f t="shared" ca="1" si="142"/>
        <v>321669.57671967219</v>
      </c>
      <c r="AL781" s="129">
        <f t="array" ref="AL781">MAX((УслРестрактов[Характеристика]="Дата реструктуризации")*(УслРестрактов[Значение]=Первоначальный!$A781),0)</f>
        <v>0</v>
      </c>
    </row>
    <row r="782" spans="1:38" x14ac:dyDescent="0.25">
      <c r="A782" s="97">
        <f t="shared" ref="A782:A845" si="147">A781+1</f>
        <v>44913</v>
      </c>
      <c r="B782" s="100">
        <f t="shared" ref="B782:B845" ca="1" si="148">AC781</f>
        <v>149633.34</v>
      </c>
      <c r="C782" s="55">
        <f t="shared" ca="1" si="144"/>
        <v>55620.200000000012</v>
      </c>
      <c r="D782" s="55">
        <f t="shared" ca="1" si="144"/>
        <v>2044.0399999999991</v>
      </c>
      <c r="E782" s="55">
        <f t="shared" ref="E782:E845" ca="1" si="149">AF781</f>
        <v>0</v>
      </c>
      <c r="F782" s="55">
        <f t="shared" ref="F782:F845" ca="1" si="150">AG781+AH781</f>
        <v>114371.99671967218</v>
      </c>
      <c r="G782" s="101">
        <f t="shared" ref="G782:G845" ca="1" si="151">AK781</f>
        <v>321669.57671967219</v>
      </c>
      <c r="H782" s="100">
        <f ca="1">ROUND($B782*VLOOKUP($A782,$A$1:$B$10,2,1)/(365+IF(MOD(YEAR($A782),4),0,1)*($A782-$A781)),2)-Первоначальный[[#This Row],[Проценты на просроченный платеж по ОД за период]]</f>
        <v>75.25</v>
      </c>
      <c r="I782" s="55">
        <f t="shared" ref="I782:I845" ca="1" si="152">ROUND(P781*VLOOKUP($A782,$A$1:$B$10,2,1)/(365+IF(MOD(YEAR($A782),4),0,1)*($A782-$A781)),2)</f>
        <v>6.33</v>
      </c>
      <c r="J782" s="55">
        <v>0</v>
      </c>
      <c r="K782" s="55">
        <f t="shared" ca="1" si="143"/>
        <v>333.08850327868845</v>
      </c>
      <c r="L782" s="55">
        <v>0</v>
      </c>
      <c r="M782" s="113">
        <f>SUMIFS(График[Возврат основной суммы долга],График[Дата с учетом нерабочих дней],$A782)</f>
        <v>0</v>
      </c>
      <c r="N782" s="56">
        <f>SUMIFS(График[Возврат начисленных %],График[Дата с учетом нерабочих дней],$A782)</f>
        <v>0</v>
      </c>
      <c r="O782" s="101">
        <v>0</v>
      </c>
      <c r="P782" s="100" cm="1">
        <f t="array" aca="1" ref="P782" ca="1">MAX(IF(AA781="Да",0,SUM(INDIRECT("M"&amp;(MAX(("Да"=AA$12:AA781)*ROW(AA$12:AA781)+1,ROW($P$12))&amp;":M"&amp;(ROW()))))-SUM(INDIRECT("W"&amp;(MAX(("Да"=AA$12:AA781)*ROW(AA$12:AA781)+1,ROW($P$12))&amp;":W"&amp;(ROW()))))),0)</f>
        <v>11601.89</v>
      </c>
      <c r="Q782" s="99">
        <f ca="1">MAX(SUM($N$13:N782)-SUM($T$13:T782),0)</f>
        <v>55015.810655737689</v>
      </c>
      <c r="R782" s="99">
        <f ca="1">Первоначальный[[#This Row],[Просроченный платеж по ОД]]+Первоначальный[[#This Row],[Просроченный платеж по процентам]]</f>
        <v>66617.700655737688</v>
      </c>
      <c r="S782" s="120">
        <f ca="1">IF(Первоначальный[[#This Row],[Просроченный платеж]]&lt;1,0,S781+1)</f>
        <v>678</v>
      </c>
      <c r="T782" s="100" cm="1">
        <f t="array" aca="1" ref="T782" ca="1">IF(Первоначальный[[#This Row],[Итого остаток на начало периода]]&lt;1,0,
IF(
AND(TYPE(VLOOKUP(1,$Z$12:Z782,1,0))=16,Первоначальный[[#This Row],[Досрочное погашение (да/"")]]=""),0,
_xlfn.IFS(AND(S781=0,Первоначальный[[#This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платеж]]&lt;&gt;0),MIN(LOOKUP(,-1/($Z$12:Z782=1),$C$12:C782)+LOOKUP(,-1/($Z$12:Z782=1),$H$12:H782),Первоначальный[[#This Row],[Полученный платеж]]+Y781),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платеж]]+Y781,SUM(Первоначальный[[#This Row],[Остаток процентов на начало периода]],Первоначальный[[#This Row],[Проценты за период]])),
AND(S781=0,Первоначальный[[#This Row],[Дата платежа из графика]]=""),0,
AND(S781=0,Первоначальный[[#This Row],[Дата платежа из графика]]=1,MAX((0&lt;&gt;S$12:S781)*ROW(S$12:S781),ROW($S$12))&gt;=MAX((1=Z$12:Z781)*ROW(Z$12:Z781),ROW($T$12)),TYPE(VLOOKUP("Да",(INDIRECT("AA"&amp;(MAX((1=Z$12:Z781)*ROW(Z$12:Z781),ROW($T$12))&amp;":AA"&amp;(ROW()-1)))),1,0))=16),MIN(LOOKUP(,-1/($Z$12:Z782=1),$C$12:C782)+LOOKUP(,-1/($Z$12:Z782=1),$H$12:H782),Первоначальный[[#This Row],[Полученный платеж]]+Y781),
AND(S781=0,TYPE(VLOOKUP("Да",(INDIRECT("AA"&amp;(MAX((1=Z$12:Z781)*ROW(Z$12:Z781),ROW($T$12))&amp;":AA"&amp;(ROW()-1)))),1,0))&lt;&gt;16),MIN(LOOKUP(,-1/($Z$12:Z782=1),$C$12:C782)+LOOKUP(,-1/($Z$12:Z782=1),$H$12:H782)-IF(AA781="Да",0,SUM(INDIRECT("T"&amp;(MAX(("Да"=AA$12:AA781)*ROW(AA$12:AA781)+1,ROW($T$12))&amp;":T"&amp;(ROW()-1))))),Первоначальный[[#This Row],[Полученный платеж]]+Y781),
AND(S781=0,MAX((0&lt;&gt;N$12:N781)*ROW(N$12:N781),ROW($S$12))&gt;=MAX((1=Z$12:Z781)*ROW(Z$12:Z781),ROW($T$12))),MIN(LOOKUP(,-1/($Z$12:Z782=1),$C$12:C782)+LOOKUP(,-1/($Z$12:Z782=1),$H$12:H782)-IF(N781&lt;&gt;0,0,SUM(INDIRECT("T"&amp;(MAX((0&lt;&gt;N$12:N781)*ROW(N$12:N781)+1,ROW($T$12))&amp;":T"&amp;(ROW()-1))))),Первоначальный[[#This Row],[Полученный платеж]]+Y781),
AND(S781=0,Первоначальный[[#This Row],[Дата платежа из графика]]=1),MIN(LOOKUP(,-1/($Z$12:Z782=1),$C$12:C782)+LOOKUP(,-1/($Z$12:Z782=1),$H$12:H782)-IF(Z781=1,0,SUM(INDIRECT("T"&amp;(MAX((1=Z$12:Z781)*ROW(Z$12:Z781)+1,ROW($T$12))&amp;":T"&amp;(ROW()-1))))),Первоначальный[[#This Row],[Полученный платеж]]+Y781),
AND(Z781&gt;0,Первоначальный[[#This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платеж]]+Y781),
AND(S781&gt;0,MAX((0&lt;&gt;S$12:S781)*ROW(S$12:S781),ROW($S$12))&gt;=MAX((1=Z$12:Z781)*ROW(Z$12:Z781),ROW($T$12)),TYPE(VLOOKUP("Да",(INDIRECT("AA"&amp;(MAX((1=Z$12:Z781)*ROW(Z$12:Z781),ROW($T$12))&amp;":AA"&amp;(ROW()-1)))),1,0))=16),MIN(LOOKUP(,-1/($Z$12:Z782=1),$C$12:C782)+LOOKUP(,-1/($Z$12:Z782=1),$H$12:H782)-SUM(INDIRECT("T"&amp;(MAX((1=Z$12:Z781)*ROW(Z$12:Z781),ROW($T$12))&amp;":T"&amp;(ROW()-1)))),Первоначальный[[#This Row],[Полученный платеж]]+Y781),
S781&gt;0,MIN(LOOKUP(,-1/($Z$12:Z782=1),$C$12:C782)+LOOKUP(,-1/($Z$12:Z782=1),$H$12:H782)-IF(Z781=1,0,SUM(INDIRECT("T"&amp;(MAX((1=Z$12:Z781)*ROW(Z$12:Z781)+1,ROW($T$12))&amp;":T"&amp;(ROW()-1))))),Первоначальный[[#This Row],[Полученный платеж]]+Y781)
)
)
)</f>
        <v>0</v>
      </c>
      <c r="U78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платеж]]+Y781-Первоначальный[[#This Row],[Полученный платёж по процентам]])</f>
        <v>0</v>
      </c>
      <c r="V782" s="55">
        <f t="shared" ca="1" si="145"/>
        <v>0</v>
      </c>
      <c r="W782" s="55" cm="1">
        <f t="array" aca="1" ref="W782" ca="1">IF(Первоначальный[[#This Row],[Итого остаток на начало периода]]&lt;1,0,
_xlfn.IFS(
AND(TYPE(VLOOKUP(1,$Z$12:Z782,1,0))=16,Первоначальный[[#This Row],[Досрочное погашение (да/"")]]=""),0,
AND(S781=0,Первоначальный[[#This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платеж]]+Y781-SUM(Первоначальный[[#This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комиссиям]]),VLOOKUP(LOOKUP(,-1/($Z$12:Z782=1),$A$12:A782),График[[Срок конец]:[Возврат основной суммы долга]],3,0)),
AND(S781=0,Первоначальный[[#This Row],[Дата платежа из графика]]="",Первоначальный[[#This Row],[Досрочное погашение (да/"")]]&lt;&gt;"Да"),0,
AND(S781=0,Первоначальный[[#This Row],[Досрочное погашение (да/"")]]=""),MIN(Первоначальный[[#This Row],[Полученный платеж]]+Y781-SUM(Первоначальный[[#This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комиссиям]]),VLOOKUP(LOOKUP(,-1/($Z$12:Z782=1),$A$12:A782),График[[Срок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платеж]]+Y781-SUM(Первоначальный[[#This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S781&gt;0,MIN(Первоначальный[[#This Row],[Полученный платеж]]+Y781-SUM(Первоначальный[[#This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комиссиям]]),SUM(INDIRECT("M"&amp;(MAX((1=S$12:S781)*ROW(S$12:S781),ROW($W$12))&amp;":M"&amp;(ROW()))))-SUM(INDIRECT("W"&amp;(MAX((1=S$12:S781)*ROW(S$12:S781),ROW($W$12))&amp;":W"&amp;(ROW()-1)))))
)
)</f>
        <v>0</v>
      </c>
      <c r="X782" s="55">
        <f t="shared" ca="1" si="146"/>
        <v>0</v>
      </c>
      <c r="Y782" s="101">
        <f t="shared" ref="Y782:Y845" ca="1" si="153">ROUND(Y781+O782-SUM(T782:X782),2)</f>
        <v>0</v>
      </c>
      <c r="Z782" s="133" t="str">
        <f>IF(TYPE((VLOOKUP(Первоначальный[[#This Row],[Дата платежа]],График[Срок конец],1,0)))=16,"",1)</f>
        <v/>
      </c>
      <c r="AA782" s="57"/>
      <c r="AB782" s="134"/>
      <c r="AC78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8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55695.450000000012</v>
      </c>
      <c r="AE78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2050.369999999999</v>
      </c>
      <c r="AF78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8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114705.08522295087</v>
      </c>
      <c r="AH782" s="55"/>
      <c r="AI782" s="55"/>
      <c r="AJ782" s="55"/>
      <c r="AK782" s="101">
        <f t="shared" ref="AK782:AK845" ca="1" si="154">SUM(AC782:AJ782)</f>
        <v>322084.24522295088</v>
      </c>
      <c r="AL782" s="129">
        <f t="array" ref="AL782">MAX((УслРестрактов[Характеристика]="Дата реструктуризации")*(УслРестрактов[Значение]=Первоначальный!$A782),0)</f>
        <v>0</v>
      </c>
    </row>
    <row r="783" spans="1:38" x14ac:dyDescent="0.25">
      <c r="A783" s="97">
        <f t="shared" si="147"/>
        <v>44914</v>
      </c>
      <c r="B783" s="100">
        <f t="shared" ca="1" si="148"/>
        <v>149633.34</v>
      </c>
      <c r="C783" s="55">
        <f t="shared" ca="1" si="144"/>
        <v>55695.450000000012</v>
      </c>
      <c r="D783" s="55">
        <f t="shared" ca="1" si="144"/>
        <v>2050.369999999999</v>
      </c>
      <c r="E783" s="55">
        <f t="shared" ca="1" si="149"/>
        <v>0</v>
      </c>
      <c r="F783" s="55">
        <f t="shared" ca="1" si="150"/>
        <v>114705.08522295087</v>
      </c>
      <c r="G783" s="101">
        <f t="shared" ca="1" si="151"/>
        <v>322084.24522295088</v>
      </c>
      <c r="H783" s="100">
        <f ca="1">ROUND($B783*VLOOKUP($A783,$A$1:$B$10,2,1)/(365+IF(MOD(YEAR($A783),4),0,1)*($A783-$A782)),2)-Первоначальный[[#This Row],[Проценты на просроченный платеж по ОД за период]]</f>
        <v>75.25</v>
      </c>
      <c r="I783" s="55">
        <f t="shared" ca="1" si="152"/>
        <v>6.33</v>
      </c>
      <c r="J783" s="55">
        <v>0</v>
      </c>
      <c r="K783" s="55">
        <f t="shared" ref="K783:K846" ca="1" si="155">IF(S783&lt;&gt;0,R783*$B$7,0)</f>
        <v>333.08850327868845</v>
      </c>
      <c r="L783" s="55">
        <v>0</v>
      </c>
      <c r="M783" s="113">
        <f>SUMIFS(График[Возврат основной суммы долга],График[Дата с учетом нерабочих дней],$A783)</f>
        <v>0</v>
      </c>
      <c r="N783" s="56">
        <f>SUMIFS(График[Возврат начисленных %],График[Дата с учетом нерабочих дней],$A783)</f>
        <v>0</v>
      </c>
      <c r="O783" s="101">
        <v>0</v>
      </c>
      <c r="P783" s="100" cm="1">
        <f t="array" aca="1" ref="P783" ca="1">MAX(IF(AA782="Да",0,SUM(INDIRECT("M"&amp;(MAX(("Да"=AA$12:AA782)*ROW(AA$12:AA782)+1,ROW($P$12))&amp;":M"&amp;(ROW()))))-SUM(INDIRECT("W"&amp;(MAX(("Да"=AA$12:AA782)*ROW(AA$12:AA782)+1,ROW($P$12))&amp;":W"&amp;(ROW()))))),0)</f>
        <v>11601.89</v>
      </c>
      <c r="Q783" s="99">
        <f ca="1">MAX(SUM($N$13:N783)-SUM($T$13:T783),0)</f>
        <v>55015.810655737689</v>
      </c>
      <c r="R783" s="99">
        <f ca="1">Первоначальный[[#This Row],[Просроченный платеж по ОД]]+Первоначальный[[#This Row],[Просроченный платеж по процентам]]</f>
        <v>66617.700655737688</v>
      </c>
      <c r="S783" s="120">
        <f ca="1">IF(Первоначальный[[#This Row],[Просроченный платеж]]&lt;1,0,S782+1)</f>
        <v>679</v>
      </c>
      <c r="T783" s="100" cm="1">
        <f t="array" aca="1" ref="T783" ca="1">IF(Первоначальный[[#This Row],[Итого остаток на начало периода]]&lt;1,0,
IF(
AND(TYPE(VLOOKUP(1,$Z$12:Z783,1,0))=16,Первоначальный[[#This Row],[Досрочное погашение (да/"")]]=""),0,
_xlfn.IFS(AND(S782=0,Первоначальный[[#This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платеж]]&lt;&gt;0),MIN(LOOKUP(,-1/($Z$12:Z783=1),$C$12:C783)+LOOKUP(,-1/($Z$12:Z783=1),$H$12:H783),Первоначальный[[#This Row],[Полученный платеж]]+Y782),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платеж]]+Y782,SUM(Первоначальный[[#This Row],[Остаток процентов на начало периода]],Первоначальный[[#This Row],[Проценты за период]])),
AND(S782=0,Первоначальный[[#This Row],[Дата платежа из графика]]=""),0,
AND(S782=0,Первоначальный[[#This Row],[Дата платежа из графика]]=1,MAX((0&lt;&gt;S$12:S782)*ROW(S$12:S782),ROW($S$12))&gt;=MAX((1=Z$12:Z782)*ROW(Z$12:Z782),ROW($T$12)),TYPE(VLOOKUP("Да",(INDIRECT("AA"&amp;(MAX((1=Z$12:Z782)*ROW(Z$12:Z782),ROW($T$12))&amp;":AA"&amp;(ROW()-1)))),1,0))=16),MIN(LOOKUP(,-1/($Z$12:Z783=1),$C$12:C783)+LOOKUP(,-1/($Z$12:Z783=1),$H$12:H783),Первоначальный[[#This Row],[Полученный платеж]]+Y782),
AND(S782=0,TYPE(VLOOKUP("Да",(INDIRECT("AA"&amp;(MAX((1=Z$12:Z782)*ROW(Z$12:Z782),ROW($T$12))&amp;":AA"&amp;(ROW()-1)))),1,0))&lt;&gt;16),MIN(LOOKUP(,-1/($Z$12:Z783=1),$C$12:C783)+LOOKUP(,-1/($Z$12:Z783=1),$H$12:H783)-IF(AA782="Да",0,SUM(INDIRECT("T"&amp;(MAX(("Да"=AA$12:AA782)*ROW(AA$12:AA782)+1,ROW($T$12))&amp;":T"&amp;(ROW()-1))))),Первоначальный[[#This Row],[Полученный платеж]]+Y782),
AND(S782=0,MAX((0&lt;&gt;N$12:N782)*ROW(N$12:N782),ROW($S$12))&gt;=MAX((1=Z$12:Z782)*ROW(Z$12:Z782),ROW($T$12))),MIN(LOOKUP(,-1/($Z$12:Z783=1),$C$12:C783)+LOOKUP(,-1/($Z$12:Z783=1),$H$12:H783)-IF(N782&lt;&gt;0,0,SUM(INDIRECT("T"&amp;(MAX((0&lt;&gt;N$12:N782)*ROW(N$12:N782)+1,ROW($T$12))&amp;":T"&amp;(ROW()-1))))),Первоначальный[[#This Row],[Полученный платеж]]+Y782),
AND(S782=0,Первоначальный[[#This Row],[Дата платежа из графика]]=1),MIN(LOOKUP(,-1/($Z$12:Z783=1),$C$12:C783)+LOOKUP(,-1/($Z$12:Z783=1),$H$12:H783)-IF(Z782=1,0,SUM(INDIRECT("T"&amp;(MAX((1=Z$12:Z782)*ROW(Z$12:Z782)+1,ROW($T$12))&amp;":T"&amp;(ROW()-1))))),Первоначальный[[#This Row],[Полученный платеж]]+Y782),
AND(Z782&gt;0,Первоначальный[[#This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платеж]]+Y782),
AND(S782&gt;0,MAX((0&lt;&gt;S$12:S782)*ROW(S$12:S782),ROW($S$12))&gt;=MAX((1=Z$12:Z782)*ROW(Z$12:Z782),ROW($T$12)),TYPE(VLOOKUP("Да",(INDIRECT("AA"&amp;(MAX((1=Z$12:Z782)*ROW(Z$12:Z782),ROW($T$12))&amp;":AA"&amp;(ROW()-1)))),1,0))=16),MIN(LOOKUP(,-1/($Z$12:Z783=1),$C$12:C783)+LOOKUP(,-1/($Z$12:Z783=1),$H$12:H783)-SUM(INDIRECT("T"&amp;(MAX((1=Z$12:Z782)*ROW(Z$12:Z782),ROW($T$12))&amp;":T"&amp;(ROW()-1)))),Первоначальный[[#This Row],[Полученный платеж]]+Y782),
S782&gt;0,MIN(LOOKUP(,-1/($Z$12:Z783=1),$C$12:C783)+LOOKUP(,-1/($Z$12:Z783=1),$H$12:H783)-IF(Z782=1,0,SUM(INDIRECT("T"&amp;(MAX((1=Z$12:Z782)*ROW(Z$12:Z782)+1,ROW($T$12))&amp;":T"&amp;(ROW()-1))))),Первоначальный[[#This Row],[Полученный платеж]]+Y782)
)
)
)</f>
        <v>0</v>
      </c>
      <c r="U78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платеж]]+Y782-Первоначальный[[#This Row],[Полученный платёж по процентам]])</f>
        <v>0</v>
      </c>
      <c r="V783" s="55">
        <f t="shared" ca="1" si="145"/>
        <v>0</v>
      </c>
      <c r="W783" s="55" cm="1">
        <f t="array" aca="1" ref="W783" ca="1">IF(Первоначальный[[#This Row],[Итого остаток на начало периода]]&lt;1,0,
_xlfn.IFS(
AND(TYPE(VLOOKUP(1,$Z$12:Z783,1,0))=16,Первоначальный[[#This Row],[Досрочное погашение (да/"")]]=""),0,
AND(S782=0,Первоначальный[[#This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платеж]]+Y782-SUM(Первоначальный[[#This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комиссиям]]),VLOOKUP(LOOKUP(,-1/($Z$12:Z783=1),$A$12:A783),График[[Срок конец]:[Возврат основной суммы долга]],3,0)),
AND(S782=0,Первоначальный[[#This Row],[Дата платежа из графика]]="",Первоначальный[[#This Row],[Досрочное погашение (да/"")]]&lt;&gt;"Да"),0,
AND(S782=0,Первоначальный[[#This Row],[Досрочное погашение (да/"")]]=""),MIN(Первоначальный[[#This Row],[Полученный платеж]]+Y782-SUM(Первоначальный[[#This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комиссиям]]),VLOOKUP(LOOKUP(,-1/($Z$12:Z783=1),$A$12:A783),График[[Срок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платеж]]+Y782-SUM(Первоначальный[[#This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S782&gt;0,MIN(Первоначальный[[#This Row],[Полученный платеж]]+Y782-SUM(Первоначальный[[#This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комиссиям]]),SUM(INDIRECT("M"&amp;(MAX((1=S$12:S782)*ROW(S$12:S782),ROW($W$12))&amp;":M"&amp;(ROW()))))-SUM(INDIRECT("W"&amp;(MAX((1=S$12:S782)*ROW(S$12:S782),ROW($W$12))&amp;":W"&amp;(ROW()-1)))))
)
)</f>
        <v>0</v>
      </c>
      <c r="X783" s="55">
        <f t="shared" ca="1" si="146"/>
        <v>0</v>
      </c>
      <c r="Y783" s="101">
        <f t="shared" ca="1" si="153"/>
        <v>0</v>
      </c>
      <c r="Z783" s="133" t="str">
        <f>IF(TYPE((VLOOKUP(Первоначальный[[#This Row],[Дата платежа]],График[Срок конец],1,0)))=16,"",1)</f>
        <v/>
      </c>
      <c r="AA783" s="57"/>
      <c r="AB783" s="134"/>
      <c r="AC78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8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55770.700000000012</v>
      </c>
      <c r="AE78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2056.6999999999989</v>
      </c>
      <c r="AF78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8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115038.17372622956</v>
      </c>
      <c r="AH783" s="55"/>
      <c r="AI783" s="55"/>
      <c r="AJ783" s="55"/>
      <c r="AK783" s="101">
        <f t="shared" ca="1" si="154"/>
        <v>322498.91372622957</v>
      </c>
      <c r="AL783" s="129">
        <f t="array" ref="AL783">MAX((УслРестрактов[Характеристика]="Дата реструктуризации")*(УслРестрактов[Значение]=Первоначальный!$A783),0)</f>
        <v>0</v>
      </c>
    </row>
    <row r="784" spans="1:38" x14ac:dyDescent="0.25">
      <c r="A784" s="97">
        <f t="shared" si="147"/>
        <v>44915</v>
      </c>
      <c r="B784" s="100">
        <f t="shared" ca="1" si="148"/>
        <v>149633.34</v>
      </c>
      <c r="C784" s="55">
        <f t="shared" ca="1" si="144"/>
        <v>55770.700000000012</v>
      </c>
      <c r="D784" s="55">
        <f t="shared" ca="1" si="144"/>
        <v>2056.6999999999989</v>
      </c>
      <c r="E784" s="55">
        <f t="shared" ca="1" si="149"/>
        <v>0</v>
      </c>
      <c r="F784" s="55">
        <f t="shared" ca="1" si="150"/>
        <v>115038.17372622956</v>
      </c>
      <c r="G784" s="101">
        <f t="shared" ca="1" si="151"/>
        <v>322498.91372622957</v>
      </c>
      <c r="H784" s="100">
        <f ca="1">ROUND($B784*VLOOKUP($A784,$A$1:$B$10,2,1)/(365+IF(MOD(YEAR($A784),4),0,1)*($A784-$A783)),2)-Первоначальный[[#This Row],[Проценты на просроченный платеж по ОД за период]]</f>
        <v>75.25</v>
      </c>
      <c r="I784" s="55">
        <f t="shared" ca="1" si="152"/>
        <v>6.33</v>
      </c>
      <c r="J784" s="55">
        <v>0</v>
      </c>
      <c r="K784" s="55">
        <f t="shared" ca="1" si="155"/>
        <v>333.08850327868845</v>
      </c>
      <c r="L784" s="55">
        <v>0</v>
      </c>
      <c r="M784" s="113">
        <f>SUMIFS(График[Возврат основной суммы долга],График[Дата с учетом нерабочих дней],$A784)</f>
        <v>0</v>
      </c>
      <c r="N784" s="56">
        <f>SUMIFS(График[Возврат начисленных %],График[Дата с учетом нерабочих дней],$A784)</f>
        <v>0</v>
      </c>
      <c r="O784" s="101">
        <v>0</v>
      </c>
      <c r="P784" s="100" cm="1">
        <f t="array" aca="1" ref="P784" ca="1">MAX(IF(AA783="Да",0,SUM(INDIRECT("M"&amp;(MAX(("Да"=AA$12:AA783)*ROW(AA$12:AA783)+1,ROW($P$12))&amp;":M"&amp;(ROW()))))-SUM(INDIRECT("W"&amp;(MAX(("Да"=AA$12:AA783)*ROW(AA$12:AA783)+1,ROW($P$12))&amp;":W"&amp;(ROW()))))),0)</f>
        <v>11601.89</v>
      </c>
      <c r="Q784" s="99">
        <f ca="1">MAX(SUM($N$13:N784)-SUM($T$13:T784),0)</f>
        <v>55015.810655737689</v>
      </c>
      <c r="R784" s="99">
        <f ca="1">Первоначальный[[#This Row],[Просроченный платеж по ОД]]+Первоначальный[[#This Row],[Просроченный платеж по процентам]]</f>
        <v>66617.700655737688</v>
      </c>
      <c r="S784" s="120">
        <f ca="1">IF(Первоначальный[[#This Row],[Просроченный платеж]]&lt;1,0,S783+1)</f>
        <v>680</v>
      </c>
      <c r="T784" s="100" cm="1">
        <f t="array" aca="1" ref="T784" ca="1">IF(Первоначальный[[#This Row],[Итого остаток на начало периода]]&lt;1,0,
IF(
AND(TYPE(VLOOKUP(1,$Z$12:Z784,1,0))=16,Первоначальный[[#This Row],[Досрочное погашение (да/"")]]=""),0,
_xlfn.IFS(AND(S783=0,Первоначальный[[#This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платеж]]&lt;&gt;0),MIN(LOOKUP(,-1/($Z$12:Z784=1),$C$12:C784)+LOOKUP(,-1/($Z$12:Z784=1),$H$12:H784),Первоначальный[[#This Row],[Полученный платеж]]+Y783),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платеж]]+Y783,SUM(Первоначальный[[#This Row],[Остаток процентов на начало периода]],Первоначальный[[#This Row],[Проценты за период]])),
AND(S783=0,Первоначальный[[#This Row],[Дата платежа из графика]]=""),0,
AND(S783=0,Первоначальный[[#This Row],[Дата платежа из графика]]=1,MAX((0&lt;&gt;S$12:S783)*ROW(S$12:S783),ROW($S$12))&gt;=MAX((1=Z$12:Z783)*ROW(Z$12:Z783),ROW($T$12)),TYPE(VLOOKUP("Да",(INDIRECT("AA"&amp;(MAX((1=Z$12:Z783)*ROW(Z$12:Z783),ROW($T$12))&amp;":AA"&amp;(ROW()-1)))),1,0))=16),MIN(LOOKUP(,-1/($Z$12:Z784=1),$C$12:C784)+LOOKUP(,-1/($Z$12:Z784=1),$H$12:H784),Первоначальный[[#This Row],[Полученный платеж]]+Y783),
AND(S783=0,TYPE(VLOOKUP("Да",(INDIRECT("AA"&amp;(MAX((1=Z$12:Z783)*ROW(Z$12:Z783),ROW($T$12))&amp;":AA"&amp;(ROW()-1)))),1,0))&lt;&gt;16),MIN(LOOKUP(,-1/($Z$12:Z784=1),$C$12:C784)+LOOKUP(,-1/($Z$12:Z784=1),$H$12:H784)-IF(AA783="Да",0,SUM(INDIRECT("T"&amp;(MAX(("Да"=AA$12:AA783)*ROW(AA$12:AA783)+1,ROW($T$12))&amp;":T"&amp;(ROW()-1))))),Первоначальный[[#This Row],[Полученный платеж]]+Y783),
AND(S783=0,MAX((0&lt;&gt;N$12:N783)*ROW(N$12:N783),ROW($S$12))&gt;=MAX((1=Z$12:Z783)*ROW(Z$12:Z783),ROW($T$12))),MIN(LOOKUP(,-1/($Z$12:Z784=1),$C$12:C784)+LOOKUP(,-1/($Z$12:Z784=1),$H$12:H784)-IF(N783&lt;&gt;0,0,SUM(INDIRECT("T"&amp;(MAX((0&lt;&gt;N$12:N783)*ROW(N$12:N783)+1,ROW($T$12))&amp;":T"&amp;(ROW()-1))))),Первоначальный[[#This Row],[Полученный платеж]]+Y783),
AND(S783=0,Первоначальный[[#This Row],[Дата платежа из графика]]=1),MIN(LOOKUP(,-1/($Z$12:Z784=1),$C$12:C784)+LOOKUP(,-1/($Z$12:Z784=1),$H$12:H784)-IF(Z783=1,0,SUM(INDIRECT("T"&amp;(MAX((1=Z$12:Z783)*ROW(Z$12:Z783)+1,ROW($T$12))&amp;":T"&amp;(ROW()-1))))),Первоначальный[[#This Row],[Полученный платеж]]+Y783),
AND(Z783&gt;0,Первоначальный[[#This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платеж]]+Y783),
AND(S783&gt;0,MAX((0&lt;&gt;S$12:S783)*ROW(S$12:S783),ROW($S$12))&gt;=MAX((1=Z$12:Z783)*ROW(Z$12:Z783),ROW($T$12)),TYPE(VLOOKUP("Да",(INDIRECT("AA"&amp;(MAX((1=Z$12:Z783)*ROW(Z$12:Z783),ROW($T$12))&amp;":AA"&amp;(ROW()-1)))),1,0))=16),MIN(LOOKUP(,-1/($Z$12:Z784=1),$C$12:C784)+LOOKUP(,-1/($Z$12:Z784=1),$H$12:H784)-SUM(INDIRECT("T"&amp;(MAX((1=Z$12:Z783)*ROW(Z$12:Z783),ROW($T$12))&amp;":T"&amp;(ROW()-1)))),Первоначальный[[#This Row],[Полученный платеж]]+Y783),
S783&gt;0,MIN(LOOKUP(,-1/($Z$12:Z784=1),$C$12:C784)+LOOKUP(,-1/($Z$12:Z784=1),$H$12:H784)-IF(Z783=1,0,SUM(INDIRECT("T"&amp;(MAX((1=Z$12:Z783)*ROW(Z$12:Z783)+1,ROW($T$12))&amp;":T"&amp;(ROW()-1))))),Первоначальный[[#This Row],[Полученный платеж]]+Y783)
)
)
)</f>
        <v>0</v>
      </c>
      <c r="U78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платеж]]+Y783-Первоначальный[[#This Row],[Полученный платёж по процентам]])</f>
        <v>0</v>
      </c>
      <c r="V784" s="55">
        <f t="shared" ca="1" si="145"/>
        <v>0</v>
      </c>
      <c r="W784" s="55" cm="1">
        <f t="array" aca="1" ref="W784" ca="1">IF(Первоначальный[[#This Row],[Итого остаток на начало периода]]&lt;1,0,
_xlfn.IFS(
AND(TYPE(VLOOKUP(1,$Z$12:Z784,1,0))=16,Первоначальный[[#This Row],[Досрочное погашение (да/"")]]=""),0,
AND(S783=0,Первоначальный[[#This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платеж]]+Y783-SUM(Первоначальный[[#This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комиссиям]]),VLOOKUP(LOOKUP(,-1/($Z$12:Z784=1),$A$12:A784),График[[Срок конец]:[Возврат основной суммы долга]],3,0)),
AND(S783=0,Первоначальный[[#This Row],[Дата платежа из графика]]="",Первоначальный[[#This Row],[Досрочное погашение (да/"")]]&lt;&gt;"Да"),0,
AND(S783=0,Первоначальный[[#This Row],[Досрочное погашение (да/"")]]=""),MIN(Первоначальный[[#This Row],[Полученный платеж]]+Y783-SUM(Первоначальный[[#This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комиссиям]]),VLOOKUP(LOOKUP(,-1/($Z$12:Z784=1),$A$12:A784),График[[Срок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платеж]]+Y783-SUM(Первоначальный[[#This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S783&gt;0,MIN(Первоначальный[[#This Row],[Полученный платеж]]+Y783-SUM(Первоначальный[[#This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комиссиям]]),SUM(INDIRECT("M"&amp;(MAX((1=S$12:S783)*ROW(S$12:S783),ROW($W$12))&amp;":M"&amp;(ROW()))))-SUM(INDIRECT("W"&amp;(MAX((1=S$12:S783)*ROW(S$12:S783),ROW($W$12))&amp;":W"&amp;(ROW()-1)))))
)
)</f>
        <v>0</v>
      </c>
      <c r="X784" s="55">
        <f t="shared" ca="1" si="146"/>
        <v>0</v>
      </c>
      <c r="Y784" s="101">
        <f t="shared" ca="1" si="153"/>
        <v>0</v>
      </c>
      <c r="Z784" s="133" t="str">
        <f>IF(TYPE((VLOOKUP(Первоначальный[[#This Row],[Дата платежа]],График[Срок конец],1,0)))=16,"",1)</f>
        <v/>
      </c>
      <c r="AA784" s="57"/>
      <c r="AB784" s="134"/>
      <c r="AC78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8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55845.950000000012</v>
      </c>
      <c r="AE78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2063.0299999999988</v>
      </c>
      <c r="AF78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8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115371.26222950825</v>
      </c>
      <c r="AH784" s="55"/>
      <c r="AI784" s="55"/>
      <c r="AJ784" s="55"/>
      <c r="AK784" s="101">
        <f t="shared" ca="1" si="154"/>
        <v>322913.58222950826</v>
      </c>
      <c r="AL784" s="129">
        <f t="array" ref="AL784">MAX((УслРестрактов[Характеристика]="Дата реструктуризации")*(УслРестрактов[Значение]=Первоначальный!$A784),0)</f>
        <v>0</v>
      </c>
    </row>
    <row r="785" spans="1:38" x14ac:dyDescent="0.25">
      <c r="A785" s="97">
        <f t="shared" si="147"/>
        <v>44916</v>
      </c>
      <c r="B785" s="100">
        <f t="shared" ca="1" si="148"/>
        <v>149633.34</v>
      </c>
      <c r="C785" s="55">
        <f t="shared" ca="1" si="144"/>
        <v>55845.950000000012</v>
      </c>
      <c r="D785" s="55">
        <f t="shared" ca="1" si="144"/>
        <v>2063.0299999999988</v>
      </c>
      <c r="E785" s="55">
        <f t="shared" ca="1" si="149"/>
        <v>0</v>
      </c>
      <c r="F785" s="55">
        <f t="shared" ca="1" si="150"/>
        <v>115371.26222950825</v>
      </c>
      <c r="G785" s="101">
        <f t="shared" ca="1" si="151"/>
        <v>322913.58222950826</v>
      </c>
      <c r="H785" s="100">
        <f ca="1">ROUND($B785*VLOOKUP($A785,$A$1:$B$10,2,1)/(365+IF(MOD(YEAR($A785),4),0,1)*($A785-$A784)),2)-Первоначальный[[#This Row],[Проценты на просроченный платеж по ОД за период]]</f>
        <v>75.25</v>
      </c>
      <c r="I785" s="55">
        <f t="shared" ca="1" si="152"/>
        <v>6.33</v>
      </c>
      <c r="J785" s="55">
        <v>0</v>
      </c>
      <c r="K785" s="55">
        <f t="shared" ca="1" si="155"/>
        <v>333.08850327868845</v>
      </c>
      <c r="L785" s="55">
        <v>0</v>
      </c>
      <c r="M785" s="113">
        <f>SUMIFS(График[Возврат основной суммы долга],График[Дата с учетом нерабочих дней],$A785)</f>
        <v>0</v>
      </c>
      <c r="N785" s="56">
        <f>SUMIFS(График[Возврат начисленных %],График[Дата с учетом нерабочих дней],$A785)</f>
        <v>0</v>
      </c>
      <c r="O785" s="101">
        <v>0</v>
      </c>
      <c r="P785" s="100" cm="1">
        <f t="array" aca="1" ref="P785" ca="1">MAX(IF(AA784="Да",0,SUM(INDIRECT("M"&amp;(MAX(("Да"=AA$12:AA784)*ROW(AA$12:AA784)+1,ROW($P$12))&amp;":M"&amp;(ROW()))))-SUM(INDIRECT("W"&amp;(MAX(("Да"=AA$12:AA784)*ROW(AA$12:AA784)+1,ROW($P$12))&amp;":W"&amp;(ROW()))))),0)</f>
        <v>11601.89</v>
      </c>
      <c r="Q785" s="99">
        <f ca="1">MAX(SUM($N$13:N785)-SUM($T$13:T785),0)</f>
        <v>55015.810655737689</v>
      </c>
      <c r="R785" s="99">
        <f ca="1">Первоначальный[[#This Row],[Просроченный платеж по ОД]]+Первоначальный[[#This Row],[Просроченный платеж по процентам]]</f>
        <v>66617.700655737688</v>
      </c>
      <c r="S785" s="120">
        <f ca="1">IF(Первоначальный[[#This Row],[Просроченный платеж]]&lt;1,0,S784+1)</f>
        <v>681</v>
      </c>
      <c r="T785" s="100" cm="1">
        <f t="array" aca="1" ref="T785" ca="1">IF(Первоначальный[[#This Row],[Итого остаток на начало периода]]&lt;1,0,
IF(
AND(TYPE(VLOOKUP(1,$Z$12:Z785,1,0))=16,Первоначальный[[#This Row],[Досрочное погашение (да/"")]]=""),0,
_xlfn.IFS(AND(S784=0,Первоначальный[[#This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платеж]]&lt;&gt;0),MIN(LOOKUP(,-1/($Z$12:Z785=1),$C$12:C785)+LOOKUP(,-1/($Z$12:Z785=1),$H$12:H785),Первоначальный[[#This Row],[Полученный платеж]]+Y784),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платеж]]+Y784,SUM(Первоначальный[[#This Row],[Остаток процентов на начало периода]],Первоначальный[[#This Row],[Проценты за период]])),
AND(S784=0,Первоначальный[[#This Row],[Дата платежа из графика]]=""),0,
AND(S784=0,Первоначальный[[#This Row],[Дата платежа из графика]]=1,MAX((0&lt;&gt;S$12:S784)*ROW(S$12:S784),ROW($S$12))&gt;=MAX((1=Z$12:Z784)*ROW(Z$12:Z784),ROW($T$12)),TYPE(VLOOKUP("Да",(INDIRECT("AA"&amp;(MAX((1=Z$12:Z784)*ROW(Z$12:Z784),ROW($T$12))&amp;":AA"&amp;(ROW()-1)))),1,0))=16),MIN(LOOKUP(,-1/($Z$12:Z785=1),$C$12:C785)+LOOKUP(,-1/($Z$12:Z785=1),$H$12:H785),Первоначальный[[#This Row],[Полученный платеж]]+Y784),
AND(S784=0,TYPE(VLOOKUP("Да",(INDIRECT("AA"&amp;(MAX((1=Z$12:Z784)*ROW(Z$12:Z784),ROW($T$12))&amp;":AA"&amp;(ROW()-1)))),1,0))&lt;&gt;16),MIN(LOOKUP(,-1/($Z$12:Z785=1),$C$12:C785)+LOOKUP(,-1/($Z$12:Z785=1),$H$12:H785)-IF(AA784="Да",0,SUM(INDIRECT("T"&amp;(MAX(("Да"=AA$12:AA784)*ROW(AA$12:AA784)+1,ROW($T$12))&amp;":T"&amp;(ROW()-1))))),Первоначальный[[#This Row],[Полученный платеж]]+Y784),
AND(S784=0,MAX((0&lt;&gt;N$12:N784)*ROW(N$12:N784),ROW($S$12))&gt;=MAX((1=Z$12:Z784)*ROW(Z$12:Z784),ROW($T$12))),MIN(LOOKUP(,-1/($Z$12:Z785=1),$C$12:C785)+LOOKUP(,-1/($Z$12:Z785=1),$H$12:H785)-IF(N784&lt;&gt;0,0,SUM(INDIRECT("T"&amp;(MAX((0&lt;&gt;N$12:N784)*ROW(N$12:N784)+1,ROW($T$12))&amp;":T"&amp;(ROW()-1))))),Первоначальный[[#This Row],[Полученный платеж]]+Y784),
AND(S784=0,Первоначальный[[#This Row],[Дата платежа из графика]]=1),MIN(LOOKUP(,-1/($Z$12:Z785=1),$C$12:C785)+LOOKUP(,-1/($Z$12:Z785=1),$H$12:H785)-IF(Z784=1,0,SUM(INDIRECT("T"&amp;(MAX((1=Z$12:Z784)*ROW(Z$12:Z784)+1,ROW($T$12))&amp;":T"&amp;(ROW()-1))))),Первоначальный[[#This Row],[Полученный платеж]]+Y784),
AND(Z784&gt;0,Первоначальный[[#This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платеж]]+Y784),
AND(S784&gt;0,MAX((0&lt;&gt;S$12:S784)*ROW(S$12:S784),ROW($S$12))&gt;=MAX((1=Z$12:Z784)*ROW(Z$12:Z784),ROW($T$12)),TYPE(VLOOKUP("Да",(INDIRECT("AA"&amp;(MAX((1=Z$12:Z784)*ROW(Z$12:Z784),ROW($T$12))&amp;":AA"&amp;(ROW()-1)))),1,0))=16),MIN(LOOKUP(,-1/($Z$12:Z785=1),$C$12:C785)+LOOKUP(,-1/($Z$12:Z785=1),$H$12:H785)-SUM(INDIRECT("T"&amp;(MAX((1=Z$12:Z784)*ROW(Z$12:Z784),ROW($T$12))&amp;":T"&amp;(ROW()-1)))),Первоначальный[[#This Row],[Полученный платеж]]+Y784),
S784&gt;0,MIN(LOOKUP(,-1/($Z$12:Z785=1),$C$12:C785)+LOOKUP(,-1/($Z$12:Z785=1),$H$12:H785)-IF(Z784=1,0,SUM(INDIRECT("T"&amp;(MAX((1=Z$12:Z784)*ROW(Z$12:Z784)+1,ROW($T$12))&amp;":T"&amp;(ROW()-1))))),Первоначальный[[#This Row],[Полученный платеж]]+Y784)
)
)
)</f>
        <v>0</v>
      </c>
      <c r="U78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платеж]]+Y784-Первоначальный[[#This Row],[Полученный платёж по процентам]])</f>
        <v>0</v>
      </c>
      <c r="V785" s="55">
        <f t="shared" ca="1" si="145"/>
        <v>0</v>
      </c>
      <c r="W785" s="55" cm="1">
        <f t="array" aca="1" ref="W785" ca="1">IF(Первоначальный[[#This Row],[Итого остаток на начало периода]]&lt;1,0,
_xlfn.IFS(
AND(TYPE(VLOOKUP(1,$Z$12:Z785,1,0))=16,Первоначальный[[#This Row],[Досрочное погашение (да/"")]]=""),0,
AND(S784=0,Первоначальный[[#This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платеж]]+Y784-SUM(Первоначальный[[#This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комиссиям]]),VLOOKUP(LOOKUP(,-1/($Z$12:Z785=1),$A$12:A785),График[[Срок конец]:[Возврат основной суммы долга]],3,0)),
AND(S784=0,Первоначальный[[#This Row],[Дата платежа из графика]]="",Первоначальный[[#This Row],[Досрочное погашение (да/"")]]&lt;&gt;"Да"),0,
AND(S784=0,Первоначальный[[#This Row],[Досрочное погашение (да/"")]]=""),MIN(Первоначальный[[#This Row],[Полученный платеж]]+Y784-SUM(Первоначальный[[#This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комиссиям]]),VLOOKUP(LOOKUP(,-1/($Z$12:Z785=1),$A$12:A785),График[[Срок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платеж]]+Y784-SUM(Первоначальный[[#This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S784&gt;0,MIN(Первоначальный[[#This Row],[Полученный платеж]]+Y784-SUM(Первоначальный[[#This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комиссиям]]),SUM(INDIRECT("M"&amp;(MAX((1=S$12:S784)*ROW(S$12:S784),ROW($W$12))&amp;":M"&amp;(ROW()))))-SUM(INDIRECT("W"&amp;(MAX((1=S$12:S784)*ROW(S$12:S784),ROW($W$12))&amp;":W"&amp;(ROW()-1)))))
)
)</f>
        <v>0</v>
      </c>
      <c r="X785" s="55">
        <f t="shared" ca="1" si="146"/>
        <v>0</v>
      </c>
      <c r="Y785" s="101">
        <f t="shared" ca="1" si="153"/>
        <v>0</v>
      </c>
      <c r="Z785" s="133" t="str">
        <f>IF(TYPE((VLOOKUP(Первоначальный[[#This Row],[Дата платежа]],График[Срок конец],1,0)))=16,"",1)</f>
        <v/>
      </c>
      <c r="AA785" s="57"/>
      <c r="AB785" s="134"/>
      <c r="AC78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8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55921.200000000012</v>
      </c>
      <c r="AE78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2069.3599999999988</v>
      </c>
      <c r="AF78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8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115704.35073278694</v>
      </c>
      <c r="AH785" s="55"/>
      <c r="AI785" s="55"/>
      <c r="AJ785" s="55"/>
      <c r="AK785" s="101">
        <f t="shared" ca="1" si="154"/>
        <v>323328.25073278695</v>
      </c>
      <c r="AL785" s="129">
        <f t="array" ref="AL785">MAX((УслРестрактов[Характеристика]="Дата реструктуризации")*(УслРестрактов[Значение]=Первоначальный!$A785),0)</f>
        <v>0</v>
      </c>
    </row>
    <row r="786" spans="1:38" x14ac:dyDescent="0.25">
      <c r="A786" s="97">
        <f t="shared" si="147"/>
        <v>44917</v>
      </c>
      <c r="B786" s="100">
        <f t="shared" ca="1" si="148"/>
        <v>149633.34</v>
      </c>
      <c r="C786" s="55">
        <f t="shared" ca="1" si="144"/>
        <v>55921.200000000012</v>
      </c>
      <c r="D786" s="55">
        <f t="shared" ca="1" si="144"/>
        <v>2069.3599999999988</v>
      </c>
      <c r="E786" s="55">
        <f t="shared" ca="1" si="149"/>
        <v>0</v>
      </c>
      <c r="F786" s="55">
        <f t="shared" ca="1" si="150"/>
        <v>115704.35073278694</v>
      </c>
      <c r="G786" s="101">
        <f t="shared" ca="1" si="151"/>
        <v>323328.25073278695</v>
      </c>
      <c r="H786" s="100">
        <f ca="1">ROUND($B786*VLOOKUP($A786,$A$1:$B$10,2,1)/(365+IF(MOD(YEAR($A786),4),0,1)*($A786-$A785)),2)-Первоначальный[[#This Row],[Проценты на просроченный платеж по ОД за период]]</f>
        <v>75.25</v>
      </c>
      <c r="I786" s="55">
        <f t="shared" ca="1" si="152"/>
        <v>6.33</v>
      </c>
      <c r="J786" s="55">
        <v>0</v>
      </c>
      <c r="K786" s="55">
        <f t="shared" ca="1" si="155"/>
        <v>333.08850327868845</v>
      </c>
      <c r="L786" s="55">
        <v>0</v>
      </c>
      <c r="M786" s="113">
        <f>SUMIFS(График[Возврат основной суммы долга],График[Дата с учетом нерабочих дней],$A786)</f>
        <v>0</v>
      </c>
      <c r="N786" s="56">
        <f>SUMIFS(График[Возврат начисленных %],График[Дата с учетом нерабочих дней],$A786)</f>
        <v>0</v>
      </c>
      <c r="O786" s="101">
        <v>0</v>
      </c>
      <c r="P786" s="100" cm="1">
        <f t="array" aca="1" ref="P786" ca="1">MAX(IF(AA785="Да",0,SUM(INDIRECT("M"&amp;(MAX(("Да"=AA$12:AA785)*ROW(AA$12:AA785)+1,ROW($P$12))&amp;":M"&amp;(ROW()))))-SUM(INDIRECT("W"&amp;(MAX(("Да"=AA$12:AA785)*ROW(AA$12:AA785)+1,ROW($P$12))&amp;":W"&amp;(ROW()))))),0)</f>
        <v>11601.89</v>
      </c>
      <c r="Q786" s="99">
        <f ca="1">MAX(SUM($N$13:N786)-SUM($T$13:T786),0)</f>
        <v>55015.810655737689</v>
      </c>
      <c r="R786" s="99">
        <f ca="1">Первоначальный[[#This Row],[Просроченный платеж по ОД]]+Первоначальный[[#This Row],[Просроченный платеж по процентам]]</f>
        <v>66617.700655737688</v>
      </c>
      <c r="S786" s="120">
        <f ca="1">IF(Первоначальный[[#This Row],[Просроченный платеж]]&lt;1,0,S785+1)</f>
        <v>682</v>
      </c>
      <c r="T786" s="100" cm="1">
        <f t="array" aca="1" ref="T786" ca="1">IF(Первоначальный[[#This Row],[Итого остаток на начало периода]]&lt;1,0,
IF(
AND(TYPE(VLOOKUP(1,$Z$12:Z786,1,0))=16,Первоначальный[[#This Row],[Досрочное погашение (да/"")]]=""),0,
_xlfn.IFS(AND(S785=0,Первоначальный[[#This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платеж]]&lt;&gt;0),MIN(LOOKUP(,-1/($Z$12:Z786=1),$C$12:C786)+LOOKUP(,-1/($Z$12:Z786=1),$H$12:H786),Первоначальный[[#This Row],[Полученный платеж]]+Y785),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платеж]]+Y785,SUM(Первоначальный[[#This Row],[Остаток процентов на начало периода]],Первоначальный[[#This Row],[Проценты за период]])),
AND(S785=0,Первоначальный[[#This Row],[Дата платежа из графика]]=""),0,
AND(S785=0,Первоначальный[[#This Row],[Дата платежа из графика]]=1,MAX((0&lt;&gt;S$12:S785)*ROW(S$12:S785),ROW($S$12))&gt;=MAX((1=Z$12:Z785)*ROW(Z$12:Z785),ROW($T$12)),TYPE(VLOOKUP("Да",(INDIRECT("AA"&amp;(MAX((1=Z$12:Z785)*ROW(Z$12:Z785),ROW($T$12))&amp;":AA"&amp;(ROW()-1)))),1,0))=16),MIN(LOOKUP(,-1/($Z$12:Z786=1),$C$12:C786)+LOOKUP(,-1/($Z$12:Z786=1),$H$12:H786),Первоначальный[[#This Row],[Полученный платеж]]+Y785),
AND(S785=0,TYPE(VLOOKUP("Да",(INDIRECT("AA"&amp;(MAX((1=Z$12:Z785)*ROW(Z$12:Z785),ROW($T$12))&amp;":AA"&amp;(ROW()-1)))),1,0))&lt;&gt;16),MIN(LOOKUP(,-1/($Z$12:Z786=1),$C$12:C786)+LOOKUP(,-1/($Z$12:Z786=1),$H$12:H786)-IF(AA785="Да",0,SUM(INDIRECT("T"&amp;(MAX(("Да"=AA$12:AA785)*ROW(AA$12:AA785)+1,ROW($T$12))&amp;":T"&amp;(ROW()-1))))),Первоначальный[[#This Row],[Полученный платеж]]+Y785),
AND(S785=0,MAX((0&lt;&gt;N$12:N785)*ROW(N$12:N785),ROW($S$12))&gt;=MAX((1=Z$12:Z785)*ROW(Z$12:Z785),ROW($T$12))),MIN(LOOKUP(,-1/($Z$12:Z786=1),$C$12:C786)+LOOKUP(,-1/($Z$12:Z786=1),$H$12:H786)-IF(N785&lt;&gt;0,0,SUM(INDIRECT("T"&amp;(MAX((0&lt;&gt;N$12:N785)*ROW(N$12:N785)+1,ROW($T$12))&amp;":T"&amp;(ROW()-1))))),Первоначальный[[#This Row],[Полученный платеж]]+Y785),
AND(S785=0,Первоначальный[[#This Row],[Дата платежа из графика]]=1),MIN(LOOKUP(,-1/($Z$12:Z786=1),$C$12:C786)+LOOKUP(,-1/($Z$12:Z786=1),$H$12:H786)-IF(Z785=1,0,SUM(INDIRECT("T"&amp;(MAX((1=Z$12:Z785)*ROW(Z$12:Z785)+1,ROW($T$12))&amp;":T"&amp;(ROW()-1))))),Первоначальный[[#This Row],[Полученный платеж]]+Y785),
AND(Z785&gt;0,Первоначальный[[#This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платеж]]+Y785),
AND(S785&gt;0,MAX((0&lt;&gt;S$12:S785)*ROW(S$12:S785),ROW($S$12))&gt;=MAX((1=Z$12:Z785)*ROW(Z$12:Z785),ROW($T$12)),TYPE(VLOOKUP("Да",(INDIRECT("AA"&amp;(MAX((1=Z$12:Z785)*ROW(Z$12:Z785),ROW($T$12))&amp;":AA"&amp;(ROW()-1)))),1,0))=16),MIN(LOOKUP(,-1/($Z$12:Z786=1),$C$12:C786)+LOOKUP(,-1/($Z$12:Z786=1),$H$12:H786)-SUM(INDIRECT("T"&amp;(MAX((1=Z$12:Z785)*ROW(Z$12:Z785),ROW($T$12))&amp;":T"&amp;(ROW()-1)))),Первоначальный[[#This Row],[Полученный платеж]]+Y785),
S785&gt;0,MIN(LOOKUP(,-1/($Z$12:Z786=1),$C$12:C786)+LOOKUP(,-1/($Z$12:Z786=1),$H$12:H786)-IF(Z785=1,0,SUM(INDIRECT("T"&amp;(MAX((1=Z$12:Z785)*ROW(Z$12:Z785)+1,ROW($T$12))&amp;":T"&amp;(ROW()-1))))),Первоначальный[[#This Row],[Полученный платеж]]+Y785)
)
)
)</f>
        <v>0</v>
      </c>
      <c r="U78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платеж]]+Y785-Первоначальный[[#This Row],[Полученный платёж по процентам]])</f>
        <v>0</v>
      </c>
      <c r="V786" s="55">
        <f t="shared" ca="1" si="145"/>
        <v>0</v>
      </c>
      <c r="W786" s="55" cm="1">
        <f t="array" aca="1" ref="W786" ca="1">IF(Первоначальный[[#This Row],[Итого остаток на начало периода]]&lt;1,0,
_xlfn.IFS(
AND(TYPE(VLOOKUP(1,$Z$12:Z786,1,0))=16,Первоначальный[[#This Row],[Досрочное погашение (да/"")]]=""),0,
AND(S785=0,Первоначальный[[#This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платеж]]+Y785-SUM(Первоначальный[[#This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комиссиям]]),VLOOKUP(LOOKUP(,-1/($Z$12:Z786=1),$A$12:A786),График[[Срок конец]:[Возврат основной суммы долга]],3,0)),
AND(S785=0,Первоначальный[[#This Row],[Дата платежа из графика]]="",Первоначальный[[#This Row],[Досрочное погашение (да/"")]]&lt;&gt;"Да"),0,
AND(S785=0,Первоначальный[[#This Row],[Досрочное погашение (да/"")]]=""),MIN(Первоначальный[[#This Row],[Полученный платеж]]+Y785-SUM(Первоначальный[[#This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комиссиям]]),VLOOKUP(LOOKUP(,-1/($Z$12:Z786=1),$A$12:A786),График[[Срок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платеж]]+Y785-SUM(Первоначальный[[#This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S785&gt;0,MIN(Первоначальный[[#This Row],[Полученный платеж]]+Y785-SUM(Первоначальный[[#This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комиссиям]]),SUM(INDIRECT("M"&amp;(MAX((1=S$12:S785)*ROW(S$12:S785),ROW($W$12))&amp;":M"&amp;(ROW()))))-SUM(INDIRECT("W"&amp;(MAX((1=S$12:S785)*ROW(S$12:S785),ROW($W$12))&amp;":W"&amp;(ROW()-1)))))
)
)</f>
        <v>0</v>
      </c>
      <c r="X786" s="55">
        <f t="shared" ca="1" si="146"/>
        <v>0</v>
      </c>
      <c r="Y786" s="101">
        <f t="shared" ca="1" si="153"/>
        <v>0</v>
      </c>
      <c r="Z786" s="133" t="str">
        <f>IF(TYPE((VLOOKUP(Первоначальный[[#This Row],[Дата платежа]],График[Срок конец],1,0)))=16,"",1)</f>
        <v/>
      </c>
      <c r="AA786" s="57"/>
      <c r="AB786" s="134"/>
      <c r="AC78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8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55996.450000000012</v>
      </c>
      <c r="AE78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2075.6899999999987</v>
      </c>
      <c r="AF78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8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116037.43923606563</v>
      </c>
      <c r="AH786" s="55"/>
      <c r="AI786" s="55"/>
      <c r="AJ786" s="55"/>
      <c r="AK786" s="101">
        <f t="shared" ca="1" si="154"/>
        <v>323742.91923606565</v>
      </c>
      <c r="AL786" s="129">
        <f t="array" ref="AL786">MAX((УслРестрактов[Характеристика]="Дата реструктуризации")*(УслРестрактов[Значение]=Первоначальный!$A786),0)</f>
        <v>0</v>
      </c>
    </row>
    <row r="787" spans="1:38" x14ac:dyDescent="0.25">
      <c r="A787" s="97">
        <f t="shared" si="147"/>
        <v>44918</v>
      </c>
      <c r="B787" s="100">
        <f t="shared" ca="1" si="148"/>
        <v>149633.34</v>
      </c>
      <c r="C787" s="55">
        <f t="shared" ca="1" si="144"/>
        <v>55996.450000000012</v>
      </c>
      <c r="D787" s="55">
        <f t="shared" ca="1" si="144"/>
        <v>2075.6899999999987</v>
      </c>
      <c r="E787" s="55">
        <f t="shared" ca="1" si="149"/>
        <v>0</v>
      </c>
      <c r="F787" s="55">
        <f t="shared" ca="1" si="150"/>
        <v>116037.43923606563</v>
      </c>
      <c r="G787" s="101">
        <f t="shared" ca="1" si="151"/>
        <v>323742.91923606565</v>
      </c>
      <c r="H787" s="100">
        <f ca="1">ROUND($B787*VLOOKUP($A787,$A$1:$B$10,2,1)/(365+IF(MOD(YEAR($A787),4),0,1)*($A787-$A786)),2)-Первоначальный[[#This Row],[Проценты на просроченный платеж по ОД за период]]</f>
        <v>75.25</v>
      </c>
      <c r="I787" s="55">
        <f t="shared" ca="1" si="152"/>
        <v>6.33</v>
      </c>
      <c r="J787" s="55">
        <v>0</v>
      </c>
      <c r="K787" s="55">
        <f t="shared" ca="1" si="155"/>
        <v>333.08850327868845</v>
      </c>
      <c r="L787" s="55">
        <v>0</v>
      </c>
      <c r="M787" s="113">
        <f>SUMIFS(График[Возврат основной суммы долга],График[Дата с учетом нерабочих дней],$A787)</f>
        <v>0</v>
      </c>
      <c r="N787" s="56">
        <f>SUMIFS(График[Возврат начисленных %],График[Дата с учетом нерабочих дней],$A787)</f>
        <v>0</v>
      </c>
      <c r="O787" s="101">
        <v>0</v>
      </c>
      <c r="P787" s="100" cm="1">
        <f t="array" aca="1" ref="P787" ca="1">MAX(IF(AA786="Да",0,SUM(INDIRECT("M"&amp;(MAX(("Да"=AA$12:AA786)*ROW(AA$12:AA786)+1,ROW($P$12))&amp;":M"&amp;(ROW()))))-SUM(INDIRECT("W"&amp;(MAX(("Да"=AA$12:AA786)*ROW(AA$12:AA786)+1,ROW($P$12))&amp;":W"&amp;(ROW()))))),0)</f>
        <v>11601.89</v>
      </c>
      <c r="Q787" s="99">
        <f ca="1">MAX(SUM($N$13:N787)-SUM($T$13:T787),0)</f>
        <v>55015.810655737689</v>
      </c>
      <c r="R787" s="99">
        <f ca="1">Первоначальный[[#This Row],[Просроченный платеж по ОД]]+Первоначальный[[#This Row],[Просроченный платеж по процентам]]</f>
        <v>66617.700655737688</v>
      </c>
      <c r="S787" s="120">
        <f ca="1">IF(Первоначальный[[#This Row],[Просроченный платеж]]&lt;1,0,S786+1)</f>
        <v>683</v>
      </c>
      <c r="T787" s="100" cm="1">
        <f t="array" aca="1" ref="T787" ca="1">IF(Первоначальный[[#This Row],[Итого остаток на начало периода]]&lt;1,0,
IF(
AND(TYPE(VLOOKUP(1,$Z$12:Z787,1,0))=16,Первоначальный[[#This Row],[Досрочное погашение (да/"")]]=""),0,
_xlfn.IFS(AND(S786=0,Первоначальный[[#This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платеж]]&lt;&gt;0),MIN(LOOKUP(,-1/($Z$12:Z787=1),$C$12:C787)+LOOKUP(,-1/($Z$12:Z787=1),$H$12:H787),Первоначальный[[#This Row],[Полученный платеж]]+Y786),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платеж]]+Y786,SUM(Первоначальный[[#This Row],[Остаток процентов на начало периода]],Первоначальный[[#This Row],[Проценты за период]])),
AND(S786=0,Первоначальный[[#This Row],[Дата платежа из графика]]=""),0,
AND(S786=0,Первоначальный[[#This Row],[Дата платежа из графика]]=1,MAX((0&lt;&gt;S$12:S786)*ROW(S$12:S786),ROW($S$12))&gt;=MAX((1=Z$12:Z786)*ROW(Z$12:Z786),ROW($T$12)),TYPE(VLOOKUP("Да",(INDIRECT("AA"&amp;(MAX((1=Z$12:Z786)*ROW(Z$12:Z786),ROW($T$12))&amp;":AA"&amp;(ROW()-1)))),1,0))=16),MIN(LOOKUP(,-1/($Z$12:Z787=1),$C$12:C787)+LOOKUP(,-1/($Z$12:Z787=1),$H$12:H787),Первоначальный[[#This Row],[Полученный платеж]]+Y786),
AND(S786=0,TYPE(VLOOKUP("Да",(INDIRECT("AA"&amp;(MAX((1=Z$12:Z786)*ROW(Z$12:Z786),ROW($T$12))&amp;":AA"&amp;(ROW()-1)))),1,0))&lt;&gt;16),MIN(LOOKUP(,-1/($Z$12:Z787=1),$C$12:C787)+LOOKUP(,-1/($Z$12:Z787=1),$H$12:H787)-IF(AA786="Да",0,SUM(INDIRECT("T"&amp;(MAX(("Да"=AA$12:AA786)*ROW(AA$12:AA786)+1,ROW($T$12))&amp;":T"&amp;(ROW()-1))))),Первоначальный[[#This Row],[Полученный платеж]]+Y786),
AND(S786=0,MAX((0&lt;&gt;N$12:N786)*ROW(N$12:N786),ROW($S$12))&gt;=MAX((1=Z$12:Z786)*ROW(Z$12:Z786),ROW($T$12))),MIN(LOOKUP(,-1/($Z$12:Z787=1),$C$12:C787)+LOOKUP(,-1/($Z$12:Z787=1),$H$12:H787)-IF(N786&lt;&gt;0,0,SUM(INDIRECT("T"&amp;(MAX((0&lt;&gt;N$12:N786)*ROW(N$12:N786)+1,ROW($T$12))&amp;":T"&amp;(ROW()-1))))),Первоначальный[[#This Row],[Полученный платеж]]+Y786),
AND(S786=0,Первоначальный[[#This Row],[Дата платежа из графика]]=1),MIN(LOOKUP(,-1/($Z$12:Z787=1),$C$12:C787)+LOOKUP(,-1/($Z$12:Z787=1),$H$12:H787)-IF(Z786=1,0,SUM(INDIRECT("T"&amp;(MAX((1=Z$12:Z786)*ROW(Z$12:Z786)+1,ROW($T$12))&amp;":T"&amp;(ROW()-1))))),Первоначальный[[#This Row],[Полученный платеж]]+Y786),
AND(Z786&gt;0,Первоначальный[[#This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платеж]]+Y786),
AND(S786&gt;0,MAX((0&lt;&gt;S$12:S786)*ROW(S$12:S786),ROW($S$12))&gt;=MAX((1=Z$12:Z786)*ROW(Z$12:Z786),ROW($T$12)),TYPE(VLOOKUP("Да",(INDIRECT("AA"&amp;(MAX((1=Z$12:Z786)*ROW(Z$12:Z786),ROW($T$12))&amp;":AA"&amp;(ROW()-1)))),1,0))=16),MIN(LOOKUP(,-1/($Z$12:Z787=1),$C$12:C787)+LOOKUP(,-1/($Z$12:Z787=1),$H$12:H787)-SUM(INDIRECT("T"&amp;(MAX((1=Z$12:Z786)*ROW(Z$12:Z786),ROW($T$12))&amp;":T"&amp;(ROW()-1)))),Первоначальный[[#This Row],[Полученный платеж]]+Y786),
S786&gt;0,MIN(LOOKUP(,-1/($Z$12:Z787=1),$C$12:C787)+LOOKUP(,-1/($Z$12:Z787=1),$H$12:H787)-IF(Z786=1,0,SUM(INDIRECT("T"&amp;(MAX((1=Z$12:Z786)*ROW(Z$12:Z786)+1,ROW($T$12))&amp;":T"&amp;(ROW()-1))))),Первоначальный[[#This Row],[Полученный платеж]]+Y786)
)
)
)</f>
        <v>0</v>
      </c>
      <c r="U78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платеж]]+Y786-Первоначальный[[#This Row],[Полученный платёж по процентам]])</f>
        <v>0</v>
      </c>
      <c r="V787" s="55">
        <f t="shared" ca="1" si="145"/>
        <v>0</v>
      </c>
      <c r="W787" s="55" cm="1">
        <f t="array" aca="1" ref="W787" ca="1">IF(Первоначальный[[#This Row],[Итого остаток на начало периода]]&lt;1,0,
_xlfn.IFS(
AND(TYPE(VLOOKUP(1,$Z$12:Z787,1,0))=16,Первоначальный[[#This Row],[Досрочное погашение (да/"")]]=""),0,
AND(S786=0,Первоначальный[[#This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платеж]]+Y786-SUM(Первоначальный[[#This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комиссиям]]),VLOOKUP(LOOKUP(,-1/($Z$12:Z787=1),$A$12:A787),График[[Срок конец]:[Возврат основной суммы долга]],3,0)),
AND(S786=0,Первоначальный[[#This Row],[Дата платежа из графика]]="",Первоначальный[[#This Row],[Досрочное погашение (да/"")]]&lt;&gt;"Да"),0,
AND(S786=0,Первоначальный[[#This Row],[Досрочное погашение (да/"")]]=""),MIN(Первоначальный[[#This Row],[Полученный платеж]]+Y786-SUM(Первоначальный[[#This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комиссиям]]),VLOOKUP(LOOKUP(,-1/($Z$12:Z787=1),$A$12:A787),График[[Срок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платеж]]+Y786-SUM(Первоначальный[[#This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S786&gt;0,MIN(Первоначальный[[#This Row],[Полученный платеж]]+Y786-SUM(Первоначальный[[#This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комиссиям]]),SUM(INDIRECT("M"&amp;(MAX((1=S$12:S786)*ROW(S$12:S786),ROW($W$12))&amp;":M"&amp;(ROW()))))-SUM(INDIRECT("W"&amp;(MAX((1=S$12:S786)*ROW(S$12:S786),ROW($W$12))&amp;":W"&amp;(ROW()-1)))))
)
)</f>
        <v>0</v>
      </c>
      <c r="X787" s="55">
        <f t="shared" ca="1" si="146"/>
        <v>0</v>
      </c>
      <c r="Y787" s="101">
        <f t="shared" ca="1" si="153"/>
        <v>0</v>
      </c>
      <c r="Z787" s="133" t="str">
        <f>IF(TYPE((VLOOKUP(Первоначальный[[#This Row],[Дата платежа]],График[Срок конец],1,0)))=16,"",1)</f>
        <v/>
      </c>
      <c r="AA787" s="57"/>
      <c r="AB787" s="134"/>
      <c r="AC78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8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56071.700000000012</v>
      </c>
      <c r="AE78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2082.0199999999986</v>
      </c>
      <c r="AF78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8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116370.52773934432</v>
      </c>
      <c r="AH787" s="55"/>
      <c r="AI787" s="55"/>
      <c r="AJ787" s="55"/>
      <c r="AK787" s="101">
        <f t="shared" ca="1" si="154"/>
        <v>324157.58773934434</v>
      </c>
      <c r="AL787" s="129">
        <f t="array" ref="AL787">MAX((УслРестрактов[Характеристика]="Дата реструктуризации")*(УслРестрактов[Значение]=Первоначальный!$A787),0)</f>
        <v>0</v>
      </c>
    </row>
    <row r="788" spans="1:38" x14ac:dyDescent="0.25">
      <c r="A788" s="97">
        <f t="shared" si="147"/>
        <v>44919</v>
      </c>
      <c r="B788" s="100">
        <f t="shared" ca="1" si="148"/>
        <v>149633.34</v>
      </c>
      <c r="C788" s="55">
        <f t="shared" ca="1" si="144"/>
        <v>56071.700000000012</v>
      </c>
      <c r="D788" s="55">
        <f t="shared" ca="1" si="144"/>
        <v>2082.0199999999986</v>
      </c>
      <c r="E788" s="55">
        <f t="shared" ca="1" si="149"/>
        <v>0</v>
      </c>
      <c r="F788" s="55">
        <f t="shared" ca="1" si="150"/>
        <v>116370.52773934432</v>
      </c>
      <c r="G788" s="101">
        <f t="shared" ca="1" si="151"/>
        <v>324157.58773934434</v>
      </c>
      <c r="H788" s="100">
        <f ca="1">ROUND($B788*VLOOKUP($A788,$A$1:$B$10,2,1)/(365+IF(MOD(YEAR($A788),4),0,1)*($A788-$A787)),2)-Первоначальный[[#This Row],[Проценты на просроченный платеж по ОД за период]]</f>
        <v>75.25</v>
      </c>
      <c r="I788" s="55">
        <f t="shared" ca="1" si="152"/>
        <v>6.33</v>
      </c>
      <c r="J788" s="55">
        <v>0</v>
      </c>
      <c r="K788" s="55">
        <f t="shared" ca="1" si="155"/>
        <v>333.08850327868845</v>
      </c>
      <c r="L788" s="55">
        <v>0</v>
      </c>
      <c r="M788" s="113">
        <f>SUMIFS(График[Возврат основной суммы долга],График[Дата с учетом нерабочих дней],$A788)</f>
        <v>0</v>
      </c>
      <c r="N788" s="56">
        <f>SUMIFS(График[Возврат начисленных %],График[Дата с учетом нерабочих дней],$A788)</f>
        <v>0</v>
      </c>
      <c r="O788" s="101">
        <v>0</v>
      </c>
      <c r="P788" s="100" cm="1">
        <f t="array" aca="1" ref="P788" ca="1">MAX(IF(AA787="Да",0,SUM(INDIRECT("M"&amp;(MAX(("Да"=AA$12:AA787)*ROW(AA$12:AA787)+1,ROW($P$12))&amp;":M"&amp;(ROW()))))-SUM(INDIRECT("W"&amp;(MAX(("Да"=AA$12:AA787)*ROW(AA$12:AA787)+1,ROW($P$12))&amp;":W"&amp;(ROW()))))),0)</f>
        <v>11601.89</v>
      </c>
      <c r="Q788" s="99">
        <f ca="1">MAX(SUM($N$13:N788)-SUM($T$13:T788),0)</f>
        <v>55015.810655737689</v>
      </c>
      <c r="R788" s="99">
        <f ca="1">Первоначальный[[#This Row],[Просроченный платеж по ОД]]+Первоначальный[[#This Row],[Просроченный платеж по процентам]]</f>
        <v>66617.700655737688</v>
      </c>
      <c r="S788" s="120">
        <f ca="1">IF(Первоначальный[[#This Row],[Просроченный платеж]]&lt;1,0,S787+1)</f>
        <v>684</v>
      </c>
      <c r="T788" s="100" cm="1">
        <f t="array" aca="1" ref="T788" ca="1">IF(Первоначальный[[#This Row],[Итого остаток на начало периода]]&lt;1,0,
IF(
AND(TYPE(VLOOKUP(1,$Z$12:Z788,1,0))=16,Первоначальный[[#This Row],[Досрочное погашение (да/"")]]=""),0,
_xlfn.IFS(AND(S787=0,Первоначальный[[#This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платеж]]&lt;&gt;0),MIN(LOOKUP(,-1/($Z$12:Z788=1),$C$12:C788)+LOOKUP(,-1/($Z$12:Z788=1),$H$12:H788),Первоначальный[[#This Row],[Полученный платеж]]+Y787),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платеж]]+Y787,SUM(Первоначальный[[#This Row],[Остаток процентов на начало периода]],Первоначальный[[#This Row],[Проценты за период]])),
AND(S787=0,Первоначальный[[#This Row],[Дата платежа из графика]]=""),0,
AND(S787=0,Первоначальный[[#This Row],[Дата платежа из графика]]=1,MAX((0&lt;&gt;S$12:S787)*ROW(S$12:S787),ROW($S$12))&gt;=MAX((1=Z$12:Z787)*ROW(Z$12:Z787),ROW($T$12)),TYPE(VLOOKUP("Да",(INDIRECT("AA"&amp;(MAX((1=Z$12:Z787)*ROW(Z$12:Z787),ROW($T$12))&amp;":AA"&amp;(ROW()-1)))),1,0))=16),MIN(LOOKUP(,-1/($Z$12:Z788=1),$C$12:C788)+LOOKUP(,-1/($Z$12:Z788=1),$H$12:H788),Первоначальный[[#This Row],[Полученный платеж]]+Y787),
AND(S787=0,TYPE(VLOOKUP("Да",(INDIRECT("AA"&amp;(MAX((1=Z$12:Z787)*ROW(Z$12:Z787),ROW($T$12))&amp;":AA"&amp;(ROW()-1)))),1,0))&lt;&gt;16),MIN(LOOKUP(,-1/($Z$12:Z788=1),$C$12:C788)+LOOKUP(,-1/($Z$12:Z788=1),$H$12:H788)-IF(AA787="Да",0,SUM(INDIRECT("T"&amp;(MAX(("Да"=AA$12:AA787)*ROW(AA$12:AA787)+1,ROW($T$12))&amp;":T"&amp;(ROW()-1))))),Первоначальный[[#This Row],[Полученный платеж]]+Y787),
AND(S787=0,MAX((0&lt;&gt;N$12:N787)*ROW(N$12:N787),ROW($S$12))&gt;=MAX((1=Z$12:Z787)*ROW(Z$12:Z787),ROW($T$12))),MIN(LOOKUP(,-1/($Z$12:Z788=1),$C$12:C788)+LOOKUP(,-1/($Z$12:Z788=1),$H$12:H788)-IF(N787&lt;&gt;0,0,SUM(INDIRECT("T"&amp;(MAX((0&lt;&gt;N$12:N787)*ROW(N$12:N787)+1,ROW($T$12))&amp;":T"&amp;(ROW()-1))))),Первоначальный[[#This Row],[Полученный платеж]]+Y787),
AND(S787=0,Первоначальный[[#This Row],[Дата платежа из графика]]=1),MIN(LOOKUP(,-1/($Z$12:Z788=1),$C$12:C788)+LOOKUP(,-1/($Z$12:Z788=1),$H$12:H788)-IF(Z787=1,0,SUM(INDIRECT("T"&amp;(MAX((1=Z$12:Z787)*ROW(Z$12:Z787)+1,ROW($T$12))&amp;":T"&amp;(ROW()-1))))),Первоначальный[[#This Row],[Полученный платеж]]+Y787),
AND(Z787&gt;0,Первоначальный[[#This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платеж]]+Y787),
AND(S787&gt;0,MAX((0&lt;&gt;S$12:S787)*ROW(S$12:S787),ROW($S$12))&gt;=MAX((1=Z$12:Z787)*ROW(Z$12:Z787),ROW($T$12)),TYPE(VLOOKUP("Да",(INDIRECT("AA"&amp;(MAX((1=Z$12:Z787)*ROW(Z$12:Z787),ROW($T$12))&amp;":AA"&amp;(ROW()-1)))),1,0))=16),MIN(LOOKUP(,-1/($Z$12:Z788=1),$C$12:C788)+LOOKUP(,-1/($Z$12:Z788=1),$H$12:H788)-SUM(INDIRECT("T"&amp;(MAX((1=Z$12:Z787)*ROW(Z$12:Z787),ROW($T$12))&amp;":T"&amp;(ROW()-1)))),Первоначальный[[#This Row],[Полученный платеж]]+Y787),
S787&gt;0,MIN(LOOKUP(,-1/($Z$12:Z788=1),$C$12:C788)+LOOKUP(,-1/($Z$12:Z788=1),$H$12:H788)-IF(Z787=1,0,SUM(INDIRECT("T"&amp;(MAX((1=Z$12:Z787)*ROW(Z$12:Z787)+1,ROW($T$12))&amp;":T"&amp;(ROW()-1))))),Первоначальный[[#This Row],[Полученный платеж]]+Y787)
)
)
)</f>
        <v>0</v>
      </c>
      <c r="U78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платеж]]+Y787-Первоначальный[[#This Row],[Полученный платёж по процентам]])</f>
        <v>0</v>
      </c>
      <c r="V788" s="55">
        <f t="shared" ca="1" si="145"/>
        <v>0</v>
      </c>
      <c r="W788" s="55" cm="1">
        <f t="array" aca="1" ref="W788" ca="1">IF(Первоначальный[[#This Row],[Итого остаток на начало периода]]&lt;1,0,
_xlfn.IFS(
AND(TYPE(VLOOKUP(1,$Z$12:Z788,1,0))=16,Первоначальный[[#This Row],[Досрочное погашение (да/"")]]=""),0,
AND(S787=0,Первоначальный[[#This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платеж]]+Y787-SUM(Первоначальный[[#This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комиссиям]]),VLOOKUP(LOOKUP(,-1/($Z$12:Z788=1),$A$12:A788),График[[Срок конец]:[Возврат основной суммы долга]],3,0)),
AND(S787=0,Первоначальный[[#This Row],[Дата платежа из графика]]="",Первоначальный[[#This Row],[Досрочное погашение (да/"")]]&lt;&gt;"Да"),0,
AND(S787=0,Первоначальный[[#This Row],[Досрочное погашение (да/"")]]=""),MIN(Первоначальный[[#This Row],[Полученный платеж]]+Y787-SUM(Первоначальный[[#This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комиссиям]]),VLOOKUP(LOOKUP(,-1/($Z$12:Z788=1),$A$12:A788),График[[Срок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платеж]]+Y787-SUM(Первоначальный[[#This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S787&gt;0,MIN(Первоначальный[[#This Row],[Полученный платеж]]+Y787-SUM(Первоначальный[[#This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комиссиям]]),SUM(INDIRECT("M"&amp;(MAX((1=S$12:S787)*ROW(S$12:S787),ROW($W$12))&amp;":M"&amp;(ROW()))))-SUM(INDIRECT("W"&amp;(MAX((1=S$12:S787)*ROW(S$12:S787),ROW($W$12))&amp;":W"&amp;(ROW()-1)))))
)
)</f>
        <v>0</v>
      </c>
      <c r="X788" s="55">
        <f t="shared" ca="1" si="146"/>
        <v>0</v>
      </c>
      <c r="Y788" s="101">
        <f t="shared" ca="1" si="153"/>
        <v>0</v>
      </c>
      <c r="Z788" s="133" t="str">
        <f>IF(TYPE((VLOOKUP(Первоначальный[[#This Row],[Дата платежа]],График[Срок конец],1,0)))=16,"",1)</f>
        <v/>
      </c>
      <c r="AA788" s="57"/>
      <c r="AB788" s="134"/>
      <c r="AC78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8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56146.950000000012</v>
      </c>
      <c r="AE78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2088.3499999999985</v>
      </c>
      <c r="AF78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8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116703.61624262301</v>
      </c>
      <c r="AH788" s="55"/>
      <c r="AI788" s="55"/>
      <c r="AJ788" s="55"/>
      <c r="AK788" s="101">
        <f t="shared" ca="1" si="154"/>
        <v>324572.25624262303</v>
      </c>
      <c r="AL788" s="129">
        <f t="array" ref="AL788">MAX((УслРестрактов[Характеристика]="Дата реструктуризации")*(УслРестрактов[Значение]=Первоначальный!$A788),0)</f>
        <v>0</v>
      </c>
    </row>
    <row r="789" spans="1:38" x14ac:dyDescent="0.25">
      <c r="A789" s="97">
        <f t="shared" si="147"/>
        <v>44920</v>
      </c>
      <c r="B789" s="100">
        <f t="shared" ca="1" si="148"/>
        <v>149633.34</v>
      </c>
      <c r="C789" s="55">
        <f t="shared" ca="1" si="144"/>
        <v>56146.950000000012</v>
      </c>
      <c r="D789" s="55">
        <f t="shared" ca="1" si="144"/>
        <v>2088.3499999999985</v>
      </c>
      <c r="E789" s="55">
        <f t="shared" ca="1" si="149"/>
        <v>0</v>
      </c>
      <c r="F789" s="55">
        <f t="shared" ca="1" si="150"/>
        <v>116703.61624262301</v>
      </c>
      <c r="G789" s="101">
        <f t="shared" ca="1" si="151"/>
        <v>324572.25624262303</v>
      </c>
      <c r="H789" s="100">
        <f ca="1">ROUND($B789*VLOOKUP($A789,$A$1:$B$10,2,1)/(365+IF(MOD(YEAR($A789),4),0,1)*($A789-$A788)),2)-Первоначальный[[#This Row],[Проценты на просроченный платеж по ОД за период]]</f>
        <v>75.25</v>
      </c>
      <c r="I789" s="55">
        <f t="shared" ca="1" si="152"/>
        <v>6.33</v>
      </c>
      <c r="J789" s="55">
        <v>0</v>
      </c>
      <c r="K789" s="55">
        <f t="shared" ca="1" si="155"/>
        <v>333.08850327868845</v>
      </c>
      <c r="L789" s="55">
        <v>0</v>
      </c>
      <c r="M789" s="113">
        <f>SUMIFS(График[Возврат основной суммы долга],График[Дата с учетом нерабочих дней],$A789)</f>
        <v>0</v>
      </c>
      <c r="N789" s="56">
        <f>SUMIFS(График[Возврат начисленных %],График[Дата с учетом нерабочих дней],$A789)</f>
        <v>0</v>
      </c>
      <c r="O789" s="101">
        <v>0</v>
      </c>
      <c r="P789" s="100" cm="1">
        <f t="array" aca="1" ref="P789" ca="1">MAX(IF(AA788="Да",0,SUM(INDIRECT("M"&amp;(MAX(("Да"=AA$12:AA788)*ROW(AA$12:AA788)+1,ROW($P$12))&amp;":M"&amp;(ROW()))))-SUM(INDIRECT("W"&amp;(MAX(("Да"=AA$12:AA788)*ROW(AA$12:AA788)+1,ROW($P$12))&amp;":W"&amp;(ROW()))))),0)</f>
        <v>11601.89</v>
      </c>
      <c r="Q789" s="99">
        <f ca="1">MAX(SUM($N$13:N789)-SUM($T$13:T789),0)</f>
        <v>55015.810655737689</v>
      </c>
      <c r="R789" s="99">
        <f ca="1">Первоначальный[[#This Row],[Просроченный платеж по ОД]]+Первоначальный[[#This Row],[Просроченный платеж по процентам]]</f>
        <v>66617.700655737688</v>
      </c>
      <c r="S789" s="120">
        <f ca="1">IF(Первоначальный[[#This Row],[Просроченный платеж]]&lt;1,0,S788+1)</f>
        <v>685</v>
      </c>
      <c r="T789" s="100" cm="1">
        <f t="array" aca="1" ref="T789" ca="1">IF(Первоначальный[[#This Row],[Итого остаток на начало периода]]&lt;1,0,
IF(
AND(TYPE(VLOOKUP(1,$Z$12:Z789,1,0))=16,Первоначальный[[#This Row],[Досрочное погашение (да/"")]]=""),0,
_xlfn.IFS(AND(S788=0,Первоначальный[[#This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платеж]]&lt;&gt;0),MIN(LOOKUP(,-1/($Z$12:Z789=1),$C$12:C789)+LOOKUP(,-1/($Z$12:Z789=1),$H$12:H789),Первоначальный[[#This Row],[Полученный платеж]]+Y788),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платеж]]+Y788,SUM(Первоначальный[[#This Row],[Остаток процентов на начало периода]],Первоначальный[[#This Row],[Проценты за период]])),
AND(S788=0,Первоначальный[[#This Row],[Дата платежа из графика]]=""),0,
AND(S788=0,Первоначальный[[#This Row],[Дата платежа из графика]]=1,MAX((0&lt;&gt;S$12:S788)*ROW(S$12:S788),ROW($S$12))&gt;=MAX((1=Z$12:Z788)*ROW(Z$12:Z788),ROW($T$12)),TYPE(VLOOKUP("Да",(INDIRECT("AA"&amp;(MAX((1=Z$12:Z788)*ROW(Z$12:Z788),ROW($T$12))&amp;":AA"&amp;(ROW()-1)))),1,0))=16),MIN(LOOKUP(,-1/($Z$12:Z789=1),$C$12:C789)+LOOKUP(,-1/($Z$12:Z789=1),$H$12:H789),Первоначальный[[#This Row],[Полученный платеж]]+Y788),
AND(S788=0,TYPE(VLOOKUP("Да",(INDIRECT("AA"&amp;(MAX((1=Z$12:Z788)*ROW(Z$12:Z788),ROW($T$12))&amp;":AA"&amp;(ROW()-1)))),1,0))&lt;&gt;16),MIN(LOOKUP(,-1/($Z$12:Z789=1),$C$12:C789)+LOOKUP(,-1/($Z$12:Z789=1),$H$12:H789)-IF(AA788="Да",0,SUM(INDIRECT("T"&amp;(MAX(("Да"=AA$12:AA788)*ROW(AA$12:AA788)+1,ROW($T$12))&amp;":T"&amp;(ROW()-1))))),Первоначальный[[#This Row],[Полученный платеж]]+Y788),
AND(S788=0,MAX((0&lt;&gt;N$12:N788)*ROW(N$12:N788),ROW($S$12))&gt;=MAX((1=Z$12:Z788)*ROW(Z$12:Z788),ROW($T$12))),MIN(LOOKUP(,-1/($Z$12:Z789=1),$C$12:C789)+LOOKUP(,-1/($Z$12:Z789=1),$H$12:H789)-IF(N788&lt;&gt;0,0,SUM(INDIRECT("T"&amp;(MAX((0&lt;&gt;N$12:N788)*ROW(N$12:N788)+1,ROW($T$12))&amp;":T"&amp;(ROW()-1))))),Первоначальный[[#This Row],[Полученный платеж]]+Y788),
AND(S788=0,Первоначальный[[#This Row],[Дата платежа из графика]]=1),MIN(LOOKUP(,-1/($Z$12:Z789=1),$C$12:C789)+LOOKUP(,-1/($Z$12:Z789=1),$H$12:H789)-IF(Z788=1,0,SUM(INDIRECT("T"&amp;(MAX((1=Z$12:Z788)*ROW(Z$12:Z788)+1,ROW($T$12))&amp;":T"&amp;(ROW()-1))))),Первоначальный[[#This Row],[Полученный платеж]]+Y788),
AND(Z788&gt;0,Первоначальный[[#This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платеж]]+Y788),
AND(S788&gt;0,MAX((0&lt;&gt;S$12:S788)*ROW(S$12:S788),ROW($S$12))&gt;=MAX((1=Z$12:Z788)*ROW(Z$12:Z788),ROW($T$12)),TYPE(VLOOKUP("Да",(INDIRECT("AA"&amp;(MAX((1=Z$12:Z788)*ROW(Z$12:Z788),ROW($T$12))&amp;":AA"&amp;(ROW()-1)))),1,0))=16),MIN(LOOKUP(,-1/($Z$12:Z789=1),$C$12:C789)+LOOKUP(,-1/($Z$12:Z789=1),$H$12:H789)-SUM(INDIRECT("T"&amp;(MAX((1=Z$12:Z788)*ROW(Z$12:Z788),ROW($T$12))&amp;":T"&amp;(ROW()-1)))),Первоначальный[[#This Row],[Полученный платеж]]+Y788),
S788&gt;0,MIN(LOOKUP(,-1/($Z$12:Z789=1),$C$12:C789)+LOOKUP(,-1/($Z$12:Z789=1),$H$12:H789)-IF(Z788=1,0,SUM(INDIRECT("T"&amp;(MAX((1=Z$12:Z788)*ROW(Z$12:Z788)+1,ROW($T$12))&amp;":T"&amp;(ROW()-1))))),Первоначальный[[#This Row],[Полученный платеж]]+Y788)
)
)
)</f>
        <v>0</v>
      </c>
      <c r="U78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платеж]]+Y788-Первоначальный[[#This Row],[Полученный платёж по процентам]])</f>
        <v>0</v>
      </c>
      <c r="V789" s="55">
        <f t="shared" ca="1" si="145"/>
        <v>0</v>
      </c>
      <c r="W789" s="55" cm="1">
        <f t="array" aca="1" ref="W789" ca="1">IF(Первоначальный[[#This Row],[Итого остаток на начало периода]]&lt;1,0,
_xlfn.IFS(
AND(TYPE(VLOOKUP(1,$Z$12:Z789,1,0))=16,Первоначальный[[#This Row],[Досрочное погашение (да/"")]]=""),0,
AND(S788=0,Первоначальный[[#This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платеж]]+Y788-SUM(Первоначальный[[#This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комиссиям]]),VLOOKUP(LOOKUP(,-1/($Z$12:Z789=1),$A$12:A789),График[[Срок конец]:[Возврат основной суммы долга]],3,0)),
AND(S788=0,Первоначальный[[#This Row],[Дата платежа из графика]]="",Первоначальный[[#This Row],[Досрочное погашение (да/"")]]&lt;&gt;"Да"),0,
AND(S788=0,Первоначальный[[#This Row],[Досрочное погашение (да/"")]]=""),MIN(Первоначальный[[#This Row],[Полученный платеж]]+Y788-SUM(Первоначальный[[#This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комиссиям]]),VLOOKUP(LOOKUP(,-1/($Z$12:Z789=1),$A$12:A789),График[[Срок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платеж]]+Y788-SUM(Первоначальный[[#This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S788&gt;0,MIN(Первоначальный[[#This Row],[Полученный платеж]]+Y788-SUM(Первоначальный[[#This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комиссиям]]),SUM(INDIRECT("M"&amp;(MAX((1=S$12:S788)*ROW(S$12:S788),ROW($W$12))&amp;":M"&amp;(ROW()))))-SUM(INDIRECT("W"&amp;(MAX((1=S$12:S788)*ROW(S$12:S788),ROW($W$12))&amp;":W"&amp;(ROW()-1)))))
)
)</f>
        <v>0</v>
      </c>
      <c r="X789" s="55">
        <f t="shared" ca="1" si="146"/>
        <v>0</v>
      </c>
      <c r="Y789" s="101">
        <f t="shared" ca="1" si="153"/>
        <v>0</v>
      </c>
      <c r="Z789" s="133" t="str">
        <f>IF(TYPE((VLOOKUP(Первоначальный[[#This Row],[Дата платежа]],График[Срок конец],1,0)))=16,"",1)</f>
        <v/>
      </c>
      <c r="AA789" s="57"/>
      <c r="AB789" s="134"/>
      <c r="AC78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8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56222.200000000012</v>
      </c>
      <c r="AE78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2094.6799999999985</v>
      </c>
      <c r="AF78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8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117036.7047459017</v>
      </c>
      <c r="AH789" s="55"/>
      <c r="AI789" s="55"/>
      <c r="AJ789" s="55"/>
      <c r="AK789" s="101">
        <f t="shared" ca="1" si="154"/>
        <v>324986.92474590172</v>
      </c>
      <c r="AL789" s="129">
        <f t="array" ref="AL789">MAX((УслРестрактов[Характеристика]="Дата реструктуризации")*(УслРестрактов[Значение]=Первоначальный!$A789),0)</f>
        <v>0</v>
      </c>
    </row>
    <row r="790" spans="1:38" x14ac:dyDescent="0.25">
      <c r="A790" s="97">
        <f t="shared" si="147"/>
        <v>44921</v>
      </c>
      <c r="B790" s="100">
        <f t="shared" ca="1" si="148"/>
        <v>149633.34</v>
      </c>
      <c r="C790" s="55">
        <f t="shared" ca="1" si="144"/>
        <v>56222.200000000012</v>
      </c>
      <c r="D790" s="55">
        <f t="shared" ca="1" si="144"/>
        <v>2094.6799999999985</v>
      </c>
      <c r="E790" s="55">
        <f t="shared" ca="1" si="149"/>
        <v>0</v>
      </c>
      <c r="F790" s="55">
        <f t="shared" ca="1" si="150"/>
        <v>117036.7047459017</v>
      </c>
      <c r="G790" s="101">
        <f t="shared" ca="1" si="151"/>
        <v>324986.92474590172</v>
      </c>
      <c r="H790" s="100">
        <f ca="1">ROUND($B790*VLOOKUP($A790,$A$1:$B$10,2,1)/(365+IF(MOD(YEAR($A790),4),0,1)*($A790-$A789)),2)-Первоначальный[[#This Row],[Проценты на просроченный платеж по ОД за период]]</f>
        <v>75.25</v>
      </c>
      <c r="I790" s="55">
        <f t="shared" ca="1" si="152"/>
        <v>6.33</v>
      </c>
      <c r="J790" s="55">
        <v>0</v>
      </c>
      <c r="K790" s="55">
        <f t="shared" ca="1" si="155"/>
        <v>333.08850327868845</v>
      </c>
      <c r="L790" s="55">
        <v>0</v>
      </c>
      <c r="M790" s="113">
        <f>SUMIFS(График[Возврат основной суммы долга],График[Дата с учетом нерабочих дней],$A790)</f>
        <v>0</v>
      </c>
      <c r="N790" s="56">
        <f>SUMIFS(График[Возврат начисленных %],График[Дата с учетом нерабочих дней],$A790)</f>
        <v>0</v>
      </c>
      <c r="O790" s="101">
        <v>0</v>
      </c>
      <c r="P790" s="100" cm="1">
        <f t="array" aca="1" ref="P790" ca="1">MAX(IF(AA789="Да",0,SUM(INDIRECT("M"&amp;(MAX(("Да"=AA$12:AA789)*ROW(AA$12:AA789)+1,ROW($P$12))&amp;":M"&amp;(ROW()))))-SUM(INDIRECT("W"&amp;(MAX(("Да"=AA$12:AA789)*ROW(AA$12:AA789)+1,ROW($P$12))&amp;":W"&amp;(ROW()))))),0)</f>
        <v>11601.89</v>
      </c>
      <c r="Q790" s="99">
        <f ca="1">MAX(SUM($N$13:N790)-SUM($T$13:T790),0)</f>
        <v>55015.810655737689</v>
      </c>
      <c r="R790" s="99">
        <f ca="1">Первоначальный[[#This Row],[Просроченный платеж по ОД]]+Первоначальный[[#This Row],[Просроченный платеж по процентам]]</f>
        <v>66617.700655737688</v>
      </c>
      <c r="S790" s="120">
        <f ca="1">IF(Первоначальный[[#This Row],[Просроченный платеж]]&lt;1,0,S789+1)</f>
        <v>686</v>
      </c>
      <c r="T790" s="100" cm="1">
        <f t="array" aca="1" ref="T790" ca="1">IF(Первоначальный[[#This Row],[Итого остаток на начало периода]]&lt;1,0,
IF(
AND(TYPE(VLOOKUP(1,$Z$12:Z790,1,0))=16,Первоначальный[[#This Row],[Досрочное погашение (да/"")]]=""),0,
_xlfn.IFS(AND(S789=0,Первоначальный[[#This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платеж]]&lt;&gt;0),MIN(LOOKUP(,-1/($Z$12:Z790=1),$C$12:C790)+LOOKUP(,-1/($Z$12:Z790=1),$H$12:H790),Первоначальный[[#This Row],[Полученный платеж]]+Y789),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платеж]]+Y789,SUM(Первоначальный[[#This Row],[Остаток процентов на начало периода]],Первоначальный[[#This Row],[Проценты за период]])),
AND(S789=0,Первоначальный[[#This Row],[Дата платежа из графика]]=""),0,
AND(S789=0,Первоначальный[[#This Row],[Дата платежа из графика]]=1,MAX((0&lt;&gt;S$12:S789)*ROW(S$12:S789),ROW($S$12))&gt;=MAX((1=Z$12:Z789)*ROW(Z$12:Z789),ROW($T$12)),TYPE(VLOOKUP("Да",(INDIRECT("AA"&amp;(MAX((1=Z$12:Z789)*ROW(Z$12:Z789),ROW($T$12))&amp;":AA"&amp;(ROW()-1)))),1,0))=16),MIN(LOOKUP(,-1/($Z$12:Z790=1),$C$12:C790)+LOOKUP(,-1/($Z$12:Z790=1),$H$12:H790),Первоначальный[[#This Row],[Полученный платеж]]+Y789),
AND(S789=0,TYPE(VLOOKUP("Да",(INDIRECT("AA"&amp;(MAX((1=Z$12:Z789)*ROW(Z$12:Z789),ROW($T$12))&amp;":AA"&amp;(ROW()-1)))),1,0))&lt;&gt;16),MIN(LOOKUP(,-1/($Z$12:Z790=1),$C$12:C790)+LOOKUP(,-1/($Z$12:Z790=1),$H$12:H790)-IF(AA789="Да",0,SUM(INDIRECT("T"&amp;(MAX(("Да"=AA$12:AA789)*ROW(AA$12:AA789)+1,ROW($T$12))&amp;":T"&amp;(ROW()-1))))),Первоначальный[[#This Row],[Полученный платеж]]+Y789),
AND(S789=0,MAX((0&lt;&gt;N$12:N789)*ROW(N$12:N789),ROW($S$12))&gt;=MAX((1=Z$12:Z789)*ROW(Z$12:Z789),ROW($T$12))),MIN(LOOKUP(,-1/($Z$12:Z790=1),$C$12:C790)+LOOKUP(,-1/($Z$12:Z790=1),$H$12:H790)-IF(N789&lt;&gt;0,0,SUM(INDIRECT("T"&amp;(MAX((0&lt;&gt;N$12:N789)*ROW(N$12:N789)+1,ROW($T$12))&amp;":T"&amp;(ROW()-1))))),Первоначальный[[#This Row],[Полученный платеж]]+Y789),
AND(S789=0,Первоначальный[[#This Row],[Дата платежа из графика]]=1),MIN(LOOKUP(,-1/($Z$12:Z790=1),$C$12:C790)+LOOKUP(,-1/($Z$12:Z790=1),$H$12:H790)-IF(Z789=1,0,SUM(INDIRECT("T"&amp;(MAX((1=Z$12:Z789)*ROW(Z$12:Z789)+1,ROW($T$12))&amp;":T"&amp;(ROW()-1))))),Первоначальный[[#This Row],[Полученный платеж]]+Y789),
AND(Z789&gt;0,Первоначальный[[#This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платеж]]+Y789),
AND(S789&gt;0,MAX((0&lt;&gt;S$12:S789)*ROW(S$12:S789),ROW($S$12))&gt;=MAX((1=Z$12:Z789)*ROW(Z$12:Z789),ROW($T$12)),TYPE(VLOOKUP("Да",(INDIRECT("AA"&amp;(MAX((1=Z$12:Z789)*ROW(Z$12:Z789),ROW($T$12))&amp;":AA"&amp;(ROW()-1)))),1,0))=16),MIN(LOOKUP(,-1/($Z$12:Z790=1),$C$12:C790)+LOOKUP(,-1/($Z$12:Z790=1),$H$12:H790)-SUM(INDIRECT("T"&amp;(MAX((1=Z$12:Z789)*ROW(Z$12:Z789),ROW($T$12))&amp;":T"&amp;(ROW()-1)))),Первоначальный[[#This Row],[Полученный платеж]]+Y789),
S789&gt;0,MIN(LOOKUP(,-1/($Z$12:Z790=1),$C$12:C790)+LOOKUP(,-1/($Z$12:Z790=1),$H$12:H790)-IF(Z789=1,0,SUM(INDIRECT("T"&amp;(MAX((1=Z$12:Z789)*ROW(Z$12:Z789)+1,ROW($T$12))&amp;":T"&amp;(ROW()-1))))),Первоначальный[[#This Row],[Полученный платеж]]+Y789)
)
)
)</f>
        <v>0</v>
      </c>
      <c r="U79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платеж]]+Y789-Первоначальный[[#This Row],[Полученный платёж по процентам]])</f>
        <v>0</v>
      </c>
      <c r="V790" s="55">
        <f t="shared" ca="1" si="145"/>
        <v>0</v>
      </c>
      <c r="W790" s="55" cm="1">
        <f t="array" aca="1" ref="W790" ca="1">IF(Первоначальный[[#This Row],[Итого остаток на начало периода]]&lt;1,0,
_xlfn.IFS(
AND(TYPE(VLOOKUP(1,$Z$12:Z790,1,0))=16,Первоначальный[[#This Row],[Досрочное погашение (да/"")]]=""),0,
AND(S789=0,Первоначальный[[#This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платеж]]+Y789-SUM(Первоначальный[[#This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комиссиям]]),VLOOKUP(LOOKUP(,-1/($Z$12:Z790=1),$A$12:A790),График[[Срок конец]:[Возврат основной суммы долга]],3,0)),
AND(S789=0,Первоначальный[[#This Row],[Дата платежа из графика]]="",Первоначальный[[#This Row],[Досрочное погашение (да/"")]]&lt;&gt;"Да"),0,
AND(S789=0,Первоначальный[[#This Row],[Досрочное погашение (да/"")]]=""),MIN(Первоначальный[[#This Row],[Полученный платеж]]+Y789-SUM(Первоначальный[[#This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комиссиям]]),VLOOKUP(LOOKUP(,-1/($Z$12:Z790=1),$A$12:A790),График[[Срок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платеж]]+Y789-SUM(Первоначальный[[#This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S789&gt;0,MIN(Первоначальный[[#This Row],[Полученный платеж]]+Y789-SUM(Первоначальный[[#This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комиссиям]]),SUM(INDIRECT("M"&amp;(MAX((1=S$12:S789)*ROW(S$12:S789),ROW($W$12))&amp;":M"&amp;(ROW()))))-SUM(INDIRECT("W"&amp;(MAX((1=S$12:S789)*ROW(S$12:S789),ROW($W$12))&amp;":W"&amp;(ROW()-1)))))
)
)</f>
        <v>0</v>
      </c>
      <c r="X790" s="55">
        <f t="shared" ca="1" si="146"/>
        <v>0</v>
      </c>
      <c r="Y790" s="101">
        <f t="shared" ca="1" si="153"/>
        <v>0</v>
      </c>
      <c r="Z790" s="133" t="str">
        <f>IF(TYPE((VLOOKUP(Первоначальный[[#This Row],[Дата платежа]],График[Срок конец],1,0)))=16,"",1)</f>
        <v/>
      </c>
      <c r="AA790" s="57"/>
      <c r="AB790" s="134"/>
      <c r="AC79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9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56297.450000000012</v>
      </c>
      <c r="AE79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2101.0099999999984</v>
      </c>
      <c r="AF79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9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117369.79324918039</v>
      </c>
      <c r="AH790" s="55"/>
      <c r="AI790" s="55"/>
      <c r="AJ790" s="55"/>
      <c r="AK790" s="101">
        <f t="shared" ca="1" si="154"/>
        <v>325401.59324918041</v>
      </c>
      <c r="AL790" s="129">
        <f t="array" ref="AL790">MAX((УслРестрактов[Характеристика]="Дата реструктуризации")*(УслРестрактов[Значение]=Первоначальный!$A790),0)</f>
        <v>0</v>
      </c>
    </row>
    <row r="791" spans="1:38" x14ac:dyDescent="0.25">
      <c r="A791" s="97">
        <f t="shared" si="147"/>
        <v>44922</v>
      </c>
      <c r="B791" s="100">
        <f t="shared" ca="1" si="148"/>
        <v>149633.34</v>
      </c>
      <c r="C791" s="55">
        <f t="shared" ca="1" si="144"/>
        <v>56297.450000000012</v>
      </c>
      <c r="D791" s="55">
        <f t="shared" ca="1" si="144"/>
        <v>2101.0099999999984</v>
      </c>
      <c r="E791" s="55">
        <f t="shared" ca="1" si="149"/>
        <v>0</v>
      </c>
      <c r="F791" s="55">
        <f t="shared" ca="1" si="150"/>
        <v>117369.79324918039</v>
      </c>
      <c r="G791" s="101">
        <f t="shared" ca="1" si="151"/>
        <v>325401.59324918041</v>
      </c>
      <c r="H791" s="100">
        <f ca="1">ROUND($B791*VLOOKUP($A791,$A$1:$B$10,2,1)/(365+IF(MOD(YEAR($A791),4),0,1)*($A791-$A790)),2)-Первоначальный[[#This Row],[Проценты на просроченный платеж по ОД за период]]</f>
        <v>75.25</v>
      </c>
      <c r="I791" s="55">
        <f t="shared" ca="1" si="152"/>
        <v>6.33</v>
      </c>
      <c r="J791" s="55">
        <v>0</v>
      </c>
      <c r="K791" s="55">
        <f t="shared" ca="1" si="155"/>
        <v>333.08850327868845</v>
      </c>
      <c r="L791" s="55">
        <v>0</v>
      </c>
      <c r="M791" s="113">
        <f>SUMIFS(График[Возврат основной суммы долга],График[Дата с учетом нерабочих дней],$A791)</f>
        <v>0</v>
      </c>
      <c r="N791" s="56">
        <f>SUMIFS(График[Возврат начисленных %],График[Дата с учетом нерабочих дней],$A791)</f>
        <v>0</v>
      </c>
      <c r="O791" s="101">
        <v>0</v>
      </c>
      <c r="P791" s="100" cm="1">
        <f t="array" aca="1" ref="P791" ca="1">MAX(IF(AA790="Да",0,SUM(INDIRECT("M"&amp;(MAX(("Да"=AA$12:AA790)*ROW(AA$12:AA790)+1,ROW($P$12))&amp;":M"&amp;(ROW()))))-SUM(INDIRECT("W"&amp;(MAX(("Да"=AA$12:AA790)*ROW(AA$12:AA790)+1,ROW($P$12))&amp;":W"&amp;(ROW()))))),0)</f>
        <v>11601.89</v>
      </c>
      <c r="Q791" s="99">
        <f ca="1">MAX(SUM($N$13:N791)-SUM($T$13:T791),0)</f>
        <v>55015.810655737689</v>
      </c>
      <c r="R791" s="99">
        <f ca="1">Первоначальный[[#This Row],[Просроченный платеж по ОД]]+Первоначальный[[#This Row],[Просроченный платеж по процентам]]</f>
        <v>66617.700655737688</v>
      </c>
      <c r="S791" s="120">
        <f ca="1">IF(Первоначальный[[#This Row],[Просроченный платеж]]&lt;1,0,S790+1)</f>
        <v>687</v>
      </c>
      <c r="T791" s="100" cm="1">
        <f t="array" aca="1" ref="T791" ca="1">IF(Первоначальный[[#This Row],[Итого остаток на начало периода]]&lt;1,0,
IF(
AND(TYPE(VLOOKUP(1,$Z$12:Z791,1,0))=16,Первоначальный[[#This Row],[Досрочное погашение (да/"")]]=""),0,
_xlfn.IFS(AND(S790=0,Первоначальный[[#This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платеж]]&lt;&gt;0),MIN(LOOKUP(,-1/($Z$12:Z791=1),$C$12:C791)+LOOKUP(,-1/($Z$12:Z791=1),$H$12:H791),Первоначальный[[#This Row],[Полученный платеж]]+Y790),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платеж]]+Y790,SUM(Первоначальный[[#This Row],[Остаток процентов на начало периода]],Первоначальный[[#This Row],[Проценты за период]])),
AND(S790=0,Первоначальный[[#This Row],[Дата платежа из графика]]=""),0,
AND(S790=0,Первоначальный[[#This Row],[Дата платежа из графика]]=1,MAX((0&lt;&gt;S$12:S790)*ROW(S$12:S790),ROW($S$12))&gt;=MAX((1=Z$12:Z790)*ROW(Z$12:Z790),ROW($T$12)),TYPE(VLOOKUP("Да",(INDIRECT("AA"&amp;(MAX((1=Z$12:Z790)*ROW(Z$12:Z790),ROW($T$12))&amp;":AA"&amp;(ROW()-1)))),1,0))=16),MIN(LOOKUP(,-1/($Z$12:Z791=1),$C$12:C791)+LOOKUP(,-1/($Z$12:Z791=1),$H$12:H791),Первоначальный[[#This Row],[Полученный платеж]]+Y790),
AND(S790=0,TYPE(VLOOKUP("Да",(INDIRECT("AA"&amp;(MAX((1=Z$12:Z790)*ROW(Z$12:Z790),ROW($T$12))&amp;":AA"&amp;(ROW()-1)))),1,0))&lt;&gt;16),MIN(LOOKUP(,-1/($Z$12:Z791=1),$C$12:C791)+LOOKUP(,-1/($Z$12:Z791=1),$H$12:H791)-IF(AA790="Да",0,SUM(INDIRECT("T"&amp;(MAX(("Да"=AA$12:AA790)*ROW(AA$12:AA790)+1,ROW($T$12))&amp;":T"&amp;(ROW()-1))))),Первоначальный[[#This Row],[Полученный платеж]]+Y790),
AND(S790=0,MAX((0&lt;&gt;N$12:N790)*ROW(N$12:N790),ROW($S$12))&gt;=MAX((1=Z$12:Z790)*ROW(Z$12:Z790),ROW($T$12))),MIN(LOOKUP(,-1/($Z$12:Z791=1),$C$12:C791)+LOOKUP(,-1/($Z$12:Z791=1),$H$12:H791)-IF(N790&lt;&gt;0,0,SUM(INDIRECT("T"&amp;(MAX((0&lt;&gt;N$12:N790)*ROW(N$12:N790)+1,ROW($T$12))&amp;":T"&amp;(ROW()-1))))),Первоначальный[[#This Row],[Полученный платеж]]+Y790),
AND(S790=0,Первоначальный[[#This Row],[Дата платежа из графика]]=1),MIN(LOOKUP(,-1/($Z$12:Z791=1),$C$12:C791)+LOOKUP(,-1/($Z$12:Z791=1),$H$12:H791)-IF(Z790=1,0,SUM(INDIRECT("T"&amp;(MAX((1=Z$12:Z790)*ROW(Z$12:Z790)+1,ROW($T$12))&amp;":T"&amp;(ROW()-1))))),Первоначальный[[#This Row],[Полученный платеж]]+Y790),
AND(Z790&gt;0,Первоначальный[[#This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платеж]]+Y790),
AND(S790&gt;0,MAX((0&lt;&gt;S$12:S790)*ROW(S$12:S790),ROW($S$12))&gt;=MAX((1=Z$12:Z790)*ROW(Z$12:Z790),ROW($T$12)),TYPE(VLOOKUP("Да",(INDIRECT("AA"&amp;(MAX((1=Z$12:Z790)*ROW(Z$12:Z790),ROW($T$12))&amp;":AA"&amp;(ROW()-1)))),1,0))=16),MIN(LOOKUP(,-1/($Z$12:Z791=1),$C$12:C791)+LOOKUP(,-1/($Z$12:Z791=1),$H$12:H791)-SUM(INDIRECT("T"&amp;(MAX((1=Z$12:Z790)*ROW(Z$12:Z790),ROW($T$12))&amp;":T"&amp;(ROW()-1)))),Первоначальный[[#This Row],[Полученный платеж]]+Y790),
S790&gt;0,MIN(LOOKUP(,-1/($Z$12:Z791=1),$C$12:C791)+LOOKUP(,-1/($Z$12:Z791=1),$H$12:H791)-IF(Z790=1,0,SUM(INDIRECT("T"&amp;(MAX((1=Z$12:Z790)*ROW(Z$12:Z790)+1,ROW($T$12))&amp;":T"&amp;(ROW()-1))))),Первоначальный[[#This Row],[Полученный платеж]]+Y790)
)
)
)</f>
        <v>0</v>
      </c>
      <c r="U79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платеж]]+Y790-Первоначальный[[#This Row],[Полученный платёж по процентам]])</f>
        <v>0</v>
      </c>
      <c r="V791" s="55">
        <f t="shared" ca="1" si="145"/>
        <v>0</v>
      </c>
      <c r="W791" s="55" cm="1">
        <f t="array" aca="1" ref="W791" ca="1">IF(Первоначальный[[#This Row],[Итого остаток на начало периода]]&lt;1,0,
_xlfn.IFS(
AND(TYPE(VLOOKUP(1,$Z$12:Z791,1,0))=16,Первоначальный[[#This Row],[Досрочное погашение (да/"")]]=""),0,
AND(S790=0,Первоначальный[[#This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платеж]]+Y790-SUM(Первоначальный[[#This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комиссиям]]),VLOOKUP(LOOKUP(,-1/($Z$12:Z791=1),$A$12:A791),График[[Срок конец]:[Возврат основной суммы долга]],3,0)),
AND(S790=0,Первоначальный[[#This Row],[Дата платежа из графика]]="",Первоначальный[[#This Row],[Досрочное погашение (да/"")]]&lt;&gt;"Да"),0,
AND(S790=0,Первоначальный[[#This Row],[Досрочное погашение (да/"")]]=""),MIN(Первоначальный[[#This Row],[Полученный платеж]]+Y790-SUM(Первоначальный[[#This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комиссиям]]),VLOOKUP(LOOKUP(,-1/($Z$12:Z791=1),$A$12:A791),График[[Срок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платеж]]+Y790-SUM(Первоначальный[[#This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S790&gt;0,MIN(Первоначальный[[#This Row],[Полученный платеж]]+Y790-SUM(Первоначальный[[#This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комиссиям]]),SUM(INDIRECT("M"&amp;(MAX((1=S$12:S790)*ROW(S$12:S790),ROW($W$12))&amp;":M"&amp;(ROW()))))-SUM(INDIRECT("W"&amp;(MAX((1=S$12:S790)*ROW(S$12:S790),ROW($W$12))&amp;":W"&amp;(ROW()-1)))))
)
)</f>
        <v>0</v>
      </c>
      <c r="X791" s="55">
        <f t="shared" ca="1" si="146"/>
        <v>0</v>
      </c>
      <c r="Y791" s="101">
        <f t="shared" ca="1" si="153"/>
        <v>0</v>
      </c>
      <c r="Z791" s="133" t="str">
        <f>IF(TYPE((VLOOKUP(Первоначальный[[#This Row],[Дата платежа]],График[Срок конец],1,0)))=16,"",1)</f>
        <v/>
      </c>
      <c r="AA791" s="57"/>
      <c r="AB791" s="134"/>
      <c r="AC79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9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56372.700000000012</v>
      </c>
      <c r="AE79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2107.3399999999983</v>
      </c>
      <c r="AF79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9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117702.88175245908</v>
      </c>
      <c r="AH791" s="55"/>
      <c r="AI791" s="55"/>
      <c r="AJ791" s="55"/>
      <c r="AK791" s="101">
        <f t="shared" ca="1" si="154"/>
        <v>325816.2617524591</v>
      </c>
      <c r="AL791" s="129">
        <f t="array" ref="AL791">MAX((УслРестрактов[Характеристика]="Дата реструктуризации")*(УслРестрактов[Значение]=Первоначальный!$A791),0)</f>
        <v>0</v>
      </c>
    </row>
    <row r="792" spans="1:38" x14ac:dyDescent="0.25">
      <c r="A792" s="97">
        <f t="shared" si="147"/>
        <v>44923</v>
      </c>
      <c r="B792" s="100">
        <f t="shared" ca="1" si="148"/>
        <v>149633.34</v>
      </c>
      <c r="C792" s="55">
        <f t="shared" ca="1" si="144"/>
        <v>56372.700000000012</v>
      </c>
      <c r="D792" s="55">
        <f t="shared" ca="1" si="144"/>
        <v>2107.3399999999983</v>
      </c>
      <c r="E792" s="55">
        <f t="shared" ca="1" si="149"/>
        <v>0</v>
      </c>
      <c r="F792" s="55">
        <f t="shared" ca="1" si="150"/>
        <v>117702.88175245908</v>
      </c>
      <c r="G792" s="101">
        <f t="shared" ca="1" si="151"/>
        <v>325816.2617524591</v>
      </c>
      <c r="H792" s="100">
        <f ca="1">ROUND($B792*VLOOKUP($A792,$A$1:$B$10,2,1)/(365+IF(MOD(YEAR($A792),4),0,1)*($A792-$A791)),2)-Первоначальный[[#This Row],[Проценты на просроченный платеж по ОД за период]]</f>
        <v>75.25</v>
      </c>
      <c r="I792" s="55">
        <f t="shared" ca="1" si="152"/>
        <v>6.33</v>
      </c>
      <c r="J792" s="55">
        <v>0</v>
      </c>
      <c r="K792" s="55">
        <f t="shared" ca="1" si="155"/>
        <v>333.08850327868845</v>
      </c>
      <c r="L792" s="55">
        <v>0</v>
      </c>
      <c r="M792" s="113">
        <f>SUMIFS(График[Возврат основной суммы долга],График[Дата с учетом нерабочих дней],$A792)</f>
        <v>0</v>
      </c>
      <c r="N792" s="56">
        <f>SUMIFS(График[Возврат начисленных %],График[Дата с учетом нерабочих дней],$A792)</f>
        <v>0</v>
      </c>
      <c r="O792" s="101">
        <v>0</v>
      </c>
      <c r="P792" s="100" cm="1">
        <f t="array" aca="1" ref="P792" ca="1">MAX(IF(AA791="Да",0,SUM(INDIRECT("M"&amp;(MAX(("Да"=AA$12:AA791)*ROW(AA$12:AA791)+1,ROW($P$12))&amp;":M"&amp;(ROW()))))-SUM(INDIRECT("W"&amp;(MAX(("Да"=AA$12:AA791)*ROW(AA$12:AA791)+1,ROW($P$12))&amp;":W"&amp;(ROW()))))),0)</f>
        <v>11601.89</v>
      </c>
      <c r="Q792" s="99">
        <f ca="1">MAX(SUM($N$13:N792)-SUM($T$13:T792),0)</f>
        <v>55015.810655737689</v>
      </c>
      <c r="R792" s="99">
        <f ca="1">Первоначальный[[#This Row],[Просроченный платеж по ОД]]+Первоначальный[[#This Row],[Просроченный платеж по процентам]]</f>
        <v>66617.700655737688</v>
      </c>
      <c r="S792" s="120">
        <f ca="1">IF(Первоначальный[[#This Row],[Просроченный платеж]]&lt;1,0,S791+1)</f>
        <v>688</v>
      </c>
      <c r="T792" s="100" cm="1">
        <f t="array" aca="1" ref="T792" ca="1">IF(Первоначальный[[#This Row],[Итого остаток на начало периода]]&lt;1,0,
IF(
AND(TYPE(VLOOKUP(1,$Z$12:Z792,1,0))=16,Первоначальный[[#This Row],[Досрочное погашение (да/"")]]=""),0,
_xlfn.IFS(AND(S791=0,Первоначальный[[#This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платеж]]&lt;&gt;0),MIN(LOOKUP(,-1/($Z$12:Z792=1),$C$12:C792)+LOOKUP(,-1/($Z$12:Z792=1),$H$12:H792),Первоначальный[[#This Row],[Полученный платеж]]+Y791),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платеж]]+Y791,SUM(Первоначальный[[#This Row],[Остаток процентов на начало периода]],Первоначальный[[#This Row],[Проценты за период]])),
AND(S791=0,Первоначальный[[#This Row],[Дата платежа из графика]]=""),0,
AND(S791=0,Первоначальный[[#This Row],[Дата платежа из графика]]=1,MAX((0&lt;&gt;S$12:S791)*ROW(S$12:S791),ROW($S$12))&gt;=MAX((1=Z$12:Z791)*ROW(Z$12:Z791),ROW($T$12)),TYPE(VLOOKUP("Да",(INDIRECT("AA"&amp;(MAX((1=Z$12:Z791)*ROW(Z$12:Z791),ROW($T$12))&amp;":AA"&amp;(ROW()-1)))),1,0))=16),MIN(LOOKUP(,-1/($Z$12:Z792=1),$C$12:C792)+LOOKUP(,-1/($Z$12:Z792=1),$H$12:H792),Первоначальный[[#This Row],[Полученный платеж]]+Y791),
AND(S791=0,TYPE(VLOOKUP("Да",(INDIRECT("AA"&amp;(MAX((1=Z$12:Z791)*ROW(Z$12:Z791),ROW($T$12))&amp;":AA"&amp;(ROW()-1)))),1,0))&lt;&gt;16),MIN(LOOKUP(,-1/($Z$12:Z792=1),$C$12:C792)+LOOKUP(,-1/($Z$12:Z792=1),$H$12:H792)-IF(AA791="Да",0,SUM(INDIRECT("T"&amp;(MAX(("Да"=AA$12:AA791)*ROW(AA$12:AA791)+1,ROW($T$12))&amp;":T"&amp;(ROW()-1))))),Первоначальный[[#This Row],[Полученный платеж]]+Y791),
AND(S791=0,MAX((0&lt;&gt;N$12:N791)*ROW(N$12:N791),ROW($S$12))&gt;=MAX((1=Z$12:Z791)*ROW(Z$12:Z791),ROW($T$12))),MIN(LOOKUP(,-1/($Z$12:Z792=1),$C$12:C792)+LOOKUP(,-1/($Z$12:Z792=1),$H$12:H792)-IF(N791&lt;&gt;0,0,SUM(INDIRECT("T"&amp;(MAX((0&lt;&gt;N$12:N791)*ROW(N$12:N791)+1,ROW($T$12))&amp;":T"&amp;(ROW()-1))))),Первоначальный[[#This Row],[Полученный платеж]]+Y791),
AND(S791=0,Первоначальный[[#This Row],[Дата платежа из графика]]=1),MIN(LOOKUP(,-1/($Z$12:Z792=1),$C$12:C792)+LOOKUP(,-1/($Z$12:Z792=1),$H$12:H792)-IF(Z791=1,0,SUM(INDIRECT("T"&amp;(MAX((1=Z$12:Z791)*ROW(Z$12:Z791)+1,ROW($T$12))&amp;":T"&amp;(ROW()-1))))),Первоначальный[[#This Row],[Полученный платеж]]+Y791),
AND(Z791&gt;0,Первоначальный[[#This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платеж]]+Y791),
AND(S791&gt;0,MAX((0&lt;&gt;S$12:S791)*ROW(S$12:S791),ROW($S$12))&gt;=MAX((1=Z$12:Z791)*ROW(Z$12:Z791),ROW($T$12)),TYPE(VLOOKUP("Да",(INDIRECT("AA"&amp;(MAX((1=Z$12:Z791)*ROW(Z$12:Z791),ROW($T$12))&amp;":AA"&amp;(ROW()-1)))),1,0))=16),MIN(LOOKUP(,-1/($Z$12:Z792=1),$C$12:C792)+LOOKUP(,-1/($Z$12:Z792=1),$H$12:H792)-SUM(INDIRECT("T"&amp;(MAX((1=Z$12:Z791)*ROW(Z$12:Z791),ROW($T$12))&amp;":T"&amp;(ROW()-1)))),Первоначальный[[#This Row],[Полученный платеж]]+Y791),
S791&gt;0,MIN(LOOKUP(,-1/($Z$12:Z792=1),$C$12:C792)+LOOKUP(,-1/($Z$12:Z792=1),$H$12:H792)-IF(Z791=1,0,SUM(INDIRECT("T"&amp;(MAX((1=Z$12:Z791)*ROW(Z$12:Z791)+1,ROW($T$12))&amp;":T"&amp;(ROW()-1))))),Первоначальный[[#This Row],[Полученный платеж]]+Y791)
)
)
)</f>
        <v>0</v>
      </c>
      <c r="U79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платеж]]+Y791-Первоначальный[[#This Row],[Полученный платёж по процентам]])</f>
        <v>0</v>
      </c>
      <c r="V792" s="55">
        <f t="shared" ca="1" si="145"/>
        <v>0</v>
      </c>
      <c r="W792" s="55" cm="1">
        <f t="array" aca="1" ref="W792" ca="1">IF(Первоначальный[[#This Row],[Итого остаток на начало периода]]&lt;1,0,
_xlfn.IFS(
AND(TYPE(VLOOKUP(1,$Z$12:Z792,1,0))=16,Первоначальный[[#This Row],[Досрочное погашение (да/"")]]=""),0,
AND(S791=0,Первоначальный[[#This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платеж]]+Y791-SUM(Первоначальный[[#This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комиссиям]]),VLOOKUP(LOOKUP(,-1/($Z$12:Z792=1),$A$12:A792),График[[Срок конец]:[Возврат основной суммы долга]],3,0)),
AND(S791=0,Первоначальный[[#This Row],[Дата платежа из графика]]="",Первоначальный[[#This Row],[Досрочное погашение (да/"")]]&lt;&gt;"Да"),0,
AND(S791=0,Первоначальный[[#This Row],[Досрочное погашение (да/"")]]=""),MIN(Первоначальный[[#This Row],[Полученный платеж]]+Y791-SUM(Первоначальный[[#This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комиссиям]]),VLOOKUP(LOOKUP(,-1/($Z$12:Z792=1),$A$12:A792),График[[Срок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платеж]]+Y791-SUM(Первоначальный[[#This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S791&gt;0,MIN(Первоначальный[[#This Row],[Полученный платеж]]+Y791-SUM(Первоначальный[[#This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комиссиям]]),SUM(INDIRECT("M"&amp;(MAX((1=S$12:S791)*ROW(S$12:S791),ROW($W$12))&amp;":M"&amp;(ROW()))))-SUM(INDIRECT("W"&amp;(MAX((1=S$12:S791)*ROW(S$12:S791),ROW($W$12))&amp;":W"&amp;(ROW()-1)))))
)
)</f>
        <v>0</v>
      </c>
      <c r="X792" s="55">
        <f t="shared" ca="1" si="146"/>
        <v>0</v>
      </c>
      <c r="Y792" s="101">
        <f t="shared" ca="1" si="153"/>
        <v>0</v>
      </c>
      <c r="Z792" s="133" t="str">
        <f>IF(TYPE((VLOOKUP(Первоначальный[[#This Row],[Дата платежа]],График[Срок конец],1,0)))=16,"",1)</f>
        <v/>
      </c>
      <c r="AA792" s="57"/>
      <c r="AB792" s="134"/>
      <c r="AC79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9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56447.950000000012</v>
      </c>
      <c r="AE79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2113.6699999999983</v>
      </c>
      <c r="AF79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9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118035.97025573778</v>
      </c>
      <c r="AH792" s="55"/>
      <c r="AI792" s="55"/>
      <c r="AJ792" s="55"/>
      <c r="AK792" s="101">
        <f t="shared" ca="1" si="154"/>
        <v>326230.9302557378</v>
      </c>
      <c r="AL792" s="129">
        <f t="array" ref="AL792">MAX((УслРестрактов[Характеристика]="Дата реструктуризации")*(УслРестрактов[Значение]=Первоначальный!$A792),0)</f>
        <v>0</v>
      </c>
    </row>
    <row r="793" spans="1:38" x14ac:dyDescent="0.25">
      <c r="A793" s="97">
        <f t="shared" si="147"/>
        <v>44924</v>
      </c>
      <c r="B793" s="100">
        <f t="shared" ca="1" si="148"/>
        <v>149633.34</v>
      </c>
      <c r="C793" s="55">
        <f t="shared" ca="1" si="144"/>
        <v>56447.950000000012</v>
      </c>
      <c r="D793" s="55">
        <f t="shared" ca="1" si="144"/>
        <v>2113.6699999999983</v>
      </c>
      <c r="E793" s="55">
        <f t="shared" ca="1" si="149"/>
        <v>0</v>
      </c>
      <c r="F793" s="55">
        <f t="shared" ca="1" si="150"/>
        <v>118035.97025573778</v>
      </c>
      <c r="G793" s="101">
        <f t="shared" ca="1" si="151"/>
        <v>326230.9302557378</v>
      </c>
      <c r="H793" s="100">
        <f ca="1">ROUND($B793*VLOOKUP($A793,$A$1:$B$10,2,1)/(365+IF(MOD(YEAR($A793),4),0,1)*($A793-$A792)),2)-Первоначальный[[#This Row],[Проценты на просроченный платеж по ОД за период]]</f>
        <v>75.25</v>
      </c>
      <c r="I793" s="55">
        <f t="shared" ca="1" si="152"/>
        <v>6.33</v>
      </c>
      <c r="J793" s="55">
        <v>0</v>
      </c>
      <c r="K793" s="55">
        <f t="shared" ca="1" si="155"/>
        <v>333.08850327868845</v>
      </c>
      <c r="L793" s="55">
        <v>0</v>
      </c>
      <c r="M793" s="113">
        <f>SUMIFS(График[Возврат основной суммы долга],График[Дата с учетом нерабочих дней],$A793)</f>
        <v>0</v>
      </c>
      <c r="N793" s="56">
        <f>SUMIFS(График[Возврат начисленных %],График[Дата с учетом нерабочих дней],$A793)</f>
        <v>0</v>
      </c>
      <c r="O793" s="101">
        <v>0</v>
      </c>
      <c r="P793" s="100" cm="1">
        <f t="array" aca="1" ref="P793" ca="1">MAX(IF(AA792="Да",0,SUM(INDIRECT("M"&amp;(MAX(("Да"=AA$12:AA792)*ROW(AA$12:AA792)+1,ROW($P$12))&amp;":M"&amp;(ROW()))))-SUM(INDIRECT("W"&amp;(MAX(("Да"=AA$12:AA792)*ROW(AA$12:AA792)+1,ROW($P$12))&amp;":W"&amp;(ROW()))))),0)</f>
        <v>11601.89</v>
      </c>
      <c r="Q793" s="99">
        <f ca="1">MAX(SUM($N$13:N793)-SUM($T$13:T793),0)</f>
        <v>55015.810655737689</v>
      </c>
      <c r="R793" s="99">
        <f ca="1">Первоначальный[[#This Row],[Просроченный платеж по ОД]]+Первоначальный[[#This Row],[Просроченный платеж по процентам]]</f>
        <v>66617.700655737688</v>
      </c>
      <c r="S793" s="120">
        <f ca="1">IF(Первоначальный[[#This Row],[Просроченный платеж]]&lt;1,0,S792+1)</f>
        <v>689</v>
      </c>
      <c r="T793" s="100" cm="1">
        <f t="array" aca="1" ref="T793" ca="1">IF(Первоначальный[[#This Row],[Итого остаток на начало периода]]&lt;1,0,
IF(
AND(TYPE(VLOOKUP(1,$Z$12:Z793,1,0))=16,Первоначальный[[#This Row],[Досрочное погашение (да/"")]]=""),0,
_xlfn.IFS(AND(S792=0,Первоначальный[[#This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платеж]]&lt;&gt;0),MIN(LOOKUP(,-1/($Z$12:Z793=1),$C$12:C793)+LOOKUP(,-1/($Z$12:Z793=1),$H$12:H793),Первоначальный[[#This Row],[Полученный платеж]]+Y792),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платеж]]+Y792,SUM(Первоначальный[[#This Row],[Остаток процентов на начало периода]],Первоначальный[[#This Row],[Проценты за период]])),
AND(S792=0,Первоначальный[[#This Row],[Дата платежа из графика]]=""),0,
AND(S792=0,Первоначальный[[#This Row],[Дата платежа из графика]]=1,MAX((0&lt;&gt;S$12:S792)*ROW(S$12:S792),ROW($S$12))&gt;=MAX((1=Z$12:Z792)*ROW(Z$12:Z792),ROW($T$12)),TYPE(VLOOKUP("Да",(INDIRECT("AA"&amp;(MAX((1=Z$12:Z792)*ROW(Z$12:Z792),ROW($T$12))&amp;":AA"&amp;(ROW()-1)))),1,0))=16),MIN(LOOKUP(,-1/($Z$12:Z793=1),$C$12:C793)+LOOKUP(,-1/($Z$12:Z793=1),$H$12:H793),Первоначальный[[#This Row],[Полученный платеж]]+Y792),
AND(S792=0,TYPE(VLOOKUP("Да",(INDIRECT("AA"&amp;(MAX((1=Z$12:Z792)*ROW(Z$12:Z792),ROW($T$12))&amp;":AA"&amp;(ROW()-1)))),1,0))&lt;&gt;16),MIN(LOOKUP(,-1/($Z$12:Z793=1),$C$12:C793)+LOOKUP(,-1/($Z$12:Z793=1),$H$12:H793)-IF(AA792="Да",0,SUM(INDIRECT("T"&amp;(MAX(("Да"=AA$12:AA792)*ROW(AA$12:AA792)+1,ROW($T$12))&amp;":T"&amp;(ROW()-1))))),Первоначальный[[#This Row],[Полученный платеж]]+Y792),
AND(S792=0,MAX((0&lt;&gt;N$12:N792)*ROW(N$12:N792),ROW($S$12))&gt;=MAX((1=Z$12:Z792)*ROW(Z$12:Z792),ROW($T$12))),MIN(LOOKUP(,-1/($Z$12:Z793=1),$C$12:C793)+LOOKUP(,-1/($Z$12:Z793=1),$H$12:H793)-IF(N792&lt;&gt;0,0,SUM(INDIRECT("T"&amp;(MAX((0&lt;&gt;N$12:N792)*ROW(N$12:N792)+1,ROW($T$12))&amp;":T"&amp;(ROW()-1))))),Первоначальный[[#This Row],[Полученный платеж]]+Y792),
AND(S792=0,Первоначальный[[#This Row],[Дата платежа из графика]]=1),MIN(LOOKUP(,-1/($Z$12:Z793=1),$C$12:C793)+LOOKUP(,-1/($Z$12:Z793=1),$H$12:H793)-IF(Z792=1,0,SUM(INDIRECT("T"&amp;(MAX((1=Z$12:Z792)*ROW(Z$12:Z792)+1,ROW($T$12))&amp;":T"&amp;(ROW()-1))))),Первоначальный[[#This Row],[Полученный платеж]]+Y792),
AND(Z792&gt;0,Первоначальный[[#This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платеж]]+Y792),
AND(S792&gt;0,MAX((0&lt;&gt;S$12:S792)*ROW(S$12:S792),ROW($S$12))&gt;=MAX((1=Z$12:Z792)*ROW(Z$12:Z792),ROW($T$12)),TYPE(VLOOKUP("Да",(INDIRECT("AA"&amp;(MAX((1=Z$12:Z792)*ROW(Z$12:Z792),ROW($T$12))&amp;":AA"&amp;(ROW()-1)))),1,0))=16),MIN(LOOKUP(,-1/($Z$12:Z793=1),$C$12:C793)+LOOKUP(,-1/($Z$12:Z793=1),$H$12:H793)-SUM(INDIRECT("T"&amp;(MAX((1=Z$12:Z792)*ROW(Z$12:Z792),ROW($T$12))&amp;":T"&amp;(ROW()-1)))),Первоначальный[[#This Row],[Полученный платеж]]+Y792),
S792&gt;0,MIN(LOOKUP(,-1/($Z$12:Z793=1),$C$12:C793)+LOOKUP(,-1/($Z$12:Z793=1),$H$12:H793)-IF(Z792=1,0,SUM(INDIRECT("T"&amp;(MAX((1=Z$12:Z792)*ROW(Z$12:Z792)+1,ROW($T$12))&amp;":T"&amp;(ROW()-1))))),Первоначальный[[#This Row],[Полученный платеж]]+Y792)
)
)
)</f>
        <v>0</v>
      </c>
      <c r="U79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платеж]]+Y792-Первоначальный[[#This Row],[Полученный платёж по процентам]])</f>
        <v>0</v>
      </c>
      <c r="V793" s="55">
        <f t="shared" ca="1" si="145"/>
        <v>0</v>
      </c>
      <c r="W793" s="55" cm="1">
        <f t="array" aca="1" ref="W793" ca="1">IF(Первоначальный[[#This Row],[Итого остаток на начало периода]]&lt;1,0,
_xlfn.IFS(
AND(TYPE(VLOOKUP(1,$Z$12:Z793,1,0))=16,Первоначальный[[#This Row],[Досрочное погашение (да/"")]]=""),0,
AND(S792=0,Первоначальный[[#This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платеж]]+Y792-SUM(Первоначальный[[#This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комиссиям]]),VLOOKUP(LOOKUP(,-1/($Z$12:Z793=1),$A$12:A793),График[[Срок конец]:[Возврат основной суммы долга]],3,0)),
AND(S792=0,Первоначальный[[#This Row],[Дата платежа из графика]]="",Первоначальный[[#This Row],[Досрочное погашение (да/"")]]&lt;&gt;"Да"),0,
AND(S792=0,Первоначальный[[#This Row],[Досрочное погашение (да/"")]]=""),MIN(Первоначальный[[#This Row],[Полученный платеж]]+Y792-SUM(Первоначальный[[#This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комиссиям]]),VLOOKUP(LOOKUP(,-1/($Z$12:Z793=1),$A$12:A793),График[[Срок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платеж]]+Y792-SUM(Первоначальный[[#This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S792&gt;0,MIN(Первоначальный[[#This Row],[Полученный платеж]]+Y792-SUM(Первоначальный[[#This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комиссиям]]),SUM(INDIRECT("M"&amp;(MAX((1=S$12:S792)*ROW(S$12:S792),ROW($W$12))&amp;":M"&amp;(ROW()))))-SUM(INDIRECT("W"&amp;(MAX((1=S$12:S792)*ROW(S$12:S792),ROW($W$12))&amp;":W"&amp;(ROW()-1)))))
)
)</f>
        <v>0</v>
      </c>
      <c r="X793" s="55">
        <f t="shared" ca="1" si="146"/>
        <v>0</v>
      </c>
      <c r="Y793" s="101">
        <f t="shared" ca="1" si="153"/>
        <v>0</v>
      </c>
      <c r="Z793" s="133" t="str">
        <f>IF(TYPE((VLOOKUP(Первоначальный[[#This Row],[Дата платежа]],График[Срок конец],1,0)))=16,"",1)</f>
        <v/>
      </c>
      <c r="AA793" s="57"/>
      <c r="AB793" s="134"/>
      <c r="AC79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9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56523.200000000012</v>
      </c>
      <c r="AE79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2119.9999999999982</v>
      </c>
      <c r="AF79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9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118369.05875901647</v>
      </c>
      <c r="AH793" s="55"/>
      <c r="AI793" s="55"/>
      <c r="AJ793" s="55"/>
      <c r="AK793" s="101">
        <f t="shared" ca="1" si="154"/>
        <v>326645.59875901649</v>
      </c>
      <c r="AL793" s="129">
        <f t="array" ref="AL793">MAX((УслРестрактов[Характеристика]="Дата реструктуризации")*(УслРестрактов[Значение]=Первоначальный!$A793),0)</f>
        <v>0</v>
      </c>
    </row>
    <row r="794" spans="1:38" x14ac:dyDescent="0.25">
      <c r="A794" s="97">
        <f t="shared" si="147"/>
        <v>44925</v>
      </c>
      <c r="B794" s="100">
        <f t="shared" ca="1" si="148"/>
        <v>149633.34</v>
      </c>
      <c r="C794" s="55">
        <f t="shared" ca="1" si="144"/>
        <v>56523.200000000012</v>
      </c>
      <c r="D794" s="55">
        <f t="shared" ca="1" si="144"/>
        <v>2119.9999999999982</v>
      </c>
      <c r="E794" s="55">
        <f t="shared" ca="1" si="149"/>
        <v>0</v>
      </c>
      <c r="F794" s="55">
        <f t="shared" ca="1" si="150"/>
        <v>118369.05875901647</v>
      </c>
      <c r="G794" s="101">
        <f t="shared" ca="1" si="151"/>
        <v>326645.59875901649</v>
      </c>
      <c r="H794" s="100">
        <f ca="1">ROUND($B794*VLOOKUP($A794,$A$1:$B$10,2,1)/(365+IF(MOD(YEAR($A794),4),0,1)*($A794-$A793)),2)-Первоначальный[[#This Row],[Проценты на просроченный платеж по ОД за период]]</f>
        <v>75.25</v>
      </c>
      <c r="I794" s="55">
        <f t="shared" ca="1" si="152"/>
        <v>6.33</v>
      </c>
      <c r="J794" s="55">
        <v>0</v>
      </c>
      <c r="K794" s="55">
        <f t="shared" ca="1" si="155"/>
        <v>333.08850327868845</v>
      </c>
      <c r="L794" s="55">
        <v>0</v>
      </c>
      <c r="M794" s="113">
        <f>SUMIFS(График[Возврат основной суммы долга],График[Дата с учетом нерабочих дней],$A794)</f>
        <v>0</v>
      </c>
      <c r="N794" s="56">
        <f>SUMIFS(График[Возврат начисленных %],График[Дата с учетом нерабочих дней],$A794)</f>
        <v>0</v>
      </c>
      <c r="O794" s="101">
        <v>0</v>
      </c>
      <c r="P794" s="100" cm="1">
        <f t="array" aca="1" ref="P794" ca="1">MAX(IF(AA793="Да",0,SUM(INDIRECT("M"&amp;(MAX(("Да"=AA$12:AA793)*ROW(AA$12:AA793)+1,ROW($P$12))&amp;":M"&amp;(ROW()))))-SUM(INDIRECT("W"&amp;(MAX(("Да"=AA$12:AA793)*ROW(AA$12:AA793)+1,ROW($P$12))&amp;":W"&amp;(ROW()))))),0)</f>
        <v>11601.89</v>
      </c>
      <c r="Q794" s="99">
        <f ca="1">MAX(SUM($N$13:N794)-SUM($T$13:T794),0)</f>
        <v>55015.810655737689</v>
      </c>
      <c r="R794" s="99">
        <f ca="1">Первоначальный[[#This Row],[Просроченный платеж по ОД]]+Первоначальный[[#This Row],[Просроченный платеж по процентам]]</f>
        <v>66617.700655737688</v>
      </c>
      <c r="S794" s="120">
        <f ca="1">IF(Первоначальный[[#This Row],[Просроченный платеж]]&lt;1,0,S793+1)</f>
        <v>690</v>
      </c>
      <c r="T794" s="100" cm="1">
        <f t="array" aca="1" ref="T794" ca="1">IF(Первоначальный[[#This Row],[Итого остаток на начало периода]]&lt;1,0,
IF(
AND(TYPE(VLOOKUP(1,$Z$12:Z794,1,0))=16,Первоначальный[[#This Row],[Досрочное погашение (да/"")]]=""),0,
_xlfn.IFS(AND(S793=0,Первоначальный[[#This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платеж]]&lt;&gt;0),MIN(LOOKUP(,-1/($Z$12:Z794=1),$C$12:C794)+LOOKUP(,-1/($Z$12:Z794=1),$H$12:H794),Первоначальный[[#This Row],[Полученный платеж]]+Y793),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платеж]]+Y793,SUM(Первоначальный[[#This Row],[Остаток процентов на начало периода]],Первоначальный[[#This Row],[Проценты за период]])),
AND(S793=0,Первоначальный[[#This Row],[Дата платежа из графика]]=""),0,
AND(S793=0,Первоначальный[[#This Row],[Дата платежа из графика]]=1,MAX((0&lt;&gt;S$12:S793)*ROW(S$12:S793),ROW($S$12))&gt;=MAX((1=Z$12:Z793)*ROW(Z$12:Z793),ROW($T$12)),TYPE(VLOOKUP("Да",(INDIRECT("AA"&amp;(MAX((1=Z$12:Z793)*ROW(Z$12:Z793),ROW($T$12))&amp;":AA"&amp;(ROW()-1)))),1,0))=16),MIN(LOOKUP(,-1/($Z$12:Z794=1),$C$12:C794)+LOOKUP(,-1/($Z$12:Z794=1),$H$12:H794),Первоначальный[[#This Row],[Полученный платеж]]+Y793),
AND(S793=0,TYPE(VLOOKUP("Да",(INDIRECT("AA"&amp;(MAX((1=Z$12:Z793)*ROW(Z$12:Z793),ROW($T$12))&amp;":AA"&amp;(ROW()-1)))),1,0))&lt;&gt;16),MIN(LOOKUP(,-1/($Z$12:Z794=1),$C$12:C794)+LOOKUP(,-1/($Z$12:Z794=1),$H$12:H794)-IF(AA793="Да",0,SUM(INDIRECT("T"&amp;(MAX(("Да"=AA$12:AA793)*ROW(AA$12:AA793)+1,ROW($T$12))&amp;":T"&amp;(ROW()-1))))),Первоначальный[[#This Row],[Полученный платеж]]+Y793),
AND(S793=0,MAX((0&lt;&gt;N$12:N793)*ROW(N$12:N793),ROW($S$12))&gt;=MAX((1=Z$12:Z793)*ROW(Z$12:Z793),ROW($T$12))),MIN(LOOKUP(,-1/($Z$12:Z794=1),$C$12:C794)+LOOKUP(,-1/($Z$12:Z794=1),$H$12:H794)-IF(N793&lt;&gt;0,0,SUM(INDIRECT("T"&amp;(MAX((0&lt;&gt;N$12:N793)*ROW(N$12:N793)+1,ROW($T$12))&amp;":T"&amp;(ROW()-1))))),Первоначальный[[#This Row],[Полученный платеж]]+Y793),
AND(S793=0,Первоначальный[[#This Row],[Дата платежа из графика]]=1),MIN(LOOKUP(,-1/($Z$12:Z794=1),$C$12:C794)+LOOKUP(,-1/($Z$12:Z794=1),$H$12:H794)-IF(Z793=1,0,SUM(INDIRECT("T"&amp;(MAX((1=Z$12:Z793)*ROW(Z$12:Z793)+1,ROW($T$12))&amp;":T"&amp;(ROW()-1))))),Первоначальный[[#This Row],[Полученный платеж]]+Y793),
AND(Z793&gt;0,Первоначальный[[#This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платеж]]+Y793),
AND(S793&gt;0,MAX((0&lt;&gt;S$12:S793)*ROW(S$12:S793),ROW($S$12))&gt;=MAX((1=Z$12:Z793)*ROW(Z$12:Z793),ROW($T$12)),TYPE(VLOOKUP("Да",(INDIRECT("AA"&amp;(MAX((1=Z$12:Z793)*ROW(Z$12:Z793),ROW($T$12))&amp;":AA"&amp;(ROW()-1)))),1,0))=16),MIN(LOOKUP(,-1/($Z$12:Z794=1),$C$12:C794)+LOOKUP(,-1/($Z$12:Z794=1),$H$12:H794)-SUM(INDIRECT("T"&amp;(MAX((1=Z$12:Z793)*ROW(Z$12:Z793),ROW($T$12))&amp;":T"&amp;(ROW()-1)))),Первоначальный[[#This Row],[Полученный платеж]]+Y793),
S793&gt;0,MIN(LOOKUP(,-1/($Z$12:Z794=1),$C$12:C794)+LOOKUP(,-1/($Z$12:Z794=1),$H$12:H794)-IF(Z793=1,0,SUM(INDIRECT("T"&amp;(MAX((1=Z$12:Z793)*ROW(Z$12:Z793)+1,ROW($T$12))&amp;":T"&amp;(ROW()-1))))),Первоначальный[[#This Row],[Полученный платеж]]+Y793)
)
)
)</f>
        <v>0</v>
      </c>
      <c r="U79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платеж]]+Y793-Первоначальный[[#This Row],[Полученный платёж по процентам]])</f>
        <v>0</v>
      </c>
      <c r="V794" s="55">
        <f t="shared" ca="1" si="145"/>
        <v>0</v>
      </c>
      <c r="W794" s="55" cm="1">
        <f t="array" aca="1" ref="W794" ca="1">IF(Первоначальный[[#This Row],[Итого остаток на начало периода]]&lt;1,0,
_xlfn.IFS(
AND(TYPE(VLOOKUP(1,$Z$12:Z794,1,0))=16,Первоначальный[[#This Row],[Досрочное погашение (да/"")]]=""),0,
AND(S793=0,Первоначальный[[#This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платеж]]+Y793-SUM(Первоначальный[[#This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комиссиям]]),VLOOKUP(LOOKUP(,-1/($Z$12:Z794=1),$A$12:A794),График[[Срок конец]:[Возврат основной суммы долга]],3,0)),
AND(S793=0,Первоначальный[[#This Row],[Дата платежа из графика]]="",Первоначальный[[#This Row],[Досрочное погашение (да/"")]]&lt;&gt;"Да"),0,
AND(S793=0,Первоначальный[[#This Row],[Досрочное погашение (да/"")]]=""),MIN(Первоначальный[[#This Row],[Полученный платеж]]+Y793-SUM(Первоначальный[[#This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комиссиям]]),VLOOKUP(LOOKUP(,-1/($Z$12:Z794=1),$A$12:A794),График[[Срок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платеж]]+Y793-SUM(Первоначальный[[#This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S793&gt;0,MIN(Первоначальный[[#This Row],[Полученный платеж]]+Y793-SUM(Первоначальный[[#This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комиссиям]]),SUM(INDIRECT("M"&amp;(MAX((1=S$12:S793)*ROW(S$12:S793),ROW($W$12))&amp;":M"&amp;(ROW()))))-SUM(INDIRECT("W"&amp;(MAX((1=S$12:S793)*ROW(S$12:S793),ROW($W$12))&amp;":W"&amp;(ROW()-1)))))
)
)</f>
        <v>0</v>
      </c>
      <c r="X794" s="55">
        <f t="shared" ca="1" si="146"/>
        <v>0</v>
      </c>
      <c r="Y794" s="101">
        <f t="shared" ca="1" si="153"/>
        <v>0</v>
      </c>
      <c r="Z794" s="133" t="str">
        <f>IF(TYPE((VLOOKUP(Первоначальный[[#This Row],[Дата платежа]],График[Срок конец],1,0)))=16,"",1)</f>
        <v/>
      </c>
      <c r="AA794" s="57"/>
      <c r="AB794" s="134"/>
      <c r="AC79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9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56598.450000000012</v>
      </c>
      <c r="AE79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2126.3299999999981</v>
      </c>
      <c r="AF79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9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118702.14726229516</v>
      </c>
      <c r="AH794" s="55"/>
      <c r="AI794" s="55"/>
      <c r="AJ794" s="55"/>
      <c r="AK794" s="101">
        <f t="shared" ca="1" si="154"/>
        <v>327060.26726229512</v>
      </c>
      <c r="AL794" s="129">
        <f t="array" ref="AL794">MAX((УслРестрактов[Характеристика]="Дата реструктуризации")*(УслРестрактов[Значение]=Первоначальный!$A794),0)</f>
        <v>0</v>
      </c>
    </row>
    <row r="795" spans="1:38" x14ac:dyDescent="0.25">
      <c r="A795" s="97">
        <f t="shared" si="147"/>
        <v>44926</v>
      </c>
      <c r="B795" s="100">
        <f t="shared" ca="1" si="148"/>
        <v>149633.34</v>
      </c>
      <c r="C795" s="55">
        <f t="shared" ca="1" si="144"/>
        <v>56598.450000000012</v>
      </c>
      <c r="D795" s="55">
        <f t="shared" ca="1" si="144"/>
        <v>2126.3299999999981</v>
      </c>
      <c r="E795" s="55">
        <f t="shared" ca="1" si="149"/>
        <v>0</v>
      </c>
      <c r="F795" s="55">
        <f t="shared" ca="1" si="150"/>
        <v>118702.14726229516</v>
      </c>
      <c r="G795" s="101">
        <f t="shared" ca="1" si="151"/>
        <v>327060.26726229512</v>
      </c>
      <c r="H795" s="100">
        <f ca="1">ROUND($B795*VLOOKUP($A795,$A$1:$B$10,2,1)/(365+IF(MOD(YEAR($A795),4),0,1)*($A795-$A794)),2)-Первоначальный[[#This Row],[Проценты на просроченный платеж по ОД за период]]</f>
        <v>75.25</v>
      </c>
      <c r="I795" s="55">
        <f t="shared" ca="1" si="152"/>
        <v>6.33</v>
      </c>
      <c r="J795" s="55">
        <v>0</v>
      </c>
      <c r="K795" s="55">
        <f t="shared" ca="1" si="155"/>
        <v>333.08850327868845</v>
      </c>
      <c r="L795" s="55">
        <v>0</v>
      </c>
      <c r="M795" s="113">
        <f>SUMIFS(График[Возврат основной суммы долга],График[Дата с учетом нерабочих дней],$A795)</f>
        <v>0</v>
      </c>
      <c r="N795" s="56">
        <f>SUMIFS(График[Возврат начисленных %],График[Дата с учетом нерабочих дней],$A795)</f>
        <v>0</v>
      </c>
      <c r="O795" s="101">
        <v>0</v>
      </c>
      <c r="P795" s="100" cm="1">
        <f t="array" aca="1" ref="P795" ca="1">MAX(IF(AA794="Да",0,SUM(INDIRECT("M"&amp;(MAX(("Да"=AA$12:AA794)*ROW(AA$12:AA794)+1,ROW($P$12))&amp;":M"&amp;(ROW()))))-SUM(INDIRECT("W"&amp;(MAX(("Да"=AA$12:AA794)*ROW(AA$12:AA794)+1,ROW($P$12))&amp;":W"&amp;(ROW()))))),0)</f>
        <v>11601.89</v>
      </c>
      <c r="Q795" s="99">
        <f ca="1">MAX(SUM($N$13:N795)-SUM($T$13:T795),0)</f>
        <v>55015.810655737689</v>
      </c>
      <c r="R795" s="99">
        <f ca="1">Первоначальный[[#This Row],[Просроченный платеж по ОД]]+Первоначальный[[#This Row],[Просроченный платеж по процентам]]</f>
        <v>66617.700655737688</v>
      </c>
      <c r="S795" s="120">
        <f ca="1">IF(Первоначальный[[#This Row],[Просроченный платеж]]&lt;1,0,S794+1)</f>
        <v>691</v>
      </c>
      <c r="T795" s="100" cm="1">
        <f t="array" aca="1" ref="T795" ca="1">IF(Первоначальный[[#This Row],[Итого остаток на начало периода]]&lt;1,0,
IF(
AND(TYPE(VLOOKUP(1,$Z$12:Z795,1,0))=16,Первоначальный[[#This Row],[Досрочное погашение (да/"")]]=""),0,
_xlfn.IFS(AND(S794=0,Первоначальный[[#This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платеж]]&lt;&gt;0),MIN(LOOKUP(,-1/($Z$12:Z795=1),$C$12:C795)+LOOKUP(,-1/($Z$12:Z795=1),$H$12:H795),Первоначальный[[#This Row],[Полученный платеж]]+Y794),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платеж]]+Y794,SUM(Первоначальный[[#This Row],[Остаток процентов на начало периода]],Первоначальный[[#This Row],[Проценты за период]])),
AND(S794=0,Первоначальный[[#This Row],[Дата платежа из графика]]=""),0,
AND(S794=0,Первоначальный[[#This Row],[Дата платежа из графика]]=1,MAX((0&lt;&gt;S$12:S794)*ROW(S$12:S794),ROW($S$12))&gt;=MAX((1=Z$12:Z794)*ROW(Z$12:Z794),ROW($T$12)),TYPE(VLOOKUP("Да",(INDIRECT("AA"&amp;(MAX((1=Z$12:Z794)*ROW(Z$12:Z794),ROW($T$12))&amp;":AA"&amp;(ROW()-1)))),1,0))=16),MIN(LOOKUP(,-1/($Z$12:Z795=1),$C$12:C795)+LOOKUP(,-1/($Z$12:Z795=1),$H$12:H795),Первоначальный[[#This Row],[Полученный платеж]]+Y794),
AND(S794=0,TYPE(VLOOKUP("Да",(INDIRECT("AA"&amp;(MAX((1=Z$12:Z794)*ROW(Z$12:Z794),ROW($T$12))&amp;":AA"&amp;(ROW()-1)))),1,0))&lt;&gt;16),MIN(LOOKUP(,-1/($Z$12:Z795=1),$C$12:C795)+LOOKUP(,-1/($Z$12:Z795=1),$H$12:H795)-IF(AA794="Да",0,SUM(INDIRECT("T"&amp;(MAX(("Да"=AA$12:AA794)*ROW(AA$12:AA794)+1,ROW($T$12))&amp;":T"&amp;(ROW()-1))))),Первоначальный[[#This Row],[Полученный платеж]]+Y794),
AND(S794=0,MAX((0&lt;&gt;N$12:N794)*ROW(N$12:N794),ROW($S$12))&gt;=MAX((1=Z$12:Z794)*ROW(Z$12:Z794),ROW($T$12))),MIN(LOOKUP(,-1/($Z$12:Z795=1),$C$12:C795)+LOOKUP(,-1/($Z$12:Z795=1),$H$12:H795)-IF(N794&lt;&gt;0,0,SUM(INDIRECT("T"&amp;(MAX((0&lt;&gt;N$12:N794)*ROW(N$12:N794)+1,ROW($T$12))&amp;":T"&amp;(ROW()-1))))),Первоначальный[[#This Row],[Полученный платеж]]+Y794),
AND(S794=0,Первоначальный[[#This Row],[Дата платежа из графика]]=1),MIN(LOOKUP(,-1/($Z$12:Z795=1),$C$12:C795)+LOOKUP(,-1/($Z$12:Z795=1),$H$12:H795)-IF(Z794=1,0,SUM(INDIRECT("T"&amp;(MAX((1=Z$12:Z794)*ROW(Z$12:Z794)+1,ROW($T$12))&amp;":T"&amp;(ROW()-1))))),Первоначальный[[#This Row],[Полученный платеж]]+Y794),
AND(Z794&gt;0,Первоначальный[[#This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платеж]]+Y794),
AND(S794&gt;0,MAX((0&lt;&gt;S$12:S794)*ROW(S$12:S794),ROW($S$12))&gt;=MAX((1=Z$12:Z794)*ROW(Z$12:Z794),ROW($T$12)),TYPE(VLOOKUP("Да",(INDIRECT("AA"&amp;(MAX((1=Z$12:Z794)*ROW(Z$12:Z794),ROW($T$12))&amp;":AA"&amp;(ROW()-1)))),1,0))=16),MIN(LOOKUP(,-1/($Z$12:Z795=1),$C$12:C795)+LOOKUP(,-1/($Z$12:Z795=1),$H$12:H795)-SUM(INDIRECT("T"&amp;(MAX((1=Z$12:Z794)*ROW(Z$12:Z794),ROW($T$12))&amp;":T"&amp;(ROW()-1)))),Первоначальный[[#This Row],[Полученный платеж]]+Y794),
S794&gt;0,MIN(LOOKUP(,-1/($Z$12:Z795=1),$C$12:C795)+LOOKUP(,-1/($Z$12:Z795=1),$H$12:H795)-IF(Z794=1,0,SUM(INDIRECT("T"&amp;(MAX((1=Z$12:Z794)*ROW(Z$12:Z794)+1,ROW($T$12))&amp;":T"&amp;(ROW()-1))))),Первоначальный[[#This Row],[Полученный платеж]]+Y794)
)
)
)</f>
        <v>0</v>
      </c>
      <c r="U79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платеж]]+Y794-Первоначальный[[#This Row],[Полученный платёж по процентам]])</f>
        <v>0</v>
      </c>
      <c r="V795" s="55">
        <f t="shared" ca="1" si="145"/>
        <v>0</v>
      </c>
      <c r="W795" s="55" cm="1">
        <f t="array" aca="1" ref="W795" ca="1">IF(Первоначальный[[#This Row],[Итого остаток на начало периода]]&lt;1,0,
_xlfn.IFS(
AND(TYPE(VLOOKUP(1,$Z$12:Z795,1,0))=16,Первоначальный[[#This Row],[Досрочное погашение (да/"")]]=""),0,
AND(S794=0,Первоначальный[[#This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платеж]]+Y794-SUM(Первоначальный[[#This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комиссиям]]),VLOOKUP(LOOKUP(,-1/($Z$12:Z795=1),$A$12:A795),График[[Срок конец]:[Возврат основной суммы долга]],3,0)),
AND(S794=0,Первоначальный[[#This Row],[Дата платежа из графика]]="",Первоначальный[[#This Row],[Досрочное погашение (да/"")]]&lt;&gt;"Да"),0,
AND(S794=0,Первоначальный[[#This Row],[Досрочное погашение (да/"")]]=""),MIN(Первоначальный[[#This Row],[Полученный платеж]]+Y794-SUM(Первоначальный[[#This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комиссиям]]),VLOOKUP(LOOKUP(,-1/($Z$12:Z795=1),$A$12:A795),График[[Срок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платеж]]+Y794-SUM(Первоначальный[[#This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S794&gt;0,MIN(Первоначальный[[#This Row],[Полученный платеж]]+Y794-SUM(Первоначальный[[#This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комиссиям]]),SUM(INDIRECT("M"&amp;(MAX((1=S$12:S794)*ROW(S$12:S794),ROW($W$12))&amp;":M"&amp;(ROW()))))-SUM(INDIRECT("W"&amp;(MAX((1=S$12:S794)*ROW(S$12:S794),ROW($W$12))&amp;":W"&amp;(ROW()-1)))))
)
)</f>
        <v>0</v>
      </c>
      <c r="X795" s="55">
        <f t="shared" ca="1" si="146"/>
        <v>0</v>
      </c>
      <c r="Y795" s="101">
        <f t="shared" ca="1" si="153"/>
        <v>0</v>
      </c>
      <c r="Z795" s="133" t="str">
        <f>IF(TYPE((VLOOKUP(Первоначальный[[#This Row],[Дата платежа]],График[Срок конец],1,0)))=16,"",1)</f>
        <v/>
      </c>
      <c r="AA795" s="57"/>
      <c r="AB795" s="134"/>
      <c r="AC79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9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56673.700000000012</v>
      </c>
      <c r="AE79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2132.659999999998</v>
      </c>
      <c r="AF79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9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119035.23576557385</v>
      </c>
      <c r="AH795" s="55"/>
      <c r="AI795" s="55"/>
      <c r="AJ795" s="55"/>
      <c r="AK795" s="101">
        <f t="shared" ca="1" si="154"/>
        <v>327474.93576557387</v>
      </c>
      <c r="AL795" s="129">
        <f t="array" ref="AL795">MAX((УслРестрактов[Характеристика]="Дата реструктуризации")*(УслРестрактов[Значение]=Первоначальный!$A795),0)</f>
        <v>0</v>
      </c>
    </row>
    <row r="796" spans="1:38" x14ac:dyDescent="0.25">
      <c r="A796" s="97">
        <f t="shared" si="147"/>
        <v>44927</v>
      </c>
      <c r="B796" s="100">
        <f t="shared" ca="1" si="148"/>
        <v>149633.34</v>
      </c>
      <c r="C796" s="55">
        <f t="shared" ca="1" si="144"/>
        <v>56673.700000000012</v>
      </c>
      <c r="D796" s="55">
        <f t="shared" ca="1" si="144"/>
        <v>2132.659999999998</v>
      </c>
      <c r="E796" s="55">
        <f t="shared" ca="1" si="149"/>
        <v>0</v>
      </c>
      <c r="F796" s="55">
        <f t="shared" ca="1" si="150"/>
        <v>119035.23576557385</v>
      </c>
      <c r="G796" s="101">
        <f t="shared" ca="1" si="151"/>
        <v>327474.93576557387</v>
      </c>
      <c r="H796" s="100">
        <f ca="1">ROUND($B796*VLOOKUP($A796,$A$1:$B$10,2,1)/(365+IF(MOD(YEAR($A796),4),0,1)*($A796-$A795)),2)-Первоначальный[[#This Row],[Проценты на просроченный платеж по ОД за период]]</f>
        <v>75.25</v>
      </c>
      <c r="I796" s="55">
        <f t="shared" ca="1" si="152"/>
        <v>6.33</v>
      </c>
      <c r="J796" s="55">
        <v>0</v>
      </c>
      <c r="K796" s="55">
        <f t="shared" ca="1" si="155"/>
        <v>333.08850327868845</v>
      </c>
      <c r="L796" s="55">
        <v>0</v>
      </c>
      <c r="M796" s="113">
        <f>SUMIFS(График[Возврат основной суммы долга],График[Дата с учетом нерабочих дней],$A796)</f>
        <v>0</v>
      </c>
      <c r="N796" s="56">
        <f>SUMIFS(График[Возврат начисленных %],График[Дата с учетом нерабочих дней],$A796)</f>
        <v>0</v>
      </c>
      <c r="O796" s="101">
        <v>0</v>
      </c>
      <c r="P796" s="100" cm="1">
        <f t="array" aca="1" ref="P796" ca="1">MAX(IF(AA795="Да",0,SUM(INDIRECT("M"&amp;(MAX(("Да"=AA$12:AA795)*ROW(AA$12:AA795)+1,ROW($P$12))&amp;":M"&amp;(ROW()))))-SUM(INDIRECT("W"&amp;(MAX(("Да"=AA$12:AA795)*ROW(AA$12:AA795)+1,ROW($P$12))&amp;":W"&amp;(ROW()))))),0)</f>
        <v>11601.89</v>
      </c>
      <c r="Q796" s="99">
        <f ca="1">MAX(SUM($N$13:N796)-SUM($T$13:T796),0)</f>
        <v>55015.810655737689</v>
      </c>
      <c r="R796" s="99">
        <f ca="1">Первоначальный[[#This Row],[Просроченный платеж по ОД]]+Первоначальный[[#This Row],[Просроченный платеж по процентам]]</f>
        <v>66617.700655737688</v>
      </c>
      <c r="S796" s="120">
        <f ca="1">IF(Первоначальный[[#This Row],[Просроченный платеж]]&lt;1,0,S795+1)</f>
        <v>692</v>
      </c>
      <c r="T796" s="100" cm="1">
        <f t="array" aca="1" ref="T796" ca="1">IF(Первоначальный[[#This Row],[Итого остаток на начало периода]]&lt;1,0,
IF(
AND(TYPE(VLOOKUP(1,$Z$12:Z796,1,0))=16,Первоначальный[[#This Row],[Досрочное погашение (да/"")]]=""),0,
_xlfn.IFS(AND(S795=0,Первоначальный[[#This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платеж]]&lt;&gt;0),MIN(LOOKUP(,-1/($Z$12:Z796=1),$C$12:C796)+LOOKUP(,-1/($Z$12:Z796=1),$H$12:H796),Первоначальный[[#This Row],[Полученный платеж]]+Y795),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платеж]]+Y795,SUM(Первоначальный[[#This Row],[Остаток процентов на начало периода]],Первоначальный[[#This Row],[Проценты за период]])),
AND(S795=0,Первоначальный[[#This Row],[Дата платежа из графика]]=""),0,
AND(S795=0,Первоначальный[[#This Row],[Дата платежа из графика]]=1,MAX((0&lt;&gt;S$12:S795)*ROW(S$12:S795),ROW($S$12))&gt;=MAX((1=Z$12:Z795)*ROW(Z$12:Z795),ROW($T$12)),TYPE(VLOOKUP("Да",(INDIRECT("AA"&amp;(MAX((1=Z$12:Z795)*ROW(Z$12:Z795),ROW($T$12))&amp;":AA"&amp;(ROW()-1)))),1,0))=16),MIN(LOOKUP(,-1/($Z$12:Z796=1),$C$12:C796)+LOOKUP(,-1/($Z$12:Z796=1),$H$12:H796),Первоначальный[[#This Row],[Полученный платеж]]+Y795),
AND(S795=0,TYPE(VLOOKUP("Да",(INDIRECT("AA"&amp;(MAX((1=Z$12:Z795)*ROW(Z$12:Z795),ROW($T$12))&amp;":AA"&amp;(ROW()-1)))),1,0))&lt;&gt;16),MIN(LOOKUP(,-1/($Z$12:Z796=1),$C$12:C796)+LOOKUP(,-1/($Z$12:Z796=1),$H$12:H796)-IF(AA795="Да",0,SUM(INDIRECT("T"&amp;(MAX(("Да"=AA$12:AA795)*ROW(AA$12:AA795)+1,ROW($T$12))&amp;":T"&amp;(ROW()-1))))),Первоначальный[[#This Row],[Полученный платеж]]+Y795),
AND(S795=0,MAX((0&lt;&gt;N$12:N795)*ROW(N$12:N795),ROW($S$12))&gt;=MAX((1=Z$12:Z795)*ROW(Z$12:Z795),ROW($T$12))),MIN(LOOKUP(,-1/($Z$12:Z796=1),$C$12:C796)+LOOKUP(,-1/($Z$12:Z796=1),$H$12:H796)-IF(N795&lt;&gt;0,0,SUM(INDIRECT("T"&amp;(MAX((0&lt;&gt;N$12:N795)*ROW(N$12:N795)+1,ROW($T$12))&amp;":T"&amp;(ROW()-1))))),Первоначальный[[#This Row],[Полученный платеж]]+Y795),
AND(S795=0,Первоначальный[[#This Row],[Дата платежа из графика]]=1),MIN(LOOKUP(,-1/($Z$12:Z796=1),$C$12:C796)+LOOKUP(,-1/($Z$12:Z796=1),$H$12:H796)-IF(Z795=1,0,SUM(INDIRECT("T"&amp;(MAX((1=Z$12:Z795)*ROW(Z$12:Z795)+1,ROW($T$12))&amp;":T"&amp;(ROW()-1))))),Первоначальный[[#This Row],[Полученный платеж]]+Y795),
AND(Z795&gt;0,Первоначальный[[#This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платеж]]+Y795),
AND(S795&gt;0,MAX((0&lt;&gt;S$12:S795)*ROW(S$12:S795),ROW($S$12))&gt;=MAX((1=Z$12:Z795)*ROW(Z$12:Z795),ROW($T$12)),TYPE(VLOOKUP("Да",(INDIRECT("AA"&amp;(MAX((1=Z$12:Z795)*ROW(Z$12:Z795),ROW($T$12))&amp;":AA"&amp;(ROW()-1)))),1,0))=16),MIN(LOOKUP(,-1/($Z$12:Z796=1),$C$12:C796)+LOOKUP(,-1/($Z$12:Z796=1),$H$12:H796)-SUM(INDIRECT("T"&amp;(MAX((1=Z$12:Z795)*ROW(Z$12:Z795),ROW($T$12))&amp;":T"&amp;(ROW()-1)))),Первоначальный[[#This Row],[Полученный платеж]]+Y795),
S795&gt;0,MIN(LOOKUP(,-1/($Z$12:Z796=1),$C$12:C796)+LOOKUP(,-1/($Z$12:Z796=1),$H$12:H796)-IF(Z795=1,0,SUM(INDIRECT("T"&amp;(MAX((1=Z$12:Z795)*ROW(Z$12:Z795)+1,ROW($T$12))&amp;":T"&amp;(ROW()-1))))),Первоначальный[[#This Row],[Полученный платеж]]+Y795)
)
)
)</f>
        <v>0</v>
      </c>
      <c r="U79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платеж]]+Y795-Первоначальный[[#This Row],[Полученный платёж по процентам]])</f>
        <v>0</v>
      </c>
      <c r="V796" s="55">
        <f t="shared" ca="1" si="145"/>
        <v>0</v>
      </c>
      <c r="W796" s="55" cm="1">
        <f t="array" aca="1" ref="W796" ca="1">IF(Первоначальный[[#This Row],[Итого остаток на начало периода]]&lt;1,0,
_xlfn.IFS(
AND(TYPE(VLOOKUP(1,$Z$12:Z796,1,0))=16,Первоначальный[[#This Row],[Досрочное погашение (да/"")]]=""),0,
AND(S795=0,Первоначальный[[#This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платеж]]+Y795-SUM(Первоначальный[[#This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комиссиям]]),VLOOKUP(LOOKUP(,-1/($Z$12:Z796=1),$A$12:A796),График[[Срок конец]:[Возврат основной суммы долга]],3,0)),
AND(S795=0,Первоначальный[[#This Row],[Дата платежа из графика]]="",Первоначальный[[#This Row],[Досрочное погашение (да/"")]]&lt;&gt;"Да"),0,
AND(S795=0,Первоначальный[[#This Row],[Досрочное погашение (да/"")]]=""),MIN(Первоначальный[[#This Row],[Полученный платеж]]+Y795-SUM(Первоначальный[[#This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комиссиям]]),VLOOKUP(LOOKUP(,-1/($Z$12:Z796=1),$A$12:A796),График[[Срок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платеж]]+Y795-SUM(Первоначальный[[#This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S795&gt;0,MIN(Первоначальный[[#This Row],[Полученный платеж]]+Y795-SUM(Первоначальный[[#This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комиссиям]]),SUM(INDIRECT("M"&amp;(MAX((1=S$12:S795)*ROW(S$12:S795),ROW($W$12))&amp;":M"&amp;(ROW()))))-SUM(INDIRECT("W"&amp;(MAX((1=S$12:S795)*ROW(S$12:S795),ROW($W$12))&amp;":W"&amp;(ROW()-1)))))
)
)</f>
        <v>0</v>
      </c>
      <c r="X796" s="55">
        <f t="shared" ca="1" si="146"/>
        <v>0</v>
      </c>
      <c r="Y796" s="101">
        <f t="shared" ca="1" si="153"/>
        <v>0</v>
      </c>
      <c r="Z796" s="133" t="str">
        <f>IF(TYPE((VLOOKUP(Первоначальный[[#This Row],[Дата платежа]],График[Срок конец],1,0)))=16,"",1)</f>
        <v/>
      </c>
      <c r="AA796" s="57"/>
      <c r="AB796" s="134"/>
      <c r="AC79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9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56748.950000000012</v>
      </c>
      <c r="AE79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2138.989999999998</v>
      </c>
      <c r="AF79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9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119368.32426885254</v>
      </c>
      <c r="AH796" s="55"/>
      <c r="AI796" s="55"/>
      <c r="AJ796" s="55"/>
      <c r="AK796" s="101">
        <f t="shared" ca="1" si="154"/>
        <v>327889.6042688525</v>
      </c>
      <c r="AL796" s="129">
        <f t="array" ref="AL796">MAX((УслРестрактов[Характеристика]="Дата реструктуризации")*(УслРестрактов[Значение]=Первоначальный!$A796),0)</f>
        <v>0</v>
      </c>
    </row>
    <row r="797" spans="1:38" x14ac:dyDescent="0.25">
      <c r="A797" s="97">
        <f t="shared" si="147"/>
        <v>44928</v>
      </c>
      <c r="B797" s="100">
        <f t="shared" ca="1" si="148"/>
        <v>149633.34</v>
      </c>
      <c r="C797" s="55">
        <f t="shared" ref="C797:D860" ca="1" si="156">AD796+AI796</f>
        <v>56748.950000000012</v>
      </c>
      <c r="D797" s="55">
        <f t="shared" ca="1" si="156"/>
        <v>2138.989999999998</v>
      </c>
      <c r="E797" s="55">
        <f t="shared" ca="1" si="149"/>
        <v>0</v>
      </c>
      <c r="F797" s="55">
        <f t="shared" ca="1" si="150"/>
        <v>119368.32426885254</v>
      </c>
      <c r="G797" s="101">
        <f t="shared" ca="1" si="151"/>
        <v>327889.6042688525</v>
      </c>
      <c r="H797" s="100">
        <f ca="1">ROUND($B797*VLOOKUP($A797,$A$1:$B$10,2,1)/(365+IF(MOD(YEAR($A797),4),0,1)*($A797-$A796)),2)-Первоначальный[[#This Row],[Проценты на просроченный платеж по ОД за период]]</f>
        <v>75.25</v>
      </c>
      <c r="I797" s="55">
        <f t="shared" ca="1" si="152"/>
        <v>6.33</v>
      </c>
      <c r="J797" s="55">
        <v>0</v>
      </c>
      <c r="K797" s="55">
        <f t="shared" ca="1" si="155"/>
        <v>333.08850327868845</v>
      </c>
      <c r="L797" s="55">
        <v>0</v>
      </c>
      <c r="M797" s="113">
        <f>SUMIFS(График[Возврат основной суммы долга],График[Дата с учетом нерабочих дней],$A797)</f>
        <v>0</v>
      </c>
      <c r="N797" s="56">
        <f>SUMIFS(График[Возврат начисленных %],График[Дата с учетом нерабочих дней],$A797)</f>
        <v>0</v>
      </c>
      <c r="O797" s="101">
        <v>0</v>
      </c>
      <c r="P797" s="100" cm="1">
        <f t="array" aca="1" ref="P797" ca="1">MAX(IF(AA796="Да",0,SUM(INDIRECT("M"&amp;(MAX(("Да"=AA$12:AA796)*ROW(AA$12:AA796)+1,ROW($P$12))&amp;":M"&amp;(ROW()))))-SUM(INDIRECT("W"&amp;(MAX(("Да"=AA$12:AA796)*ROW(AA$12:AA796)+1,ROW($P$12))&amp;":W"&amp;(ROW()))))),0)</f>
        <v>11601.89</v>
      </c>
      <c r="Q797" s="99">
        <f ca="1">MAX(SUM($N$13:N797)-SUM($T$13:T797),0)</f>
        <v>55015.810655737689</v>
      </c>
      <c r="R797" s="99">
        <f ca="1">Первоначальный[[#This Row],[Просроченный платеж по ОД]]+Первоначальный[[#This Row],[Просроченный платеж по процентам]]</f>
        <v>66617.700655737688</v>
      </c>
      <c r="S797" s="120">
        <f ca="1">IF(Первоначальный[[#This Row],[Просроченный платеж]]&lt;1,0,S796+1)</f>
        <v>693</v>
      </c>
      <c r="T797" s="100" cm="1">
        <f t="array" aca="1" ref="T797" ca="1">IF(Первоначальный[[#This Row],[Итого остаток на начало периода]]&lt;1,0,
IF(
AND(TYPE(VLOOKUP(1,$Z$12:Z797,1,0))=16,Первоначальный[[#This Row],[Досрочное погашение (да/"")]]=""),0,
_xlfn.IFS(AND(S796=0,Первоначальный[[#This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платеж]]&lt;&gt;0),MIN(LOOKUP(,-1/($Z$12:Z797=1),$C$12:C797)+LOOKUP(,-1/($Z$12:Z797=1),$H$12:H797),Первоначальный[[#This Row],[Полученный платеж]]+Y796),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платеж]]+Y796,SUM(Первоначальный[[#This Row],[Остаток процентов на начало периода]],Первоначальный[[#This Row],[Проценты за период]])),
AND(S796=0,Первоначальный[[#This Row],[Дата платежа из графика]]=""),0,
AND(S796=0,Первоначальный[[#This Row],[Дата платежа из графика]]=1,MAX((0&lt;&gt;S$12:S796)*ROW(S$12:S796),ROW($S$12))&gt;=MAX((1=Z$12:Z796)*ROW(Z$12:Z796),ROW($T$12)),TYPE(VLOOKUP("Да",(INDIRECT("AA"&amp;(MAX((1=Z$12:Z796)*ROW(Z$12:Z796),ROW($T$12))&amp;":AA"&amp;(ROW()-1)))),1,0))=16),MIN(LOOKUP(,-1/($Z$12:Z797=1),$C$12:C797)+LOOKUP(,-1/($Z$12:Z797=1),$H$12:H797),Первоначальный[[#This Row],[Полученный платеж]]+Y796),
AND(S796=0,TYPE(VLOOKUP("Да",(INDIRECT("AA"&amp;(MAX((1=Z$12:Z796)*ROW(Z$12:Z796),ROW($T$12))&amp;":AA"&amp;(ROW()-1)))),1,0))&lt;&gt;16),MIN(LOOKUP(,-1/($Z$12:Z797=1),$C$12:C797)+LOOKUP(,-1/($Z$12:Z797=1),$H$12:H797)-IF(AA796="Да",0,SUM(INDIRECT("T"&amp;(MAX(("Да"=AA$12:AA796)*ROW(AA$12:AA796)+1,ROW($T$12))&amp;":T"&amp;(ROW()-1))))),Первоначальный[[#This Row],[Полученный платеж]]+Y796),
AND(S796=0,MAX((0&lt;&gt;N$12:N796)*ROW(N$12:N796),ROW($S$12))&gt;=MAX((1=Z$12:Z796)*ROW(Z$12:Z796),ROW($T$12))),MIN(LOOKUP(,-1/($Z$12:Z797=1),$C$12:C797)+LOOKUP(,-1/($Z$12:Z797=1),$H$12:H797)-IF(N796&lt;&gt;0,0,SUM(INDIRECT("T"&amp;(MAX((0&lt;&gt;N$12:N796)*ROW(N$12:N796)+1,ROW($T$12))&amp;":T"&amp;(ROW()-1))))),Первоначальный[[#This Row],[Полученный платеж]]+Y796),
AND(S796=0,Первоначальный[[#This Row],[Дата платежа из графика]]=1),MIN(LOOKUP(,-1/($Z$12:Z797=1),$C$12:C797)+LOOKUP(,-1/($Z$12:Z797=1),$H$12:H797)-IF(Z796=1,0,SUM(INDIRECT("T"&amp;(MAX((1=Z$12:Z796)*ROW(Z$12:Z796)+1,ROW($T$12))&amp;":T"&amp;(ROW()-1))))),Первоначальный[[#This Row],[Полученный платеж]]+Y796),
AND(Z796&gt;0,Первоначальный[[#This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платеж]]+Y796),
AND(S796&gt;0,MAX((0&lt;&gt;S$12:S796)*ROW(S$12:S796),ROW($S$12))&gt;=MAX((1=Z$12:Z796)*ROW(Z$12:Z796),ROW($T$12)),TYPE(VLOOKUP("Да",(INDIRECT("AA"&amp;(MAX((1=Z$12:Z796)*ROW(Z$12:Z796),ROW($T$12))&amp;":AA"&amp;(ROW()-1)))),1,0))=16),MIN(LOOKUP(,-1/($Z$12:Z797=1),$C$12:C797)+LOOKUP(,-1/($Z$12:Z797=1),$H$12:H797)-SUM(INDIRECT("T"&amp;(MAX((1=Z$12:Z796)*ROW(Z$12:Z796),ROW($T$12))&amp;":T"&amp;(ROW()-1)))),Первоначальный[[#This Row],[Полученный платеж]]+Y796),
S796&gt;0,MIN(LOOKUP(,-1/($Z$12:Z797=1),$C$12:C797)+LOOKUP(,-1/($Z$12:Z797=1),$H$12:H797)-IF(Z796=1,0,SUM(INDIRECT("T"&amp;(MAX((1=Z$12:Z796)*ROW(Z$12:Z796)+1,ROW($T$12))&amp;":T"&amp;(ROW()-1))))),Первоначальный[[#This Row],[Полученный платеж]]+Y796)
)
)
)</f>
        <v>0</v>
      </c>
      <c r="U79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платеж]]+Y796-Первоначальный[[#This Row],[Полученный платёж по процентам]])</f>
        <v>0</v>
      </c>
      <c r="V797" s="55">
        <f t="shared" ca="1" si="145"/>
        <v>0</v>
      </c>
      <c r="W797" s="55" cm="1">
        <f t="array" aca="1" ref="W797" ca="1">IF(Первоначальный[[#This Row],[Итого остаток на начало периода]]&lt;1,0,
_xlfn.IFS(
AND(TYPE(VLOOKUP(1,$Z$12:Z797,1,0))=16,Первоначальный[[#This Row],[Досрочное погашение (да/"")]]=""),0,
AND(S796=0,Первоначальный[[#This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платеж]]+Y796-SUM(Первоначальный[[#This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комиссиям]]),VLOOKUP(LOOKUP(,-1/($Z$12:Z797=1),$A$12:A797),График[[Срок конец]:[Возврат основной суммы долга]],3,0)),
AND(S796=0,Первоначальный[[#This Row],[Дата платежа из графика]]="",Первоначальный[[#This Row],[Досрочное погашение (да/"")]]&lt;&gt;"Да"),0,
AND(S796=0,Первоначальный[[#This Row],[Досрочное погашение (да/"")]]=""),MIN(Первоначальный[[#This Row],[Полученный платеж]]+Y796-SUM(Первоначальный[[#This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комиссиям]]),VLOOKUP(LOOKUP(,-1/($Z$12:Z797=1),$A$12:A797),График[[Срок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платеж]]+Y796-SUM(Первоначальный[[#This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S796&gt;0,MIN(Первоначальный[[#This Row],[Полученный платеж]]+Y796-SUM(Первоначальный[[#This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комиссиям]]),SUM(INDIRECT("M"&amp;(MAX((1=S$12:S796)*ROW(S$12:S796),ROW($W$12))&amp;":M"&amp;(ROW()))))-SUM(INDIRECT("W"&amp;(MAX((1=S$12:S796)*ROW(S$12:S796),ROW($W$12))&amp;":W"&amp;(ROW()-1)))))
)
)</f>
        <v>0</v>
      </c>
      <c r="X797" s="55">
        <f t="shared" ca="1" si="146"/>
        <v>0</v>
      </c>
      <c r="Y797" s="101">
        <f t="shared" ca="1" si="153"/>
        <v>0</v>
      </c>
      <c r="Z797" s="133" t="str">
        <f>IF(TYPE((VLOOKUP(Первоначальный[[#This Row],[Дата платежа]],График[Срок конец],1,0)))=16,"",1)</f>
        <v/>
      </c>
      <c r="AA797" s="57"/>
      <c r="AB797" s="134"/>
      <c r="AC79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9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56824.200000000012</v>
      </c>
      <c r="AE79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2145.3199999999979</v>
      </c>
      <c r="AF79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9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119701.41277213123</v>
      </c>
      <c r="AH797" s="55"/>
      <c r="AI797" s="55"/>
      <c r="AJ797" s="55"/>
      <c r="AK797" s="101">
        <f t="shared" ca="1" si="154"/>
        <v>328304.27277213125</v>
      </c>
      <c r="AL797" s="129">
        <f t="array" ref="AL797">MAX((УслРестрактов[Характеристика]="Дата реструктуризации")*(УслРестрактов[Значение]=Первоначальный!$A797),0)</f>
        <v>0</v>
      </c>
    </row>
    <row r="798" spans="1:38" x14ac:dyDescent="0.25">
      <c r="A798" s="97">
        <f t="shared" si="147"/>
        <v>44929</v>
      </c>
      <c r="B798" s="100">
        <f t="shared" ca="1" si="148"/>
        <v>149633.34</v>
      </c>
      <c r="C798" s="55">
        <f t="shared" ca="1" si="156"/>
        <v>56824.200000000012</v>
      </c>
      <c r="D798" s="55">
        <f t="shared" ca="1" si="156"/>
        <v>2145.3199999999979</v>
      </c>
      <c r="E798" s="55">
        <f t="shared" ca="1" si="149"/>
        <v>0</v>
      </c>
      <c r="F798" s="55">
        <f t="shared" ca="1" si="150"/>
        <v>119701.41277213123</v>
      </c>
      <c r="G798" s="101">
        <f t="shared" ca="1" si="151"/>
        <v>328304.27277213125</v>
      </c>
      <c r="H798" s="100">
        <f ca="1">ROUND($B798*VLOOKUP($A798,$A$1:$B$10,2,1)/(365+IF(MOD(YEAR($A798),4),0,1)*($A798-$A797)),2)-Первоначальный[[#This Row],[Проценты на просроченный платеж по ОД за период]]</f>
        <v>75.25</v>
      </c>
      <c r="I798" s="55">
        <f t="shared" ca="1" si="152"/>
        <v>6.33</v>
      </c>
      <c r="J798" s="55">
        <v>0</v>
      </c>
      <c r="K798" s="55">
        <f t="shared" ca="1" si="155"/>
        <v>333.08850327868845</v>
      </c>
      <c r="L798" s="55">
        <v>0</v>
      </c>
      <c r="M798" s="113">
        <f>SUMIFS(График[Возврат основной суммы долга],График[Дата с учетом нерабочих дней],$A798)</f>
        <v>0</v>
      </c>
      <c r="N798" s="56">
        <f>SUMIFS(График[Возврат начисленных %],График[Дата с учетом нерабочих дней],$A798)</f>
        <v>0</v>
      </c>
      <c r="O798" s="101">
        <v>0</v>
      </c>
      <c r="P798" s="100" cm="1">
        <f t="array" aca="1" ref="P798" ca="1">MAX(IF(AA797="Да",0,SUM(INDIRECT("M"&amp;(MAX(("Да"=AA$12:AA797)*ROW(AA$12:AA797)+1,ROW($P$12))&amp;":M"&amp;(ROW()))))-SUM(INDIRECT("W"&amp;(MAX(("Да"=AA$12:AA797)*ROW(AA$12:AA797)+1,ROW($P$12))&amp;":W"&amp;(ROW()))))),0)</f>
        <v>11601.89</v>
      </c>
      <c r="Q798" s="99">
        <f ca="1">MAX(SUM($N$13:N798)-SUM($T$13:T798),0)</f>
        <v>55015.810655737689</v>
      </c>
      <c r="R798" s="99">
        <f ca="1">Первоначальный[[#This Row],[Просроченный платеж по ОД]]+Первоначальный[[#This Row],[Просроченный платеж по процентам]]</f>
        <v>66617.700655737688</v>
      </c>
      <c r="S798" s="120">
        <f ca="1">IF(Первоначальный[[#This Row],[Просроченный платеж]]&lt;1,0,S797+1)</f>
        <v>694</v>
      </c>
      <c r="T798" s="100" cm="1">
        <f t="array" aca="1" ref="T798" ca="1">IF(Первоначальный[[#This Row],[Итого остаток на начало периода]]&lt;1,0,
IF(
AND(TYPE(VLOOKUP(1,$Z$12:Z798,1,0))=16,Первоначальный[[#This Row],[Досрочное погашение (да/"")]]=""),0,
_xlfn.IFS(AND(S797=0,Первоначальный[[#This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платеж]]&lt;&gt;0),MIN(LOOKUP(,-1/($Z$12:Z798=1),$C$12:C798)+LOOKUP(,-1/($Z$12:Z798=1),$H$12:H798),Первоначальный[[#This Row],[Полученный платеж]]+Y797),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платеж]]+Y797,SUM(Первоначальный[[#This Row],[Остаток процентов на начало периода]],Первоначальный[[#This Row],[Проценты за период]])),
AND(S797=0,Первоначальный[[#This Row],[Дата платежа из графика]]=""),0,
AND(S797=0,Первоначальный[[#This Row],[Дата платежа из графика]]=1,MAX((0&lt;&gt;S$12:S797)*ROW(S$12:S797),ROW($S$12))&gt;=MAX((1=Z$12:Z797)*ROW(Z$12:Z797),ROW($T$12)),TYPE(VLOOKUP("Да",(INDIRECT("AA"&amp;(MAX((1=Z$12:Z797)*ROW(Z$12:Z797),ROW($T$12))&amp;":AA"&amp;(ROW()-1)))),1,0))=16),MIN(LOOKUP(,-1/($Z$12:Z798=1),$C$12:C798)+LOOKUP(,-1/($Z$12:Z798=1),$H$12:H798),Первоначальный[[#This Row],[Полученный платеж]]+Y797),
AND(S797=0,TYPE(VLOOKUP("Да",(INDIRECT("AA"&amp;(MAX((1=Z$12:Z797)*ROW(Z$12:Z797),ROW($T$12))&amp;":AA"&amp;(ROW()-1)))),1,0))&lt;&gt;16),MIN(LOOKUP(,-1/($Z$12:Z798=1),$C$12:C798)+LOOKUP(,-1/($Z$12:Z798=1),$H$12:H798)-IF(AA797="Да",0,SUM(INDIRECT("T"&amp;(MAX(("Да"=AA$12:AA797)*ROW(AA$12:AA797)+1,ROW($T$12))&amp;":T"&amp;(ROW()-1))))),Первоначальный[[#This Row],[Полученный платеж]]+Y797),
AND(S797=0,MAX((0&lt;&gt;N$12:N797)*ROW(N$12:N797),ROW($S$12))&gt;=MAX((1=Z$12:Z797)*ROW(Z$12:Z797),ROW($T$12))),MIN(LOOKUP(,-1/($Z$12:Z798=1),$C$12:C798)+LOOKUP(,-1/($Z$12:Z798=1),$H$12:H798)-IF(N797&lt;&gt;0,0,SUM(INDIRECT("T"&amp;(MAX((0&lt;&gt;N$12:N797)*ROW(N$12:N797)+1,ROW($T$12))&amp;":T"&amp;(ROW()-1))))),Первоначальный[[#This Row],[Полученный платеж]]+Y797),
AND(S797=0,Первоначальный[[#This Row],[Дата платежа из графика]]=1),MIN(LOOKUP(,-1/($Z$12:Z798=1),$C$12:C798)+LOOKUP(,-1/($Z$12:Z798=1),$H$12:H798)-IF(Z797=1,0,SUM(INDIRECT("T"&amp;(MAX((1=Z$12:Z797)*ROW(Z$12:Z797)+1,ROW($T$12))&amp;":T"&amp;(ROW()-1))))),Первоначальный[[#This Row],[Полученный платеж]]+Y797),
AND(Z797&gt;0,Первоначальный[[#This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платеж]]+Y797),
AND(S797&gt;0,MAX((0&lt;&gt;S$12:S797)*ROW(S$12:S797),ROW($S$12))&gt;=MAX((1=Z$12:Z797)*ROW(Z$12:Z797),ROW($T$12)),TYPE(VLOOKUP("Да",(INDIRECT("AA"&amp;(MAX((1=Z$12:Z797)*ROW(Z$12:Z797),ROW($T$12))&amp;":AA"&amp;(ROW()-1)))),1,0))=16),MIN(LOOKUP(,-1/($Z$12:Z798=1),$C$12:C798)+LOOKUP(,-1/($Z$12:Z798=1),$H$12:H798)-SUM(INDIRECT("T"&amp;(MAX((1=Z$12:Z797)*ROW(Z$12:Z797),ROW($T$12))&amp;":T"&amp;(ROW()-1)))),Первоначальный[[#This Row],[Полученный платеж]]+Y797),
S797&gt;0,MIN(LOOKUP(,-1/($Z$12:Z798=1),$C$12:C798)+LOOKUP(,-1/($Z$12:Z798=1),$H$12:H798)-IF(Z797=1,0,SUM(INDIRECT("T"&amp;(MAX((1=Z$12:Z797)*ROW(Z$12:Z797)+1,ROW($T$12))&amp;":T"&amp;(ROW()-1))))),Первоначальный[[#This Row],[Полученный платеж]]+Y797)
)
)
)</f>
        <v>0</v>
      </c>
      <c r="U79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платеж]]+Y797-Первоначальный[[#This Row],[Полученный платёж по процентам]])</f>
        <v>0</v>
      </c>
      <c r="V798" s="55">
        <f t="shared" ca="1" si="145"/>
        <v>0</v>
      </c>
      <c r="W798" s="55" cm="1">
        <f t="array" aca="1" ref="W798" ca="1">IF(Первоначальный[[#This Row],[Итого остаток на начало периода]]&lt;1,0,
_xlfn.IFS(
AND(TYPE(VLOOKUP(1,$Z$12:Z798,1,0))=16,Первоначальный[[#This Row],[Досрочное погашение (да/"")]]=""),0,
AND(S797=0,Первоначальный[[#This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платеж]]+Y797-SUM(Первоначальный[[#This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комиссиям]]),VLOOKUP(LOOKUP(,-1/($Z$12:Z798=1),$A$12:A798),График[[Срок конец]:[Возврат основной суммы долга]],3,0)),
AND(S797=0,Первоначальный[[#This Row],[Дата платежа из графика]]="",Первоначальный[[#This Row],[Досрочное погашение (да/"")]]&lt;&gt;"Да"),0,
AND(S797=0,Первоначальный[[#This Row],[Досрочное погашение (да/"")]]=""),MIN(Первоначальный[[#This Row],[Полученный платеж]]+Y797-SUM(Первоначальный[[#This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комиссиям]]),VLOOKUP(LOOKUP(,-1/($Z$12:Z798=1),$A$12:A798),График[[Срок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платеж]]+Y797-SUM(Первоначальный[[#This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S797&gt;0,MIN(Первоначальный[[#This Row],[Полученный платеж]]+Y797-SUM(Первоначальный[[#This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комиссиям]]),SUM(INDIRECT("M"&amp;(MAX((1=S$12:S797)*ROW(S$12:S797),ROW($W$12))&amp;":M"&amp;(ROW()))))-SUM(INDIRECT("W"&amp;(MAX((1=S$12:S797)*ROW(S$12:S797),ROW($W$12))&amp;":W"&amp;(ROW()-1)))))
)
)</f>
        <v>0</v>
      </c>
      <c r="X798" s="55">
        <f t="shared" ca="1" si="146"/>
        <v>0</v>
      </c>
      <c r="Y798" s="101">
        <f t="shared" ca="1" si="153"/>
        <v>0</v>
      </c>
      <c r="Z798" s="133" t="str">
        <f>IF(TYPE((VLOOKUP(Первоначальный[[#This Row],[Дата платежа]],График[Срок конец],1,0)))=16,"",1)</f>
        <v/>
      </c>
      <c r="AA798" s="57"/>
      <c r="AB798" s="134"/>
      <c r="AC79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9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56899.450000000012</v>
      </c>
      <c r="AE79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2151.6499999999978</v>
      </c>
      <c r="AF79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9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120034.50127540992</v>
      </c>
      <c r="AH798" s="55"/>
      <c r="AI798" s="55"/>
      <c r="AJ798" s="55"/>
      <c r="AK798" s="101">
        <f t="shared" ca="1" si="154"/>
        <v>328718.94127540989</v>
      </c>
      <c r="AL798" s="129">
        <f t="array" ref="AL798">MAX((УслРестрактов[Характеристика]="Дата реструктуризации")*(УслРестрактов[Значение]=Первоначальный!$A798),0)</f>
        <v>0</v>
      </c>
    </row>
    <row r="799" spans="1:38" x14ac:dyDescent="0.25">
      <c r="A799" s="97">
        <f t="shared" si="147"/>
        <v>44930</v>
      </c>
      <c r="B799" s="100">
        <f t="shared" ca="1" si="148"/>
        <v>149633.34</v>
      </c>
      <c r="C799" s="55">
        <f t="shared" ca="1" si="156"/>
        <v>56899.450000000012</v>
      </c>
      <c r="D799" s="55">
        <f t="shared" ca="1" si="156"/>
        <v>2151.6499999999978</v>
      </c>
      <c r="E799" s="55">
        <f t="shared" ca="1" si="149"/>
        <v>0</v>
      </c>
      <c r="F799" s="55">
        <f t="shared" ca="1" si="150"/>
        <v>120034.50127540992</v>
      </c>
      <c r="G799" s="101">
        <f t="shared" ca="1" si="151"/>
        <v>328718.94127540989</v>
      </c>
      <c r="H799" s="100">
        <f ca="1">ROUND($B799*VLOOKUP($A799,$A$1:$B$10,2,1)/(365+IF(MOD(YEAR($A799),4),0,1)*($A799-$A798)),2)-Первоначальный[[#This Row],[Проценты на просроченный платеж по ОД за период]]</f>
        <v>75.25</v>
      </c>
      <c r="I799" s="55">
        <f t="shared" ca="1" si="152"/>
        <v>6.33</v>
      </c>
      <c r="J799" s="55">
        <v>0</v>
      </c>
      <c r="K799" s="55">
        <f t="shared" ca="1" si="155"/>
        <v>333.08850327868845</v>
      </c>
      <c r="L799" s="55">
        <v>0</v>
      </c>
      <c r="M799" s="113">
        <f>SUMIFS(График[Возврат основной суммы долга],График[Дата с учетом нерабочих дней],$A799)</f>
        <v>0</v>
      </c>
      <c r="N799" s="56">
        <f>SUMIFS(График[Возврат начисленных %],График[Дата с учетом нерабочих дней],$A799)</f>
        <v>0</v>
      </c>
      <c r="O799" s="101">
        <v>0</v>
      </c>
      <c r="P799" s="100" cm="1">
        <f t="array" aca="1" ref="P799" ca="1">MAX(IF(AA798="Да",0,SUM(INDIRECT("M"&amp;(MAX(("Да"=AA$12:AA798)*ROW(AA$12:AA798)+1,ROW($P$12))&amp;":M"&amp;(ROW()))))-SUM(INDIRECT("W"&amp;(MAX(("Да"=AA$12:AA798)*ROW(AA$12:AA798)+1,ROW($P$12))&amp;":W"&amp;(ROW()))))),0)</f>
        <v>11601.89</v>
      </c>
      <c r="Q799" s="99">
        <f ca="1">MAX(SUM($N$13:N799)-SUM($T$13:T799),0)</f>
        <v>55015.810655737689</v>
      </c>
      <c r="R799" s="99">
        <f ca="1">Первоначальный[[#This Row],[Просроченный платеж по ОД]]+Первоначальный[[#This Row],[Просроченный платеж по процентам]]</f>
        <v>66617.700655737688</v>
      </c>
      <c r="S799" s="120">
        <f ca="1">IF(Первоначальный[[#This Row],[Просроченный платеж]]&lt;1,0,S798+1)</f>
        <v>695</v>
      </c>
      <c r="T799" s="100" cm="1">
        <f t="array" aca="1" ref="T799" ca="1">IF(Первоначальный[[#This Row],[Итого остаток на начало периода]]&lt;1,0,
IF(
AND(TYPE(VLOOKUP(1,$Z$12:Z799,1,0))=16,Первоначальный[[#This Row],[Досрочное погашение (да/"")]]=""),0,
_xlfn.IFS(AND(S798=0,Первоначальный[[#This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платеж]]&lt;&gt;0),MIN(LOOKUP(,-1/($Z$12:Z799=1),$C$12:C799)+LOOKUP(,-1/($Z$12:Z799=1),$H$12:H799),Первоначальный[[#This Row],[Полученный платеж]]+Y798),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платеж]]+Y798,SUM(Первоначальный[[#This Row],[Остаток процентов на начало периода]],Первоначальный[[#This Row],[Проценты за период]])),
AND(S798=0,Первоначальный[[#This Row],[Дата платежа из графика]]=""),0,
AND(S798=0,Первоначальный[[#This Row],[Дата платежа из графика]]=1,MAX((0&lt;&gt;S$12:S798)*ROW(S$12:S798),ROW($S$12))&gt;=MAX((1=Z$12:Z798)*ROW(Z$12:Z798),ROW($T$12)),TYPE(VLOOKUP("Да",(INDIRECT("AA"&amp;(MAX((1=Z$12:Z798)*ROW(Z$12:Z798),ROW($T$12))&amp;":AA"&amp;(ROW()-1)))),1,0))=16),MIN(LOOKUP(,-1/($Z$12:Z799=1),$C$12:C799)+LOOKUP(,-1/($Z$12:Z799=1),$H$12:H799),Первоначальный[[#This Row],[Полученный платеж]]+Y798),
AND(S798=0,TYPE(VLOOKUP("Да",(INDIRECT("AA"&amp;(MAX((1=Z$12:Z798)*ROW(Z$12:Z798),ROW($T$12))&amp;":AA"&amp;(ROW()-1)))),1,0))&lt;&gt;16),MIN(LOOKUP(,-1/($Z$12:Z799=1),$C$12:C799)+LOOKUP(,-1/($Z$12:Z799=1),$H$12:H799)-IF(AA798="Да",0,SUM(INDIRECT("T"&amp;(MAX(("Да"=AA$12:AA798)*ROW(AA$12:AA798)+1,ROW($T$12))&amp;":T"&amp;(ROW()-1))))),Первоначальный[[#This Row],[Полученный платеж]]+Y798),
AND(S798=0,MAX((0&lt;&gt;N$12:N798)*ROW(N$12:N798),ROW($S$12))&gt;=MAX((1=Z$12:Z798)*ROW(Z$12:Z798),ROW($T$12))),MIN(LOOKUP(,-1/($Z$12:Z799=1),$C$12:C799)+LOOKUP(,-1/($Z$12:Z799=1),$H$12:H799)-IF(N798&lt;&gt;0,0,SUM(INDIRECT("T"&amp;(MAX((0&lt;&gt;N$12:N798)*ROW(N$12:N798)+1,ROW($T$12))&amp;":T"&amp;(ROW()-1))))),Первоначальный[[#This Row],[Полученный платеж]]+Y798),
AND(S798=0,Первоначальный[[#This Row],[Дата платежа из графика]]=1),MIN(LOOKUP(,-1/($Z$12:Z799=1),$C$12:C799)+LOOKUP(,-1/($Z$12:Z799=1),$H$12:H799)-IF(Z798=1,0,SUM(INDIRECT("T"&amp;(MAX((1=Z$12:Z798)*ROW(Z$12:Z798)+1,ROW($T$12))&amp;":T"&amp;(ROW()-1))))),Первоначальный[[#This Row],[Полученный платеж]]+Y798),
AND(Z798&gt;0,Первоначальный[[#This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платеж]]+Y798),
AND(S798&gt;0,MAX((0&lt;&gt;S$12:S798)*ROW(S$12:S798),ROW($S$12))&gt;=MAX((1=Z$12:Z798)*ROW(Z$12:Z798),ROW($T$12)),TYPE(VLOOKUP("Да",(INDIRECT("AA"&amp;(MAX((1=Z$12:Z798)*ROW(Z$12:Z798),ROW($T$12))&amp;":AA"&amp;(ROW()-1)))),1,0))=16),MIN(LOOKUP(,-1/($Z$12:Z799=1),$C$12:C799)+LOOKUP(,-1/($Z$12:Z799=1),$H$12:H799)-SUM(INDIRECT("T"&amp;(MAX((1=Z$12:Z798)*ROW(Z$12:Z798),ROW($T$12))&amp;":T"&amp;(ROW()-1)))),Первоначальный[[#This Row],[Полученный платеж]]+Y798),
S798&gt;0,MIN(LOOKUP(,-1/($Z$12:Z799=1),$C$12:C799)+LOOKUP(,-1/($Z$12:Z799=1),$H$12:H799)-IF(Z798=1,0,SUM(INDIRECT("T"&amp;(MAX((1=Z$12:Z798)*ROW(Z$12:Z798)+1,ROW($T$12))&amp;":T"&amp;(ROW()-1))))),Первоначальный[[#This Row],[Полученный платеж]]+Y798)
)
)
)</f>
        <v>0</v>
      </c>
      <c r="U79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платеж]]+Y798-Первоначальный[[#This Row],[Полученный платёж по процентам]])</f>
        <v>0</v>
      </c>
      <c r="V799" s="55">
        <f t="shared" ca="1" si="145"/>
        <v>0</v>
      </c>
      <c r="W799" s="55" cm="1">
        <f t="array" aca="1" ref="W799" ca="1">IF(Первоначальный[[#This Row],[Итого остаток на начало периода]]&lt;1,0,
_xlfn.IFS(
AND(TYPE(VLOOKUP(1,$Z$12:Z799,1,0))=16,Первоначальный[[#This Row],[Досрочное погашение (да/"")]]=""),0,
AND(S798=0,Первоначальный[[#This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платеж]]+Y798-SUM(Первоначальный[[#This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комиссиям]]),VLOOKUP(LOOKUP(,-1/($Z$12:Z799=1),$A$12:A799),График[[Срок конец]:[Возврат основной суммы долга]],3,0)),
AND(S798=0,Первоначальный[[#This Row],[Дата платежа из графика]]="",Первоначальный[[#This Row],[Досрочное погашение (да/"")]]&lt;&gt;"Да"),0,
AND(S798=0,Первоначальный[[#This Row],[Досрочное погашение (да/"")]]=""),MIN(Первоначальный[[#This Row],[Полученный платеж]]+Y798-SUM(Первоначальный[[#This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комиссиям]]),VLOOKUP(LOOKUP(,-1/($Z$12:Z799=1),$A$12:A799),График[[Срок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платеж]]+Y798-SUM(Первоначальный[[#This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S798&gt;0,MIN(Первоначальный[[#This Row],[Полученный платеж]]+Y798-SUM(Первоначальный[[#This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комиссиям]]),SUM(INDIRECT("M"&amp;(MAX((1=S$12:S798)*ROW(S$12:S798),ROW($W$12))&amp;":M"&amp;(ROW()))))-SUM(INDIRECT("W"&amp;(MAX((1=S$12:S798)*ROW(S$12:S798),ROW($W$12))&amp;":W"&amp;(ROW()-1)))))
)
)</f>
        <v>0</v>
      </c>
      <c r="X799" s="55">
        <f t="shared" ca="1" si="146"/>
        <v>0</v>
      </c>
      <c r="Y799" s="101">
        <f t="shared" ca="1" si="153"/>
        <v>0</v>
      </c>
      <c r="Z799" s="133" t="str">
        <f>IF(TYPE((VLOOKUP(Первоначальный[[#This Row],[Дата платежа]],График[Срок конец],1,0)))=16,"",1)</f>
        <v/>
      </c>
      <c r="AA799" s="57"/>
      <c r="AB799" s="134"/>
      <c r="AC79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79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56974.700000000012</v>
      </c>
      <c r="AE79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2157.9799999999977</v>
      </c>
      <c r="AF79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79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120367.58977868861</v>
      </c>
      <c r="AH799" s="55"/>
      <c r="AI799" s="55"/>
      <c r="AJ799" s="55"/>
      <c r="AK799" s="101">
        <f t="shared" ca="1" si="154"/>
        <v>329133.60977868864</v>
      </c>
      <c r="AL799" s="129">
        <f t="array" ref="AL799">MAX((УслРестрактов[Характеристика]="Дата реструктуризации")*(УслРестрактов[Значение]=Первоначальный!$A799),0)</f>
        <v>0</v>
      </c>
    </row>
    <row r="800" spans="1:38" x14ac:dyDescent="0.25">
      <c r="A800" s="97">
        <f t="shared" si="147"/>
        <v>44931</v>
      </c>
      <c r="B800" s="100">
        <f t="shared" ca="1" si="148"/>
        <v>149633.34</v>
      </c>
      <c r="C800" s="55">
        <f t="shared" ca="1" si="156"/>
        <v>56974.700000000012</v>
      </c>
      <c r="D800" s="55">
        <f t="shared" ca="1" si="156"/>
        <v>2157.9799999999977</v>
      </c>
      <c r="E800" s="55">
        <f t="shared" ca="1" si="149"/>
        <v>0</v>
      </c>
      <c r="F800" s="55">
        <f t="shared" ca="1" si="150"/>
        <v>120367.58977868861</v>
      </c>
      <c r="G800" s="101">
        <f t="shared" ca="1" si="151"/>
        <v>329133.60977868864</v>
      </c>
      <c r="H800" s="100">
        <f ca="1">ROUND($B800*VLOOKUP($A800,$A$1:$B$10,2,1)/(365+IF(MOD(YEAR($A800),4),0,1)*($A800-$A799)),2)-Первоначальный[[#This Row],[Проценты на просроченный платеж по ОД за период]]</f>
        <v>75.25</v>
      </c>
      <c r="I800" s="55">
        <f t="shared" ca="1" si="152"/>
        <v>6.33</v>
      </c>
      <c r="J800" s="55">
        <v>0</v>
      </c>
      <c r="K800" s="55">
        <f t="shared" ca="1" si="155"/>
        <v>333.08850327868845</v>
      </c>
      <c r="L800" s="55">
        <v>0</v>
      </c>
      <c r="M800" s="113">
        <f>SUMIFS(График[Возврат основной суммы долга],График[Дата с учетом нерабочих дней],$A800)</f>
        <v>0</v>
      </c>
      <c r="N800" s="56">
        <f>SUMIFS(График[Возврат начисленных %],График[Дата с учетом нерабочих дней],$A800)</f>
        <v>0</v>
      </c>
      <c r="O800" s="101">
        <v>0</v>
      </c>
      <c r="P800" s="100" cm="1">
        <f t="array" aca="1" ref="P800" ca="1">MAX(IF(AA799="Да",0,SUM(INDIRECT("M"&amp;(MAX(("Да"=AA$12:AA799)*ROW(AA$12:AA799)+1,ROW($P$12))&amp;":M"&amp;(ROW()))))-SUM(INDIRECT("W"&amp;(MAX(("Да"=AA$12:AA799)*ROW(AA$12:AA799)+1,ROW($P$12))&amp;":W"&amp;(ROW()))))),0)</f>
        <v>11601.89</v>
      </c>
      <c r="Q800" s="99">
        <f ca="1">MAX(SUM($N$13:N800)-SUM($T$13:T800),0)</f>
        <v>55015.810655737689</v>
      </c>
      <c r="R800" s="99">
        <f ca="1">Первоначальный[[#This Row],[Просроченный платеж по ОД]]+Первоначальный[[#This Row],[Просроченный платеж по процентам]]</f>
        <v>66617.700655737688</v>
      </c>
      <c r="S800" s="120">
        <f ca="1">IF(Первоначальный[[#This Row],[Просроченный платеж]]&lt;1,0,S799+1)</f>
        <v>696</v>
      </c>
      <c r="T800" s="100" cm="1">
        <f t="array" aca="1" ref="T800" ca="1">IF(Первоначальный[[#This Row],[Итого остаток на начало периода]]&lt;1,0,
IF(
AND(TYPE(VLOOKUP(1,$Z$12:Z800,1,0))=16,Первоначальный[[#This Row],[Досрочное погашение (да/"")]]=""),0,
_xlfn.IFS(AND(S799=0,Первоначальный[[#This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платеж]]&lt;&gt;0),MIN(LOOKUP(,-1/($Z$12:Z800=1),$C$12:C800)+LOOKUP(,-1/($Z$12:Z800=1),$H$12:H800),Первоначальный[[#This Row],[Полученный платеж]]+Y799),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платеж]]+Y799,SUM(Первоначальный[[#This Row],[Остаток процентов на начало периода]],Первоначальный[[#This Row],[Проценты за период]])),
AND(S799=0,Первоначальный[[#This Row],[Дата платежа из графика]]=""),0,
AND(S799=0,Первоначальный[[#This Row],[Дата платежа из графика]]=1,MAX((0&lt;&gt;S$12:S799)*ROW(S$12:S799),ROW($S$12))&gt;=MAX((1=Z$12:Z799)*ROW(Z$12:Z799),ROW($T$12)),TYPE(VLOOKUP("Да",(INDIRECT("AA"&amp;(MAX((1=Z$12:Z799)*ROW(Z$12:Z799),ROW($T$12))&amp;":AA"&amp;(ROW()-1)))),1,0))=16),MIN(LOOKUP(,-1/($Z$12:Z800=1),$C$12:C800)+LOOKUP(,-1/($Z$12:Z800=1),$H$12:H800),Первоначальный[[#This Row],[Полученный платеж]]+Y799),
AND(S799=0,TYPE(VLOOKUP("Да",(INDIRECT("AA"&amp;(MAX((1=Z$12:Z799)*ROW(Z$12:Z799),ROW($T$12))&amp;":AA"&amp;(ROW()-1)))),1,0))&lt;&gt;16),MIN(LOOKUP(,-1/($Z$12:Z800=1),$C$12:C800)+LOOKUP(,-1/($Z$12:Z800=1),$H$12:H800)-IF(AA799="Да",0,SUM(INDIRECT("T"&amp;(MAX(("Да"=AA$12:AA799)*ROW(AA$12:AA799)+1,ROW($T$12))&amp;":T"&amp;(ROW()-1))))),Первоначальный[[#This Row],[Полученный платеж]]+Y799),
AND(S799=0,MAX((0&lt;&gt;N$12:N799)*ROW(N$12:N799),ROW($S$12))&gt;=MAX((1=Z$12:Z799)*ROW(Z$12:Z799),ROW($T$12))),MIN(LOOKUP(,-1/($Z$12:Z800=1),$C$12:C800)+LOOKUP(,-1/($Z$12:Z800=1),$H$12:H800)-IF(N799&lt;&gt;0,0,SUM(INDIRECT("T"&amp;(MAX((0&lt;&gt;N$12:N799)*ROW(N$12:N799)+1,ROW($T$12))&amp;":T"&amp;(ROW()-1))))),Первоначальный[[#This Row],[Полученный платеж]]+Y799),
AND(S799=0,Первоначальный[[#This Row],[Дата платежа из графика]]=1),MIN(LOOKUP(,-1/($Z$12:Z800=1),$C$12:C800)+LOOKUP(,-1/($Z$12:Z800=1),$H$12:H800)-IF(Z799=1,0,SUM(INDIRECT("T"&amp;(MAX((1=Z$12:Z799)*ROW(Z$12:Z799)+1,ROW($T$12))&amp;":T"&amp;(ROW()-1))))),Первоначальный[[#This Row],[Полученный платеж]]+Y799),
AND(Z799&gt;0,Первоначальный[[#This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платеж]]+Y799),
AND(S799&gt;0,MAX((0&lt;&gt;S$12:S799)*ROW(S$12:S799),ROW($S$12))&gt;=MAX((1=Z$12:Z799)*ROW(Z$12:Z799),ROW($T$12)),TYPE(VLOOKUP("Да",(INDIRECT("AA"&amp;(MAX((1=Z$12:Z799)*ROW(Z$12:Z799),ROW($T$12))&amp;":AA"&amp;(ROW()-1)))),1,0))=16),MIN(LOOKUP(,-1/($Z$12:Z800=1),$C$12:C800)+LOOKUP(,-1/($Z$12:Z800=1),$H$12:H800)-SUM(INDIRECT("T"&amp;(MAX((1=Z$12:Z799)*ROW(Z$12:Z799),ROW($T$12))&amp;":T"&amp;(ROW()-1)))),Первоначальный[[#This Row],[Полученный платеж]]+Y799),
S799&gt;0,MIN(LOOKUP(,-1/($Z$12:Z800=1),$C$12:C800)+LOOKUP(,-1/($Z$12:Z800=1),$H$12:H800)-IF(Z799=1,0,SUM(INDIRECT("T"&amp;(MAX((1=Z$12:Z799)*ROW(Z$12:Z799)+1,ROW($T$12))&amp;":T"&amp;(ROW()-1))))),Первоначальный[[#This Row],[Полученный платеж]]+Y799)
)
)
)</f>
        <v>0</v>
      </c>
      <c r="U80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платеж]]+Y799-Первоначальный[[#This Row],[Полученный платёж по процентам]])</f>
        <v>0</v>
      </c>
      <c r="V800" s="55">
        <f t="shared" ca="1" si="145"/>
        <v>0</v>
      </c>
      <c r="W800" s="55" cm="1">
        <f t="array" aca="1" ref="W800" ca="1">IF(Первоначальный[[#This Row],[Итого остаток на начало периода]]&lt;1,0,
_xlfn.IFS(
AND(TYPE(VLOOKUP(1,$Z$12:Z800,1,0))=16,Первоначальный[[#This Row],[Досрочное погашение (да/"")]]=""),0,
AND(S799=0,Первоначальный[[#This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платеж]]+Y799-SUM(Первоначальный[[#This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комиссиям]]),VLOOKUP(LOOKUP(,-1/($Z$12:Z800=1),$A$12:A800),График[[Срок конец]:[Возврат основной суммы долга]],3,0)),
AND(S799=0,Первоначальный[[#This Row],[Дата платежа из графика]]="",Первоначальный[[#This Row],[Досрочное погашение (да/"")]]&lt;&gt;"Да"),0,
AND(S799=0,Первоначальный[[#This Row],[Досрочное погашение (да/"")]]=""),MIN(Первоначальный[[#This Row],[Полученный платеж]]+Y799-SUM(Первоначальный[[#This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комиссиям]]),VLOOKUP(LOOKUP(,-1/($Z$12:Z800=1),$A$12:A800),График[[Срок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платеж]]+Y799-SUM(Первоначальный[[#This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S799&gt;0,MIN(Первоначальный[[#This Row],[Полученный платеж]]+Y799-SUM(Первоначальный[[#This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комиссиям]]),SUM(INDIRECT("M"&amp;(MAX((1=S$12:S799)*ROW(S$12:S799),ROW($W$12))&amp;":M"&amp;(ROW()))))-SUM(INDIRECT("W"&amp;(MAX((1=S$12:S799)*ROW(S$12:S799),ROW($W$12))&amp;":W"&amp;(ROW()-1)))))
)
)</f>
        <v>0</v>
      </c>
      <c r="X800" s="55">
        <f t="shared" ca="1" si="146"/>
        <v>0</v>
      </c>
      <c r="Y800" s="101">
        <f t="shared" ca="1" si="153"/>
        <v>0</v>
      </c>
      <c r="Z800" s="133" t="str">
        <f>IF(TYPE((VLOOKUP(Первоначальный[[#This Row],[Дата платежа]],График[Срок конец],1,0)))=16,"",1)</f>
        <v/>
      </c>
      <c r="AA800" s="57"/>
      <c r="AB800" s="134"/>
      <c r="AC80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0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57049.950000000012</v>
      </c>
      <c r="AE80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2164.3099999999977</v>
      </c>
      <c r="AF80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0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120700.6782819673</v>
      </c>
      <c r="AH800" s="55"/>
      <c r="AI800" s="55"/>
      <c r="AJ800" s="55"/>
      <c r="AK800" s="101">
        <f t="shared" ca="1" si="154"/>
        <v>329548.27828196727</v>
      </c>
      <c r="AL800" s="129">
        <f t="array" ref="AL800">MAX((УслРестрактов[Характеристика]="Дата реструктуризации")*(УслРестрактов[Значение]=Первоначальный!$A800),0)</f>
        <v>0</v>
      </c>
    </row>
    <row r="801" spans="1:38" x14ac:dyDescent="0.25">
      <c r="A801" s="97">
        <f t="shared" si="147"/>
        <v>44932</v>
      </c>
      <c r="B801" s="100">
        <f t="shared" ca="1" si="148"/>
        <v>149633.34</v>
      </c>
      <c r="C801" s="55">
        <f t="shared" ca="1" si="156"/>
        <v>57049.950000000012</v>
      </c>
      <c r="D801" s="55">
        <f t="shared" ca="1" si="156"/>
        <v>2164.3099999999977</v>
      </c>
      <c r="E801" s="55">
        <f t="shared" ca="1" si="149"/>
        <v>0</v>
      </c>
      <c r="F801" s="55">
        <f t="shared" ca="1" si="150"/>
        <v>120700.6782819673</v>
      </c>
      <c r="G801" s="101">
        <f t="shared" ca="1" si="151"/>
        <v>329548.27828196727</v>
      </c>
      <c r="H801" s="100">
        <f ca="1">ROUND($B801*VLOOKUP($A801,$A$1:$B$10,2,1)/(365+IF(MOD(YEAR($A801),4),0,1)*($A801-$A800)),2)-Первоначальный[[#This Row],[Проценты на просроченный платеж по ОД за период]]</f>
        <v>75.25</v>
      </c>
      <c r="I801" s="55">
        <f t="shared" ca="1" si="152"/>
        <v>6.33</v>
      </c>
      <c r="J801" s="55">
        <v>0</v>
      </c>
      <c r="K801" s="55">
        <f t="shared" ca="1" si="155"/>
        <v>333.08850327868845</v>
      </c>
      <c r="L801" s="55">
        <v>0</v>
      </c>
      <c r="M801" s="113">
        <f>SUMIFS(График[Возврат основной суммы долга],График[Дата с учетом нерабочих дней],$A801)</f>
        <v>0</v>
      </c>
      <c r="N801" s="56">
        <f>SUMIFS(График[Возврат начисленных %],График[Дата с учетом нерабочих дней],$A801)</f>
        <v>0</v>
      </c>
      <c r="O801" s="101">
        <v>0</v>
      </c>
      <c r="P801" s="100" cm="1">
        <f t="array" aca="1" ref="P801" ca="1">MAX(IF(AA800="Да",0,SUM(INDIRECT("M"&amp;(MAX(("Да"=AA$12:AA800)*ROW(AA$12:AA800)+1,ROW($P$12))&amp;":M"&amp;(ROW()))))-SUM(INDIRECT("W"&amp;(MAX(("Да"=AA$12:AA800)*ROW(AA$12:AA800)+1,ROW($P$12))&amp;":W"&amp;(ROW()))))),0)</f>
        <v>11601.89</v>
      </c>
      <c r="Q801" s="99">
        <f ca="1">MAX(SUM($N$13:N801)-SUM($T$13:T801),0)</f>
        <v>55015.810655737689</v>
      </c>
      <c r="R801" s="99">
        <f ca="1">Первоначальный[[#This Row],[Просроченный платеж по ОД]]+Первоначальный[[#This Row],[Просроченный платеж по процентам]]</f>
        <v>66617.700655737688</v>
      </c>
      <c r="S801" s="120">
        <f ca="1">IF(Первоначальный[[#This Row],[Просроченный платеж]]&lt;1,0,S800+1)</f>
        <v>697</v>
      </c>
      <c r="T801" s="100" cm="1">
        <f t="array" aca="1" ref="T801" ca="1">IF(Первоначальный[[#This Row],[Итого остаток на начало периода]]&lt;1,0,
IF(
AND(TYPE(VLOOKUP(1,$Z$12:Z801,1,0))=16,Первоначальный[[#This Row],[Досрочное погашение (да/"")]]=""),0,
_xlfn.IFS(AND(S800=0,Первоначальный[[#This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платеж]]&lt;&gt;0),MIN(LOOKUP(,-1/($Z$12:Z801=1),$C$12:C801)+LOOKUP(,-1/($Z$12:Z801=1),$H$12:H801),Первоначальный[[#This Row],[Полученный платеж]]+Y800),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платеж]]+Y800,SUM(Первоначальный[[#This Row],[Остаток процентов на начало периода]],Первоначальный[[#This Row],[Проценты за период]])),
AND(S800=0,Первоначальный[[#This Row],[Дата платежа из графика]]=""),0,
AND(S800=0,Первоначальный[[#This Row],[Дата платежа из графика]]=1,MAX((0&lt;&gt;S$12:S800)*ROW(S$12:S800),ROW($S$12))&gt;=MAX((1=Z$12:Z800)*ROW(Z$12:Z800),ROW($T$12)),TYPE(VLOOKUP("Да",(INDIRECT("AA"&amp;(MAX((1=Z$12:Z800)*ROW(Z$12:Z800),ROW($T$12))&amp;":AA"&amp;(ROW()-1)))),1,0))=16),MIN(LOOKUP(,-1/($Z$12:Z801=1),$C$12:C801)+LOOKUP(,-1/($Z$12:Z801=1),$H$12:H801),Первоначальный[[#This Row],[Полученный платеж]]+Y800),
AND(S800=0,TYPE(VLOOKUP("Да",(INDIRECT("AA"&amp;(MAX((1=Z$12:Z800)*ROW(Z$12:Z800),ROW($T$12))&amp;":AA"&amp;(ROW()-1)))),1,0))&lt;&gt;16),MIN(LOOKUP(,-1/($Z$12:Z801=1),$C$12:C801)+LOOKUP(,-1/($Z$12:Z801=1),$H$12:H801)-IF(AA800="Да",0,SUM(INDIRECT("T"&amp;(MAX(("Да"=AA$12:AA800)*ROW(AA$12:AA800)+1,ROW($T$12))&amp;":T"&amp;(ROW()-1))))),Первоначальный[[#This Row],[Полученный платеж]]+Y800),
AND(S800=0,MAX((0&lt;&gt;N$12:N800)*ROW(N$12:N800),ROW($S$12))&gt;=MAX((1=Z$12:Z800)*ROW(Z$12:Z800),ROW($T$12))),MIN(LOOKUP(,-1/($Z$12:Z801=1),$C$12:C801)+LOOKUP(,-1/($Z$12:Z801=1),$H$12:H801)-IF(N800&lt;&gt;0,0,SUM(INDIRECT("T"&amp;(MAX((0&lt;&gt;N$12:N800)*ROW(N$12:N800)+1,ROW($T$12))&amp;":T"&amp;(ROW()-1))))),Первоначальный[[#This Row],[Полученный платеж]]+Y800),
AND(S800=0,Первоначальный[[#This Row],[Дата платежа из графика]]=1),MIN(LOOKUP(,-1/($Z$12:Z801=1),$C$12:C801)+LOOKUP(,-1/($Z$12:Z801=1),$H$12:H801)-IF(Z800=1,0,SUM(INDIRECT("T"&amp;(MAX((1=Z$12:Z800)*ROW(Z$12:Z800)+1,ROW($T$12))&amp;":T"&amp;(ROW()-1))))),Первоначальный[[#This Row],[Полученный платеж]]+Y800),
AND(Z800&gt;0,Первоначальный[[#This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платеж]]+Y800),
AND(S800&gt;0,MAX((0&lt;&gt;S$12:S800)*ROW(S$12:S800),ROW($S$12))&gt;=MAX((1=Z$12:Z800)*ROW(Z$12:Z800),ROW($T$12)),TYPE(VLOOKUP("Да",(INDIRECT("AA"&amp;(MAX((1=Z$12:Z800)*ROW(Z$12:Z800),ROW($T$12))&amp;":AA"&amp;(ROW()-1)))),1,0))=16),MIN(LOOKUP(,-1/($Z$12:Z801=1),$C$12:C801)+LOOKUP(,-1/($Z$12:Z801=1),$H$12:H801)-SUM(INDIRECT("T"&amp;(MAX((1=Z$12:Z800)*ROW(Z$12:Z800),ROW($T$12))&amp;":T"&amp;(ROW()-1)))),Первоначальный[[#This Row],[Полученный платеж]]+Y800),
S800&gt;0,MIN(LOOKUP(,-1/($Z$12:Z801=1),$C$12:C801)+LOOKUP(,-1/($Z$12:Z801=1),$H$12:H801)-IF(Z800=1,0,SUM(INDIRECT("T"&amp;(MAX((1=Z$12:Z800)*ROW(Z$12:Z800)+1,ROW($T$12))&amp;":T"&amp;(ROW()-1))))),Первоначальный[[#This Row],[Полученный платеж]]+Y800)
)
)
)</f>
        <v>0</v>
      </c>
      <c r="U80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платеж]]+Y800-Первоначальный[[#This Row],[Полученный платёж по процентам]])</f>
        <v>0</v>
      </c>
      <c r="V801" s="55">
        <f t="shared" ca="1" si="145"/>
        <v>0</v>
      </c>
      <c r="W801" s="55" cm="1">
        <f t="array" aca="1" ref="W801" ca="1">IF(Первоначальный[[#This Row],[Итого остаток на начало периода]]&lt;1,0,
_xlfn.IFS(
AND(TYPE(VLOOKUP(1,$Z$12:Z801,1,0))=16,Первоначальный[[#This Row],[Досрочное погашение (да/"")]]=""),0,
AND(S800=0,Первоначальный[[#This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платеж]]+Y800-SUM(Первоначальный[[#This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комиссиям]]),VLOOKUP(LOOKUP(,-1/($Z$12:Z801=1),$A$12:A801),График[[Срок конец]:[Возврат основной суммы долга]],3,0)),
AND(S800=0,Первоначальный[[#This Row],[Дата платежа из графика]]="",Первоначальный[[#This Row],[Досрочное погашение (да/"")]]&lt;&gt;"Да"),0,
AND(S800=0,Первоначальный[[#This Row],[Досрочное погашение (да/"")]]=""),MIN(Первоначальный[[#This Row],[Полученный платеж]]+Y800-SUM(Первоначальный[[#This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комиссиям]]),VLOOKUP(LOOKUP(,-1/($Z$12:Z801=1),$A$12:A801),График[[Срок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платеж]]+Y800-SUM(Первоначальный[[#This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S800&gt;0,MIN(Первоначальный[[#This Row],[Полученный платеж]]+Y800-SUM(Первоначальный[[#This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комиссиям]]),SUM(INDIRECT("M"&amp;(MAX((1=S$12:S800)*ROW(S$12:S800),ROW($W$12))&amp;":M"&amp;(ROW()))))-SUM(INDIRECT("W"&amp;(MAX((1=S$12:S800)*ROW(S$12:S800),ROW($W$12))&amp;":W"&amp;(ROW()-1)))))
)
)</f>
        <v>0</v>
      </c>
      <c r="X801" s="55">
        <f t="shared" ca="1" si="146"/>
        <v>0</v>
      </c>
      <c r="Y801" s="101">
        <f t="shared" ca="1" si="153"/>
        <v>0</v>
      </c>
      <c r="Z801" s="133" t="str">
        <f>IF(TYPE((VLOOKUP(Первоначальный[[#This Row],[Дата платежа]],График[Срок конец],1,0)))=16,"",1)</f>
        <v/>
      </c>
      <c r="AA801" s="57"/>
      <c r="AB801" s="134"/>
      <c r="AC80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0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57125.200000000012</v>
      </c>
      <c r="AE80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2170.6399999999976</v>
      </c>
      <c r="AF80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0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121033.76678524599</v>
      </c>
      <c r="AH801" s="55"/>
      <c r="AI801" s="55"/>
      <c r="AJ801" s="55"/>
      <c r="AK801" s="101">
        <f t="shared" ca="1" si="154"/>
        <v>329962.94678524596</v>
      </c>
      <c r="AL801" s="129">
        <f t="array" ref="AL801">MAX((УслРестрактов[Характеристика]="Дата реструктуризации")*(УслРестрактов[Значение]=Первоначальный!$A801),0)</f>
        <v>0</v>
      </c>
    </row>
    <row r="802" spans="1:38" x14ac:dyDescent="0.25">
      <c r="A802" s="97">
        <f t="shared" si="147"/>
        <v>44933</v>
      </c>
      <c r="B802" s="100">
        <f t="shared" ca="1" si="148"/>
        <v>149633.34</v>
      </c>
      <c r="C802" s="55">
        <f t="shared" ca="1" si="156"/>
        <v>57125.200000000012</v>
      </c>
      <c r="D802" s="55">
        <f t="shared" ca="1" si="156"/>
        <v>2170.6399999999976</v>
      </c>
      <c r="E802" s="55">
        <f t="shared" ca="1" si="149"/>
        <v>0</v>
      </c>
      <c r="F802" s="55">
        <f t="shared" ca="1" si="150"/>
        <v>121033.76678524599</v>
      </c>
      <c r="G802" s="101">
        <f t="shared" ca="1" si="151"/>
        <v>329962.94678524596</v>
      </c>
      <c r="H802" s="100">
        <f ca="1">ROUND($B802*VLOOKUP($A802,$A$1:$B$10,2,1)/(365+IF(MOD(YEAR($A802),4),0,1)*($A802-$A801)),2)-Первоначальный[[#This Row],[Проценты на просроченный платеж по ОД за период]]</f>
        <v>75.25</v>
      </c>
      <c r="I802" s="55">
        <f t="shared" ca="1" si="152"/>
        <v>6.33</v>
      </c>
      <c r="J802" s="55">
        <v>0</v>
      </c>
      <c r="K802" s="55">
        <f t="shared" ca="1" si="155"/>
        <v>333.08850327868845</v>
      </c>
      <c r="L802" s="55">
        <v>0</v>
      </c>
      <c r="M802" s="113">
        <f>SUMIFS(График[Возврат основной суммы долга],График[Дата с учетом нерабочих дней],$A802)</f>
        <v>0</v>
      </c>
      <c r="N802" s="56">
        <f>SUMIFS(График[Возврат начисленных %],График[Дата с учетом нерабочих дней],$A802)</f>
        <v>0</v>
      </c>
      <c r="O802" s="101">
        <v>0</v>
      </c>
      <c r="P802" s="100" cm="1">
        <f t="array" aca="1" ref="P802" ca="1">MAX(IF(AA801="Да",0,SUM(INDIRECT("M"&amp;(MAX(("Да"=AA$12:AA801)*ROW(AA$12:AA801)+1,ROW($P$12))&amp;":M"&amp;(ROW()))))-SUM(INDIRECT("W"&amp;(MAX(("Да"=AA$12:AA801)*ROW(AA$12:AA801)+1,ROW($P$12))&amp;":W"&amp;(ROW()))))),0)</f>
        <v>11601.89</v>
      </c>
      <c r="Q802" s="99">
        <f ca="1">MAX(SUM($N$13:N802)-SUM($T$13:T802),0)</f>
        <v>55015.810655737689</v>
      </c>
      <c r="R802" s="99">
        <f ca="1">Первоначальный[[#This Row],[Просроченный платеж по ОД]]+Первоначальный[[#This Row],[Просроченный платеж по процентам]]</f>
        <v>66617.700655737688</v>
      </c>
      <c r="S802" s="120">
        <f ca="1">IF(Первоначальный[[#This Row],[Просроченный платеж]]&lt;1,0,S801+1)</f>
        <v>698</v>
      </c>
      <c r="T802" s="100" cm="1">
        <f t="array" aca="1" ref="T802" ca="1">IF(Первоначальный[[#This Row],[Итого остаток на начало периода]]&lt;1,0,
IF(
AND(TYPE(VLOOKUP(1,$Z$12:Z802,1,0))=16,Первоначальный[[#This Row],[Досрочное погашение (да/"")]]=""),0,
_xlfn.IFS(AND(S801=0,Первоначальный[[#This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платеж]]&lt;&gt;0),MIN(LOOKUP(,-1/($Z$12:Z802=1),$C$12:C802)+LOOKUP(,-1/($Z$12:Z802=1),$H$12:H802),Первоначальный[[#This Row],[Полученный платеж]]+Y801),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платеж]]+Y801,SUM(Первоначальный[[#This Row],[Остаток процентов на начало периода]],Первоначальный[[#This Row],[Проценты за период]])),
AND(S801=0,Первоначальный[[#This Row],[Дата платежа из графика]]=""),0,
AND(S801=0,Первоначальный[[#This Row],[Дата платежа из графика]]=1,MAX((0&lt;&gt;S$12:S801)*ROW(S$12:S801),ROW($S$12))&gt;=MAX((1=Z$12:Z801)*ROW(Z$12:Z801),ROW($T$12)),TYPE(VLOOKUP("Да",(INDIRECT("AA"&amp;(MAX((1=Z$12:Z801)*ROW(Z$12:Z801),ROW($T$12))&amp;":AA"&amp;(ROW()-1)))),1,0))=16),MIN(LOOKUP(,-1/($Z$12:Z802=1),$C$12:C802)+LOOKUP(,-1/($Z$12:Z802=1),$H$12:H802),Первоначальный[[#This Row],[Полученный платеж]]+Y801),
AND(S801=0,TYPE(VLOOKUP("Да",(INDIRECT("AA"&amp;(MAX((1=Z$12:Z801)*ROW(Z$12:Z801),ROW($T$12))&amp;":AA"&amp;(ROW()-1)))),1,0))&lt;&gt;16),MIN(LOOKUP(,-1/($Z$12:Z802=1),$C$12:C802)+LOOKUP(,-1/($Z$12:Z802=1),$H$12:H802)-IF(AA801="Да",0,SUM(INDIRECT("T"&amp;(MAX(("Да"=AA$12:AA801)*ROW(AA$12:AA801)+1,ROW($T$12))&amp;":T"&amp;(ROW()-1))))),Первоначальный[[#This Row],[Полученный платеж]]+Y801),
AND(S801=0,MAX((0&lt;&gt;N$12:N801)*ROW(N$12:N801),ROW($S$12))&gt;=MAX((1=Z$12:Z801)*ROW(Z$12:Z801),ROW($T$12))),MIN(LOOKUP(,-1/($Z$12:Z802=1),$C$12:C802)+LOOKUP(,-1/($Z$12:Z802=1),$H$12:H802)-IF(N801&lt;&gt;0,0,SUM(INDIRECT("T"&amp;(MAX((0&lt;&gt;N$12:N801)*ROW(N$12:N801)+1,ROW($T$12))&amp;":T"&amp;(ROW()-1))))),Первоначальный[[#This Row],[Полученный платеж]]+Y801),
AND(S801=0,Первоначальный[[#This Row],[Дата платежа из графика]]=1),MIN(LOOKUP(,-1/($Z$12:Z802=1),$C$12:C802)+LOOKUP(,-1/($Z$12:Z802=1),$H$12:H802)-IF(Z801=1,0,SUM(INDIRECT("T"&amp;(MAX((1=Z$12:Z801)*ROW(Z$12:Z801)+1,ROW($T$12))&amp;":T"&amp;(ROW()-1))))),Первоначальный[[#This Row],[Полученный платеж]]+Y801),
AND(Z801&gt;0,Первоначальный[[#This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платеж]]+Y801),
AND(S801&gt;0,MAX((0&lt;&gt;S$12:S801)*ROW(S$12:S801),ROW($S$12))&gt;=MAX((1=Z$12:Z801)*ROW(Z$12:Z801),ROW($T$12)),TYPE(VLOOKUP("Да",(INDIRECT("AA"&amp;(MAX((1=Z$12:Z801)*ROW(Z$12:Z801),ROW($T$12))&amp;":AA"&amp;(ROW()-1)))),1,0))=16),MIN(LOOKUP(,-1/($Z$12:Z802=1),$C$12:C802)+LOOKUP(,-1/($Z$12:Z802=1),$H$12:H802)-SUM(INDIRECT("T"&amp;(MAX((1=Z$12:Z801)*ROW(Z$12:Z801),ROW($T$12))&amp;":T"&amp;(ROW()-1)))),Первоначальный[[#This Row],[Полученный платеж]]+Y801),
S801&gt;0,MIN(LOOKUP(,-1/($Z$12:Z802=1),$C$12:C802)+LOOKUP(,-1/($Z$12:Z802=1),$H$12:H802)-IF(Z801=1,0,SUM(INDIRECT("T"&amp;(MAX((1=Z$12:Z801)*ROW(Z$12:Z801)+1,ROW($T$12))&amp;":T"&amp;(ROW()-1))))),Первоначальный[[#This Row],[Полученный платеж]]+Y801)
)
)
)</f>
        <v>0</v>
      </c>
      <c r="U80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платеж]]+Y801-Первоначальный[[#This Row],[Полученный платёж по процентам]])</f>
        <v>0</v>
      </c>
      <c r="V802" s="55">
        <f t="shared" ca="1" si="145"/>
        <v>0</v>
      </c>
      <c r="W802" s="55" cm="1">
        <f t="array" aca="1" ref="W802" ca="1">IF(Первоначальный[[#This Row],[Итого остаток на начало периода]]&lt;1,0,
_xlfn.IFS(
AND(TYPE(VLOOKUP(1,$Z$12:Z802,1,0))=16,Первоначальный[[#This Row],[Досрочное погашение (да/"")]]=""),0,
AND(S801=0,Первоначальный[[#This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платеж]]+Y801-SUM(Первоначальный[[#This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комиссиям]]),VLOOKUP(LOOKUP(,-1/($Z$12:Z802=1),$A$12:A802),График[[Срок конец]:[Возврат основной суммы долга]],3,0)),
AND(S801=0,Первоначальный[[#This Row],[Дата платежа из графика]]="",Первоначальный[[#This Row],[Досрочное погашение (да/"")]]&lt;&gt;"Да"),0,
AND(S801=0,Первоначальный[[#This Row],[Досрочное погашение (да/"")]]=""),MIN(Первоначальный[[#This Row],[Полученный платеж]]+Y801-SUM(Первоначальный[[#This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комиссиям]]),VLOOKUP(LOOKUP(,-1/($Z$12:Z802=1),$A$12:A802),График[[Срок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платеж]]+Y801-SUM(Первоначальный[[#This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S801&gt;0,MIN(Первоначальный[[#This Row],[Полученный платеж]]+Y801-SUM(Первоначальный[[#This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комиссиям]]),SUM(INDIRECT("M"&amp;(MAX((1=S$12:S801)*ROW(S$12:S801),ROW($W$12))&amp;":M"&amp;(ROW()))))-SUM(INDIRECT("W"&amp;(MAX((1=S$12:S801)*ROW(S$12:S801),ROW($W$12))&amp;":W"&amp;(ROW()-1)))))
)
)</f>
        <v>0</v>
      </c>
      <c r="X802" s="55">
        <f t="shared" ca="1" si="146"/>
        <v>0</v>
      </c>
      <c r="Y802" s="101">
        <f t="shared" ca="1" si="153"/>
        <v>0</v>
      </c>
      <c r="Z802" s="133" t="str">
        <f>IF(TYPE((VLOOKUP(Первоначальный[[#This Row],[Дата платежа]],График[Срок конец],1,0)))=16,"",1)</f>
        <v/>
      </c>
      <c r="AA802" s="57"/>
      <c r="AB802" s="134"/>
      <c r="AC80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0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57200.450000000012</v>
      </c>
      <c r="AE80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2176.9699999999975</v>
      </c>
      <c r="AF80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0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121366.85528852468</v>
      </c>
      <c r="AH802" s="55"/>
      <c r="AI802" s="55"/>
      <c r="AJ802" s="55"/>
      <c r="AK802" s="101">
        <f t="shared" ca="1" si="154"/>
        <v>330377.61528852466</v>
      </c>
      <c r="AL802" s="129">
        <f t="array" ref="AL802">MAX((УслРестрактов[Характеристика]="Дата реструктуризации")*(УслРестрактов[Значение]=Первоначальный!$A802),0)</f>
        <v>0</v>
      </c>
    </row>
    <row r="803" spans="1:38" x14ac:dyDescent="0.25">
      <c r="A803" s="97">
        <f t="shared" si="147"/>
        <v>44934</v>
      </c>
      <c r="B803" s="100">
        <f t="shared" ca="1" si="148"/>
        <v>149633.34</v>
      </c>
      <c r="C803" s="55">
        <f t="shared" ca="1" si="156"/>
        <v>57200.450000000012</v>
      </c>
      <c r="D803" s="55">
        <f t="shared" ca="1" si="156"/>
        <v>2176.9699999999975</v>
      </c>
      <c r="E803" s="55">
        <f t="shared" ca="1" si="149"/>
        <v>0</v>
      </c>
      <c r="F803" s="55">
        <f t="shared" ca="1" si="150"/>
        <v>121366.85528852468</v>
      </c>
      <c r="G803" s="101">
        <f t="shared" ca="1" si="151"/>
        <v>330377.61528852466</v>
      </c>
      <c r="H803" s="100">
        <f ca="1">ROUND($B803*VLOOKUP($A803,$A$1:$B$10,2,1)/(365+IF(MOD(YEAR($A803),4),0,1)*($A803-$A802)),2)-Первоначальный[[#This Row],[Проценты на просроченный платеж по ОД за период]]</f>
        <v>75.25</v>
      </c>
      <c r="I803" s="55">
        <f t="shared" ca="1" si="152"/>
        <v>6.33</v>
      </c>
      <c r="J803" s="55">
        <v>0</v>
      </c>
      <c r="K803" s="55">
        <f t="shared" ca="1" si="155"/>
        <v>333.08850327868845</v>
      </c>
      <c r="L803" s="55">
        <v>0</v>
      </c>
      <c r="M803" s="113">
        <f>SUMIFS(График[Возврат основной суммы долга],График[Дата с учетом нерабочих дней],$A803)</f>
        <v>0</v>
      </c>
      <c r="N803" s="56">
        <f>SUMIFS(График[Возврат начисленных %],График[Дата с учетом нерабочих дней],$A803)</f>
        <v>0</v>
      </c>
      <c r="O803" s="101">
        <v>0</v>
      </c>
      <c r="P803" s="100" cm="1">
        <f t="array" aca="1" ref="P803" ca="1">MAX(IF(AA802="Да",0,SUM(INDIRECT("M"&amp;(MAX(("Да"=AA$12:AA802)*ROW(AA$12:AA802)+1,ROW($P$12))&amp;":M"&amp;(ROW()))))-SUM(INDIRECT("W"&amp;(MAX(("Да"=AA$12:AA802)*ROW(AA$12:AA802)+1,ROW($P$12))&amp;":W"&amp;(ROW()))))),0)</f>
        <v>11601.89</v>
      </c>
      <c r="Q803" s="99">
        <f ca="1">MAX(SUM($N$13:N803)-SUM($T$13:T803),0)</f>
        <v>55015.810655737689</v>
      </c>
      <c r="R803" s="99">
        <f ca="1">Первоначальный[[#This Row],[Просроченный платеж по ОД]]+Первоначальный[[#This Row],[Просроченный платеж по процентам]]</f>
        <v>66617.700655737688</v>
      </c>
      <c r="S803" s="120">
        <f ca="1">IF(Первоначальный[[#This Row],[Просроченный платеж]]&lt;1,0,S802+1)</f>
        <v>699</v>
      </c>
      <c r="T803" s="100" cm="1">
        <f t="array" aca="1" ref="T803" ca="1">IF(Первоначальный[[#This Row],[Итого остаток на начало периода]]&lt;1,0,
IF(
AND(TYPE(VLOOKUP(1,$Z$12:Z803,1,0))=16,Первоначальный[[#This Row],[Досрочное погашение (да/"")]]=""),0,
_xlfn.IFS(AND(S802=0,Первоначальный[[#This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платеж]]&lt;&gt;0),MIN(LOOKUP(,-1/($Z$12:Z803=1),$C$12:C803)+LOOKUP(,-1/($Z$12:Z803=1),$H$12:H803),Первоначальный[[#This Row],[Полученный платеж]]+Y802),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платеж]]+Y802,SUM(Первоначальный[[#This Row],[Остаток процентов на начало периода]],Первоначальный[[#This Row],[Проценты за период]])),
AND(S802=0,Первоначальный[[#This Row],[Дата платежа из графика]]=""),0,
AND(S802=0,Первоначальный[[#This Row],[Дата платежа из графика]]=1,MAX((0&lt;&gt;S$12:S802)*ROW(S$12:S802),ROW($S$12))&gt;=MAX((1=Z$12:Z802)*ROW(Z$12:Z802),ROW($T$12)),TYPE(VLOOKUP("Да",(INDIRECT("AA"&amp;(MAX((1=Z$12:Z802)*ROW(Z$12:Z802),ROW($T$12))&amp;":AA"&amp;(ROW()-1)))),1,0))=16),MIN(LOOKUP(,-1/($Z$12:Z803=1),$C$12:C803)+LOOKUP(,-1/($Z$12:Z803=1),$H$12:H803),Первоначальный[[#This Row],[Полученный платеж]]+Y802),
AND(S802=0,TYPE(VLOOKUP("Да",(INDIRECT("AA"&amp;(MAX((1=Z$12:Z802)*ROW(Z$12:Z802),ROW($T$12))&amp;":AA"&amp;(ROW()-1)))),1,0))&lt;&gt;16),MIN(LOOKUP(,-1/($Z$12:Z803=1),$C$12:C803)+LOOKUP(,-1/($Z$12:Z803=1),$H$12:H803)-IF(AA802="Да",0,SUM(INDIRECT("T"&amp;(MAX(("Да"=AA$12:AA802)*ROW(AA$12:AA802)+1,ROW($T$12))&amp;":T"&amp;(ROW()-1))))),Первоначальный[[#This Row],[Полученный платеж]]+Y802),
AND(S802=0,MAX((0&lt;&gt;N$12:N802)*ROW(N$12:N802),ROW($S$12))&gt;=MAX((1=Z$12:Z802)*ROW(Z$12:Z802),ROW($T$12))),MIN(LOOKUP(,-1/($Z$12:Z803=1),$C$12:C803)+LOOKUP(,-1/($Z$12:Z803=1),$H$12:H803)-IF(N802&lt;&gt;0,0,SUM(INDIRECT("T"&amp;(MAX((0&lt;&gt;N$12:N802)*ROW(N$12:N802)+1,ROW($T$12))&amp;":T"&amp;(ROW()-1))))),Первоначальный[[#This Row],[Полученный платеж]]+Y802),
AND(S802=0,Первоначальный[[#This Row],[Дата платежа из графика]]=1),MIN(LOOKUP(,-1/($Z$12:Z803=1),$C$12:C803)+LOOKUP(,-1/($Z$12:Z803=1),$H$12:H803)-IF(Z802=1,0,SUM(INDIRECT("T"&amp;(MAX((1=Z$12:Z802)*ROW(Z$12:Z802)+1,ROW($T$12))&amp;":T"&amp;(ROW()-1))))),Первоначальный[[#This Row],[Полученный платеж]]+Y802),
AND(Z802&gt;0,Первоначальный[[#This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платеж]]+Y802),
AND(S802&gt;0,MAX((0&lt;&gt;S$12:S802)*ROW(S$12:S802),ROW($S$12))&gt;=MAX((1=Z$12:Z802)*ROW(Z$12:Z802),ROW($T$12)),TYPE(VLOOKUP("Да",(INDIRECT("AA"&amp;(MAX((1=Z$12:Z802)*ROW(Z$12:Z802),ROW($T$12))&amp;":AA"&amp;(ROW()-1)))),1,0))=16),MIN(LOOKUP(,-1/($Z$12:Z803=1),$C$12:C803)+LOOKUP(,-1/($Z$12:Z803=1),$H$12:H803)-SUM(INDIRECT("T"&amp;(MAX((1=Z$12:Z802)*ROW(Z$12:Z802),ROW($T$12))&amp;":T"&amp;(ROW()-1)))),Первоначальный[[#This Row],[Полученный платеж]]+Y802),
S802&gt;0,MIN(LOOKUP(,-1/($Z$12:Z803=1),$C$12:C803)+LOOKUP(,-1/($Z$12:Z803=1),$H$12:H803)-IF(Z802=1,0,SUM(INDIRECT("T"&amp;(MAX((1=Z$12:Z802)*ROW(Z$12:Z802)+1,ROW($T$12))&amp;":T"&amp;(ROW()-1))))),Первоначальный[[#This Row],[Полученный платеж]]+Y802)
)
)
)</f>
        <v>0</v>
      </c>
      <c r="U80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платеж]]+Y802-Первоначальный[[#This Row],[Полученный платёж по процентам]])</f>
        <v>0</v>
      </c>
      <c r="V803" s="55">
        <f t="shared" ca="1" si="145"/>
        <v>0</v>
      </c>
      <c r="W803" s="55" cm="1">
        <f t="array" aca="1" ref="W803" ca="1">IF(Первоначальный[[#This Row],[Итого остаток на начало периода]]&lt;1,0,
_xlfn.IFS(
AND(TYPE(VLOOKUP(1,$Z$12:Z803,1,0))=16,Первоначальный[[#This Row],[Досрочное погашение (да/"")]]=""),0,
AND(S802=0,Первоначальный[[#This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платеж]]+Y802-SUM(Первоначальный[[#This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комиссиям]]),VLOOKUP(LOOKUP(,-1/($Z$12:Z803=1),$A$12:A803),График[[Срок конец]:[Возврат основной суммы долга]],3,0)),
AND(S802=0,Первоначальный[[#This Row],[Дата платежа из графика]]="",Первоначальный[[#This Row],[Досрочное погашение (да/"")]]&lt;&gt;"Да"),0,
AND(S802=0,Первоначальный[[#This Row],[Досрочное погашение (да/"")]]=""),MIN(Первоначальный[[#This Row],[Полученный платеж]]+Y802-SUM(Первоначальный[[#This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комиссиям]]),VLOOKUP(LOOKUP(,-1/($Z$12:Z803=1),$A$12:A803),График[[Срок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платеж]]+Y802-SUM(Первоначальный[[#This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S802&gt;0,MIN(Первоначальный[[#This Row],[Полученный платеж]]+Y802-SUM(Первоначальный[[#This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комиссиям]]),SUM(INDIRECT("M"&amp;(MAX((1=S$12:S802)*ROW(S$12:S802),ROW($W$12))&amp;":M"&amp;(ROW()))))-SUM(INDIRECT("W"&amp;(MAX((1=S$12:S802)*ROW(S$12:S802),ROW($W$12))&amp;":W"&amp;(ROW()-1)))))
)
)</f>
        <v>0</v>
      </c>
      <c r="X803" s="55">
        <f t="shared" ca="1" si="146"/>
        <v>0</v>
      </c>
      <c r="Y803" s="101">
        <f t="shared" ca="1" si="153"/>
        <v>0</v>
      </c>
      <c r="Z803" s="133" t="str">
        <f>IF(TYPE((VLOOKUP(Первоначальный[[#This Row],[Дата платежа]],График[Срок конец],1,0)))=16,"",1)</f>
        <v/>
      </c>
      <c r="AA803" s="57"/>
      <c r="AB803" s="134"/>
      <c r="AC80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0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57275.700000000012</v>
      </c>
      <c r="AE80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2183.2999999999975</v>
      </c>
      <c r="AF80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0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121699.94379180337</v>
      </c>
      <c r="AH803" s="55"/>
      <c r="AI803" s="55"/>
      <c r="AJ803" s="55"/>
      <c r="AK803" s="101">
        <f t="shared" ca="1" si="154"/>
        <v>330792.28379180335</v>
      </c>
      <c r="AL803" s="129">
        <f t="array" ref="AL803">MAX((УслРестрактов[Характеристика]="Дата реструктуризации")*(УслРестрактов[Значение]=Первоначальный!$A803),0)</f>
        <v>0</v>
      </c>
    </row>
    <row r="804" spans="1:38" x14ac:dyDescent="0.25">
      <c r="A804" s="97">
        <f t="shared" si="147"/>
        <v>44935</v>
      </c>
      <c r="B804" s="100">
        <f t="shared" ca="1" si="148"/>
        <v>149633.34</v>
      </c>
      <c r="C804" s="55">
        <f t="shared" ca="1" si="156"/>
        <v>57275.700000000012</v>
      </c>
      <c r="D804" s="55">
        <f t="shared" ca="1" si="156"/>
        <v>2183.2999999999975</v>
      </c>
      <c r="E804" s="55">
        <f t="shared" ca="1" si="149"/>
        <v>0</v>
      </c>
      <c r="F804" s="55">
        <f t="shared" ca="1" si="150"/>
        <v>121699.94379180337</v>
      </c>
      <c r="G804" s="101">
        <f t="shared" ca="1" si="151"/>
        <v>330792.28379180335</v>
      </c>
      <c r="H804" s="100">
        <f ca="1">ROUND($B804*VLOOKUP($A804,$A$1:$B$10,2,1)/(365+IF(MOD(YEAR($A804),4),0,1)*($A804-$A803)),2)-Первоначальный[[#This Row],[Проценты на просроченный платеж по ОД за период]]</f>
        <v>75.25</v>
      </c>
      <c r="I804" s="55">
        <f t="shared" ca="1" si="152"/>
        <v>6.33</v>
      </c>
      <c r="J804" s="55">
        <v>0</v>
      </c>
      <c r="K804" s="55">
        <f t="shared" ca="1" si="155"/>
        <v>347.57350327868846</v>
      </c>
      <c r="L804" s="55">
        <v>0</v>
      </c>
      <c r="M804" s="113">
        <f>SUMIFS(График[Возврат основной суммы долга],График[Дата с учетом нерабочих дней],$A804)</f>
        <v>564.07999999999993</v>
      </c>
      <c r="N804" s="56">
        <f>SUMIFS(График[Возврат начисленных %],График[Дата с учетом нерабочих дней],$A804)</f>
        <v>2332.92</v>
      </c>
      <c r="O804" s="101">
        <v>0</v>
      </c>
      <c r="P804" s="100" cm="1">
        <f t="array" aca="1" ref="P804" ca="1">MAX(IF(AA803="Да",0,SUM(INDIRECT("M"&amp;(MAX(("Да"=AA$12:AA803)*ROW(AA$12:AA803)+1,ROW($P$12))&amp;":M"&amp;(ROW()))))-SUM(INDIRECT("W"&amp;(MAX(("Да"=AA$12:AA803)*ROW(AA$12:AA803)+1,ROW($P$12))&amp;":W"&amp;(ROW()))))),0)</f>
        <v>12165.97</v>
      </c>
      <c r="Q804" s="99">
        <f ca="1">MAX(SUM($N$13:N804)-SUM($T$13:T804),0)</f>
        <v>57348.730655737687</v>
      </c>
      <c r="R804" s="99">
        <f ca="1">Первоначальный[[#This Row],[Просроченный платеж по ОД]]+Первоначальный[[#This Row],[Просроченный платеж по процентам]]</f>
        <v>69514.700655737688</v>
      </c>
      <c r="S804" s="120">
        <f ca="1">IF(Первоначальный[[#This Row],[Просроченный платеж]]&lt;1,0,S803+1)</f>
        <v>700</v>
      </c>
      <c r="T804" s="100" cm="1">
        <f t="array" aca="1" ref="T804" ca="1">IF(Первоначальный[[#This Row],[Итого остаток на начало периода]]&lt;1,0,
IF(
AND(TYPE(VLOOKUP(1,$Z$12:Z804,1,0))=16,Первоначальный[[#This Row],[Досрочное погашение (да/"")]]=""),0,
_xlfn.IFS(AND(S803=0,Первоначальный[[#This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платеж]]&lt;&gt;0),MIN(LOOKUP(,-1/($Z$12:Z804=1),$C$12:C804)+LOOKUP(,-1/($Z$12:Z804=1),$H$12:H804),Первоначальный[[#This Row],[Полученный платеж]]+Y803),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платеж]]+Y803,SUM(Первоначальный[[#This Row],[Остаток процентов на начало периода]],Первоначальный[[#This Row],[Проценты за период]])),
AND(S803=0,Первоначальный[[#This Row],[Дата платежа из графика]]=""),0,
AND(S803=0,Первоначальный[[#This Row],[Дата платежа из графика]]=1,MAX((0&lt;&gt;S$12:S803)*ROW(S$12:S803),ROW($S$12))&gt;=MAX((1=Z$12:Z803)*ROW(Z$12:Z803),ROW($T$12)),TYPE(VLOOKUP("Да",(INDIRECT("AA"&amp;(MAX((1=Z$12:Z803)*ROW(Z$12:Z803),ROW($T$12))&amp;":AA"&amp;(ROW()-1)))),1,0))=16),MIN(LOOKUP(,-1/($Z$12:Z804=1),$C$12:C804)+LOOKUP(,-1/($Z$12:Z804=1),$H$12:H804),Первоначальный[[#This Row],[Полученный платеж]]+Y803),
AND(S803=0,TYPE(VLOOKUP("Да",(INDIRECT("AA"&amp;(MAX((1=Z$12:Z803)*ROW(Z$12:Z803),ROW($T$12))&amp;":AA"&amp;(ROW()-1)))),1,0))&lt;&gt;16),MIN(LOOKUP(,-1/($Z$12:Z804=1),$C$12:C804)+LOOKUP(,-1/($Z$12:Z804=1),$H$12:H804)-IF(AA803="Да",0,SUM(INDIRECT("T"&amp;(MAX(("Да"=AA$12:AA803)*ROW(AA$12:AA803)+1,ROW($T$12))&amp;":T"&amp;(ROW()-1))))),Первоначальный[[#This Row],[Полученный платеж]]+Y803),
AND(S803=0,MAX((0&lt;&gt;N$12:N803)*ROW(N$12:N803),ROW($S$12))&gt;=MAX((1=Z$12:Z803)*ROW(Z$12:Z803),ROW($T$12))),MIN(LOOKUP(,-1/($Z$12:Z804=1),$C$12:C804)+LOOKUP(,-1/($Z$12:Z804=1),$H$12:H804)-IF(N803&lt;&gt;0,0,SUM(INDIRECT("T"&amp;(MAX((0&lt;&gt;N$12:N803)*ROW(N$12:N803)+1,ROW($T$12))&amp;":T"&amp;(ROW()-1))))),Первоначальный[[#This Row],[Полученный платеж]]+Y803),
AND(S803=0,Первоначальный[[#This Row],[Дата платежа из графика]]=1),MIN(LOOKUP(,-1/($Z$12:Z804=1),$C$12:C804)+LOOKUP(,-1/($Z$12:Z804=1),$H$12:H804)-IF(Z803=1,0,SUM(INDIRECT("T"&amp;(MAX((1=Z$12:Z803)*ROW(Z$12:Z803)+1,ROW($T$12))&amp;":T"&amp;(ROW()-1))))),Первоначальный[[#This Row],[Полученный платеж]]+Y803),
AND(Z803&gt;0,Первоначальный[[#This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платеж]]+Y803),
AND(S803&gt;0,MAX((0&lt;&gt;S$12:S803)*ROW(S$12:S803),ROW($S$12))&gt;=MAX((1=Z$12:Z803)*ROW(Z$12:Z803),ROW($T$12)),TYPE(VLOOKUP("Да",(INDIRECT("AA"&amp;(MAX((1=Z$12:Z803)*ROW(Z$12:Z803),ROW($T$12))&amp;":AA"&amp;(ROW()-1)))),1,0))=16),MIN(LOOKUP(,-1/($Z$12:Z804=1),$C$12:C804)+LOOKUP(,-1/($Z$12:Z804=1),$H$12:H804)-SUM(INDIRECT("T"&amp;(MAX((1=Z$12:Z803)*ROW(Z$12:Z803),ROW($T$12))&amp;":T"&amp;(ROW()-1)))),Первоначальный[[#This Row],[Полученный платеж]]+Y803),
S803&gt;0,MIN(LOOKUP(,-1/($Z$12:Z804=1),$C$12:C804)+LOOKUP(,-1/($Z$12:Z804=1),$H$12:H804)-IF(Z803=1,0,SUM(INDIRECT("T"&amp;(MAX((1=Z$12:Z803)*ROW(Z$12:Z803)+1,ROW($T$12))&amp;":T"&amp;(ROW()-1))))),Первоначальный[[#This Row],[Полученный платеж]]+Y803)
)
)
)</f>
        <v>0</v>
      </c>
      <c r="U80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платеж]]+Y803-Первоначальный[[#This Row],[Полученный платёж по процентам]])</f>
        <v>0</v>
      </c>
      <c r="V804" s="55">
        <f t="shared" ca="1" si="145"/>
        <v>0</v>
      </c>
      <c r="W804" s="55" cm="1">
        <f t="array" aca="1" ref="W804" ca="1">IF(Первоначальный[[#This Row],[Итого остаток на начало периода]]&lt;1,0,
_xlfn.IFS(
AND(TYPE(VLOOKUP(1,$Z$12:Z804,1,0))=16,Первоначальный[[#This Row],[Досрочное погашение (да/"")]]=""),0,
AND(S803=0,Первоначальный[[#This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платеж]]+Y803-SUM(Первоначальный[[#This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комиссиям]]),VLOOKUP(LOOKUP(,-1/($Z$12:Z804=1),$A$12:A804),График[[Срок конец]:[Возврат основной суммы долга]],3,0)),
AND(S803=0,Первоначальный[[#This Row],[Дата платежа из графика]]="",Первоначальный[[#This Row],[Досрочное погашение (да/"")]]&lt;&gt;"Да"),0,
AND(S803=0,Первоначальный[[#This Row],[Досрочное погашение (да/"")]]=""),MIN(Первоначальный[[#This Row],[Полученный платеж]]+Y803-SUM(Первоначальный[[#This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комиссиям]]),VLOOKUP(LOOKUP(,-1/($Z$12:Z804=1),$A$12:A804),График[[Срок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платеж]]+Y803-SUM(Первоначальный[[#This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S803&gt;0,MIN(Первоначальный[[#This Row],[Полученный платеж]]+Y803-SUM(Первоначальный[[#This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комиссиям]]),SUM(INDIRECT("M"&amp;(MAX((1=S$12:S803)*ROW(S$12:S803),ROW($W$12))&amp;":M"&amp;(ROW()))))-SUM(INDIRECT("W"&amp;(MAX((1=S$12:S803)*ROW(S$12:S803),ROW($W$12))&amp;":W"&amp;(ROW()-1)))))
)
)</f>
        <v>0</v>
      </c>
      <c r="X804" s="55">
        <f t="shared" ca="1" si="146"/>
        <v>0</v>
      </c>
      <c r="Y804" s="101">
        <f t="shared" ca="1" si="153"/>
        <v>0</v>
      </c>
      <c r="Z804" s="133">
        <f>IF(TYPE((VLOOKUP(Первоначальный[[#This Row],[Дата платежа]],График[Срок конец],1,0)))=16,"",1)</f>
        <v>1</v>
      </c>
      <c r="AA804" s="57"/>
      <c r="AB804" s="134"/>
      <c r="AC80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0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57350.950000000012</v>
      </c>
      <c r="AE80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2189.6299999999974</v>
      </c>
      <c r="AF80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0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122047.51729508206</v>
      </c>
      <c r="AH804" s="55"/>
      <c r="AI804" s="55"/>
      <c r="AJ804" s="55"/>
      <c r="AK804" s="101">
        <f t="shared" ca="1" si="154"/>
        <v>331221.43729508208</v>
      </c>
      <c r="AL804" s="129">
        <f t="array" ref="AL804">MAX((УслРестрактов[Характеристика]="Дата реструктуризации")*(УслРестрактов[Значение]=Первоначальный!$A804),0)</f>
        <v>0</v>
      </c>
    </row>
    <row r="805" spans="1:38" x14ac:dyDescent="0.25">
      <c r="A805" s="97">
        <f t="shared" si="147"/>
        <v>44936</v>
      </c>
      <c r="B805" s="100">
        <f t="shared" ca="1" si="148"/>
        <v>149633.34</v>
      </c>
      <c r="C805" s="55">
        <f t="shared" ca="1" si="156"/>
        <v>57350.950000000012</v>
      </c>
      <c r="D805" s="55">
        <f t="shared" ca="1" si="156"/>
        <v>2189.6299999999974</v>
      </c>
      <c r="E805" s="55">
        <f t="shared" ca="1" si="149"/>
        <v>0</v>
      </c>
      <c r="F805" s="55">
        <f t="shared" ca="1" si="150"/>
        <v>122047.51729508206</v>
      </c>
      <c r="G805" s="101">
        <f t="shared" ca="1" si="151"/>
        <v>331221.43729508208</v>
      </c>
      <c r="H805" s="100">
        <f ca="1">ROUND($B805*VLOOKUP($A805,$A$1:$B$10,2,1)/(365+IF(MOD(YEAR($A805),4),0,1)*($A805-$A804)),2)-Первоначальный[[#This Row],[Проценты на просроченный платеж по ОД за период]]</f>
        <v>74.95</v>
      </c>
      <c r="I805" s="55">
        <f t="shared" ca="1" si="152"/>
        <v>6.63</v>
      </c>
      <c r="J805" s="55">
        <v>0</v>
      </c>
      <c r="K805" s="55">
        <f t="shared" ca="1" si="155"/>
        <v>347.57350327868846</v>
      </c>
      <c r="L805" s="55">
        <v>0</v>
      </c>
      <c r="M805" s="113">
        <f>SUMIFS(График[Возврат основной суммы долга],График[Дата с учетом нерабочих дней],$A805)</f>
        <v>0</v>
      </c>
      <c r="N805" s="56">
        <f>SUMIFS(График[Возврат начисленных %],График[Дата с учетом нерабочих дней],$A805)</f>
        <v>0</v>
      </c>
      <c r="O805" s="101">
        <v>0</v>
      </c>
      <c r="P805" s="100" cm="1">
        <f t="array" aca="1" ref="P805" ca="1">MAX(IF(AA804="Да",0,SUM(INDIRECT("M"&amp;(MAX(("Да"=AA$12:AA804)*ROW(AA$12:AA804)+1,ROW($P$12))&amp;":M"&amp;(ROW()))))-SUM(INDIRECT("W"&amp;(MAX(("Да"=AA$12:AA804)*ROW(AA$12:AA804)+1,ROW($P$12))&amp;":W"&amp;(ROW()))))),0)</f>
        <v>12165.97</v>
      </c>
      <c r="Q805" s="99">
        <f ca="1">MAX(SUM($N$13:N805)-SUM($T$13:T805),0)</f>
        <v>57348.730655737687</v>
      </c>
      <c r="R805" s="99">
        <f ca="1">Первоначальный[[#This Row],[Просроченный платеж по ОД]]+Первоначальный[[#This Row],[Просроченный платеж по процентам]]</f>
        <v>69514.700655737688</v>
      </c>
      <c r="S805" s="120">
        <f ca="1">IF(Первоначальный[[#This Row],[Просроченный платеж]]&lt;1,0,S804+1)</f>
        <v>701</v>
      </c>
      <c r="T805" s="100" cm="1">
        <f t="array" aca="1" ref="T805" ca="1">IF(Первоначальный[[#This Row],[Итого остаток на начало периода]]&lt;1,0,
IF(
AND(TYPE(VLOOKUP(1,$Z$12:Z805,1,0))=16,Первоначальный[[#This Row],[Досрочное погашение (да/"")]]=""),0,
_xlfn.IFS(AND(S804=0,Первоначальный[[#This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платеж]]&lt;&gt;0),MIN(LOOKUP(,-1/($Z$12:Z805=1),$C$12:C805)+LOOKUP(,-1/($Z$12:Z805=1),$H$12:H805),Первоначальный[[#This Row],[Полученный платеж]]+Y804),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платеж]]+Y804,SUM(Первоначальный[[#This Row],[Остаток процентов на начало периода]],Первоначальный[[#This Row],[Проценты за период]])),
AND(S804=0,Первоначальный[[#This Row],[Дата платежа из графика]]=""),0,
AND(S804=0,Первоначальный[[#This Row],[Дата платежа из графика]]=1,MAX((0&lt;&gt;S$12:S804)*ROW(S$12:S804),ROW($S$12))&gt;=MAX((1=Z$12:Z804)*ROW(Z$12:Z804),ROW($T$12)),TYPE(VLOOKUP("Да",(INDIRECT("AA"&amp;(MAX((1=Z$12:Z804)*ROW(Z$12:Z804),ROW($T$12))&amp;":AA"&amp;(ROW()-1)))),1,0))=16),MIN(LOOKUP(,-1/($Z$12:Z805=1),$C$12:C805)+LOOKUP(,-1/($Z$12:Z805=1),$H$12:H805),Первоначальный[[#This Row],[Полученный платеж]]+Y804),
AND(S804=0,TYPE(VLOOKUP("Да",(INDIRECT("AA"&amp;(MAX((1=Z$12:Z804)*ROW(Z$12:Z804),ROW($T$12))&amp;":AA"&amp;(ROW()-1)))),1,0))&lt;&gt;16),MIN(LOOKUP(,-1/($Z$12:Z805=1),$C$12:C805)+LOOKUP(,-1/($Z$12:Z805=1),$H$12:H805)-IF(AA804="Да",0,SUM(INDIRECT("T"&amp;(MAX(("Да"=AA$12:AA804)*ROW(AA$12:AA804)+1,ROW($T$12))&amp;":T"&amp;(ROW()-1))))),Первоначальный[[#This Row],[Полученный платеж]]+Y804),
AND(S804=0,MAX((0&lt;&gt;N$12:N804)*ROW(N$12:N804),ROW($S$12))&gt;=MAX((1=Z$12:Z804)*ROW(Z$12:Z804),ROW($T$12))),MIN(LOOKUP(,-1/($Z$12:Z805=1),$C$12:C805)+LOOKUP(,-1/($Z$12:Z805=1),$H$12:H805)-IF(N804&lt;&gt;0,0,SUM(INDIRECT("T"&amp;(MAX((0&lt;&gt;N$12:N804)*ROW(N$12:N804)+1,ROW($T$12))&amp;":T"&amp;(ROW()-1))))),Первоначальный[[#This Row],[Полученный платеж]]+Y804),
AND(S804=0,Первоначальный[[#This Row],[Дата платежа из графика]]=1),MIN(LOOKUP(,-1/($Z$12:Z805=1),$C$12:C805)+LOOKUP(,-1/($Z$12:Z805=1),$H$12:H805)-IF(Z804=1,0,SUM(INDIRECT("T"&amp;(MAX((1=Z$12:Z804)*ROW(Z$12:Z804)+1,ROW($T$12))&amp;":T"&amp;(ROW()-1))))),Первоначальный[[#This Row],[Полученный платеж]]+Y804),
AND(Z804&gt;0,Первоначальный[[#This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платеж]]+Y804),
AND(S804&gt;0,MAX((0&lt;&gt;S$12:S804)*ROW(S$12:S804),ROW($S$12))&gt;=MAX((1=Z$12:Z804)*ROW(Z$12:Z804),ROW($T$12)),TYPE(VLOOKUP("Да",(INDIRECT("AA"&amp;(MAX((1=Z$12:Z804)*ROW(Z$12:Z804),ROW($T$12))&amp;":AA"&amp;(ROW()-1)))),1,0))=16),MIN(LOOKUP(,-1/($Z$12:Z805=1),$C$12:C805)+LOOKUP(,-1/($Z$12:Z805=1),$H$12:H805)-SUM(INDIRECT("T"&amp;(MAX((1=Z$12:Z804)*ROW(Z$12:Z804),ROW($T$12))&amp;":T"&amp;(ROW()-1)))),Первоначальный[[#This Row],[Полученный платеж]]+Y804),
S804&gt;0,MIN(LOOKUP(,-1/($Z$12:Z805=1),$C$12:C805)+LOOKUP(,-1/($Z$12:Z805=1),$H$12:H805)-IF(Z804=1,0,SUM(INDIRECT("T"&amp;(MAX((1=Z$12:Z804)*ROW(Z$12:Z804)+1,ROW($T$12))&amp;":T"&amp;(ROW()-1))))),Первоначальный[[#This Row],[Полученный платеж]]+Y804)
)
)
)</f>
        <v>0</v>
      </c>
      <c r="U80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платеж]]+Y804-Первоначальный[[#This Row],[Полученный платёж по процентам]])</f>
        <v>0</v>
      </c>
      <c r="V805" s="55">
        <f t="shared" ca="1" si="145"/>
        <v>0</v>
      </c>
      <c r="W805" s="55" cm="1">
        <f t="array" aca="1" ref="W805" ca="1">IF(Первоначальный[[#This Row],[Итого остаток на начало периода]]&lt;1,0,
_xlfn.IFS(
AND(TYPE(VLOOKUP(1,$Z$12:Z805,1,0))=16,Первоначальный[[#This Row],[Досрочное погашение (да/"")]]=""),0,
AND(S804=0,Первоначальный[[#This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платеж]]+Y804-SUM(Первоначальный[[#This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комиссиям]]),VLOOKUP(LOOKUP(,-1/($Z$12:Z805=1),$A$12:A805),График[[Срок конец]:[Возврат основной суммы долга]],3,0)),
AND(S804=0,Первоначальный[[#This Row],[Дата платежа из графика]]="",Первоначальный[[#This Row],[Досрочное погашение (да/"")]]&lt;&gt;"Да"),0,
AND(S804=0,Первоначальный[[#This Row],[Досрочное погашение (да/"")]]=""),MIN(Первоначальный[[#This Row],[Полученный платеж]]+Y804-SUM(Первоначальный[[#This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комиссиям]]),VLOOKUP(LOOKUP(,-1/($Z$12:Z805=1),$A$12:A805),График[[Срок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платеж]]+Y804-SUM(Первоначальный[[#This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S804&gt;0,MIN(Первоначальный[[#This Row],[Полученный платеж]]+Y804-SUM(Первоначальный[[#This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комиссиям]]),SUM(INDIRECT("M"&amp;(MAX((1=S$12:S804)*ROW(S$12:S804),ROW($W$12))&amp;":M"&amp;(ROW()))))-SUM(INDIRECT("W"&amp;(MAX((1=S$12:S804)*ROW(S$12:S804),ROW($W$12))&amp;":W"&amp;(ROW()-1)))))
)
)</f>
        <v>0</v>
      </c>
      <c r="X805" s="55">
        <f t="shared" ca="1" si="146"/>
        <v>0</v>
      </c>
      <c r="Y805" s="101">
        <f t="shared" ca="1" si="153"/>
        <v>0</v>
      </c>
      <c r="Z805" s="133" t="str">
        <f>IF(TYPE((VLOOKUP(Первоначальный[[#This Row],[Дата платежа]],График[Срок конец],1,0)))=16,"",1)</f>
        <v/>
      </c>
      <c r="AA805" s="57"/>
      <c r="AB805" s="134"/>
      <c r="AC80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0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57425.900000000009</v>
      </c>
      <c r="AE80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2196.2599999999975</v>
      </c>
      <c r="AF80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0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122395.09079836075</v>
      </c>
      <c r="AH805" s="55"/>
      <c r="AI805" s="55"/>
      <c r="AJ805" s="55"/>
      <c r="AK805" s="101">
        <f t="shared" ca="1" si="154"/>
        <v>331650.59079836076</v>
      </c>
      <c r="AL805" s="129">
        <f t="array" ref="AL805">MAX((УслРестрактов[Характеристика]="Дата реструктуризации")*(УслРестрактов[Значение]=Первоначальный!$A805),0)</f>
        <v>0</v>
      </c>
    </row>
    <row r="806" spans="1:38" x14ac:dyDescent="0.25">
      <c r="A806" s="97">
        <f t="shared" si="147"/>
        <v>44937</v>
      </c>
      <c r="B806" s="100">
        <f t="shared" ca="1" si="148"/>
        <v>149633.34</v>
      </c>
      <c r="C806" s="55">
        <f t="shared" ca="1" si="156"/>
        <v>57425.900000000009</v>
      </c>
      <c r="D806" s="55">
        <f t="shared" ca="1" si="156"/>
        <v>2196.2599999999975</v>
      </c>
      <c r="E806" s="55">
        <f t="shared" ca="1" si="149"/>
        <v>0</v>
      </c>
      <c r="F806" s="55">
        <f t="shared" ca="1" si="150"/>
        <v>122395.09079836075</v>
      </c>
      <c r="G806" s="101">
        <f t="shared" ca="1" si="151"/>
        <v>331650.59079836076</v>
      </c>
      <c r="H806" s="100">
        <f ca="1">ROUND($B806*VLOOKUP($A806,$A$1:$B$10,2,1)/(365+IF(MOD(YEAR($A806),4),0,1)*($A806-$A805)),2)-Первоначальный[[#This Row],[Проценты на просроченный платеж по ОД за период]]</f>
        <v>74.95</v>
      </c>
      <c r="I806" s="55">
        <f t="shared" ca="1" si="152"/>
        <v>6.63</v>
      </c>
      <c r="J806" s="55">
        <v>0</v>
      </c>
      <c r="K806" s="55">
        <f t="shared" ca="1" si="155"/>
        <v>347.57350327868846</v>
      </c>
      <c r="L806" s="55">
        <v>0</v>
      </c>
      <c r="M806" s="113">
        <f>SUMIFS(График[Возврат основной суммы долга],График[Дата с учетом нерабочих дней],$A806)</f>
        <v>0</v>
      </c>
      <c r="N806" s="56">
        <f>SUMIFS(График[Возврат начисленных %],График[Дата с учетом нерабочих дней],$A806)</f>
        <v>0</v>
      </c>
      <c r="O806" s="101">
        <v>0</v>
      </c>
      <c r="P806" s="100" cm="1">
        <f t="array" aca="1" ref="P806" ca="1">MAX(IF(AA805="Да",0,SUM(INDIRECT("M"&amp;(MAX(("Да"=AA$12:AA805)*ROW(AA$12:AA805)+1,ROW($P$12))&amp;":M"&amp;(ROW()))))-SUM(INDIRECT("W"&amp;(MAX(("Да"=AA$12:AA805)*ROW(AA$12:AA805)+1,ROW($P$12))&amp;":W"&amp;(ROW()))))),0)</f>
        <v>12165.97</v>
      </c>
      <c r="Q806" s="99">
        <f ca="1">MAX(SUM($N$13:N806)-SUM($T$13:T806),0)</f>
        <v>57348.730655737687</v>
      </c>
      <c r="R806" s="99">
        <f ca="1">Первоначальный[[#This Row],[Просроченный платеж по ОД]]+Первоначальный[[#This Row],[Просроченный платеж по процентам]]</f>
        <v>69514.700655737688</v>
      </c>
      <c r="S806" s="120">
        <f ca="1">IF(Первоначальный[[#This Row],[Просроченный платеж]]&lt;1,0,S805+1)</f>
        <v>702</v>
      </c>
      <c r="T806" s="100" cm="1">
        <f t="array" aca="1" ref="T806" ca="1">IF(Первоначальный[[#This Row],[Итого остаток на начало периода]]&lt;1,0,
IF(
AND(TYPE(VLOOKUP(1,$Z$12:Z806,1,0))=16,Первоначальный[[#This Row],[Досрочное погашение (да/"")]]=""),0,
_xlfn.IFS(AND(S805=0,Первоначальный[[#This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платеж]]&lt;&gt;0),MIN(LOOKUP(,-1/($Z$12:Z806=1),$C$12:C806)+LOOKUP(,-1/($Z$12:Z806=1),$H$12:H806),Первоначальный[[#This Row],[Полученный платеж]]+Y805),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платеж]]+Y805,SUM(Первоначальный[[#This Row],[Остаток процентов на начало периода]],Первоначальный[[#This Row],[Проценты за период]])),
AND(S805=0,Первоначальный[[#This Row],[Дата платежа из графика]]=""),0,
AND(S805=0,Первоначальный[[#This Row],[Дата платежа из графика]]=1,MAX((0&lt;&gt;S$12:S805)*ROW(S$12:S805),ROW($S$12))&gt;=MAX((1=Z$12:Z805)*ROW(Z$12:Z805),ROW($T$12)),TYPE(VLOOKUP("Да",(INDIRECT("AA"&amp;(MAX((1=Z$12:Z805)*ROW(Z$12:Z805),ROW($T$12))&amp;":AA"&amp;(ROW()-1)))),1,0))=16),MIN(LOOKUP(,-1/($Z$12:Z806=1),$C$12:C806)+LOOKUP(,-1/($Z$12:Z806=1),$H$12:H806),Первоначальный[[#This Row],[Полученный платеж]]+Y805),
AND(S805=0,TYPE(VLOOKUP("Да",(INDIRECT("AA"&amp;(MAX((1=Z$12:Z805)*ROW(Z$12:Z805),ROW($T$12))&amp;":AA"&amp;(ROW()-1)))),1,0))&lt;&gt;16),MIN(LOOKUP(,-1/($Z$12:Z806=1),$C$12:C806)+LOOKUP(,-1/($Z$12:Z806=1),$H$12:H806)-IF(AA805="Да",0,SUM(INDIRECT("T"&amp;(MAX(("Да"=AA$12:AA805)*ROW(AA$12:AA805)+1,ROW($T$12))&amp;":T"&amp;(ROW()-1))))),Первоначальный[[#This Row],[Полученный платеж]]+Y805),
AND(S805=0,MAX((0&lt;&gt;N$12:N805)*ROW(N$12:N805),ROW($S$12))&gt;=MAX((1=Z$12:Z805)*ROW(Z$12:Z805),ROW($T$12))),MIN(LOOKUP(,-1/($Z$12:Z806=1),$C$12:C806)+LOOKUP(,-1/($Z$12:Z806=1),$H$12:H806)-IF(N805&lt;&gt;0,0,SUM(INDIRECT("T"&amp;(MAX((0&lt;&gt;N$12:N805)*ROW(N$12:N805)+1,ROW($T$12))&amp;":T"&amp;(ROW()-1))))),Первоначальный[[#This Row],[Полученный платеж]]+Y805),
AND(S805=0,Первоначальный[[#This Row],[Дата платежа из графика]]=1),MIN(LOOKUP(,-1/($Z$12:Z806=1),$C$12:C806)+LOOKUP(,-1/($Z$12:Z806=1),$H$12:H806)-IF(Z805=1,0,SUM(INDIRECT("T"&amp;(MAX((1=Z$12:Z805)*ROW(Z$12:Z805)+1,ROW($T$12))&amp;":T"&amp;(ROW()-1))))),Первоначальный[[#This Row],[Полученный платеж]]+Y805),
AND(Z805&gt;0,Первоначальный[[#This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платеж]]+Y805),
AND(S805&gt;0,MAX((0&lt;&gt;S$12:S805)*ROW(S$12:S805),ROW($S$12))&gt;=MAX((1=Z$12:Z805)*ROW(Z$12:Z805),ROW($T$12)),TYPE(VLOOKUP("Да",(INDIRECT("AA"&amp;(MAX((1=Z$12:Z805)*ROW(Z$12:Z805),ROW($T$12))&amp;":AA"&amp;(ROW()-1)))),1,0))=16),MIN(LOOKUP(,-1/($Z$12:Z806=1),$C$12:C806)+LOOKUP(,-1/($Z$12:Z806=1),$H$12:H806)-SUM(INDIRECT("T"&amp;(MAX((1=Z$12:Z805)*ROW(Z$12:Z805),ROW($T$12))&amp;":T"&amp;(ROW()-1)))),Первоначальный[[#This Row],[Полученный платеж]]+Y805),
S805&gt;0,MIN(LOOKUP(,-1/($Z$12:Z806=1),$C$12:C806)+LOOKUP(,-1/($Z$12:Z806=1),$H$12:H806)-IF(Z805=1,0,SUM(INDIRECT("T"&amp;(MAX((1=Z$12:Z805)*ROW(Z$12:Z805)+1,ROW($T$12))&amp;":T"&amp;(ROW()-1))))),Первоначальный[[#This Row],[Полученный платеж]]+Y805)
)
)
)</f>
        <v>0</v>
      </c>
      <c r="U80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платеж]]+Y805-Первоначальный[[#This Row],[Полученный платёж по процентам]])</f>
        <v>0</v>
      </c>
      <c r="V806" s="55">
        <f t="shared" ca="1" si="145"/>
        <v>0</v>
      </c>
      <c r="W806" s="55" cm="1">
        <f t="array" aca="1" ref="W806" ca="1">IF(Первоначальный[[#This Row],[Итого остаток на начало периода]]&lt;1,0,
_xlfn.IFS(
AND(TYPE(VLOOKUP(1,$Z$12:Z806,1,0))=16,Первоначальный[[#This Row],[Досрочное погашение (да/"")]]=""),0,
AND(S805=0,Первоначальный[[#This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платеж]]+Y805-SUM(Первоначальный[[#This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комиссиям]]),VLOOKUP(LOOKUP(,-1/($Z$12:Z806=1),$A$12:A806),График[[Срок конец]:[Возврат основной суммы долга]],3,0)),
AND(S805=0,Первоначальный[[#This Row],[Дата платежа из графика]]="",Первоначальный[[#This Row],[Досрочное погашение (да/"")]]&lt;&gt;"Да"),0,
AND(S805=0,Первоначальный[[#This Row],[Досрочное погашение (да/"")]]=""),MIN(Первоначальный[[#This Row],[Полученный платеж]]+Y805-SUM(Первоначальный[[#This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комиссиям]]),VLOOKUP(LOOKUP(,-1/($Z$12:Z806=1),$A$12:A806),График[[Срок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платеж]]+Y805-SUM(Первоначальный[[#This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S805&gt;0,MIN(Первоначальный[[#This Row],[Полученный платеж]]+Y805-SUM(Первоначальный[[#This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комиссиям]]),SUM(INDIRECT("M"&amp;(MAX((1=S$12:S805)*ROW(S$12:S805),ROW($W$12))&amp;":M"&amp;(ROW()))))-SUM(INDIRECT("W"&amp;(MAX((1=S$12:S805)*ROW(S$12:S805),ROW($W$12))&amp;":W"&amp;(ROW()-1)))))
)
)</f>
        <v>0</v>
      </c>
      <c r="X806" s="55">
        <f t="shared" ca="1" si="146"/>
        <v>0</v>
      </c>
      <c r="Y806" s="101">
        <f t="shared" ca="1" si="153"/>
        <v>0</v>
      </c>
      <c r="Z806" s="133" t="str">
        <f>IF(TYPE((VLOOKUP(Первоначальный[[#This Row],[Дата платежа]],График[Срок конец],1,0)))=16,"",1)</f>
        <v/>
      </c>
      <c r="AA806" s="57"/>
      <c r="AB806" s="134"/>
      <c r="AC80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0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57500.850000000006</v>
      </c>
      <c r="AE80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2202.8899999999976</v>
      </c>
      <c r="AF80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0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122742.66430163944</v>
      </c>
      <c r="AH806" s="55"/>
      <c r="AI806" s="55"/>
      <c r="AJ806" s="55"/>
      <c r="AK806" s="101">
        <f t="shared" ca="1" si="154"/>
        <v>332079.74430163944</v>
      </c>
      <c r="AL806" s="129">
        <f t="array" ref="AL806">MAX((УслРестрактов[Характеристика]="Дата реструктуризации")*(УслРестрактов[Значение]=Первоначальный!$A806),0)</f>
        <v>0</v>
      </c>
    </row>
    <row r="807" spans="1:38" x14ac:dyDescent="0.25">
      <c r="A807" s="97">
        <f t="shared" si="147"/>
        <v>44938</v>
      </c>
      <c r="B807" s="100">
        <f t="shared" ca="1" si="148"/>
        <v>149633.34</v>
      </c>
      <c r="C807" s="55">
        <f t="shared" ca="1" si="156"/>
        <v>57500.850000000006</v>
      </c>
      <c r="D807" s="55">
        <f t="shared" ca="1" si="156"/>
        <v>2202.8899999999976</v>
      </c>
      <c r="E807" s="55">
        <f t="shared" ca="1" si="149"/>
        <v>0</v>
      </c>
      <c r="F807" s="55">
        <f t="shared" ca="1" si="150"/>
        <v>122742.66430163944</v>
      </c>
      <c r="G807" s="101">
        <f t="shared" ca="1" si="151"/>
        <v>332079.74430163944</v>
      </c>
      <c r="H807" s="100">
        <f ca="1">ROUND($B807*VLOOKUP($A807,$A$1:$B$10,2,1)/(365+IF(MOD(YEAR($A807),4),0,1)*($A807-$A806)),2)-Первоначальный[[#This Row],[Проценты на просроченный платеж по ОД за период]]</f>
        <v>74.95</v>
      </c>
      <c r="I807" s="55">
        <f t="shared" ca="1" si="152"/>
        <v>6.63</v>
      </c>
      <c r="J807" s="55">
        <v>0</v>
      </c>
      <c r="K807" s="55">
        <f t="shared" ca="1" si="155"/>
        <v>347.57350327868846</v>
      </c>
      <c r="L807" s="55">
        <v>0</v>
      </c>
      <c r="M807" s="113">
        <f>SUMIFS(График[Возврат основной суммы долга],График[Дата с учетом нерабочих дней],$A807)</f>
        <v>0</v>
      </c>
      <c r="N807" s="56">
        <f>SUMIFS(График[Возврат начисленных %],График[Дата с учетом нерабочих дней],$A807)</f>
        <v>0</v>
      </c>
      <c r="O807" s="101">
        <v>0</v>
      </c>
      <c r="P807" s="100" cm="1">
        <f t="array" aca="1" ref="P807" ca="1">MAX(IF(AA806="Да",0,SUM(INDIRECT("M"&amp;(MAX(("Да"=AA$12:AA806)*ROW(AA$12:AA806)+1,ROW($P$12))&amp;":M"&amp;(ROW()))))-SUM(INDIRECT("W"&amp;(MAX(("Да"=AA$12:AA806)*ROW(AA$12:AA806)+1,ROW($P$12))&amp;":W"&amp;(ROW()))))),0)</f>
        <v>12165.97</v>
      </c>
      <c r="Q807" s="99">
        <f ca="1">MAX(SUM($N$13:N807)-SUM($T$13:T807),0)</f>
        <v>57348.730655737687</v>
      </c>
      <c r="R807" s="99">
        <f ca="1">Первоначальный[[#This Row],[Просроченный платеж по ОД]]+Первоначальный[[#This Row],[Просроченный платеж по процентам]]</f>
        <v>69514.700655737688</v>
      </c>
      <c r="S807" s="120">
        <f ca="1">IF(Первоначальный[[#This Row],[Просроченный платеж]]&lt;1,0,S806+1)</f>
        <v>703</v>
      </c>
      <c r="T807" s="100" cm="1">
        <f t="array" aca="1" ref="T807" ca="1">IF(Первоначальный[[#This Row],[Итого остаток на начало периода]]&lt;1,0,
IF(
AND(TYPE(VLOOKUP(1,$Z$12:Z807,1,0))=16,Первоначальный[[#This Row],[Досрочное погашение (да/"")]]=""),0,
_xlfn.IFS(AND(S806=0,Первоначальный[[#This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платеж]]&lt;&gt;0),MIN(LOOKUP(,-1/($Z$12:Z807=1),$C$12:C807)+LOOKUP(,-1/($Z$12:Z807=1),$H$12:H807),Первоначальный[[#This Row],[Полученный платеж]]+Y806),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платеж]]+Y806,SUM(Первоначальный[[#This Row],[Остаток процентов на начало периода]],Первоначальный[[#This Row],[Проценты за период]])),
AND(S806=0,Первоначальный[[#This Row],[Дата платежа из графика]]=""),0,
AND(S806=0,Первоначальный[[#This Row],[Дата платежа из графика]]=1,MAX((0&lt;&gt;S$12:S806)*ROW(S$12:S806),ROW($S$12))&gt;=MAX((1=Z$12:Z806)*ROW(Z$12:Z806),ROW($T$12)),TYPE(VLOOKUP("Да",(INDIRECT("AA"&amp;(MAX((1=Z$12:Z806)*ROW(Z$12:Z806),ROW($T$12))&amp;":AA"&amp;(ROW()-1)))),1,0))=16),MIN(LOOKUP(,-1/($Z$12:Z807=1),$C$12:C807)+LOOKUP(,-1/($Z$12:Z807=1),$H$12:H807),Первоначальный[[#This Row],[Полученный платеж]]+Y806),
AND(S806=0,TYPE(VLOOKUP("Да",(INDIRECT("AA"&amp;(MAX((1=Z$12:Z806)*ROW(Z$12:Z806),ROW($T$12))&amp;":AA"&amp;(ROW()-1)))),1,0))&lt;&gt;16),MIN(LOOKUP(,-1/($Z$12:Z807=1),$C$12:C807)+LOOKUP(,-1/($Z$12:Z807=1),$H$12:H807)-IF(AA806="Да",0,SUM(INDIRECT("T"&amp;(MAX(("Да"=AA$12:AA806)*ROW(AA$12:AA806)+1,ROW($T$12))&amp;":T"&amp;(ROW()-1))))),Первоначальный[[#This Row],[Полученный платеж]]+Y806),
AND(S806=0,MAX((0&lt;&gt;N$12:N806)*ROW(N$12:N806),ROW($S$12))&gt;=MAX((1=Z$12:Z806)*ROW(Z$12:Z806),ROW($T$12))),MIN(LOOKUP(,-1/($Z$12:Z807=1),$C$12:C807)+LOOKUP(,-1/($Z$12:Z807=1),$H$12:H807)-IF(N806&lt;&gt;0,0,SUM(INDIRECT("T"&amp;(MAX((0&lt;&gt;N$12:N806)*ROW(N$12:N806)+1,ROW($T$12))&amp;":T"&amp;(ROW()-1))))),Первоначальный[[#This Row],[Полученный платеж]]+Y806),
AND(S806=0,Первоначальный[[#This Row],[Дата платежа из графика]]=1),MIN(LOOKUP(,-1/($Z$12:Z807=1),$C$12:C807)+LOOKUP(,-1/($Z$12:Z807=1),$H$12:H807)-IF(Z806=1,0,SUM(INDIRECT("T"&amp;(MAX((1=Z$12:Z806)*ROW(Z$12:Z806)+1,ROW($T$12))&amp;":T"&amp;(ROW()-1))))),Первоначальный[[#This Row],[Полученный платеж]]+Y806),
AND(Z806&gt;0,Первоначальный[[#This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платеж]]+Y806),
AND(S806&gt;0,MAX((0&lt;&gt;S$12:S806)*ROW(S$12:S806),ROW($S$12))&gt;=MAX((1=Z$12:Z806)*ROW(Z$12:Z806),ROW($T$12)),TYPE(VLOOKUP("Да",(INDIRECT("AA"&amp;(MAX((1=Z$12:Z806)*ROW(Z$12:Z806),ROW($T$12))&amp;":AA"&amp;(ROW()-1)))),1,0))=16),MIN(LOOKUP(,-1/($Z$12:Z807=1),$C$12:C807)+LOOKUP(,-1/($Z$12:Z807=1),$H$12:H807)-SUM(INDIRECT("T"&amp;(MAX((1=Z$12:Z806)*ROW(Z$12:Z806),ROW($T$12))&amp;":T"&amp;(ROW()-1)))),Первоначальный[[#This Row],[Полученный платеж]]+Y806),
S806&gt;0,MIN(LOOKUP(,-1/($Z$12:Z807=1),$C$12:C807)+LOOKUP(,-1/($Z$12:Z807=1),$H$12:H807)-IF(Z806=1,0,SUM(INDIRECT("T"&amp;(MAX((1=Z$12:Z806)*ROW(Z$12:Z806)+1,ROW($T$12))&amp;":T"&amp;(ROW()-1))))),Первоначальный[[#This Row],[Полученный платеж]]+Y806)
)
)
)</f>
        <v>0</v>
      </c>
      <c r="U80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платеж]]+Y806-Первоначальный[[#This Row],[Полученный платёж по процентам]])</f>
        <v>0</v>
      </c>
      <c r="V807" s="55">
        <f t="shared" ca="1" si="145"/>
        <v>0</v>
      </c>
      <c r="W807" s="55" cm="1">
        <f t="array" aca="1" ref="W807" ca="1">IF(Первоначальный[[#This Row],[Итого остаток на начало периода]]&lt;1,0,
_xlfn.IFS(
AND(TYPE(VLOOKUP(1,$Z$12:Z807,1,0))=16,Первоначальный[[#This Row],[Досрочное погашение (да/"")]]=""),0,
AND(S806=0,Первоначальный[[#This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платеж]]+Y806-SUM(Первоначальный[[#This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комиссиям]]),VLOOKUP(LOOKUP(,-1/($Z$12:Z807=1),$A$12:A807),График[[Срок конец]:[Возврат основной суммы долга]],3,0)),
AND(S806=0,Первоначальный[[#This Row],[Дата платежа из графика]]="",Первоначальный[[#This Row],[Досрочное погашение (да/"")]]&lt;&gt;"Да"),0,
AND(S806=0,Первоначальный[[#This Row],[Досрочное погашение (да/"")]]=""),MIN(Первоначальный[[#This Row],[Полученный платеж]]+Y806-SUM(Первоначальный[[#This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комиссиям]]),VLOOKUP(LOOKUP(,-1/($Z$12:Z807=1),$A$12:A807),График[[Срок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платеж]]+Y806-SUM(Первоначальный[[#This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S806&gt;0,MIN(Первоначальный[[#This Row],[Полученный платеж]]+Y806-SUM(Первоначальный[[#This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комиссиям]]),SUM(INDIRECT("M"&amp;(MAX((1=S$12:S806)*ROW(S$12:S806),ROW($W$12))&amp;":M"&amp;(ROW()))))-SUM(INDIRECT("W"&amp;(MAX((1=S$12:S806)*ROW(S$12:S806),ROW($W$12))&amp;":W"&amp;(ROW()-1)))))
)
)</f>
        <v>0</v>
      </c>
      <c r="X807" s="55">
        <f t="shared" ca="1" si="146"/>
        <v>0</v>
      </c>
      <c r="Y807" s="101">
        <f t="shared" ca="1" si="153"/>
        <v>0</v>
      </c>
      <c r="Z807" s="133" t="str">
        <f>IF(TYPE((VLOOKUP(Первоначальный[[#This Row],[Дата платежа]],График[Срок конец],1,0)))=16,"",1)</f>
        <v/>
      </c>
      <c r="AA807" s="57"/>
      <c r="AB807" s="134"/>
      <c r="AC80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0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57575.8</v>
      </c>
      <c r="AE80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2209.5199999999977</v>
      </c>
      <c r="AF80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0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123090.23780491813</v>
      </c>
      <c r="AH807" s="55"/>
      <c r="AI807" s="55"/>
      <c r="AJ807" s="55"/>
      <c r="AK807" s="101">
        <f t="shared" ca="1" si="154"/>
        <v>332508.89780491812</v>
      </c>
      <c r="AL807" s="129">
        <f t="array" ref="AL807">MAX((УслРестрактов[Характеристика]="Дата реструктуризации")*(УслРестрактов[Значение]=Первоначальный!$A807),0)</f>
        <v>0</v>
      </c>
    </row>
    <row r="808" spans="1:38" x14ac:dyDescent="0.25">
      <c r="A808" s="97">
        <f t="shared" si="147"/>
        <v>44939</v>
      </c>
      <c r="B808" s="100">
        <f t="shared" ca="1" si="148"/>
        <v>149633.34</v>
      </c>
      <c r="C808" s="55">
        <f t="shared" ca="1" si="156"/>
        <v>57575.8</v>
      </c>
      <c r="D808" s="55">
        <f t="shared" ca="1" si="156"/>
        <v>2209.5199999999977</v>
      </c>
      <c r="E808" s="55">
        <f t="shared" ca="1" si="149"/>
        <v>0</v>
      </c>
      <c r="F808" s="55">
        <f t="shared" ca="1" si="150"/>
        <v>123090.23780491813</v>
      </c>
      <c r="G808" s="101">
        <f t="shared" ca="1" si="151"/>
        <v>332508.89780491812</v>
      </c>
      <c r="H808" s="100">
        <f ca="1">ROUND($B808*VLOOKUP($A808,$A$1:$B$10,2,1)/(365+IF(MOD(YEAR($A808),4),0,1)*($A808-$A807)),2)-Первоначальный[[#This Row],[Проценты на просроченный платеж по ОД за период]]</f>
        <v>74.95</v>
      </c>
      <c r="I808" s="55">
        <f t="shared" ca="1" si="152"/>
        <v>6.63</v>
      </c>
      <c r="J808" s="55">
        <v>0</v>
      </c>
      <c r="K808" s="55">
        <f t="shared" ca="1" si="155"/>
        <v>347.57350327868846</v>
      </c>
      <c r="L808" s="55">
        <v>0</v>
      </c>
      <c r="M808" s="113">
        <f>SUMIFS(График[Возврат основной суммы долга],График[Дата с учетом нерабочих дней],$A808)</f>
        <v>0</v>
      </c>
      <c r="N808" s="56">
        <f>SUMIFS(График[Возврат начисленных %],График[Дата с учетом нерабочих дней],$A808)</f>
        <v>0</v>
      </c>
      <c r="O808" s="101">
        <v>0</v>
      </c>
      <c r="P808" s="100" cm="1">
        <f t="array" aca="1" ref="P808" ca="1">MAX(IF(AA807="Да",0,SUM(INDIRECT("M"&amp;(MAX(("Да"=AA$12:AA807)*ROW(AA$12:AA807)+1,ROW($P$12))&amp;":M"&amp;(ROW()))))-SUM(INDIRECT("W"&amp;(MAX(("Да"=AA$12:AA807)*ROW(AA$12:AA807)+1,ROW($P$12))&amp;":W"&amp;(ROW()))))),0)</f>
        <v>12165.97</v>
      </c>
      <c r="Q808" s="99">
        <f ca="1">MAX(SUM($N$13:N808)-SUM($T$13:T808),0)</f>
        <v>57348.730655737687</v>
      </c>
      <c r="R808" s="99">
        <f ca="1">Первоначальный[[#This Row],[Просроченный платеж по ОД]]+Первоначальный[[#This Row],[Просроченный платеж по процентам]]</f>
        <v>69514.700655737688</v>
      </c>
      <c r="S808" s="120">
        <f ca="1">IF(Первоначальный[[#This Row],[Просроченный платеж]]&lt;1,0,S807+1)</f>
        <v>704</v>
      </c>
      <c r="T808" s="100" cm="1">
        <f t="array" aca="1" ref="T808" ca="1">IF(Первоначальный[[#This Row],[Итого остаток на начало периода]]&lt;1,0,
IF(
AND(TYPE(VLOOKUP(1,$Z$12:Z808,1,0))=16,Первоначальный[[#This Row],[Досрочное погашение (да/"")]]=""),0,
_xlfn.IFS(AND(S807=0,Первоначальный[[#This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платеж]]&lt;&gt;0),MIN(LOOKUP(,-1/($Z$12:Z808=1),$C$12:C808)+LOOKUP(,-1/($Z$12:Z808=1),$H$12:H808),Первоначальный[[#This Row],[Полученный платеж]]+Y807),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платеж]]+Y807,SUM(Первоначальный[[#This Row],[Остаток процентов на начало периода]],Первоначальный[[#This Row],[Проценты за период]])),
AND(S807=0,Первоначальный[[#This Row],[Дата платежа из графика]]=""),0,
AND(S807=0,Первоначальный[[#This Row],[Дата платежа из графика]]=1,MAX((0&lt;&gt;S$12:S807)*ROW(S$12:S807),ROW($S$12))&gt;=MAX((1=Z$12:Z807)*ROW(Z$12:Z807),ROW($T$12)),TYPE(VLOOKUP("Да",(INDIRECT("AA"&amp;(MAX((1=Z$12:Z807)*ROW(Z$12:Z807),ROW($T$12))&amp;":AA"&amp;(ROW()-1)))),1,0))=16),MIN(LOOKUP(,-1/($Z$12:Z808=1),$C$12:C808)+LOOKUP(,-1/($Z$12:Z808=1),$H$12:H808),Первоначальный[[#This Row],[Полученный платеж]]+Y807),
AND(S807=0,TYPE(VLOOKUP("Да",(INDIRECT("AA"&amp;(MAX((1=Z$12:Z807)*ROW(Z$12:Z807),ROW($T$12))&amp;":AA"&amp;(ROW()-1)))),1,0))&lt;&gt;16),MIN(LOOKUP(,-1/($Z$12:Z808=1),$C$12:C808)+LOOKUP(,-1/($Z$12:Z808=1),$H$12:H808)-IF(AA807="Да",0,SUM(INDIRECT("T"&amp;(MAX(("Да"=AA$12:AA807)*ROW(AA$12:AA807)+1,ROW($T$12))&amp;":T"&amp;(ROW()-1))))),Первоначальный[[#This Row],[Полученный платеж]]+Y807),
AND(S807=0,MAX((0&lt;&gt;N$12:N807)*ROW(N$12:N807),ROW($S$12))&gt;=MAX((1=Z$12:Z807)*ROW(Z$12:Z807),ROW($T$12))),MIN(LOOKUP(,-1/($Z$12:Z808=1),$C$12:C808)+LOOKUP(,-1/($Z$12:Z808=1),$H$12:H808)-IF(N807&lt;&gt;0,0,SUM(INDIRECT("T"&amp;(MAX((0&lt;&gt;N$12:N807)*ROW(N$12:N807)+1,ROW($T$12))&amp;":T"&amp;(ROW()-1))))),Первоначальный[[#This Row],[Полученный платеж]]+Y807),
AND(S807=0,Первоначальный[[#This Row],[Дата платежа из графика]]=1),MIN(LOOKUP(,-1/($Z$12:Z808=1),$C$12:C808)+LOOKUP(,-1/($Z$12:Z808=1),$H$12:H808)-IF(Z807=1,0,SUM(INDIRECT("T"&amp;(MAX((1=Z$12:Z807)*ROW(Z$12:Z807)+1,ROW($T$12))&amp;":T"&amp;(ROW()-1))))),Первоначальный[[#This Row],[Полученный платеж]]+Y807),
AND(Z807&gt;0,Первоначальный[[#This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платеж]]+Y807),
AND(S807&gt;0,MAX((0&lt;&gt;S$12:S807)*ROW(S$12:S807),ROW($S$12))&gt;=MAX((1=Z$12:Z807)*ROW(Z$12:Z807),ROW($T$12)),TYPE(VLOOKUP("Да",(INDIRECT("AA"&amp;(MAX((1=Z$12:Z807)*ROW(Z$12:Z807),ROW($T$12))&amp;":AA"&amp;(ROW()-1)))),1,0))=16),MIN(LOOKUP(,-1/($Z$12:Z808=1),$C$12:C808)+LOOKUP(,-1/($Z$12:Z808=1),$H$12:H808)-SUM(INDIRECT("T"&amp;(MAX((1=Z$12:Z807)*ROW(Z$12:Z807),ROW($T$12))&amp;":T"&amp;(ROW()-1)))),Первоначальный[[#This Row],[Полученный платеж]]+Y807),
S807&gt;0,MIN(LOOKUP(,-1/($Z$12:Z808=1),$C$12:C808)+LOOKUP(,-1/($Z$12:Z808=1),$H$12:H808)-IF(Z807=1,0,SUM(INDIRECT("T"&amp;(MAX((1=Z$12:Z807)*ROW(Z$12:Z807)+1,ROW($T$12))&amp;":T"&amp;(ROW()-1))))),Первоначальный[[#This Row],[Полученный платеж]]+Y807)
)
)
)</f>
        <v>0</v>
      </c>
      <c r="U80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платеж]]+Y807-Первоначальный[[#This Row],[Полученный платёж по процентам]])</f>
        <v>0</v>
      </c>
      <c r="V808" s="55">
        <f t="shared" ca="1" si="145"/>
        <v>0</v>
      </c>
      <c r="W808" s="55" cm="1">
        <f t="array" aca="1" ref="W808" ca="1">IF(Первоначальный[[#This Row],[Итого остаток на начало периода]]&lt;1,0,
_xlfn.IFS(
AND(TYPE(VLOOKUP(1,$Z$12:Z808,1,0))=16,Первоначальный[[#This Row],[Досрочное погашение (да/"")]]=""),0,
AND(S807=0,Первоначальный[[#This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платеж]]+Y807-SUM(Первоначальный[[#This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комиссиям]]),VLOOKUP(LOOKUP(,-1/($Z$12:Z808=1),$A$12:A808),График[[Срок конец]:[Возврат основной суммы долга]],3,0)),
AND(S807=0,Первоначальный[[#This Row],[Дата платежа из графика]]="",Первоначальный[[#This Row],[Досрочное погашение (да/"")]]&lt;&gt;"Да"),0,
AND(S807=0,Первоначальный[[#This Row],[Досрочное погашение (да/"")]]=""),MIN(Первоначальный[[#This Row],[Полученный платеж]]+Y807-SUM(Первоначальный[[#This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комиссиям]]),VLOOKUP(LOOKUP(,-1/($Z$12:Z808=1),$A$12:A808),График[[Срок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платеж]]+Y807-SUM(Первоначальный[[#This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S807&gt;0,MIN(Первоначальный[[#This Row],[Полученный платеж]]+Y807-SUM(Первоначальный[[#This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комиссиям]]),SUM(INDIRECT("M"&amp;(MAX((1=S$12:S807)*ROW(S$12:S807),ROW($W$12))&amp;":M"&amp;(ROW()))))-SUM(INDIRECT("W"&amp;(MAX((1=S$12:S807)*ROW(S$12:S807),ROW($W$12))&amp;":W"&amp;(ROW()-1)))))
)
)</f>
        <v>0</v>
      </c>
      <c r="X808" s="55">
        <f t="shared" ca="1" si="146"/>
        <v>0</v>
      </c>
      <c r="Y808" s="101">
        <f t="shared" ca="1" si="153"/>
        <v>0</v>
      </c>
      <c r="Z808" s="133" t="str">
        <f>IF(TYPE((VLOOKUP(Первоначальный[[#This Row],[Дата платежа]],График[Срок конец],1,0)))=16,"",1)</f>
        <v/>
      </c>
      <c r="AA808" s="57"/>
      <c r="AB808" s="134"/>
      <c r="AC80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0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57650.75</v>
      </c>
      <c r="AE80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2216.1499999999978</v>
      </c>
      <c r="AF80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0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123437.81130819682</v>
      </c>
      <c r="AH808" s="55"/>
      <c r="AI808" s="55"/>
      <c r="AJ808" s="55"/>
      <c r="AK808" s="101">
        <f t="shared" ca="1" si="154"/>
        <v>332938.05130819679</v>
      </c>
      <c r="AL808" s="129">
        <f t="array" ref="AL808">MAX((УслРестрактов[Характеристика]="Дата реструктуризации")*(УслРестрактов[Значение]=Первоначальный!$A808),0)</f>
        <v>0</v>
      </c>
    </row>
    <row r="809" spans="1:38" x14ac:dyDescent="0.25">
      <c r="A809" s="97">
        <f t="shared" si="147"/>
        <v>44940</v>
      </c>
      <c r="B809" s="100">
        <f t="shared" ca="1" si="148"/>
        <v>149633.34</v>
      </c>
      <c r="C809" s="55">
        <f t="shared" ca="1" si="156"/>
        <v>57650.75</v>
      </c>
      <c r="D809" s="55">
        <f t="shared" ca="1" si="156"/>
        <v>2216.1499999999978</v>
      </c>
      <c r="E809" s="55">
        <f t="shared" ca="1" si="149"/>
        <v>0</v>
      </c>
      <c r="F809" s="55">
        <f t="shared" ca="1" si="150"/>
        <v>123437.81130819682</v>
      </c>
      <c r="G809" s="101">
        <f t="shared" ca="1" si="151"/>
        <v>332938.05130819679</v>
      </c>
      <c r="H809" s="100">
        <f ca="1">ROUND($B809*VLOOKUP($A809,$A$1:$B$10,2,1)/(365+IF(MOD(YEAR($A809),4),0,1)*($A809-$A808)),2)-Первоначальный[[#This Row],[Проценты на просроченный платеж по ОД за период]]</f>
        <v>74.95</v>
      </c>
      <c r="I809" s="55">
        <f t="shared" ca="1" si="152"/>
        <v>6.63</v>
      </c>
      <c r="J809" s="55">
        <v>0</v>
      </c>
      <c r="K809" s="55">
        <f t="shared" ca="1" si="155"/>
        <v>347.57350327868846</v>
      </c>
      <c r="L809" s="55">
        <v>0</v>
      </c>
      <c r="M809" s="113">
        <f>SUMIFS(График[Возврат основной суммы долга],График[Дата с учетом нерабочих дней],$A809)</f>
        <v>0</v>
      </c>
      <c r="N809" s="56">
        <f>SUMIFS(График[Возврат начисленных %],График[Дата с учетом нерабочих дней],$A809)</f>
        <v>0</v>
      </c>
      <c r="O809" s="101">
        <v>0</v>
      </c>
      <c r="P809" s="100" cm="1">
        <f t="array" aca="1" ref="P809" ca="1">MAX(IF(AA808="Да",0,SUM(INDIRECT("M"&amp;(MAX(("Да"=AA$12:AA808)*ROW(AA$12:AA808)+1,ROW($P$12))&amp;":M"&amp;(ROW()))))-SUM(INDIRECT("W"&amp;(MAX(("Да"=AA$12:AA808)*ROW(AA$12:AA808)+1,ROW($P$12))&amp;":W"&amp;(ROW()))))),0)</f>
        <v>12165.97</v>
      </c>
      <c r="Q809" s="99">
        <f ca="1">MAX(SUM($N$13:N809)-SUM($T$13:T809),0)</f>
        <v>57348.730655737687</v>
      </c>
      <c r="R809" s="99">
        <f ca="1">Первоначальный[[#This Row],[Просроченный платеж по ОД]]+Первоначальный[[#This Row],[Просроченный платеж по процентам]]</f>
        <v>69514.700655737688</v>
      </c>
      <c r="S809" s="120">
        <f ca="1">IF(Первоначальный[[#This Row],[Просроченный платеж]]&lt;1,0,S808+1)</f>
        <v>705</v>
      </c>
      <c r="T809" s="100" cm="1">
        <f t="array" aca="1" ref="T809" ca="1">IF(Первоначальный[[#This Row],[Итого остаток на начало периода]]&lt;1,0,
IF(
AND(TYPE(VLOOKUP(1,$Z$12:Z809,1,0))=16,Первоначальный[[#This Row],[Досрочное погашение (да/"")]]=""),0,
_xlfn.IFS(AND(S808=0,Первоначальный[[#This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платеж]]&lt;&gt;0),MIN(LOOKUP(,-1/($Z$12:Z809=1),$C$12:C809)+LOOKUP(,-1/($Z$12:Z809=1),$H$12:H809),Первоначальный[[#This Row],[Полученный платеж]]+Y808),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платеж]]+Y808,SUM(Первоначальный[[#This Row],[Остаток процентов на начало периода]],Первоначальный[[#This Row],[Проценты за период]])),
AND(S808=0,Первоначальный[[#This Row],[Дата платежа из графика]]=""),0,
AND(S808=0,Первоначальный[[#This Row],[Дата платежа из графика]]=1,MAX((0&lt;&gt;S$12:S808)*ROW(S$12:S808),ROW($S$12))&gt;=MAX((1=Z$12:Z808)*ROW(Z$12:Z808),ROW($T$12)),TYPE(VLOOKUP("Да",(INDIRECT("AA"&amp;(MAX((1=Z$12:Z808)*ROW(Z$12:Z808),ROW($T$12))&amp;":AA"&amp;(ROW()-1)))),1,0))=16),MIN(LOOKUP(,-1/($Z$12:Z809=1),$C$12:C809)+LOOKUP(,-1/($Z$12:Z809=1),$H$12:H809),Первоначальный[[#This Row],[Полученный платеж]]+Y808),
AND(S808=0,TYPE(VLOOKUP("Да",(INDIRECT("AA"&amp;(MAX((1=Z$12:Z808)*ROW(Z$12:Z808),ROW($T$12))&amp;":AA"&amp;(ROW()-1)))),1,0))&lt;&gt;16),MIN(LOOKUP(,-1/($Z$12:Z809=1),$C$12:C809)+LOOKUP(,-1/($Z$12:Z809=1),$H$12:H809)-IF(AA808="Да",0,SUM(INDIRECT("T"&amp;(MAX(("Да"=AA$12:AA808)*ROW(AA$12:AA808)+1,ROW($T$12))&amp;":T"&amp;(ROW()-1))))),Первоначальный[[#This Row],[Полученный платеж]]+Y808),
AND(S808=0,MAX((0&lt;&gt;N$12:N808)*ROW(N$12:N808),ROW($S$12))&gt;=MAX((1=Z$12:Z808)*ROW(Z$12:Z808),ROW($T$12))),MIN(LOOKUP(,-1/($Z$12:Z809=1),$C$12:C809)+LOOKUP(,-1/($Z$12:Z809=1),$H$12:H809)-IF(N808&lt;&gt;0,0,SUM(INDIRECT("T"&amp;(MAX((0&lt;&gt;N$12:N808)*ROW(N$12:N808)+1,ROW($T$12))&amp;":T"&amp;(ROW()-1))))),Первоначальный[[#This Row],[Полученный платеж]]+Y808),
AND(S808=0,Первоначальный[[#This Row],[Дата платежа из графика]]=1),MIN(LOOKUP(,-1/($Z$12:Z809=1),$C$12:C809)+LOOKUP(,-1/($Z$12:Z809=1),$H$12:H809)-IF(Z808=1,0,SUM(INDIRECT("T"&amp;(MAX((1=Z$12:Z808)*ROW(Z$12:Z808)+1,ROW($T$12))&amp;":T"&amp;(ROW()-1))))),Первоначальный[[#This Row],[Полученный платеж]]+Y808),
AND(Z808&gt;0,Первоначальный[[#This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платеж]]+Y808),
AND(S808&gt;0,MAX((0&lt;&gt;S$12:S808)*ROW(S$12:S808),ROW($S$12))&gt;=MAX((1=Z$12:Z808)*ROW(Z$12:Z808),ROW($T$12)),TYPE(VLOOKUP("Да",(INDIRECT("AA"&amp;(MAX((1=Z$12:Z808)*ROW(Z$12:Z808),ROW($T$12))&amp;":AA"&amp;(ROW()-1)))),1,0))=16),MIN(LOOKUP(,-1/($Z$12:Z809=1),$C$12:C809)+LOOKUP(,-1/($Z$12:Z809=1),$H$12:H809)-SUM(INDIRECT("T"&amp;(MAX((1=Z$12:Z808)*ROW(Z$12:Z808),ROW($T$12))&amp;":T"&amp;(ROW()-1)))),Первоначальный[[#This Row],[Полученный платеж]]+Y808),
S808&gt;0,MIN(LOOKUP(,-1/($Z$12:Z809=1),$C$12:C809)+LOOKUP(,-1/($Z$12:Z809=1),$H$12:H809)-IF(Z808=1,0,SUM(INDIRECT("T"&amp;(MAX((1=Z$12:Z808)*ROW(Z$12:Z808)+1,ROW($T$12))&amp;":T"&amp;(ROW()-1))))),Первоначальный[[#This Row],[Полученный платеж]]+Y808)
)
)
)</f>
        <v>0</v>
      </c>
      <c r="U80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платеж]]+Y808-Первоначальный[[#This Row],[Полученный платёж по процентам]])</f>
        <v>0</v>
      </c>
      <c r="V809" s="55">
        <f t="shared" ca="1" si="145"/>
        <v>0</v>
      </c>
      <c r="W809" s="55" cm="1">
        <f t="array" aca="1" ref="W809" ca="1">IF(Первоначальный[[#This Row],[Итого остаток на начало периода]]&lt;1,0,
_xlfn.IFS(
AND(TYPE(VLOOKUP(1,$Z$12:Z809,1,0))=16,Первоначальный[[#This Row],[Досрочное погашение (да/"")]]=""),0,
AND(S808=0,Первоначальный[[#This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платеж]]+Y808-SUM(Первоначальный[[#This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комиссиям]]),VLOOKUP(LOOKUP(,-1/($Z$12:Z809=1),$A$12:A809),График[[Срок конец]:[Возврат основной суммы долга]],3,0)),
AND(S808=0,Первоначальный[[#This Row],[Дата платежа из графика]]="",Первоначальный[[#This Row],[Досрочное погашение (да/"")]]&lt;&gt;"Да"),0,
AND(S808=0,Первоначальный[[#This Row],[Досрочное погашение (да/"")]]=""),MIN(Первоначальный[[#This Row],[Полученный платеж]]+Y808-SUM(Первоначальный[[#This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комиссиям]]),VLOOKUP(LOOKUP(,-1/($Z$12:Z809=1),$A$12:A809),График[[Срок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платеж]]+Y808-SUM(Первоначальный[[#This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S808&gt;0,MIN(Первоначальный[[#This Row],[Полученный платеж]]+Y808-SUM(Первоначальный[[#This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комиссиям]]),SUM(INDIRECT("M"&amp;(MAX((1=S$12:S808)*ROW(S$12:S808),ROW($W$12))&amp;":M"&amp;(ROW()))))-SUM(INDIRECT("W"&amp;(MAX((1=S$12:S808)*ROW(S$12:S808),ROW($W$12))&amp;":W"&amp;(ROW()-1)))))
)
)</f>
        <v>0</v>
      </c>
      <c r="X809" s="55">
        <f t="shared" ca="1" si="146"/>
        <v>0</v>
      </c>
      <c r="Y809" s="101">
        <f t="shared" ca="1" si="153"/>
        <v>0</v>
      </c>
      <c r="Z809" s="133" t="str">
        <f>IF(TYPE((VLOOKUP(Первоначальный[[#This Row],[Дата платежа]],График[Срок конец],1,0)))=16,"",1)</f>
        <v/>
      </c>
      <c r="AA809" s="57"/>
      <c r="AB809" s="134"/>
      <c r="AC80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0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57725.7</v>
      </c>
      <c r="AE80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2222.7799999999979</v>
      </c>
      <c r="AF80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0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123785.38481147551</v>
      </c>
      <c r="AH809" s="55"/>
      <c r="AI809" s="55"/>
      <c r="AJ809" s="55"/>
      <c r="AK809" s="101">
        <f t="shared" ca="1" si="154"/>
        <v>333367.20481147547</v>
      </c>
      <c r="AL809" s="129">
        <f t="array" ref="AL809">MAX((УслРестрактов[Характеристика]="Дата реструктуризации")*(УслРестрактов[Значение]=Первоначальный!$A809),0)</f>
        <v>0</v>
      </c>
    </row>
    <row r="810" spans="1:38" x14ac:dyDescent="0.25">
      <c r="A810" s="97">
        <f t="shared" si="147"/>
        <v>44941</v>
      </c>
      <c r="B810" s="100">
        <f t="shared" ca="1" si="148"/>
        <v>149633.34</v>
      </c>
      <c r="C810" s="55">
        <f t="shared" ca="1" si="156"/>
        <v>57725.7</v>
      </c>
      <c r="D810" s="55">
        <f t="shared" ca="1" si="156"/>
        <v>2222.7799999999979</v>
      </c>
      <c r="E810" s="55">
        <f t="shared" ca="1" si="149"/>
        <v>0</v>
      </c>
      <c r="F810" s="55">
        <f t="shared" ca="1" si="150"/>
        <v>123785.38481147551</v>
      </c>
      <c r="G810" s="101">
        <f t="shared" ca="1" si="151"/>
        <v>333367.20481147547</v>
      </c>
      <c r="H810" s="100">
        <f ca="1">ROUND($B810*VLOOKUP($A810,$A$1:$B$10,2,1)/(365+IF(MOD(YEAR($A810),4),0,1)*($A810-$A809)),2)-Первоначальный[[#This Row],[Проценты на просроченный платеж по ОД за период]]</f>
        <v>74.95</v>
      </c>
      <c r="I810" s="55">
        <f t="shared" ca="1" si="152"/>
        <v>6.63</v>
      </c>
      <c r="J810" s="55">
        <v>0</v>
      </c>
      <c r="K810" s="55">
        <f t="shared" ca="1" si="155"/>
        <v>347.57350327868846</v>
      </c>
      <c r="L810" s="55">
        <v>0</v>
      </c>
      <c r="M810" s="113">
        <f>SUMIFS(График[Возврат основной суммы долга],График[Дата с учетом нерабочих дней],$A810)</f>
        <v>0</v>
      </c>
      <c r="N810" s="56">
        <f>SUMIFS(График[Возврат начисленных %],График[Дата с учетом нерабочих дней],$A810)</f>
        <v>0</v>
      </c>
      <c r="O810" s="101">
        <v>0</v>
      </c>
      <c r="P810" s="100" cm="1">
        <f t="array" aca="1" ref="P810" ca="1">MAX(IF(AA809="Да",0,SUM(INDIRECT("M"&amp;(MAX(("Да"=AA$12:AA809)*ROW(AA$12:AA809)+1,ROW($P$12))&amp;":M"&amp;(ROW()))))-SUM(INDIRECT("W"&amp;(MAX(("Да"=AA$12:AA809)*ROW(AA$12:AA809)+1,ROW($P$12))&amp;":W"&amp;(ROW()))))),0)</f>
        <v>12165.97</v>
      </c>
      <c r="Q810" s="99">
        <f ca="1">MAX(SUM($N$13:N810)-SUM($T$13:T810),0)</f>
        <v>57348.730655737687</v>
      </c>
      <c r="R810" s="99">
        <f ca="1">Первоначальный[[#This Row],[Просроченный платеж по ОД]]+Первоначальный[[#This Row],[Просроченный платеж по процентам]]</f>
        <v>69514.700655737688</v>
      </c>
      <c r="S810" s="120">
        <f ca="1">IF(Первоначальный[[#This Row],[Просроченный платеж]]&lt;1,0,S809+1)</f>
        <v>706</v>
      </c>
      <c r="T810" s="100" cm="1">
        <f t="array" aca="1" ref="T810" ca="1">IF(Первоначальный[[#This Row],[Итого остаток на начало периода]]&lt;1,0,
IF(
AND(TYPE(VLOOKUP(1,$Z$12:Z810,1,0))=16,Первоначальный[[#This Row],[Досрочное погашение (да/"")]]=""),0,
_xlfn.IFS(AND(S809=0,Первоначальный[[#This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платеж]]&lt;&gt;0),MIN(LOOKUP(,-1/($Z$12:Z810=1),$C$12:C810)+LOOKUP(,-1/($Z$12:Z810=1),$H$12:H810),Первоначальный[[#This Row],[Полученный платеж]]+Y809),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платеж]]+Y809,SUM(Первоначальный[[#This Row],[Остаток процентов на начало периода]],Первоначальный[[#This Row],[Проценты за период]])),
AND(S809=0,Первоначальный[[#This Row],[Дата платежа из графика]]=""),0,
AND(S809=0,Первоначальный[[#This Row],[Дата платежа из графика]]=1,MAX((0&lt;&gt;S$12:S809)*ROW(S$12:S809),ROW($S$12))&gt;=MAX((1=Z$12:Z809)*ROW(Z$12:Z809),ROW($T$12)),TYPE(VLOOKUP("Да",(INDIRECT("AA"&amp;(MAX((1=Z$12:Z809)*ROW(Z$12:Z809),ROW($T$12))&amp;":AA"&amp;(ROW()-1)))),1,0))=16),MIN(LOOKUP(,-1/($Z$12:Z810=1),$C$12:C810)+LOOKUP(,-1/($Z$12:Z810=1),$H$12:H810),Первоначальный[[#This Row],[Полученный платеж]]+Y809),
AND(S809=0,TYPE(VLOOKUP("Да",(INDIRECT("AA"&amp;(MAX((1=Z$12:Z809)*ROW(Z$12:Z809),ROW($T$12))&amp;":AA"&amp;(ROW()-1)))),1,0))&lt;&gt;16),MIN(LOOKUP(,-1/($Z$12:Z810=1),$C$12:C810)+LOOKUP(,-1/($Z$12:Z810=1),$H$12:H810)-IF(AA809="Да",0,SUM(INDIRECT("T"&amp;(MAX(("Да"=AA$12:AA809)*ROW(AA$12:AA809)+1,ROW($T$12))&amp;":T"&amp;(ROW()-1))))),Первоначальный[[#This Row],[Полученный платеж]]+Y809),
AND(S809=0,MAX((0&lt;&gt;N$12:N809)*ROW(N$12:N809),ROW($S$12))&gt;=MAX((1=Z$12:Z809)*ROW(Z$12:Z809),ROW($T$12))),MIN(LOOKUP(,-1/($Z$12:Z810=1),$C$12:C810)+LOOKUP(,-1/($Z$12:Z810=1),$H$12:H810)-IF(N809&lt;&gt;0,0,SUM(INDIRECT("T"&amp;(MAX((0&lt;&gt;N$12:N809)*ROW(N$12:N809)+1,ROW($T$12))&amp;":T"&amp;(ROW()-1))))),Первоначальный[[#This Row],[Полученный платеж]]+Y809),
AND(S809=0,Первоначальный[[#This Row],[Дата платежа из графика]]=1),MIN(LOOKUP(,-1/($Z$12:Z810=1),$C$12:C810)+LOOKUP(,-1/($Z$12:Z810=1),$H$12:H810)-IF(Z809=1,0,SUM(INDIRECT("T"&amp;(MAX((1=Z$12:Z809)*ROW(Z$12:Z809)+1,ROW($T$12))&amp;":T"&amp;(ROW()-1))))),Первоначальный[[#This Row],[Полученный платеж]]+Y809),
AND(Z809&gt;0,Первоначальный[[#This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платеж]]+Y809),
AND(S809&gt;0,MAX((0&lt;&gt;S$12:S809)*ROW(S$12:S809),ROW($S$12))&gt;=MAX((1=Z$12:Z809)*ROW(Z$12:Z809),ROW($T$12)),TYPE(VLOOKUP("Да",(INDIRECT("AA"&amp;(MAX((1=Z$12:Z809)*ROW(Z$12:Z809),ROW($T$12))&amp;":AA"&amp;(ROW()-1)))),1,0))=16),MIN(LOOKUP(,-1/($Z$12:Z810=1),$C$12:C810)+LOOKUP(,-1/($Z$12:Z810=1),$H$12:H810)-SUM(INDIRECT("T"&amp;(MAX((1=Z$12:Z809)*ROW(Z$12:Z809),ROW($T$12))&amp;":T"&amp;(ROW()-1)))),Первоначальный[[#This Row],[Полученный платеж]]+Y809),
S809&gt;0,MIN(LOOKUP(,-1/($Z$12:Z810=1),$C$12:C810)+LOOKUP(,-1/($Z$12:Z810=1),$H$12:H810)-IF(Z809=1,0,SUM(INDIRECT("T"&amp;(MAX((1=Z$12:Z809)*ROW(Z$12:Z809)+1,ROW($T$12))&amp;":T"&amp;(ROW()-1))))),Первоначальный[[#This Row],[Полученный платеж]]+Y809)
)
)
)</f>
        <v>0</v>
      </c>
      <c r="U81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платеж]]+Y809-Первоначальный[[#This Row],[Полученный платёж по процентам]])</f>
        <v>0</v>
      </c>
      <c r="V810" s="55">
        <f t="shared" ca="1" si="145"/>
        <v>0</v>
      </c>
      <c r="W810" s="55" cm="1">
        <f t="array" aca="1" ref="W810" ca="1">IF(Первоначальный[[#This Row],[Итого остаток на начало периода]]&lt;1,0,
_xlfn.IFS(
AND(TYPE(VLOOKUP(1,$Z$12:Z810,1,0))=16,Первоначальный[[#This Row],[Досрочное погашение (да/"")]]=""),0,
AND(S809=0,Первоначальный[[#This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платеж]]+Y809-SUM(Первоначальный[[#This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комиссиям]]),VLOOKUP(LOOKUP(,-1/($Z$12:Z810=1),$A$12:A810),График[[Срок конец]:[Возврат основной суммы долга]],3,0)),
AND(S809=0,Первоначальный[[#This Row],[Дата платежа из графика]]="",Первоначальный[[#This Row],[Досрочное погашение (да/"")]]&lt;&gt;"Да"),0,
AND(S809=0,Первоначальный[[#This Row],[Досрочное погашение (да/"")]]=""),MIN(Первоначальный[[#This Row],[Полученный платеж]]+Y809-SUM(Первоначальный[[#This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комиссиям]]),VLOOKUP(LOOKUP(,-1/($Z$12:Z810=1),$A$12:A810),График[[Срок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платеж]]+Y809-SUM(Первоначальный[[#This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S809&gt;0,MIN(Первоначальный[[#This Row],[Полученный платеж]]+Y809-SUM(Первоначальный[[#This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комиссиям]]),SUM(INDIRECT("M"&amp;(MAX((1=S$12:S809)*ROW(S$12:S809),ROW($W$12))&amp;":M"&amp;(ROW()))))-SUM(INDIRECT("W"&amp;(MAX((1=S$12:S809)*ROW(S$12:S809),ROW($W$12))&amp;":W"&amp;(ROW()-1)))))
)
)</f>
        <v>0</v>
      </c>
      <c r="X810" s="55">
        <f t="shared" ca="1" si="146"/>
        <v>0</v>
      </c>
      <c r="Y810" s="101">
        <f t="shared" ca="1" si="153"/>
        <v>0</v>
      </c>
      <c r="Z810" s="133" t="str">
        <f>IF(TYPE((VLOOKUP(Первоначальный[[#This Row],[Дата платежа]],График[Срок конец],1,0)))=16,"",1)</f>
        <v/>
      </c>
      <c r="AA810" s="57"/>
      <c r="AB810" s="134"/>
      <c r="AC81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1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57800.649999999994</v>
      </c>
      <c r="AE81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2229.409999999998</v>
      </c>
      <c r="AF81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1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124132.9583147542</v>
      </c>
      <c r="AH810" s="55"/>
      <c r="AI810" s="55"/>
      <c r="AJ810" s="55"/>
      <c r="AK810" s="101">
        <f t="shared" ca="1" si="154"/>
        <v>333796.35831475421</v>
      </c>
      <c r="AL810" s="129">
        <f t="array" ref="AL810">MAX((УслРестрактов[Характеристика]="Дата реструктуризации")*(УслРестрактов[Значение]=Первоначальный!$A810),0)</f>
        <v>0</v>
      </c>
    </row>
    <row r="811" spans="1:38" x14ac:dyDescent="0.25">
      <c r="A811" s="97">
        <f t="shared" si="147"/>
        <v>44942</v>
      </c>
      <c r="B811" s="100">
        <f t="shared" ca="1" si="148"/>
        <v>149633.34</v>
      </c>
      <c r="C811" s="55">
        <f t="shared" ca="1" si="156"/>
        <v>57800.649999999994</v>
      </c>
      <c r="D811" s="55">
        <f t="shared" ca="1" si="156"/>
        <v>2229.409999999998</v>
      </c>
      <c r="E811" s="55">
        <f t="shared" ca="1" si="149"/>
        <v>0</v>
      </c>
      <c r="F811" s="55">
        <f t="shared" ca="1" si="150"/>
        <v>124132.9583147542</v>
      </c>
      <c r="G811" s="101">
        <f t="shared" ca="1" si="151"/>
        <v>333796.35831475421</v>
      </c>
      <c r="H811" s="100">
        <f ca="1">ROUND($B811*VLOOKUP($A811,$A$1:$B$10,2,1)/(365+IF(MOD(YEAR($A811),4),0,1)*($A811-$A810)),2)-Первоначальный[[#This Row],[Проценты на просроченный платеж по ОД за период]]</f>
        <v>74.95</v>
      </c>
      <c r="I811" s="55">
        <f t="shared" ca="1" si="152"/>
        <v>6.63</v>
      </c>
      <c r="J811" s="55">
        <v>0</v>
      </c>
      <c r="K811" s="55">
        <f t="shared" ca="1" si="155"/>
        <v>347.57350327868846</v>
      </c>
      <c r="L811" s="55">
        <v>0</v>
      </c>
      <c r="M811" s="113">
        <f>SUMIFS(График[Возврат основной суммы долга],График[Дата с учетом нерабочих дней],$A811)</f>
        <v>0</v>
      </c>
      <c r="N811" s="56">
        <f>SUMIFS(График[Возврат начисленных %],График[Дата с учетом нерабочих дней],$A811)</f>
        <v>0</v>
      </c>
      <c r="O811" s="101">
        <v>0</v>
      </c>
      <c r="P811" s="100" cm="1">
        <f t="array" aca="1" ref="P811" ca="1">MAX(IF(AA810="Да",0,SUM(INDIRECT("M"&amp;(MAX(("Да"=AA$12:AA810)*ROW(AA$12:AA810)+1,ROW($P$12))&amp;":M"&amp;(ROW()))))-SUM(INDIRECT("W"&amp;(MAX(("Да"=AA$12:AA810)*ROW(AA$12:AA810)+1,ROW($P$12))&amp;":W"&amp;(ROW()))))),0)</f>
        <v>12165.97</v>
      </c>
      <c r="Q811" s="99">
        <f ca="1">MAX(SUM($N$13:N811)-SUM($T$13:T811),0)</f>
        <v>57348.730655737687</v>
      </c>
      <c r="R811" s="99">
        <f ca="1">Первоначальный[[#This Row],[Просроченный платеж по ОД]]+Первоначальный[[#This Row],[Просроченный платеж по процентам]]</f>
        <v>69514.700655737688</v>
      </c>
      <c r="S811" s="120">
        <f ca="1">IF(Первоначальный[[#This Row],[Просроченный платеж]]&lt;1,0,S810+1)</f>
        <v>707</v>
      </c>
      <c r="T811" s="100" cm="1">
        <f t="array" aca="1" ref="T811" ca="1">IF(Первоначальный[[#This Row],[Итого остаток на начало периода]]&lt;1,0,
IF(
AND(TYPE(VLOOKUP(1,$Z$12:Z811,1,0))=16,Первоначальный[[#This Row],[Досрочное погашение (да/"")]]=""),0,
_xlfn.IFS(AND(S810=0,Первоначальный[[#This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платеж]]&lt;&gt;0),MIN(LOOKUP(,-1/($Z$12:Z811=1),$C$12:C811)+LOOKUP(,-1/($Z$12:Z811=1),$H$12:H811),Первоначальный[[#This Row],[Полученный платеж]]+Y810),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платеж]]+Y810,SUM(Первоначальный[[#This Row],[Остаток процентов на начало периода]],Первоначальный[[#This Row],[Проценты за период]])),
AND(S810=0,Первоначальный[[#This Row],[Дата платежа из графика]]=""),0,
AND(S810=0,Первоначальный[[#This Row],[Дата платежа из графика]]=1,MAX((0&lt;&gt;S$12:S810)*ROW(S$12:S810),ROW($S$12))&gt;=MAX((1=Z$12:Z810)*ROW(Z$12:Z810),ROW($T$12)),TYPE(VLOOKUP("Да",(INDIRECT("AA"&amp;(MAX((1=Z$12:Z810)*ROW(Z$12:Z810),ROW($T$12))&amp;":AA"&amp;(ROW()-1)))),1,0))=16),MIN(LOOKUP(,-1/($Z$12:Z811=1),$C$12:C811)+LOOKUP(,-1/($Z$12:Z811=1),$H$12:H811),Первоначальный[[#This Row],[Полученный платеж]]+Y810),
AND(S810=0,TYPE(VLOOKUP("Да",(INDIRECT("AA"&amp;(MAX((1=Z$12:Z810)*ROW(Z$12:Z810),ROW($T$12))&amp;":AA"&amp;(ROW()-1)))),1,0))&lt;&gt;16),MIN(LOOKUP(,-1/($Z$12:Z811=1),$C$12:C811)+LOOKUP(,-1/($Z$12:Z811=1),$H$12:H811)-IF(AA810="Да",0,SUM(INDIRECT("T"&amp;(MAX(("Да"=AA$12:AA810)*ROW(AA$12:AA810)+1,ROW($T$12))&amp;":T"&amp;(ROW()-1))))),Первоначальный[[#This Row],[Полученный платеж]]+Y810),
AND(S810=0,MAX((0&lt;&gt;N$12:N810)*ROW(N$12:N810),ROW($S$12))&gt;=MAX((1=Z$12:Z810)*ROW(Z$12:Z810),ROW($T$12))),MIN(LOOKUP(,-1/($Z$12:Z811=1),$C$12:C811)+LOOKUP(,-1/($Z$12:Z811=1),$H$12:H811)-IF(N810&lt;&gt;0,0,SUM(INDIRECT("T"&amp;(MAX((0&lt;&gt;N$12:N810)*ROW(N$12:N810)+1,ROW($T$12))&amp;":T"&amp;(ROW()-1))))),Первоначальный[[#This Row],[Полученный платеж]]+Y810),
AND(S810=0,Первоначальный[[#This Row],[Дата платежа из графика]]=1),MIN(LOOKUP(,-1/($Z$12:Z811=1),$C$12:C811)+LOOKUP(,-1/($Z$12:Z811=1),$H$12:H811)-IF(Z810=1,0,SUM(INDIRECT("T"&amp;(MAX((1=Z$12:Z810)*ROW(Z$12:Z810)+1,ROW($T$12))&amp;":T"&amp;(ROW()-1))))),Первоначальный[[#This Row],[Полученный платеж]]+Y810),
AND(Z810&gt;0,Первоначальный[[#This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платеж]]+Y810),
AND(S810&gt;0,MAX((0&lt;&gt;S$12:S810)*ROW(S$12:S810),ROW($S$12))&gt;=MAX((1=Z$12:Z810)*ROW(Z$12:Z810),ROW($T$12)),TYPE(VLOOKUP("Да",(INDIRECT("AA"&amp;(MAX((1=Z$12:Z810)*ROW(Z$12:Z810),ROW($T$12))&amp;":AA"&amp;(ROW()-1)))),1,0))=16),MIN(LOOKUP(,-1/($Z$12:Z811=1),$C$12:C811)+LOOKUP(,-1/($Z$12:Z811=1),$H$12:H811)-SUM(INDIRECT("T"&amp;(MAX((1=Z$12:Z810)*ROW(Z$12:Z810),ROW($T$12))&amp;":T"&amp;(ROW()-1)))),Первоначальный[[#This Row],[Полученный платеж]]+Y810),
S810&gt;0,MIN(LOOKUP(,-1/($Z$12:Z811=1),$C$12:C811)+LOOKUP(,-1/($Z$12:Z811=1),$H$12:H811)-IF(Z810=1,0,SUM(INDIRECT("T"&amp;(MAX((1=Z$12:Z810)*ROW(Z$12:Z810)+1,ROW($T$12))&amp;":T"&amp;(ROW()-1))))),Первоначальный[[#This Row],[Полученный платеж]]+Y810)
)
)
)</f>
        <v>0</v>
      </c>
      <c r="U81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платеж]]+Y810-Первоначальный[[#This Row],[Полученный платёж по процентам]])</f>
        <v>0</v>
      </c>
      <c r="V811" s="55">
        <f t="shared" ca="1" si="145"/>
        <v>0</v>
      </c>
      <c r="W811" s="55" cm="1">
        <f t="array" aca="1" ref="W811" ca="1">IF(Первоначальный[[#This Row],[Итого остаток на начало периода]]&lt;1,0,
_xlfn.IFS(
AND(TYPE(VLOOKUP(1,$Z$12:Z811,1,0))=16,Первоначальный[[#This Row],[Досрочное погашение (да/"")]]=""),0,
AND(S810=0,Первоначальный[[#This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платеж]]+Y810-SUM(Первоначальный[[#This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комиссиям]]),VLOOKUP(LOOKUP(,-1/($Z$12:Z811=1),$A$12:A811),График[[Срок конец]:[Возврат основной суммы долга]],3,0)),
AND(S810=0,Первоначальный[[#This Row],[Дата платежа из графика]]="",Первоначальный[[#This Row],[Досрочное погашение (да/"")]]&lt;&gt;"Да"),0,
AND(S810=0,Первоначальный[[#This Row],[Досрочное погашение (да/"")]]=""),MIN(Первоначальный[[#This Row],[Полученный платеж]]+Y810-SUM(Первоначальный[[#This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комиссиям]]),VLOOKUP(LOOKUP(,-1/($Z$12:Z811=1),$A$12:A811),График[[Срок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платеж]]+Y810-SUM(Первоначальный[[#This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S810&gt;0,MIN(Первоначальный[[#This Row],[Полученный платеж]]+Y810-SUM(Первоначальный[[#This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комиссиям]]),SUM(INDIRECT("M"&amp;(MAX((1=S$12:S810)*ROW(S$12:S810),ROW($W$12))&amp;":M"&amp;(ROW()))))-SUM(INDIRECT("W"&amp;(MAX((1=S$12:S810)*ROW(S$12:S810),ROW($W$12))&amp;":W"&amp;(ROW()-1)))))
)
)</f>
        <v>0</v>
      </c>
      <c r="X811" s="55">
        <f t="shared" ca="1" si="146"/>
        <v>0</v>
      </c>
      <c r="Y811" s="101">
        <f t="shared" ca="1" si="153"/>
        <v>0</v>
      </c>
      <c r="Z811" s="133" t="str">
        <f>IF(TYPE((VLOOKUP(Первоначальный[[#This Row],[Дата платежа]],График[Срок конец],1,0)))=16,"",1)</f>
        <v/>
      </c>
      <c r="AA811" s="57"/>
      <c r="AB811" s="134"/>
      <c r="AC81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1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57875.599999999991</v>
      </c>
      <c r="AE81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2236.0399999999981</v>
      </c>
      <c r="AF81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1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124480.53181803289</v>
      </c>
      <c r="AH811" s="55"/>
      <c r="AI811" s="55"/>
      <c r="AJ811" s="55"/>
      <c r="AK811" s="101">
        <f t="shared" ca="1" si="154"/>
        <v>334225.51181803289</v>
      </c>
      <c r="AL811" s="129">
        <f t="array" ref="AL811">MAX((УслРестрактов[Характеристика]="Дата реструктуризации")*(УслРестрактов[Значение]=Первоначальный!$A811),0)</f>
        <v>0</v>
      </c>
    </row>
    <row r="812" spans="1:38" x14ac:dyDescent="0.25">
      <c r="A812" s="97">
        <f t="shared" si="147"/>
        <v>44943</v>
      </c>
      <c r="B812" s="100">
        <f t="shared" ca="1" si="148"/>
        <v>149633.34</v>
      </c>
      <c r="C812" s="55">
        <f t="shared" ca="1" si="156"/>
        <v>57875.599999999991</v>
      </c>
      <c r="D812" s="55">
        <f t="shared" ca="1" si="156"/>
        <v>2236.0399999999981</v>
      </c>
      <c r="E812" s="55">
        <f t="shared" ca="1" si="149"/>
        <v>0</v>
      </c>
      <c r="F812" s="55">
        <f t="shared" ca="1" si="150"/>
        <v>124480.53181803289</v>
      </c>
      <c r="G812" s="101">
        <f t="shared" ca="1" si="151"/>
        <v>334225.51181803289</v>
      </c>
      <c r="H812" s="100">
        <f ca="1">ROUND($B812*VLOOKUP($A812,$A$1:$B$10,2,1)/(365+IF(MOD(YEAR($A812),4),0,1)*($A812-$A811)),2)-Первоначальный[[#This Row],[Проценты на просроченный платеж по ОД за период]]</f>
        <v>74.95</v>
      </c>
      <c r="I812" s="55">
        <f t="shared" ca="1" si="152"/>
        <v>6.63</v>
      </c>
      <c r="J812" s="55">
        <v>0</v>
      </c>
      <c r="K812" s="55">
        <f t="shared" ca="1" si="155"/>
        <v>347.57350327868846</v>
      </c>
      <c r="L812" s="55">
        <v>0</v>
      </c>
      <c r="M812" s="113">
        <f>SUMIFS(График[Возврат основной суммы долга],График[Дата с учетом нерабочих дней],$A812)</f>
        <v>0</v>
      </c>
      <c r="N812" s="56">
        <f>SUMIFS(График[Возврат начисленных %],График[Дата с учетом нерабочих дней],$A812)</f>
        <v>0</v>
      </c>
      <c r="O812" s="101">
        <v>0</v>
      </c>
      <c r="P812" s="100" cm="1">
        <f t="array" aca="1" ref="P812" ca="1">MAX(IF(AA811="Да",0,SUM(INDIRECT("M"&amp;(MAX(("Да"=AA$12:AA811)*ROW(AA$12:AA811)+1,ROW($P$12))&amp;":M"&amp;(ROW()))))-SUM(INDIRECT("W"&amp;(MAX(("Да"=AA$12:AA811)*ROW(AA$12:AA811)+1,ROW($P$12))&amp;":W"&amp;(ROW()))))),0)</f>
        <v>12165.97</v>
      </c>
      <c r="Q812" s="99">
        <f ca="1">MAX(SUM($N$13:N812)-SUM($T$13:T812),0)</f>
        <v>57348.730655737687</v>
      </c>
      <c r="R812" s="99">
        <f ca="1">Первоначальный[[#This Row],[Просроченный платеж по ОД]]+Первоначальный[[#This Row],[Просроченный платеж по процентам]]</f>
        <v>69514.700655737688</v>
      </c>
      <c r="S812" s="120">
        <f ca="1">IF(Первоначальный[[#This Row],[Просроченный платеж]]&lt;1,0,S811+1)</f>
        <v>708</v>
      </c>
      <c r="T812" s="100" cm="1">
        <f t="array" aca="1" ref="T812" ca="1">IF(Первоначальный[[#This Row],[Итого остаток на начало периода]]&lt;1,0,
IF(
AND(TYPE(VLOOKUP(1,$Z$12:Z812,1,0))=16,Первоначальный[[#This Row],[Досрочное погашение (да/"")]]=""),0,
_xlfn.IFS(AND(S811=0,Первоначальный[[#This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платеж]]&lt;&gt;0),MIN(LOOKUP(,-1/($Z$12:Z812=1),$C$12:C812)+LOOKUP(,-1/($Z$12:Z812=1),$H$12:H812),Первоначальный[[#This Row],[Полученный платеж]]+Y811),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платеж]]+Y811,SUM(Первоначальный[[#This Row],[Остаток процентов на начало периода]],Первоначальный[[#This Row],[Проценты за период]])),
AND(S811=0,Первоначальный[[#This Row],[Дата платежа из графика]]=""),0,
AND(S811=0,Первоначальный[[#This Row],[Дата платежа из графика]]=1,MAX((0&lt;&gt;S$12:S811)*ROW(S$12:S811),ROW($S$12))&gt;=MAX((1=Z$12:Z811)*ROW(Z$12:Z811),ROW($T$12)),TYPE(VLOOKUP("Да",(INDIRECT("AA"&amp;(MAX((1=Z$12:Z811)*ROW(Z$12:Z811),ROW($T$12))&amp;":AA"&amp;(ROW()-1)))),1,0))=16),MIN(LOOKUP(,-1/($Z$12:Z812=1),$C$12:C812)+LOOKUP(,-1/($Z$12:Z812=1),$H$12:H812),Первоначальный[[#This Row],[Полученный платеж]]+Y811),
AND(S811=0,TYPE(VLOOKUP("Да",(INDIRECT("AA"&amp;(MAX((1=Z$12:Z811)*ROW(Z$12:Z811),ROW($T$12))&amp;":AA"&amp;(ROW()-1)))),1,0))&lt;&gt;16),MIN(LOOKUP(,-1/($Z$12:Z812=1),$C$12:C812)+LOOKUP(,-1/($Z$12:Z812=1),$H$12:H812)-IF(AA811="Да",0,SUM(INDIRECT("T"&amp;(MAX(("Да"=AA$12:AA811)*ROW(AA$12:AA811)+1,ROW($T$12))&amp;":T"&amp;(ROW()-1))))),Первоначальный[[#This Row],[Полученный платеж]]+Y811),
AND(S811=0,MAX((0&lt;&gt;N$12:N811)*ROW(N$12:N811),ROW($S$12))&gt;=MAX((1=Z$12:Z811)*ROW(Z$12:Z811),ROW($T$12))),MIN(LOOKUP(,-1/($Z$12:Z812=1),$C$12:C812)+LOOKUP(,-1/($Z$12:Z812=1),$H$12:H812)-IF(N811&lt;&gt;0,0,SUM(INDIRECT("T"&amp;(MAX((0&lt;&gt;N$12:N811)*ROW(N$12:N811)+1,ROW($T$12))&amp;":T"&amp;(ROW()-1))))),Первоначальный[[#This Row],[Полученный платеж]]+Y811),
AND(S811=0,Первоначальный[[#This Row],[Дата платежа из графика]]=1),MIN(LOOKUP(,-1/($Z$12:Z812=1),$C$12:C812)+LOOKUP(,-1/($Z$12:Z812=1),$H$12:H812)-IF(Z811=1,0,SUM(INDIRECT("T"&amp;(MAX((1=Z$12:Z811)*ROW(Z$12:Z811)+1,ROW($T$12))&amp;":T"&amp;(ROW()-1))))),Первоначальный[[#This Row],[Полученный платеж]]+Y811),
AND(Z811&gt;0,Первоначальный[[#This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платеж]]+Y811),
AND(S811&gt;0,MAX((0&lt;&gt;S$12:S811)*ROW(S$12:S811),ROW($S$12))&gt;=MAX((1=Z$12:Z811)*ROW(Z$12:Z811),ROW($T$12)),TYPE(VLOOKUP("Да",(INDIRECT("AA"&amp;(MAX((1=Z$12:Z811)*ROW(Z$12:Z811),ROW($T$12))&amp;":AA"&amp;(ROW()-1)))),1,0))=16),MIN(LOOKUP(,-1/($Z$12:Z812=1),$C$12:C812)+LOOKUP(,-1/($Z$12:Z812=1),$H$12:H812)-SUM(INDIRECT("T"&amp;(MAX((1=Z$12:Z811)*ROW(Z$12:Z811),ROW($T$12))&amp;":T"&amp;(ROW()-1)))),Первоначальный[[#This Row],[Полученный платеж]]+Y811),
S811&gt;0,MIN(LOOKUP(,-1/($Z$12:Z812=1),$C$12:C812)+LOOKUP(,-1/($Z$12:Z812=1),$H$12:H812)-IF(Z811=1,0,SUM(INDIRECT("T"&amp;(MAX((1=Z$12:Z811)*ROW(Z$12:Z811)+1,ROW($T$12))&amp;":T"&amp;(ROW()-1))))),Первоначальный[[#This Row],[Полученный платеж]]+Y811)
)
)
)</f>
        <v>0</v>
      </c>
      <c r="U81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платеж]]+Y811-Первоначальный[[#This Row],[Полученный платёж по процентам]])</f>
        <v>0</v>
      </c>
      <c r="V812" s="55">
        <f t="shared" ca="1" si="145"/>
        <v>0</v>
      </c>
      <c r="W812" s="55" cm="1">
        <f t="array" aca="1" ref="W812" ca="1">IF(Первоначальный[[#This Row],[Итого остаток на начало периода]]&lt;1,0,
_xlfn.IFS(
AND(TYPE(VLOOKUP(1,$Z$12:Z812,1,0))=16,Первоначальный[[#This Row],[Досрочное погашение (да/"")]]=""),0,
AND(S811=0,Первоначальный[[#This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платеж]]+Y811-SUM(Первоначальный[[#This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комиссиям]]),VLOOKUP(LOOKUP(,-1/($Z$12:Z812=1),$A$12:A812),График[[Срок конец]:[Возврат основной суммы долга]],3,0)),
AND(S811=0,Первоначальный[[#This Row],[Дата платежа из графика]]="",Первоначальный[[#This Row],[Досрочное погашение (да/"")]]&lt;&gt;"Да"),0,
AND(S811=0,Первоначальный[[#This Row],[Досрочное погашение (да/"")]]=""),MIN(Первоначальный[[#This Row],[Полученный платеж]]+Y811-SUM(Первоначальный[[#This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комиссиям]]),VLOOKUP(LOOKUP(,-1/($Z$12:Z812=1),$A$12:A812),График[[Срок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платеж]]+Y811-SUM(Первоначальный[[#This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S811&gt;0,MIN(Первоначальный[[#This Row],[Полученный платеж]]+Y811-SUM(Первоначальный[[#This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комиссиям]]),SUM(INDIRECT("M"&amp;(MAX((1=S$12:S811)*ROW(S$12:S811),ROW($W$12))&amp;":M"&amp;(ROW()))))-SUM(INDIRECT("W"&amp;(MAX((1=S$12:S811)*ROW(S$12:S811),ROW($W$12))&amp;":W"&amp;(ROW()-1)))))
)
)</f>
        <v>0</v>
      </c>
      <c r="X812" s="55">
        <f t="shared" ca="1" si="146"/>
        <v>0</v>
      </c>
      <c r="Y812" s="101">
        <f t="shared" ca="1" si="153"/>
        <v>0</v>
      </c>
      <c r="Z812" s="133" t="str">
        <f>IF(TYPE((VLOOKUP(Первоначальный[[#This Row],[Дата платежа]],График[Срок конец],1,0)))=16,"",1)</f>
        <v/>
      </c>
      <c r="AA812" s="57"/>
      <c r="AB812" s="134"/>
      <c r="AC81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1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57950.549999999988</v>
      </c>
      <c r="AE81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2242.6699999999983</v>
      </c>
      <c r="AF81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1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124828.10532131158</v>
      </c>
      <c r="AH812" s="55"/>
      <c r="AI812" s="55"/>
      <c r="AJ812" s="55"/>
      <c r="AK812" s="101">
        <f t="shared" ca="1" si="154"/>
        <v>334654.66532131156</v>
      </c>
      <c r="AL812" s="129">
        <f t="array" ref="AL812">MAX((УслРестрактов[Характеристика]="Дата реструктуризации")*(УслРестрактов[Значение]=Первоначальный!$A812),0)</f>
        <v>0</v>
      </c>
    </row>
    <row r="813" spans="1:38" x14ac:dyDescent="0.25">
      <c r="A813" s="97">
        <f t="shared" si="147"/>
        <v>44944</v>
      </c>
      <c r="B813" s="100">
        <f t="shared" ca="1" si="148"/>
        <v>149633.34</v>
      </c>
      <c r="C813" s="55">
        <f t="shared" ca="1" si="156"/>
        <v>57950.549999999988</v>
      </c>
      <c r="D813" s="55">
        <f t="shared" ca="1" si="156"/>
        <v>2242.6699999999983</v>
      </c>
      <c r="E813" s="55">
        <f t="shared" ca="1" si="149"/>
        <v>0</v>
      </c>
      <c r="F813" s="55">
        <f t="shared" ca="1" si="150"/>
        <v>124828.10532131158</v>
      </c>
      <c r="G813" s="101">
        <f t="shared" ca="1" si="151"/>
        <v>334654.66532131156</v>
      </c>
      <c r="H813" s="100">
        <f ca="1">ROUND($B813*VLOOKUP($A813,$A$1:$B$10,2,1)/(365+IF(MOD(YEAR($A813),4),0,1)*($A813-$A812)),2)-Первоначальный[[#This Row],[Проценты на просроченный платеж по ОД за период]]</f>
        <v>74.95</v>
      </c>
      <c r="I813" s="55">
        <f t="shared" ca="1" si="152"/>
        <v>6.63</v>
      </c>
      <c r="J813" s="55">
        <v>0</v>
      </c>
      <c r="K813" s="55">
        <f t="shared" ca="1" si="155"/>
        <v>347.57350327868846</v>
      </c>
      <c r="L813" s="55">
        <v>0</v>
      </c>
      <c r="M813" s="113">
        <f>SUMIFS(График[Возврат основной суммы долга],График[Дата с учетом нерабочих дней],$A813)</f>
        <v>0</v>
      </c>
      <c r="N813" s="56">
        <f>SUMIFS(График[Возврат начисленных %],График[Дата с учетом нерабочих дней],$A813)</f>
        <v>0</v>
      </c>
      <c r="O813" s="101">
        <v>0</v>
      </c>
      <c r="P813" s="100" cm="1">
        <f t="array" aca="1" ref="P813" ca="1">MAX(IF(AA812="Да",0,SUM(INDIRECT("M"&amp;(MAX(("Да"=AA$12:AA812)*ROW(AA$12:AA812)+1,ROW($P$12))&amp;":M"&amp;(ROW()))))-SUM(INDIRECT("W"&amp;(MAX(("Да"=AA$12:AA812)*ROW(AA$12:AA812)+1,ROW($P$12))&amp;":W"&amp;(ROW()))))),0)</f>
        <v>12165.97</v>
      </c>
      <c r="Q813" s="99">
        <f ca="1">MAX(SUM($N$13:N813)-SUM($T$13:T813),0)</f>
        <v>57348.730655737687</v>
      </c>
      <c r="R813" s="99">
        <f ca="1">Первоначальный[[#This Row],[Просроченный платеж по ОД]]+Первоначальный[[#This Row],[Просроченный платеж по процентам]]</f>
        <v>69514.700655737688</v>
      </c>
      <c r="S813" s="120">
        <f ca="1">IF(Первоначальный[[#This Row],[Просроченный платеж]]&lt;1,0,S812+1)</f>
        <v>709</v>
      </c>
      <c r="T813" s="100" cm="1">
        <f t="array" aca="1" ref="T813" ca="1">IF(Первоначальный[[#This Row],[Итого остаток на начало периода]]&lt;1,0,
IF(
AND(TYPE(VLOOKUP(1,$Z$12:Z813,1,0))=16,Первоначальный[[#This Row],[Досрочное погашение (да/"")]]=""),0,
_xlfn.IFS(AND(S812=0,Первоначальный[[#This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платеж]]&lt;&gt;0),MIN(LOOKUP(,-1/($Z$12:Z813=1),$C$12:C813)+LOOKUP(,-1/($Z$12:Z813=1),$H$12:H813),Первоначальный[[#This Row],[Полученный платеж]]+Y812),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платеж]]+Y812,SUM(Первоначальный[[#This Row],[Остаток процентов на начало периода]],Первоначальный[[#This Row],[Проценты за период]])),
AND(S812=0,Первоначальный[[#This Row],[Дата платежа из графика]]=""),0,
AND(S812=0,Первоначальный[[#This Row],[Дата платежа из графика]]=1,MAX((0&lt;&gt;S$12:S812)*ROW(S$12:S812),ROW($S$12))&gt;=MAX((1=Z$12:Z812)*ROW(Z$12:Z812),ROW($T$12)),TYPE(VLOOKUP("Да",(INDIRECT("AA"&amp;(MAX((1=Z$12:Z812)*ROW(Z$12:Z812),ROW($T$12))&amp;":AA"&amp;(ROW()-1)))),1,0))=16),MIN(LOOKUP(,-1/($Z$12:Z813=1),$C$12:C813)+LOOKUP(,-1/($Z$12:Z813=1),$H$12:H813),Первоначальный[[#This Row],[Полученный платеж]]+Y812),
AND(S812=0,TYPE(VLOOKUP("Да",(INDIRECT("AA"&amp;(MAX((1=Z$12:Z812)*ROW(Z$12:Z812),ROW($T$12))&amp;":AA"&amp;(ROW()-1)))),1,0))&lt;&gt;16),MIN(LOOKUP(,-1/($Z$12:Z813=1),$C$12:C813)+LOOKUP(,-1/($Z$12:Z813=1),$H$12:H813)-IF(AA812="Да",0,SUM(INDIRECT("T"&amp;(MAX(("Да"=AA$12:AA812)*ROW(AA$12:AA812)+1,ROW($T$12))&amp;":T"&amp;(ROW()-1))))),Первоначальный[[#This Row],[Полученный платеж]]+Y812),
AND(S812=0,MAX((0&lt;&gt;N$12:N812)*ROW(N$12:N812),ROW($S$12))&gt;=MAX((1=Z$12:Z812)*ROW(Z$12:Z812),ROW($T$12))),MIN(LOOKUP(,-1/($Z$12:Z813=1),$C$12:C813)+LOOKUP(,-1/($Z$12:Z813=1),$H$12:H813)-IF(N812&lt;&gt;0,0,SUM(INDIRECT("T"&amp;(MAX((0&lt;&gt;N$12:N812)*ROW(N$12:N812)+1,ROW($T$12))&amp;":T"&amp;(ROW()-1))))),Первоначальный[[#This Row],[Полученный платеж]]+Y812),
AND(S812=0,Первоначальный[[#This Row],[Дата платежа из графика]]=1),MIN(LOOKUP(,-1/($Z$12:Z813=1),$C$12:C813)+LOOKUP(,-1/($Z$12:Z813=1),$H$12:H813)-IF(Z812=1,0,SUM(INDIRECT("T"&amp;(MAX((1=Z$12:Z812)*ROW(Z$12:Z812)+1,ROW($T$12))&amp;":T"&amp;(ROW()-1))))),Первоначальный[[#This Row],[Полученный платеж]]+Y812),
AND(Z812&gt;0,Первоначальный[[#This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платеж]]+Y812),
AND(S812&gt;0,MAX((0&lt;&gt;S$12:S812)*ROW(S$12:S812),ROW($S$12))&gt;=MAX((1=Z$12:Z812)*ROW(Z$12:Z812),ROW($T$12)),TYPE(VLOOKUP("Да",(INDIRECT("AA"&amp;(MAX((1=Z$12:Z812)*ROW(Z$12:Z812),ROW($T$12))&amp;":AA"&amp;(ROW()-1)))),1,0))=16),MIN(LOOKUP(,-1/($Z$12:Z813=1),$C$12:C813)+LOOKUP(,-1/($Z$12:Z813=1),$H$12:H813)-SUM(INDIRECT("T"&amp;(MAX((1=Z$12:Z812)*ROW(Z$12:Z812),ROW($T$12))&amp;":T"&amp;(ROW()-1)))),Первоначальный[[#This Row],[Полученный платеж]]+Y812),
S812&gt;0,MIN(LOOKUP(,-1/($Z$12:Z813=1),$C$12:C813)+LOOKUP(,-1/($Z$12:Z813=1),$H$12:H813)-IF(Z812=1,0,SUM(INDIRECT("T"&amp;(MAX((1=Z$12:Z812)*ROW(Z$12:Z812)+1,ROW($T$12))&amp;":T"&amp;(ROW()-1))))),Первоначальный[[#This Row],[Полученный платеж]]+Y812)
)
)
)</f>
        <v>0</v>
      </c>
      <c r="U81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платеж]]+Y812-Первоначальный[[#This Row],[Полученный платёж по процентам]])</f>
        <v>0</v>
      </c>
      <c r="V813" s="55">
        <f t="shared" ca="1" si="145"/>
        <v>0</v>
      </c>
      <c r="W813" s="55" cm="1">
        <f t="array" aca="1" ref="W813" ca="1">IF(Первоначальный[[#This Row],[Итого остаток на начало периода]]&lt;1,0,
_xlfn.IFS(
AND(TYPE(VLOOKUP(1,$Z$12:Z813,1,0))=16,Первоначальный[[#This Row],[Досрочное погашение (да/"")]]=""),0,
AND(S812=0,Первоначальный[[#This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платеж]]+Y812-SUM(Первоначальный[[#This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комиссиям]]),VLOOKUP(LOOKUP(,-1/($Z$12:Z813=1),$A$12:A813),График[[Срок конец]:[Возврат основной суммы долга]],3,0)),
AND(S812=0,Первоначальный[[#This Row],[Дата платежа из графика]]="",Первоначальный[[#This Row],[Досрочное погашение (да/"")]]&lt;&gt;"Да"),0,
AND(S812=0,Первоначальный[[#This Row],[Досрочное погашение (да/"")]]=""),MIN(Первоначальный[[#This Row],[Полученный платеж]]+Y812-SUM(Первоначальный[[#This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комиссиям]]),VLOOKUP(LOOKUP(,-1/($Z$12:Z813=1),$A$12:A813),График[[Срок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платеж]]+Y812-SUM(Первоначальный[[#This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S812&gt;0,MIN(Первоначальный[[#This Row],[Полученный платеж]]+Y812-SUM(Первоначальный[[#This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комиссиям]]),SUM(INDIRECT("M"&amp;(MAX((1=S$12:S812)*ROW(S$12:S812),ROW($W$12))&amp;":M"&amp;(ROW()))))-SUM(INDIRECT("W"&amp;(MAX((1=S$12:S812)*ROW(S$12:S812),ROW($W$12))&amp;":W"&amp;(ROW()-1)))))
)
)</f>
        <v>0</v>
      </c>
      <c r="X813" s="55">
        <f t="shared" ca="1" si="146"/>
        <v>0</v>
      </c>
      <c r="Y813" s="101">
        <f t="shared" ca="1" si="153"/>
        <v>0</v>
      </c>
      <c r="Z813" s="133" t="str">
        <f>IF(TYPE((VLOOKUP(Первоначальный[[#This Row],[Дата платежа]],График[Срок конец],1,0)))=16,"",1)</f>
        <v/>
      </c>
      <c r="AA813" s="57"/>
      <c r="AB813" s="134"/>
      <c r="AC81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1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58025.499999999985</v>
      </c>
      <c r="AE81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2249.2999999999984</v>
      </c>
      <c r="AF81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1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125175.67882459027</v>
      </c>
      <c r="AH813" s="55"/>
      <c r="AI813" s="55"/>
      <c r="AJ813" s="55"/>
      <c r="AK813" s="101">
        <f t="shared" ca="1" si="154"/>
        <v>335083.81882459024</v>
      </c>
      <c r="AL813" s="129">
        <f t="array" ref="AL813">MAX((УслРестрактов[Характеристика]="Дата реструктуризации")*(УслРестрактов[Значение]=Первоначальный!$A813),0)</f>
        <v>0</v>
      </c>
    </row>
    <row r="814" spans="1:38" x14ac:dyDescent="0.25">
      <c r="A814" s="97">
        <f t="shared" si="147"/>
        <v>44945</v>
      </c>
      <c r="B814" s="100">
        <f t="shared" ca="1" si="148"/>
        <v>149633.34</v>
      </c>
      <c r="C814" s="55">
        <f t="shared" ca="1" si="156"/>
        <v>58025.499999999985</v>
      </c>
      <c r="D814" s="55">
        <f t="shared" ca="1" si="156"/>
        <v>2249.2999999999984</v>
      </c>
      <c r="E814" s="55">
        <f t="shared" ca="1" si="149"/>
        <v>0</v>
      </c>
      <c r="F814" s="55">
        <f t="shared" ca="1" si="150"/>
        <v>125175.67882459027</v>
      </c>
      <c r="G814" s="101">
        <f t="shared" ca="1" si="151"/>
        <v>335083.81882459024</v>
      </c>
      <c r="H814" s="100">
        <f ca="1">ROUND($B814*VLOOKUP($A814,$A$1:$B$10,2,1)/(365+IF(MOD(YEAR($A814),4),0,1)*($A814-$A813)),2)-Первоначальный[[#This Row],[Проценты на просроченный платеж по ОД за период]]</f>
        <v>74.95</v>
      </c>
      <c r="I814" s="55">
        <f t="shared" ca="1" si="152"/>
        <v>6.63</v>
      </c>
      <c r="J814" s="55">
        <v>0</v>
      </c>
      <c r="K814" s="55">
        <f t="shared" ca="1" si="155"/>
        <v>347.57350327868846</v>
      </c>
      <c r="L814" s="55">
        <v>0</v>
      </c>
      <c r="M814" s="113">
        <f>SUMIFS(График[Возврат основной суммы долга],График[Дата с учетом нерабочих дней],$A814)</f>
        <v>0</v>
      </c>
      <c r="N814" s="56">
        <f>SUMIFS(График[Возврат начисленных %],График[Дата с учетом нерабочих дней],$A814)</f>
        <v>0</v>
      </c>
      <c r="O814" s="101">
        <v>0</v>
      </c>
      <c r="P814" s="100" cm="1">
        <f t="array" aca="1" ref="P814" ca="1">MAX(IF(AA813="Да",0,SUM(INDIRECT("M"&amp;(MAX(("Да"=AA$12:AA813)*ROW(AA$12:AA813)+1,ROW($P$12))&amp;":M"&amp;(ROW()))))-SUM(INDIRECT("W"&amp;(MAX(("Да"=AA$12:AA813)*ROW(AA$12:AA813)+1,ROW($P$12))&amp;":W"&amp;(ROW()))))),0)</f>
        <v>12165.97</v>
      </c>
      <c r="Q814" s="99">
        <f ca="1">MAX(SUM($N$13:N814)-SUM($T$13:T814),0)</f>
        <v>57348.730655737687</v>
      </c>
      <c r="R814" s="99">
        <f ca="1">Первоначальный[[#This Row],[Просроченный платеж по ОД]]+Первоначальный[[#This Row],[Просроченный платеж по процентам]]</f>
        <v>69514.700655737688</v>
      </c>
      <c r="S814" s="120">
        <f ca="1">IF(Первоначальный[[#This Row],[Просроченный платеж]]&lt;1,0,S813+1)</f>
        <v>710</v>
      </c>
      <c r="T814" s="100" cm="1">
        <f t="array" aca="1" ref="T814" ca="1">IF(Первоначальный[[#This Row],[Итого остаток на начало периода]]&lt;1,0,
IF(
AND(TYPE(VLOOKUP(1,$Z$12:Z814,1,0))=16,Первоначальный[[#This Row],[Досрочное погашение (да/"")]]=""),0,
_xlfn.IFS(AND(S813=0,Первоначальный[[#This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платеж]]&lt;&gt;0),MIN(LOOKUP(,-1/($Z$12:Z814=1),$C$12:C814)+LOOKUP(,-1/($Z$12:Z814=1),$H$12:H814),Первоначальный[[#This Row],[Полученный платеж]]+Y813),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платеж]]+Y813,SUM(Первоначальный[[#This Row],[Остаток процентов на начало периода]],Первоначальный[[#This Row],[Проценты за период]])),
AND(S813=0,Первоначальный[[#This Row],[Дата платежа из графика]]=""),0,
AND(S813=0,Первоначальный[[#This Row],[Дата платежа из графика]]=1,MAX((0&lt;&gt;S$12:S813)*ROW(S$12:S813),ROW($S$12))&gt;=MAX((1=Z$12:Z813)*ROW(Z$12:Z813),ROW($T$12)),TYPE(VLOOKUP("Да",(INDIRECT("AA"&amp;(MAX((1=Z$12:Z813)*ROW(Z$12:Z813),ROW($T$12))&amp;":AA"&amp;(ROW()-1)))),1,0))=16),MIN(LOOKUP(,-1/($Z$12:Z814=1),$C$12:C814)+LOOKUP(,-1/($Z$12:Z814=1),$H$12:H814),Первоначальный[[#This Row],[Полученный платеж]]+Y813),
AND(S813=0,TYPE(VLOOKUP("Да",(INDIRECT("AA"&amp;(MAX((1=Z$12:Z813)*ROW(Z$12:Z813),ROW($T$12))&amp;":AA"&amp;(ROW()-1)))),1,0))&lt;&gt;16),MIN(LOOKUP(,-1/($Z$12:Z814=1),$C$12:C814)+LOOKUP(,-1/($Z$12:Z814=1),$H$12:H814)-IF(AA813="Да",0,SUM(INDIRECT("T"&amp;(MAX(("Да"=AA$12:AA813)*ROW(AA$12:AA813)+1,ROW($T$12))&amp;":T"&amp;(ROW()-1))))),Первоначальный[[#This Row],[Полученный платеж]]+Y813),
AND(S813=0,MAX((0&lt;&gt;N$12:N813)*ROW(N$12:N813),ROW($S$12))&gt;=MAX((1=Z$12:Z813)*ROW(Z$12:Z813),ROW($T$12))),MIN(LOOKUP(,-1/($Z$12:Z814=1),$C$12:C814)+LOOKUP(,-1/($Z$12:Z814=1),$H$12:H814)-IF(N813&lt;&gt;0,0,SUM(INDIRECT("T"&amp;(MAX((0&lt;&gt;N$12:N813)*ROW(N$12:N813)+1,ROW($T$12))&amp;":T"&amp;(ROW()-1))))),Первоначальный[[#This Row],[Полученный платеж]]+Y813),
AND(S813=0,Первоначальный[[#This Row],[Дата платежа из графика]]=1),MIN(LOOKUP(,-1/($Z$12:Z814=1),$C$12:C814)+LOOKUP(,-1/($Z$12:Z814=1),$H$12:H814)-IF(Z813=1,0,SUM(INDIRECT("T"&amp;(MAX((1=Z$12:Z813)*ROW(Z$12:Z813)+1,ROW($T$12))&amp;":T"&amp;(ROW()-1))))),Первоначальный[[#This Row],[Полученный платеж]]+Y813),
AND(Z813&gt;0,Первоначальный[[#This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платеж]]+Y813),
AND(S813&gt;0,MAX((0&lt;&gt;S$12:S813)*ROW(S$12:S813),ROW($S$12))&gt;=MAX((1=Z$12:Z813)*ROW(Z$12:Z813),ROW($T$12)),TYPE(VLOOKUP("Да",(INDIRECT("AA"&amp;(MAX((1=Z$12:Z813)*ROW(Z$12:Z813),ROW($T$12))&amp;":AA"&amp;(ROW()-1)))),1,0))=16),MIN(LOOKUP(,-1/($Z$12:Z814=1),$C$12:C814)+LOOKUP(,-1/($Z$12:Z814=1),$H$12:H814)-SUM(INDIRECT("T"&amp;(MAX((1=Z$12:Z813)*ROW(Z$12:Z813),ROW($T$12))&amp;":T"&amp;(ROW()-1)))),Первоначальный[[#This Row],[Полученный платеж]]+Y813),
S813&gt;0,MIN(LOOKUP(,-1/($Z$12:Z814=1),$C$12:C814)+LOOKUP(,-1/($Z$12:Z814=1),$H$12:H814)-IF(Z813=1,0,SUM(INDIRECT("T"&amp;(MAX((1=Z$12:Z813)*ROW(Z$12:Z813)+1,ROW($T$12))&amp;":T"&amp;(ROW()-1))))),Первоначальный[[#This Row],[Полученный платеж]]+Y813)
)
)
)</f>
        <v>0</v>
      </c>
      <c r="U81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платеж]]+Y813-Первоначальный[[#This Row],[Полученный платёж по процентам]])</f>
        <v>0</v>
      </c>
      <c r="V814" s="55">
        <f t="shared" ca="1" si="145"/>
        <v>0</v>
      </c>
      <c r="W814" s="55" cm="1">
        <f t="array" aca="1" ref="W814" ca="1">IF(Первоначальный[[#This Row],[Итого остаток на начало периода]]&lt;1,0,
_xlfn.IFS(
AND(TYPE(VLOOKUP(1,$Z$12:Z814,1,0))=16,Первоначальный[[#This Row],[Досрочное погашение (да/"")]]=""),0,
AND(S813=0,Первоначальный[[#This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платеж]]+Y813-SUM(Первоначальный[[#This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комиссиям]]),VLOOKUP(LOOKUP(,-1/($Z$12:Z814=1),$A$12:A814),График[[Срок конец]:[Возврат основной суммы долга]],3,0)),
AND(S813=0,Первоначальный[[#This Row],[Дата платежа из графика]]="",Первоначальный[[#This Row],[Досрочное погашение (да/"")]]&lt;&gt;"Да"),0,
AND(S813=0,Первоначальный[[#This Row],[Досрочное погашение (да/"")]]=""),MIN(Первоначальный[[#This Row],[Полученный платеж]]+Y813-SUM(Первоначальный[[#This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комиссиям]]),VLOOKUP(LOOKUP(,-1/($Z$12:Z814=1),$A$12:A814),График[[Срок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платеж]]+Y813-SUM(Первоначальный[[#This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S813&gt;0,MIN(Первоначальный[[#This Row],[Полученный платеж]]+Y813-SUM(Первоначальный[[#This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комиссиям]]),SUM(INDIRECT("M"&amp;(MAX((1=S$12:S813)*ROW(S$12:S813),ROW($W$12))&amp;":M"&amp;(ROW()))))-SUM(INDIRECT("W"&amp;(MAX((1=S$12:S813)*ROW(S$12:S813),ROW($W$12))&amp;":W"&amp;(ROW()-1)))))
)
)</f>
        <v>0</v>
      </c>
      <c r="X814" s="55">
        <f t="shared" ca="1" si="146"/>
        <v>0</v>
      </c>
      <c r="Y814" s="101">
        <f t="shared" ca="1" si="153"/>
        <v>0</v>
      </c>
      <c r="Z814" s="133" t="str">
        <f>IF(TYPE((VLOOKUP(Первоначальный[[#This Row],[Дата платежа]],График[Срок конец],1,0)))=16,"",1)</f>
        <v/>
      </c>
      <c r="AA814" s="57"/>
      <c r="AB814" s="134"/>
      <c r="AC81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1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58100.449999999983</v>
      </c>
      <c r="AE81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2255.9299999999985</v>
      </c>
      <c r="AF81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1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125523.25232786896</v>
      </c>
      <c r="AH814" s="55"/>
      <c r="AI814" s="55"/>
      <c r="AJ814" s="55"/>
      <c r="AK814" s="101">
        <f t="shared" ca="1" si="154"/>
        <v>335512.97232786892</v>
      </c>
      <c r="AL814" s="129">
        <f t="array" ref="AL814">MAX((УслРестрактов[Характеристика]="Дата реструктуризации")*(УслРестрактов[Значение]=Первоначальный!$A814),0)</f>
        <v>0</v>
      </c>
    </row>
    <row r="815" spans="1:38" x14ac:dyDescent="0.25">
      <c r="A815" s="97">
        <f t="shared" si="147"/>
        <v>44946</v>
      </c>
      <c r="B815" s="100">
        <f t="shared" ca="1" si="148"/>
        <v>149633.34</v>
      </c>
      <c r="C815" s="55">
        <f t="shared" ca="1" si="156"/>
        <v>58100.449999999983</v>
      </c>
      <c r="D815" s="55">
        <f t="shared" ca="1" si="156"/>
        <v>2255.9299999999985</v>
      </c>
      <c r="E815" s="55">
        <f t="shared" ca="1" si="149"/>
        <v>0</v>
      </c>
      <c r="F815" s="55">
        <f t="shared" ca="1" si="150"/>
        <v>125523.25232786896</v>
      </c>
      <c r="G815" s="101">
        <f t="shared" ca="1" si="151"/>
        <v>335512.97232786892</v>
      </c>
      <c r="H815" s="100">
        <f ca="1">ROUND($B815*VLOOKUP($A815,$A$1:$B$10,2,1)/(365+IF(MOD(YEAR($A815),4),0,1)*($A815-$A814)),2)-Первоначальный[[#This Row],[Проценты на просроченный платеж по ОД за период]]</f>
        <v>74.95</v>
      </c>
      <c r="I815" s="55">
        <f t="shared" ca="1" si="152"/>
        <v>6.63</v>
      </c>
      <c r="J815" s="55">
        <v>0</v>
      </c>
      <c r="K815" s="55">
        <f t="shared" ca="1" si="155"/>
        <v>347.57350327868846</v>
      </c>
      <c r="L815" s="55">
        <v>0</v>
      </c>
      <c r="M815" s="113">
        <f>SUMIFS(График[Возврат основной суммы долга],График[Дата с учетом нерабочих дней],$A815)</f>
        <v>0</v>
      </c>
      <c r="N815" s="56">
        <f>SUMIFS(График[Возврат начисленных %],График[Дата с учетом нерабочих дней],$A815)</f>
        <v>0</v>
      </c>
      <c r="O815" s="101">
        <v>0</v>
      </c>
      <c r="P815" s="100" cm="1">
        <f t="array" aca="1" ref="P815" ca="1">MAX(IF(AA814="Да",0,SUM(INDIRECT("M"&amp;(MAX(("Да"=AA$12:AA814)*ROW(AA$12:AA814)+1,ROW($P$12))&amp;":M"&amp;(ROW()))))-SUM(INDIRECT("W"&amp;(MAX(("Да"=AA$12:AA814)*ROW(AA$12:AA814)+1,ROW($P$12))&amp;":W"&amp;(ROW()))))),0)</f>
        <v>12165.97</v>
      </c>
      <c r="Q815" s="99">
        <f ca="1">MAX(SUM($N$13:N815)-SUM($T$13:T815),0)</f>
        <v>57348.730655737687</v>
      </c>
      <c r="R815" s="99">
        <f ca="1">Первоначальный[[#This Row],[Просроченный платеж по ОД]]+Первоначальный[[#This Row],[Просроченный платеж по процентам]]</f>
        <v>69514.700655737688</v>
      </c>
      <c r="S815" s="120">
        <f ca="1">IF(Первоначальный[[#This Row],[Просроченный платеж]]&lt;1,0,S814+1)</f>
        <v>711</v>
      </c>
      <c r="T815" s="100" cm="1">
        <f t="array" aca="1" ref="T815" ca="1">IF(Первоначальный[[#This Row],[Итого остаток на начало периода]]&lt;1,0,
IF(
AND(TYPE(VLOOKUP(1,$Z$12:Z815,1,0))=16,Первоначальный[[#This Row],[Досрочное погашение (да/"")]]=""),0,
_xlfn.IFS(AND(S814=0,Первоначальный[[#This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платеж]]&lt;&gt;0),MIN(LOOKUP(,-1/($Z$12:Z815=1),$C$12:C815)+LOOKUP(,-1/($Z$12:Z815=1),$H$12:H815),Первоначальный[[#This Row],[Полученный платеж]]+Y814),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платеж]]+Y814,SUM(Первоначальный[[#This Row],[Остаток процентов на начало периода]],Первоначальный[[#This Row],[Проценты за период]])),
AND(S814=0,Первоначальный[[#This Row],[Дата платежа из графика]]=""),0,
AND(S814=0,Первоначальный[[#This Row],[Дата платежа из графика]]=1,MAX((0&lt;&gt;S$12:S814)*ROW(S$12:S814),ROW($S$12))&gt;=MAX((1=Z$12:Z814)*ROW(Z$12:Z814),ROW($T$12)),TYPE(VLOOKUP("Да",(INDIRECT("AA"&amp;(MAX((1=Z$12:Z814)*ROW(Z$12:Z814),ROW($T$12))&amp;":AA"&amp;(ROW()-1)))),1,0))=16),MIN(LOOKUP(,-1/($Z$12:Z815=1),$C$12:C815)+LOOKUP(,-1/($Z$12:Z815=1),$H$12:H815),Первоначальный[[#This Row],[Полученный платеж]]+Y814),
AND(S814=0,TYPE(VLOOKUP("Да",(INDIRECT("AA"&amp;(MAX((1=Z$12:Z814)*ROW(Z$12:Z814),ROW($T$12))&amp;":AA"&amp;(ROW()-1)))),1,0))&lt;&gt;16),MIN(LOOKUP(,-1/($Z$12:Z815=1),$C$12:C815)+LOOKUP(,-1/($Z$12:Z815=1),$H$12:H815)-IF(AA814="Да",0,SUM(INDIRECT("T"&amp;(MAX(("Да"=AA$12:AA814)*ROW(AA$12:AA814)+1,ROW($T$12))&amp;":T"&amp;(ROW()-1))))),Первоначальный[[#This Row],[Полученный платеж]]+Y814),
AND(S814=0,MAX((0&lt;&gt;N$12:N814)*ROW(N$12:N814),ROW($S$12))&gt;=MAX((1=Z$12:Z814)*ROW(Z$12:Z814),ROW($T$12))),MIN(LOOKUP(,-1/($Z$12:Z815=1),$C$12:C815)+LOOKUP(,-1/($Z$12:Z815=1),$H$12:H815)-IF(N814&lt;&gt;0,0,SUM(INDIRECT("T"&amp;(MAX((0&lt;&gt;N$12:N814)*ROW(N$12:N814)+1,ROW($T$12))&amp;":T"&amp;(ROW()-1))))),Первоначальный[[#This Row],[Полученный платеж]]+Y814),
AND(S814=0,Первоначальный[[#This Row],[Дата платежа из графика]]=1),MIN(LOOKUP(,-1/($Z$12:Z815=1),$C$12:C815)+LOOKUP(,-1/($Z$12:Z815=1),$H$12:H815)-IF(Z814=1,0,SUM(INDIRECT("T"&amp;(MAX((1=Z$12:Z814)*ROW(Z$12:Z814)+1,ROW($T$12))&amp;":T"&amp;(ROW()-1))))),Первоначальный[[#This Row],[Полученный платеж]]+Y814),
AND(Z814&gt;0,Первоначальный[[#This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платеж]]+Y814),
AND(S814&gt;0,MAX((0&lt;&gt;S$12:S814)*ROW(S$12:S814),ROW($S$12))&gt;=MAX((1=Z$12:Z814)*ROW(Z$12:Z814),ROW($T$12)),TYPE(VLOOKUP("Да",(INDIRECT("AA"&amp;(MAX((1=Z$12:Z814)*ROW(Z$12:Z814),ROW($T$12))&amp;":AA"&amp;(ROW()-1)))),1,0))=16),MIN(LOOKUP(,-1/($Z$12:Z815=1),$C$12:C815)+LOOKUP(,-1/($Z$12:Z815=1),$H$12:H815)-SUM(INDIRECT("T"&amp;(MAX((1=Z$12:Z814)*ROW(Z$12:Z814),ROW($T$12))&amp;":T"&amp;(ROW()-1)))),Первоначальный[[#This Row],[Полученный платеж]]+Y814),
S814&gt;0,MIN(LOOKUP(,-1/($Z$12:Z815=1),$C$12:C815)+LOOKUP(,-1/($Z$12:Z815=1),$H$12:H815)-IF(Z814=1,0,SUM(INDIRECT("T"&amp;(MAX((1=Z$12:Z814)*ROW(Z$12:Z814)+1,ROW($T$12))&amp;":T"&amp;(ROW()-1))))),Первоначальный[[#This Row],[Полученный платеж]]+Y814)
)
)
)</f>
        <v>0</v>
      </c>
      <c r="U81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платеж]]+Y814-Первоначальный[[#This Row],[Полученный платёж по процентам]])</f>
        <v>0</v>
      </c>
      <c r="V815" s="55">
        <f t="shared" ca="1" si="145"/>
        <v>0</v>
      </c>
      <c r="W815" s="55" cm="1">
        <f t="array" aca="1" ref="W815" ca="1">IF(Первоначальный[[#This Row],[Итого остаток на начало периода]]&lt;1,0,
_xlfn.IFS(
AND(TYPE(VLOOKUP(1,$Z$12:Z815,1,0))=16,Первоначальный[[#This Row],[Досрочное погашение (да/"")]]=""),0,
AND(S814=0,Первоначальный[[#This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платеж]]+Y814-SUM(Первоначальный[[#This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комиссиям]]),VLOOKUP(LOOKUP(,-1/($Z$12:Z815=1),$A$12:A815),График[[Срок конец]:[Возврат основной суммы долга]],3,0)),
AND(S814=0,Первоначальный[[#This Row],[Дата платежа из графика]]="",Первоначальный[[#This Row],[Досрочное погашение (да/"")]]&lt;&gt;"Да"),0,
AND(S814=0,Первоначальный[[#This Row],[Досрочное погашение (да/"")]]=""),MIN(Первоначальный[[#This Row],[Полученный платеж]]+Y814-SUM(Первоначальный[[#This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комиссиям]]),VLOOKUP(LOOKUP(,-1/($Z$12:Z815=1),$A$12:A815),График[[Срок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платеж]]+Y814-SUM(Первоначальный[[#This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S814&gt;0,MIN(Первоначальный[[#This Row],[Полученный платеж]]+Y814-SUM(Первоначальный[[#This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комиссиям]]),SUM(INDIRECT("M"&amp;(MAX((1=S$12:S814)*ROW(S$12:S814),ROW($W$12))&amp;":M"&amp;(ROW()))))-SUM(INDIRECT("W"&amp;(MAX((1=S$12:S814)*ROW(S$12:S814),ROW($W$12))&amp;":W"&amp;(ROW()-1)))))
)
)</f>
        <v>0</v>
      </c>
      <c r="X815" s="55">
        <f t="shared" ca="1" si="146"/>
        <v>0</v>
      </c>
      <c r="Y815" s="101">
        <f t="shared" ca="1" si="153"/>
        <v>0</v>
      </c>
      <c r="Z815" s="133" t="str">
        <f>IF(TYPE((VLOOKUP(Первоначальный[[#This Row],[Дата платежа]],График[Срок конец],1,0)))=16,"",1)</f>
        <v/>
      </c>
      <c r="AA815" s="57"/>
      <c r="AB815" s="134"/>
      <c r="AC81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1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58175.39999999998</v>
      </c>
      <c r="AE81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2262.5599999999986</v>
      </c>
      <c r="AF81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1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125870.82583114765</v>
      </c>
      <c r="AH815" s="55"/>
      <c r="AI815" s="55"/>
      <c r="AJ815" s="55"/>
      <c r="AK815" s="101">
        <f t="shared" ca="1" si="154"/>
        <v>335942.12583114766</v>
      </c>
      <c r="AL815" s="129">
        <f t="array" ref="AL815">MAX((УслРестрактов[Характеристика]="Дата реструктуризации")*(УслРестрактов[Значение]=Первоначальный!$A815),0)</f>
        <v>0</v>
      </c>
    </row>
    <row r="816" spans="1:38" x14ac:dyDescent="0.25">
      <c r="A816" s="97">
        <f t="shared" si="147"/>
        <v>44947</v>
      </c>
      <c r="B816" s="100">
        <f t="shared" ca="1" si="148"/>
        <v>149633.34</v>
      </c>
      <c r="C816" s="55">
        <f t="shared" ca="1" si="156"/>
        <v>58175.39999999998</v>
      </c>
      <c r="D816" s="55">
        <f t="shared" ca="1" si="156"/>
        <v>2262.5599999999986</v>
      </c>
      <c r="E816" s="55">
        <f t="shared" ca="1" si="149"/>
        <v>0</v>
      </c>
      <c r="F816" s="55">
        <f t="shared" ca="1" si="150"/>
        <v>125870.82583114765</v>
      </c>
      <c r="G816" s="101">
        <f t="shared" ca="1" si="151"/>
        <v>335942.12583114766</v>
      </c>
      <c r="H816" s="100">
        <f ca="1">ROUND($B816*VLOOKUP($A816,$A$1:$B$10,2,1)/(365+IF(MOD(YEAR($A816),4),0,1)*($A816-$A815)),2)-Первоначальный[[#This Row],[Проценты на просроченный платеж по ОД за период]]</f>
        <v>74.95</v>
      </c>
      <c r="I816" s="55">
        <f t="shared" ca="1" si="152"/>
        <v>6.63</v>
      </c>
      <c r="J816" s="55">
        <v>0</v>
      </c>
      <c r="K816" s="55">
        <f t="shared" ca="1" si="155"/>
        <v>347.57350327868846</v>
      </c>
      <c r="L816" s="55">
        <v>0</v>
      </c>
      <c r="M816" s="113">
        <f>SUMIFS(График[Возврат основной суммы долга],График[Дата с учетом нерабочих дней],$A816)</f>
        <v>0</v>
      </c>
      <c r="N816" s="56">
        <f>SUMIFS(График[Возврат начисленных %],График[Дата с учетом нерабочих дней],$A816)</f>
        <v>0</v>
      </c>
      <c r="O816" s="101">
        <v>0</v>
      </c>
      <c r="P816" s="100" cm="1">
        <f t="array" aca="1" ref="P816" ca="1">MAX(IF(AA815="Да",0,SUM(INDIRECT("M"&amp;(MAX(("Да"=AA$12:AA815)*ROW(AA$12:AA815)+1,ROW($P$12))&amp;":M"&amp;(ROW()))))-SUM(INDIRECT("W"&amp;(MAX(("Да"=AA$12:AA815)*ROW(AA$12:AA815)+1,ROW($P$12))&amp;":W"&amp;(ROW()))))),0)</f>
        <v>12165.97</v>
      </c>
      <c r="Q816" s="99">
        <f ca="1">MAX(SUM($N$13:N816)-SUM($T$13:T816),0)</f>
        <v>57348.730655737687</v>
      </c>
      <c r="R816" s="99">
        <f ca="1">Первоначальный[[#This Row],[Просроченный платеж по ОД]]+Первоначальный[[#This Row],[Просроченный платеж по процентам]]</f>
        <v>69514.700655737688</v>
      </c>
      <c r="S816" s="120">
        <f ca="1">IF(Первоначальный[[#This Row],[Просроченный платеж]]&lt;1,0,S815+1)</f>
        <v>712</v>
      </c>
      <c r="T816" s="100" cm="1">
        <f t="array" aca="1" ref="T816" ca="1">IF(Первоначальный[[#This Row],[Итого остаток на начало периода]]&lt;1,0,
IF(
AND(TYPE(VLOOKUP(1,$Z$12:Z816,1,0))=16,Первоначальный[[#This Row],[Досрочное погашение (да/"")]]=""),0,
_xlfn.IFS(AND(S815=0,Первоначальный[[#This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платеж]]&lt;&gt;0),MIN(LOOKUP(,-1/($Z$12:Z816=1),$C$12:C816)+LOOKUP(,-1/($Z$12:Z816=1),$H$12:H816),Первоначальный[[#This Row],[Полученный платеж]]+Y815),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платеж]]+Y815,SUM(Первоначальный[[#This Row],[Остаток процентов на начало периода]],Первоначальный[[#This Row],[Проценты за период]])),
AND(S815=0,Первоначальный[[#This Row],[Дата платежа из графика]]=""),0,
AND(S815=0,Первоначальный[[#This Row],[Дата платежа из графика]]=1,MAX((0&lt;&gt;S$12:S815)*ROW(S$12:S815),ROW($S$12))&gt;=MAX((1=Z$12:Z815)*ROW(Z$12:Z815),ROW($T$12)),TYPE(VLOOKUP("Да",(INDIRECT("AA"&amp;(MAX((1=Z$12:Z815)*ROW(Z$12:Z815),ROW($T$12))&amp;":AA"&amp;(ROW()-1)))),1,0))=16),MIN(LOOKUP(,-1/($Z$12:Z816=1),$C$12:C816)+LOOKUP(,-1/($Z$12:Z816=1),$H$12:H816),Первоначальный[[#This Row],[Полученный платеж]]+Y815),
AND(S815=0,TYPE(VLOOKUP("Да",(INDIRECT("AA"&amp;(MAX((1=Z$12:Z815)*ROW(Z$12:Z815),ROW($T$12))&amp;":AA"&amp;(ROW()-1)))),1,0))&lt;&gt;16),MIN(LOOKUP(,-1/($Z$12:Z816=1),$C$12:C816)+LOOKUP(,-1/($Z$12:Z816=1),$H$12:H816)-IF(AA815="Да",0,SUM(INDIRECT("T"&amp;(MAX(("Да"=AA$12:AA815)*ROW(AA$12:AA815)+1,ROW($T$12))&amp;":T"&amp;(ROW()-1))))),Первоначальный[[#This Row],[Полученный платеж]]+Y815),
AND(S815=0,MAX((0&lt;&gt;N$12:N815)*ROW(N$12:N815),ROW($S$12))&gt;=MAX((1=Z$12:Z815)*ROW(Z$12:Z815),ROW($T$12))),MIN(LOOKUP(,-1/($Z$12:Z816=1),$C$12:C816)+LOOKUP(,-1/($Z$12:Z816=1),$H$12:H816)-IF(N815&lt;&gt;0,0,SUM(INDIRECT("T"&amp;(MAX((0&lt;&gt;N$12:N815)*ROW(N$12:N815)+1,ROW($T$12))&amp;":T"&amp;(ROW()-1))))),Первоначальный[[#This Row],[Полученный платеж]]+Y815),
AND(S815=0,Первоначальный[[#This Row],[Дата платежа из графика]]=1),MIN(LOOKUP(,-1/($Z$12:Z816=1),$C$12:C816)+LOOKUP(,-1/($Z$12:Z816=1),$H$12:H816)-IF(Z815=1,0,SUM(INDIRECT("T"&amp;(MAX((1=Z$12:Z815)*ROW(Z$12:Z815)+1,ROW($T$12))&amp;":T"&amp;(ROW()-1))))),Первоначальный[[#This Row],[Полученный платеж]]+Y815),
AND(Z815&gt;0,Первоначальный[[#This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платеж]]+Y815),
AND(S815&gt;0,MAX((0&lt;&gt;S$12:S815)*ROW(S$12:S815),ROW($S$12))&gt;=MAX((1=Z$12:Z815)*ROW(Z$12:Z815),ROW($T$12)),TYPE(VLOOKUP("Да",(INDIRECT("AA"&amp;(MAX((1=Z$12:Z815)*ROW(Z$12:Z815),ROW($T$12))&amp;":AA"&amp;(ROW()-1)))),1,0))=16),MIN(LOOKUP(,-1/($Z$12:Z816=1),$C$12:C816)+LOOKUP(,-1/($Z$12:Z816=1),$H$12:H816)-SUM(INDIRECT("T"&amp;(MAX((1=Z$12:Z815)*ROW(Z$12:Z815),ROW($T$12))&amp;":T"&amp;(ROW()-1)))),Первоначальный[[#This Row],[Полученный платеж]]+Y815),
S815&gt;0,MIN(LOOKUP(,-1/($Z$12:Z816=1),$C$12:C816)+LOOKUP(,-1/($Z$12:Z816=1),$H$12:H816)-IF(Z815=1,0,SUM(INDIRECT("T"&amp;(MAX((1=Z$12:Z815)*ROW(Z$12:Z815)+1,ROW($T$12))&amp;":T"&amp;(ROW()-1))))),Первоначальный[[#This Row],[Полученный платеж]]+Y815)
)
)
)</f>
        <v>0</v>
      </c>
      <c r="U81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платеж]]+Y815-Первоначальный[[#This Row],[Полученный платёж по процентам]])</f>
        <v>0</v>
      </c>
      <c r="V816" s="55">
        <f t="shared" ca="1" si="145"/>
        <v>0</v>
      </c>
      <c r="W816" s="55" cm="1">
        <f t="array" aca="1" ref="W816" ca="1">IF(Первоначальный[[#This Row],[Итого остаток на начало периода]]&lt;1,0,
_xlfn.IFS(
AND(TYPE(VLOOKUP(1,$Z$12:Z816,1,0))=16,Первоначальный[[#This Row],[Досрочное погашение (да/"")]]=""),0,
AND(S815=0,Первоначальный[[#This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платеж]]+Y815-SUM(Первоначальный[[#This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комиссиям]]),VLOOKUP(LOOKUP(,-1/($Z$12:Z816=1),$A$12:A816),График[[Срок конец]:[Возврат основной суммы долга]],3,0)),
AND(S815=0,Первоначальный[[#This Row],[Дата платежа из графика]]="",Первоначальный[[#This Row],[Досрочное погашение (да/"")]]&lt;&gt;"Да"),0,
AND(S815=0,Первоначальный[[#This Row],[Досрочное погашение (да/"")]]=""),MIN(Первоначальный[[#This Row],[Полученный платеж]]+Y815-SUM(Первоначальный[[#This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комиссиям]]),VLOOKUP(LOOKUP(,-1/($Z$12:Z816=1),$A$12:A816),График[[Срок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платеж]]+Y815-SUM(Первоначальный[[#This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S815&gt;0,MIN(Первоначальный[[#This Row],[Полученный платеж]]+Y815-SUM(Первоначальный[[#This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комиссиям]]),SUM(INDIRECT("M"&amp;(MAX((1=S$12:S815)*ROW(S$12:S815),ROW($W$12))&amp;":M"&amp;(ROW()))))-SUM(INDIRECT("W"&amp;(MAX((1=S$12:S815)*ROW(S$12:S815),ROW($W$12))&amp;":W"&amp;(ROW()-1)))))
)
)</f>
        <v>0</v>
      </c>
      <c r="X816" s="55">
        <f t="shared" ca="1" si="146"/>
        <v>0</v>
      </c>
      <c r="Y816" s="101">
        <f t="shared" ca="1" si="153"/>
        <v>0</v>
      </c>
      <c r="Z816" s="133" t="str">
        <f>IF(TYPE((VLOOKUP(Первоначальный[[#This Row],[Дата платежа]],График[Срок конец],1,0)))=16,"",1)</f>
        <v/>
      </c>
      <c r="AA816" s="57"/>
      <c r="AB816" s="134"/>
      <c r="AC81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1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58250.349999999977</v>
      </c>
      <c r="AE81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2269.1899999999987</v>
      </c>
      <c r="AF81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1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126218.39933442634</v>
      </c>
      <c r="AH816" s="55"/>
      <c r="AI816" s="55"/>
      <c r="AJ816" s="55"/>
      <c r="AK816" s="101">
        <f t="shared" ca="1" si="154"/>
        <v>336371.27933442633</v>
      </c>
      <c r="AL816" s="129">
        <f t="array" ref="AL816">MAX((УслРестрактов[Характеристика]="Дата реструктуризации")*(УслРестрактов[Значение]=Первоначальный!$A816),0)</f>
        <v>0</v>
      </c>
    </row>
    <row r="817" spans="1:38" x14ac:dyDescent="0.25">
      <c r="A817" s="97">
        <f t="shared" si="147"/>
        <v>44948</v>
      </c>
      <c r="B817" s="100">
        <f t="shared" ca="1" si="148"/>
        <v>149633.34</v>
      </c>
      <c r="C817" s="55">
        <f t="shared" ca="1" si="156"/>
        <v>58250.349999999977</v>
      </c>
      <c r="D817" s="55">
        <f t="shared" ca="1" si="156"/>
        <v>2269.1899999999987</v>
      </c>
      <c r="E817" s="55">
        <f t="shared" ca="1" si="149"/>
        <v>0</v>
      </c>
      <c r="F817" s="55">
        <f t="shared" ca="1" si="150"/>
        <v>126218.39933442634</v>
      </c>
      <c r="G817" s="101">
        <f t="shared" ca="1" si="151"/>
        <v>336371.27933442633</v>
      </c>
      <c r="H817" s="100">
        <f ca="1">ROUND($B817*VLOOKUP($A817,$A$1:$B$10,2,1)/(365+IF(MOD(YEAR($A817),4),0,1)*($A817-$A816)),2)-Первоначальный[[#This Row],[Проценты на просроченный платеж по ОД за период]]</f>
        <v>74.95</v>
      </c>
      <c r="I817" s="55">
        <f t="shared" ca="1" si="152"/>
        <v>6.63</v>
      </c>
      <c r="J817" s="55">
        <v>0</v>
      </c>
      <c r="K817" s="55">
        <f t="shared" ca="1" si="155"/>
        <v>347.57350327868846</v>
      </c>
      <c r="L817" s="55">
        <v>0</v>
      </c>
      <c r="M817" s="113">
        <f>SUMIFS(График[Возврат основной суммы долга],График[Дата с учетом нерабочих дней],$A817)</f>
        <v>0</v>
      </c>
      <c r="N817" s="56">
        <f>SUMIFS(График[Возврат начисленных %],График[Дата с учетом нерабочих дней],$A817)</f>
        <v>0</v>
      </c>
      <c r="O817" s="101">
        <v>0</v>
      </c>
      <c r="P817" s="100" cm="1">
        <f t="array" aca="1" ref="P817" ca="1">MAX(IF(AA816="Да",0,SUM(INDIRECT("M"&amp;(MAX(("Да"=AA$12:AA816)*ROW(AA$12:AA816)+1,ROW($P$12))&amp;":M"&amp;(ROW()))))-SUM(INDIRECT("W"&amp;(MAX(("Да"=AA$12:AA816)*ROW(AA$12:AA816)+1,ROW($P$12))&amp;":W"&amp;(ROW()))))),0)</f>
        <v>12165.97</v>
      </c>
      <c r="Q817" s="99">
        <f ca="1">MAX(SUM($N$13:N817)-SUM($T$13:T817),0)</f>
        <v>57348.730655737687</v>
      </c>
      <c r="R817" s="99">
        <f ca="1">Первоначальный[[#This Row],[Просроченный платеж по ОД]]+Первоначальный[[#This Row],[Просроченный платеж по процентам]]</f>
        <v>69514.700655737688</v>
      </c>
      <c r="S817" s="120">
        <f ca="1">IF(Первоначальный[[#This Row],[Просроченный платеж]]&lt;1,0,S816+1)</f>
        <v>713</v>
      </c>
      <c r="T817" s="100" cm="1">
        <f t="array" aca="1" ref="T817" ca="1">IF(Первоначальный[[#This Row],[Итого остаток на начало периода]]&lt;1,0,
IF(
AND(TYPE(VLOOKUP(1,$Z$12:Z817,1,0))=16,Первоначальный[[#This Row],[Досрочное погашение (да/"")]]=""),0,
_xlfn.IFS(AND(S816=0,Первоначальный[[#This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платеж]]&lt;&gt;0),MIN(LOOKUP(,-1/($Z$12:Z817=1),$C$12:C817)+LOOKUP(,-1/($Z$12:Z817=1),$H$12:H817),Первоначальный[[#This Row],[Полученный платеж]]+Y816),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платеж]]+Y816,SUM(Первоначальный[[#This Row],[Остаток процентов на начало периода]],Первоначальный[[#This Row],[Проценты за период]])),
AND(S816=0,Первоначальный[[#This Row],[Дата платежа из графика]]=""),0,
AND(S816=0,Первоначальный[[#This Row],[Дата платежа из графика]]=1,MAX((0&lt;&gt;S$12:S816)*ROW(S$12:S816),ROW($S$12))&gt;=MAX((1=Z$12:Z816)*ROW(Z$12:Z816),ROW($T$12)),TYPE(VLOOKUP("Да",(INDIRECT("AA"&amp;(MAX((1=Z$12:Z816)*ROW(Z$12:Z816),ROW($T$12))&amp;":AA"&amp;(ROW()-1)))),1,0))=16),MIN(LOOKUP(,-1/($Z$12:Z817=1),$C$12:C817)+LOOKUP(,-1/($Z$12:Z817=1),$H$12:H817),Первоначальный[[#This Row],[Полученный платеж]]+Y816),
AND(S816=0,TYPE(VLOOKUP("Да",(INDIRECT("AA"&amp;(MAX((1=Z$12:Z816)*ROW(Z$12:Z816),ROW($T$12))&amp;":AA"&amp;(ROW()-1)))),1,0))&lt;&gt;16),MIN(LOOKUP(,-1/($Z$12:Z817=1),$C$12:C817)+LOOKUP(,-1/($Z$12:Z817=1),$H$12:H817)-IF(AA816="Да",0,SUM(INDIRECT("T"&amp;(MAX(("Да"=AA$12:AA816)*ROW(AA$12:AA816)+1,ROW($T$12))&amp;":T"&amp;(ROW()-1))))),Первоначальный[[#This Row],[Полученный платеж]]+Y816),
AND(S816=0,MAX((0&lt;&gt;N$12:N816)*ROW(N$12:N816),ROW($S$12))&gt;=MAX((1=Z$12:Z816)*ROW(Z$12:Z816),ROW($T$12))),MIN(LOOKUP(,-1/($Z$12:Z817=1),$C$12:C817)+LOOKUP(,-1/($Z$12:Z817=1),$H$12:H817)-IF(N816&lt;&gt;0,0,SUM(INDIRECT("T"&amp;(MAX((0&lt;&gt;N$12:N816)*ROW(N$12:N816)+1,ROW($T$12))&amp;":T"&amp;(ROW()-1))))),Первоначальный[[#This Row],[Полученный платеж]]+Y816),
AND(S816=0,Первоначальный[[#This Row],[Дата платежа из графика]]=1),MIN(LOOKUP(,-1/($Z$12:Z817=1),$C$12:C817)+LOOKUP(,-1/($Z$12:Z817=1),$H$12:H817)-IF(Z816=1,0,SUM(INDIRECT("T"&amp;(MAX((1=Z$12:Z816)*ROW(Z$12:Z816)+1,ROW($T$12))&amp;":T"&amp;(ROW()-1))))),Первоначальный[[#This Row],[Полученный платеж]]+Y816),
AND(Z816&gt;0,Первоначальный[[#This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платеж]]+Y816),
AND(S816&gt;0,MAX((0&lt;&gt;S$12:S816)*ROW(S$12:S816),ROW($S$12))&gt;=MAX((1=Z$12:Z816)*ROW(Z$12:Z816),ROW($T$12)),TYPE(VLOOKUP("Да",(INDIRECT("AA"&amp;(MAX((1=Z$12:Z816)*ROW(Z$12:Z816),ROW($T$12))&amp;":AA"&amp;(ROW()-1)))),1,0))=16),MIN(LOOKUP(,-1/($Z$12:Z817=1),$C$12:C817)+LOOKUP(,-1/($Z$12:Z817=1),$H$12:H817)-SUM(INDIRECT("T"&amp;(MAX((1=Z$12:Z816)*ROW(Z$12:Z816),ROW($T$12))&amp;":T"&amp;(ROW()-1)))),Первоначальный[[#This Row],[Полученный платеж]]+Y816),
S816&gt;0,MIN(LOOKUP(,-1/($Z$12:Z817=1),$C$12:C817)+LOOKUP(,-1/($Z$12:Z817=1),$H$12:H817)-IF(Z816=1,0,SUM(INDIRECT("T"&amp;(MAX((1=Z$12:Z816)*ROW(Z$12:Z816)+1,ROW($T$12))&amp;":T"&amp;(ROW()-1))))),Первоначальный[[#This Row],[Полученный платеж]]+Y816)
)
)
)</f>
        <v>0</v>
      </c>
      <c r="U81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платеж]]+Y816-Первоначальный[[#This Row],[Полученный платёж по процентам]])</f>
        <v>0</v>
      </c>
      <c r="V817" s="55">
        <f t="shared" ca="1" si="145"/>
        <v>0</v>
      </c>
      <c r="W817" s="55" cm="1">
        <f t="array" aca="1" ref="W817" ca="1">IF(Первоначальный[[#This Row],[Итого остаток на начало периода]]&lt;1,0,
_xlfn.IFS(
AND(TYPE(VLOOKUP(1,$Z$12:Z817,1,0))=16,Первоначальный[[#This Row],[Досрочное погашение (да/"")]]=""),0,
AND(S816=0,Первоначальный[[#This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платеж]]+Y816-SUM(Первоначальный[[#This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комиссиям]]),VLOOKUP(LOOKUP(,-1/($Z$12:Z817=1),$A$12:A817),График[[Срок конец]:[Возврат основной суммы долга]],3,0)),
AND(S816=0,Первоначальный[[#This Row],[Дата платежа из графика]]="",Первоначальный[[#This Row],[Досрочное погашение (да/"")]]&lt;&gt;"Да"),0,
AND(S816=0,Первоначальный[[#This Row],[Досрочное погашение (да/"")]]=""),MIN(Первоначальный[[#This Row],[Полученный платеж]]+Y816-SUM(Первоначальный[[#This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комиссиям]]),VLOOKUP(LOOKUP(,-1/($Z$12:Z817=1),$A$12:A817),График[[Срок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платеж]]+Y816-SUM(Первоначальный[[#This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S816&gt;0,MIN(Первоначальный[[#This Row],[Полученный платеж]]+Y816-SUM(Первоначальный[[#This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комиссиям]]),SUM(INDIRECT("M"&amp;(MAX((1=S$12:S816)*ROW(S$12:S816),ROW($W$12))&amp;":M"&amp;(ROW()))))-SUM(INDIRECT("W"&amp;(MAX((1=S$12:S816)*ROW(S$12:S816),ROW($W$12))&amp;":W"&amp;(ROW()-1)))))
)
)</f>
        <v>0</v>
      </c>
      <c r="X817" s="55">
        <f t="shared" ca="1" si="146"/>
        <v>0</v>
      </c>
      <c r="Y817" s="101">
        <f t="shared" ca="1" si="153"/>
        <v>0</v>
      </c>
      <c r="Z817" s="133" t="str">
        <f>IF(TYPE((VLOOKUP(Первоначальный[[#This Row],[Дата платежа]],График[Срок конец],1,0)))=16,"",1)</f>
        <v/>
      </c>
      <c r="AA817" s="57"/>
      <c r="AB817" s="134"/>
      <c r="AC81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1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58325.299999999974</v>
      </c>
      <c r="AE81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2275.8199999999988</v>
      </c>
      <c r="AF81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1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126565.97283770503</v>
      </c>
      <c r="AH817" s="55"/>
      <c r="AI817" s="55"/>
      <c r="AJ817" s="55"/>
      <c r="AK817" s="101">
        <f t="shared" ca="1" si="154"/>
        <v>336800.43283770501</v>
      </c>
      <c r="AL817" s="129">
        <f t="array" ref="AL817">MAX((УслРестрактов[Характеристика]="Дата реструктуризации")*(УслРестрактов[Значение]=Первоначальный!$A817),0)</f>
        <v>0</v>
      </c>
    </row>
    <row r="818" spans="1:38" x14ac:dyDescent="0.25">
      <c r="A818" s="97">
        <f t="shared" si="147"/>
        <v>44949</v>
      </c>
      <c r="B818" s="100">
        <f t="shared" ca="1" si="148"/>
        <v>149633.34</v>
      </c>
      <c r="C818" s="55">
        <f t="shared" ca="1" si="156"/>
        <v>58325.299999999974</v>
      </c>
      <c r="D818" s="55">
        <f t="shared" ca="1" si="156"/>
        <v>2275.8199999999988</v>
      </c>
      <c r="E818" s="55">
        <f t="shared" ca="1" si="149"/>
        <v>0</v>
      </c>
      <c r="F818" s="55">
        <f t="shared" ca="1" si="150"/>
        <v>126565.97283770503</v>
      </c>
      <c r="G818" s="101">
        <f t="shared" ca="1" si="151"/>
        <v>336800.43283770501</v>
      </c>
      <c r="H818" s="100">
        <f ca="1">ROUND($B818*VLOOKUP($A818,$A$1:$B$10,2,1)/(365+IF(MOD(YEAR($A818),4),0,1)*($A818-$A817)),2)-Первоначальный[[#This Row],[Проценты на просроченный платеж по ОД за период]]</f>
        <v>74.95</v>
      </c>
      <c r="I818" s="55">
        <f t="shared" ca="1" si="152"/>
        <v>6.63</v>
      </c>
      <c r="J818" s="55">
        <v>0</v>
      </c>
      <c r="K818" s="55">
        <f t="shared" ca="1" si="155"/>
        <v>347.57350327868846</v>
      </c>
      <c r="L818" s="55">
        <v>0</v>
      </c>
      <c r="M818" s="113">
        <f>SUMIFS(График[Возврат основной суммы долга],График[Дата с учетом нерабочих дней],$A818)</f>
        <v>0</v>
      </c>
      <c r="N818" s="56">
        <f>SUMIFS(График[Возврат начисленных %],График[Дата с учетом нерабочих дней],$A818)</f>
        <v>0</v>
      </c>
      <c r="O818" s="101">
        <v>0</v>
      </c>
      <c r="P818" s="100" cm="1">
        <f t="array" aca="1" ref="P818" ca="1">MAX(IF(AA817="Да",0,SUM(INDIRECT("M"&amp;(MAX(("Да"=AA$12:AA817)*ROW(AA$12:AA817)+1,ROW($P$12))&amp;":M"&amp;(ROW()))))-SUM(INDIRECT("W"&amp;(MAX(("Да"=AA$12:AA817)*ROW(AA$12:AA817)+1,ROW($P$12))&amp;":W"&amp;(ROW()))))),0)</f>
        <v>12165.97</v>
      </c>
      <c r="Q818" s="99">
        <f ca="1">MAX(SUM($N$13:N818)-SUM($T$13:T818),0)</f>
        <v>57348.730655737687</v>
      </c>
      <c r="R818" s="99">
        <f ca="1">Первоначальный[[#This Row],[Просроченный платеж по ОД]]+Первоначальный[[#This Row],[Просроченный платеж по процентам]]</f>
        <v>69514.700655737688</v>
      </c>
      <c r="S818" s="120">
        <f ca="1">IF(Первоначальный[[#This Row],[Просроченный платеж]]&lt;1,0,S817+1)</f>
        <v>714</v>
      </c>
      <c r="T818" s="100" cm="1">
        <f t="array" aca="1" ref="T818" ca="1">IF(Первоначальный[[#This Row],[Итого остаток на начало периода]]&lt;1,0,
IF(
AND(TYPE(VLOOKUP(1,$Z$12:Z818,1,0))=16,Первоначальный[[#This Row],[Досрочное погашение (да/"")]]=""),0,
_xlfn.IFS(AND(S817=0,Первоначальный[[#This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платеж]]&lt;&gt;0),MIN(LOOKUP(,-1/($Z$12:Z818=1),$C$12:C818)+LOOKUP(,-1/($Z$12:Z818=1),$H$12:H818),Первоначальный[[#This Row],[Полученный платеж]]+Y817),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платеж]]+Y817,SUM(Первоначальный[[#This Row],[Остаток процентов на начало периода]],Первоначальный[[#This Row],[Проценты за период]])),
AND(S817=0,Первоначальный[[#This Row],[Дата платежа из графика]]=""),0,
AND(S817=0,Первоначальный[[#This Row],[Дата платежа из графика]]=1,MAX((0&lt;&gt;S$12:S817)*ROW(S$12:S817),ROW($S$12))&gt;=MAX((1=Z$12:Z817)*ROW(Z$12:Z817),ROW($T$12)),TYPE(VLOOKUP("Да",(INDIRECT("AA"&amp;(MAX((1=Z$12:Z817)*ROW(Z$12:Z817),ROW($T$12))&amp;":AA"&amp;(ROW()-1)))),1,0))=16),MIN(LOOKUP(,-1/($Z$12:Z818=1),$C$12:C818)+LOOKUP(,-1/($Z$12:Z818=1),$H$12:H818),Первоначальный[[#This Row],[Полученный платеж]]+Y817),
AND(S817=0,TYPE(VLOOKUP("Да",(INDIRECT("AA"&amp;(MAX((1=Z$12:Z817)*ROW(Z$12:Z817),ROW($T$12))&amp;":AA"&amp;(ROW()-1)))),1,0))&lt;&gt;16),MIN(LOOKUP(,-1/($Z$12:Z818=1),$C$12:C818)+LOOKUP(,-1/($Z$12:Z818=1),$H$12:H818)-IF(AA817="Да",0,SUM(INDIRECT("T"&amp;(MAX(("Да"=AA$12:AA817)*ROW(AA$12:AA817)+1,ROW($T$12))&amp;":T"&amp;(ROW()-1))))),Первоначальный[[#This Row],[Полученный платеж]]+Y817),
AND(S817=0,MAX((0&lt;&gt;N$12:N817)*ROW(N$12:N817),ROW($S$12))&gt;=MAX((1=Z$12:Z817)*ROW(Z$12:Z817),ROW($T$12))),MIN(LOOKUP(,-1/($Z$12:Z818=1),$C$12:C818)+LOOKUP(,-1/($Z$12:Z818=1),$H$12:H818)-IF(N817&lt;&gt;0,0,SUM(INDIRECT("T"&amp;(MAX((0&lt;&gt;N$12:N817)*ROW(N$12:N817)+1,ROW($T$12))&amp;":T"&amp;(ROW()-1))))),Первоначальный[[#This Row],[Полученный платеж]]+Y817),
AND(S817=0,Первоначальный[[#This Row],[Дата платежа из графика]]=1),MIN(LOOKUP(,-1/($Z$12:Z818=1),$C$12:C818)+LOOKUP(,-1/($Z$12:Z818=1),$H$12:H818)-IF(Z817=1,0,SUM(INDIRECT("T"&amp;(MAX((1=Z$12:Z817)*ROW(Z$12:Z817)+1,ROW($T$12))&amp;":T"&amp;(ROW()-1))))),Первоначальный[[#This Row],[Полученный платеж]]+Y817),
AND(Z817&gt;0,Первоначальный[[#This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платеж]]+Y817),
AND(S817&gt;0,MAX((0&lt;&gt;S$12:S817)*ROW(S$12:S817),ROW($S$12))&gt;=MAX((1=Z$12:Z817)*ROW(Z$12:Z817),ROW($T$12)),TYPE(VLOOKUP("Да",(INDIRECT("AA"&amp;(MAX((1=Z$12:Z817)*ROW(Z$12:Z817),ROW($T$12))&amp;":AA"&amp;(ROW()-1)))),1,0))=16),MIN(LOOKUP(,-1/($Z$12:Z818=1),$C$12:C818)+LOOKUP(,-1/($Z$12:Z818=1),$H$12:H818)-SUM(INDIRECT("T"&amp;(MAX((1=Z$12:Z817)*ROW(Z$12:Z817),ROW($T$12))&amp;":T"&amp;(ROW()-1)))),Первоначальный[[#This Row],[Полученный платеж]]+Y817),
S817&gt;0,MIN(LOOKUP(,-1/($Z$12:Z818=1),$C$12:C818)+LOOKUP(,-1/($Z$12:Z818=1),$H$12:H818)-IF(Z817=1,0,SUM(INDIRECT("T"&amp;(MAX((1=Z$12:Z817)*ROW(Z$12:Z817)+1,ROW($T$12))&amp;":T"&amp;(ROW()-1))))),Первоначальный[[#This Row],[Полученный платеж]]+Y817)
)
)
)</f>
        <v>0</v>
      </c>
      <c r="U81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платеж]]+Y817-Первоначальный[[#This Row],[Полученный платёж по процентам]])</f>
        <v>0</v>
      </c>
      <c r="V818" s="55">
        <f t="shared" ca="1" si="145"/>
        <v>0</v>
      </c>
      <c r="W818" s="55" cm="1">
        <f t="array" aca="1" ref="W818" ca="1">IF(Первоначальный[[#This Row],[Итого остаток на начало периода]]&lt;1,0,
_xlfn.IFS(
AND(TYPE(VLOOKUP(1,$Z$12:Z818,1,0))=16,Первоначальный[[#This Row],[Досрочное погашение (да/"")]]=""),0,
AND(S817=0,Первоначальный[[#This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платеж]]+Y817-SUM(Первоначальный[[#This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комиссиям]]),VLOOKUP(LOOKUP(,-1/($Z$12:Z818=1),$A$12:A818),График[[Срок конец]:[Возврат основной суммы долга]],3,0)),
AND(S817=0,Первоначальный[[#This Row],[Дата платежа из графика]]="",Первоначальный[[#This Row],[Досрочное погашение (да/"")]]&lt;&gt;"Да"),0,
AND(S817=0,Первоначальный[[#This Row],[Досрочное погашение (да/"")]]=""),MIN(Первоначальный[[#This Row],[Полученный платеж]]+Y817-SUM(Первоначальный[[#This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комиссиям]]),VLOOKUP(LOOKUP(,-1/($Z$12:Z818=1),$A$12:A818),График[[Срок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платеж]]+Y817-SUM(Первоначальный[[#This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S817&gt;0,MIN(Первоначальный[[#This Row],[Полученный платеж]]+Y817-SUM(Первоначальный[[#This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комиссиям]]),SUM(INDIRECT("M"&amp;(MAX((1=S$12:S817)*ROW(S$12:S817),ROW($W$12))&amp;":M"&amp;(ROW()))))-SUM(INDIRECT("W"&amp;(MAX((1=S$12:S817)*ROW(S$12:S817),ROW($W$12))&amp;":W"&amp;(ROW()-1)))))
)
)</f>
        <v>0</v>
      </c>
      <c r="X818" s="55">
        <f t="shared" ca="1" si="146"/>
        <v>0</v>
      </c>
      <c r="Y818" s="101">
        <f t="shared" ca="1" si="153"/>
        <v>0</v>
      </c>
      <c r="Z818" s="133" t="str">
        <f>IF(TYPE((VLOOKUP(Первоначальный[[#This Row],[Дата платежа]],График[Срок конец],1,0)))=16,"",1)</f>
        <v/>
      </c>
      <c r="AA818" s="57"/>
      <c r="AB818" s="134"/>
      <c r="AC81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1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58400.249999999971</v>
      </c>
      <c r="AE81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2282.4499999999989</v>
      </c>
      <c r="AF81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1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126913.54634098372</v>
      </c>
      <c r="AH818" s="55"/>
      <c r="AI818" s="55"/>
      <c r="AJ818" s="55"/>
      <c r="AK818" s="101">
        <f t="shared" ca="1" si="154"/>
        <v>337229.58634098369</v>
      </c>
      <c r="AL818" s="129">
        <f t="array" ref="AL818">MAX((УслРестрактов[Характеристика]="Дата реструктуризации")*(УслРестрактов[Значение]=Первоначальный!$A818),0)</f>
        <v>0</v>
      </c>
    </row>
    <row r="819" spans="1:38" x14ac:dyDescent="0.25">
      <c r="A819" s="97">
        <f t="shared" si="147"/>
        <v>44950</v>
      </c>
      <c r="B819" s="100">
        <f t="shared" ca="1" si="148"/>
        <v>149633.34</v>
      </c>
      <c r="C819" s="55">
        <f t="shared" ca="1" si="156"/>
        <v>58400.249999999971</v>
      </c>
      <c r="D819" s="55">
        <f t="shared" ca="1" si="156"/>
        <v>2282.4499999999989</v>
      </c>
      <c r="E819" s="55">
        <f t="shared" ca="1" si="149"/>
        <v>0</v>
      </c>
      <c r="F819" s="55">
        <f t="shared" ca="1" si="150"/>
        <v>126913.54634098372</v>
      </c>
      <c r="G819" s="101">
        <f t="shared" ca="1" si="151"/>
        <v>337229.58634098369</v>
      </c>
      <c r="H819" s="100">
        <f ca="1">ROUND($B819*VLOOKUP($A819,$A$1:$B$10,2,1)/(365+IF(MOD(YEAR($A819),4),0,1)*($A819-$A818)),2)-Первоначальный[[#This Row],[Проценты на просроченный платеж по ОД за период]]</f>
        <v>74.95</v>
      </c>
      <c r="I819" s="55">
        <f t="shared" ca="1" si="152"/>
        <v>6.63</v>
      </c>
      <c r="J819" s="55">
        <v>0</v>
      </c>
      <c r="K819" s="55">
        <f t="shared" ca="1" si="155"/>
        <v>347.57350327868846</v>
      </c>
      <c r="L819" s="55">
        <v>0</v>
      </c>
      <c r="M819" s="113">
        <f>SUMIFS(График[Возврат основной суммы долга],График[Дата с учетом нерабочих дней],$A819)</f>
        <v>0</v>
      </c>
      <c r="N819" s="56">
        <f>SUMIFS(График[Возврат начисленных %],График[Дата с учетом нерабочих дней],$A819)</f>
        <v>0</v>
      </c>
      <c r="O819" s="101">
        <v>0</v>
      </c>
      <c r="P819" s="100" cm="1">
        <f t="array" aca="1" ref="P819" ca="1">MAX(IF(AA818="Да",0,SUM(INDIRECT("M"&amp;(MAX(("Да"=AA$12:AA818)*ROW(AA$12:AA818)+1,ROW($P$12))&amp;":M"&amp;(ROW()))))-SUM(INDIRECT("W"&amp;(MAX(("Да"=AA$12:AA818)*ROW(AA$12:AA818)+1,ROW($P$12))&amp;":W"&amp;(ROW()))))),0)</f>
        <v>12165.97</v>
      </c>
      <c r="Q819" s="99">
        <f ca="1">MAX(SUM($N$13:N819)-SUM($T$13:T819),0)</f>
        <v>57348.730655737687</v>
      </c>
      <c r="R819" s="99">
        <f ca="1">Первоначальный[[#This Row],[Просроченный платеж по ОД]]+Первоначальный[[#This Row],[Просроченный платеж по процентам]]</f>
        <v>69514.700655737688</v>
      </c>
      <c r="S819" s="120">
        <f ca="1">IF(Первоначальный[[#This Row],[Просроченный платеж]]&lt;1,0,S818+1)</f>
        <v>715</v>
      </c>
      <c r="T819" s="100" cm="1">
        <f t="array" aca="1" ref="T819" ca="1">IF(Первоначальный[[#This Row],[Итого остаток на начало периода]]&lt;1,0,
IF(
AND(TYPE(VLOOKUP(1,$Z$12:Z819,1,0))=16,Первоначальный[[#This Row],[Досрочное погашение (да/"")]]=""),0,
_xlfn.IFS(AND(S818=0,Первоначальный[[#This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платеж]]&lt;&gt;0),MIN(LOOKUP(,-1/($Z$12:Z819=1),$C$12:C819)+LOOKUP(,-1/($Z$12:Z819=1),$H$12:H819),Первоначальный[[#This Row],[Полученный платеж]]+Y818),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платеж]]+Y818,SUM(Первоначальный[[#This Row],[Остаток процентов на начало периода]],Первоначальный[[#This Row],[Проценты за период]])),
AND(S818=0,Первоначальный[[#This Row],[Дата платежа из графика]]=""),0,
AND(S818=0,Первоначальный[[#This Row],[Дата платежа из графика]]=1,MAX((0&lt;&gt;S$12:S818)*ROW(S$12:S818),ROW($S$12))&gt;=MAX((1=Z$12:Z818)*ROW(Z$12:Z818),ROW($T$12)),TYPE(VLOOKUP("Да",(INDIRECT("AA"&amp;(MAX((1=Z$12:Z818)*ROW(Z$12:Z818),ROW($T$12))&amp;":AA"&amp;(ROW()-1)))),1,0))=16),MIN(LOOKUP(,-1/($Z$12:Z819=1),$C$12:C819)+LOOKUP(,-1/($Z$12:Z819=1),$H$12:H819),Первоначальный[[#This Row],[Полученный платеж]]+Y818),
AND(S818=0,TYPE(VLOOKUP("Да",(INDIRECT("AA"&amp;(MAX((1=Z$12:Z818)*ROW(Z$12:Z818),ROW($T$12))&amp;":AA"&amp;(ROW()-1)))),1,0))&lt;&gt;16),MIN(LOOKUP(,-1/($Z$12:Z819=1),$C$12:C819)+LOOKUP(,-1/($Z$12:Z819=1),$H$12:H819)-IF(AA818="Да",0,SUM(INDIRECT("T"&amp;(MAX(("Да"=AA$12:AA818)*ROW(AA$12:AA818)+1,ROW($T$12))&amp;":T"&amp;(ROW()-1))))),Первоначальный[[#This Row],[Полученный платеж]]+Y818),
AND(S818=0,MAX((0&lt;&gt;N$12:N818)*ROW(N$12:N818),ROW($S$12))&gt;=MAX((1=Z$12:Z818)*ROW(Z$12:Z818),ROW($T$12))),MIN(LOOKUP(,-1/($Z$12:Z819=1),$C$12:C819)+LOOKUP(,-1/($Z$12:Z819=1),$H$12:H819)-IF(N818&lt;&gt;0,0,SUM(INDIRECT("T"&amp;(MAX((0&lt;&gt;N$12:N818)*ROW(N$12:N818)+1,ROW($T$12))&amp;":T"&amp;(ROW()-1))))),Первоначальный[[#This Row],[Полученный платеж]]+Y818),
AND(S818=0,Первоначальный[[#This Row],[Дата платежа из графика]]=1),MIN(LOOKUP(,-1/($Z$12:Z819=1),$C$12:C819)+LOOKUP(,-1/($Z$12:Z819=1),$H$12:H819)-IF(Z818=1,0,SUM(INDIRECT("T"&amp;(MAX((1=Z$12:Z818)*ROW(Z$12:Z818)+1,ROW($T$12))&amp;":T"&amp;(ROW()-1))))),Первоначальный[[#This Row],[Полученный платеж]]+Y818),
AND(Z818&gt;0,Первоначальный[[#This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платеж]]+Y818),
AND(S818&gt;0,MAX((0&lt;&gt;S$12:S818)*ROW(S$12:S818),ROW($S$12))&gt;=MAX((1=Z$12:Z818)*ROW(Z$12:Z818),ROW($T$12)),TYPE(VLOOKUP("Да",(INDIRECT("AA"&amp;(MAX((1=Z$12:Z818)*ROW(Z$12:Z818),ROW($T$12))&amp;":AA"&amp;(ROW()-1)))),1,0))=16),MIN(LOOKUP(,-1/($Z$12:Z819=1),$C$12:C819)+LOOKUP(,-1/($Z$12:Z819=1),$H$12:H819)-SUM(INDIRECT("T"&amp;(MAX((1=Z$12:Z818)*ROW(Z$12:Z818),ROW($T$12))&amp;":T"&amp;(ROW()-1)))),Первоначальный[[#This Row],[Полученный платеж]]+Y818),
S818&gt;0,MIN(LOOKUP(,-1/($Z$12:Z819=1),$C$12:C819)+LOOKUP(,-1/($Z$12:Z819=1),$H$12:H819)-IF(Z818=1,0,SUM(INDIRECT("T"&amp;(MAX((1=Z$12:Z818)*ROW(Z$12:Z818)+1,ROW($T$12))&amp;":T"&amp;(ROW()-1))))),Первоначальный[[#This Row],[Полученный платеж]]+Y818)
)
)
)</f>
        <v>0</v>
      </c>
      <c r="U81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платеж]]+Y818-Первоначальный[[#This Row],[Полученный платёж по процентам]])</f>
        <v>0</v>
      </c>
      <c r="V819" s="55">
        <f t="shared" ca="1" si="145"/>
        <v>0</v>
      </c>
      <c r="W819" s="55" cm="1">
        <f t="array" aca="1" ref="W819" ca="1">IF(Первоначальный[[#This Row],[Итого остаток на начало периода]]&lt;1,0,
_xlfn.IFS(
AND(TYPE(VLOOKUP(1,$Z$12:Z819,1,0))=16,Первоначальный[[#This Row],[Досрочное погашение (да/"")]]=""),0,
AND(S818=0,Первоначальный[[#This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платеж]]+Y818-SUM(Первоначальный[[#This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комиссиям]]),VLOOKUP(LOOKUP(,-1/($Z$12:Z819=1),$A$12:A819),График[[Срок конец]:[Возврат основной суммы долга]],3,0)),
AND(S818=0,Первоначальный[[#This Row],[Дата платежа из графика]]="",Первоначальный[[#This Row],[Досрочное погашение (да/"")]]&lt;&gt;"Да"),0,
AND(S818=0,Первоначальный[[#This Row],[Досрочное погашение (да/"")]]=""),MIN(Первоначальный[[#This Row],[Полученный платеж]]+Y818-SUM(Первоначальный[[#This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комиссиям]]),VLOOKUP(LOOKUP(,-1/($Z$12:Z819=1),$A$12:A819),График[[Срок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платеж]]+Y818-SUM(Первоначальный[[#This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S818&gt;0,MIN(Первоначальный[[#This Row],[Полученный платеж]]+Y818-SUM(Первоначальный[[#This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комиссиям]]),SUM(INDIRECT("M"&amp;(MAX((1=S$12:S818)*ROW(S$12:S818),ROW($W$12))&amp;":M"&amp;(ROW()))))-SUM(INDIRECT("W"&amp;(MAX((1=S$12:S818)*ROW(S$12:S818),ROW($W$12))&amp;":W"&amp;(ROW()-1)))))
)
)</f>
        <v>0</v>
      </c>
      <c r="X819" s="55">
        <f t="shared" ca="1" si="146"/>
        <v>0</v>
      </c>
      <c r="Y819" s="101">
        <f t="shared" ca="1" si="153"/>
        <v>0</v>
      </c>
      <c r="Z819" s="133" t="str">
        <f>IF(TYPE((VLOOKUP(Первоначальный[[#This Row],[Дата платежа]],График[Срок конец],1,0)))=16,"",1)</f>
        <v/>
      </c>
      <c r="AA819" s="57"/>
      <c r="AB819" s="134"/>
      <c r="AC81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1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58475.199999999968</v>
      </c>
      <c r="AE81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2289.079999999999</v>
      </c>
      <c r="AF81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1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127261.11984426242</v>
      </c>
      <c r="AH819" s="55"/>
      <c r="AI819" s="55"/>
      <c r="AJ819" s="55"/>
      <c r="AK819" s="101">
        <f t="shared" ca="1" si="154"/>
        <v>337658.73984426237</v>
      </c>
      <c r="AL819" s="129">
        <f t="array" ref="AL819">MAX((УслРестрактов[Характеристика]="Дата реструктуризации")*(УслРестрактов[Значение]=Первоначальный!$A819),0)</f>
        <v>0</v>
      </c>
    </row>
    <row r="820" spans="1:38" x14ac:dyDescent="0.25">
      <c r="A820" s="97">
        <f t="shared" si="147"/>
        <v>44951</v>
      </c>
      <c r="B820" s="100">
        <f t="shared" ca="1" si="148"/>
        <v>149633.34</v>
      </c>
      <c r="C820" s="55">
        <f t="shared" ca="1" si="156"/>
        <v>58475.199999999968</v>
      </c>
      <c r="D820" s="55">
        <f t="shared" ca="1" si="156"/>
        <v>2289.079999999999</v>
      </c>
      <c r="E820" s="55">
        <f t="shared" ca="1" si="149"/>
        <v>0</v>
      </c>
      <c r="F820" s="55">
        <f t="shared" ca="1" si="150"/>
        <v>127261.11984426242</v>
      </c>
      <c r="G820" s="101">
        <f t="shared" ca="1" si="151"/>
        <v>337658.73984426237</v>
      </c>
      <c r="H820" s="100">
        <f ca="1">ROUND($B820*VLOOKUP($A820,$A$1:$B$10,2,1)/(365+IF(MOD(YEAR($A820),4),0,1)*($A820-$A819)),2)-Первоначальный[[#This Row],[Проценты на просроченный платеж по ОД за период]]</f>
        <v>74.95</v>
      </c>
      <c r="I820" s="55">
        <f t="shared" ca="1" si="152"/>
        <v>6.63</v>
      </c>
      <c r="J820" s="55">
        <v>0</v>
      </c>
      <c r="K820" s="55">
        <f t="shared" ca="1" si="155"/>
        <v>347.57350327868846</v>
      </c>
      <c r="L820" s="55">
        <v>0</v>
      </c>
      <c r="M820" s="113">
        <f>SUMIFS(График[Возврат основной суммы долга],График[Дата с учетом нерабочих дней],$A820)</f>
        <v>0</v>
      </c>
      <c r="N820" s="56">
        <f>SUMIFS(График[Возврат начисленных %],График[Дата с учетом нерабочих дней],$A820)</f>
        <v>0</v>
      </c>
      <c r="O820" s="101">
        <v>0</v>
      </c>
      <c r="P820" s="100" cm="1">
        <f t="array" aca="1" ref="P820" ca="1">MAX(IF(AA819="Да",0,SUM(INDIRECT("M"&amp;(MAX(("Да"=AA$12:AA819)*ROW(AA$12:AA819)+1,ROW($P$12))&amp;":M"&amp;(ROW()))))-SUM(INDIRECT("W"&amp;(MAX(("Да"=AA$12:AA819)*ROW(AA$12:AA819)+1,ROW($P$12))&amp;":W"&amp;(ROW()))))),0)</f>
        <v>12165.97</v>
      </c>
      <c r="Q820" s="99">
        <f ca="1">MAX(SUM($N$13:N820)-SUM($T$13:T820),0)</f>
        <v>57348.730655737687</v>
      </c>
      <c r="R820" s="99">
        <f ca="1">Первоначальный[[#This Row],[Просроченный платеж по ОД]]+Первоначальный[[#This Row],[Просроченный платеж по процентам]]</f>
        <v>69514.700655737688</v>
      </c>
      <c r="S820" s="120">
        <f ca="1">IF(Первоначальный[[#This Row],[Просроченный платеж]]&lt;1,0,S819+1)</f>
        <v>716</v>
      </c>
      <c r="T820" s="100" cm="1">
        <f t="array" aca="1" ref="T820" ca="1">IF(Первоначальный[[#This Row],[Итого остаток на начало периода]]&lt;1,0,
IF(
AND(TYPE(VLOOKUP(1,$Z$12:Z820,1,0))=16,Первоначальный[[#This Row],[Досрочное погашение (да/"")]]=""),0,
_xlfn.IFS(AND(S819=0,Первоначальный[[#This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платеж]]&lt;&gt;0),MIN(LOOKUP(,-1/($Z$12:Z820=1),$C$12:C820)+LOOKUP(,-1/($Z$12:Z820=1),$H$12:H820),Первоначальный[[#This Row],[Полученный платеж]]+Y819),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платеж]]+Y819,SUM(Первоначальный[[#This Row],[Остаток процентов на начало периода]],Первоначальный[[#This Row],[Проценты за период]])),
AND(S819=0,Первоначальный[[#This Row],[Дата платежа из графика]]=""),0,
AND(S819=0,Первоначальный[[#This Row],[Дата платежа из графика]]=1,MAX((0&lt;&gt;S$12:S819)*ROW(S$12:S819),ROW($S$12))&gt;=MAX((1=Z$12:Z819)*ROW(Z$12:Z819),ROW($T$12)),TYPE(VLOOKUP("Да",(INDIRECT("AA"&amp;(MAX((1=Z$12:Z819)*ROW(Z$12:Z819),ROW($T$12))&amp;":AA"&amp;(ROW()-1)))),1,0))=16),MIN(LOOKUP(,-1/($Z$12:Z820=1),$C$12:C820)+LOOKUP(,-1/($Z$12:Z820=1),$H$12:H820),Первоначальный[[#This Row],[Полученный платеж]]+Y819),
AND(S819=0,TYPE(VLOOKUP("Да",(INDIRECT("AA"&amp;(MAX((1=Z$12:Z819)*ROW(Z$12:Z819),ROW($T$12))&amp;":AA"&amp;(ROW()-1)))),1,0))&lt;&gt;16),MIN(LOOKUP(,-1/($Z$12:Z820=1),$C$12:C820)+LOOKUP(,-1/($Z$12:Z820=1),$H$12:H820)-IF(AA819="Да",0,SUM(INDIRECT("T"&amp;(MAX(("Да"=AA$12:AA819)*ROW(AA$12:AA819)+1,ROW($T$12))&amp;":T"&amp;(ROW()-1))))),Первоначальный[[#This Row],[Полученный платеж]]+Y819),
AND(S819=0,MAX((0&lt;&gt;N$12:N819)*ROW(N$12:N819),ROW($S$12))&gt;=MAX((1=Z$12:Z819)*ROW(Z$12:Z819),ROW($T$12))),MIN(LOOKUP(,-1/($Z$12:Z820=1),$C$12:C820)+LOOKUP(,-1/($Z$12:Z820=1),$H$12:H820)-IF(N819&lt;&gt;0,0,SUM(INDIRECT("T"&amp;(MAX((0&lt;&gt;N$12:N819)*ROW(N$12:N819)+1,ROW($T$12))&amp;":T"&amp;(ROW()-1))))),Первоначальный[[#This Row],[Полученный платеж]]+Y819),
AND(S819=0,Первоначальный[[#This Row],[Дата платежа из графика]]=1),MIN(LOOKUP(,-1/($Z$12:Z820=1),$C$12:C820)+LOOKUP(,-1/($Z$12:Z820=1),$H$12:H820)-IF(Z819=1,0,SUM(INDIRECT("T"&amp;(MAX((1=Z$12:Z819)*ROW(Z$12:Z819)+1,ROW($T$12))&amp;":T"&amp;(ROW()-1))))),Первоначальный[[#This Row],[Полученный платеж]]+Y819),
AND(Z819&gt;0,Первоначальный[[#This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платеж]]+Y819),
AND(S819&gt;0,MAX((0&lt;&gt;S$12:S819)*ROW(S$12:S819),ROW($S$12))&gt;=MAX((1=Z$12:Z819)*ROW(Z$12:Z819),ROW($T$12)),TYPE(VLOOKUP("Да",(INDIRECT("AA"&amp;(MAX((1=Z$12:Z819)*ROW(Z$12:Z819),ROW($T$12))&amp;":AA"&amp;(ROW()-1)))),1,0))=16),MIN(LOOKUP(,-1/($Z$12:Z820=1),$C$12:C820)+LOOKUP(,-1/($Z$12:Z820=1),$H$12:H820)-SUM(INDIRECT("T"&amp;(MAX((1=Z$12:Z819)*ROW(Z$12:Z819),ROW($T$12))&amp;":T"&amp;(ROW()-1)))),Первоначальный[[#This Row],[Полученный платеж]]+Y819),
S819&gt;0,MIN(LOOKUP(,-1/($Z$12:Z820=1),$C$12:C820)+LOOKUP(,-1/($Z$12:Z820=1),$H$12:H820)-IF(Z819=1,0,SUM(INDIRECT("T"&amp;(MAX((1=Z$12:Z819)*ROW(Z$12:Z819)+1,ROW($T$12))&amp;":T"&amp;(ROW()-1))))),Первоначальный[[#This Row],[Полученный платеж]]+Y819)
)
)
)</f>
        <v>0</v>
      </c>
      <c r="U82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платеж]]+Y819-Первоначальный[[#This Row],[Полученный платёж по процентам]])</f>
        <v>0</v>
      </c>
      <c r="V820" s="55">
        <f t="shared" ca="1" si="145"/>
        <v>0</v>
      </c>
      <c r="W820" s="55" cm="1">
        <f t="array" aca="1" ref="W820" ca="1">IF(Первоначальный[[#This Row],[Итого остаток на начало периода]]&lt;1,0,
_xlfn.IFS(
AND(TYPE(VLOOKUP(1,$Z$12:Z820,1,0))=16,Первоначальный[[#This Row],[Досрочное погашение (да/"")]]=""),0,
AND(S819=0,Первоначальный[[#This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платеж]]+Y819-SUM(Первоначальный[[#This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комиссиям]]),VLOOKUP(LOOKUP(,-1/($Z$12:Z820=1),$A$12:A820),График[[Срок конец]:[Возврат основной суммы долга]],3,0)),
AND(S819=0,Первоначальный[[#This Row],[Дата платежа из графика]]="",Первоначальный[[#This Row],[Досрочное погашение (да/"")]]&lt;&gt;"Да"),0,
AND(S819=0,Первоначальный[[#This Row],[Досрочное погашение (да/"")]]=""),MIN(Первоначальный[[#This Row],[Полученный платеж]]+Y819-SUM(Первоначальный[[#This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комиссиям]]),VLOOKUP(LOOKUP(,-1/($Z$12:Z820=1),$A$12:A820),График[[Срок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платеж]]+Y819-SUM(Первоначальный[[#This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S819&gt;0,MIN(Первоначальный[[#This Row],[Полученный платеж]]+Y819-SUM(Первоначальный[[#This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комиссиям]]),SUM(INDIRECT("M"&amp;(MAX((1=S$12:S819)*ROW(S$12:S819),ROW($W$12))&amp;":M"&amp;(ROW()))))-SUM(INDIRECT("W"&amp;(MAX((1=S$12:S819)*ROW(S$12:S819),ROW($W$12))&amp;":W"&amp;(ROW()-1)))))
)
)</f>
        <v>0</v>
      </c>
      <c r="X820" s="55">
        <f t="shared" ca="1" si="146"/>
        <v>0</v>
      </c>
      <c r="Y820" s="101">
        <f t="shared" ca="1" si="153"/>
        <v>0</v>
      </c>
      <c r="Z820" s="133" t="str">
        <f>IF(TYPE((VLOOKUP(Первоначальный[[#This Row],[Дата платежа]],График[Срок конец],1,0)))=16,"",1)</f>
        <v/>
      </c>
      <c r="AA820" s="57"/>
      <c r="AB820" s="134"/>
      <c r="AC82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2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58550.149999999965</v>
      </c>
      <c r="AE82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2295.7099999999991</v>
      </c>
      <c r="AF82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2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127608.69334754111</v>
      </c>
      <c r="AH820" s="55"/>
      <c r="AI820" s="55"/>
      <c r="AJ820" s="55"/>
      <c r="AK820" s="101">
        <f t="shared" ca="1" si="154"/>
        <v>338087.89334754104</v>
      </c>
      <c r="AL820" s="129">
        <f t="array" ref="AL820">MAX((УслРестрактов[Характеристика]="Дата реструктуризации")*(УслРестрактов[Значение]=Первоначальный!$A820),0)</f>
        <v>0</v>
      </c>
    </row>
    <row r="821" spans="1:38" x14ac:dyDescent="0.25">
      <c r="A821" s="97">
        <f t="shared" si="147"/>
        <v>44952</v>
      </c>
      <c r="B821" s="100">
        <f t="shared" ca="1" si="148"/>
        <v>149633.34</v>
      </c>
      <c r="C821" s="55">
        <f t="shared" ca="1" si="156"/>
        <v>58550.149999999965</v>
      </c>
      <c r="D821" s="55">
        <f t="shared" ca="1" si="156"/>
        <v>2295.7099999999991</v>
      </c>
      <c r="E821" s="55">
        <f t="shared" ca="1" si="149"/>
        <v>0</v>
      </c>
      <c r="F821" s="55">
        <f t="shared" ca="1" si="150"/>
        <v>127608.69334754111</v>
      </c>
      <c r="G821" s="101">
        <f t="shared" ca="1" si="151"/>
        <v>338087.89334754104</v>
      </c>
      <c r="H821" s="100">
        <f ca="1">ROUND($B821*VLOOKUP($A821,$A$1:$B$10,2,1)/(365+IF(MOD(YEAR($A821),4),0,1)*($A821-$A820)),2)-Первоначальный[[#This Row],[Проценты на просроченный платеж по ОД за период]]</f>
        <v>74.95</v>
      </c>
      <c r="I821" s="55">
        <f t="shared" ca="1" si="152"/>
        <v>6.63</v>
      </c>
      <c r="J821" s="55">
        <v>0</v>
      </c>
      <c r="K821" s="55">
        <f t="shared" ca="1" si="155"/>
        <v>347.57350327868846</v>
      </c>
      <c r="L821" s="55">
        <v>0</v>
      </c>
      <c r="M821" s="113">
        <f>SUMIFS(График[Возврат основной суммы долга],График[Дата с учетом нерабочих дней],$A821)</f>
        <v>0</v>
      </c>
      <c r="N821" s="56">
        <f>SUMIFS(График[Возврат начисленных %],График[Дата с учетом нерабочих дней],$A821)</f>
        <v>0</v>
      </c>
      <c r="O821" s="101">
        <v>0</v>
      </c>
      <c r="P821" s="100" cm="1">
        <f t="array" aca="1" ref="P821" ca="1">MAX(IF(AA820="Да",0,SUM(INDIRECT("M"&amp;(MAX(("Да"=AA$12:AA820)*ROW(AA$12:AA820)+1,ROW($P$12))&amp;":M"&amp;(ROW()))))-SUM(INDIRECT("W"&amp;(MAX(("Да"=AA$12:AA820)*ROW(AA$12:AA820)+1,ROW($P$12))&amp;":W"&amp;(ROW()))))),0)</f>
        <v>12165.97</v>
      </c>
      <c r="Q821" s="99">
        <f ca="1">MAX(SUM($N$13:N821)-SUM($T$13:T821),0)</f>
        <v>57348.730655737687</v>
      </c>
      <c r="R821" s="99">
        <f ca="1">Первоначальный[[#This Row],[Просроченный платеж по ОД]]+Первоначальный[[#This Row],[Просроченный платеж по процентам]]</f>
        <v>69514.700655737688</v>
      </c>
      <c r="S821" s="120">
        <f ca="1">IF(Первоначальный[[#This Row],[Просроченный платеж]]&lt;1,0,S820+1)</f>
        <v>717</v>
      </c>
      <c r="T821" s="100" cm="1">
        <f t="array" aca="1" ref="T821" ca="1">IF(Первоначальный[[#This Row],[Итого остаток на начало периода]]&lt;1,0,
IF(
AND(TYPE(VLOOKUP(1,$Z$12:Z821,1,0))=16,Первоначальный[[#This Row],[Досрочное погашение (да/"")]]=""),0,
_xlfn.IFS(AND(S820=0,Первоначальный[[#This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платеж]]&lt;&gt;0),MIN(LOOKUP(,-1/($Z$12:Z821=1),$C$12:C821)+LOOKUP(,-1/($Z$12:Z821=1),$H$12:H821),Первоначальный[[#This Row],[Полученный платеж]]+Y820),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платеж]]+Y820,SUM(Первоначальный[[#This Row],[Остаток процентов на начало периода]],Первоначальный[[#This Row],[Проценты за период]])),
AND(S820=0,Первоначальный[[#This Row],[Дата платежа из графика]]=""),0,
AND(S820=0,Первоначальный[[#This Row],[Дата платежа из графика]]=1,MAX((0&lt;&gt;S$12:S820)*ROW(S$12:S820),ROW($S$12))&gt;=MAX((1=Z$12:Z820)*ROW(Z$12:Z820),ROW($T$12)),TYPE(VLOOKUP("Да",(INDIRECT("AA"&amp;(MAX((1=Z$12:Z820)*ROW(Z$12:Z820),ROW($T$12))&amp;":AA"&amp;(ROW()-1)))),1,0))=16),MIN(LOOKUP(,-1/($Z$12:Z821=1),$C$12:C821)+LOOKUP(,-1/($Z$12:Z821=1),$H$12:H821),Первоначальный[[#This Row],[Полученный платеж]]+Y820),
AND(S820=0,TYPE(VLOOKUP("Да",(INDIRECT("AA"&amp;(MAX((1=Z$12:Z820)*ROW(Z$12:Z820),ROW($T$12))&amp;":AA"&amp;(ROW()-1)))),1,0))&lt;&gt;16),MIN(LOOKUP(,-1/($Z$12:Z821=1),$C$12:C821)+LOOKUP(,-1/($Z$12:Z821=1),$H$12:H821)-IF(AA820="Да",0,SUM(INDIRECT("T"&amp;(MAX(("Да"=AA$12:AA820)*ROW(AA$12:AA820)+1,ROW($T$12))&amp;":T"&amp;(ROW()-1))))),Первоначальный[[#This Row],[Полученный платеж]]+Y820),
AND(S820=0,MAX((0&lt;&gt;N$12:N820)*ROW(N$12:N820),ROW($S$12))&gt;=MAX((1=Z$12:Z820)*ROW(Z$12:Z820),ROW($T$12))),MIN(LOOKUP(,-1/($Z$12:Z821=1),$C$12:C821)+LOOKUP(,-1/($Z$12:Z821=1),$H$12:H821)-IF(N820&lt;&gt;0,0,SUM(INDIRECT("T"&amp;(MAX((0&lt;&gt;N$12:N820)*ROW(N$12:N820)+1,ROW($T$12))&amp;":T"&amp;(ROW()-1))))),Первоначальный[[#This Row],[Полученный платеж]]+Y820),
AND(S820=0,Первоначальный[[#This Row],[Дата платежа из графика]]=1),MIN(LOOKUP(,-1/($Z$12:Z821=1),$C$12:C821)+LOOKUP(,-1/($Z$12:Z821=1),$H$12:H821)-IF(Z820=1,0,SUM(INDIRECT("T"&amp;(MAX((1=Z$12:Z820)*ROW(Z$12:Z820)+1,ROW($T$12))&amp;":T"&amp;(ROW()-1))))),Первоначальный[[#This Row],[Полученный платеж]]+Y820),
AND(Z820&gt;0,Первоначальный[[#This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платеж]]+Y820),
AND(S820&gt;0,MAX((0&lt;&gt;S$12:S820)*ROW(S$12:S820),ROW($S$12))&gt;=MAX((1=Z$12:Z820)*ROW(Z$12:Z820),ROW($T$12)),TYPE(VLOOKUP("Да",(INDIRECT("AA"&amp;(MAX((1=Z$12:Z820)*ROW(Z$12:Z820),ROW($T$12))&amp;":AA"&amp;(ROW()-1)))),1,0))=16),MIN(LOOKUP(,-1/($Z$12:Z821=1),$C$12:C821)+LOOKUP(,-1/($Z$12:Z821=1),$H$12:H821)-SUM(INDIRECT("T"&amp;(MAX((1=Z$12:Z820)*ROW(Z$12:Z820),ROW($T$12))&amp;":T"&amp;(ROW()-1)))),Первоначальный[[#This Row],[Полученный платеж]]+Y820),
S820&gt;0,MIN(LOOKUP(,-1/($Z$12:Z821=1),$C$12:C821)+LOOKUP(,-1/($Z$12:Z821=1),$H$12:H821)-IF(Z820=1,0,SUM(INDIRECT("T"&amp;(MAX((1=Z$12:Z820)*ROW(Z$12:Z820)+1,ROW($T$12))&amp;":T"&amp;(ROW()-1))))),Первоначальный[[#This Row],[Полученный платеж]]+Y820)
)
)
)</f>
        <v>0</v>
      </c>
      <c r="U82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платеж]]+Y820-Первоначальный[[#This Row],[Полученный платёж по процентам]])</f>
        <v>0</v>
      </c>
      <c r="V821" s="55">
        <f t="shared" ca="1" si="145"/>
        <v>0</v>
      </c>
      <c r="W821" s="55" cm="1">
        <f t="array" aca="1" ref="W821" ca="1">IF(Первоначальный[[#This Row],[Итого остаток на начало периода]]&lt;1,0,
_xlfn.IFS(
AND(TYPE(VLOOKUP(1,$Z$12:Z821,1,0))=16,Первоначальный[[#This Row],[Досрочное погашение (да/"")]]=""),0,
AND(S820=0,Первоначальный[[#This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платеж]]+Y820-SUM(Первоначальный[[#This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комиссиям]]),VLOOKUP(LOOKUP(,-1/($Z$12:Z821=1),$A$12:A821),График[[Срок конец]:[Возврат основной суммы долга]],3,0)),
AND(S820=0,Первоначальный[[#This Row],[Дата платежа из графика]]="",Первоначальный[[#This Row],[Досрочное погашение (да/"")]]&lt;&gt;"Да"),0,
AND(S820=0,Первоначальный[[#This Row],[Досрочное погашение (да/"")]]=""),MIN(Первоначальный[[#This Row],[Полученный платеж]]+Y820-SUM(Первоначальный[[#This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комиссиям]]),VLOOKUP(LOOKUP(,-1/($Z$12:Z821=1),$A$12:A821),График[[Срок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платеж]]+Y820-SUM(Первоначальный[[#This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S820&gt;0,MIN(Первоначальный[[#This Row],[Полученный платеж]]+Y820-SUM(Первоначальный[[#This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комиссиям]]),SUM(INDIRECT("M"&amp;(MAX((1=S$12:S820)*ROW(S$12:S820),ROW($W$12))&amp;":M"&amp;(ROW()))))-SUM(INDIRECT("W"&amp;(MAX((1=S$12:S820)*ROW(S$12:S820),ROW($W$12))&amp;":W"&amp;(ROW()-1)))))
)
)</f>
        <v>0</v>
      </c>
      <c r="X821" s="55">
        <f t="shared" ca="1" si="146"/>
        <v>0</v>
      </c>
      <c r="Y821" s="101">
        <f t="shared" ca="1" si="153"/>
        <v>0</v>
      </c>
      <c r="Z821" s="133" t="str">
        <f>IF(TYPE((VLOOKUP(Первоначальный[[#This Row],[Дата платежа]],График[Срок конец],1,0)))=16,"",1)</f>
        <v/>
      </c>
      <c r="AA821" s="57"/>
      <c r="AB821" s="134"/>
      <c r="AC82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2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58625.099999999962</v>
      </c>
      <c r="AE82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2302.3399999999992</v>
      </c>
      <c r="AF82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2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127956.2668508198</v>
      </c>
      <c r="AH821" s="55"/>
      <c r="AI821" s="55"/>
      <c r="AJ821" s="55"/>
      <c r="AK821" s="101">
        <f t="shared" ca="1" si="154"/>
        <v>338517.04685081972</v>
      </c>
      <c r="AL821" s="129">
        <f t="array" ref="AL821">MAX((УслРестрактов[Характеристика]="Дата реструктуризации")*(УслРестрактов[Значение]=Первоначальный!$A821),0)</f>
        <v>0</v>
      </c>
    </row>
    <row r="822" spans="1:38" x14ac:dyDescent="0.25">
      <c r="A822" s="97">
        <f t="shared" si="147"/>
        <v>44953</v>
      </c>
      <c r="B822" s="100">
        <f t="shared" ca="1" si="148"/>
        <v>149633.34</v>
      </c>
      <c r="C822" s="55">
        <f t="shared" ca="1" si="156"/>
        <v>58625.099999999962</v>
      </c>
      <c r="D822" s="55">
        <f t="shared" ca="1" si="156"/>
        <v>2302.3399999999992</v>
      </c>
      <c r="E822" s="55">
        <f t="shared" ca="1" si="149"/>
        <v>0</v>
      </c>
      <c r="F822" s="55">
        <f t="shared" ca="1" si="150"/>
        <v>127956.2668508198</v>
      </c>
      <c r="G822" s="101">
        <f t="shared" ca="1" si="151"/>
        <v>338517.04685081972</v>
      </c>
      <c r="H822" s="100">
        <f ca="1">ROUND($B822*VLOOKUP($A822,$A$1:$B$10,2,1)/(365+IF(MOD(YEAR($A822),4),0,1)*($A822-$A821)),2)-Первоначальный[[#This Row],[Проценты на просроченный платеж по ОД за период]]</f>
        <v>74.95</v>
      </c>
      <c r="I822" s="55">
        <f t="shared" ca="1" si="152"/>
        <v>6.63</v>
      </c>
      <c r="J822" s="55">
        <v>0</v>
      </c>
      <c r="K822" s="55">
        <f t="shared" ca="1" si="155"/>
        <v>347.57350327868846</v>
      </c>
      <c r="L822" s="55">
        <v>0</v>
      </c>
      <c r="M822" s="113">
        <f>SUMIFS(График[Возврат основной суммы долга],График[Дата с учетом нерабочих дней],$A822)</f>
        <v>0</v>
      </c>
      <c r="N822" s="56">
        <f>SUMIFS(График[Возврат начисленных %],График[Дата с учетом нерабочих дней],$A822)</f>
        <v>0</v>
      </c>
      <c r="O822" s="101">
        <v>0</v>
      </c>
      <c r="P822" s="100" cm="1">
        <f t="array" aca="1" ref="P822" ca="1">MAX(IF(AA821="Да",0,SUM(INDIRECT("M"&amp;(MAX(("Да"=AA$12:AA821)*ROW(AA$12:AA821)+1,ROW($P$12))&amp;":M"&amp;(ROW()))))-SUM(INDIRECT("W"&amp;(MAX(("Да"=AA$12:AA821)*ROW(AA$12:AA821)+1,ROW($P$12))&amp;":W"&amp;(ROW()))))),0)</f>
        <v>12165.97</v>
      </c>
      <c r="Q822" s="99">
        <f ca="1">MAX(SUM($N$13:N822)-SUM($T$13:T822),0)</f>
        <v>57348.730655737687</v>
      </c>
      <c r="R822" s="99">
        <f ca="1">Первоначальный[[#This Row],[Просроченный платеж по ОД]]+Первоначальный[[#This Row],[Просроченный платеж по процентам]]</f>
        <v>69514.700655737688</v>
      </c>
      <c r="S822" s="120">
        <f ca="1">IF(Первоначальный[[#This Row],[Просроченный платеж]]&lt;1,0,S821+1)</f>
        <v>718</v>
      </c>
      <c r="T822" s="100" cm="1">
        <f t="array" aca="1" ref="T822" ca="1">IF(Первоначальный[[#This Row],[Итого остаток на начало периода]]&lt;1,0,
IF(
AND(TYPE(VLOOKUP(1,$Z$12:Z822,1,0))=16,Первоначальный[[#This Row],[Досрочное погашение (да/"")]]=""),0,
_xlfn.IFS(AND(S821=0,Первоначальный[[#This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платеж]]&lt;&gt;0),MIN(LOOKUP(,-1/($Z$12:Z822=1),$C$12:C822)+LOOKUP(,-1/($Z$12:Z822=1),$H$12:H822),Первоначальный[[#This Row],[Полученный платеж]]+Y821),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платеж]]+Y821,SUM(Первоначальный[[#This Row],[Остаток процентов на начало периода]],Первоначальный[[#This Row],[Проценты за период]])),
AND(S821=0,Первоначальный[[#This Row],[Дата платежа из графика]]=""),0,
AND(S821=0,Первоначальный[[#This Row],[Дата платежа из графика]]=1,MAX((0&lt;&gt;S$12:S821)*ROW(S$12:S821),ROW($S$12))&gt;=MAX((1=Z$12:Z821)*ROW(Z$12:Z821),ROW($T$12)),TYPE(VLOOKUP("Да",(INDIRECT("AA"&amp;(MAX((1=Z$12:Z821)*ROW(Z$12:Z821),ROW($T$12))&amp;":AA"&amp;(ROW()-1)))),1,0))=16),MIN(LOOKUP(,-1/($Z$12:Z822=1),$C$12:C822)+LOOKUP(,-1/($Z$12:Z822=1),$H$12:H822),Первоначальный[[#This Row],[Полученный платеж]]+Y821),
AND(S821=0,TYPE(VLOOKUP("Да",(INDIRECT("AA"&amp;(MAX((1=Z$12:Z821)*ROW(Z$12:Z821),ROW($T$12))&amp;":AA"&amp;(ROW()-1)))),1,0))&lt;&gt;16),MIN(LOOKUP(,-1/($Z$12:Z822=1),$C$12:C822)+LOOKUP(,-1/($Z$12:Z822=1),$H$12:H822)-IF(AA821="Да",0,SUM(INDIRECT("T"&amp;(MAX(("Да"=AA$12:AA821)*ROW(AA$12:AA821)+1,ROW($T$12))&amp;":T"&amp;(ROW()-1))))),Первоначальный[[#This Row],[Полученный платеж]]+Y821),
AND(S821=0,MAX((0&lt;&gt;N$12:N821)*ROW(N$12:N821),ROW($S$12))&gt;=MAX((1=Z$12:Z821)*ROW(Z$12:Z821),ROW($T$12))),MIN(LOOKUP(,-1/($Z$12:Z822=1),$C$12:C822)+LOOKUP(,-1/($Z$12:Z822=1),$H$12:H822)-IF(N821&lt;&gt;0,0,SUM(INDIRECT("T"&amp;(MAX((0&lt;&gt;N$12:N821)*ROW(N$12:N821)+1,ROW($T$12))&amp;":T"&amp;(ROW()-1))))),Первоначальный[[#This Row],[Полученный платеж]]+Y821),
AND(S821=0,Первоначальный[[#This Row],[Дата платежа из графика]]=1),MIN(LOOKUP(,-1/($Z$12:Z822=1),$C$12:C822)+LOOKUP(,-1/($Z$12:Z822=1),$H$12:H822)-IF(Z821=1,0,SUM(INDIRECT("T"&amp;(MAX((1=Z$12:Z821)*ROW(Z$12:Z821)+1,ROW($T$12))&amp;":T"&amp;(ROW()-1))))),Первоначальный[[#This Row],[Полученный платеж]]+Y821),
AND(Z821&gt;0,Первоначальный[[#This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платеж]]+Y821),
AND(S821&gt;0,MAX((0&lt;&gt;S$12:S821)*ROW(S$12:S821),ROW($S$12))&gt;=MAX((1=Z$12:Z821)*ROW(Z$12:Z821),ROW($T$12)),TYPE(VLOOKUP("Да",(INDIRECT("AA"&amp;(MAX((1=Z$12:Z821)*ROW(Z$12:Z821),ROW($T$12))&amp;":AA"&amp;(ROW()-1)))),1,0))=16),MIN(LOOKUP(,-1/($Z$12:Z822=1),$C$12:C822)+LOOKUP(,-1/($Z$12:Z822=1),$H$12:H822)-SUM(INDIRECT("T"&amp;(MAX((1=Z$12:Z821)*ROW(Z$12:Z821),ROW($T$12))&amp;":T"&amp;(ROW()-1)))),Первоначальный[[#This Row],[Полученный платеж]]+Y821),
S821&gt;0,MIN(LOOKUP(,-1/($Z$12:Z822=1),$C$12:C822)+LOOKUP(,-1/($Z$12:Z822=1),$H$12:H822)-IF(Z821=1,0,SUM(INDIRECT("T"&amp;(MAX((1=Z$12:Z821)*ROW(Z$12:Z821)+1,ROW($T$12))&amp;":T"&amp;(ROW()-1))))),Первоначальный[[#This Row],[Полученный платеж]]+Y821)
)
)
)</f>
        <v>0</v>
      </c>
      <c r="U82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платеж]]+Y821-Первоначальный[[#This Row],[Полученный платёж по процентам]])</f>
        <v>0</v>
      </c>
      <c r="V822" s="55">
        <f t="shared" ca="1" si="145"/>
        <v>0</v>
      </c>
      <c r="W822" s="55" cm="1">
        <f t="array" aca="1" ref="W822" ca="1">IF(Первоначальный[[#This Row],[Итого остаток на начало периода]]&lt;1,0,
_xlfn.IFS(
AND(TYPE(VLOOKUP(1,$Z$12:Z822,1,0))=16,Первоначальный[[#This Row],[Досрочное погашение (да/"")]]=""),0,
AND(S821=0,Первоначальный[[#This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платеж]]+Y821-SUM(Первоначальный[[#This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комиссиям]]),VLOOKUP(LOOKUP(,-1/($Z$12:Z822=1),$A$12:A822),График[[Срок конец]:[Возврат основной суммы долга]],3,0)),
AND(S821=0,Первоначальный[[#This Row],[Дата платежа из графика]]="",Первоначальный[[#This Row],[Досрочное погашение (да/"")]]&lt;&gt;"Да"),0,
AND(S821=0,Первоначальный[[#This Row],[Досрочное погашение (да/"")]]=""),MIN(Первоначальный[[#This Row],[Полученный платеж]]+Y821-SUM(Первоначальный[[#This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комиссиям]]),VLOOKUP(LOOKUP(,-1/($Z$12:Z822=1),$A$12:A822),График[[Срок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платеж]]+Y821-SUM(Первоначальный[[#This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S821&gt;0,MIN(Первоначальный[[#This Row],[Полученный платеж]]+Y821-SUM(Первоначальный[[#This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комиссиям]]),SUM(INDIRECT("M"&amp;(MAX((1=S$12:S821)*ROW(S$12:S821),ROW($W$12))&amp;":M"&amp;(ROW()))))-SUM(INDIRECT("W"&amp;(MAX((1=S$12:S821)*ROW(S$12:S821),ROW($W$12))&amp;":W"&amp;(ROW()-1)))))
)
)</f>
        <v>0</v>
      </c>
      <c r="X822" s="55">
        <f t="shared" ca="1" si="146"/>
        <v>0</v>
      </c>
      <c r="Y822" s="101">
        <f t="shared" ca="1" si="153"/>
        <v>0</v>
      </c>
      <c r="Z822" s="133" t="str">
        <f>IF(TYPE((VLOOKUP(Первоначальный[[#This Row],[Дата платежа]],График[Срок конец],1,0)))=16,"",1)</f>
        <v/>
      </c>
      <c r="AA822" s="57"/>
      <c r="AB822" s="134"/>
      <c r="AC82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2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58700.049999999959</v>
      </c>
      <c r="AE82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2308.9699999999993</v>
      </c>
      <c r="AF82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2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128303.84035409849</v>
      </c>
      <c r="AH822" s="55"/>
      <c r="AI822" s="55"/>
      <c r="AJ822" s="55"/>
      <c r="AK822" s="101">
        <f t="shared" ca="1" si="154"/>
        <v>338946.20035409846</v>
      </c>
      <c r="AL822" s="129">
        <f t="array" ref="AL822">MAX((УслРестрактов[Характеристика]="Дата реструктуризации")*(УслРестрактов[Значение]=Первоначальный!$A822),0)</f>
        <v>0</v>
      </c>
    </row>
    <row r="823" spans="1:38" x14ac:dyDescent="0.25">
      <c r="A823" s="97">
        <f t="shared" si="147"/>
        <v>44954</v>
      </c>
      <c r="B823" s="100">
        <f t="shared" ca="1" si="148"/>
        <v>149633.34</v>
      </c>
      <c r="C823" s="55">
        <f t="shared" ca="1" si="156"/>
        <v>58700.049999999959</v>
      </c>
      <c r="D823" s="55">
        <f t="shared" ca="1" si="156"/>
        <v>2308.9699999999993</v>
      </c>
      <c r="E823" s="55">
        <f t="shared" ca="1" si="149"/>
        <v>0</v>
      </c>
      <c r="F823" s="55">
        <f t="shared" ca="1" si="150"/>
        <v>128303.84035409849</v>
      </c>
      <c r="G823" s="101">
        <f t="shared" ca="1" si="151"/>
        <v>338946.20035409846</v>
      </c>
      <c r="H823" s="100">
        <f ca="1">ROUND($B823*VLOOKUP($A823,$A$1:$B$10,2,1)/(365+IF(MOD(YEAR($A823),4),0,1)*($A823-$A822)),2)-Первоначальный[[#This Row],[Проценты на просроченный платеж по ОД за период]]</f>
        <v>74.95</v>
      </c>
      <c r="I823" s="55">
        <f t="shared" ca="1" si="152"/>
        <v>6.63</v>
      </c>
      <c r="J823" s="55">
        <v>0</v>
      </c>
      <c r="K823" s="55">
        <f t="shared" ca="1" si="155"/>
        <v>347.57350327868846</v>
      </c>
      <c r="L823" s="55">
        <v>0</v>
      </c>
      <c r="M823" s="113">
        <f>SUMIFS(График[Возврат основной суммы долга],График[Дата с учетом нерабочих дней],$A823)</f>
        <v>0</v>
      </c>
      <c r="N823" s="56">
        <f>SUMIFS(График[Возврат начисленных %],График[Дата с учетом нерабочих дней],$A823)</f>
        <v>0</v>
      </c>
      <c r="O823" s="101">
        <v>0</v>
      </c>
      <c r="P823" s="100" cm="1">
        <f t="array" aca="1" ref="P823" ca="1">MAX(IF(AA822="Да",0,SUM(INDIRECT("M"&amp;(MAX(("Да"=AA$12:AA822)*ROW(AA$12:AA822)+1,ROW($P$12))&amp;":M"&amp;(ROW()))))-SUM(INDIRECT("W"&amp;(MAX(("Да"=AA$12:AA822)*ROW(AA$12:AA822)+1,ROW($P$12))&amp;":W"&amp;(ROW()))))),0)</f>
        <v>12165.97</v>
      </c>
      <c r="Q823" s="99">
        <f ca="1">MAX(SUM($N$13:N823)-SUM($T$13:T823),0)</f>
        <v>57348.730655737687</v>
      </c>
      <c r="R823" s="99">
        <f ca="1">Первоначальный[[#This Row],[Просроченный платеж по ОД]]+Первоначальный[[#This Row],[Просроченный платеж по процентам]]</f>
        <v>69514.700655737688</v>
      </c>
      <c r="S823" s="120">
        <f ca="1">IF(Первоначальный[[#This Row],[Просроченный платеж]]&lt;1,0,S822+1)</f>
        <v>719</v>
      </c>
      <c r="T823" s="100" cm="1">
        <f t="array" aca="1" ref="T823" ca="1">IF(Первоначальный[[#This Row],[Итого остаток на начало периода]]&lt;1,0,
IF(
AND(TYPE(VLOOKUP(1,$Z$12:Z823,1,0))=16,Первоначальный[[#This Row],[Досрочное погашение (да/"")]]=""),0,
_xlfn.IFS(AND(S822=0,Первоначальный[[#This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платеж]]&lt;&gt;0),MIN(LOOKUP(,-1/($Z$12:Z823=1),$C$12:C823)+LOOKUP(,-1/($Z$12:Z823=1),$H$12:H823),Первоначальный[[#This Row],[Полученный платеж]]+Y822),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платеж]]+Y822,SUM(Первоначальный[[#This Row],[Остаток процентов на начало периода]],Первоначальный[[#This Row],[Проценты за период]])),
AND(S822=0,Первоначальный[[#This Row],[Дата платежа из графика]]=""),0,
AND(S822=0,Первоначальный[[#This Row],[Дата платежа из графика]]=1,MAX((0&lt;&gt;S$12:S822)*ROW(S$12:S822),ROW($S$12))&gt;=MAX((1=Z$12:Z822)*ROW(Z$12:Z822),ROW($T$12)),TYPE(VLOOKUP("Да",(INDIRECT("AA"&amp;(MAX((1=Z$12:Z822)*ROW(Z$12:Z822),ROW($T$12))&amp;":AA"&amp;(ROW()-1)))),1,0))=16),MIN(LOOKUP(,-1/($Z$12:Z823=1),$C$12:C823)+LOOKUP(,-1/($Z$12:Z823=1),$H$12:H823),Первоначальный[[#This Row],[Полученный платеж]]+Y822),
AND(S822=0,TYPE(VLOOKUP("Да",(INDIRECT("AA"&amp;(MAX((1=Z$12:Z822)*ROW(Z$12:Z822),ROW($T$12))&amp;":AA"&amp;(ROW()-1)))),1,0))&lt;&gt;16),MIN(LOOKUP(,-1/($Z$12:Z823=1),$C$12:C823)+LOOKUP(,-1/($Z$12:Z823=1),$H$12:H823)-IF(AA822="Да",0,SUM(INDIRECT("T"&amp;(MAX(("Да"=AA$12:AA822)*ROW(AA$12:AA822)+1,ROW($T$12))&amp;":T"&amp;(ROW()-1))))),Первоначальный[[#This Row],[Полученный платеж]]+Y822),
AND(S822=0,MAX((0&lt;&gt;N$12:N822)*ROW(N$12:N822),ROW($S$12))&gt;=MAX((1=Z$12:Z822)*ROW(Z$12:Z822),ROW($T$12))),MIN(LOOKUP(,-1/($Z$12:Z823=1),$C$12:C823)+LOOKUP(,-1/($Z$12:Z823=1),$H$12:H823)-IF(N822&lt;&gt;0,0,SUM(INDIRECT("T"&amp;(MAX((0&lt;&gt;N$12:N822)*ROW(N$12:N822)+1,ROW($T$12))&amp;":T"&amp;(ROW()-1))))),Первоначальный[[#This Row],[Полученный платеж]]+Y822),
AND(S822=0,Первоначальный[[#This Row],[Дата платежа из графика]]=1),MIN(LOOKUP(,-1/($Z$12:Z823=1),$C$12:C823)+LOOKUP(,-1/($Z$12:Z823=1),$H$12:H823)-IF(Z822=1,0,SUM(INDIRECT("T"&amp;(MAX((1=Z$12:Z822)*ROW(Z$12:Z822)+1,ROW($T$12))&amp;":T"&amp;(ROW()-1))))),Первоначальный[[#This Row],[Полученный платеж]]+Y822),
AND(Z822&gt;0,Первоначальный[[#This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платеж]]+Y822),
AND(S822&gt;0,MAX((0&lt;&gt;S$12:S822)*ROW(S$12:S822),ROW($S$12))&gt;=MAX((1=Z$12:Z822)*ROW(Z$12:Z822),ROW($T$12)),TYPE(VLOOKUP("Да",(INDIRECT("AA"&amp;(MAX((1=Z$12:Z822)*ROW(Z$12:Z822),ROW($T$12))&amp;":AA"&amp;(ROW()-1)))),1,0))=16),MIN(LOOKUP(,-1/($Z$12:Z823=1),$C$12:C823)+LOOKUP(,-1/($Z$12:Z823=1),$H$12:H823)-SUM(INDIRECT("T"&amp;(MAX((1=Z$12:Z822)*ROW(Z$12:Z822),ROW($T$12))&amp;":T"&amp;(ROW()-1)))),Первоначальный[[#This Row],[Полученный платеж]]+Y822),
S822&gt;0,MIN(LOOKUP(,-1/($Z$12:Z823=1),$C$12:C823)+LOOKUP(,-1/($Z$12:Z823=1),$H$12:H823)-IF(Z822=1,0,SUM(INDIRECT("T"&amp;(MAX((1=Z$12:Z822)*ROW(Z$12:Z822)+1,ROW($T$12))&amp;":T"&amp;(ROW()-1))))),Первоначальный[[#This Row],[Полученный платеж]]+Y822)
)
)
)</f>
        <v>0</v>
      </c>
      <c r="U82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платеж]]+Y822-Первоначальный[[#This Row],[Полученный платёж по процентам]])</f>
        <v>0</v>
      </c>
      <c r="V823" s="55">
        <f t="shared" ca="1" si="145"/>
        <v>0</v>
      </c>
      <c r="W823" s="55" cm="1">
        <f t="array" aca="1" ref="W823" ca="1">IF(Первоначальный[[#This Row],[Итого остаток на начало периода]]&lt;1,0,
_xlfn.IFS(
AND(TYPE(VLOOKUP(1,$Z$12:Z823,1,0))=16,Первоначальный[[#This Row],[Досрочное погашение (да/"")]]=""),0,
AND(S822=0,Первоначальный[[#This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платеж]]+Y822-SUM(Первоначальный[[#This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комиссиям]]),VLOOKUP(LOOKUP(,-1/($Z$12:Z823=1),$A$12:A823),График[[Срок конец]:[Возврат основной суммы долга]],3,0)),
AND(S822=0,Первоначальный[[#This Row],[Дата платежа из графика]]="",Первоначальный[[#This Row],[Досрочное погашение (да/"")]]&lt;&gt;"Да"),0,
AND(S822=0,Первоначальный[[#This Row],[Досрочное погашение (да/"")]]=""),MIN(Первоначальный[[#This Row],[Полученный платеж]]+Y822-SUM(Первоначальный[[#This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комиссиям]]),VLOOKUP(LOOKUP(,-1/($Z$12:Z823=1),$A$12:A823),График[[Срок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платеж]]+Y822-SUM(Первоначальный[[#This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S822&gt;0,MIN(Первоначальный[[#This Row],[Полученный платеж]]+Y822-SUM(Первоначальный[[#This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комиссиям]]),SUM(INDIRECT("M"&amp;(MAX((1=S$12:S822)*ROW(S$12:S822),ROW($W$12))&amp;":M"&amp;(ROW()))))-SUM(INDIRECT("W"&amp;(MAX((1=S$12:S822)*ROW(S$12:S822),ROW($W$12))&amp;":W"&amp;(ROW()-1)))))
)
)</f>
        <v>0</v>
      </c>
      <c r="X823" s="55">
        <f t="shared" ca="1" si="146"/>
        <v>0</v>
      </c>
      <c r="Y823" s="101">
        <f t="shared" ca="1" si="153"/>
        <v>0</v>
      </c>
      <c r="Z823" s="133" t="str">
        <f>IF(TYPE((VLOOKUP(Первоначальный[[#This Row],[Дата платежа]],График[Срок конец],1,0)))=16,"",1)</f>
        <v/>
      </c>
      <c r="AA823" s="57"/>
      <c r="AB823" s="134"/>
      <c r="AC82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2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58774.999999999956</v>
      </c>
      <c r="AE82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2315.5999999999995</v>
      </c>
      <c r="AF82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2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128651.41385737718</v>
      </c>
      <c r="AH823" s="55"/>
      <c r="AI823" s="55"/>
      <c r="AJ823" s="55"/>
      <c r="AK823" s="101">
        <f t="shared" ca="1" si="154"/>
        <v>339375.35385737714</v>
      </c>
      <c r="AL823" s="129">
        <f t="array" ref="AL823">MAX((УслРестрактов[Характеристика]="Дата реструктуризации")*(УслРестрактов[Значение]=Первоначальный!$A823),0)</f>
        <v>0</v>
      </c>
    </row>
    <row r="824" spans="1:38" x14ac:dyDescent="0.25">
      <c r="A824" s="97">
        <f t="shared" si="147"/>
        <v>44955</v>
      </c>
      <c r="B824" s="100">
        <f t="shared" ca="1" si="148"/>
        <v>149633.34</v>
      </c>
      <c r="C824" s="55">
        <f t="shared" ca="1" si="156"/>
        <v>58774.999999999956</v>
      </c>
      <c r="D824" s="55">
        <f t="shared" ca="1" si="156"/>
        <v>2315.5999999999995</v>
      </c>
      <c r="E824" s="55">
        <f t="shared" ca="1" si="149"/>
        <v>0</v>
      </c>
      <c r="F824" s="55">
        <f t="shared" ca="1" si="150"/>
        <v>128651.41385737718</v>
      </c>
      <c r="G824" s="101">
        <f t="shared" ca="1" si="151"/>
        <v>339375.35385737714</v>
      </c>
      <c r="H824" s="100">
        <f ca="1">ROUND($B824*VLOOKUP($A824,$A$1:$B$10,2,1)/(365+IF(MOD(YEAR($A824),4),0,1)*($A824-$A823)),2)-Первоначальный[[#This Row],[Проценты на просроченный платеж по ОД за период]]</f>
        <v>74.95</v>
      </c>
      <c r="I824" s="55">
        <f t="shared" ca="1" si="152"/>
        <v>6.63</v>
      </c>
      <c r="J824" s="55">
        <v>0</v>
      </c>
      <c r="K824" s="55">
        <f t="shared" ca="1" si="155"/>
        <v>347.57350327868846</v>
      </c>
      <c r="L824" s="55">
        <v>0</v>
      </c>
      <c r="M824" s="113">
        <f>SUMIFS(График[Возврат основной суммы долга],График[Дата с учетом нерабочих дней],$A824)</f>
        <v>0</v>
      </c>
      <c r="N824" s="56">
        <f>SUMIFS(График[Возврат начисленных %],График[Дата с учетом нерабочих дней],$A824)</f>
        <v>0</v>
      </c>
      <c r="O824" s="101">
        <v>0</v>
      </c>
      <c r="P824" s="100" cm="1">
        <f t="array" aca="1" ref="P824" ca="1">MAX(IF(AA823="Да",0,SUM(INDIRECT("M"&amp;(MAX(("Да"=AA$12:AA823)*ROW(AA$12:AA823)+1,ROW($P$12))&amp;":M"&amp;(ROW()))))-SUM(INDIRECT("W"&amp;(MAX(("Да"=AA$12:AA823)*ROW(AA$12:AA823)+1,ROW($P$12))&amp;":W"&amp;(ROW()))))),0)</f>
        <v>12165.97</v>
      </c>
      <c r="Q824" s="99">
        <f ca="1">MAX(SUM($N$13:N824)-SUM($T$13:T824),0)</f>
        <v>57348.730655737687</v>
      </c>
      <c r="R824" s="99">
        <f ca="1">Первоначальный[[#This Row],[Просроченный платеж по ОД]]+Первоначальный[[#This Row],[Просроченный платеж по процентам]]</f>
        <v>69514.700655737688</v>
      </c>
      <c r="S824" s="120">
        <f ca="1">IF(Первоначальный[[#This Row],[Просроченный платеж]]&lt;1,0,S823+1)</f>
        <v>720</v>
      </c>
      <c r="T824" s="100" cm="1">
        <f t="array" aca="1" ref="T824" ca="1">IF(Первоначальный[[#This Row],[Итого остаток на начало периода]]&lt;1,0,
IF(
AND(TYPE(VLOOKUP(1,$Z$12:Z824,1,0))=16,Первоначальный[[#This Row],[Досрочное погашение (да/"")]]=""),0,
_xlfn.IFS(AND(S823=0,Первоначальный[[#This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платеж]]&lt;&gt;0),MIN(LOOKUP(,-1/($Z$12:Z824=1),$C$12:C824)+LOOKUP(,-1/($Z$12:Z824=1),$H$12:H824),Первоначальный[[#This Row],[Полученный платеж]]+Y823),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платеж]]+Y823,SUM(Первоначальный[[#This Row],[Остаток процентов на начало периода]],Первоначальный[[#This Row],[Проценты за период]])),
AND(S823=0,Первоначальный[[#This Row],[Дата платежа из графика]]=""),0,
AND(S823=0,Первоначальный[[#This Row],[Дата платежа из графика]]=1,MAX((0&lt;&gt;S$12:S823)*ROW(S$12:S823),ROW($S$12))&gt;=MAX((1=Z$12:Z823)*ROW(Z$12:Z823),ROW($T$12)),TYPE(VLOOKUP("Да",(INDIRECT("AA"&amp;(MAX((1=Z$12:Z823)*ROW(Z$12:Z823),ROW($T$12))&amp;":AA"&amp;(ROW()-1)))),1,0))=16),MIN(LOOKUP(,-1/($Z$12:Z824=1),$C$12:C824)+LOOKUP(,-1/($Z$12:Z824=1),$H$12:H824),Первоначальный[[#This Row],[Полученный платеж]]+Y823),
AND(S823=0,TYPE(VLOOKUP("Да",(INDIRECT("AA"&amp;(MAX((1=Z$12:Z823)*ROW(Z$12:Z823),ROW($T$12))&amp;":AA"&amp;(ROW()-1)))),1,0))&lt;&gt;16),MIN(LOOKUP(,-1/($Z$12:Z824=1),$C$12:C824)+LOOKUP(,-1/($Z$12:Z824=1),$H$12:H824)-IF(AA823="Да",0,SUM(INDIRECT("T"&amp;(MAX(("Да"=AA$12:AA823)*ROW(AA$12:AA823)+1,ROW($T$12))&amp;":T"&amp;(ROW()-1))))),Первоначальный[[#This Row],[Полученный платеж]]+Y823),
AND(S823=0,MAX((0&lt;&gt;N$12:N823)*ROW(N$12:N823),ROW($S$12))&gt;=MAX((1=Z$12:Z823)*ROW(Z$12:Z823),ROW($T$12))),MIN(LOOKUP(,-1/($Z$12:Z824=1),$C$12:C824)+LOOKUP(,-1/($Z$12:Z824=1),$H$12:H824)-IF(N823&lt;&gt;0,0,SUM(INDIRECT("T"&amp;(MAX((0&lt;&gt;N$12:N823)*ROW(N$12:N823)+1,ROW($T$12))&amp;":T"&amp;(ROW()-1))))),Первоначальный[[#This Row],[Полученный платеж]]+Y823),
AND(S823=0,Первоначальный[[#This Row],[Дата платежа из графика]]=1),MIN(LOOKUP(,-1/($Z$12:Z824=1),$C$12:C824)+LOOKUP(,-1/($Z$12:Z824=1),$H$12:H824)-IF(Z823=1,0,SUM(INDIRECT("T"&amp;(MAX((1=Z$12:Z823)*ROW(Z$12:Z823)+1,ROW($T$12))&amp;":T"&amp;(ROW()-1))))),Первоначальный[[#This Row],[Полученный платеж]]+Y823),
AND(Z823&gt;0,Первоначальный[[#This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платеж]]+Y823),
AND(S823&gt;0,MAX((0&lt;&gt;S$12:S823)*ROW(S$12:S823),ROW($S$12))&gt;=MAX((1=Z$12:Z823)*ROW(Z$12:Z823),ROW($T$12)),TYPE(VLOOKUP("Да",(INDIRECT("AA"&amp;(MAX((1=Z$12:Z823)*ROW(Z$12:Z823),ROW($T$12))&amp;":AA"&amp;(ROW()-1)))),1,0))=16),MIN(LOOKUP(,-1/($Z$12:Z824=1),$C$12:C824)+LOOKUP(,-1/($Z$12:Z824=1),$H$12:H824)-SUM(INDIRECT("T"&amp;(MAX((1=Z$12:Z823)*ROW(Z$12:Z823),ROW($T$12))&amp;":T"&amp;(ROW()-1)))),Первоначальный[[#This Row],[Полученный платеж]]+Y823),
S823&gt;0,MIN(LOOKUP(,-1/($Z$12:Z824=1),$C$12:C824)+LOOKUP(,-1/($Z$12:Z824=1),$H$12:H824)-IF(Z823=1,0,SUM(INDIRECT("T"&amp;(MAX((1=Z$12:Z823)*ROW(Z$12:Z823)+1,ROW($T$12))&amp;":T"&amp;(ROW()-1))))),Первоначальный[[#This Row],[Полученный платеж]]+Y823)
)
)
)</f>
        <v>0</v>
      </c>
      <c r="U82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платеж]]+Y823-Первоначальный[[#This Row],[Полученный платёж по процентам]])</f>
        <v>0</v>
      </c>
      <c r="V824" s="55">
        <f t="shared" ca="1" si="145"/>
        <v>0</v>
      </c>
      <c r="W824" s="55" cm="1">
        <f t="array" aca="1" ref="W824" ca="1">IF(Первоначальный[[#This Row],[Итого остаток на начало периода]]&lt;1,0,
_xlfn.IFS(
AND(TYPE(VLOOKUP(1,$Z$12:Z824,1,0))=16,Первоначальный[[#This Row],[Досрочное погашение (да/"")]]=""),0,
AND(S823=0,Первоначальный[[#This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платеж]]+Y823-SUM(Первоначальный[[#This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комиссиям]]),VLOOKUP(LOOKUP(,-1/($Z$12:Z824=1),$A$12:A824),График[[Срок конец]:[Возврат основной суммы долга]],3,0)),
AND(S823=0,Первоначальный[[#This Row],[Дата платежа из графика]]="",Первоначальный[[#This Row],[Досрочное погашение (да/"")]]&lt;&gt;"Да"),0,
AND(S823=0,Первоначальный[[#This Row],[Досрочное погашение (да/"")]]=""),MIN(Первоначальный[[#This Row],[Полученный платеж]]+Y823-SUM(Первоначальный[[#This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комиссиям]]),VLOOKUP(LOOKUP(,-1/($Z$12:Z824=1),$A$12:A824),График[[Срок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платеж]]+Y823-SUM(Первоначальный[[#This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S823&gt;0,MIN(Первоначальный[[#This Row],[Полученный платеж]]+Y823-SUM(Первоначальный[[#This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комиссиям]]),SUM(INDIRECT("M"&amp;(MAX((1=S$12:S823)*ROW(S$12:S823),ROW($W$12))&amp;":M"&amp;(ROW()))))-SUM(INDIRECT("W"&amp;(MAX((1=S$12:S823)*ROW(S$12:S823),ROW($W$12))&amp;":W"&amp;(ROW()-1)))))
)
)</f>
        <v>0</v>
      </c>
      <c r="X824" s="55">
        <f t="shared" ca="1" si="146"/>
        <v>0</v>
      </c>
      <c r="Y824" s="101">
        <f t="shared" ca="1" si="153"/>
        <v>0</v>
      </c>
      <c r="Z824" s="133" t="str">
        <f>IF(TYPE((VLOOKUP(Первоначальный[[#This Row],[Дата платежа]],График[Срок конец],1,0)))=16,"",1)</f>
        <v/>
      </c>
      <c r="AA824" s="57"/>
      <c r="AB824" s="134"/>
      <c r="AC82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2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58849.949999999953</v>
      </c>
      <c r="AE82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2322.2299999999996</v>
      </c>
      <c r="AF82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2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128998.98736065587</v>
      </c>
      <c r="AH824" s="55"/>
      <c r="AI824" s="55"/>
      <c r="AJ824" s="55"/>
      <c r="AK824" s="101">
        <f t="shared" ca="1" si="154"/>
        <v>339804.50736065581</v>
      </c>
      <c r="AL824" s="129">
        <f t="array" ref="AL824">MAX((УслРестрактов[Характеристика]="Дата реструктуризации")*(УслРестрактов[Значение]=Первоначальный!$A824),0)</f>
        <v>0</v>
      </c>
    </row>
    <row r="825" spans="1:38" x14ac:dyDescent="0.25">
      <c r="A825" s="97">
        <f t="shared" si="147"/>
        <v>44956</v>
      </c>
      <c r="B825" s="100">
        <f t="shared" ca="1" si="148"/>
        <v>149633.34</v>
      </c>
      <c r="C825" s="55">
        <f t="shared" ca="1" si="156"/>
        <v>58849.949999999953</v>
      </c>
      <c r="D825" s="55">
        <f t="shared" ca="1" si="156"/>
        <v>2322.2299999999996</v>
      </c>
      <c r="E825" s="55">
        <f t="shared" ca="1" si="149"/>
        <v>0</v>
      </c>
      <c r="F825" s="55">
        <f t="shared" ca="1" si="150"/>
        <v>128998.98736065587</v>
      </c>
      <c r="G825" s="101">
        <f t="shared" ca="1" si="151"/>
        <v>339804.50736065581</v>
      </c>
      <c r="H825" s="100">
        <f ca="1">ROUND($B825*VLOOKUP($A825,$A$1:$B$10,2,1)/(365+IF(MOD(YEAR($A825),4),0,1)*($A825-$A824)),2)-Первоначальный[[#This Row],[Проценты на просроченный платеж по ОД за период]]</f>
        <v>74.95</v>
      </c>
      <c r="I825" s="55">
        <f t="shared" ca="1" si="152"/>
        <v>6.63</v>
      </c>
      <c r="J825" s="55">
        <v>0</v>
      </c>
      <c r="K825" s="55">
        <f t="shared" ca="1" si="155"/>
        <v>347.57350327868846</v>
      </c>
      <c r="L825" s="55">
        <v>0</v>
      </c>
      <c r="M825" s="113">
        <f>SUMIFS(График[Возврат основной суммы долга],График[Дата с учетом нерабочих дней],$A825)</f>
        <v>0</v>
      </c>
      <c r="N825" s="56">
        <f>SUMIFS(График[Возврат начисленных %],График[Дата с учетом нерабочих дней],$A825)</f>
        <v>0</v>
      </c>
      <c r="O825" s="101">
        <v>0</v>
      </c>
      <c r="P825" s="100" cm="1">
        <f t="array" aca="1" ref="P825" ca="1">MAX(IF(AA824="Да",0,SUM(INDIRECT("M"&amp;(MAX(("Да"=AA$12:AA824)*ROW(AA$12:AA824)+1,ROW($P$12))&amp;":M"&amp;(ROW()))))-SUM(INDIRECT("W"&amp;(MAX(("Да"=AA$12:AA824)*ROW(AA$12:AA824)+1,ROW($P$12))&amp;":W"&amp;(ROW()))))),0)</f>
        <v>12165.97</v>
      </c>
      <c r="Q825" s="99">
        <f ca="1">MAX(SUM($N$13:N825)-SUM($T$13:T825),0)</f>
        <v>57348.730655737687</v>
      </c>
      <c r="R825" s="99">
        <f ca="1">Первоначальный[[#This Row],[Просроченный платеж по ОД]]+Первоначальный[[#This Row],[Просроченный платеж по процентам]]</f>
        <v>69514.700655737688</v>
      </c>
      <c r="S825" s="120">
        <f ca="1">IF(Первоначальный[[#This Row],[Просроченный платеж]]&lt;1,0,S824+1)</f>
        <v>721</v>
      </c>
      <c r="T825" s="100" cm="1">
        <f t="array" aca="1" ref="T825" ca="1">IF(Первоначальный[[#This Row],[Итого остаток на начало периода]]&lt;1,0,
IF(
AND(TYPE(VLOOKUP(1,$Z$12:Z825,1,0))=16,Первоначальный[[#This Row],[Досрочное погашение (да/"")]]=""),0,
_xlfn.IFS(AND(S824=0,Первоначальный[[#This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платеж]]&lt;&gt;0),MIN(LOOKUP(,-1/($Z$12:Z825=1),$C$12:C825)+LOOKUP(,-1/($Z$12:Z825=1),$H$12:H825),Первоначальный[[#This Row],[Полученный платеж]]+Y824),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платеж]]+Y824,SUM(Первоначальный[[#This Row],[Остаток процентов на начало периода]],Первоначальный[[#This Row],[Проценты за период]])),
AND(S824=0,Первоначальный[[#This Row],[Дата платежа из графика]]=""),0,
AND(S824=0,Первоначальный[[#This Row],[Дата платежа из графика]]=1,MAX((0&lt;&gt;S$12:S824)*ROW(S$12:S824),ROW($S$12))&gt;=MAX((1=Z$12:Z824)*ROW(Z$12:Z824),ROW($T$12)),TYPE(VLOOKUP("Да",(INDIRECT("AA"&amp;(MAX((1=Z$12:Z824)*ROW(Z$12:Z824),ROW($T$12))&amp;":AA"&amp;(ROW()-1)))),1,0))=16),MIN(LOOKUP(,-1/($Z$12:Z825=1),$C$12:C825)+LOOKUP(,-1/($Z$12:Z825=1),$H$12:H825),Первоначальный[[#This Row],[Полученный платеж]]+Y824),
AND(S824=0,TYPE(VLOOKUP("Да",(INDIRECT("AA"&amp;(MAX((1=Z$12:Z824)*ROW(Z$12:Z824),ROW($T$12))&amp;":AA"&amp;(ROW()-1)))),1,0))&lt;&gt;16),MIN(LOOKUP(,-1/($Z$12:Z825=1),$C$12:C825)+LOOKUP(,-1/($Z$12:Z825=1),$H$12:H825)-IF(AA824="Да",0,SUM(INDIRECT("T"&amp;(MAX(("Да"=AA$12:AA824)*ROW(AA$12:AA824)+1,ROW($T$12))&amp;":T"&amp;(ROW()-1))))),Первоначальный[[#This Row],[Полученный платеж]]+Y824),
AND(S824=0,MAX((0&lt;&gt;N$12:N824)*ROW(N$12:N824),ROW($S$12))&gt;=MAX((1=Z$12:Z824)*ROW(Z$12:Z824),ROW($T$12))),MIN(LOOKUP(,-1/($Z$12:Z825=1),$C$12:C825)+LOOKUP(,-1/($Z$12:Z825=1),$H$12:H825)-IF(N824&lt;&gt;0,0,SUM(INDIRECT("T"&amp;(MAX((0&lt;&gt;N$12:N824)*ROW(N$12:N824)+1,ROW($T$12))&amp;":T"&amp;(ROW()-1))))),Первоначальный[[#This Row],[Полученный платеж]]+Y824),
AND(S824=0,Первоначальный[[#This Row],[Дата платежа из графика]]=1),MIN(LOOKUP(,-1/($Z$12:Z825=1),$C$12:C825)+LOOKUP(,-1/($Z$12:Z825=1),$H$12:H825)-IF(Z824=1,0,SUM(INDIRECT("T"&amp;(MAX((1=Z$12:Z824)*ROW(Z$12:Z824)+1,ROW($T$12))&amp;":T"&amp;(ROW()-1))))),Первоначальный[[#This Row],[Полученный платеж]]+Y824),
AND(Z824&gt;0,Первоначальный[[#This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платеж]]+Y824),
AND(S824&gt;0,MAX((0&lt;&gt;S$12:S824)*ROW(S$12:S824),ROW($S$12))&gt;=MAX((1=Z$12:Z824)*ROW(Z$12:Z824),ROW($T$12)),TYPE(VLOOKUP("Да",(INDIRECT("AA"&amp;(MAX((1=Z$12:Z824)*ROW(Z$12:Z824),ROW($T$12))&amp;":AA"&amp;(ROW()-1)))),1,0))=16),MIN(LOOKUP(,-1/($Z$12:Z825=1),$C$12:C825)+LOOKUP(,-1/($Z$12:Z825=1),$H$12:H825)-SUM(INDIRECT("T"&amp;(MAX((1=Z$12:Z824)*ROW(Z$12:Z824),ROW($T$12))&amp;":T"&amp;(ROW()-1)))),Первоначальный[[#This Row],[Полученный платеж]]+Y824),
S824&gt;0,MIN(LOOKUP(,-1/($Z$12:Z825=1),$C$12:C825)+LOOKUP(,-1/($Z$12:Z825=1),$H$12:H825)-IF(Z824=1,0,SUM(INDIRECT("T"&amp;(MAX((1=Z$12:Z824)*ROW(Z$12:Z824)+1,ROW($T$12))&amp;":T"&amp;(ROW()-1))))),Первоначальный[[#This Row],[Полученный платеж]]+Y824)
)
)
)</f>
        <v>0</v>
      </c>
      <c r="U82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платеж]]+Y824-Первоначальный[[#This Row],[Полученный платёж по процентам]])</f>
        <v>0</v>
      </c>
      <c r="V825" s="55">
        <f t="shared" ca="1" si="145"/>
        <v>0</v>
      </c>
      <c r="W825" s="55" cm="1">
        <f t="array" aca="1" ref="W825" ca="1">IF(Первоначальный[[#This Row],[Итого остаток на начало периода]]&lt;1,0,
_xlfn.IFS(
AND(TYPE(VLOOKUP(1,$Z$12:Z825,1,0))=16,Первоначальный[[#This Row],[Досрочное погашение (да/"")]]=""),0,
AND(S824=0,Первоначальный[[#This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платеж]]+Y824-SUM(Первоначальный[[#This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комиссиям]]),VLOOKUP(LOOKUP(,-1/($Z$12:Z825=1),$A$12:A825),График[[Срок конец]:[Возврат основной суммы долга]],3,0)),
AND(S824=0,Первоначальный[[#This Row],[Дата платежа из графика]]="",Первоначальный[[#This Row],[Досрочное погашение (да/"")]]&lt;&gt;"Да"),0,
AND(S824=0,Первоначальный[[#This Row],[Досрочное погашение (да/"")]]=""),MIN(Первоначальный[[#This Row],[Полученный платеж]]+Y824-SUM(Первоначальный[[#This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комиссиям]]),VLOOKUP(LOOKUP(,-1/($Z$12:Z825=1),$A$12:A825),График[[Срок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платеж]]+Y824-SUM(Первоначальный[[#This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S824&gt;0,MIN(Первоначальный[[#This Row],[Полученный платеж]]+Y824-SUM(Первоначальный[[#This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комиссиям]]),SUM(INDIRECT("M"&amp;(MAX((1=S$12:S824)*ROW(S$12:S824),ROW($W$12))&amp;":M"&amp;(ROW()))))-SUM(INDIRECT("W"&amp;(MAX((1=S$12:S824)*ROW(S$12:S824),ROW($W$12))&amp;":W"&amp;(ROW()-1)))))
)
)</f>
        <v>0</v>
      </c>
      <c r="X825" s="55">
        <f t="shared" ca="1" si="146"/>
        <v>0</v>
      </c>
      <c r="Y825" s="101">
        <f t="shared" ca="1" si="153"/>
        <v>0</v>
      </c>
      <c r="Z825" s="133" t="str">
        <f>IF(TYPE((VLOOKUP(Первоначальный[[#This Row],[Дата платежа]],График[Срок конец],1,0)))=16,"",1)</f>
        <v/>
      </c>
      <c r="AA825" s="57"/>
      <c r="AB825" s="134"/>
      <c r="AC82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2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58924.899999999951</v>
      </c>
      <c r="AE82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2328.8599999999997</v>
      </c>
      <c r="AF82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2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129346.56086393456</v>
      </c>
      <c r="AH825" s="55"/>
      <c r="AI825" s="55"/>
      <c r="AJ825" s="55"/>
      <c r="AK825" s="101">
        <f t="shared" ca="1" si="154"/>
        <v>340233.66086393449</v>
      </c>
      <c r="AL825" s="129">
        <f t="array" ref="AL825">MAX((УслРестрактов[Характеристика]="Дата реструктуризации")*(УслРестрактов[Значение]=Первоначальный!$A825),0)</f>
        <v>0</v>
      </c>
    </row>
    <row r="826" spans="1:38" x14ac:dyDescent="0.25">
      <c r="A826" s="97">
        <f t="shared" si="147"/>
        <v>44957</v>
      </c>
      <c r="B826" s="100">
        <f t="shared" ca="1" si="148"/>
        <v>149633.34</v>
      </c>
      <c r="C826" s="55">
        <f t="shared" ca="1" si="156"/>
        <v>58924.899999999951</v>
      </c>
      <c r="D826" s="55">
        <f t="shared" ca="1" si="156"/>
        <v>2328.8599999999997</v>
      </c>
      <c r="E826" s="55">
        <f t="shared" ca="1" si="149"/>
        <v>0</v>
      </c>
      <c r="F826" s="55">
        <f t="shared" ca="1" si="150"/>
        <v>129346.56086393456</v>
      </c>
      <c r="G826" s="101">
        <f t="shared" ca="1" si="151"/>
        <v>340233.66086393449</v>
      </c>
      <c r="H826" s="100">
        <f ca="1">ROUND($B826*VLOOKUP($A826,$A$1:$B$10,2,1)/(365+IF(MOD(YEAR($A826),4),0,1)*($A826-$A825)),2)-Первоначальный[[#This Row],[Проценты на просроченный платеж по ОД за период]]</f>
        <v>74.95</v>
      </c>
      <c r="I826" s="55">
        <f t="shared" ca="1" si="152"/>
        <v>6.63</v>
      </c>
      <c r="J826" s="55">
        <v>0</v>
      </c>
      <c r="K826" s="55">
        <f t="shared" ca="1" si="155"/>
        <v>347.57350327868846</v>
      </c>
      <c r="L826" s="55">
        <v>0</v>
      </c>
      <c r="M826" s="113">
        <f>SUMIFS(График[Возврат основной суммы долга],График[Дата с учетом нерабочих дней],$A826)</f>
        <v>0</v>
      </c>
      <c r="N826" s="56">
        <f>SUMIFS(График[Возврат начисленных %],График[Дата с учетом нерабочих дней],$A826)</f>
        <v>0</v>
      </c>
      <c r="O826" s="101">
        <v>0</v>
      </c>
      <c r="P826" s="100" cm="1">
        <f t="array" aca="1" ref="P826" ca="1">MAX(IF(AA825="Да",0,SUM(INDIRECT("M"&amp;(MAX(("Да"=AA$12:AA825)*ROW(AA$12:AA825)+1,ROW($P$12))&amp;":M"&amp;(ROW()))))-SUM(INDIRECT("W"&amp;(MAX(("Да"=AA$12:AA825)*ROW(AA$12:AA825)+1,ROW($P$12))&amp;":W"&amp;(ROW()))))),0)</f>
        <v>12165.97</v>
      </c>
      <c r="Q826" s="99">
        <f ca="1">MAX(SUM($N$13:N826)-SUM($T$13:T826),0)</f>
        <v>57348.730655737687</v>
      </c>
      <c r="R826" s="99">
        <f ca="1">Первоначальный[[#This Row],[Просроченный платеж по ОД]]+Первоначальный[[#This Row],[Просроченный платеж по процентам]]</f>
        <v>69514.700655737688</v>
      </c>
      <c r="S826" s="120">
        <f ca="1">IF(Первоначальный[[#This Row],[Просроченный платеж]]&lt;1,0,S825+1)</f>
        <v>722</v>
      </c>
      <c r="T826" s="100" cm="1">
        <f t="array" aca="1" ref="T826" ca="1">IF(Первоначальный[[#This Row],[Итого остаток на начало периода]]&lt;1,0,
IF(
AND(TYPE(VLOOKUP(1,$Z$12:Z826,1,0))=16,Первоначальный[[#This Row],[Досрочное погашение (да/"")]]=""),0,
_xlfn.IFS(AND(S825=0,Первоначальный[[#This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платеж]]&lt;&gt;0),MIN(LOOKUP(,-1/($Z$12:Z826=1),$C$12:C826)+LOOKUP(,-1/($Z$12:Z826=1),$H$12:H826),Первоначальный[[#This Row],[Полученный платеж]]+Y825),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платеж]]+Y825,SUM(Первоначальный[[#This Row],[Остаток процентов на начало периода]],Первоначальный[[#This Row],[Проценты за период]])),
AND(S825=0,Первоначальный[[#This Row],[Дата платежа из графика]]=""),0,
AND(S825=0,Первоначальный[[#This Row],[Дата платежа из графика]]=1,MAX((0&lt;&gt;S$12:S825)*ROW(S$12:S825),ROW($S$12))&gt;=MAX((1=Z$12:Z825)*ROW(Z$12:Z825),ROW($T$12)),TYPE(VLOOKUP("Да",(INDIRECT("AA"&amp;(MAX((1=Z$12:Z825)*ROW(Z$12:Z825),ROW($T$12))&amp;":AA"&amp;(ROW()-1)))),1,0))=16),MIN(LOOKUP(,-1/($Z$12:Z826=1),$C$12:C826)+LOOKUP(,-1/($Z$12:Z826=1),$H$12:H826),Первоначальный[[#This Row],[Полученный платеж]]+Y825),
AND(S825=0,TYPE(VLOOKUP("Да",(INDIRECT("AA"&amp;(MAX((1=Z$12:Z825)*ROW(Z$12:Z825),ROW($T$12))&amp;":AA"&amp;(ROW()-1)))),1,0))&lt;&gt;16),MIN(LOOKUP(,-1/($Z$12:Z826=1),$C$12:C826)+LOOKUP(,-1/($Z$12:Z826=1),$H$12:H826)-IF(AA825="Да",0,SUM(INDIRECT("T"&amp;(MAX(("Да"=AA$12:AA825)*ROW(AA$12:AA825)+1,ROW($T$12))&amp;":T"&amp;(ROW()-1))))),Первоначальный[[#This Row],[Полученный платеж]]+Y825),
AND(S825=0,MAX((0&lt;&gt;N$12:N825)*ROW(N$12:N825),ROW($S$12))&gt;=MAX((1=Z$12:Z825)*ROW(Z$12:Z825),ROW($T$12))),MIN(LOOKUP(,-1/($Z$12:Z826=1),$C$12:C826)+LOOKUP(,-1/($Z$12:Z826=1),$H$12:H826)-IF(N825&lt;&gt;0,0,SUM(INDIRECT("T"&amp;(MAX((0&lt;&gt;N$12:N825)*ROW(N$12:N825)+1,ROW($T$12))&amp;":T"&amp;(ROW()-1))))),Первоначальный[[#This Row],[Полученный платеж]]+Y825),
AND(S825=0,Первоначальный[[#This Row],[Дата платежа из графика]]=1),MIN(LOOKUP(,-1/($Z$12:Z826=1),$C$12:C826)+LOOKUP(,-1/($Z$12:Z826=1),$H$12:H826)-IF(Z825=1,0,SUM(INDIRECT("T"&amp;(MAX((1=Z$12:Z825)*ROW(Z$12:Z825)+1,ROW($T$12))&amp;":T"&amp;(ROW()-1))))),Первоначальный[[#This Row],[Полученный платеж]]+Y825),
AND(Z825&gt;0,Первоначальный[[#This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платеж]]+Y825),
AND(S825&gt;0,MAX((0&lt;&gt;S$12:S825)*ROW(S$12:S825),ROW($S$12))&gt;=MAX((1=Z$12:Z825)*ROW(Z$12:Z825),ROW($T$12)),TYPE(VLOOKUP("Да",(INDIRECT("AA"&amp;(MAX((1=Z$12:Z825)*ROW(Z$12:Z825),ROW($T$12))&amp;":AA"&amp;(ROW()-1)))),1,0))=16),MIN(LOOKUP(,-1/($Z$12:Z826=1),$C$12:C826)+LOOKUP(,-1/($Z$12:Z826=1),$H$12:H826)-SUM(INDIRECT("T"&amp;(MAX((1=Z$12:Z825)*ROW(Z$12:Z825),ROW($T$12))&amp;":T"&amp;(ROW()-1)))),Первоначальный[[#This Row],[Полученный платеж]]+Y825),
S825&gt;0,MIN(LOOKUP(,-1/($Z$12:Z826=1),$C$12:C826)+LOOKUP(,-1/($Z$12:Z826=1),$H$12:H826)-IF(Z825=1,0,SUM(INDIRECT("T"&amp;(MAX((1=Z$12:Z825)*ROW(Z$12:Z825)+1,ROW($T$12))&amp;":T"&amp;(ROW()-1))))),Первоначальный[[#This Row],[Полученный платеж]]+Y825)
)
)
)</f>
        <v>0</v>
      </c>
      <c r="U82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платеж]]+Y825-Первоначальный[[#This Row],[Полученный платёж по процентам]])</f>
        <v>0</v>
      </c>
      <c r="V826" s="55">
        <f t="shared" ca="1" si="145"/>
        <v>0</v>
      </c>
      <c r="W826" s="55" cm="1">
        <f t="array" aca="1" ref="W826" ca="1">IF(Первоначальный[[#This Row],[Итого остаток на начало периода]]&lt;1,0,
_xlfn.IFS(
AND(TYPE(VLOOKUP(1,$Z$12:Z826,1,0))=16,Первоначальный[[#This Row],[Досрочное погашение (да/"")]]=""),0,
AND(S825=0,Первоначальный[[#This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платеж]]+Y825-SUM(Первоначальный[[#This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комиссиям]]),VLOOKUP(LOOKUP(,-1/($Z$12:Z826=1),$A$12:A826),График[[Срок конец]:[Возврат основной суммы долга]],3,0)),
AND(S825=0,Первоначальный[[#This Row],[Дата платежа из графика]]="",Первоначальный[[#This Row],[Досрочное погашение (да/"")]]&lt;&gt;"Да"),0,
AND(S825=0,Первоначальный[[#This Row],[Досрочное погашение (да/"")]]=""),MIN(Первоначальный[[#This Row],[Полученный платеж]]+Y825-SUM(Первоначальный[[#This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комиссиям]]),VLOOKUP(LOOKUP(,-1/($Z$12:Z826=1),$A$12:A826),График[[Срок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платеж]]+Y825-SUM(Первоначальный[[#This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S825&gt;0,MIN(Первоначальный[[#This Row],[Полученный платеж]]+Y825-SUM(Первоначальный[[#This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комиссиям]]),SUM(INDIRECT("M"&amp;(MAX((1=S$12:S825)*ROW(S$12:S825),ROW($W$12))&amp;":M"&amp;(ROW()))))-SUM(INDIRECT("W"&amp;(MAX((1=S$12:S825)*ROW(S$12:S825),ROW($W$12))&amp;":W"&amp;(ROW()-1)))))
)
)</f>
        <v>0</v>
      </c>
      <c r="X826" s="55">
        <f t="shared" ca="1" si="146"/>
        <v>0</v>
      </c>
      <c r="Y826" s="101">
        <f t="shared" ca="1" si="153"/>
        <v>0</v>
      </c>
      <c r="Z826" s="133" t="str">
        <f>IF(TYPE((VLOOKUP(Первоначальный[[#This Row],[Дата платежа]],График[Срок конец],1,0)))=16,"",1)</f>
        <v/>
      </c>
      <c r="AA826" s="57"/>
      <c r="AB826" s="134"/>
      <c r="AC82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2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58999.849999999948</v>
      </c>
      <c r="AE82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2335.4899999999998</v>
      </c>
      <c r="AF82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2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129694.13436721325</v>
      </c>
      <c r="AH826" s="55"/>
      <c r="AI826" s="55"/>
      <c r="AJ826" s="55"/>
      <c r="AK826" s="101">
        <f t="shared" ca="1" si="154"/>
        <v>340662.81436721317</v>
      </c>
      <c r="AL826" s="129">
        <f t="array" ref="AL826">MAX((УслРестрактов[Характеристика]="Дата реструктуризации")*(УслРестрактов[Значение]=Первоначальный!$A826),0)</f>
        <v>0</v>
      </c>
    </row>
    <row r="827" spans="1:38" x14ac:dyDescent="0.25">
      <c r="A827" s="97">
        <f t="shared" si="147"/>
        <v>44958</v>
      </c>
      <c r="B827" s="100">
        <f t="shared" ca="1" si="148"/>
        <v>149633.34</v>
      </c>
      <c r="C827" s="55">
        <f t="shared" ca="1" si="156"/>
        <v>58999.849999999948</v>
      </c>
      <c r="D827" s="55">
        <f t="shared" ca="1" si="156"/>
        <v>2335.4899999999998</v>
      </c>
      <c r="E827" s="55">
        <f t="shared" ca="1" si="149"/>
        <v>0</v>
      </c>
      <c r="F827" s="55">
        <f t="shared" ca="1" si="150"/>
        <v>129694.13436721325</v>
      </c>
      <c r="G827" s="101">
        <f t="shared" ca="1" si="151"/>
        <v>340662.81436721317</v>
      </c>
      <c r="H827" s="100">
        <f ca="1">ROUND($B827*VLOOKUP($A827,$A$1:$B$10,2,1)/(365+IF(MOD(YEAR($A827),4),0,1)*($A827-$A826)),2)-Первоначальный[[#This Row],[Проценты на просроченный платеж по ОД за период]]</f>
        <v>74.95</v>
      </c>
      <c r="I827" s="55">
        <f t="shared" ca="1" si="152"/>
        <v>6.63</v>
      </c>
      <c r="J827" s="55">
        <v>0</v>
      </c>
      <c r="K827" s="55">
        <f t="shared" ca="1" si="155"/>
        <v>347.57350327868846</v>
      </c>
      <c r="L827" s="55">
        <v>0</v>
      </c>
      <c r="M827" s="113">
        <f>SUMIFS(График[Возврат основной суммы долга],График[Дата с учетом нерабочих дней],$A827)</f>
        <v>0</v>
      </c>
      <c r="N827" s="56">
        <f>SUMIFS(График[Возврат начисленных %],График[Дата с учетом нерабочих дней],$A827)</f>
        <v>0</v>
      </c>
      <c r="O827" s="101">
        <v>0</v>
      </c>
      <c r="P827" s="100" cm="1">
        <f t="array" aca="1" ref="P827" ca="1">MAX(IF(AA826="Да",0,SUM(INDIRECT("M"&amp;(MAX(("Да"=AA$12:AA826)*ROW(AA$12:AA826)+1,ROW($P$12))&amp;":M"&amp;(ROW()))))-SUM(INDIRECT("W"&amp;(MAX(("Да"=AA$12:AA826)*ROW(AA$12:AA826)+1,ROW($P$12))&amp;":W"&amp;(ROW()))))),0)</f>
        <v>12165.97</v>
      </c>
      <c r="Q827" s="99">
        <f ca="1">MAX(SUM($N$13:N827)-SUM($T$13:T827),0)</f>
        <v>57348.730655737687</v>
      </c>
      <c r="R827" s="99">
        <f ca="1">Первоначальный[[#This Row],[Просроченный платеж по ОД]]+Первоначальный[[#This Row],[Просроченный платеж по процентам]]</f>
        <v>69514.700655737688</v>
      </c>
      <c r="S827" s="120">
        <f ca="1">IF(Первоначальный[[#This Row],[Просроченный платеж]]&lt;1,0,S826+1)</f>
        <v>723</v>
      </c>
      <c r="T827" s="100" cm="1">
        <f t="array" aca="1" ref="T827" ca="1">IF(Первоначальный[[#This Row],[Итого остаток на начало периода]]&lt;1,0,
IF(
AND(TYPE(VLOOKUP(1,$Z$12:Z827,1,0))=16,Первоначальный[[#This Row],[Досрочное погашение (да/"")]]=""),0,
_xlfn.IFS(AND(S826=0,Первоначальный[[#This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платеж]]&lt;&gt;0),MIN(LOOKUP(,-1/($Z$12:Z827=1),$C$12:C827)+LOOKUP(,-1/($Z$12:Z827=1),$H$12:H827),Первоначальный[[#This Row],[Полученный платеж]]+Y826),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платеж]]+Y826,SUM(Первоначальный[[#This Row],[Остаток процентов на начало периода]],Первоначальный[[#This Row],[Проценты за период]])),
AND(S826=0,Первоначальный[[#This Row],[Дата платежа из графика]]=""),0,
AND(S826=0,Первоначальный[[#This Row],[Дата платежа из графика]]=1,MAX((0&lt;&gt;S$12:S826)*ROW(S$12:S826),ROW($S$12))&gt;=MAX((1=Z$12:Z826)*ROW(Z$12:Z826),ROW($T$12)),TYPE(VLOOKUP("Да",(INDIRECT("AA"&amp;(MAX((1=Z$12:Z826)*ROW(Z$12:Z826),ROW($T$12))&amp;":AA"&amp;(ROW()-1)))),1,0))=16),MIN(LOOKUP(,-1/($Z$12:Z827=1),$C$12:C827)+LOOKUP(,-1/($Z$12:Z827=1),$H$12:H827),Первоначальный[[#This Row],[Полученный платеж]]+Y826),
AND(S826=0,TYPE(VLOOKUP("Да",(INDIRECT("AA"&amp;(MAX((1=Z$12:Z826)*ROW(Z$12:Z826),ROW($T$12))&amp;":AA"&amp;(ROW()-1)))),1,0))&lt;&gt;16),MIN(LOOKUP(,-1/($Z$12:Z827=1),$C$12:C827)+LOOKUP(,-1/($Z$12:Z827=1),$H$12:H827)-IF(AA826="Да",0,SUM(INDIRECT("T"&amp;(MAX(("Да"=AA$12:AA826)*ROW(AA$12:AA826)+1,ROW($T$12))&amp;":T"&amp;(ROW()-1))))),Первоначальный[[#This Row],[Полученный платеж]]+Y826),
AND(S826=0,MAX((0&lt;&gt;N$12:N826)*ROW(N$12:N826),ROW($S$12))&gt;=MAX((1=Z$12:Z826)*ROW(Z$12:Z826),ROW($T$12))),MIN(LOOKUP(,-1/($Z$12:Z827=1),$C$12:C827)+LOOKUP(,-1/($Z$12:Z827=1),$H$12:H827)-IF(N826&lt;&gt;0,0,SUM(INDIRECT("T"&amp;(MAX((0&lt;&gt;N$12:N826)*ROW(N$12:N826)+1,ROW($T$12))&amp;":T"&amp;(ROW()-1))))),Первоначальный[[#This Row],[Полученный платеж]]+Y826),
AND(S826=0,Первоначальный[[#This Row],[Дата платежа из графика]]=1),MIN(LOOKUP(,-1/($Z$12:Z827=1),$C$12:C827)+LOOKUP(,-1/($Z$12:Z827=1),$H$12:H827)-IF(Z826=1,0,SUM(INDIRECT("T"&amp;(MAX((1=Z$12:Z826)*ROW(Z$12:Z826)+1,ROW($T$12))&amp;":T"&amp;(ROW()-1))))),Первоначальный[[#This Row],[Полученный платеж]]+Y826),
AND(Z826&gt;0,Первоначальный[[#This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платеж]]+Y826),
AND(S826&gt;0,MAX((0&lt;&gt;S$12:S826)*ROW(S$12:S826),ROW($S$12))&gt;=MAX((1=Z$12:Z826)*ROW(Z$12:Z826),ROW($T$12)),TYPE(VLOOKUP("Да",(INDIRECT("AA"&amp;(MAX((1=Z$12:Z826)*ROW(Z$12:Z826),ROW($T$12))&amp;":AA"&amp;(ROW()-1)))),1,0))=16),MIN(LOOKUP(,-1/($Z$12:Z827=1),$C$12:C827)+LOOKUP(,-1/($Z$12:Z827=1),$H$12:H827)-SUM(INDIRECT("T"&amp;(MAX((1=Z$12:Z826)*ROW(Z$12:Z826),ROW($T$12))&amp;":T"&amp;(ROW()-1)))),Первоначальный[[#This Row],[Полученный платеж]]+Y826),
S826&gt;0,MIN(LOOKUP(,-1/($Z$12:Z827=1),$C$12:C827)+LOOKUP(,-1/($Z$12:Z827=1),$H$12:H827)-IF(Z826=1,0,SUM(INDIRECT("T"&amp;(MAX((1=Z$12:Z826)*ROW(Z$12:Z826)+1,ROW($T$12))&amp;":T"&amp;(ROW()-1))))),Первоначальный[[#This Row],[Полученный платеж]]+Y826)
)
)
)</f>
        <v>0</v>
      </c>
      <c r="U82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платеж]]+Y826-Первоначальный[[#This Row],[Полученный платёж по процентам]])</f>
        <v>0</v>
      </c>
      <c r="V827" s="55">
        <f t="shared" ca="1" si="145"/>
        <v>0</v>
      </c>
      <c r="W827" s="55" cm="1">
        <f t="array" aca="1" ref="W827" ca="1">IF(Первоначальный[[#This Row],[Итого остаток на начало периода]]&lt;1,0,
_xlfn.IFS(
AND(TYPE(VLOOKUP(1,$Z$12:Z827,1,0))=16,Первоначальный[[#This Row],[Досрочное погашение (да/"")]]=""),0,
AND(S826=0,Первоначальный[[#This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платеж]]+Y826-SUM(Первоначальный[[#This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комиссиям]]),VLOOKUP(LOOKUP(,-1/($Z$12:Z827=1),$A$12:A827),График[[Срок конец]:[Возврат основной суммы долга]],3,0)),
AND(S826=0,Первоначальный[[#This Row],[Дата платежа из графика]]="",Первоначальный[[#This Row],[Досрочное погашение (да/"")]]&lt;&gt;"Да"),0,
AND(S826=0,Первоначальный[[#This Row],[Досрочное погашение (да/"")]]=""),MIN(Первоначальный[[#This Row],[Полученный платеж]]+Y826-SUM(Первоначальный[[#This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комиссиям]]),VLOOKUP(LOOKUP(,-1/($Z$12:Z827=1),$A$12:A827),График[[Срок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платеж]]+Y826-SUM(Первоначальный[[#This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S826&gt;0,MIN(Первоначальный[[#This Row],[Полученный платеж]]+Y826-SUM(Первоначальный[[#This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комиссиям]]),SUM(INDIRECT("M"&amp;(MAX((1=S$12:S826)*ROW(S$12:S826),ROW($W$12))&amp;":M"&amp;(ROW()))))-SUM(INDIRECT("W"&amp;(MAX((1=S$12:S826)*ROW(S$12:S826),ROW($W$12))&amp;":W"&amp;(ROW()-1)))))
)
)</f>
        <v>0</v>
      </c>
      <c r="X827" s="55">
        <f t="shared" ca="1" si="146"/>
        <v>0</v>
      </c>
      <c r="Y827" s="101">
        <f t="shared" ca="1" si="153"/>
        <v>0</v>
      </c>
      <c r="Z827" s="133" t="str">
        <f>IF(TYPE((VLOOKUP(Первоначальный[[#This Row],[Дата платежа]],График[Срок конец],1,0)))=16,"",1)</f>
        <v/>
      </c>
      <c r="AA827" s="57"/>
      <c r="AB827" s="134"/>
      <c r="AC82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2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59074.799999999945</v>
      </c>
      <c r="AE82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2342.12</v>
      </c>
      <c r="AF82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2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130041.70787049194</v>
      </c>
      <c r="AH827" s="55"/>
      <c r="AI827" s="55"/>
      <c r="AJ827" s="55"/>
      <c r="AK827" s="101">
        <f t="shared" ca="1" si="154"/>
        <v>341091.96787049191</v>
      </c>
      <c r="AL827" s="129">
        <f t="array" ref="AL827">MAX((УслРестрактов[Характеристика]="Дата реструктуризации")*(УслРестрактов[Значение]=Первоначальный!$A827),0)</f>
        <v>0</v>
      </c>
    </row>
    <row r="828" spans="1:38" x14ac:dyDescent="0.25">
      <c r="A828" s="97">
        <f t="shared" si="147"/>
        <v>44959</v>
      </c>
      <c r="B828" s="100">
        <f t="shared" ca="1" si="148"/>
        <v>149633.34</v>
      </c>
      <c r="C828" s="55">
        <f t="shared" ca="1" si="156"/>
        <v>59074.799999999945</v>
      </c>
      <c r="D828" s="55">
        <f t="shared" ca="1" si="156"/>
        <v>2342.12</v>
      </c>
      <c r="E828" s="55">
        <f t="shared" ca="1" si="149"/>
        <v>0</v>
      </c>
      <c r="F828" s="55">
        <f t="shared" ca="1" si="150"/>
        <v>130041.70787049194</v>
      </c>
      <c r="G828" s="101">
        <f t="shared" ca="1" si="151"/>
        <v>341091.96787049191</v>
      </c>
      <c r="H828" s="100">
        <f ca="1">ROUND($B828*VLOOKUP($A828,$A$1:$B$10,2,1)/(365+IF(MOD(YEAR($A828),4),0,1)*($A828-$A827)),2)-Первоначальный[[#This Row],[Проценты на просроченный платеж по ОД за период]]</f>
        <v>74.95</v>
      </c>
      <c r="I828" s="55">
        <f t="shared" ca="1" si="152"/>
        <v>6.63</v>
      </c>
      <c r="J828" s="55">
        <v>0</v>
      </c>
      <c r="K828" s="55">
        <f t="shared" ca="1" si="155"/>
        <v>347.57350327868846</v>
      </c>
      <c r="L828" s="55">
        <v>0</v>
      </c>
      <c r="M828" s="113">
        <f>SUMIFS(График[Возврат основной суммы долга],График[Дата с учетом нерабочих дней],$A828)</f>
        <v>0</v>
      </c>
      <c r="N828" s="56">
        <f>SUMIFS(График[Возврат начисленных %],График[Дата с учетом нерабочих дней],$A828)</f>
        <v>0</v>
      </c>
      <c r="O828" s="101">
        <v>0</v>
      </c>
      <c r="P828" s="100" cm="1">
        <f t="array" aca="1" ref="P828" ca="1">MAX(IF(AA827="Да",0,SUM(INDIRECT("M"&amp;(MAX(("Да"=AA$12:AA827)*ROW(AA$12:AA827)+1,ROW($P$12))&amp;":M"&amp;(ROW()))))-SUM(INDIRECT("W"&amp;(MAX(("Да"=AA$12:AA827)*ROW(AA$12:AA827)+1,ROW($P$12))&amp;":W"&amp;(ROW()))))),0)</f>
        <v>12165.97</v>
      </c>
      <c r="Q828" s="99">
        <f ca="1">MAX(SUM($N$13:N828)-SUM($T$13:T828),0)</f>
        <v>57348.730655737687</v>
      </c>
      <c r="R828" s="99">
        <f ca="1">Первоначальный[[#This Row],[Просроченный платеж по ОД]]+Первоначальный[[#This Row],[Просроченный платеж по процентам]]</f>
        <v>69514.700655737688</v>
      </c>
      <c r="S828" s="120">
        <f ca="1">IF(Первоначальный[[#This Row],[Просроченный платеж]]&lt;1,0,S827+1)</f>
        <v>724</v>
      </c>
      <c r="T828" s="100" cm="1">
        <f t="array" aca="1" ref="T828" ca="1">IF(Первоначальный[[#This Row],[Итого остаток на начало периода]]&lt;1,0,
IF(
AND(TYPE(VLOOKUP(1,$Z$12:Z828,1,0))=16,Первоначальный[[#This Row],[Досрочное погашение (да/"")]]=""),0,
_xlfn.IFS(AND(S827=0,Первоначальный[[#This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платеж]]&lt;&gt;0),MIN(LOOKUP(,-1/($Z$12:Z828=1),$C$12:C828)+LOOKUP(,-1/($Z$12:Z828=1),$H$12:H828),Первоначальный[[#This Row],[Полученный платеж]]+Y827),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платеж]]+Y827,SUM(Первоначальный[[#This Row],[Остаток процентов на начало периода]],Первоначальный[[#This Row],[Проценты за период]])),
AND(S827=0,Первоначальный[[#This Row],[Дата платежа из графика]]=""),0,
AND(S827=0,Первоначальный[[#This Row],[Дата платежа из графика]]=1,MAX((0&lt;&gt;S$12:S827)*ROW(S$12:S827),ROW($S$12))&gt;=MAX((1=Z$12:Z827)*ROW(Z$12:Z827),ROW($T$12)),TYPE(VLOOKUP("Да",(INDIRECT("AA"&amp;(MAX((1=Z$12:Z827)*ROW(Z$12:Z827),ROW($T$12))&amp;":AA"&amp;(ROW()-1)))),1,0))=16),MIN(LOOKUP(,-1/($Z$12:Z828=1),$C$12:C828)+LOOKUP(,-1/($Z$12:Z828=1),$H$12:H828),Первоначальный[[#This Row],[Полученный платеж]]+Y827),
AND(S827=0,TYPE(VLOOKUP("Да",(INDIRECT("AA"&amp;(MAX((1=Z$12:Z827)*ROW(Z$12:Z827),ROW($T$12))&amp;":AA"&amp;(ROW()-1)))),1,0))&lt;&gt;16),MIN(LOOKUP(,-1/($Z$12:Z828=1),$C$12:C828)+LOOKUP(,-1/($Z$12:Z828=1),$H$12:H828)-IF(AA827="Да",0,SUM(INDIRECT("T"&amp;(MAX(("Да"=AA$12:AA827)*ROW(AA$12:AA827)+1,ROW($T$12))&amp;":T"&amp;(ROW()-1))))),Первоначальный[[#This Row],[Полученный платеж]]+Y827),
AND(S827=0,MAX((0&lt;&gt;N$12:N827)*ROW(N$12:N827),ROW($S$12))&gt;=MAX((1=Z$12:Z827)*ROW(Z$12:Z827),ROW($T$12))),MIN(LOOKUP(,-1/($Z$12:Z828=1),$C$12:C828)+LOOKUP(,-1/($Z$12:Z828=1),$H$12:H828)-IF(N827&lt;&gt;0,0,SUM(INDIRECT("T"&amp;(MAX((0&lt;&gt;N$12:N827)*ROW(N$12:N827)+1,ROW($T$12))&amp;":T"&amp;(ROW()-1))))),Первоначальный[[#This Row],[Полученный платеж]]+Y827),
AND(S827=0,Первоначальный[[#This Row],[Дата платежа из графика]]=1),MIN(LOOKUP(,-1/($Z$12:Z828=1),$C$12:C828)+LOOKUP(,-1/($Z$12:Z828=1),$H$12:H828)-IF(Z827=1,0,SUM(INDIRECT("T"&amp;(MAX((1=Z$12:Z827)*ROW(Z$12:Z827)+1,ROW($T$12))&amp;":T"&amp;(ROW()-1))))),Первоначальный[[#This Row],[Полученный платеж]]+Y827),
AND(Z827&gt;0,Первоначальный[[#This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платеж]]+Y827),
AND(S827&gt;0,MAX((0&lt;&gt;S$12:S827)*ROW(S$12:S827),ROW($S$12))&gt;=MAX((1=Z$12:Z827)*ROW(Z$12:Z827),ROW($T$12)),TYPE(VLOOKUP("Да",(INDIRECT("AA"&amp;(MAX((1=Z$12:Z827)*ROW(Z$12:Z827),ROW($T$12))&amp;":AA"&amp;(ROW()-1)))),1,0))=16),MIN(LOOKUP(,-1/($Z$12:Z828=1),$C$12:C828)+LOOKUP(,-1/($Z$12:Z828=1),$H$12:H828)-SUM(INDIRECT("T"&amp;(MAX((1=Z$12:Z827)*ROW(Z$12:Z827),ROW($T$12))&amp;":T"&amp;(ROW()-1)))),Первоначальный[[#This Row],[Полученный платеж]]+Y827),
S827&gt;0,MIN(LOOKUP(,-1/($Z$12:Z828=1),$C$12:C828)+LOOKUP(,-1/($Z$12:Z828=1),$H$12:H828)-IF(Z827=1,0,SUM(INDIRECT("T"&amp;(MAX((1=Z$12:Z827)*ROW(Z$12:Z827)+1,ROW($T$12))&amp;":T"&amp;(ROW()-1))))),Первоначальный[[#This Row],[Полученный платеж]]+Y827)
)
)
)</f>
        <v>0</v>
      </c>
      <c r="U82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платеж]]+Y827-Первоначальный[[#This Row],[Полученный платёж по процентам]])</f>
        <v>0</v>
      </c>
      <c r="V828" s="55">
        <f t="shared" ca="1" si="145"/>
        <v>0</v>
      </c>
      <c r="W828" s="55" cm="1">
        <f t="array" aca="1" ref="W828" ca="1">IF(Первоначальный[[#This Row],[Итого остаток на начало периода]]&lt;1,0,
_xlfn.IFS(
AND(TYPE(VLOOKUP(1,$Z$12:Z828,1,0))=16,Первоначальный[[#This Row],[Досрочное погашение (да/"")]]=""),0,
AND(S827=0,Первоначальный[[#This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платеж]]+Y827-SUM(Первоначальный[[#This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комиссиям]]),VLOOKUP(LOOKUP(,-1/($Z$12:Z828=1),$A$12:A828),График[[Срок конец]:[Возврат основной суммы долга]],3,0)),
AND(S827=0,Первоначальный[[#This Row],[Дата платежа из графика]]="",Первоначальный[[#This Row],[Досрочное погашение (да/"")]]&lt;&gt;"Да"),0,
AND(S827=0,Первоначальный[[#This Row],[Досрочное погашение (да/"")]]=""),MIN(Первоначальный[[#This Row],[Полученный платеж]]+Y827-SUM(Первоначальный[[#This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комиссиям]]),VLOOKUP(LOOKUP(,-1/($Z$12:Z828=1),$A$12:A828),График[[Срок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платеж]]+Y827-SUM(Первоначальный[[#This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S827&gt;0,MIN(Первоначальный[[#This Row],[Полученный платеж]]+Y827-SUM(Первоначальный[[#This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комиссиям]]),SUM(INDIRECT("M"&amp;(MAX((1=S$12:S827)*ROW(S$12:S827),ROW($W$12))&amp;":M"&amp;(ROW()))))-SUM(INDIRECT("W"&amp;(MAX((1=S$12:S827)*ROW(S$12:S827),ROW($W$12))&amp;":W"&amp;(ROW()-1)))))
)
)</f>
        <v>0</v>
      </c>
      <c r="X828" s="55">
        <f t="shared" ca="1" si="146"/>
        <v>0</v>
      </c>
      <c r="Y828" s="101">
        <f t="shared" ca="1" si="153"/>
        <v>0</v>
      </c>
      <c r="Z828" s="133" t="str">
        <f>IF(TYPE((VLOOKUP(Первоначальный[[#This Row],[Дата платежа]],График[Срок конец],1,0)))=16,"",1)</f>
        <v/>
      </c>
      <c r="AA828" s="57"/>
      <c r="AB828" s="134"/>
      <c r="AC82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2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59149.749999999942</v>
      </c>
      <c r="AE82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2348.75</v>
      </c>
      <c r="AF82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2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130389.28137377063</v>
      </c>
      <c r="AH828" s="55"/>
      <c r="AI828" s="55"/>
      <c r="AJ828" s="55"/>
      <c r="AK828" s="101">
        <f t="shared" ca="1" si="154"/>
        <v>341521.12137377058</v>
      </c>
      <c r="AL828" s="129">
        <f t="array" ref="AL828">MAX((УслРестрактов[Характеристика]="Дата реструктуризации")*(УслРестрактов[Значение]=Первоначальный!$A828),0)</f>
        <v>0</v>
      </c>
    </row>
    <row r="829" spans="1:38" x14ac:dyDescent="0.25">
      <c r="A829" s="97">
        <f t="shared" si="147"/>
        <v>44960</v>
      </c>
      <c r="B829" s="100">
        <f t="shared" ca="1" si="148"/>
        <v>149633.34</v>
      </c>
      <c r="C829" s="55">
        <f t="shared" ca="1" si="156"/>
        <v>59149.749999999942</v>
      </c>
      <c r="D829" s="55">
        <f t="shared" ca="1" si="156"/>
        <v>2348.75</v>
      </c>
      <c r="E829" s="55">
        <f t="shared" ca="1" si="149"/>
        <v>0</v>
      </c>
      <c r="F829" s="55">
        <f t="shared" ca="1" si="150"/>
        <v>130389.28137377063</v>
      </c>
      <c r="G829" s="101">
        <f t="shared" ca="1" si="151"/>
        <v>341521.12137377058</v>
      </c>
      <c r="H829" s="100">
        <f ca="1">ROUND($B829*VLOOKUP($A829,$A$1:$B$10,2,1)/(365+IF(MOD(YEAR($A829),4),0,1)*($A829-$A828)),2)-Первоначальный[[#This Row],[Проценты на просроченный платеж по ОД за период]]</f>
        <v>74.95</v>
      </c>
      <c r="I829" s="55">
        <f t="shared" ca="1" si="152"/>
        <v>6.63</v>
      </c>
      <c r="J829" s="55">
        <v>0</v>
      </c>
      <c r="K829" s="55">
        <f t="shared" ca="1" si="155"/>
        <v>347.57350327868846</v>
      </c>
      <c r="L829" s="55">
        <v>0</v>
      </c>
      <c r="M829" s="113">
        <f>SUMIFS(График[Возврат основной суммы долга],График[Дата с учетом нерабочих дней],$A829)</f>
        <v>0</v>
      </c>
      <c r="N829" s="56">
        <f>SUMIFS(График[Возврат начисленных %],График[Дата с учетом нерабочих дней],$A829)</f>
        <v>0</v>
      </c>
      <c r="O829" s="101">
        <v>0</v>
      </c>
      <c r="P829" s="100" cm="1">
        <f t="array" aca="1" ref="P829" ca="1">MAX(IF(AA828="Да",0,SUM(INDIRECT("M"&amp;(MAX(("Да"=AA$12:AA828)*ROW(AA$12:AA828)+1,ROW($P$12))&amp;":M"&amp;(ROW()))))-SUM(INDIRECT("W"&amp;(MAX(("Да"=AA$12:AA828)*ROW(AA$12:AA828)+1,ROW($P$12))&amp;":W"&amp;(ROW()))))),0)</f>
        <v>12165.97</v>
      </c>
      <c r="Q829" s="99">
        <f ca="1">MAX(SUM($N$13:N829)-SUM($T$13:T829),0)</f>
        <v>57348.730655737687</v>
      </c>
      <c r="R829" s="99">
        <f ca="1">Первоначальный[[#This Row],[Просроченный платеж по ОД]]+Первоначальный[[#This Row],[Просроченный платеж по процентам]]</f>
        <v>69514.700655737688</v>
      </c>
      <c r="S829" s="120">
        <f ca="1">IF(Первоначальный[[#This Row],[Просроченный платеж]]&lt;1,0,S828+1)</f>
        <v>725</v>
      </c>
      <c r="T829" s="100" cm="1">
        <f t="array" aca="1" ref="T829" ca="1">IF(Первоначальный[[#This Row],[Итого остаток на начало периода]]&lt;1,0,
IF(
AND(TYPE(VLOOKUP(1,$Z$12:Z829,1,0))=16,Первоначальный[[#This Row],[Досрочное погашение (да/"")]]=""),0,
_xlfn.IFS(AND(S828=0,Первоначальный[[#This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платеж]]&lt;&gt;0),MIN(LOOKUP(,-1/($Z$12:Z829=1),$C$12:C829)+LOOKUP(,-1/($Z$12:Z829=1),$H$12:H829),Первоначальный[[#This Row],[Полученный платеж]]+Y828),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платеж]]+Y828,SUM(Первоначальный[[#This Row],[Остаток процентов на начало периода]],Первоначальный[[#This Row],[Проценты за период]])),
AND(S828=0,Первоначальный[[#This Row],[Дата платежа из графика]]=""),0,
AND(S828=0,Первоначальный[[#This Row],[Дата платежа из графика]]=1,MAX((0&lt;&gt;S$12:S828)*ROW(S$12:S828),ROW($S$12))&gt;=MAX((1=Z$12:Z828)*ROW(Z$12:Z828),ROW($T$12)),TYPE(VLOOKUP("Да",(INDIRECT("AA"&amp;(MAX((1=Z$12:Z828)*ROW(Z$12:Z828),ROW($T$12))&amp;":AA"&amp;(ROW()-1)))),1,0))=16),MIN(LOOKUP(,-1/($Z$12:Z829=1),$C$12:C829)+LOOKUP(,-1/($Z$12:Z829=1),$H$12:H829),Первоначальный[[#This Row],[Полученный платеж]]+Y828),
AND(S828=0,TYPE(VLOOKUP("Да",(INDIRECT("AA"&amp;(MAX((1=Z$12:Z828)*ROW(Z$12:Z828),ROW($T$12))&amp;":AA"&amp;(ROW()-1)))),1,0))&lt;&gt;16),MIN(LOOKUP(,-1/($Z$12:Z829=1),$C$12:C829)+LOOKUP(,-1/($Z$12:Z829=1),$H$12:H829)-IF(AA828="Да",0,SUM(INDIRECT("T"&amp;(MAX(("Да"=AA$12:AA828)*ROW(AA$12:AA828)+1,ROW($T$12))&amp;":T"&amp;(ROW()-1))))),Первоначальный[[#This Row],[Полученный платеж]]+Y828),
AND(S828=0,MAX((0&lt;&gt;N$12:N828)*ROW(N$12:N828),ROW($S$12))&gt;=MAX((1=Z$12:Z828)*ROW(Z$12:Z828),ROW($T$12))),MIN(LOOKUP(,-1/($Z$12:Z829=1),$C$12:C829)+LOOKUP(,-1/($Z$12:Z829=1),$H$12:H829)-IF(N828&lt;&gt;0,0,SUM(INDIRECT("T"&amp;(MAX((0&lt;&gt;N$12:N828)*ROW(N$12:N828)+1,ROW($T$12))&amp;":T"&amp;(ROW()-1))))),Первоначальный[[#This Row],[Полученный платеж]]+Y828),
AND(S828=0,Первоначальный[[#This Row],[Дата платежа из графика]]=1),MIN(LOOKUP(,-1/($Z$12:Z829=1),$C$12:C829)+LOOKUP(,-1/($Z$12:Z829=1),$H$12:H829)-IF(Z828=1,0,SUM(INDIRECT("T"&amp;(MAX((1=Z$12:Z828)*ROW(Z$12:Z828)+1,ROW($T$12))&amp;":T"&amp;(ROW()-1))))),Первоначальный[[#This Row],[Полученный платеж]]+Y828),
AND(Z828&gt;0,Первоначальный[[#This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платеж]]+Y828),
AND(S828&gt;0,MAX((0&lt;&gt;S$12:S828)*ROW(S$12:S828),ROW($S$12))&gt;=MAX((1=Z$12:Z828)*ROW(Z$12:Z828),ROW($T$12)),TYPE(VLOOKUP("Да",(INDIRECT("AA"&amp;(MAX((1=Z$12:Z828)*ROW(Z$12:Z828),ROW($T$12))&amp;":AA"&amp;(ROW()-1)))),1,0))=16),MIN(LOOKUP(,-1/($Z$12:Z829=1),$C$12:C829)+LOOKUP(,-1/($Z$12:Z829=1),$H$12:H829)-SUM(INDIRECT("T"&amp;(MAX((1=Z$12:Z828)*ROW(Z$12:Z828),ROW($T$12))&amp;":T"&amp;(ROW()-1)))),Первоначальный[[#This Row],[Полученный платеж]]+Y828),
S828&gt;0,MIN(LOOKUP(,-1/($Z$12:Z829=1),$C$12:C829)+LOOKUP(,-1/($Z$12:Z829=1),$H$12:H829)-IF(Z828=1,0,SUM(INDIRECT("T"&amp;(MAX((1=Z$12:Z828)*ROW(Z$12:Z828)+1,ROW($T$12))&amp;":T"&amp;(ROW()-1))))),Первоначальный[[#This Row],[Полученный платеж]]+Y828)
)
)
)</f>
        <v>0</v>
      </c>
      <c r="U82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платеж]]+Y828-Первоначальный[[#This Row],[Полученный платёж по процентам]])</f>
        <v>0</v>
      </c>
      <c r="V829" s="55">
        <f t="shared" ca="1" si="145"/>
        <v>0</v>
      </c>
      <c r="W829" s="55" cm="1">
        <f t="array" aca="1" ref="W829" ca="1">IF(Первоначальный[[#This Row],[Итого остаток на начало периода]]&lt;1,0,
_xlfn.IFS(
AND(TYPE(VLOOKUP(1,$Z$12:Z829,1,0))=16,Первоначальный[[#This Row],[Досрочное погашение (да/"")]]=""),0,
AND(S828=0,Первоначальный[[#This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платеж]]+Y828-SUM(Первоначальный[[#This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комиссиям]]),VLOOKUP(LOOKUP(,-1/($Z$12:Z829=1),$A$12:A829),График[[Срок конец]:[Возврат основной суммы долга]],3,0)),
AND(S828=0,Первоначальный[[#This Row],[Дата платежа из графика]]="",Первоначальный[[#This Row],[Досрочное погашение (да/"")]]&lt;&gt;"Да"),0,
AND(S828=0,Первоначальный[[#This Row],[Досрочное погашение (да/"")]]=""),MIN(Первоначальный[[#This Row],[Полученный платеж]]+Y828-SUM(Первоначальный[[#This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комиссиям]]),VLOOKUP(LOOKUP(,-1/($Z$12:Z829=1),$A$12:A829),График[[Срок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платеж]]+Y828-SUM(Первоначальный[[#This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S828&gt;0,MIN(Первоначальный[[#This Row],[Полученный платеж]]+Y828-SUM(Первоначальный[[#This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комиссиям]]),SUM(INDIRECT("M"&amp;(MAX((1=S$12:S828)*ROW(S$12:S828),ROW($W$12))&amp;":M"&amp;(ROW()))))-SUM(INDIRECT("W"&amp;(MAX((1=S$12:S828)*ROW(S$12:S828),ROW($W$12))&amp;":W"&amp;(ROW()-1)))))
)
)</f>
        <v>0</v>
      </c>
      <c r="X829" s="55">
        <f t="shared" ca="1" si="146"/>
        <v>0</v>
      </c>
      <c r="Y829" s="101">
        <f t="shared" ca="1" si="153"/>
        <v>0</v>
      </c>
      <c r="Z829" s="133" t="str">
        <f>IF(TYPE((VLOOKUP(Первоначальный[[#This Row],[Дата платежа]],График[Срок конец],1,0)))=16,"",1)</f>
        <v/>
      </c>
      <c r="AA829" s="57"/>
      <c r="AB829" s="134"/>
      <c r="AC82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2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59224.699999999939</v>
      </c>
      <c r="AE82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2355.38</v>
      </c>
      <c r="AF82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2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130736.85487704932</v>
      </c>
      <c r="AH829" s="55"/>
      <c r="AI829" s="55"/>
      <c r="AJ829" s="55"/>
      <c r="AK829" s="101">
        <f t="shared" ca="1" si="154"/>
        <v>341950.27487704926</v>
      </c>
      <c r="AL829" s="129">
        <f t="array" ref="AL829">MAX((УслРестрактов[Характеристика]="Дата реструктуризации")*(УслРестрактов[Значение]=Первоначальный!$A829),0)</f>
        <v>0</v>
      </c>
    </row>
    <row r="830" spans="1:38" x14ac:dyDescent="0.25">
      <c r="A830" s="97">
        <f t="shared" si="147"/>
        <v>44961</v>
      </c>
      <c r="B830" s="100">
        <f t="shared" ca="1" si="148"/>
        <v>149633.34</v>
      </c>
      <c r="C830" s="55">
        <f t="shared" ca="1" si="156"/>
        <v>59224.699999999939</v>
      </c>
      <c r="D830" s="55">
        <f t="shared" ca="1" si="156"/>
        <v>2355.38</v>
      </c>
      <c r="E830" s="55">
        <f t="shared" ca="1" si="149"/>
        <v>0</v>
      </c>
      <c r="F830" s="55">
        <f t="shared" ca="1" si="150"/>
        <v>130736.85487704932</v>
      </c>
      <c r="G830" s="101">
        <f t="shared" ca="1" si="151"/>
        <v>341950.27487704926</v>
      </c>
      <c r="H830" s="100">
        <f ca="1">ROUND($B830*VLOOKUP($A830,$A$1:$B$10,2,1)/(365+IF(MOD(YEAR($A830),4),0,1)*($A830-$A829)),2)-Первоначальный[[#This Row],[Проценты на просроченный платеж по ОД за период]]</f>
        <v>74.95</v>
      </c>
      <c r="I830" s="55">
        <f t="shared" ca="1" si="152"/>
        <v>6.63</v>
      </c>
      <c r="J830" s="55">
        <v>0</v>
      </c>
      <c r="K830" s="55">
        <f t="shared" ca="1" si="155"/>
        <v>347.57350327868846</v>
      </c>
      <c r="L830" s="55">
        <v>0</v>
      </c>
      <c r="M830" s="113">
        <f>SUMIFS(График[Возврат основной суммы долга],График[Дата с учетом нерабочих дней],$A830)</f>
        <v>0</v>
      </c>
      <c r="N830" s="56">
        <f>SUMIFS(График[Возврат начисленных %],График[Дата с учетом нерабочих дней],$A830)</f>
        <v>0</v>
      </c>
      <c r="O830" s="101">
        <v>0</v>
      </c>
      <c r="P830" s="100" cm="1">
        <f t="array" aca="1" ref="P830" ca="1">MAX(IF(AA829="Да",0,SUM(INDIRECT("M"&amp;(MAX(("Да"=AA$12:AA829)*ROW(AA$12:AA829)+1,ROW($P$12))&amp;":M"&amp;(ROW()))))-SUM(INDIRECT("W"&amp;(MAX(("Да"=AA$12:AA829)*ROW(AA$12:AA829)+1,ROW($P$12))&amp;":W"&amp;(ROW()))))),0)</f>
        <v>12165.97</v>
      </c>
      <c r="Q830" s="99">
        <f ca="1">MAX(SUM($N$13:N830)-SUM($T$13:T830),0)</f>
        <v>57348.730655737687</v>
      </c>
      <c r="R830" s="99">
        <f ca="1">Первоначальный[[#This Row],[Просроченный платеж по ОД]]+Первоначальный[[#This Row],[Просроченный платеж по процентам]]</f>
        <v>69514.700655737688</v>
      </c>
      <c r="S830" s="120">
        <f ca="1">IF(Первоначальный[[#This Row],[Просроченный платеж]]&lt;1,0,S829+1)</f>
        <v>726</v>
      </c>
      <c r="T830" s="100" cm="1">
        <f t="array" aca="1" ref="T830" ca="1">IF(Первоначальный[[#This Row],[Итого остаток на начало периода]]&lt;1,0,
IF(
AND(TYPE(VLOOKUP(1,$Z$12:Z830,1,0))=16,Первоначальный[[#This Row],[Досрочное погашение (да/"")]]=""),0,
_xlfn.IFS(AND(S829=0,Первоначальный[[#This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платеж]]&lt;&gt;0),MIN(LOOKUP(,-1/($Z$12:Z830=1),$C$12:C830)+LOOKUP(,-1/($Z$12:Z830=1),$H$12:H830),Первоначальный[[#This Row],[Полученный платеж]]+Y829),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платеж]]+Y829,SUM(Первоначальный[[#This Row],[Остаток процентов на начало периода]],Первоначальный[[#This Row],[Проценты за период]])),
AND(S829=0,Первоначальный[[#This Row],[Дата платежа из графика]]=""),0,
AND(S829=0,Первоначальный[[#This Row],[Дата платежа из графика]]=1,MAX((0&lt;&gt;S$12:S829)*ROW(S$12:S829),ROW($S$12))&gt;=MAX((1=Z$12:Z829)*ROW(Z$12:Z829),ROW($T$12)),TYPE(VLOOKUP("Да",(INDIRECT("AA"&amp;(MAX((1=Z$12:Z829)*ROW(Z$12:Z829),ROW($T$12))&amp;":AA"&amp;(ROW()-1)))),1,0))=16),MIN(LOOKUP(,-1/($Z$12:Z830=1),$C$12:C830)+LOOKUP(,-1/($Z$12:Z830=1),$H$12:H830),Первоначальный[[#This Row],[Полученный платеж]]+Y829),
AND(S829=0,TYPE(VLOOKUP("Да",(INDIRECT("AA"&amp;(MAX((1=Z$12:Z829)*ROW(Z$12:Z829),ROW($T$12))&amp;":AA"&amp;(ROW()-1)))),1,0))&lt;&gt;16),MIN(LOOKUP(,-1/($Z$12:Z830=1),$C$12:C830)+LOOKUP(,-1/($Z$12:Z830=1),$H$12:H830)-IF(AA829="Да",0,SUM(INDIRECT("T"&amp;(MAX(("Да"=AA$12:AA829)*ROW(AA$12:AA829)+1,ROW($T$12))&amp;":T"&amp;(ROW()-1))))),Первоначальный[[#This Row],[Полученный платеж]]+Y829),
AND(S829=0,MAX((0&lt;&gt;N$12:N829)*ROW(N$12:N829),ROW($S$12))&gt;=MAX((1=Z$12:Z829)*ROW(Z$12:Z829),ROW($T$12))),MIN(LOOKUP(,-1/($Z$12:Z830=1),$C$12:C830)+LOOKUP(,-1/($Z$12:Z830=1),$H$12:H830)-IF(N829&lt;&gt;0,0,SUM(INDIRECT("T"&amp;(MAX((0&lt;&gt;N$12:N829)*ROW(N$12:N829)+1,ROW($T$12))&amp;":T"&amp;(ROW()-1))))),Первоначальный[[#This Row],[Полученный платеж]]+Y829),
AND(S829=0,Первоначальный[[#This Row],[Дата платежа из графика]]=1),MIN(LOOKUP(,-1/($Z$12:Z830=1),$C$12:C830)+LOOKUP(,-1/($Z$12:Z830=1),$H$12:H830)-IF(Z829=1,0,SUM(INDIRECT("T"&amp;(MAX((1=Z$12:Z829)*ROW(Z$12:Z829)+1,ROW($T$12))&amp;":T"&amp;(ROW()-1))))),Первоначальный[[#This Row],[Полученный платеж]]+Y829),
AND(Z829&gt;0,Первоначальный[[#This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платеж]]+Y829),
AND(S829&gt;0,MAX((0&lt;&gt;S$12:S829)*ROW(S$12:S829),ROW($S$12))&gt;=MAX((1=Z$12:Z829)*ROW(Z$12:Z829),ROW($T$12)),TYPE(VLOOKUP("Да",(INDIRECT("AA"&amp;(MAX((1=Z$12:Z829)*ROW(Z$12:Z829),ROW($T$12))&amp;":AA"&amp;(ROW()-1)))),1,0))=16),MIN(LOOKUP(,-1/($Z$12:Z830=1),$C$12:C830)+LOOKUP(,-1/($Z$12:Z830=1),$H$12:H830)-SUM(INDIRECT("T"&amp;(MAX((1=Z$12:Z829)*ROW(Z$12:Z829),ROW($T$12))&amp;":T"&amp;(ROW()-1)))),Первоначальный[[#This Row],[Полученный платеж]]+Y829),
S829&gt;0,MIN(LOOKUP(,-1/($Z$12:Z830=1),$C$12:C830)+LOOKUP(,-1/($Z$12:Z830=1),$H$12:H830)-IF(Z829=1,0,SUM(INDIRECT("T"&amp;(MAX((1=Z$12:Z829)*ROW(Z$12:Z829)+1,ROW($T$12))&amp;":T"&amp;(ROW()-1))))),Первоначальный[[#This Row],[Полученный платеж]]+Y829)
)
)
)</f>
        <v>0</v>
      </c>
      <c r="U83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платеж]]+Y829-Первоначальный[[#This Row],[Полученный платёж по процентам]])</f>
        <v>0</v>
      </c>
      <c r="V830" s="55">
        <f t="shared" ca="1" si="145"/>
        <v>0</v>
      </c>
      <c r="W830" s="55" cm="1">
        <f t="array" aca="1" ref="W830" ca="1">IF(Первоначальный[[#This Row],[Итого остаток на начало периода]]&lt;1,0,
_xlfn.IFS(
AND(TYPE(VLOOKUP(1,$Z$12:Z830,1,0))=16,Первоначальный[[#This Row],[Досрочное погашение (да/"")]]=""),0,
AND(S829=0,Первоначальный[[#This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платеж]]+Y829-SUM(Первоначальный[[#This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комиссиям]]),VLOOKUP(LOOKUP(,-1/($Z$12:Z830=1),$A$12:A830),График[[Срок конец]:[Возврат основной суммы долга]],3,0)),
AND(S829=0,Первоначальный[[#This Row],[Дата платежа из графика]]="",Первоначальный[[#This Row],[Досрочное погашение (да/"")]]&lt;&gt;"Да"),0,
AND(S829=0,Первоначальный[[#This Row],[Досрочное погашение (да/"")]]=""),MIN(Первоначальный[[#This Row],[Полученный платеж]]+Y829-SUM(Первоначальный[[#This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комиссиям]]),VLOOKUP(LOOKUP(,-1/($Z$12:Z830=1),$A$12:A830),График[[Срок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платеж]]+Y829-SUM(Первоначальный[[#This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S829&gt;0,MIN(Первоначальный[[#This Row],[Полученный платеж]]+Y829-SUM(Первоначальный[[#This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комиссиям]]),SUM(INDIRECT("M"&amp;(MAX((1=S$12:S829)*ROW(S$12:S829),ROW($W$12))&amp;":M"&amp;(ROW()))))-SUM(INDIRECT("W"&amp;(MAX((1=S$12:S829)*ROW(S$12:S829),ROW($W$12))&amp;":W"&amp;(ROW()-1)))))
)
)</f>
        <v>0</v>
      </c>
      <c r="X830" s="55">
        <f t="shared" ca="1" si="146"/>
        <v>0</v>
      </c>
      <c r="Y830" s="101">
        <f t="shared" ca="1" si="153"/>
        <v>0</v>
      </c>
      <c r="Z830" s="133" t="str">
        <f>IF(TYPE((VLOOKUP(Первоначальный[[#This Row],[Дата платежа]],График[Срок конец],1,0)))=16,"",1)</f>
        <v/>
      </c>
      <c r="AA830" s="57"/>
      <c r="AB830" s="134"/>
      <c r="AC83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3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59299.649999999936</v>
      </c>
      <c r="AE83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2362.0100000000002</v>
      </c>
      <c r="AF83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3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131084.428380328</v>
      </c>
      <c r="AH830" s="55"/>
      <c r="AI830" s="55"/>
      <c r="AJ830" s="55"/>
      <c r="AK830" s="101">
        <f t="shared" ca="1" si="154"/>
        <v>342379.42838032794</v>
      </c>
      <c r="AL830" s="129">
        <f t="array" ref="AL830">MAX((УслРестрактов[Характеристика]="Дата реструктуризации")*(УслРестрактов[Значение]=Первоначальный!$A830),0)</f>
        <v>0</v>
      </c>
    </row>
    <row r="831" spans="1:38" x14ac:dyDescent="0.25">
      <c r="A831" s="97">
        <f t="shared" si="147"/>
        <v>44962</v>
      </c>
      <c r="B831" s="100">
        <f t="shared" ca="1" si="148"/>
        <v>149633.34</v>
      </c>
      <c r="C831" s="55">
        <f t="shared" ca="1" si="156"/>
        <v>59299.649999999936</v>
      </c>
      <c r="D831" s="55">
        <f t="shared" ca="1" si="156"/>
        <v>2362.0100000000002</v>
      </c>
      <c r="E831" s="55">
        <f t="shared" ca="1" si="149"/>
        <v>0</v>
      </c>
      <c r="F831" s="55">
        <f t="shared" ca="1" si="150"/>
        <v>131084.428380328</v>
      </c>
      <c r="G831" s="101">
        <f t="shared" ca="1" si="151"/>
        <v>342379.42838032794</v>
      </c>
      <c r="H831" s="100">
        <f ca="1">ROUND($B831*VLOOKUP($A831,$A$1:$B$10,2,1)/(365+IF(MOD(YEAR($A831),4),0,1)*($A831-$A830)),2)-Первоначальный[[#This Row],[Проценты на просроченный платеж по ОД за период]]</f>
        <v>74.95</v>
      </c>
      <c r="I831" s="55">
        <f t="shared" ca="1" si="152"/>
        <v>6.63</v>
      </c>
      <c r="J831" s="55">
        <v>0</v>
      </c>
      <c r="K831" s="55">
        <f t="shared" ca="1" si="155"/>
        <v>347.57350327868846</v>
      </c>
      <c r="L831" s="55">
        <v>0</v>
      </c>
      <c r="M831" s="113">
        <f>SUMIFS(График[Возврат основной суммы долга],График[Дата с учетом нерабочих дней],$A831)</f>
        <v>0</v>
      </c>
      <c r="N831" s="56">
        <f>SUMIFS(График[Возврат начисленных %],График[Дата с учетом нерабочих дней],$A831)</f>
        <v>0</v>
      </c>
      <c r="O831" s="101">
        <v>0</v>
      </c>
      <c r="P831" s="100" cm="1">
        <f t="array" aca="1" ref="P831" ca="1">MAX(IF(AA830="Да",0,SUM(INDIRECT("M"&amp;(MAX(("Да"=AA$12:AA830)*ROW(AA$12:AA830)+1,ROW($P$12))&amp;":M"&amp;(ROW()))))-SUM(INDIRECT("W"&amp;(MAX(("Да"=AA$12:AA830)*ROW(AA$12:AA830)+1,ROW($P$12))&amp;":W"&amp;(ROW()))))),0)</f>
        <v>12165.97</v>
      </c>
      <c r="Q831" s="99">
        <f ca="1">MAX(SUM($N$13:N831)-SUM($T$13:T831),0)</f>
        <v>57348.730655737687</v>
      </c>
      <c r="R831" s="99">
        <f ca="1">Первоначальный[[#This Row],[Просроченный платеж по ОД]]+Первоначальный[[#This Row],[Просроченный платеж по процентам]]</f>
        <v>69514.700655737688</v>
      </c>
      <c r="S831" s="120">
        <f ca="1">IF(Первоначальный[[#This Row],[Просроченный платеж]]&lt;1,0,S830+1)</f>
        <v>727</v>
      </c>
      <c r="T831" s="100" cm="1">
        <f t="array" aca="1" ref="T831" ca="1">IF(Первоначальный[[#This Row],[Итого остаток на начало периода]]&lt;1,0,
IF(
AND(TYPE(VLOOKUP(1,$Z$12:Z831,1,0))=16,Первоначальный[[#This Row],[Досрочное погашение (да/"")]]=""),0,
_xlfn.IFS(AND(S830=0,Первоначальный[[#This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платеж]]&lt;&gt;0),MIN(LOOKUP(,-1/($Z$12:Z831=1),$C$12:C831)+LOOKUP(,-1/($Z$12:Z831=1),$H$12:H831),Первоначальный[[#This Row],[Полученный платеж]]+Y830),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платеж]]+Y830,SUM(Первоначальный[[#This Row],[Остаток процентов на начало периода]],Первоначальный[[#This Row],[Проценты за период]])),
AND(S830=0,Первоначальный[[#This Row],[Дата платежа из графика]]=""),0,
AND(S830=0,Первоначальный[[#This Row],[Дата платежа из графика]]=1,MAX((0&lt;&gt;S$12:S830)*ROW(S$12:S830),ROW($S$12))&gt;=MAX((1=Z$12:Z830)*ROW(Z$12:Z830),ROW($T$12)),TYPE(VLOOKUP("Да",(INDIRECT("AA"&amp;(MAX((1=Z$12:Z830)*ROW(Z$12:Z830),ROW($T$12))&amp;":AA"&amp;(ROW()-1)))),1,0))=16),MIN(LOOKUP(,-1/($Z$12:Z831=1),$C$12:C831)+LOOKUP(,-1/($Z$12:Z831=1),$H$12:H831),Первоначальный[[#This Row],[Полученный платеж]]+Y830),
AND(S830=0,TYPE(VLOOKUP("Да",(INDIRECT("AA"&amp;(MAX((1=Z$12:Z830)*ROW(Z$12:Z830),ROW($T$12))&amp;":AA"&amp;(ROW()-1)))),1,0))&lt;&gt;16),MIN(LOOKUP(,-1/($Z$12:Z831=1),$C$12:C831)+LOOKUP(,-1/($Z$12:Z831=1),$H$12:H831)-IF(AA830="Да",0,SUM(INDIRECT("T"&amp;(MAX(("Да"=AA$12:AA830)*ROW(AA$12:AA830)+1,ROW($T$12))&amp;":T"&amp;(ROW()-1))))),Первоначальный[[#This Row],[Полученный платеж]]+Y830),
AND(S830=0,MAX((0&lt;&gt;N$12:N830)*ROW(N$12:N830),ROW($S$12))&gt;=MAX((1=Z$12:Z830)*ROW(Z$12:Z830),ROW($T$12))),MIN(LOOKUP(,-1/($Z$12:Z831=1),$C$12:C831)+LOOKUP(,-1/($Z$12:Z831=1),$H$12:H831)-IF(N830&lt;&gt;0,0,SUM(INDIRECT("T"&amp;(MAX((0&lt;&gt;N$12:N830)*ROW(N$12:N830)+1,ROW($T$12))&amp;":T"&amp;(ROW()-1))))),Первоначальный[[#This Row],[Полученный платеж]]+Y830),
AND(S830=0,Первоначальный[[#This Row],[Дата платежа из графика]]=1),MIN(LOOKUP(,-1/($Z$12:Z831=1),$C$12:C831)+LOOKUP(,-1/($Z$12:Z831=1),$H$12:H831)-IF(Z830=1,0,SUM(INDIRECT("T"&amp;(MAX((1=Z$12:Z830)*ROW(Z$12:Z830)+1,ROW($T$12))&amp;":T"&amp;(ROW()-1))))),Первоначальный[[#This Row],[Полученный платеж]]+Y830),
AND(Z830&gt;0,Первоначальный[[#This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платеж]]+Y830),
AND(S830&gt;0,MAX((0&lt;&gt;S$12:S830)*ROW(S$12:S830),ROW($S$12))&gt;=MAX((1=Z$12:Z830)*ROW(Z$12:Z830),ROW($T$12)),TYPE(VLOOKUP("Да",(INDIRECT("AA"&amp;(MAX((1=Z$12:Z830)*ROW(Z$12:Z830),ROW($T$12))&amp;":AA"&amp;(ROW()-1)))),1,0))=16),MIN(LOOKUP(,-1/($Z$12:Z831=1),$C$12:C831)+LOOKUP(,-1/($Z$12:Z831=1),$H$12:H831)-SUM(INDIRECT("T"&amp;(MAX((1=Z$12:Z830)*ROW(Z$12:Z830),ROW($T$12))&amp;":T"&amp;(ROW()-1)))),Первоначальный[[#This Row],[Полученный платеж]]+Y830),
S830&gt;0,MIN(LOOKUP(,-1/($Z$12:Z831=1),$C$12:C831)+LOOKUP(,-1/($Z$12:Z831=1),$H$12:H831)-IF(Z830=1,0,SUM(INDIRECT("T"&amp;(MAX((1=Z$12:Z830)*ROW(Z$12:Z830)+1,ROW($T$12))&amp;":T"&amp;(ROW()-1))))),Первоначальный[[#This Row],[Полученный платеж]]+Y830)
)
)
)</f>
        <v>0</v>
      </c>
      <c r="U83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платеж]]+Y830-Первоначальный[[#This Row],[Полученный платёж по процентам]])</f>
        <v>0</v>
      </c>
      <c r="V831" s="55">
        <f t="shared" ca="1" si="145"/>
        <v>0</v>
      </c>
      <c r="W831" s="55" cm="1">
        <f t="array" aca="1" ref="W831" ca="1">IF(Первоначальный[[#This Row],[Итого остаток на начало периода]]&lt;1,0,
_xlfn.IFS(
AND(TYPE(VLOOKUP(1,$Z$12:Z831,1,0))=16,Первоначальный[[#This Row],[Досрочное погашение (да/"")]]=""),0,
AND(S830=0,Первоначальный[[#This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платеж]]+Y830-SUM(Первоначальный[[#This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комиссиям]]),VLOOKUP(LOOKUP(,-1/($Z$12:Z831=1),$A$12:A831),График[[Срок конец]:[Возврат основной суммы долга]],3,0)),
AND(S830=0,Первоначальный[[#This Row],[Дата платежа из графика]]="",Первоначальный[[#This Row],[Досрочное погашение (да/"")]]&lt;&gt;"Да"),0,
AND(S830=0,Первоначальный[[#This Row],[Досрочное погашение (да/"")]]=""),MIN(Первоначальный[[#This Row],[Полученный платеж]]+Y830-SUM(Первоначальный[[#This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комиссиям]]),VLOOKUP(LOOKUP(,-1/($Z$12:Z831=1),$A$12:A831),График[[Срок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платеж]]+Y830-SUM(Первоначальный[[#This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S830&gt;0,MIN(Первоначальный[[#This Row],[Полученный платеж]]+Y830-SUM(Первоначальный[[#This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комиссиям]]),SUM(INDIRECT("M"&amp;(MAX((1=S$12:S830)*ROW(S$12:S830),ROW($W$12))&amp;":M"&amp;(ROW()))))-SUM(INDIRECT("W"&amp;(MAX((1=S$12:S830)*ROW(S$12:S830),ROW($W$12))&amp;":W"&amp;(ROW()-1)))))
)
)</f>
        <v>0</v>
      </c>
      <c r="X831" s="55">
        <f t="shared" ca="1" si="146"/>
        <v>0</v>
      </c>
      <c r="Y831" s="101">
        <f t="shared" ca="1" si="153"/>
        <v>0</v>
      </c>
      <c r="Z831" s="133" t="str">
        <f>IF(TYPE((VLOOKUP(Первоначальный[[#This Row],[Дата платежа]],График[Срок конец],1,0)))=16,"",1)</f>
        <v/>
      </c>
      <c r="AA831" s="57"/>
      <c r="AB831" s="134"/>
      <c r="AC83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3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59374.599999999933</v>
      </c>
      <c r="AE83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2368.6400000000003</v>
      </c>
      <c r="AF83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3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131432.00188360669</v>
      </c>
      <c r="AH831" s="55"/>
      <c r="AI831" s="55"/>
      <c r="AJ831" s="55"/>
      <c r="AK831" s="101">
        <f t="shared" ca="1" si="154"/>
        <v>342808.58188360662</v>
      </c>
      <c r="AL831" s="129">
        <f t="array" ref="AL831">MAX((УслРестрактов[Характеристика]="Дата реструктуризации")*(УслРестрактов[Значение]=Первоначальный!$A831),0)</f>
        <v>0</v>
      </c>
    </row>
    <row r="832" spans="1:38" x14ac:dyDescent="0.25">
      <c r="A832" s="97">
        <f t="shared" si="147"/>
        <v>44963</v>
      </c>
      <c r="B832" s="100">
        <f t="shared" ca="1" si="148"/>
        <v>149633.34</v>
      </c>
      <c r="C832" s="55">
        <f t="shared" ca="1" si="156"/>
        <v>59374.599999999933</v>
      </c>
      <c r="D832" s="55">
        <f t="shared" ca="1" si="156"/>
        <v>2368.6400000000003</v>
      </c>
      <c r="E832" s="55">
        <f t="shared" ca="1" si="149"/>
        <v>0</v>
      </c>
      <c r="F832" s="55">
        <f t="shared" ca="1" si="150"/>
        <v>131432.00188360669</v>
      </c>
      <c r="G832" s="101">
        <f t="shared" ca="1" si="151"/>
        <v>342808.58188360662</v>
      </c>
      <c r="H832" s="100">
        <f ca="1">ROUND($B832*VLOOKUP($A832,$A$1:$B$10,2,1)/(365+IF(MOD(YEAR($A832),4),0,1)*($A832-$A831)),2)-Первоначальный[[#This Row],[Проценты на просроченный платеж по ОД за период]]</f>
        <v>74.95</v>
      </c>
      <c r="I832" s="55">
        <f t="shared" ca="1" si="152"/>
        <v>6.63</v>
      </c>
      <c r="J832" s="55">
        <v>0</v>
      </c>
      <c r="K832" s="55">
        <f t="shared" ca="1" si="155"/>
        <v>347.57350327868846</v>
      </c>
      <c r="L832" s="55">
        <v>0</v>
      </c>
      <c r="M832" s="113">
        <f>SUMIFS(График[Возврат основной суммы долга],График[Дата с учетом нерабочих дней],$A832)</f>
        <v>0</v>
      </c>
      <c r="N832" s="56">
        <f>SUMIFS(График[Возврат начисленных %],График[Дата с учетом нерабочих дней],$A832)</f>
        <v>0</v>
      </c>
      <c r="O832" s="101">
        <v>0</v>
      </c>
      <c r="P832" s="100" cm="1">
        <f t="array" aca="1" ref="P832" ca="1">MAX(IF(AA831="Да",0,SUM(INDIRECT("M"&amp;(MAX(("Да"=AA$12:AA831)*ROW(AA$12:AA831)+1,ROW($P$12))&amp;":M"&amp;(ROW()))))-SUM(INDIRECT("W"&amp;(MAX(("Да"=AA$12:AA831)*ROW(AA$12:AA831)+1,ROW($P$12))&amp;":W"&amp;(ROW()))))),0)</f>
        <v>12165.97</v>
      </c>
      <c r="Q832" s="99">
        <f ca="1">MAX(SUM($N$13:N832)-SUM($T$13:T832),0)</f>
        <v>57348.730655737687</v>
      </c>
      <c r="R832" s="99">
        <f ca="1">Первоначальный[[#This Row],[Просроченный платеж по ОД]]+Первоначальный[[#This Row],[Просроченный платеж по процентам]]</f>
        <v>69514.700655737688</v>
      </c>
      <c r="S832" s="120">
        <f ca="1">IF(Первоначальный[[#This Row],[Просроченный платеж]]&lt;1,0,S831+1)</f>
        <v>728</v>
      </c>
      <c r="T832" s="100" cm="1">
        <f t="array" aca="1" ref="T832" ca="1">IF(Первоначальный[[#This Row],[Итого остаток на начало периода]]&lt;1,0,
IF(
AND(TYPE(VLOOKUP(1,$Z$12:Z832,1,0))=16,Первоначальный[[#This Row],[Досрочное погашение (да/"")]]=""),0,
_xlfn.IFS(AND(S831=0,Первоначальный[[#This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платеж]]&lt;&gt;0),MIN(LOOKUP(,-1/($Z$12:Z832=1),$C$12:C832)+LOOKUP(,-1/($Z$12:Z832=1),$H$12:H832),Первоначальный[[#This Row],[Полученный платеж]]+Y831),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платеж]]+Y831,SUM(Первоначальный[[#This Row],[Остаток процентов на начало периода]],Первоначальный[[#This Row],[Проценты за период]])),
AND(S831=0,Первоначальный[[#This Row],[Дата платежа из графика]]=""),0,
AND(S831=0,Первоначальный[[#This Row],[Дата платежа из графика]]=1,MAX((0&lt;&gt;S$12:S831)*ROW(S$12:S831),ROW($S$12))&gt;=MAX((1=Z$12:Z831)*ROW(Z$12:Z831),ROW($T$12)),TYPE(VLOOKUP("Да",(INDIRECT("AA"&amp;(MAX((1=Z$12:Z831)*ROW(Z$12:Z831),ROW($T$12))&amp;":AA"&amp;(ROW()-1)))),1,0))=16),MIN(LOOKUP(,-1/($Z$12:Z832=1),$C$12:C832)+LOOKUP(,-1/($Z$12:Z832=1),$H$12:H832),Первоначальный[[#This Row],[Полученный платеж]]+Y831),
AND(S831=0,TYPE(VLOOKUP("Да",(INDIRECT("AA"&amp;(MAX((1=Z$12:Z831)*ROW(Z$12:Z831),ROW($T$12))&amp;":AA"&amp;(ROW()-1)))),1,0))&lt;&gt;16),MIN(LOOKUP(,-1/($Z$12:Z832=1),$C$12:C832)+LOOKUP(,-1/($Z$12:Z832=1),$H$12:H832)-IF(AA831="Да",0,SUM(INDIRECT("T"&amp;(MAX(("Да"=AA$12:AA831)*ROW(AA$12:AA831)+1,ROW($T$12))&amp;":T"&amp;(ROW()-1))))),Первоначальный[[#This Row],[Полученный платеж]]+Y831),
AND(S831=0,MAX((0&lt;&gt;N$12:N831)*ROW(N$12:N831),ROW($S$12))&gt;=MAX((1=Z$12:Z831)*ROW(Z$12:Z831),ROW($T$12))),MIN(LOOKUP(,-1/($Z$12:Z832=1),$C$12:C832)+LOOKUP(,-1/($Z$12:Z832=1),$H$12:H832)-IF(N831&lt;&gt;0,0,SUM(INDIRECT("T"&amp;(MAX((0&lt;&gt;N$12:N831)*ROW(N$12:N831)+1,ROW($T$12))&amp;":T"&amp;(ROW()-1))))),Первоначальный[[#This Row],[Полученный платеж]]+Y831),
AND(S831=0,Первоначальный[[#This Row],[Дата платежа из графика]]=1),MIN(LOOKUP(,-1/($Z$12:Z832=1),$C$12:C832)+LOOKUP(,-1/($Z$12:Z832=1),$H$12:H832)-IF(Z831=1,0,SUM(INDIRECT("T"&amp;(MAX((1=Z$12:Z831)*ROW(Z$12:Z831)+1,ROW($T$12))&amp;":T"&amp;(ROW()-1))))),Первоначальный[[#This Row],[Полученный платеж]]+Y831),
AND(Z831&gt;0,Первоначальный[[#This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платеж]]+Y831),
AND(S831&gt;0,MAX((0&lt;&gt;S$12:S831)*ROW(S$12:S831),ROW($S$12))&gt;=MAX((1=Z$12:Z831)*ROW(Z$12:Z831),ROW($T$12)),TYPE(VLOOKUP("Да",(INDIRECT("AA"&amp;(MAX((1=Z$12:Z831)*ROW(Z$12:Z831),ROW($T$12))&amp;":AA"&amp;(ROW()-1)))),1,0))=16),MIN(LOOKUP(,-1/($Z$12:Z832=1),$C$12:C832)+LOOKUP(,-1/($Z$12:Z832=1),$H$12:H832)-SUM(INDIRECT("T"&amp;(MAX((1=Z$12:Z831)*ROW(Z$12:Z831),ROW($T$12))&amp;":T"&amp;(ROW()-1)))),Первоначальный[[#This Row],[Полученный платеж]]+Y831),
S831&gt;0,MIN(LOOKUP(,-1/($Z$12:Z832=1),$C$12:C832)+LOOKUP(,-1/($Z$12:Z832=1),$H$12:H832)-IF(Z831=1,0,SUM(INDIRECT("T"&amp;(MAX((1=Z$12:Z831)*ROW(Z$12:Z831)+1,ROW($T$12))&amp;":T"&amp;(ROW()-1))))),Первоначальный[[#This Row],[Полученный платеж]]+Y831)
)
)
)</f>
        <v>0</v>
      </c>
      <c r="U83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платеж]]+Y831-Первоначальный[[#This Row],[Полученный платёж по процентам]])</f>
        <v>0</v>
      </c>
      <c r="V832" s="55">
        <f t="shared" ca="1" si="145"/>
        <v>0</v>
      </c>
      <c r="W832" s="55" cm="1">
        <f t="array" aca="1" ref="W832" ca="1">IF(Первоначальный[[#This Row],[Итого остаток на начало периода]]&lt;1,0,
_xlfn.IFS(
AND(TYPE(VLOOKUP(1,$Z$12:Z832,1,0))=16,Первоначальный[[#This Row],[Досрочное погашение (да/"")]]=""),0,
AND(S831=0,Первоначальный[[#This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платеж]]+Y831-SUM(Первоначальный[[#This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комиссиям]]),VLOOKUP(LOOKUP(,-1/($Z$12:Z832=1),$A$12:A832),График[[Срок конец]:[Возврат основной суммы долга]],3,0)),
AND(S831=0,Первоначальный[[#This Row],[Дата платежа из графика]]="",Первоначальный[[#This Row],[Досрочное погашение (да/"")]]&lt;&gt;"Да"),0,
AND(S831=0,Первоначальный[[#This Row],[Досрочное погашение (да/"")]]=""),MIN(Первоначальный[[#This Row],[Полученный платеж]]+Y831-SUM(Первоначальный[[#This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комиссиям]]),VLOOKUP(LOOKUP(,-1/($Z$12:Z832=1),$A$12:A832),График[[Срок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платеж]]+Y831-SUM(Первоначальный[[#This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S831&gt;0,MIN(Первоначальный[[#This Row],[Полученный платеж]]+Y831-SUM(Первоначальный[[#This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комиссиям]]),SUM(INDIRECT("M"&amp;(MAX((1=S$12:S831)*ROW(S$12:S831),ROW($W$12))&amp;":M"&amp;(ROW()))))-SUM(INDIRECT("W"&amp;(MAX((1=S$12:S831)*ROW(S$12:S831),ROW($W$12))&amp;":W"&amp;(ROW()-1)))))
)
)</f>
        <v>0</v>
      </c>
      <c r="X832" s="55">
        <f t="shared" ca="1" si="146"/>
        <v>0</v>
      </c>
      <c r="Y832" s="101">
        <f t="shared" ca="1" si="153"/>
        <v>0</v>
      </c>
      <c r="Z832" s="133" t="str">
        <f>IF(TYPE((VLOOKUP(Первоначальный[[#This Row],[Дата платежа]],График[Срок конец],1,0)))=16,"",1)</f>
        <v/>
      </c>
      <c r="AA832" s="57"/>
      <c r="AB832" s="134"/>
      <c r="AC83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3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59449.54999999993</v>
      </c>
      <c r="AE83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2375.2700000000004</v>
      </c>
      <c r="AF83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3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131779.57538688538</v>
      </c>
      <c r="AH832" s="55"/>
      <c r="AI832" s="55"/>
      <c r="AJ832" s="55"/>
      <c r="AK832" s="101">
        <f t="shared" ca="1" si="154"/>
        <v>343237.7353868853</v>
      </c>
      <c r="AL832" s="129">
        <f t="array" ref="AL832">MAX((УслРестрактов[Характеристика]="Дата реструктуризации")*(УслРестрактов[Значение]=Первоначальный!$A832),0)</f>
        <v>0</v>
      </c>
    </row>
    <row r="833" spans="1:38" x14ac:dyDescent="0.25">
      <c r="A833" s="97">
        <f t="shared" si="147"/>
        <v>44964</v>
      </c>
      <c r="B833" s="100">
        <f t="shared" ca="1" si="148"/>
        <v>149633.34</v>
      </c>
      <c r="C833" s="55">
        <f t="shared" ca="1" si="156"/>
        <v>59449.54999999993</v>
      </c>
      <c r="D833" s="55">
        <f t="shared" ca="1" si="156"/>
        <v>2375.2700000000004</v>
      </c>
      <c r="E833" s="55">
        <f t="shared" ca="1" si="149"/>
        <v>0</v>
      </c>
      <c r="F833" s="55">
        <f t="shared" ca="1" si="150"/>
        <v>131779.57538688538</v>
      </c>
      <c r="G833" s="101">
        <f t="shared" ca="1" si="151"/>
        <v>343237.7353868853</v>
      </c>
      <c r="H833" s="100">
        <f ca="1">ROUND($B833*VLOOKUP($A833,$A$1:$B$10,2,1)/(365+IF(MOD(YEAR($A833),4),0,1)*($A833-$A832)),2)-Первоначальный[[#This Row],[Проценты на просроченный платеж по ОД за период]]</f>
        <v>74.95</v>
      </c>
      <c r="I833" s="55">
        <f t="shared" ca="1" si="152"/>
        <v>6.63</v>
      </c>
      <c r="J833" s="55">
        <v>0</v>
      </c>
      <c r="K833" s="55">
        <f t="shared" ca="1" si="155"/>
        <v>347.57350327868846</v>
      </c>
      <c r="L833" s="55">
        <v>0</v>
      </c>
      <c r="M833" s="113">
        <f>SUMIFS(График[Возврат основной суммы долга],График[Дата с учетом нерабочих дней],$A833)</f>
        <v>0</v>
      </c>
      <c r="N833" s="56">
        <f>SUMIFS(График[Возврат начисленных %],График[Дата с учетом нерабочих дней],$A833)</f>
        <v>0</v>
      </c>
      <c r="O833" s="101">
        <v>0</v>
      </c>
      <c r="P833" s="100" cm="1">
        <f t="array" aca="1" ref="P833" ca="1">MAX(IF(AA832="Да",0,SUM(INDIRECT("M"&amp;(MAX(("Да"=AA$12:AA832)*ROW(AA$12:AA832)+1,ROW($P$12))&amp;":M"&amp;(ROW()))))-SUM(INDIRECT("W"&amp;(MAX(("Да"=AA$12:AA832)*ROW(AA$12:AA832)+1,ROW($P$12))&amp;":W"&amp;(ROW()))))),0)</f>
        <v>12165.97</v>
      </c>
      <c r="Q833" s="99">
        <f ca="1">MAX(SUM($N$13:N833)-SUM($T$13:T833),0)</f>
        <v>57348.730655737687</v>
      </c>
      <c r="R833" s="99">
        <f ca="1">Первоначальный[[#This Row],[Просроченный платеж по ОД]]+Первоначальный[[#This Row],[Просроченный платеж по процентам]]</f>
        <v>69514.700655737688</v>
      </c>
      <c r="S833" s="120">
        <f ca="1">IF(Первоначальный[[#This Row],[Просроченный платеж]]&lt;1,0,S832+1)</f>
        <v>729</v>
      </c>
      <c r="T833" s="100" cm="1">
        <f t="array" aca="1" ref="T833" ca="1">IF(Первоначальный[[#This Row],[Итого остаток на начало периода]]&lt;1,0,
IF(
AND(TYPE(VLOOKUP(1,$Z$12:Z833,1,0))=16,Первоначальный[[#This Row],[Досрочное погашение (да/"")]]=""),0,
_xlfn.IFS(AND(S832=0,Первоначальный[[#This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платеж]]&lt;&gt;0),MIN(LOOKUP(,-1/($Z$12:Z833=1),$C$12:C833)+LOOKUP(,-1/($Z$12:Z833=1),$H$12:H833),Первоначальный[[#This Row],[Полученный платеж]]+Y832),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платеж]]+Y832,SUM(Первоначальный[[#This Row],[Остаток процентов на начало периода]],Первоначальный[[#This Row],[Проценты за период]])),
AND(S832=0,Первоначальный[[#This Row],[Дата платежа из графика]]=""),0,
AND(S832=0,Первоначальный[[#This Row],[Дата платежа из графика]]=1,MAX((0&lt;&gt;S$12:S832)*ROW(S$12:S832),ROW($S$12))&gt;=MAX((1=Z$12:Z832)*ROW(Z$12:Z832),ROW($T$12)),TYPE(VLOOKUP("Да",(INDIRECT("AA"&amp;(MAX((1=Z$12:Z832)*ROW(Z$12:Z832),ROW($T$12))&amp;":AA"&amp;(ROW()-1)))),1,0))=16),MIN(LOOKUP(,-1/($Z$12:Z833=1),$C$12:C833)+LOOKUP(,-1/($Z$12:Z833=1),$H$12:H833),Первоначальный[[#This Row],[Полученный платеж]]+Y832),
AND(S832=0,TYPE(VLOOKUP("Да",(INDIRECT("AA"&amp;(MAX((1=Z$12:Z832)*ROW(Z$12:Z832),ROW($T$12))&amp;":AA"&amp;(ROW()-1)))),1,0))&lt;&gt;16),MIN(LOOKUP(,-1/($Z$12:Z833=1),$C$12:C833)+LOOKUP(,-1/($Z$12:Z833=1),$H$12:H833)-IF(AA832="Да",0,SUM(INDIRECT("T"&amp;(MAX(("Да"=AA$12:AA832)*ROW(AA$12:AA832)+1,ROW($T$12))&amp;":T"&amp;(ROW()-1))))),Первоначальный[[#This Row],[Полученный платеж]]+Y832),
AND(S832=0,MAX((0&lt;&gt;N$12:N832)*ROW(N$12:N832),ROW($S$12))&gt;=MAX((1=Z$12:Z832)*ROW(Z$12:Z832),ROW($T$12))),MIN(LOOKUP(,-1/($Z$12:Z833=1),$C$12:C833)+LOOKUP(,-1/($Z$12:Z833=1),$H$12:H833)-IF(N832&lt;&gt;0,0,SUM(INDIRECT("T"&amp;(MAX((0&lt;&gt;N$12:N832)*ROW(N$12:N832)+1,ROW($T$12))&amp;":T"&amp;(ROW()-1))))),Первоначальный[[#This Row],[Полученный платеж]]+Y832),
AND(S832=0,Первоначальный[[#This Row],[Дата платежа из графика]]=1),MIN(LOOKUP(,-1/($Z$12:Z833=1),$C$12:C833)+LOOKUP(,-1/($Z$12:Z833=1),$H$12:H833)-IF(Z832=1,0,SUM(INDIRECT("T"&amp;(MAX((1=Z$12:Z832)*ROW(Z$12:Z832)+1,ROW($T$12))&amp;":T"&amp;(ROW()-1))))),Первоначальный[[#This Row],[Полученный платеж]]+Y832),
AND(Z832&gt;0,Первоначальный[[#This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платеж]]+Y832),
AND(S832&gt;0,MAX((0&lt;&gt;S$12:S832)*ROW(S$12:S832),ROW($S$12))&gt;=MAX((1=Z$12:Z832)*ROW(Z$12:Z832),ROW($T$12)),TYPE(VLOOKUP("Да",(INDIRECT("AA"&amp;(MAX((1=Z$12:Z832)*ROW(Z$12:Z832),ROW($T$12))&amp;":AA"&amp;(ROW()-1)))),1,0))=16),MIN(LOOKUP(,-1/($Z$12:Z833=1),$C$12:C833)+LOOKUP(,-1/($Z$12:Z833=1),$H$12:H833)-SUM(INDIRECT("T"&amp;(MAX((1=Z$12:Z832)*ROW(Z$12:Z832),ROW($T$12))&amp;":T"&amp;(ROW()-1)))),Первоначальный[[#This Row],[Полученный платеж]]+Y832),
S832&gt;0,MIN(LOOKUP(,-1/($Z$12:Z833=1),$C$12:C833)+LOOKUP(,-1/($Z$12:Z833=1),$H$12:H833)-IF(Z832=1,0,SUM(INDIRECT("T"&amp;(MAX((1=Z$12:Z832)*ROW(Z$12:Z832)+1,ROW($T$12))&amp;":T"&amp;(ROW()-1))))),Первоначальный[[#This Row],[Полученный платеж]]+Y832)
)
)
)</f>
        <v>0</v>
      </c>
      <c r="U83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платеж]]+Y832-Первоначальный[[#This Row],[Полученный платёж по процентам]])</f>
        <v>0</v>
      </c>
      <c r="V833" s="55">
        <f t="shared" ca="1" si="145"/>
        <v>0</v>
      </c>
      <c r="W833" s="55" cm="1">
        <f t="array" aca="1" ref="W833" ca="1">IF(Первоначальный[[#This Row],[Итого остаток на начало периода]]&lt;1,0,
_xlfn.IFS(
AND(TYPE(VLOOKUP(1,$Z$12:Z833,1,0))=16,Первоначальный[[#This Row],[Досрочное погашение (да/"")]]=""),0,
AND(S832=0,Первоначальный[[#This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платеж]]+Y832-SUM(Первоначальный[[#This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комиссиям]]),VLOOKUP(LOOKUP(,-1/($Z$12:Z833=1),$A$12:A833),График[[Срок конец]:[Возврат основной суммы долга]],3,0)),
AND(S832=0,Первоначальный[[#This Row],[Дата платежа из графика]]="",Первоначальный[[#This Row],[Досрочное погашение (да/"")]]&lt;&gt;"Да"),0,
AND(S832=0,Первоначальный[[#This Row],[Досрочное погашение (да/"")]]=""),MIN(Первоначальный[[#This Row],[Полученный платеж]]+Y832-SUM(Первоначальный[[#This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комиссиям]]),VLOOKUP(LOOKUP(,-1/($Z$12:Z833=1),$A$12:A833),График[[Срок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платеж]]+Y832-SUM(Первоначальный[[#This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S832&gt;0,MIN(Первоначальный[[#This Row],[Полученный платеж]]+Y832-SUM(Первоначальный[[#This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комиссиям]]),SUM(INDIRECT("M"&amp;(MAX((1=S$12:S832)*ROW(S$12:S832),ROW($W$12))&amp;":M"&amp;(ROW()))))-SUM(INDIRECT("W"&amp;(MAX((1=S$12:S832)*ROW(S$12:S832),ROW($W$12))&amp;":W"&amp;(ROW()-1)))))
)
)</f>
        <v>0</v>
      </c>
      <c r="X833" s="55">
        <f t="shared" ca="1" si="146"/>
        <v>0</v>
      </c>
      <c r="Y833" s="101">
        <f t="shared" ca="1" si="153"/>
        <v>0</v>
      </c>
      <c r="Z833" s="133" t="str">
        <f>IF(TYPE((VLOOKUP(Первоначальный[[#This Row],[Дата платежа]],График[Срок конец],1,0)))=16,"",1)</f>
        <v/>
      </c>
      <c r="AA833" s="57"/>
      <c r="AB833" s="134"/>
      <c r="AC83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3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59524.499999999927</v>
      </c>
      <c r="AE83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2381.9000000000005</v>
      </c>
      <c r="AF83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3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132127.14889016407</v>
      </c>
      <c r="AH833" s="55"/>
      <c r="AI833" s="55"/>
      <c r="AJ833" s="55"/>
      <c r="AK833" s="101">
        <f t="shared" ca="1" si="154"/>
        <v>343666.88889016397</v>
      </c>
      <c r="AL833" s="129">
        <f t="array" ref="AL833">MAX((УслРестрактов[Характеристика]="Дата реструктуризации")*(УслРестрактов[Значение]=Первоначальный!$A833),0)</f>
        <v>0</v>
      </c>
    </row>
    <row r="834" spans="1:38" x14ac:dyDescent="0.25">
      <c r="A834" s="97">
        <f t="shared" si="147"/>
        <v>44965</v>
      </c>
      <c r="B834" s="100">
        <f t="shared" ca="1" si="148"/>
        <v>149633.34</v>
      </c>
      <c r="C834" s="55">
        <f t="shared" ca="1" si="156"/>
        <v>59524.499999999927</v>
      </c>
      <c r="D834" s="55">
        <f t="shared" ca="1" si="156"/>
        <v>2381.9000000000005</v>
      </c>
      <c r="E834" s="55">
        <f t="shared" ca="1" si="149"/>
        <v>0</v>
      </c>
      <c r="F834" s="55">
        <f t="shared" ca="1" si="150"/>
        <v>132127.14889016407</v>
      </c>
      <c r="G834" s="101">
        <f t="shared" ca="1" si="151"/>
        <v>343666.88889016397</v>
      </c>
      <c r="H834" s="100">
        <f ca="1">ROUND($B834*VLOOKUP($A834,$A$1:$B$10,2,1)/(365+IF(MOD(YEAR($A834),4),0,1)*($A834-$A833)),2)-Первоначальный[[#This Row],[Проценты на просроченный платеж по ОД за период]]</f>
        <v>74.95</v>
      </c>
      <c r="I834" s="55">
        <f t="shared" ca="1" si="152"/>
        <v>6.63</v>
      </c>
      <c r="J834" s="55">
        <v>0</v>
      </c>
      <c r="K834" s="55">
        <f t="shared" ca="1" si="155"/>
        <v>347.57350327868846</v>
      </c>
      <c r="L834" s="55">
        <v>0</v>
      </c>
      <c r="M834" s="113">
        <f>SUMIFS(График[Возврат основной суммы долга],График[Дата с учетом нерабочих дней],$A834)</f>
        <v>0</v>
      </c>
      <c r="N834" s="56">
        <f>SUMIFS(График[Возврат начисленных %],График[Дата с учетом нерабочих дней],$A834)</f>
        <v>0</v>
      </c>
      <c r="O834" s="101">
        <v>0</v>
      </c>
      <c r="P834" s="100" cm="1">
        <f t="array" aca="1" ref="P834" ca="1">MAX(IF(AA833="Да",0,SUM(INDIRECT("M"&amp;(MAX(("Да"=AA$12:AA833)*ROW(AA$12:AA833)+1,ROW($P$12))&amp;":M"&amp;(ROW()))))-SUM(INDIRECT("W"&amp;(MAX(("Да"=AA$12:AA833)*ROW(AA$12:AA833)+1,ROW($P$12))&amp;":W"&amp;(ROW()))))),0)</f>
        <v>12165.97</v>
      </c>
      <c r="Q834" s="99">
        <f ca="1">MAX(SUM($N$13:N834)-SUM($T$13:T834),0)</f>
        <v>57348.730655737687</v>
      </c>
      <c r="R834" s="99">
        <f ca="1">Первоначальный[[#This Row],[Просроченный платеж по ОД]]+Первоначальный[[#This Row],[Просроченный платеж по процентам]]</f>
        <v>69514.700655737688</v>
      </c>
      <c r="S834" s="120">
        <f ca="1">IF(Первоначальный[[#This Row],[Просроченный платеж]]&lt;1,0,S833+1)</f>
        <v>730</v>
      </c>
      <c r="T834" s="100" cm="1">
        <f t="array" aca="1" ref="T834" ca="1">IF(Первоначальный[[#This Row],[Итого остаток на начало периода]]&lt;1,0,
IF(
AND(TYPE(VLOOKUP(1,$Z$12:Z834,1,0))=16,Первоначальный[[#This Row],[Досрочное погашение (да/"")]]=""),0,
_xlfn.IFS(AND(S833=0,Первоначальный[[#This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платеж]]&lt;&gt;0),MIN(LOOKUP(,-1/($Z$12:Z834=1),$C$12:C834)+LOOKUP(,-1/($Z$12:Z834=1),$H$12:H834),Первоначальный[[#This Row],[Полученный платеж]]+Y833),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платеж]]+Y833,SUM(Первоначальный[[#This Row],[Остаток процентов на начало периода]],Первоначальный[[#This Row],[Проценты за период]])),
AND(S833=0,Первоначальный[[#This Row],[Дата платежа из графика]]=""),0,
AND(S833=0,Первоначальный[[#This Row],[Дата платежа из графика]]=1,MAX((0&lt;&gt;S$12:S833)*ROW(S$12:S833),ROW($S$12))&gt;=MAX((1=Z$12:Z833)*ROW(Z$12:Z833),ROW($T$12)),TYPE(VLOOKUP("Да",(INDIRECT("AA"&amp;(MAX((1=Z$12:Z833)*ROW(Z$12:Z833),ROW($T$12))&amp;":AA"&amp;(ROW()-1)))),1,0))=16),MIN(LOOKUP(,-1/($Z$12:Z834=1),$C$12:C834)+LOOKUP(,-1/($Z$12:Z834=1),$H$12:H834),Первоначальный[[#This Row],[Полученный платеж]]+Y833),
AND(S833=0,TYPE(VLOOKUP("Да",(INDIRECT("AA"&amp;(MAX((1=Z$12:Z833)*ROW(Z$12:Z833),ROW($T$12))&amp;":AA"&amp;(ROW()-1)))),1,0))&lt;&gt;16),MIN(LOOKUP(,-1/($Z$12:Z834=1),$C$12:C834)+LOOKUP(,-1/($Z$12:Z834=1),$H$12:H834)-IF(AA833="Да",0,SUM(INDIRECT("T"&amp;(MAX(("Да"=AA$12:AA833)*ROW(AA$12:AA833)+1,ROW($T$12))&amp;":T"&amp;(ROW()-1))))),Первоначальный[[#This Row],[Полученный платеж]]+Y833),
AND(S833=0,MAX((0&lt;&gt;N$12:N833)*ROW(N$12:N833),ROW($S$12))&gt;=MAX((1=Z$12:Z833)*ROW(Z$12:Z833),ROW($T$12))),MIN(LOOKUP(,-1/($Z$12:Z834=1),$C$12:C834)+LOOKUP(,-1/($Z$12:Z834=1),$H$12:H834)-IF(N833&lt;&gt;0,0,SUM(INDIRECT("T"&amp;(MAX((0&lt;&gt;N$12:N833)*ROW(N$12:N833)+1,ROW($T$12))&amp;":T"&amp;(ROW()-1))))),Первоначальный[[#This Row],[Полученный платеж]]+Y833),
AND(S833=0,Первоначальный[[#This Row],[Дата платежа из графика]]=1),MIN(LOOKUP(,-1/($Z$12:Z834=1),$C$12:C834)+LOOKUP(,-1/($Z$12:Z834=1),$H$12:H834)-IF(Z833=1,0,SUM(INDIRECT("T"&amp;(MAX((1=Z$12:Z833)*ROW(Z$12:Z833)+1,ROW($T$12))&amp;":T"&amp;(ROW()-1))))),Первоначальный[[#This Row],[Полученный платеж]]+Y833),
AND(Z833&gt;0,Первоначальный[[#This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платеж]]+Y833),
AND(S833&gt;0,MAX((0&lt;&gt;S$12:S833)*ROW(S$12:S833),ROW($S$12))&gt;=MAX((1=Z$12:Z833)*ROW(Z$12:Z833),ROW($T$12)),TYPE(VLOOKUP("Да",(INDIRECT("AA"&amp;(MAX((1=Z$12:Z833)*ROW(Z$12:Z833),ROW($T$12))&amp;":AA"&amp;(ROW()-1)))),1,0))=16),MIN(LOOKUP(,-1/($Z$12:Z834=1),$C$12:C834)+LOOKUP(,-1/($Z$12:Z834=1),$H$12:H834)-SUM(INDIRECT("T"&amp;(MAX((1=Z$12:Z833)*ROW(Z$12:Z833),ROW($T$12))&amp;":T"&amp;(ROW()-1)))),Первоначальный[[#This Row],[Полученный платеж]]+Y833),
S833&gt;0,MIN(LOOKUP(,-1/($Z$12:Z834=1),$C$12:C834)+LOOKUP(,-1/($Z$12:Z834=1),$H$12:H834)-IF(Z833=1,0,SUM(INDIRECT("T"&amp;(MAX((1=Z$12:Z833)*ROW(Z$12:Z833)+1,ROW($T$12))&amp;":T"&amp;(ROW()-1))))),Первоначальный[[#This Row],[Полученный платеж]]+Y833)
)
)
)</f>
        <v>0</v>
      </c>
      <c r="U83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платеж]]+Y833-Первоначальный[[#This Row],[Полученный платёж по процентам]])</f>
        <v>0</v>
      </c>
      <c r="V834" s="55">
        <f t="shared" ca="1" si="145"/>
        <v>0</v>
      </c>
      <c r="W834" s="55" cm="1">
        <f t="array" aca="1" ref="W834" ca="1">IF(Первоначальный[[#This Row],[Итого остаток на начало периода]]&lt;1,0,
_xlfn.IFS(
AND(TYPE(VLOOKUP(1,$Z$12:Z834,1,0))=16,Первоначальный[[#This Row],[Досрочное погашение (да/"")]]=""),0,
AND(S833=0,Первоначальный[[#This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платеж]]+Y833-SUM(Первоначальный[[#This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комиссиям]]),VLOOKUP(LOOKUP(,-1/($Z$12:Z834=1),$A$12:A834),График[[Срок конец]:[Возврат основной суммы долга]],3,0)),
AND(S833=0,Первоначальный[[#This Row],[Дата платежа из графика]]="",Первоначальный[[#This Row],[Досрочное погашение (да/"")]]&lt;&gt;"Да"),0,
AND(S833=0,Первоначальный[[#This Row],[Досрочное погашение (да/"")]]=""),MIN(Первоначальный[[#This Row],[Полученный платеж]]+Y833-SUM(Первоначальный[[#This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комиссиям]]),VLOOKUP(LOOKUP(,-1/($Z$12:Z834=1),$A$12:A834),График[[Срок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платеж]]+Y833-SUM(Первоначальный[[#This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S833&gt;0,MIN(Первоначальный[[#This Row],[Полученный платеж]]+Y833-SUM(Первоначальный[[#This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комиссиям]]),SUM(INDIRECT("M"&amp;(MAX((1=S$12:S833)*ROW(S$12:S833),ROW($W$12))&amp;":M"&amp;(ROW()))))-SUM(INDIRECT("W"&amp;(MAX((1=S$12:S833)*ROW(S$12:S833),ROW($W$12))&amp;":W"&amp;(ROW()-1)))))
)
)</f>
        <v>0</v>
      </c>
      <c r="X834" s="55">
        <f t="shared" ca="1" si="146"/>
        <v>0</v>
      </c>
      <c r="Y834" s="101">
        <f t="shared" ca="1" si="153"/>
        <v>0</v>
      </c>
      <c r="Z834" s="133" t="str">
        <f>IF(TYPE((VLOOKUP(Первоначальный[[#This Row],[Дата платежа]],График[Срок конец],1,0)))=16,"",1)</f>
        <v/>
      </c>
      <c r="AA834" s="57"/>
      <c r="AB834" s="134"/>
      <c r="AC83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3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59599.449999999924</v>
      </c>
      <c r="AE83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2388.5300000000007</v>
      </c>
      <c r="AF83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3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132474.72239344276</v>
      </c>
      <c r="AH834" s="55"/>
      <c r="AI834" s="55"/>
      <c r="AJ834" s="55"/>
      <c r="AK834" s="101">
        <f t="shared" ca="1" si="154"/>
        <v>344096.04239344271</v>
      </c>
      <c r="AL834" s="129">
        <f t="array" ref="AL834">MAX((УслРестрактов[Характеристика]="Дата реструктуризации")*(УслРестрактов[Значение]=Первоначальный!$A834),0)</f>
        <v>0</v>
      </c>
    </row>
    <row r="835" spans="1:38" x14ac:dyDescent="0.25">
      <c r="A835" s="97">
        <f t="shared" si="147"/>
        <v>44966</v>
      </c>
      <c r="B835" s="100">
        <f t="shared" ca="1" si="148"/>
        <v>149633.34</v>
      </c>
      <c r="C835" s="55">
        <f t="shared" ca="1" si="156"/>
        <v>59599.449999999924</v>
      </c>
      <c r="D835" s="55">
        <f t="shared" ca="1" si="156"/>
        <v>2388.5300000000007</v>
      </c>
      <c r="E835" s="55">
        <f t="shared" ca="1" si="149"/>
        <v>0</v>
      </c>
      <c r="F835" s="55">
        <f t="shared" ca="1" si="150"/>
        <v>132474.72239344276</v>
      </c>
      <c r="G835" s="101">
        <f t="shared" ca="1" si="151"/>
        <v>344096.04239344271</v>
      </c>
      <c r="H835" s="100">
        <f ca="1">ROUND($B835*VLOOKUP($A835,$A$1:$B$10,2,1)/(365+IF(MOD(YEAR($A835),4),0,1)*($A835-$A834)),2)-Первоначальный[[#This Row],[Проценты на просроченный платеж по ОД за период]]</f>
        <v>74.95</v>
      </c>
      <c r="I835" s="55">
        <f t="shared" ca="1" si="152"/>
        <v>6.63</v>
      </c>
      <c r="J835" s="55">
        <v>0</v>
      </c>
      <c r="K835" s="55">
        <f t="shared" ca="1" si="155"/>
        <v>362.05850327868842</v>
      </c>
      <c r="L835" s="55">
        <v>0</v>
      </c>
      <c r="M835" s="113">
        <f>SUMIFS(График[Возврат основной суммы долга],График[Дата с учетом нерабочих дней],$A835)</f>
        <v>573.61000000000013</v>
      </c>
      <c r="N835" s="56">
        <f>SUMIFS(График[Возврат начисленных %],График[Дата с учетом нерабочих дней],$A835)</f>
        <v>2323.39</v>
      </c>
      <c r="O835" s="101">
        <v>0</v>
      </c>
      <c r="P835" s="100" cm="1">
        <f t="array" aca="1" ref="P835" ca="1">MAX(IF(AA834="Да",0,SUM(INDIRECT("M"&amp;(MAX(("Да"=AA$12:AA834)*ROW(AA$12:AA834)+1,ROW($P$12))&amp;":M"&amp;(ROW()))))-SUM(INDIRECT("W"&amp;(MAX(("Да"=AA$12:AA834)*ROW(AA$12:AA834)+1,ROW($P$12))&amp;":W"&amp;(ROW()))))),0)</f>
        <v>12739.58</v>
      </c>
      <c r="Q835" s="99">
        <f ca="1">MAX(SUM($N$13:N835)-SUM($T$13:T835),0)</f>
        <v>59672.120655737686</v>
      </c>
      <c r="R835" s="99">
        <f ca="1">Первоначальный[[#This Row],[Просроченный платеж по ОД]]+Первоначальный[[#This Row],[Просроченный платеж по процентам]]</f>
        <v>72411.700655737688</v>
      </c>
      <c r="S835" s="120">
        <f ca="1">IF(Первоначальный[[#This Row],[Просроченный платеж]]&lt;1,0,S834+1)</f>
        <v>731</v>
      </c>
      <c r="T835" s="100" cm="1">
        <f t="array" aca="1" ref="T835" ca="1">IF(Первоначальный[[#This Row],[Итого остаток на начало периода]]&lt;1,0,
IF(
AND(TYPE(VLOOKUP(1,$Z$12:Z835,1,0))=16,Первоначальный[[#This Row],[Досрочное погашение (да/"")]]=""),0,
_xlfn.IFS(AND(S834=0,Первоначальный[[#This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платеж]]&lt;&gt;0),MIN(LOOKUP(,-1/($Z$12:Z835=1),$C$12:C835)+LOOKUP(,-1/($Z$12:Z835=1),$H$12:H835),Первоначальный[[#This Row],[Полученный платеж]]+Y834),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платеж]]+Y834,SUM(Первоначальный[[#This Row],[Остаток процентов на начало периода]],Первоначальный[[#This Row],[Проценты за период]])),
AND(S834=0,Первоначальный[[#This Row],[Дата платежа из графика]]=""),0,
AND(S834=0,Первоначальный[[#This Row],[Дата платежа из графика]]=1,MAX((0&lt;&gt;S$12:S834)*ROW(S$12:S834),ROW($S$12))&gt;=MAX((1=Z$12:Z834)*ROW(Z$12:Z834),ROW($T$12)),TYPE(VLOOKUP("Да",(INDIRECT("AA"&amp;(MAX((1=Z$12:Z834)*ROW(Z$12:Z834),ROW($T$12))&amp;":AA"&amp;(ROW()-1)))),1,0))=16),MIN(LOOKUP(,-1/($Z$12:Z835=1),$C$12:C835)+LOOKUP(,-1/($Z$12:Z835=1),$H$12:H835),Первоначальный[[#This Row],[Полученный платеж]]+Y834),
AND(S834=0,TYPE(VLOOKUP("Да",(INDIRECT("AA"&amp;(MAX((1=Z$12:Z834)*ROW(Z$12:Z834),ROW($T$12))&amp;":AA"&amp;(ROW()-1)))),1,0))&lt;&gt;16),MIN(LOOKUP(,-1/($Z$12:Z835=1),$C$12:C835)+LOOKUP(,-1/($Z$12:Z835=1),$H$12:H835)-IF(AA834="Да",0,SUM(INDIRECT("T"&amp;(MAX(("Да"=AA$12:AA834)*ROW(AA$12:AA834)+1,ROW($T$12))&amp;":T"&amp;(ROW()-1))))),Первоначальный[[#This Row],[Полученный платеж]]+Y834),
AND(S834=0,MAX((0&lt;&gt;N$12:N834)*ROW(N$12:N834),ROW($S$12))&gt;=MAX((1=Z$12:Z834)*ROW(Z$12:Z834),ROW($T$12))),MIN(LOOKUP(,-1/($Z$12:Z835=1),$C$12:C835)+LOOKUP(,-1/($Z$12:Z835=1),$H$12:H835)-IF(N834&lt;&gt;0,0,SUM(INDIRECT("T"&amp;(MAX((0&lt;&gt;N$12:N834)*ROW(N$12:N834)+1,ROW($T$12))&amp;":T"&amp;(ROW()-1))))),Первоначальный[[#This Row],[Полученный платеж]]+Y834),
AND(S834=0,Первоначальный[[#This Row],[Дата платежа из графика]]=1),MIN(LOOKUP(,-1/($Z$12:Z835=1),$C$12:C835)+LOOKUP(,-1/($Z$12:Z835=1),$H$12:H835)-IF(Z834=1,0,SUM(INDIRECT("T"&amp;(MAX((1=Z$12:Z834)*ROW(Z$12:Z834)+1,ROW($T$12))&amp;":T"&amp;(ROW()-1))))),Первоначальный[[#This Row],[Полученный платеж]]+Y834),
AND(Z834&gt;0,Первоначальный[[#This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платеж]]+Y834),
AND(S834&gt;0,MAX((0&lt;&gt;S$12:S834)*ROW(S$12:S834),ROW($S$12))&gt;=MAX((1=Z$12:Z834)*ROW(Z$12:Z834),ROW($T$12)),TYPE(VLOOKUP("Да",(INDIRECT("AA"&amp;(MAX((1=Z$12:Z834)*ROW(Z$12:Z834),ROW($T$12))&amp;":AA"&amp;(ROW()-1)))),1,0))=16),MIN(LOOKUP(,-1/($Z$12:Z835=1),$C$12:C835)+LOOKUP(,-1/($Z$12:Z835=1),$H$12:H835)-SUM(INDIRECT("T"&amp;(MAX((1=Z$12:Z834)*ROW(Z$12:Z834),ROW($T$12))&amp;":T"&amp;(ROW()-1)))),Первоначальный[[#This Row],[Полученный платеж]]+Y834),
S834&gt;0,MIN(LOOKUP(,-1/($Z$12:Z835=1),$C$12:C835)+LOOKUP(,-1/($Z$12:Z835=1),$H$12:H835)-IF(Z834=1,0,SUM(INDIRECT("T"&amp;(MAX((1=Z$12:Z834)*ROW(Z$12:Z834)+1,ROW($T$12))&amp;":T"&amp;(ROW()-1))))),Первоначальный[[#This Row],[Полученный платеж]]+Y834)
)
)
)</f>
        <v>0</v>
      </c>
      <c r="U83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платеж]]+Y834-Первоначальный[[#This Row],[Полученный платёж по процентам]])</f>
        <v>0</v>
      </c>
      <c r="V835" s="55">
        <f t="shared" ca="1" si="145"/>
        <v>0</v>
      </c>
      <c r="W835" s="55" cm="1">
        <f t="array" aca="1" ref="W835" ca="1">IF(Первоначальный[[#This Row],[Итого остаток на начало периода]]&lt;1,0,
_xlfn.IFS(
AND(TYPE(VLOOKUP(1,$Z$12:Z835,1,0))=16,Первоначальный[[#This Row],[Досрочное погашение (да/"")]]=""),0,
AND(S834=0,Первоначальный[[#This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платеж]]+Y834-SUM(Первоначальный[[#This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комиссиям]]),VLOOKUP(LOOKUP(,-1/($Z$12:Z835=1),$A$12:A835),График[[Срок конец]:[Возврат основной суммы долга]],3,0)),
AND(S834=0,Первоначальный[[#This Row],[Дата платежа из графика]]="",Первоначальный[[#This Row],[Досрочное погашение (да/"")]]&lt;&gt;"Да"),0,
AND(S834=0,Первоначальный[[#This Row],[Досрочное погашение (да/"")]]=""),MIN(Первоначальный[[#This Row],[Полученный платеж]]+Y834-SUM(Первоначальный[[#This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комиссиям]]),VLOOKUP(LOOKUP(,-1/($Z$12:Z835=1),$A$12:A835),График[[Срок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платеж]]+Y834-SUM(Первоначальный[[#This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S834&gt;0,MIN(Первоначальный[[#This Row],[Полученный платеж]]+Y834-SUM(Первоначальный[[#This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комиссиям]]),SUM(INDIRECT("M"&amp;(MAX((1=S$12:S834)*ROW(S$12:S834),ROW($W$12))&amp;":M"&amp;(ROW()))))-SUM(INDIRECT("W"&amp;(MAX((1=S$12:S834)*ROW(S$12:S834),ROW($W$12))&amp;":W"&amp;(ROW()-1)))))
)
)</f>
        <v>0</v>
      </c>
      <c r="X835" s="55">
        <f t="shared" ca="1" si="146"/>
        <v>0</v>
      </c>
      <c r="Y835" s="101">
        <f t="shared" ca="1" si="153"/>
        <v>0</v>
      </c>
      <c r="Z835" s="133">
        <f>IF(TYPE((VLOOKUP(Первоначальный[[#This Row],[Дата платежа]],График[Срок конец],1,0)))=16,"",1)</f>
        <v>1</v>
      </c>
      <c r="AA835" s="57"/>
      <c r="AB835" s="134"/>
      <c r="AC83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3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59674.399999999921</v>
      </c>
      <c r="AE83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2395.1600000000008</v>
      </c>
      <c r="AF83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3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132836.78089672144</v>
      </c>
      <c r="AH835" s="55"/>
      <c r="AI835" s="55"/>
      <c r="AJ835" s="55"/>
      <c r="AK835" s="101">
        <f t="shared" ca="1" si="154"/>
        <v>344539.68089672137</v>
      </c>
      <c r="AL835" s="129">
        <f t="array" ref="AL835">MAX((УслРестрактов[Характеристика]="Дата реструктуризации")*(УслРестрактов[Значение]=Первоначальный!$A835),0)</f>
        <v>0</v>
      </c>
    </row>
    <row r="836" spans="1:38" x14ac:dyDescent="0.25">
      <c r="A836" s="97">
        <f t="shared" si="147"/>
        <v>44967</v>
      </c>
      <c r="B836" s="100">
        <f t="shared" ca="1" si="148"/>
        <v>149633.34</v>
      </c>
      <c r="C836" s="55">
        <f t="shared" ca="1" si="156"/>
        <v>59674.399999999921</v>
      </c>
      <c r="D836" s="55">
        <f t="shared" ca="1" si="156"/>
        <v>2395.1600000000008</v>
      </c>
      <c r="E836" s="55">
        <f t="shared" ca="1" si="149"/>
        <v>0</v>
      </c>
      <c r="F836" s="55">
        <f t="shared" ca="1" si="150"/>
        <v>132836.78089672144</v>
      </c>
      <c r="G836" s="101">
        <f t="shared" ca="1" si="151"/>
        <v>344539.68089672137</v>
      </c>
      <c r="H836" s="100">
        <f ca="1">ROUND($B836*VLOOKUP($A836,$A$1:$B$10,2,1)/(365+IF(MOD(YEAR($A836),4),0,1)*($A836-$A835)),2)-Первоначальный[[#This Row],[Проценты на просроченный платеж по ОД за период]]</f>
        <v>74.63</v>
      </c>
      <c r="I836" s="55">
        <f t="shared" ca="1" si="152"/>
        <v>6.95</v>
      </c>
      <c r="J836" s="55">
        <v>0</v>
      </c>
      <c r="K836" s="55">
        <f t="shared" ca="1" si="155"/>
        <v>362.05850327868842</v>
      </c>
      <c r="L836" s="55">
        <v>0</v>
      </c>
      <c r="M836" s="113">
        <f>SUMIFS(График[Возврат основной суммы долга],График[Дата с учетом нерабочих дней],$A836)</f>
        <v>0</v>
      </c>
      <c r="N836" s="56">
        <f>SUMIFS(График[Возврат начисленных %],График[Дата с учетом нерабочих дней],$A836)</f>
        <v>0</v>
      </c>
      <c r="O836" s="101">
        <v>0</v>
      </c>
      <c r="P836" s="100" cm="1">
        <f t="array" aca="1" ref="P836" ca="1">MAX(IF(AA835="Да",0,SUM(INDIRECT("M"&amp;(MAX(("Да"=AA$12:AA835)*ROW(AA$12:AA835)+1,ROW($P$12))&amp;":M"&amp;(ROW()))))-SUM(INDIRECT("W"&amp;(MAX(("Да"=AA$12:AA835)*ROW(AA$12:AA835)+1,ROW($P$12))&amp;":W"&amp;(ROW()))))),0)</f>
        <v>12739.58</v>
      </c>
      <c r="Q836" s="99">
        <f ca="1">MAX(SUM($N$13:N836)-SUM($T$13:T836),0)</f>
        <v>59672.120655737686</v>
      </c>
      <c r="R836" s="99">
        <f ca="1">Первоначальный[[#This Row],[Просроченный платеж по ОД]]+Первоначальный[[#This Row],[Просроченный платеж по процентам]]</f>
        <v>72411.700655737688</v>
      </c>
      <c r="S836" s="120">
        <f ca="1">IF(Первоначальный[[#This Row],[Просроченный платеж]]&lt;1,0,S835+1)</f>
        <v>732</v>
      </c>
      <c r="T836" s="100" cm="1">
        <f t="array" aca="1" ref="T836" ca="1">IF(Первоначальный[[#This Row],[Итого остаток на начало периода]]&lt;1,0,
IF(
AND(TYPE(VLOOKUP(1,$Z$12:Z836,1,0))=16,Первоначальный[[#This Row],[Досрочное погашение (да/"")]]=""),0,
_xlfn.IFS(AND(S835=0,Первоначальный[[#This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платеж]]&lt;&gt;0),MIN(LOOKUP(,-1/($Z$12:Z836=1),$C$12:C836)+LOOKUP(,-1/($Z$12:Z836=1),$H$12:H836),Первоначальный[[#This Row],[Полученный платеж]]+Y835),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платеж]]+Y835,SUM(Первоначальный[[#This Row],[Остаток процентов на начало периода]],Первоначальный[[#This Row],[Проценты за период]])),
AND(S835=0,Первоначальный[[#This Row],[Дата платежа из графика]]=""),0,
AND(S835=0,Первоначальный[[#This Row],[Дата платежа из графика]]=1,MAX((0&lt;&gt;S$12:S835)*ROW(S$12:S835),ROW($S$12))&gt;=MAX((1=Z$12:Z835)*ROW(Z$12:Z835),ROW($T$12)),TYPE(VLOOKUP("Да",(INDIRECT("AA"&amp;(MAX((1=Z$12:Z835)*ROW(Z$12:Z835),ROW($T$12))&amp;":AA"&amp;(ROW()-1)))),1,0))=16),MIN(LOOKUP(,-1/($Z$12:Z836=1),$C$12:C836)+LOOKUP(,-1/($Z$12:Z836=1),$H$12:H836),Первоначальный[[#This Row],[Полученный платеж]]+Y835),
AND(S835=0,TYPE(VLOOKUP("Да",(INDIRECT("AA"&amp;(MAX((1=Z$12:Z835)*ROW(Z$12:Z835),ROW($T$12))&amp;":AA"&amp;(ROW()-1)))),1,0))&lt;&gt;16),MIN(LOOKUP(,-1/($Z$12:Z836=1),$C$12:C836)+LOOKUP(,-1/($Z$12:Z836=1),$H$12:H836)-IF(AA835="Да",0,SUM(INDIRECT("T"&amp;(MAX(("Да"=AA$12:AA835)*ROW(AA$12:AA835)+1,ROW($T$12))&amp;":T"&amp;(ROW()-1))))),Первоначальный[[#This Row],[Полученный платеж]]+Y835),
AND(S835=0,MAX((0&lt;&gt;N$12:N835)*ROW(N$12:N835),ROW($S$12))&gt;=MAX((1=Z$12:Z835)*ROW(Z$12:Z835),ROW($T$12))),MIN(LOOKUP(,-1/($Z$12:Z836=1),$C$12:C836)+LOOKUP(,-1/($Z$12:Z836=1),$H$12:H836)-IF(N835&lt;&gt;0,0,SUM(INDIRECT("T"&amp;(MAX((0&lt;&gt;N$12:N835)*ROW(N$12:N835)+1,ROW($T$12))&amp;":T"&amp;(ROW()-1))))),Первоначальный[[#This Row],[Полученный платеж]]+Y835),
AND(S835=0,Первоначальный[[#This Row],[Дата платежа из графика]]=1),MIN(LOOKUP(,-1/($Z$12:Z836=1),$C$12:C836)+LOOKUP(,-1/($Z$12:Z836=1),$H$12:H836)-IF(Z835=1,0,SUM(INDIRECT("T"&amp;(MAX((1=Z$12:Z835)*ROW(Z$12:Z835)+1,ROW($T$12))&amp;":T"&amp;(ROW()-1))))),Первоначальный[[#This Row],[Полученный платеж]]+Y835),
AND(Z835&gt;0,Первоначальный[[#This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платеж]]+Y835),
AND(S835&gt;0,MAX((0&lt;&gt;S$12:S835)*ROW(S$12:S835),ROW($S$12))&gt;=MAX((1=Z$12:Z835)*ROW(Z$12:Z835),ROW($T$12)),TYPE(VLOOKUP("Да",(INDIRECT("AA"&amp;(MAX((1=Z$12:Z835)*ROW(Z$12:Z835),ROW($T$12))&amp;":AA"&amp;(ROW()-1)))),1,0))=16),MIN(LOOKUP(,-1/($Z$12:Z836=1),$C$12:C836)+LOOKUP(,-1/($Z$12:Z836=1),$H$12:H836)-SUM(INDIRECT("T"&amp;(MAX((1=Z$12:Z835)*ROW(Z$12:Z835),ROW($T$12))&amp;":T"&amp;(ROW()-1)))),Первоначальный[[#This Row],[Полученный платеж]]+Y835),
S835&gt;0,MIN(LOOKUP(,-1/($Z$12:Z836=1),$C$12:C836)+LOOKUP(,-1/($Z$12:Z836=1),$H$12:H836)-IF(Z835=1,0,SUM(INDIRECT("T"&amp;(MAX((1=Z$12:Z835)*ROW(Z$12:Z835)+1,ROW($T$12))&amp;":T"&amp;(ROW()-1))))),Первоначальный[[#This Row],[Полученный платеж]]+Y835)
)
)
)</f>
        <v>0</v>
      </c>
      <c r="U83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платеж]]+Y835-Первоначальный[[#This Row],[Полученный платёж по процентам]])</f>
        <v>0</v>
      </c>
      <c r="V836" s="55">
        <f t="shared" ca="1" si="145"/>
        <v>0</v>
      </c>
      <c r="W836" s="55" cm="1">
        <f t="array" aca="1" ref="W836" ca="1">IF(Первоначальный[[#This Row],[Итого остаток на начало периода]]&lt;1,0,
_xlfn.IFS(
AND(TYPE(VLOOKUP(1,$Z$12:Z836,1,0))=16,Первоначальный[[#This Row],[Досрочное погашение (да/"")]]=""),0,
AND(S835=0,Первоначальный[[#This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платеж]]+Y835-SUM(Первоначальный[[#This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комиссиям]]),VLOOKUP(LOOKUP(,-1/($Z$12:Z836=1),$A$12:A836),График[[Срок конец]:[Возврат основной суммы долга]],3,0)),
AND(S835=0,Первоначальный[[#This Row],[Дата платежа из графика]]="",Первоначальный[[#This Row],[Досрочное погашение (да/"")]]&lt;&gt;"Да"),0,
AND(S835=0,Первоначальный[[#This Row],[Досрочное погашение (да/"")]]=""),MIN(Первоначальный[[#This Row],[Полученный платеж]]+Y835-SUM(Первоначальный[[#This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комиссиям]]),VLOOKUP(LOOKUP(,-1/($Z$12:Z836=1),$A$12:A836),График[[Срок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платеж]]+Y835-SUM(Первоначальный[[#This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S835&gt;0,MIN(Первоначальный[[#This Row],[Полученный платеж]]+Y835-SUM(Первоначальный[[#This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комиссиям]]),SUM(INDIRECT("M"&amp;(MAX((1=S$12:S835)*ROW(S$12:S835),ROW($W$12))&amp;":M"&amp;(ROW()))))-SUM(INDIRECT("W"&amp;(MAX((1=S$12:S835)*ROW(S$12:S835),ROW($W$12))&amp;":W"&amp;(ROW()-1)))))
)
)</f>
        <v>0</v>
      </c>
      <c r="X836" s="55">
        <f t="shared" ca="1" si="146"/>
        <v>0</v>
      </c>
      <c r="Y836" s="101">
        <f t="shared" ca="1" si="153"/>
        <v>0</v>
      </c>
      <c r="Z836" s="133" t="str">
        <f>IF(TYPE((VLOOKUP(Первоначальный[[#This Row],[Дата платежа]],График[Срок конец],1,0)))=16,"",1)</f>
        <v/>
      </c>
      <c r="AA836" s="57"/>
      <c r="AB836" s="134"/>
      <c r="AC83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3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59749.029999999919</v>
      </c>
      <c r="AE83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2402.1100000000006</v>
      </c>
      <c r="AF83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3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133198.83940000011</v>
      </c>
      <c r="AH836" s="55"/>
      <c r="AI836" s="55"/>
      <c r="AJ836" s="55"/>
      <c r="AK836" s="101">
        <f t="shared" ca="1" si="154"/>
        <v>344983.31940000004</v>
      </c>
      <c r="AL836" s="129">
        <f t="array" ref="AL836">MAX((УслРестрактов[Характеристика]="Дата реструктуризации")*(УслРестрактов[Значение]=Первоначальный!$A836),0)</f>
        <v>0</v>
      </c>
    </row>
    <row r="837" spans="1:38" x14ac:dyDescent="0.25">
      <c r="A837" s="97">
        <f t="shared" si="147"/>
        <v>44968</v>
      </c>
      <c r="B837" s="100">
        <f t="shared" ca="1" si="148"/>
        <v>149633.34</v>
      </c>
      <c r="C837" s="55">
        <f t="shared" ca="1" si="156"/>
        <v>59749.029999999919</v>
      </c>
      <c r="D837" s="55">
        <f t="shared" ca="1" si="156"/>
        <v>2402.1100000000006</v>
      </c>
      <c r="E837" s="55">
        <f t="shared" ca="1" si="149"/>
        <v>0</v>
      </c>
      <c r="F837" s="55">
        <f t="shared" ca="1" si="150"/>
        <v>133198.83940000011</v>
      </c>
      <c r="G837" s="101">
        <f t="shared" ca="1" si="151"/>
        <v>344983.31940000004</v>
      </c>
      <c r="H837" s="100">
        <f ca="1">ROUND($B837*VLOOKUP($A837,$A$1:$B$10,2,1)/(365+IF(MOD(YEAR($A837),4),0,1)*($A837-$A836)),2)-Первоначальный[[#This Row],[Проценты на просроченный платеж по ОД за период]]</f>
        <v>74.63</v>
      </c>
      <c r="I837" s="55">
        <f t="shared" ca="1" si="152"/>
        <v>6.95</v>
      </c>
      <c r="J837" s="55">
        <v>0</v>
      </c>
      <c r="K837" s="55">
        <f t="shared" ca="1" si="155"/>
        <v>362.05850327868842</v>
      </c>
      <c r="L837" s="55">
        <v>0</v>
      </c>
      <c r="M837" s="113">
        <f>SUMIFS(График[Возврат основной суммы долга],График[Дата с учетом нерабочих дней],$A837)</f>
        <v>0</v>
      </c>
      <c r="N837" s="56">
        <f>SUMIFS(График[Возврат начисленных %],График[Дата с учетом нерабочих дней],$A837)</f>
        <v>0</v>
      </c>
      <c r="O837" s="101">
        <v>0</v>
      </c>
      <c r="P837" s="100" cm="1">
        <f t="array" aca="1" ref="P837" ca="1">MAX(IF(AA836="Да",0,SUM(INDIRECT("M"&amp;(MAX(("Да"=AA$12:AA836)*ROW(AA$12:AA836)+1,ROW($P$12))&amp;":M"&amp;(ROW()))))-SUM(INDIRECT("W"&amp;(MAX(("Да"=AA$12:AA836)*ROW(AA$12:AA836)+1,ROW($P$12))&amp;":W"&amp;(ROW()))))),0)</f>
        <v>12739.58</v>
      </c>
      <c r="Q837" s="99">
        <f ca="1">MAX(SUM($N$13:N837)-SUM($T$13:T837),0)</f>
        <v>59672.120655737686</v>
      </c>
      <c r="R837" s="99">
        <f ca="1">Первоначальный[[#This Row],[Просроченный платеж по ОД]]+Первоначальный[[#This Row],[Просроченный платеж по процентам]]</f>
        <v>72411.700655737688</v>
      </c>
      <c r="S837" s="120">
        <f ca="1">IF(Первоначальный[[#This Row],[Просроченный платеж]]&lt;1,0,S836+1)</f>
        <v>733</v>
      </c>
      <c r="T837" s="100" cm="1">
        <f t="array" aca="1" ref="T837" ca="1">IF(Первоначальный[[#This Row],[Итого остаток на начало периода]]&lt;1,0,
IF(
AND(TYPE(VLOOKUP(1,$Z$12:Z837,1,0))=16,Первоначальный[[#This Row],[Досрочное погашение (да/"")]]=""),0,
_xlfn.IFS(AND(S836=0,Первоначальный[[#This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платеж]]&lt;&gt;0),MIN(LOOKUP(,-1/($Z$12:Z837=1),$C$12:C837)+LOOKUP(,-1/($Z$12:Z837=1),$H$12:H837),Первоначальный[[#This Row],[Полученный платеж]]+Y836),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платеж]]+Y836,SUM(Первоначальный[[#This Row],[Остаток процентов на начало периода]],Первоначальный[[#This Row],[Проценты за период]])),
AND(S836=0,Первоначальный[[#This Row],[Дата платежа из графика]]=""),0,
AND(S836=0,Первоначальный[[#This Row],[Дата платежа из графика]]=1,MAX((0&lt;&gt;S$12:S836)*ROW(S$12:S836),ROW($S$12))&gt;=MAX((1=Z$12:Z836)*ROW(Z$12:Z836),ROW($T$12)),TYPE(VLOOKUP("Да",(INDIRECT("AA"&amp;(MAX((1=Z$12:Z836)*ROW(Z$12:Z836),ROW($T$12))&amp;":AA"&amp;(ROW()-1)))),1,0))=16),MIN(LOOKUP(,-1/($Z$12:Z837=1),$C$12:C837)+LOOKUP(,-1/($Z$12:Z837=1),$H$12:H837),Первоначальный[[#This Row],[Полученный платеж]]+Y836),
AND(S836=0,TYPE(VLOOKUP("Да",(INDIRECT("AA"&amp;(MAX((1=Z$12:Z836)*ROW(Z$12:Z836),ROW($T$12))&amp;":AA"&amp;(ROW()-1)))),1,0))&lt;&gt;16),MIN(LOOKUP(,-1/($Z$12:Z837=1),$C$12:C837)+LOOKUP(,-1/($Z$12:Z837=1),$H$12:H837)-IF(AA836="Да",0,SUM(INDIRECT("T"&amp;(MAX(("Да"=AA$12:AA836)*ROW(AA$12:AA836)+1,ROW($T$12))&amp;":T"&amp;(ROW()-1))))),Первоначальный[[#This Row],[Полученный платеж]]+Y836),
AND(S836=0,MAX((0&lt;&gt;N$12:N836)*ROW(N$12:N836),ROW($S$12))&gt;=MAX((1=Z$12:Z836)*ROW(Z$12:Z836),ROW($T$12))),MIN(LOOKUP(,-1/($Z$12:Z837=1),$C$12:C837)+LOOKUP(,-1/($Z$12:Z837=1),$H$12:H837)-IF(N836&lt;&gt;0,0,SUM(INDIRECT("T"&amp;(MAX((0&lt;&gt;N$12:N836)*ROW(N$12:N836)+1,ROW($T$12))&amp;":T"&amp;(ROW()-1))))),Первоначальный[[#This Row],[Полученный платеж]]+Y836),
AND(S836=0,Первоначальный[[#This Row],[Дата платежа из графика]]=1),MIN(LOOKUP(,-1/($Z$12:Z837=1),$C$12:C837)+LOOKUP(,-1/($Z$12:Z837=1),$H$12:H837)-IF(Z836=1,0,SUM(INDIRECT("T"&amp;(MAX((1=Z$12:Z836)*ROW(Z$12:Z836)+1,ROW($T$12))&amp;":T"&amp;(ROW()-1))))),Первоначальный[[#This Row],[Полученный платеж]]+Y836),
AND(Z836&gt;0,Первоначальный[[#This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платеж]]+Y836),
AND(S836&gt;0,MAX((0&lt;&gt;S$12:S836)*ROW(S$12:S836),ROW($S$12))&gt;=MAX((1=Z$12:Z836)*ROW(Z$12:Z836),ROW($T$12)),TYPE(VLOOKUP("Да",(INDIRECT("AA"&amp;(MAX((1=Z$12:Z836)*ROW(Z$12:Z836),ROW($T$12))&amp;":AA"&amp;(ROW()-1)))),1,0))=16),MIN(LOOKUP(,-1/($Z$12:Z837=1),$C$12:C837)+LOOKUP(,-1/($Z$12:Z837=1),$H$12:H837)-SUM(INDIRECT("T"&amp;(MAX((1=Z$12:Z836)*ROW(Z$12:Z836),ROW($T$12))&amp;":T"&amp;(ROW()-1)))),Первоначальный[[#This Row],[Полученный платеж]]+Y836),
S836&gt;0,MIN(LOOKUP(,-1/($Z$12:Z837=1),$C$12:C837)+LOOKUP(,-1/($Z$12:Z837=1),$H$12:H837)-IF(Z836=1,0,SUM(INDIRECT("T"&amp;(MAX((1=Z$12:Z836)*ROW(Z$12:Z836)+1,ROW($T$12))&amp;":T"&amp;(ROW()-1))))),Первоначальный[[#This Row],[Полученный платеж]]+Y836)
)
)
)</f>
        <v>0</v>
      </c>
      <c r="U83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платеж]]+Y836-Первоначальный[[#This Row],[Полученный платёж по процентам]])</f>
        <v>0</v>
      </c>
      <c r="V837" s="55">
        <f t="shared" ca="1" si="145"/>
        <v>0</v>
      </c>
      <c r="W837" s="55" cm="1">
        <f t="array" aca="1" ref="W837" ca="1">IF(Первоначальный[[#This Row],[Итого остаток на начало периода]]&lt;1,0,
_xlfn.IFS(
AND(TYPE(VLOOKUP(1,$Z$12:Z837,1,0))=16,Первоначальный[[#This Row],[Досрочное погашение (да/"")]]=""),0,
AND(S836=0,Первоначальный[[#This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платеж]]+Y836-SUM(Первоначальный[[#This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комиссиям]]),VLOOKUP(LOOKUP(,-1/($Z$12:Z837=1),$A$12:A837),График[[Срок конец]:[Возврат основной суммы долга]],3,0)),
AND(S836=0,Первоначальный[[#This Row],[Дата платежа из графика]]="",Первоначальный[[#This Row],[Досрочное погашение (да/"")]]&lt;&gt;"Да"),0,
AND(S836=0,Первоначальный[[#This Row],[Досрочное погашение (да/"")]]=""),MIN(Первоначальный[[#This Row],[Полученный платеж]]+Y836-SUM(Первоначальный[[#This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комиссиям]]),VLOOKUP(LOOKUP(,-1/($Z$12:Z837=1),$A$12:A837),График[[Срок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платеж]]+Y836-SUM(Первоначальный[[#This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S836&gt;0,MIN(Первоначальный[[#This Row],[Полученный платеж]]+Y836-SUM(Первоначальный[[#This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комиссиям]]),SUM(INDIRECT("M"&amp;(MAX((1=S$12:S836)*ROW(S$12:S836),ROW($W$12))&amp;":M"&amp;(ROW()))))-SUM(INDIRECT("W"&amp;(MAX((1=S$12:S836)*ROW(S$12:S836),ROW($W$12))&amp;":W"&amp;(ROW()-1)))))
)
)</f>
        <v>0</v>
      </c>
      <c r="X837" s="55">
        <f t="shared" ca="1" si="146"/>
        <v>0</v>
      </c>
      <c r="Y837" s="101">
        <f t="shared" ca="1" si="153"/>
        <v>0</v>
      </c>
      <c r="Z837" s="133" t="str">
        <f>IF(TYPE((VLOOKUP(Первоначальный[[#This Row],[Дата платежа]],График[Срок конец],1,0)))=16,"",1)</f>
        <v/>
      </c>
      <c r="AA837" s="57"/>
      <c r="AB837" s="134"/>
      <c r="AC83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3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59823.659999999916</v>
      </c>
      <c r="AE83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2409.0600000000004</v>
      </c>
      <c r="AF83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3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133560.89790327879</v>
      </c>
      <c r="AH837" s="55"/>
      <c r="AI837" s="55"/>
      <c r="AJ837" s="55"/>
      <c r="AK837" s="101">
        <f t="shared" ca="1" si="154"/>
        <v>345426.9579032787</v>
      </c>
      <c r="AL837" s="129">
        <f t="array" ref="AL837">MAX((УслРестрактов[Характеристика]="Дата реструктуризации")*(УслРестрактов[Значение]=Первоначальный!$A837),0)</f>
        <v>0</v>
      </c>
    </row>
    <row r="838" spans="1:38" x14ac:dyDescent="0.25">
      <c r="A838" s="97">
        <f t="shared" si="147"/>
        <v>44969</v>
      </c>
      <c r="B838" s="100">
        <f t="shared" ca="1" si="148"/>
        <v>149633.34</v>
      </c>
      <c r="C838" s="55">
        <f t="shared" ca="1" si="156"/>
        <v>59823.659999999916</v>
      </c>
      <c r="D838" s="55">
        <f t="shared" ca="1" si="156"/>
        <v>2409.0600000000004</v>
      </c>
      <c r="E838" s="55">
        <f t="shared" ca="1" si="149"/>
        <v>0</v>
      </c>
      <c r="F838" s="55">
        <f t="shared" ca="1" si="150"/>
        <v>133560.89790327879</v>
      </c>
      <c r="G838" s="101">
        <f t="shared" ca="1" si="151"/>
        <v>345426.9579032787</v>
      </c>
      <c r="H838" s="100">
        <f ca="1">ROUND($B838*VLOOKUP($A838,$A$1:$B$10,2,1)/(365+IF(MOD(YEAR($A838),4),0,1)*($A838-$A837)),2)-Первоначальный[[#This Row],[Проценты на просроченный платеж по ОД за период]]</f>
        <v>74.63</v>
      </c>
      <c r="I838" s="55">
        <f t="shared" ca="1" si="152"/>
        <v>6.95</v>
      </c>
      <c r="J838" s="55">
        <v>0</v>
      </c>
      <c r="K838" s="55">
        <f t="shared" ca="1" si="155"/>
        <v>362.05850327868842</v>
      </c>
      <c r="L838" s="55">
        <v>0</v>
      </c>
      <c r="M838" s="113">
        <f>SUMIFS(График[Возврат основной суммы долга],График[Дата с учетом нерабочих дней],$A838)</f>
        <v>0</v>
      </c>
      <c r="N838" s="56">
        <f>SUMIFS(График[Возврат начисленных %],График[Дата с учетом нерабочих дней],$A838)</f>
        <v>0</v>
      </c>
      <c r="O838" s="101">
        <v>0</v>
      </c>
      <c r="P838" s="100" cm="1">
        <f t="array" aca="1" ref="P838" ca="1">MAX(IF(AA837="Да",0,SUM(INDIRECT("M"&amp;(MAX(("Да"=AA$12:AA837)*ROW(AA$12:AA837)+1,ROW($P$12))&amp;":M"&amp;(ROW()))))-SUM(INDIRECT("W"&amp;(MAX(("Да"=AA$12:AA837)*ROW(AA$12:AA837)+1,ROW($P$12))&amp;":W"&amp;(ROW()))))),0)</f>
        <v>12739.58</v>
      </c>
      <c r="Q838" s="99">
        <f ca="1">MAX(SUM($N$13:N838)-SUM($T$13:T838),0)</f>
        <v>59672.120655737686</v>
      </c>
      <c r="R838" s="99">
        <f ca="1">Первоначальный[[#This Row],[Просроченный платеж по ОД]]+Первоначальный[[#This Row],[Просроченный платеж по процентам]]</f>
        <v>72411.700655737688</v>
      </c>
      <c r="S838" s="120">
        <f ca="1">IF(Первоначальный[[#This Row],[Просроченный платеж]]&lt;1,0,S837+1)</f>
        <v>734</v>
      </c>
      <c r="T838" s="100" cm="1">
        <f t="array" aca="1" ref="T838" ca="1">IF(Первоначальный[[#This Row],[Итого остаток на начало периода]]&lt;1,0,
IF(
AND(TYPE(VLOOKUP(1,$Z$12:Z838,1,0))=16,Первоначальный[[#This Row],[Досрочное погашение (да/"")]]=""),0,
_xlfn.IFS(AND(S837=0,Первоначальный[[#This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платеж]]&lt;&gt;0),MIN(LOOKUP(,-1/($Z$12:Z838=1),$C$12:C838)+LOOKUP(,-1/($Z$12:Z838=1),$H$12:H838),Первоначальный[[#This Row],[Полученный платеж]]+Y837),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платеж]]+Y837,SUM(Первоначальный[[#This Row],[Остаток процентов на начало периода]],Первоначальный[[#This Row],[Проценты за период]])),
AND(S837=0,Первоначальный[[#This Row],[Дата платежа из графика]]=""),0,
AND(S837=0,Первоначальный[[#This Row],[Дата платежа из графика]]=1,MAX((0&lt;&gt;S$12:S837)*ROW(S$12:S837),ROW($S$12))&gt;=MAX((1=Z$12:Z837)*ROW(Z$12:Z837),ROW($T$12)),TYPE(VLOOKUP("Да",(INDIRECT("AA"&amp;(MAX((1=Z$12:Z837)*ROW(Z$12:Z837),ROW($T$12))&amp;":AA"&amp;(ROW()-1)))),1,0))=16),MIN(LOOKUP(,-1/($Z$12:Z838=1),$C$12:C838)+LOOKUP(,-1/($Z$12:Z838=1),$H$12:H838),Первоначальный[[#This Row],[Полученный платеж]]+Y837),
AND(S837=0,TYPE(VLOOKUP("Да",(INDIRECT("AA"&amp;(MAX((1=Z$12:Z837)*ROW(Z$12:Z837),ROW($T$12))&amp;":AA"&amp;(ROW()-1)))),1,0))&lt;&gt;16),MIN(LOOKUP(,-1/($Z$12:Z838=1),$C$12:C838)+LOOKUP(,-1/($Z$12:Z838=1),$H$12:H838)-IF(AA837="Да",0,SUM(INDIRECT("T"&amp;(MAX(("Да"=AA$12:AA837)*ROW(AA$12:AA837)+1,ROW($T$12))&amp;":T"&amp;(ROW()-1))))),Первоначальный[[#This Row],[Полученный платеж]]+Y837),
AND(S837=0,MAX((0&lt;&gt;N$12:N837)*ROW(N$12:N837),ROW($S$12))&gt;=MAX((1=Z$12:Z837)*ROW(Z$12:Z837),ROW($T$12))),MIN(LOOKUP(,-1/($Z$12:Z838=1),$C$12:C838)+LOOKUP(,-1/($Z$12:Z838=1),$H$12:H838)-IF(N837&lt;&gt;0,0,SUM(INDIRECT("T"&amp;(MAX((0&lt;&gt;N$12:N837)*ROW(N$12:N837)+1,ROW($T$12))&amp;":T"&amp;(ROW()-1))))),Первоначальный[[#This Row],[Полученный платеж]]+Y837),
AND(S837=0,Первоначальный[[#This Row],[Дата платежа из графика]]=1),MIN(LOOKUP(,-1/($Z$12:Z838=1),$C$12:C838)+LOOKUP(,-1/($Z$12:Z838=1),$H$12:H838)-IF(Z837=1,0,SUM(INDIRECT("T"&amp;(MAX((1=Z$12:Z837)*ROW(Z$12:Z837)+1,ROW($T$12))&amp;":T"&amp;(ROW()-1))))),Первоначальный[[#This Row],[Полученный платеж]]+Y837),
AND(Z837&gt;0,Первоначальный[[#This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платеж]]+Y837),
AND(S837&gt;0,MAX((0&lt;&gt;S$12:S837)*ROW(S$12:S837),ROW($S$12))&gt;=MAX((1=Z$12:Z837)*ROW(Z$12:Z837),ROW($T$12)),TYPE(VLOOKUP("Да",(INDIRECT("AA"&amp;(MAX((1=Z$12:Z837)*ROW(Z$12:Z837),ROW($T$12))&amp;":AA"&amp;(ROW()-1)))),1,0))=16),MIN(LOOKUP(,-1/($Z$12:Z838=1),$C$12:C838)+LOOKUP(,-1/($Z$12:Z838=1),$H$12:H838)-SUM(INDIRECT("T"&amp;(MAX((1=Z$12:Z837)*ROW(Z$12:Z837),ROW($T$12))&amp;":T"&amp;(ROW()-1)))),Первоначальный[[#This Row],[Полученный платеж]]+Y837),
S837&gt;0,MIN(LOOKUP(,-1/($Z$12:Z838=1),$C$12:C838)+LOOKUP(,-1/($Z$12:Z838=1),$H$12:H838)-IF(Z837=1,0,SUM(INDIRECT("T"&amp;(MAX((1=Z$12:Z837)*ROW(Z$12:Z837)+1,ROW($T$12))&amp;":T"&amp;(ROW()-1))))),Первоначальный[[#This Row],[Полученный платеж]]+Y837)
)
)
)</f>
        <v>0</v>
      </c>
      <c r="U83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платеж]]+Y837-Первоначальный[[#This Row],[Полученный платёж по процентам]])</f>
        <v>0</v>
      </c>
      <c r="V838" s="55">
        <f t="shared" ca="1" si="145"/>
        <v>0</v>
      </c>
      <c r="W838" s="55" cm="1">
        <f t="array" aca="1" ref="W838" ca="1">IF(Первоначальный[[#This Row],[Итого остаток на начало периода]]&lt;1,0,
_xlfn.IFS(
AND(TYPE(VLOOKUP(1,$Z$12:Z838,1,0))=16,Первоначальный[[#This Row],[Досрочное погашение (да/"")]]=""),0,
AND(S837=0,Первоначальный[[#This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платеж]]+Y837-SUM(Первоначальный[[#This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комиссиям]]),VLOOKUP(LOOKUP(,-1/($Z$12:Z838=1),$A$12:A838),График[[Срок конец]:[Возврат основной суммы долга]],3,0)),
AND(S837=0,Первоначальный[[#This Row],[Дата платежа из графика]]="",Первоначальный[[#This Row],[Досрочное погашение (да/"")]]&lt;&gt;"Да"),0,
AND(S837=0,Первоначальный[[#This Row],[Досрочное погашение (да/"")]]=""),MIN(Первоначальный[[#This Row],[Полученный платеж]]+Y837-SUM(Первоначальный[[#This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комиссиям]]),VLOOKUP(LOOKUP(,-1/($Z$12:Z838=1),$A$12:A838),График[[Срок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платеж]]+Y837-SUM(Первоначальный[[#This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S837&gt;0,MIN(Первоначальный[[#This Row],[Полученный платеж]]+Y837-SUM(Первоначальный[[#This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комиссиям]]),SUM(INDIRECT("M"&amp;(MAX((1=S$12:S837)*ROW(S$12:S837),ROW($W$12))&amp;":M"&amp;(ROW()))))-SUM(INDIRECT("W"&amp;(MAX((1=S$12:S837)*ROW(S$12:S837),ROW($W$12))&amp;":W"&amp;(ROW()-1)))))
)
)</f>
        <v>0</v>
      </c>
      <c r="X838" s="55">
        <f t="shared" ca="1" si="146"/>
        <v>0</v>
      </c>
      <c r="Y838" s="101">
        <f t="shared" ca="1" si="153"/>
        <v>0</v>
      </c>
      <c r="Z838" s="133" t="str">
        <f>IF(TYPE((VLOOKUP(Первоначальный[[#This Row],[Дата платежа]],График[Срок конец],1,0)))=16,"",1)</f>
        <v/>
      </c>
      <c r="AA838" s="57"/>
      <c r="AB838" s="134"/>
      <c r="AC83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3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59898.289999999914</v>
      </c>
      <c r="AE83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2416.0100000000002</v>
      </c>
      <c r="AF83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3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133922.95640655747</v>
      </c>
      <c r="AH838" s="55"/>
      <c r="AI838" s="55"/>
      <c r="AJ838" s="55"/>
      <c r="AK838" s="101">
        <f t="shared" ca="1" si="154"/>
        <v>345870.59640655736</v>
      </c>
      <c r="AL838" s="129">
        <f t="array" ref="AL838">MAX((УслРестрактов[Характеристика]="Дата реструктуризации")*(УслРестрактов[Значение]=Первоначальный!$A838),0)</f>
        <v>0</v>
      </c>
    </row>
    <row r="839" spans="1:38" x14ac:dyDescent="0.25">
      <c r="A839" s="97">
        <f t="shared" si="147"/>
        <v>44970</v>
      </c>
      <c r="B839" s="100">
        <f t="shared" ca="1" si="148"/>
        <v>149633.34</v>
      </c>
      <c r="C839" s="55">
        <f t="shared" ca="1" si="156"/>
        <v>59898.289999999914</v>
      </c>
      <c r="D839" s="55">
        <f t="shared" ca="1" si="156"/>
        <v>2416.0100000000002</v>
      </c>
      <c r="E839" s="55">
        <f t="shared" ca="1" si="149"/>
        <v>0</v>
      </c>
      <c r="F839" s="55">
        <f t="shared" ca="1" si="150"/>
        <v>133922.95640655747</v>
      </c>
      <c r="G839" s="101">
        <f t="shared" ca="1" si="151"/>
        <v>345870.59640655736</v>
      </c>
      <c r="H839" s="100">
        <f ca="1">ROUND($B839*VLOOKUP($A839,$A$1:$B$10,2,1)/(365+IF(MOD(YEAR($A839),4),0,1)*($A839-$A838)),2)-Первоначальный[[#This Row],[Проценты на просроченный платеж по ОД за период]]</f>
        <v>74.63</v>
      </c>
      <c r="I839" s="55">
        <f t="shared" ca="1" si="152"/>
        <v>6.95</v>
      </c>
      <c r="J839" s="55">
        <v>0</v>
      </c>
      <c r="K839" s="55">
        <f t="shared" ca="1" si="155"/>
        <v>362.05850327868842</v>
      </c>
      <c r="L839" s="55">
        <v>0</v>
      </c>
      <c r="M839" s="113">
        <f>SUMIFS(График[Возврат основной суммы долга],График[Дата с учетом нерабочих дней],$A839)</f>
        <v>0</v>
      </c>
      <c r="N839" s="56">
        <f>SUMIFS(График[Возврат начисленных %],График[Дата с учетом нерабочих дней],$A839)</f>
        <v>0</v>
      </c>
      <c r="O839" s="101">
        <v>0</v>
      </c>
      <c r="P839" s="100" cm="1">
        <f t="array" aca="1" ref="P839" ca="1">MAX(IF(AA838="Да",0,SUM(INDIRECT("M"&amp;(MAX(("Да"=AA$12:AA838)*ROW(AA$12:AA838)+1,ROW($P$12))&amp;":M"&amp;(ROW()))))-SUM(INDIRECT("W"&amp;(MAX(("Да"=AA$12:AA838)*ROW(AA$12:AA838)+1,ROW($P$12))&amp;":W"&amp;(ROW()))))),0)</f>
        <v>12739.58</v>
      </c>
      <c r="Q839" s="99">
        <f ca="1">MAX(SUM($N$13:N839)-SUM($T$13:T839),0)</f>
        <v>59672.120655737686</v>
      </c>
      <c r="R839" s="99">
        <f ca="1">Первоначальный[[#This Row],[Просроченный платеж по ОД]]+Первоначальный[[#This Row],[Просроченный платеж по процентам]]</f>
        <v>72411.700655737688</v>
      </c>
      <c r="S839" s="120">
        <f ca="1">IF(Первоначальный[[#This Row],[Просроченный платеж]]&lt;1,0,S838+1)</f>
        <v>735</v>
      </c>
      <c r="T839" s="100" cm="1">
        <f t="array" aca="1" ref="T839" ca="1">IF(Первоначальный[[#This Row],[Итого остаток на начало периода]]&lt;1,0,
IF(
AND(TYPE(VLOOKUP(1,$Z$12:Z839,1,0))=16,Первоначальный[[#This Row],[Досрочное погашение (да/"")]]=""),0,
_xlfn.IFS(AND(S838=0,Первоначальный[[#This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платеж]]&lt;&gt;0),MIN(LOOKUP(,-1/($Z$12:Z839=1),$C$12:C839)+LOOKUP(,-1/($Z$12:Z839=1),$H$12:H839),Первоначальный[[#This Row],[Полученный платеж]]+Y838),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платеж]]+Y838,SUM(Первоначальный[[#This Row],[Остаток процентов на начало периода]],Первоначальный[[#This Row],[Проценты за период]])),
AND(S838=0,Первоначальный[[#This Row],[Дата платежа из графика]]=""),0,
AND(S838=0,Первоначальный[[#This Row],[Дата платежа из графика]]=1,MAX((0&lt;&gt;S$12:S838)*ROW(S$12:S838),ROW($S$12))&gt;=MAX((1=Z$12:Z838)*ROW(Z$12:Z838),ROW($T$12)),TYPE(VLOOKUP("Да",(INDIRECT("AA"&amp;(MAX((1=Z$12:Z838)*ROW(Z$12:Z838),ROW($T$12))&amp;":AA"&amp;(ROW()-1)))),1,0))=16),MIN(LOOKUP(,-1/($Z$12:Z839=1),$C$12:C839)+LOOKUP(,-1/($Z$12:Z839=1),$H$12:H839),Первоначальный[[#This Row],[Полученный платеж]]+Y838),
AND(S838=0,TYPE(VLOOKUP("Да",(INDIRECT("AA"&amp;(MAX((1=Z$12:Z838)*ROW(Z$12:Z838),ROW($T$12))&amp;":AA"&amp;(ROW()-1)))),1,0))&lt;&gt;16),MIN(LOOKUP(,-1/($Z$12:Z839=1),$C$12:C839)+LOOKUP(,-1/($Z$12:Z839=1),$H$12:H839)-IF(AA838="Да",0,SUM(INDIRECT("T"&amp;(MAX(("Да"=AA$12:AA838)*ROW(AA$12:AA838)+1,ROW($T$12))&amp;":T"&amp;(ROW()-1))))),Первоначальный[[#This Row],[Полученный платеж]]+Y838),
AND(S838=0,MAX((0&lt;&gt;N$12:N838)*ROW(N$12:N838),ROW($S$12))&gt;=MAX((1=Z$12:Z838)*ROW(Z$12:Z838),ROW($T$12))),MIN(LOOKUP(,-1/($Z$12:Z839=1),$C$12:C839)+LOOKUP(,-1/($Z$12:Z839=1),$H$12:H839)-IF(N838&lt;&gt;0,0,SUM(INDIRECT("T"&amp;(MAX((0&lt;&gt;N$12:N838)*ROW(N$12:N838)+1,ROW($T$12))&amp;":T"&amp;(ROW()-1))))),Первоначальный[[#This Row],[Полученный платеж]]+Y838),
AND(S838=0,Первоначальный[[#This Row],[Дата платежа из графика]]=1),MIN(LOOKUP(,-1/($Z$12:Z839=1),$C$12:C839)+LOOKUP(,-1/($Z$12:Z839=1),$H$12:H839)-IF(Z838=1,0,SUM(INDIRECT("T"&amp;(MAX((1=Z$12:Z838)*ROW(Z$12:Z838)+1,ROW($T$12))&amp;":T"&amp;(ROW()-1))))),Первоначальный[[#This Row],[Полученный платеж]]+Y838),
AND(Z838&gt;0,Первоначальный[[#This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платеж]]+Y838),
AND(S838&gt;0,MAX((0&lt;&gt;S$12:S838)*ROW(S$12:S838),ROW($S$12))&gt;=MAX((1=Z$12:Z838)*ROW(Z$12:Z838),ROW($T$12)),TYPE(VLOOKUP("Да",(INDIRECT("AA"&amp;(MAX((1=Z$12:Z838)*ROW(Z$12:Z838),ROW($T$12))&amp;":AA"&amp;(ROW()-1)))),1,0))=16),MIN(LOOKUP(,-1/($Z$12:Z839=1),$C$12:C839)+LOOKUP(,-1/($Z$12:Z839=1),$H$12:H839)-SUM(INDIRECT("T"&amp;(MAX((1=Z$12:Z838)*ROW(Z$12:Z838),ROW($T$12))&amp;":T"&amp;(ROW()-1)))),Первоначальный[[#This Row],[Полученный платеж]]+Y838),
S838&gt;0,MIN(LOOKUP(,-1/($Z$12:Z839=1),$C$12:C839)+LOOKUP(,-1/($Z$12:Z839=1),$H$12:H839)-IF(Z838=1,0,SUM(INDIRECT("T"&amp;(MAX((1=Z$12:Z838)*ROW(Z$12:Z838)+1,ROW($T$12))&amp;":T"&amp;(ROW()-1))))),Первоначальный[[#This Row],[Полученный платеж]]+Y838)
)
)
)</f>
        <v>0</v>
      </c>
      <c r="U83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платеж]]+Y838-Первоначальный[[#This Row],[Полученный платёж по процентам]])</f>
        <v>0</v>
      </c>
      <c r="V839" s="55">
        <f t="shared" ca="1" si="145"/>
        <v>0</v>
      </c>
      <c r="W839" s="55" cm="1">
        <f t="array" aca="1" ref="W839" ca="1">IF(Первоначальный[[#This Row],[Итого остаток на начало периода]]&lt;1,0,
_xlfn.IFS(
AND(TYPE(VLOOKUP(1,$Z$12:Z839,1,0))=16,Первоначальный[[#This Row],[Досрочное погашение (да/"")]]=""),0,
AND(S838=0,Первоначальный[[#This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платеж]]+Y838-SUM(Первоначальный[[#This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комиссиям]]),VLOOKUP(LOOKUP(,-1/($Z$12:Z839=1),$A$12:A839),График[[Срок конец]:[Возврат основной суммы долга]],3,0)),
AND(S838=0,Первоначальный[[#This Row],[Дата платежа из графика]]="",Первоначальный[[#This Row],[Досрочное погашение (да/"")]]&lt;&gt;"Да"),0,
AND(S838=0,Первоначальный[[#This Row],[Досрочное погашение (да/"")]]=""),MIN(Первоначальный[[#This Row],[Полученный платеж]]+Y838-SUM(Первоначальный[[#This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комиссиям]]),VLOOKUP(LOOKUP(,-1/($Z$12:Z839=1),$A$12:A839),График[[Срок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платеж]]+Y838-SUM(Первоначальный[[#This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S838&gt;0,MIN(Первоначальный[[#This Row],[Полученный платеж]]+Y838-SUM(Первоначальный[[#This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комиссиям]]),SUM(INDIRECT("M"&amp;(MAX((1=S$12:S838)*ROW(S$12:S838),ROW($W$12))&amp;":M"&amp;(ROW()))))-SUM(INDIRECT("W"&amp;(MAX((1=S$12:S838)*ROW(S$12:S838),ROW($W$12))&amp;":W"&amp;(ROW()-1)))))
)
)</f>
        <v>0</v>
      </c>
      <c r="X839" s="55">
        <f t="shared" ca="1" si="146"/>
        <v>0</v>
      </c>
      <c r="Y839" s="101">
        <f t="shared" ca="1" si="153"/>
        <v>0</v>
      </c>
      <c r="Z839" s="133" t="str">
        <f>IF(TYPE((VLOOKUP(Первоначальный[[#This Row],[Дата платежа]],График[Срок конец],1,0)))=16,"",1)</f>
        <v/>
      </c>
      <c r="AA839" s="57"/>
      <c r="AB839" s="134"/>
      <c r="AC83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3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59972.919999999911</v>
      </c>
      <c r="AE83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2422.96</v>
      </c>
      <c r="AF83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3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134285.01490983614</v>
      </c>
      <c r="AH839" s="55"/>
      <c r="AI839" s="55"/>
      <c r="AJ839" s="55"/>
      <c r="AK839" s="101">
        <f t="shared" ca="1" si="154"/>
        <v>346314.23490983603</v>
      </c>
      <c r="AL839" s="129">
        <f t="array" ref="AL839">MAX((УслРестрактов[Характеристика]="Дата реструктуризации")*(УслРестрактов[Значение]=Первоначальный!$A839),0)</f>
        <v>0</v>
      </c>
    </row>
    <row r="840" spans="1:38" x14ac:dyDescent="0.25">
      <c r="A840" s="97">
        <f t="shared" si="147"/>
        <v>44971</v>
      </c>
      <c r="B840" s="100">
        <f t="shared" ca="1" si="148"/>
        <v>149633.34</v>
      </c>
      <c r="C840" s="55">
        <f t="shared" ca="1" si="156"/>
        <v>59972.919999999911</v>
      </c>
      <c r="D840" s="55">
        <f t="shared" ca="1" si="156"/>
        <v>2422.96</v>
      </c>
      <c r="E840" s="55">
        <f t="shared" ca="1" si="149"/>
        <v>0</v>
      </c>
      <c r="F840" s="55">
        <f t="shared" ca="1" si="150"/>
        <v>134285.01490983614</v>
      </c>
      <c r="G840" s="101">
        <f t="shared" ca="1" si="151"/>
        <v>346314.23490983603</v>
      </c>
      <c r="H840" s="100">
        <f ca="1">ROUND($B840*VLOOKUP($A840,$A$1:$B$10,2,1)/(365+IF(MOD(YEAR($A840),4),0,1)*($A840-$A839)),2)-Первоначальный[[#This Row],[Проценты на просроченный платеж по ОД за период]]</f>
        <v>74.63</v>
      </c>
      <c r="I840" s="55">
        <f t="shared" ca="1" si="152"/>
        <v>6.95</v>
      </c>
      <c r="J840" s="55">
        <v>0</v>
      </c>
      <c r="K840" s="55">
        <f t="shared" ca="1" si="155"/>
        <v>362.05850327868842</v>
      </c>
      <c r="L840" s="55">
        <v>0</v>
      </c>
      <c r="M840" s="113">
        <f>SUMIFS(График[Возврат основной суммы долга],График[Дата с учетом нерабочих дней],$A840)</f>
        <v>0</v>
      </c>
      <c r="N840" s="56">
        <f>SUMIFS(График[Возврат начисленных %],График[Дата с учетом нерабочих дней],$A840)</f>
        <v>0</v>
      </c>
      <c r="O840" s="101">
        <v>0</v>
      </c>
      <c r="P840" s="100" cm="1">
        <f t="array" aca="1" ref="P840" ca="1">MAX(IF(AA839="Да",0,SUM(INDIRECT("M"&amp;(MAX(("Да"=AA$12:AA839)*ROW(AA$12:AA839)+1,ROW($P$12))&amp;":M"&amp;(ROW()))))-SUM(INDIRECT("W"&amp;(MAX(("Да"=AA$12:AA839)*ROW(AA$12:AA839)+1,ROW($P$12))&amp;":W"&amp;(ROW()))))),0)</f>
        <v>12739.58</v>
      </c>
      <c r="Q840" s="99">
        <f ca="1">MAX(SUM($N$13:N840)-SUM($T$13:T840),0)</f>
        <v>59672.120655737686</v>
      </c>
      <c r="R840" s="99">
        <f ca="1">Первоначальный[[#This Row],[Просроченный платеж по ОД]]+Первоначальный[[#This Row],[Просроченный платеж по процентам]]</f>
        <v>72411.700655737688</v>
      </c>
      <c r="S840" s="120">
        <f ca="1">IF(Первоначальный[[#This Row],[Просроченный платеж]]&lt;1,0,S839+1)</f>
        <v>736</v>
      </c>
      <c r="T840" s="100" cm="1">
        <f t="array" aca="1" ref="T840" ca="1">IF(Первоначальный[[#This Row],[Итого остаток на начало периода]]&lt;1,0,
IF(
AND(TYPE(VLOOKUP(1,$Z$12:Z840,1,0))=16,Первоначальный[[#This Row],[Досрочное погашение (да/"")]]=""),0,
_xlfn.IFS(AND(S839=0,Первоначальный[[#This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платеж]]&lt;&gt;0),MIN(LOOKUP(,-1/($Z$12:Z840=1),$C$12:C840)+LOOKUP(,-1/($Z$12:Z840=1),$H$12:H840),Первоначальный[[#This Row],[Полученный платеж]]+Y839),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платеж]]+Y839,SUM(Первоначальный[[#This Row],[Остаток процентов на начало периода]],Первоначальный[[#This Row],[Проценты за период]])),
AND(S839=0,Первоначальный[[#This Row],[Дата платежа из графика]]=""),0,
AND(S839=0,Первоначальный[[#This Row],[Дата платежа из графика]]=1,MAX((0&lt;&gt;S$12:S839)*ROW(S$12:S839),ROW($S$12))&gt;=MAX((1=Z$12:Z839)*ROW(Z$12:Z839),ROW($T$12)),TYPE(VLOOKUP("Да",(INDIRECT("AA"&amp;(MAX((1=Z$12:Z839)*ROW(Z$12:Z839),ROW($T$12))&amp;":AA"&amp;(ROW()-1)))),1,0))=16),MIN(LOOKUP(,-1/($Z$12:Z840=1),$C$12:C840)+LOOKUP(,-1/($Z$12:Z840=1),$H$12:H840),Первоначальный[[#This Row],[Полученный платеж]]+Y839),
AND(S839=0,TYPE(VLOOKUP("Да",(INDIRECT("AA"&amp;(MAX((1=Z$12:Z839)*ROW(Z$12:Z839),ROW($T$12))&amp;":AA"&amp;(ROW()-1)))),1,0))&lt;&gt;16),MIN(LOOKUP(,-1/($Z$12:Z840=1),$C$12:C840)+LOOKUP(,-1/($Z$12:Z840=1),$H$12:H840)-IF(AA839="Да",0,SUM(INDIRECT("T"&amp;(MAX(("Да"=AA$12:AA839)*ROW(AA$12:AA839)+1,ROW($T$12))&amp;":T"&amp;(ROW()-1))))),Первоначальный[[#This Row],[Полученный платеж]]+Y839),
AND(S839=0,MAX((0&lt;&gt;N$12:N839)*ROW(N$12:N839),ROW($S$12))&gt;=MAX((1=Z$12:Z839)*ROW(Z$12:Z839),ROW($T$12))),MIN(LOOKUP(,-1/($Z$12:Z840=1),$C$12:C840)+LOOKUP(,-1/($Z$12:Z840=1),$H$12:H840)-IF(N839&lt;&gt;0,0,SUM(INDIRECT("T"&amp;(MAX((0&lt;&gt;N$12:N839)*ROW(N$12:N839)+1,ROW($T$12))&amp;":T"&amp;(ROW()-1))))),Первоначальный[[#This Row],[Полученный платеж]]+Y839),
AND(S839=0,Первоначальный[[#This Row],[Дата платежа из графика]]=1),MIN(LOOKUP(,-1/($Z$12:Z840=1),$C$12:C840)+LOOKUP(,-1/($Z$12:Z840=1),$H$12:H840)-IF(Z839=1,0,SUM(INDIRECT("T"&amp;(MAX((1=Z$12:Z839)*ROW(Z$12:Z839)+1,ROW($T$12))&amp;":T"&amp;(ROW()-1))))),Первоначальный[[#This Row],[Полученный платеж]]+Y839),
AND(Z839&gt;0,Первоначальный[[#This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платеж]]+Y839),
AND(S839&gt;0,MAX((0&lt;&gt;S$12:S839)*ROW(S$12:S839),ROW($S$12))&gt;=MAX((1=Z$12:Z839)*ROW(Z$12:Z839),ROW($T$12)),TYPE(VLOOKUP("Да",(INDIRECT("AA"&amp;(MAX((1=Z$12:Z839)*ROW(Z$12:Z839),ROW($T$12))&amp;":AA"&amp;(ROW()-1)))),1,0))=16),MIN(LOOKUP(,-1/($Z$12:Z840=1),$C$12:C840)+LOOKUP(,-1/($Z$12:Z840=1),$H$12:H840)-SUM(INDIRECT("T"&amp;(MAX((1=Z$12:Z839)*ROW(Z$12:Z839),ROW($T$12))&amp;":T"&amp;(ROW()-1)))),Первоначальный[[#This Row],[Полученный платеж]]+Y839),
S839&gt;0,MIN(LOOKUP(,-1/($Z$12:Z840=1),$C$12:C840)+LOOKUP(,-1/($Z$12:Z840=1),$H$12:H840)-IF(Z839=1,0,SUM(INDIRECT("T"&amp;(MAX((1=Z$12:Z839)*ROW(Z$12:Z839)+1,ROW($T$12))&amp;":T"&amp;(ROW()-1))))),Первоначальный[[#This Row],[Полученный платеж]]+Y839)
)
)
)</f>
        <v>0</v>
      </c>
      <c r="U84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платеж]]+Y839-Первоначальный[[#This Row],[Полученный платёж по процентам]])</f>
        <v>0</v>
      </c>
      <c r="V840" s="55">
        <f t="shared" ca="1" si="145"/>
        <v>0</v>
      </c>
      <c r="W840" s="55" cm="1">
        <f t="array" aca="1" ref="W840" ca="1">IF(Первоначальный[[#This Row],[Итого остаток на начало периода]]&lt;1,0,
_xlfn.IFS(
AND(TYPE(VLOOKUP(1,$Z$12:Z840,1,0))=16,Первоначальный[[#This Row],[Досрочное погашение (да/"")]]=""),0,
AND(S839=0,Первоначальный[[#This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платеж]]+Y839-SUM(Первоначальный[[#This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комиссиям]]),VLOOKUP(LOOKUP(,-1/($Z$12:Z840=1),$A$12:A840),График[[Срок конец]:[Возврат основной суммы долга]],3,0)),
AND(S839=0,Первоначальный[[#This Row],[Дата платежа из графика]]="",Первоначальный[[#This Row],[Досрочное погашение (да/"")]]&lt;&gt;"Да"),0,
AND(S839=0,Первоначальный[[#This Row],[Досрочное погашение (да/"")]]=""),MIN(Первоначальный[[#This Row],[Полученный платеж]]+Y839-SUM(Первоначальный[[#This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комиссиям]]),VLOOKUP(LOOKUP(,-1/($Z$12:Z840=1),$A$12:A840),График[[Срок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платеж]]+Y839-SUM(Первоначальный[[#This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S839&gt;0,MIN(Первоначальный[[#This Row],[Полученный платеж]]+Y839-SUM(Первоначальный[[#This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комиссиям]]),SUM(INDIRECT("M"&amp;(MAX((1=S$12:S839)*ROW(S$12:S839),ROW($W$12))&amp;":M"&amp;(ROW()))))-SUM(INDIRECT("W"&amp;(MAX((1=S$12:S839)*ROW(S$12:S839),ROW($W$12))&amp;":W"&amp;(ROW()-1)))))
)
)</f>
        <v>0</v>
      </c>
      <c r="X840" s="55">
        <f t="shared" ca="1" si="146"/>
        <v>0</v>
      </c>
      <c r="Y840" s="101">
        <f t="shared" ca="1" si="153"/>
        <v>0</v>
      </c>
      <c r="Z840" s="133" t="str">
        <f>IF(TYPE((VLOOKUP(Первоначальный[[#This Row],[Дата платежа]],График[Срок конец],1,0)))=16,"",1)</f>
        <v/>
      </c>
      <c r="AA840" s="57"/>
      <c r="AB840" s="134"/>
      <c r="AC84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4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60047.549999999908</v>
      </c>
      <c r="AE84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2429.91</v>
      </c>
      <c r="AF84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4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134647.07341311482</v>
      </c>
      <c r="AH840" s="55"/>
      <c r="AI840" s="55"/>
      <c r="AJ840" s="55"/>
      <c r="AK840" s="101">
        <f t="shared" ca="1" si="154"/>
        <v>346757.87341311469</v>
      </c>
      <c r="AL840" s="129">
        <f t="array" ref="AL840">MAX((УслРестрактов[Характеристика]="Дата реструктуризации")*(УслРестрактов[Значение]=Первоначальный!$A840),0)</f>
        <v>0</v>
      </c>
    </row>
    <row r="841" spans="1:38" x14ac:dyDescent="0.25">
      <c r="A841" s="97">
        <f t="shared" si="147"/>
        <v>44972</v>
      </c>
      <c r="B841" s="100">
        <f t="shared" ca="1" si="148"/>
        <v>149633.34</v>
      </c>
      <c r="C841" s="55">
        <f t="shared" ca="1" si="156"/>
        <v>60047.549999999908</v>
      </c>
      <c r="D841" s="55">
        <f t="shared" ca="1" si="156"/>
        <v>2429.91</v>
      </c>
      <c r="E841" s="55">
        <f t="shared" ca="1" si="149"/>
        <v>0</v>
      </c>
      <c r="F841" s="55">
        <f t="shared" ca="1" si="150"/>
        <v>134647.07341311482</v>
      </c>
      <c r="G841" s="101">
        <f t="shared" ca="1" si="151"/>
        <v>346757.87341311469</v>
      </c>
      <c r="H841" s="100">
        <f ca="1">ROUND($B841*VLOOKUP($A841,$A$1:$B$10,2,1)/(365+IF(MOD(YEAR($A841),4),0,1)*($A841-$A840)),2)-Первоначальный[[#This Row],[Проценты на просроченный платеж по ОД за период]]</f>
        <v>74.63</v>
      </c>
      <c r="I841" s="55">
        <f t="shared" ca="1" si="152"/>
        <v>6.95</v>
      </c>
      <c r="J841" s="55">
        <v>0</v>
      </c>
      <c r="K841" s="55">
        <f t="shared" ca="1" si="155"/>
        <v>362.05850327868842</v>
      </c>
      <c r="L841" s="55">
        <v>0</v>
      </c>
      <c r="M841" s="113">
        <f>SUMIFS(График[Возврат основной суммы долга],График[Дата с учетом нерабочих дней],$A841)</f>
        <v>0</v>
      </c>
      <c r="N841" s="56">
        <f>SUMIFS(График[Возврат начисленных %],График[Дата с учетом нерабочих дней],$A841)</f>
        <v>0</v>
      </c>
      <c r="O841" s="101">
        <v>0</v>
      </c>
      <c r="P841" s="100" cm="1">
        <f t="array" aca="1" ref="P841" ca="1">MAX(IF(AA840="Да",0,SUM(INDIRECT("M"&amp;(MAX(("Да"=AA$12:AA840)*ROW(AA$12:AA840)+1,ROW($P$12))&amp;":M"&amp;(ROW()))))-SUM(INDIRECT("W"&amp;(MAX(("Да"=AA$12:AA840)*ROW(AA$12:AA840)+1,ROW($P$12))&amp;":W"&amp;(ROW()))))),0)</f>
        <v>12739.58</v>
      </c>
      <c r="Q841" s="99">
        <f ca="1">MAX(SUM($N$13:N841)-SUM($T$13:T841),0)</f>
        <v>59672.120655737686</v>
      </c>
      <c r="R841" s="99">
        <f ca="1">Первоначальный[[#This Row],[Просроченный платеж по ОД]]+Первоначальный[[#This Row],[Просроченный платеж по процентам]]</f>
        <v>72411.700655737688</v>
      </c>
      <c r="S841" s="120">
        <f ca="1">IF(Первоначальный[[#This Row],[Просроченный платеж]]&lt;1,0,S840+1)</f>
        <v>737</v>
      </c>
      <c r="T841" s="100" cm="1">
        <f t="array" aca="1" ref="T841" ca="1">IF(Первоначальный[[#This Row],[Итого остаток на начало периода]]&lt;1,0,
IF(
AND(TYPE(VLOOKUP(1,$Z$12:Z841,1,0))=16,Первоначальный[[#This Row],[Досрочное погашение (да/"")]]=""),0,
_xlfn.IFS(AND(S840=0,Первоначальный[[#This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платеж]]&lt;&gt;0),MIN(LOOKUP(,-1/($Z$12:Z841=1),$C$12:C841)+LOOKUP(,-1/($Z$12:Z841=1),$H$12:H841),Первоначальный[[#This Row],[Полученный платеж]]+Y840),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платеж]]+Y840,SUM(Первоначальный[[#This Row],[Остаток процентов на начало периода]],Первоначальный[[#This Row],[Проценты за период]])),
AND(S840=0,Первоначальный[[#This Row],[Дата платежа из графика]]=""),0,
AND(S840=0,Первоначальный[[#This Row],[Дата платежа из графика]]=1,MAX((0&lt;&gt;S$12:S840)*ROW(S$12:S840),ROW($S$12))&gt;=MAX((1=Z$12:Z840)*ROW(Z$12:Z840),ROW($T$12)),TYPE(VLOOKUP("Да",(INDIRECT("AA"&amp;(MAX((1=Z$12:Z840)*ROW(Z$12:Z840),ROW($T$12))&amp;":AA"&amp;(ROW()-1)))),1,0))=16),MIN(LOOKUP(,-1/($Z$12:Z841=1),$C$12:C841)+LOOKUP(,-1/($Z$12:Z841=1),$H$12:H841),Первоначальный[[#This Row],[Полученный платеж]]+Y840),
AND(S840=0,TYPE(VLOOKUP("Да",(INDIRECT("AA"&amp;(MAX((1=Z$12:Z840)*ROW(Z$12:Z840),ROW($T$12))&amp;":AA"&amp;(ROW()-1)))),1,0))&lt;&gt;16),MIN(LOOKUP(,-1/($Z$12:Z841=1),$C$12:C841)+LOOKUP(,-1/($Z$12:Z841=1),$H$12:H841)-IF(AA840="Да",0,SUM(INDIRECT("T"&amp;(MAX(("Да"=AA$12:AA840)*ROW(AA$12:AA840)+1,ROW($T$12))&amp;":T"&amp;(ROW()-1))))),Первоначальный[[#This Row],[Полученный платеж]]+Y840),
AND(S840=0,MAX((0&lt;&gt;N$12:N840)*ROW(N$12:N840),ROW($S$12))&gt;=MAX((1=Z$12:Z840)*ROW(Z$12:Z840),ROW($T$12))),MIN(LOOKUP(,-1/($Z$12:Z841=1),$C$12:C841)+LOOKUP(,-1/($Z$12:Z841=1),$H$12:H841)-IF(N840&lt;&gt;0,0,SUM(INDIRECT("T"&amp;(MAX((0&lt;&gt;N$12:N840)*ROW(N$12:N840)+1,ROW($T$12))&amp;":T"&amp;(ROW()-1))))),Первоначальный[[#This Row],[Полученный платеж]]+Y840),
AND(S840=0,Первоначальный[[#This Row],[Дата платежа из графика]]=1),MIN(LOOKUP(,-1/($Z$12:Z841=1),$C$12:C841)+LOOKUP(,-1/($Z$12:Z841=1),$H$12:H841)-IF(Z840=1,0,SUM(INDIRECT("T"&amp;(MAX((1=Z$12:Z840)*ROW(Z$12:Z840)+1,ROW($T$12))&amp;":T"&amp;(ROW()-1))))),Первоначальный[[#This Row],[Полученный платеж]]+Y840),
AND(Z840&gt;0,Первоначальный[[#This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платеж]]+Y840),
AND(S840&gt;0,MAX((0&lt;&gt;S$12:S840)*ROW(S$12:S840),ROW($S$12))&gt;=MAX((1=Z$12:Z840)*ROW(Z$12:Z840),ROW($T$12)),TYPE(VLOOKUP("Да",(INDIRECT("AA"&amp;(MAX((1=Z$12:Z840)*ROW(Z$12:Z840),ROW($T$12))&amp;":AA"&amp;(ROW()-1)))),1,0))=16),MIN(LOOKUP(,-1/($Z$12:Z841=1),$C$12:C841)+LOOKUP(,-1/($Z$12:Z841=1),$H$12:H841)-SUM(INDIRECT("T"&amp;(MAX((1=Z$12:Z840)*ROW(Z$12:Z840),ROW($T$12))&amp;":T"&amp;(ROW()-1)))),Первоначальный[[#This Row],[Полученный платеж]]+Y840),
S840&gt;0,MIN(LOOKUP(,-1/($Z$12:Z841=1),$C$12:C841)+LOOKUP(,-1/($Z$12:Z841=1),$H$12:H841)-IF(Z840=1,0,SUM(INDIRECT("T"&amp;(MAX((1=Z$12:Z840)*ROW(Z$12:Z840)+1,ROW($T$12))&amp;":T"&amp;(ROW()-1))))),Первоначальный[[#This Row],[Полученный платеж]]+Y840)
)
)
)</f>
        <v>0</v>
      </c>
      <c r="U84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платеж]]+Y840-Первоначальный[[#This Row],[Полученный платёж по процентам]])</f>
        <v>0</v>
      </c>
      <c r="V841" s="55">
        <f t="shared" ca="1" si="145"/>
        <v>0</v>
      </c>
      <c r="W841" s="55" cm="1">
        <f t="array" aca="1" ref="W841" ca="1">IF(Первоначальный[[#This Row],[Итого остаток на начало периода]]&lt;1,0,
_xlfn.IFS(
AND(TYPE(VLOOKUP(1,$Z$12:Z841,1,0))=16,Первоначальный[[#This Row],[Досрочное погашение (да/"")]]=""),0,
AND(S840=0,Первоначальный[[#This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платеж]]+Y840-SUM(Первоначальный[[#This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комиссиям]]),VLOOKUP(LOOKUP(,-1/($Z$12:Z841=1),$A$12:A841),График[[Срок конец]:[Возврат основной суммы долга]],3,0)),
AND(S840=0,Первоначальный[[#This Row],[Дата платежа из графика]]="",Первоначальный[[#This Row],[Досрочное погашение (да/"")]]&lt;&gt;"Да"),0,
AND(S840=0,Первоначальный[[#This Row],[Досрочное погашение (да/"")]]=""),MIN(Первоначальный[[#This Row],[Полученный платеж]]+Y840-SUM(Первоначальный[[#This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комиссиям]]),VLOOKUP(LOOKUP(,-1/($Z$12:Z841=1),$A$12:A841),График[[Срок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платеж]]+Y840-SUM(Первоначальный[[#This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S840&gt;0,MIN(Первоначальный[[#This Row],[Полученный платеж]]+Y840-SUM(Первоначальный[[#This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комиссиям]]),SUM(INDIRECT("M"&amp;(MAX((1=S$12:S840)*ROW(S$12:S840),ROW($W$12))&amp;":M"&amp;(ROW()))))-SUM(INDIRECT("W"&amp;(MAX((1=S$12:S840)*ROW(S$12:S840),ROW($W$12))&amp;":W"&amp;(ROW()-1)))))
)
)</f>
        <v>0</v>
      </c>
      <c r="X841" s="55">
        <f t="shared" ca="1" si="146"/>
        <v>0</v>
      </c>
      <c r="Y841" s="101">
        <f t="shared" ca="1" si="153"/>
        <v>0</v>
      </c>
      <c r="Z841" s="133" t="str">
        <f>IF(TYPE((VLOOKUP(Первоначальный[[#This Row],[Дата платежа]],График[Срок конец],1,0)))=16,"",1)</f>
        <v/>
      </c>
      <c r="AA841" s="57"/>
      <c r="AB841" s="134"/>
      <c r="AC84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4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60122.179999999906</v>
      </c>
      <c r="AE84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2436.8599999999997</v>
      </c>
      <c r="AF84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4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135009.1319163935</v>
      </c>
      <c r="AH841" s="55"/>
      <c r="AI841" s="55"/>
      <c r="AJ841" s="55"/>
      <c r="AK841" s="101">
        <f t="shared" ca="1" si="154"/>
        <v>347201.51191639341</v>
      </c>
      <c r="AL841" s="129">
        <f t="array" ref="AL841">MAX((УслРестрактов[Характеристика]="Дата реструктуризации")*(УслРестрактов[Значение]=Первоначальный!$A841),0)</f>
        <v>0</v>
      </c>
    </row>
    <row r="842" spans="1:38" x14ac:dyDescent="0.25">
      <c r="A842" s="97">
        <f t="shared" si="147"/>
        <v>44973</v>
      </c>
      <c r="B842" s="100">
        <f t="shared" ca="1" si="148"/>
        <v>149633.34</v>
      </c>
      <c r="C842" s="55">
        <f t="shared" ca="1" si="156"/>
        <v>60122.179999999906</v>
      </c>
      <c r="D842" s="55">
        <f t="shared" ca="1" si="156"/>
        <v>2436.8599999999997</v>
      </c>
      <c r="E842" s="55">
        <f t="shared" ca="1" si="149"/>
        <v>0</v>
      </c>
      <c r="F842" s="55">
        <f t="shared" ca="1" si="150"/>
        <v>135009.1319163935</v>
      </c>
      <c r="G842" s="101">
        <f t="shared" ca="1" si="151"/>
        <v>347201.51191639341</v>
      </c>
      <c r="H842" s="100">
        <f ca="1">ROUND($B842*VLOOKUP($A842,$A$1:$B$10,2,1)/(365+IF(MOD(YEAR($A842),4),0,1)*($A842-$A841)),2)-Первоначальный[[#This Row],[Проценты на просроченный платеж по ОД за период]]</f>
        <v>74.63</v>
      </c>
      <c r="I842" s="55">
        <f t="shared" ca="1" si="152"/>
        <v>6.95</v>
      </c>
      <c r="J842" s="55">
        <v>0</v>
      </c>
      <c r="K842" s="55">
        <f t="shared" ca="1" si="155"/>
        <v>362.05850327868842</v>
      </c>
      <c r="L842" s="55">
        <v>0</v>
      </c>
      <c r="M842" s="113">
        <f>SUMIFS(График[Возврат основной суммы долга],График[Дата с учетом нерабочих дней],$A842)</f>
        <v>0</v>
      </c>
      <c r="N842" s="56">
        <f>SUMIFS(График[Возврат начисленных %],График[Дата с учетом нерабочих дней],$A842)</f>
        <v>0</v>
      </c>
      <c r="O842" s="101">
        <v>0</v>
      </c>
      <c r="P842" s="100" cm="1">
        <f t="array" aca="1" ref="P842" ca="1">MAX(IF(AA841="Да",0,SUM(INDIRECT("M"&amp;(MAX(("Да"=AA$12:AA841)*ROW(AA$12:AA841)+1,ROW($P$12))&amp;":M"&amp;(ROW()))))-SUM(INDIRECT("W"&amp;(MAX(("Да"=AA$12:AA841)*ROW(AA$12:AA841)+1,ROW($P$12))&amp;":W"&amp;(ROW()))))),0)</f>
        <v>12739.58</v>
      </c>
      <c r="Q842" s="99">
        <f ca="1">MAX(SUM($N$13:N842)-SUM($T$13:T842),0)</f>
        <v>59672.120655737686</v>
      </c>
      <c r="R842" s="99">
        <f ca="1">Первоначальный[[#This Row],[Просроченный платеж по ОД]]+Первоначальный[[#This Row],[Просроченный платеж по процентам]]</f>
        <v>72411.700655737688</v>
      </c>
      <c r="S842" s="120">
        <f ca="1">IF(Первоначальный[[#This Row],[Просроченный платеж]]&lt;1,0,S841+1)</f>
        <v>738</v>
      </c>
      <c r="T842" s="100" cm="1">
        <f t="array" aca="1" ref="T842" ca="1">IF(Первоначальный[[#This Row],[Итого остаток на начало периода]]&lt;1,0,
IF(
AND(TYPE(VLOOKUP(1,$Z$12:Z842,1,0))=16,Первоначальный[[#This Row],[Досрочное погашение (да/"")]]=""),0,
_xlfn.IFS(AND(S841=0,Первоначальный[[#This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платеж]]&lt;&gt;0),MIN(LOOKUP(,-1/($Z$12:Z842=1),$C$12:C842)+LOOKUP(,-1/($Z$12:Z842=1),$H$12:H842),Первоначальный[[#This Row],[Полученный платеж]]+Y841),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платеж]]+Y841,SUM(Первоначальный[[#This Row],[Остаток процентов на начало периода]],Первоначальный[[#This Row],[Проценты за период]])),
AND(S841=0,Первоначальный[[#This Row],[Дата платежа из графика]]=""),0,
AND(S841=0,Первоначальный[[#This Row],[Дата платежа из графика]]=1,MAX((0&lt;&gt;S$12:S841)*ROW(S$12:S841),ROW($S$12))&gt;=MAX((1=Z$12:Z841)*ROW(Z$12:Z841),ROW($T$12)),TYPE(VLOOKUP("Да",(INDIRECT("AA"&amp;(MAX((1=Z$12:Z841)*ROW(Z$12:Z841),ROW($T$12))&amp;":AA"&amp;(ROW()-1)))),1,0))=16),MIN(LOOKUP(,-1/($Z$12:Z842=1),$C$12:C842)+LOOKUP(,-1/($Z$12:Z842=1),$H$12:H842),Первоначальный[[#This Row],[Полученный платеж]]+Y841),
AND(S841=0,TYPE(VLOOKUP("Да",(INDIRECT("AA"&amp;(MAX((1=Z$12:Z841)*ROW(Z$12:Z841),ROW($T$12))&amp;":AA"&amp;(ROW()-1)))),1,0))&lt;&gt;16),MIN(LOOKUP(,-1/($Z$12:Z842=1),$C$12:C842)+LOOKUP(,-1/($Z$12:Z842=1),$H$12:H842)-IF(AA841="Да",0,SUM(INDIRECT("T"&amp;(MAX(("Да"=AA$12:AA841)*ROW(AA$12:AA841)+1,ROW($T$12))&amp;":T"&amp;(ROW()-1))))),Первоначальный[[#This Row],[Полученный платеж]]+Y841),
AND(S841=0,MAX((0&lt;&gt;N$12:N841)*ROW(N$12:N841),ROW($S$12))&gt;=MAX((1=Z$12:Z841)*ROW(Z$12:Z841),ROW($T$12))),MIN(LOOKUP(,-1/($Z$12:Z842=1),$C$12:C842)+LOOKUP(,-1/($Z$12:Z842=1),$H$12:H842)-IF(N841&lt;&gt;0,0,SUM(INDIRECT("T"&amp;(MAX((0&lt;&gt;N$12:N841)*ROW(N$12:N841)+1,ROW($T$12))&amp;":T"&amp;(ROW()-1))))),Первоначальный[[#This Row],[Полученный платеж]]+Y841),
AND(S841=0,Первоначальный[[#This Row],[Дата платежа из графика]]=1),MIN(LOOKUP(,-1/($Z$12:Z842=1),$C$12:C842)+LOOKUP(,-1/($Z$12:Z842=1),$H$12:H842)-IF(Z841=1,0,SUM(INDIRECT("T"&amp;(MAX((1=Z$12:Z841)*ROW(Z$12:Z841)+1,ROW($T$12))&amp;":T"&amp;(ROW()-1))))),Первоначальный[[#This Row],[Полученный платеж]]+Y841),
AND(Z841&gt;0,Первоначальный[[#This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платеж]]+Y841),
AND(S841&gt;0,MAX((0&lt;&gt;S$12:S841)*ROW(S$12:S841),ROW($S$12))&gt;=MAX((1=Z$12:Z841)*ROW(Z$12:Z841),ROW($T$12)),TYPE(VLOOKUP("Да",(INDIRECT("AA"&amp;(MAX((1=Z$12:Z841)*ROW(Z$12:Z841),ROW($T$12))&amp;":AA"&amp;(ROW()-1)))),1,0))=16),MIN(LOOKUP(,-1/($Z$12:Z842=1),$C$12:C842)+LOOKUP(,-1/($Z$12:Z842=1),$H$12:H842)-SUM(INDIRECT("T"&amp;(MAX((1=Z$12:Z841)*ROW(Z$12:Z841),ROW($T$12))&amp;":T"&amp;(ROW()-1)))),Первоначальный[[#This Row],[Полученный платеж]]+Y841),
S841&gt;0,MIN(LOOKUP(,-1/($Z$12:Z842=1),$C$12:C842)+LOOKUP(,-1/($Z$12:Z842=1),$H$12:H842)-IF(Z841=1,0,SUM(INDIRECT("T"&amp;(MAX((1=Z$12:Z841)*ROW(Z$12:Z841)+1,ROW($T$12))&amp;":T"&amp;(ROW()-1))))),Первоначальный[[#This Row],[Полученный платеж]]+Y841)
)
)
)</f>
        <v>0</v>
      </c>
      <c r="U84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платеж]]+Y841-Первоначальный[[#This Row],[Полученный платёж по процентам]])</f>
        <v>0</v>
      </c>
      <c r="V842" s="55">
        <f t="shared" ca="1" si="145"/>
        <v>0</v>
      </c>
      <c r="W842" s="55" cm="1">
        <f t="array" aca="1" ref="W842" ca="1">IF(Первоначальный[[#This Row],[Итого остаток на начало периода]]&lt;1,0,
_xlfn.IFS(
AND(TYPE(VLOOKUP(1,$Z$12:Z842,1,0))=16,Первоначальный[[#This Row],[Досрочное погашение (да/"")]]=""),0,
AND(S841=0,Первоначальный[[#This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платеж]]+Y841-SUM(Первоначальный[[#This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комиссиям]]),VLOOKUP(LOOKUP(,-1/($Z$12:Z842=1),$A$12:A842),График[[Срок конец]:[Возврат основной суммы долга]],3,0)),
AND(S841=0,Первоначальный[[#This Row],[Дата платежа из графика]]="",Первоначальный[[#This Row],[Досрочное погашение (да/"")]]&lt;&gt;"Да"),0,
AND(S841=0,Первоначальный[[#This Row],[Досрочное погашение (да/"")]]=""),MIN(Первоначальный[[#This Row],[Полученный платеж]]+Y841-SUM(Первоначальный[[#This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комиссиям]]),VLOOKUP(LOOKUP(,-1/($Z$12:Z842=1),$A$12:A842),График[[Срок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платеж]]+Y841-SUM(Первоначальный[[#This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S841&gt;0,MIN(Первоначальный[[#This Row],[Полученный платеж]]+Y841-SUM(Первоначальный[[#This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комиссиям]]),SUM(INDIRECT("M"&amp;(MAX((1=S$12:S841)*ROW(S$12:S841),ROW($W$12))&amp;":M"&amp;(ROW()))))-SUM(INDIRECT("W"&amp;(MAX((1=S$12:S841)*ROW(S$12:S841),ROW($W$12))&amp;":W"&amp;(ROW()-1)))))
)
)</f>
        <v>0</v>
      </c>
      <c r="X842" s="55">
        <f t="shared" ca="1" si="146"/>
        <v>0</v>
      </c>
      <c r="Y842" s="101">
        <f t="shared" ca="1" si="153"/>
        <v>0</v>
      </c>
      <c r="Z842" s="133" t="str">
        <f>IF(TYPE((VLOOKUP(Первоначальный[[#This Row],[Дата платежа]],График[Срок конец],1,0)))=16,"",1)</f>
        <v/>
      </c>
      <c r="AA842" s="57"/>
      <c r="AB842" s="134"/>
      <c r="AC84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4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60196.809999999903</v>
      </c>
      <c r="AE84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2443.8099999999995</v>
      </c>
      <c r="AF84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4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135371.19041967217</v>
      </c>
      <c r="AH842" s="55"/>
      <c r="AI842" s="55"/>
      <c r="AJ842" s="55"/>
      <c r="AK842" s="101">
        <f t="shared" ca="1" si="154"/>
        <v>347645.15041967208</v>
      </c>
      <c r="AL842" s="129">
        <f t="array" ref="AL842">MAX((УслРестрактов[Характеристика]="Дата реструктуризации")*(УслРестрактов[Значение]=Первоначальный!$A842),0)</f>
        <v>0</v>
      </c>
    </row>
    <row r="843" spans="1:38" x14ac:dyDescent="0.25">
      <c r="A843" s="97">
        <f t="shared" si="147"/>
        <v>44974</v>
      </c>
      <c r="B843" s="100">
        <f t="shared" ca="1" si="148"/>
        <v>149633.34</v>
      </c>
      <c r="C843" s="55">
        <f t="shared" ca="1" si="156"/>
        <v>60196.809999999903</v>
      </c>
      <c r="D843" s="55">
        <f t="shared" ca="1" si="156"/>
        <v>2443.8099999999995</v>
      </c>
      <c r="E843" s="55">
        <f t="shared" ca="1" si="149"/>
        <v>0</v>
      </c>
      <c r="F843" s="55">
        <f t="shared" ca="1" si="150"/>
        <v>135371.19041967217</v>
      </c>
      <c r="G843" s="101">
        <f t="shared" ca="1" si="151"/>
        <v>347645.15041967208</v>
      </c>
      <c r="H843" s="100">
        <f ca="1">ROUND($B843*VLOOKUP($A843,$A$1:$B$10,2,1)/(365+IF(MOD(YEAR($A843),4),0,1)*($A843-$A842)),2)-Первоначальный[[#This Row],[Проценты на просроченный платеж по ОД за период]]</f>
        <v>74.63</v>
      </c>
      <c r="I843" s="55">
        <f t="shared" ca="1" si="152"/>
        <v>6.95</v>
      </c>
      <c r="J843" s="55">
        <v>0</v>
      </c>
      <c r="K843" s="55">
        <f t="shared" ca="1" si="155"/>
        <v>362.05850327868842</v>
      </c>
      <c r="L843" s="55">
        <v>0</v>
      </c>
      <c r="M843" s="113">
        <f>SUMIFS(График[Возврат основной суммы долга],График[Дата с учетом нерабочих дней],$A843)</f>
        <v>0</v>
      </c>
      <c r="N843" s="56">
        <f>SUMIFS(График[Возврат начисленных %],График[Дата с учетом нерабочих дней],$A843)</f>
        <v>0</v>
      </c>
      <c r="O843" s="101">
        <v>0</v>
      </c>
      <c r="P843" s="100" cm="1">
        <f t="array" aca="1" ref="P843" ca="1">MAX(IF(AA842="Да",0,SUM(INDIRECT("M"&amp;(MAX(("Да"=AA$12:AA842)*ROW(AA$12:AA842)+1,ROW($P$12))&amp;":M"&amp;(ROW()))))-SUM(INDIRECT("W"&amp;(MAX(("Да"=AA$12:AA842)*ROW(AA$12:AA842)+1,ROW($P$12))&amp;":W"&amp;(ROW()))))),0)</f>
        <v>12739.58</v>
      </c>
      <c r="Q843" s="99">
        <f ca="1">MAX(SUM($N$13:N843)-SUM($T$13:T843),0)</f>
        <v>59672.120655737686</v>
      </c>
      <c r="R843" s="99">
        <f ca="1">Первоначальный[[#This Row],[Просроченный платеж по ОД]]+Первоначальный[[#This Row],[Просроченный платеж по процентам]]</f>
        <v>72411.700655737688</v>
      </c>
      <c r="S843" s="120">
        <f ca="1">IF(Первоначальный[[#This Row],[Просроченный платеж]]&lt;1,0,S842+1)</f>
        <v>739</v>
      </c>
      <c r="T843" s="100" cm="1">
        <f t="array" aca="1" ref="T843" ca="1">IF(Первоначальный[[#This Row],[Итого остаток на начало периода]]&lt;1,0,
IF(
AND(TYPE(VLOOKUP(1,$Z$12:Z843,1,0))=16,Первоначальный[[#This Row],[Досрочное погашение (да/"")]]=""),0,
_xlfn.IFS(AND(S842=0,Первоначальный[[#This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платеж]]&lt;&gt;0),MIN(LOOKUP(,-1/($Z$12:Z843=1),$C$12:C843)+LOOKUP(,-1/($Z$12:Z843=1),$H$12:H843),Первоначальный[[#This Row],[Полученный платеж]]+Y842),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платеж]]+Y842,SUM(Первоначальный[[#This Row],[Остаток процентов на начало периода]],Первоначальный[[#This Row],[Проценты за период]])),
AND(S842=0,Первоначальный[[#This Row],[Дата платежа из графика]]=""),0,
AND(S842=0,Первоначальный[[#This Row],[Дата платежа из графика]]=1,MAX((0&lt;&gt;S$12:S842)*ROW(S$12:S842),ROW($S$12))&gt;=MAX((1=Z$12:Z842)*ROW(Z$12:Z842),ROW($T$12)),TYPE(VLOOKUP("Да",(INDIRECT("AA"&amp;(MAX((1=Z$12:Z842)*ROW(Z$12:Z842),ROW($T$12))&amp;":AA"&amp;(ROW()-1)))),1,0))=16),MIN(LOOKUP(,-1/($Z$12:Z843=1),$C$12:C843)+LOOKUP(,-1/($Z$12:Z843=1),$H$12:H843),Первоначальный[[#This Row],[Полученный платеж]]+Y842),
AND(S842=0,TYPE(VLOOKUP("Да",(INDIRECT("AA"&amp;(MAX((1=Z$12:Z842)*ROW(Z$12:Z842),ROW($T$12))&amp;":AA"&amp;(ROW()-1)))),1,0))&lt;&gt;16),MIN(LOOKUP(,-1/($Z$12:Z843=1),$C$12:C843)+LOOKUP(,-1/($Z$12:Z843=1),$H$12:H843)-IF(AA842="Да",0,SUM(INDIRECT("T"&amp;(MAX(("Да"=AA$12:AA842)*ROW(AA$12:AA842)+1,ROW($T$12))&amp;":T"&amp;(ROW()-1))))),Первоначальный[[#This Row],[Полученный платеж]]+Y842),
AND(S842=0,MAX((0&lt;&gt;N$12:N842)*ROW(N$12:N842),ROW($S$12))&gt;=MAX((1=Z$12:Z842)*ROW(Z$12:Z842),ROW($T$12))),MIN(LOOKUP(,-1/($Z$12:Z843=1),$C$12:C843)+LOOKUP(,-1/($Z$12:Z843=1),$H$12:H843)-IF(N842&lt;&gt;0,0,SUM(INDIRECT("T"&amp;(MAX((0&lt;&gt;N$12:N842)*ROW(N$12:N842)+1,ROW($T$12))&amp;":T"&amp;(ROW()-1))))),Первоначальный[[#This Row],[Полученный платеж]]+Y842),
AND(S842=0,Первоначальный[[#This Row],[Дата платежа из графика]]=1),MIN(LOOKUP(,-1/($Z$12:Z843=1),$C$12:C843)+LOOKUP(,-1/($Z$12:Z843=1),$H$12:H843)-IF(Z842=1,0,SUM(INDIRECT("T"&amp;(MAX((1=Z$12:Z842)*ROW(Z$12:Z842)+1,ROW($T$12))&amp;":T"&amp;(ROW()-1))))),Первоначальный[[#This Row],[Полученный платеж]]+Y842),
AND(Z842&gt;0,Первоначальный[[#This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платеж]]+Y842),
AND(S842&gt;0,MAX((0&lt;&gt;S$12:S842)*ROW(S$12:S842),ROW($S$12))&gt;=MAX((1=Z$12:Z842)*ROW(Z$12:Z842),ROW($T$12)),TYPE(VLOOKUP("Да",(INDIRECT("AA"&amp;(MAX((1=Z$12:Z842)*ROW(Z$12:Z842),ROW($T$12))&amp;":AA"&amp;(ROW()-1)))),1,0))=16),MIN(LOOKUP(,-1/($Z$12:Z843=1),$C$12:C843)+LOOKUP(,-1/($Z$12:Z843=1),$H$12:H843)-SUM(INDIRECT("T"&amp;(MAX((1=Z$12:Z842)*ROW(Z$12:Z842),ROW($T$12))&amp;":T"&amp;(ROW()-1)))),Первоначальный[[#This Row],[Полученный платеж]]+Y842),
S842&gt;0,MIN(LOOKUP(,-1/($Z$12:Z843=1),$C$12:C843)+LOOKUP(,-1/($Z$12:Z843=1),$H$12:H843)-IF(Z842=1,0,SUM(INDIRECT("T"&amp;(MAX((1=Z$12:Z842)*ROW(Z$12:Z842)+1,ROW($T$12))&amp;":T"&amp;(ROW()-1))))),Первоначальный[[#This Row],[Полученный платеж]]+Y842)
)
)
)</f>
        <v>0</v>
      </c>
      <c r="U84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платеж]]+Y842-Первоначальный[[#This Row],[Полученный платёж по процентам]])</f>
        <v>0</v>
      </c>
      <c r="V843" s="55">
        <f t="shared" ca="1" si="145"/>
        <v>0</v>
      </c>
      <c r="W843" s="55" cm="1">
        <f t="array" aca="1" ref="W843" ca="1">IF(Первоначальный[[#This Row],[Итого остаток на начало периода]]&lt;1,0,
_xlfn.IFS(
AND(TYPE(VLOOKUP(1,$Z$12:Z843,1,0))=16,Первоначальный[[#This Row],[Досрочное погашение (да/"")]]=""),0,
AND(S842=0,Первоначальный[[#This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платеж]]+Y842-SUM(Первоначальный[[#This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комиссиям]]),VLOOKUP(LOOKUP(,-1/($Z$12:Z843=1),$A$12:A843),График[[Срок конец]:[Возврат основной суммы долга]],3,0)),
AND(S842=0,Первоначальный[[#This Row],[Дата платежа из графика]]="",Первоначальный[[#This Row],[Досрочное погашение (да/"")]]&lt;&gt;"Да"),0,
AND(S842=0,Первоначальный[[#This Row],[Досрочное погашение (да/"")]]=""),MIN(Первоначальный[[#This Row],[Полученный платеж]]+Y842-SUM(Первоначальный[[#This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комиссиям]]),VLOOKUP(LOOKUP(,-1/($Z$12:Z843=1),$A$12:A843),График[[Срок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платеж]]+Y842-SUM(Первоначальный[[#This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S842&gt;0,MIN(Первоначальный[[#This Row],[Полученный платеж]]+Y842-SUM(Первоначальный[[#This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комиссиям]]),SUM(INDIRECT("M"&amp;(MAX((1=S$12:S842)*ROW(S$12:S842),ROW($W$12))&amp;":M"&amp;(ROW()))))-SUM(INDIRECT("W"&amp;(MAX((1=S$12:S842)*ROW(S$12:S842),ROW($W$12))&amp;":W"&amp;(ROW()-1)))))
)
)</f>
        <v>0</v>
      </c>
      <c r="X843" s="55">
        <f t="shared" ca="1" si="146"/>
        <v>0</v>
      </c>
      <c r="Y843" s="101">
        <f t="shared" ca="1" si="153"/>
        <v>0</v>
      </c>
      <c r="Z843" s="133" t="str">
        <f>IF(TYPE((VLOOKUP(Первоначальный[[#This Row],[Дата платежа]],График[Срок конец],1,0)))=16,"",1)</f>
        <v/>
      </c>
      <c r="AA843" s="57"/>
      <c r="AB843" s="134"/>
      <c r="AC84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4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60271.4399999999</v>
      </c>
      <c r="AE84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2450.7599999999993</v>
      </c>
      <c r="AF84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4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135733.24892295085</v>
      </c>
      <c r="AH843" s="55"/>
      <c r="AI843" s="55"/>
      <c r="AJ843" s="55"/>
      <c r="AK843" s="101">
        <f t="shared" ca="1" si="154"/>
        <v>348088.78892295074</v>
      </c>
      <c r="AL843" s="129">
        <f t="array" ref="AL843">MAX((УслРестрактов[Характеристика]="Дата реструктуризации")*(УслРестрактов[Значение]=Первоначальный!$A843),0)</f>
        <v>0</v>
      </c>
    </row>
    <row r="844" spans="1:38" x14ac:dyDescent="0.25">
      <c r="A844" s="97">
        <f t="shared" si="147"/>
        <v>44975</v>
      </c>
      <c r="B844" s="100">
        <f t="shared" ca="1" si="148"/>
        <v>149633.34</v>
      </c>
      <c r="C844" s="55">
        <f t="shared" ca="1" si="156"/>
        <v>60271.4399999999</v>
      </c>
      <c r="D844" s="55">
        <f t="shared" ca="1" si="156"/>
        <v>2450.7599999999993</v>
      </c>
      <c r="E844" s="55">
        <f t="shared" ca="1" si="149"/>
        <v>0</v>
      </c>
      <c r="F844" s="55">
        <f t="shared" ca="1" si="150"/>
        <v>135733.24892295085</v>
      </c>
      <c r="G844" s="101">
        <f t="shared" ca="1" si="151"/>
        <v>348088.78892295074</v>
      </c>
      <c r="H844" s="100">
        <f ca="1">ROUND($B844*VLOOKUP($A844,$A$1:$B$10,2,1)/(365+IF(MOD(YEAR($A844),4),0,1)*($A844-$A843)),2)-Первоначальный[[#This Row],[Проценты на просроченный платеж по ОД за период]]</f>
        <v>74.63</v>
      </c>
      <c r="I844" s="55">
        <f t="shared" ca="1" si="152"/>
        <v>6.95</v>
      </c>
      <c r="J844" s="55">
        <v>0</v>
      </c>
      <c r="K844" s="55">
        <f t="shared" ca="1" si="155"/>
        <v>362.05850327868842</v>
      </c>
      <c r="L844" s="55">
        <v>0</v>
      </c>
      <c r="M844" s="113">
        <f>SUMIFS(График[Возврат основной суммы долга],График[Дата с учетом нерабочих дней],$A844)</f>
        <v>0</v>
      </c>
      <c r="N844" s="56">
        <f>SUMIFS(График[Возврат начисленных %],График[Дата с учетом нерабочих дней],$A844)</f>
        <v>0</v>
      </c>
      <c r="O844" s="101">
        <v>0</v>
      </c>
      <c r="P844" s="100" cm="1">
        <f t="array" aca="1" ref="P844" ca="1">MAX(IF(AA843="Да",0,SUM(INDIRECT("M"&amp;(MAX(("Да"=AA$12:AA843)*ROW(AA$12:AA843)+1,ROW($P$12))&amp;":M"&amp;(ROW()))))-SUM(INDIRECT("W"&amp;(MAX(("Да"=AA$12:AA843)*ROW(AA$12:AA843)+1,ROW($P$12))&amp;":W"&amp;(ROW()))))),0)</f>
        <v>12739.58</v>
      </c>
      <c r="Q844" s="99">
        <f ca="1">MAX(SUM($N$13:N844)-SUM($T$13:T844),0)</f>
        <v>59672.120655737686</v>
      </c>
      <c r="R844" s="99">
        <f ca="1">Первоначальный[[#This Row],[Просроченный платеж по ОД]]+Первоначальный[[#This Row],[Просроченный платеж по процентам]]</f>
        <v>72411.700655737688</v>
      </c>
      <c r="S844" s="120">
        <f ca="1">IF(Первоначальный[[#This Row],[Просроченный платеж]]&lt;1,0,S843+1)</f>
        <v>740</v>
      </c>
      <c r="T844" s="100" cm="1">
        <f t="array" aca="1" ref="T844" ca="1">IF(Первоначальный[[#This Row],[Итого остаток на начало периода]]&lt;1,0,
IF(
AND(TYPE(VLOOKUP(1,$Z$12:Z844,1,0))=16,Первоначальный[[#This Row],[Досрочное погашение (да/"")]]=""),0,
_xlfn.IFS(AND(S843=0,Первоначальный[[#This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платеж]]&lt;&gt;0),MIN(LOOKUP(,-1/($Z$12:Z844=1),$C$12:C844)+LOOKUP(,-1/($Z$12:Z844=1),$H$12:H844),Первоначальный[[#This Row],[Полученный платеж]]+Y843),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платеж]]+Y843,SUM(Первоначальный[[#This Row],[Остаток процентов на начало периода]],Первоначальный[[#This Row],[Проценты за период]])),
AND(S843=0,Первоначальный[[#This Row],[Дата платежа из графика]]=""),0,
AND(S843=0,Первоначальный[[#This Row],[Дата платежа из графика]]=1,MAX((0&lt;&gt;S$12:S843)*ROW(S$12:S843),ROW($S$12))&gt;=MAX((1=Z$12:Z843)*ROW(Z$12:Z843),ROW($T$12)),TYPE(VLOOKUP("Да",(INDIRECT("AA"&amp;(MAX((1=Z$12:Z843)*ROW(Z$12:Z843),ROW($T$12))&amp;":AA"&amp;(ROW()-1)))),1,0))=16),MIN(LOOKUP(,-1/($Z$12:Z844=1),$C$12:C844)+LOOKUP(,-1/($Z$12:Z844=1),$H$12:H844),Первоначальный[[#This Row],[Полученный платеж]]+Y843),
AND(S843=0,TYPE(VLOOKUP("Да",(INDIRECT("AA"&amp;(MAX((1=Z$12:Z843)*ROW(Z$12:Z843),ROW($T$12))&amp;":AA"&amp;(ROW()-1)))),1,0))&lt;&gt;16),MIN(LOOKUP(,-1/($Z$12:Z844=1),$C$12:C844)+LOOKUP(,-1/($Z$12:Z844=1),$H$12:H844)-IF(AA843="Да",0,SUM(INDIRECT("T"&amp;(MAX(("Да"=AA$12:AA843)*ROW(AA$12:AA843)+1,ROW($T$12))&amp;":T"&amp;(ROW()-1))))),Первоначальный[[#This Row],[Полученный платеж]]+Y843),
AND(S843=0,MAX((0&lt;&gt;N$12:N843)*ROW(N$12:N843),ROW($S$12))&gt;=MAX((1=Z$12:Z843)*ROW(Z$12:Z843),ROW($T$12))),MIN(LOOKUP(,-1/($Z$12:Z844=1),$C$12:C844)+LOOKUP(,-1/($Z$12:Z844=1),$H$12:H844)-IF(N843&lt;&gt;0,0,SUM(INDIRECT("T"&amp;(MAX((0&lt;&gt;N$12:N843)*ROW(N$12:N843)+1,ROW($T$12))&amp;":T"&amp;(ROW()-1))))),Первоначальный[[#This Row],[Полученный платеж]]+Y843),
AND(S843=0,Первоначальный[[#This Row],[Дата платежа из графика]]=1),MIN(LOOKUP(,-1/($Z$12:Z844=1),$C$12:C844)+LOOKUP(,-1/($Z$12:Z844=1),$H$12:H844)-IF(Z843=1,0,SUM(INDIRECT("T"&amp;(MAX((1=Z$12:Z843)*ROW(Z$12:Z843)+1,ROW($T$12))&amp;":T"&amp;(ROW()-1))))),Первоначальный[[#This Row],[Полученный платеж]]+Y843),
AND(Z843&gt;0,Первоначальный[[#This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платеж]]+Y843),
AND(S843&gt;0,MAX((0&lt;&gt;S$12:S843)*ROW(S$12:S843),ROW($S$12))&gt;=MAX((1=Z$12:Z843)*ROW(Z$12:Z843),ROW($T$12)),TYPE(VLOOKUP("Да",(INDIRECT("AA"&amp;(MAX((1=Z$12:Z843)*ROW(Z$12:Z843),ROW($T$12))&amp;":AA"&amp;(ROW()-1)))),1,0))=16),MIN(LOOKUP(,-1/($Z$12:Z844=1),$C$12:C844)+LOOKUP(,-1/($Z$12:Z844=1),$H$12:H844)-SUM(INDIRECT("T"&amp;(MAX((1=Z$12:Z843)*ROW(Z$12:Z843),ROW($T$12))&amp;":T"&amp;(ROW()-1)))),Первоначальный[[#This Row],[Полученный платеж]]+Y843),
S843&gt;0,MIN(LOOKUP(,-1/($Z$12:Z844=1),$C$12:C844)+LOOKUP(,-1/($Z$12:Z844=1),$H$12:H844)-IF(Z843=1,0,SUM(INDIRECT("T"&amp;(MAX((1=Z$12:Z843)*ROW(Z$12:Z843)+1,ROW($T$12))&amp;":T"&amp;(ROW()-1))))),Первоначальный[[#This Row],[Полученный платеж]]+Y843)
)
)
)</f>
        <v>0</v>
      </c>
      <c r="U84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платеж]]+Y843-Первоначальный[[#This Row],[Полученный платёж по процентам]])</f>
        <v>0</v>
      </c>
      <c r="V844" s="55">
        <f t="shared" ca="1" si="145"/>
        <v>0</v>
      </c>
      <c r="W844" s="55" cm="1">
        <f t="array" aca="1" ref="W844" ca="1">IF(Первоначальный[[#This Row],[Итого остаток на начало периода]]&lt;1,0,
_xlfn.IFS(
AND(TYPE(VLOOKUP(1,$Z$12:Z844,1,0))=16,Первоначальный[[#This Row],[Досрочное погашение (да/"")]]=""),0,
AND(S843=0,Первоначальный[[#This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платеж]]+Y843-SUM(Первоначальный[[#This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комиссиям]]),VLOOKUP(LOOKUP(,-1/($Z$12:Z844=1),$A$12:A844),График[[Срок конец]:[Возврат основной суммы долга]],3,0)),
AND(S843=0,Первоначальный[[#This Row],[Дата платежа из графика]]="",Первоначальный[[#This Row],[Досрочное погашение (да/"")]]&lt;&gt;"Да"),0,
AND(S843=0,Первоначальный[[#This Row],[Досрочное погашение (да/"")]]=""),MIN(Первоначальный[[#This Row],[Полученный платеж]]+Y843-SUM(Первоначальный[[#This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комиссиям]]),VLOOKUP(LOOKUP(,-1/($Z$12:Z844=1),$A$12:A844),График[[Срок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платеж]]+Y843-SUM(Первоначальный[[#This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S843&gt;0,MIN(Первоначальный[[#This Row],[Полученный платеж]]+Y843-SUM(Первоначальный[[#This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комиссиям]]),SUM(INDIRECT("M"&amp;(MAX((1=S$12:S843)*ROW(S$12:S843),ROW($W$12))&amp;":M"&amp;(ROW()))))-SUM(INDIRECT("W"&amp;(MAX((1=S$12:S843)*ROW(S$12:S843),ROW($W$12))&amp;":W"&amp;(ROW()-1)))))
)
)</f>
        <v>0</v>
      </c>
      <c r="X844" s="55">
        <f t="shared" ca="1" si="146"/>
        <v>0</v>
      </c>
      <c r="Y844" s="101">
        <f t="shared" ca="1" si="153"/>
        <v>0</v>
      </c>
      <c r="Z844" s="133" t="str">
        <f>IF(TYPE((VLOOKUP(Первоначальный[[#This Row],[Дата платежа]],График[Срок конец],1,0)))=16,"",1)</f>
        <v/>
      </c>
      <c r="AA844" s="57"/>
      <c r="AB844" s="134"/>
      <c r="AC84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4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60346.069999999898</v>
      </c>
      <c r="AE84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2457.7099999999991</v>
      </c>
      <c r="AF84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4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136095.30742622953</v>
      </c>
      <c r="AH844" s="55"/>
      <c r="AI844" s="55"/>
      <c r="AJ844" s="55"/>
      <c r="AK844" s="101">
        <f t="shared" ca="1" si="154"/>
        <v>348532.42742622941</v>
      </c>
      <c r="AL844" s="129">
        <f t="array" ref="AL844">MAX((УслРестрактов[Характеристика]="Дата реструктуризации")*(УслРестрактов[Значение]=Первоначальный!$A844),0)</f>
        <v>0</v>
      </c>
    </row>
    <row r="845" spans="1:38" x14ac:dyDescent="0.25">
      <c r="A845" s="97">
        <f t="shared" si="147"/>
        <v>44976</v>
      </c>
      <c r="B845" s="100">
        <f t="shared" ca="1" si="148"/>
        <v>149633.34</v>
      </c>
      <c r="C845" s="55">
        <f t="shared" ca="1" si="156"/>
        <v>60346.069999999898</v>
      </c>
      <c r="D845" s="55">
        <f t="shared" ca="1" si="156"/>
        <v>2457.7099999999991</v>
      </c>
      <c r="E845" s="55">
        <f t="shared" ca="1" si="149"/>
        <v>0</v>
      </c>
      <c r="F845" s="55">
        <f t="shared" ca="1" si="150"/>
        <v>136095.30742622953</v>
      </c>
      <c r="G845" s="101">
        <f t="shared" ca="1" si="151"/>
        <v>348532.42742622941</v>
      </c>
      <c r="H845" s="100">
        <f ca="1">ROUND($B845*VLOOKUP($A845,$A$1:$B$10,2,1)/(365+IF(MOD(YEAR($A845),4),0,1)*($A845-$A844)),2)-Первоначальный[[#This Row],[Проценты на просроченный платеж по ОД за период]]</f>
        <v>74.63</v>
      </c>
      <c r="I845" s="55">
        <f t="shared" ca="1" si="152"/>
        <v>6.95</v>
      </c>
      <c r="J845" s="55">
        <v>0</v>
      </c>
      <c r="K845" s="55">
        <f t="shared" ca="1" si="155"/>
        <v>362.05850327868842</v>
      </c>
      <c r="L845" s="55">
        <v>0</v>
      </c>
      <c r="M845" s="113">
        <f>SUMIFS(График[Возврат основной суммы долга],График[Дата с учетом нерабочих дней],$A845)</f>
        <v>0</v>
      </c>
      <c r="N845" s="56">
        <f>SUMIFS(График[Возврат начисленных %],График[Дата с учетом нерабочих дней],$A845)</f>
        <v>0</v>
      </c>
      <c r="O845" s="101">
        <v>0</v>
      </c>
      <c r="P845" s="100" cm="1">
        <f t="array" aca="1" ref="P845" ca="1">MAX(IF(AA844="Да",0,SUM(INDIRECT("M"&amp;(MAX(("Да"=AA$12:AA844)*ROW(AA$12:AA844)+1,ROW($P$12))&amp;":M"&amp;(ROW()))))-SUM(INDIRECT("W"&amp;(MAX(("Да"=AA$12:AA844)*ROW(AA$12:AA844)+1,ROW($P$12))&amp;":W"&amp;(ROW()))))),0)</f>
        <v>12739.58</v>
      </c>
      <c r="Q845" s="99">
        <f ca="1">MAX(SUM($N$13:N845)-SUM($T$13:T845),0)</f>
        <v>59672.120655737686</v>
      </c>
      <c r="R845" s="99">
        <f ca="1">Первоначальный[[#This Row],[Просроченный платеж по ОД]]+Первоначальный[[#This Row],[Просроченный платеж по процентам]]</f>
        <v>72411.700655737688</v>
      </c>
      <c r="S845" s="120">
        <f ca="1">IF(Первоначальный[[#This Row],[Просроченный платеж]]&lt;1,0,S844+1)</f>
        <v>741</v>
      </c>
      <c r="T845" s="100" cm="1">
        <f t="array" aca="1" ref="T845" ca="1">IF(Первоначальный[[#This Row],[Итого остаток на начало периода]]&lt;1,0,
IF(
AND(TYPE(VLOOKUP(1,$Z$12:Z845,1,0))=16,Первоначальный[[#This Row],[Досрочное погашение (да/"")]]=""),0,
_xlfn.IFS(AND(S844=0,Первоначальный[[#This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платеж]]&lt;&gt;0),MIN(LOOKUP(,-1/($Z$12:Z845=1),$C$12:C845)+LOOKUP(,-1/($Z$12:Z845=1),$H$12:H845),Первоначальный[[#This Row],[Полученный платеж]]+Y844),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платеж]]+Y844,SUM(Первоначальный[[#This Row],[Остаток процентов на начало периода]],Первоначальный[[#This Row],[Проценты за период]])),
AND(S844=0,Первоначальный[[#This Row],[Дата платежа из графика]]=""),0,
AND(S844=0,Первоначальный[[#This Row],[Дата платежа из графика]]=1,MAX((0&lt;&gt;S$12:S844)*ROW(S$12:S844),ROW($S$12))&gt;=MAX((1=Z$12:Z844)*ROW(Z$12:Z844),ROW($T$12)),TYPE(VLOOKUP("Да",(INDIRECT("AA"&amp;(MAX((1=Z$12:Z844)*ROW(Z$12:Z844),ROW($T$12))&amp;":AA"&amp;(ROW()-1)))),1,0))=16),MIN(LOOKUP(,-1/($Z$12:Z845=1),$C$12:C845)+LOOKUP(,-1/($Z$12:Z845=1),$H$12:H845),Первоначальный[[#This Row],[Полученный платеж]]+Y844),
AND(S844=0,TYPE(VLOOKUP("Да",(INDIRECT("AA"&amp;(MAX((1=Z$12:Z844)*ROW(Z$12:Z844),ROW($T$12))&amp;":AA"&amp;(ROW()-1)))),1,0))&lt;&gt;16),MIN(LOOKUP(,-1/($Z$12:Z845=1),$C$12:C845)+LOOKUP(,-1/($Z$12:Z845=1),$H$12:H845)-IF(AA844="Да",0,SUM(INDIRECT("T"&amp;(MAX(("Да"=AA$12:AA844)*ROW(AA$12:AA844)+1,ROW($T$12))&amp;":T"&amp;(ROW()-1))))),Первоначальный[[#This Row],[Полученный платеж]]+Y844),
AND(S844=0,MAX((0&lt;&gt;N$12:N844)*ROW(N$12:N844),ROW($S$12))&gt;=MAX((1=Z$12:Z844)*ROW(Z$12:Z844),ROW($T$12))),MIN(LOOKUP(,-1/($Z$12:Z845=1),$C$12:C845)+LOOKUP(,-1/($Z$12:Z845=1),$H$12:H845)-IF(N844&lt;&gt;0,0,SUM(INDIRECT("T"&amp;(MAX((0&lt;&gt;N$12:N844)*ROW(N$12:N844)+1,ROW($T$12))&amp;":T"&amp;(ROW()-1))))),Первоначальный[[#This Row],[Полученный платеж]]+Y844),
AND(S844=0,Первоначальный[[#This Row],[Дата платежа из графика]]=1),MIN(LOOKUP(,-1/($Z$12:Z845=1),$C$12:C845)+LOOKUP(,-1/($Z$12:Z845=1),$H$12:H845)-IF(Z844=1,0,SUM(INDIRECT("T"&amp;(MAX((1=Z$12:Z844)*ROW(Z$12:Z844)+1,ROW($T$12))&amp;":T"&amp;(ROW()-1))))),Первоначальный[[#This Row],[Полученный платеж]]+Y844),
AND(Z844&gt;0,Первоначальный[[#This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платеж]]+Y844),
AND(S844&gt;0,MAX((0&lt;&gt;S$12:S844)*ROW(S$12:S844),ROW($S$12))&gt;=MAX((1=Z$12:Z844)*ROW(Z$12:Z844),ROW($T$12)),TYPE(VLOOKUP("Да",(INDIRECT("AA"&amp;(MAX((1=Z$12:Z844)*ROW(Z$12:Z844),ROW($T$12))&amp;":AA"&amp;(ROW()-1)))),1,0))=16),MIN(LOOKUP(,-1/($Z$12:Z845=1),$C$12:C845)+LOOKUP(,-1/($Z$12:Z845=1),$H$12:H845)-SUM(INDIRECT("T"&amp;(MAX((1=Z$12:Z844)*ROW(Z$12:Z844),ROW($T$12))&amp;":T"&amp;(ROW()-1)))),Первоначальный[[#This Row],[Полученный платеж]]+Y844),
S844&gt;0,MIN(LOOKUP(,-1/($Z$12:Z845=1),$C$12:C845)+LOOKUP(,-1/($Z$12:Z845=1),$H$12:H845)-IF(Z844=1,0,SUM(INDIRECT("T"&amp;(MAX((1=Z$12:Z844)*ROW(Z$12:Z844)+1,ROW($T$12))&amp;":T"&amp;(ROW()-1))))),Первоначальный[[#This Row],[Полученный платеж]]+Y844)
)
)
)</f>
        <v>0</v>
      </c>
      <c r="U84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платеж]]+Y844-Первоначальный[[#This Row],[Полученный платёж по процентам]])</f>
        <v>0</v>
      </c>
      <c r="V845" s="55">
        <f t="shared" ref="V845:V908" ca="1" si="157">MAX(MIN(SUM(O845,Y844)-SUM(T845:T845),SUM(E845,J845)),0)</f>
        <v>0</v>
      </c>
      <c r="W845" s="55" cm="1">
        <f t="array" aca="1" ref="W845" ca="1">IF(Первоначальный[[#This Row],[Итого остаток на начало периода]]&lt;1,0,
_xlfn.IFS(
AND(TYPE(VLOOKUP(1,$Z$12:Z845,1,0))=16,Первоначальный[[#This Row],[Досрочное погашение (да/"")]]=""),0,
AND(S844=0,Первоначальный[[#This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платеж]]+Y844-SUM(Первоначальный[[#This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комиссиям]]),VLOOKUP(LOOKUP(,-1/($Z$12:Z845=1),$A$12:A845),График[[Срок конец]:[Возврат основной суммы долга]],3,0)),
AND(S844=0,Первоначальный[[#This Row],[Дата платежа из графика]]="",Первоначальный[[#This Row],[Досрочное погашение (да/"")]]&lt;&gt;"Да"),0,
AND(S844=0,Первоначальный[[#This Row],[Досрочное погашение (да/"")]]=""),MIN(Первоначальный[[#This Row],[Полученный платеж]]+Y844-SUM(Первоначальный[[#This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комиссиям]]),VLOOKUP(LOOKUP(,-1/($Z$12:Z845=1),$A$12:A845),График[[Срок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платеж]]+Y844-SUM(Первоначальный[[#This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S844&gt;0,MIN(Первоначальный[[#This Row],[Полученный платеж]]+Y844-SUM(Первоначальный[[#This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комиссиям]]),SUM(INDIRECT("M"&amp;(MAX((1=S$12:S844)*ROW(S$12:S844),ROW($W$12))&amp;":M"&amp;(ROW()))))-SUM(INDIRECT("W"&amp;(MAX((1=S$12:S844)*ROW(S$12:S844),ROW($W$12))&amp;":W"&amp;(ROW()-1)))))
)
)</f>
        <v>0</v>
      </c>
      <c r="X845" s="55">
        <f t="shared" ref="X845:X908" ca="1" si="158">MAX(MIN(SUM(O845,Y844)-SUM(T845:W845),SUM(F845,K845)),0)</f>
        <v>0</v>
      </c>
      <c r="Y845" s="101">
        <f t="shared" ca="1" si="153"/>
        <v>0</v>
      </c>
      <c r="Z845" s="133" t="str">
        <f>IF(TYPE((VLOOKUP(Первоначальный[[#This Row],[Дата платежа]],График[Срок конец],1,0)))=16,"",1)</f>
        <v/>
      </c>
      <c r="AA845" s="57"/>
      <c r="AB845" s="134"/>
      <c r="AC84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4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60420.699999999895</v>
      </c>
      <c r="AE84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2464.6599999999989</v>
      </c>
      <c r="AF84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4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136457.3659295082</v>
      </c>
      <c r="AH845" s="55"/>
      <c r="AI845" s="55"/>
      <c r="AJ845" s="55"/>
      <c r="AK845" s="101">
        <f t="shared" ca="1" si="154"/>
        <v>348976.06592950807</v>
      </c>
      <c r="AL845" s="129">
        <f t="array" ref="AL845">MAX((УслРестрактов[Характеристика]="Дата реструктуризации")*(УслРестрактов[Значение]=Первоначальный!$A845),0)</f>
        <v>0</v>
      </c>
    </row>
    <row r="846" spans="1:38" x14ac:dyDescent="0.25">
      <c r="A846" s="97">
        <f t="shared" ref="A846:A909" si="159">A845+1</f>
        <v>44977</v>
      </c>
      <c r="B846" s="100">
        <f t="shared" ref="B846:B909" ca="1" si="160">AC845</f>
        <v>149633.34</v>
      </c>
      <c r="C846" s="55">
        <f t="shared" ca="1" si="156"/>
        <v>60420.699999999895</v>
      </c>
      <c r="D846" s="55">
        <f t="shared" ca="1" si="156"/>
        <v>2464.6599999999989</v>
      </c>
      <c r="E846" s="55">
        <f t="shared" ref="E846:E909" ca="1" si="161">AF845</f>
        <v>0</v>
      </c>
      <c r="F846" s="55">
        <f t="shared" ref="F846:F909" ca="1" si="162">AG845+AH845</f>
        <v>136457.3659295082</v>
      </c>
      <c r="G846" s="101">
        <f t="shared" ref="G846:G909" ca="1" si="163">AK845</f>
        <v>348976.06592950807</v>
      </c>
      <c r="H846" s="100">
        <f ca="1">ROUND($B846*VLOOKUP($A846,$A$1:$B$10,2,1)/(365+IF(MOD(YEAR($A846),4),0,1)*($A846-$A845)),2)-Первоначальный[[#This Row],[Проценты на просроченный платеж по ОД за период]]</f>
        <v>74.63</v>
      </c>
      <c r="I846" s="55">
        <f t="shared" ref="I846:I909" ca="1" si="164">ROUND(P845*VLOOKUP($A846,$A$1:$B$10,2,1)/(365+IF(MOD(YEAR($A846),4),0,1)*($A846-$A845)),2)</f>
        <v>6.95</v>
      </c>
      <c r="J846" s="55">
        <v>0</v>
      </c>
      <c r="K846" s="55">
        <f t="shared" ca="1" si="155"/>
        <v>362.05850327868842</v>
      </c>
      <c r="L846" s="55">
        <v>0</v>
      </c>
      <c r="M846" s="113">
        <f>SUMIFS(График[Возврат основной суммы долга],График[Дата с учетом нерабочих дней],$A846)</f>
        <v>0</v>
      </c>
      <c r="N846" s="56">
        <f>SUMIFS(График[Возврат начисленных %],График[Дата с учетом нерабочих дней],$A846)</f>
        <v>0</v>
      </c>
      <c r="O846" s="101">
        <v>0</v>
      </c>
      <c r="P846" s="100" cm="1">
        <f t="array" aca="1" ref="P846" ca="1">MAX(IF(AA845="Да",0,SUM(INDIRECT("M"&amp;(MAX(("Да"=AA$12:AA845)*ROW(AA$12:AA845)+1,ROW($P$12))&amp;":M"&amp;(ROW()))))-SUM(INDIRECT("W"&amp;(MAX(("Да"=AA$12:AA845)*ROW(AA$12:AA845)+1,ROW($P$12))&amp;":W"&amp;(ROW()))))),0)</f>
        <v>12739.58</v>
      </c>
      <c r="Q846" s="99">
        <f ca="1">MAX(SUM($N$13:N846)-SUM($T$13:T846),0)</f>
        <v>59672.120655737686</v>
      </c>
      <c r="R846" s="99">
        <f ca="1">Первоначальный[[#This Row],[Просроченный платеж по ОД]]+Первоначальный[[#This Row],[Просроченный платеж по процентам]]</f>
        <v>72411.700655737688</v>
      </c>
      <c r="S846" s="120">
        <f ca="1">IF(Первоначальный[[#This Row],[Просроченный платеж]]&lt;1,0,S845+1)</f>
        <v>742</v>
      </c>
      <c r="T846" s="100" cm="1">
        <f t="array" aca="1" ref="T846" ca="1">IF(Первоначальный[[#This Row],[Итого остаток на начало периода]]&lt;1,0,
IF(
AND(TYPE(VLOOKUP(1,$Z$12:Z846,1,0))=16,Первоначальный[[#This Row],[Досрочное погашение (да/"")]]=""),0,
_xlfn.IFS(AND(S845=0,Первоначальный[[#This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платеж]]&lt;&gt;0),MIN(LOOKUP(,-1/($Z$12:Z846=1),$C$12:C846)+LOOKUP(,-1/($Z$12:Z846=1),$H$12:H846),Первоначальный[[#This Row],[Полученный платеж]]+Y845),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платеж]]+Y845,SUM(Первоначальный[[#This Row],[Остаток процентов на начало периода]],Первоначальный[[#This Row],[Проценты за период]])),
AND(S845=0,Первоначальный[[#This Row],[Дата платежа из графика]]=""),0,
AND(S845=0,Первоначальный[[#This Row],[Дата платежа из графика]]=1,MAX((0&lt;&gt;S$12:S845)*ROW(S$12:S845),ROW($S$12))&gt;=MAX((1=Z$12:Z845)*ROW(Z$12:Z845),ROW($T$12)),TYPE(VLOOKUP("Да",(INDIRECT("AA"&amp;(MAX((1=Z$12:Z845)*ROW(Z$12:Z845),ROW($T$12))&amp;":AA"&amp;(ROW()-1)))),1,0))=16),MIN(LOOKUP(,-1/($Z$12:Z846=1),$C$12:C846)+LOOKUP(,-1/($Z$12:Z846=1),$H$12:H846),Первоначальный[[#This Row],[Полученный платеж]]+Y845),
AND(S845=0,TYPE(VLOOKUP("Да",(INDIRECT("AA"&amp;(MAX((1=Z$12:Z845)*ROW(Z$12:Z845),ROW($T$12))&amp;":AA"&amp;(ROW()-1)))),1,0))&lt;&gt;16),MIN(LOOKUP(,-1/($Z$12:Z846=1),$C$12:C846)+LOOKUP(,-1/($Z$12:Z846=1),$H$12:H846)-IF(AA845="Да",0,SUM(INDIRECT("T"&amp;(MAX(("Да"=AA$12:AA845)*ROW(AA$12:AA845)+1,ROW($T$12))&amp;":T"&amp;(ROW()-1))))),Первоначальный[[#This Row],[Полученный платеж]]+Y845),
AND(S845=0,MAX((0&lt;&gt;N$12:N845)*ROW(N$12:N845),ROW($S$12))&gt;=MAX((1=Z$12:Z845)*ROW(Z$12:Z845),ROW($T$12))),MIN(LOOKUP(,-1/($Z$12:Z846=1),$C$12:C846)+LOOKUP(,-1/($Z$12:Z846=1),$H$12:H846)-IF(N845&lt;&gt;0,0,SUM(INDIRECT("T"&amp;(MAX((0&lt;&gt;N$12:N845)*ROW(N$12:N845)+1,ROW($T$12))&amp;":T"&amp;(ROW()-1))))),Первоначальный[[#This Row],[Полученный платеж]]+Y845),
AND(S845=0,Первоначальный[[#This Row],[Дата платежа из графика]]=1),MIN(LOOKUP(,-1/($Z$12:Z846=1),$C$12:C846)+LOOKUP(,-1/($Z$12:Z846=1),$H$12:H846)-IF(Z845=1,0,SUM(INDIRECT("T"&amp;(MAX((1=Z$12:Z845)*ROW(Z$12:Z845)+1,ROW($T$12))&amp;":T"&amp;(ROW()-1))))),Первоначальный[[#This Row],[Полученный платеж]]+Y845),
AND(Z845&gt;0,Первоначальный[[#This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платеж]]+Y845),
AND(S845&gt;0,MAX((0&lt;&gt;S$12:S845)*ROW(S$12:S845),ROW($S$12))&gt;=MAX((1=Z$12:Z845)*ROW(Z$12:Z845),ROW($T$12)),TYPE(VLOOKUP("Да",(INDIRECT("AA"&amp;(MAX((1=Z$12:Z845)*ROW(Z$12:Z845),ROW($T$12))&amp;":AA"&amp;(ROW()-1)))),1,0))=16),MIN(LOOKUP(,-1/($Z$12:Z846=1),$C$12:C846)+LOOKUP(,-1/($Z$12:Z846=1),$H$12:H846)-SUM(INDIRECT("T"&amp;(MAX((1=Z$12:Z845)*ROW(Z$12:Z845),ROW($T$12))&amp;":T"&amp;(ROW()-1)))),Первоначальный[[#This Row],[Полученный платеж]]+Y845),
S845&gt;0,MIN(LOOKUP(,-1/($Z$12:Z846=1),$C$12:C846)+LOOKUP(,-1/($Z$12:Z846=1),$H$12:H846)-IF(Z845=1,0,SUM(INDIRECT("T"&amp;(MAX((1=Z$12:Z845)*ROW(Z$12:Z845)+1,ROW($T$12))&amp;":T"&amp;(ROW()-1))))),Первоначальный[[#This Row],[Полученный платеж]]+Y845)
)
)
)</f>
        <v>0</v>
      </c>
      <c r="U84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платеж]]+Y845-Первоначальный[[#This Row],[Полученный платёж по процентам]])</f>
        <v>0</v>
      </c>
      <c r="V846" s="55">
        <f t="shared" ca="1" si="157"/>
        <v>0</v>
      </c>
      <c r="W846" s="55" cm="1">
        <f t="array" aca="1" ref="W846" ca="1">IF(Первоначальный[[#This Row],[Итого остаток на начало периода]]&lt;1,0,
_xlfn.IFS(
AND(TYPE(VLOOKUP(1,$Z$12:Z846,1,0))=16,Первоначальный[[#This Row],[Досрочное погашение (да/"")]]=""),0,
AND(S845=0,Первоначальный[[#This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платеж]]+Y845-SUM(Первоначальный[[#This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комиссиям]]),VLOOKUP(LOOKUP(,-1/($Z$12:Z846=1),$A$12:A846),График[[Срок конец]:[Возврат основной суммы долга]],3,0)),
AND(S845=0,Первоначальный[[#This Row],[Дата платежа из графика]]="",Первоначальный[[#This Row],[Досрочное погашение (да/"")]]&lt;&gt;"Да"),0,
AND(S845=0,Первоначальный[[#This Row],[Досрочное погашение (да/"")]]=""),MIN(Первоначальный[[#This Row],[Полученный платеж]]+Y845-SUM(Первоначальный[[#This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комиссиям]]),VLOOKUP(LOOKUP(,-1/($Z$12:Z846=1),$A$12:A846),График[[Срок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платеж]]+Y845-SUM(Первоначальный[[#This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S845&gt;0,MIN(Первоначальный[[#This Row],[Полученный платеж]]+Y845-SUM(Первоначальный[[#This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комиссиям]]),SUM(INDIRECT("M"&amp;(MAX((1=S$12:S845)*ROW(S$12:S845),ROW($W$12))&amp;":M"&amp;(ROW()))))-SUM(INDIRECT("W"&amp;(MAX((1=S$12:S845)*ROW(S$12:S845),ROW($W$12))&amp;":W"&amp;(ROW()-1)))))
)
)</f>
        <v>0</v>
      </c>
      <c r="X846" s="55">
        <f t="shared" ca="1" si="158"/>
        <v>0</v>
      </c>
      <c r="Y846" s="101">
        <f t="shared" ref="Y846:Y909" ca="1" si="165">ROUND(Y845+O846-SUM(T846:X846),2)</f>
        <v>0</v>
      </c>
      <c r="Z846" s="133" t="str">
        <f>IF(TYPE((VLOOKUP(Первоначальный[[#This Row],[Дата платежа]],График[Срок конец],1,0)))=16,"",1)</f>
        <v/>
      </c>
      <c r="AA846" s="57"/>
      <c r="AB846" s="134"/>
      <c r="AC84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4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60495.329999999893</v>
      </c>
      <c r="AE84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2471.6099999999988</v>
      </c>
      <c r="AF84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4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136819.42443278688</v>
      </c>
      <c r="AH846" s="55"/>
      <c r="AI846" s="55"/>
      <c r="AJ846" s="55"/>
      <c r="AK846" s="101">
        <f t="shared" ref="AK846:AK909" ca="1" si="166">SUM(AC846:AJ846)</f>
        <v>349419.70443278679</v>
      </c>
      <c r="AL846" s="129">
        <f t="array" ref="AL846">MAX((УслРестрактов[Характеристика]="Дата реструктуризации")*(УслРестрактов[Значение]=Первоначальный!$A846),0)</f>
        <v>0</v>
      </c>
    </row>
    <row r="847" spans="1:38" x14ac:dyDescent="0.25">
      <c r="A847" s="97">
        <f t="shared" si="159"/>
        <v>44978</v>
      </c>
      <c r="B847" s="100">
        <f t="shared" ca="1" si="160"/>
        <v>149633.34</v>
      </c>
      <c r="C847" s="55">
        <f t="shared" ca="1" si="156"/>
        <v>60495.329999999893</v>
      </c>
      <c r="D847" s="55">
        <f t="shared" ca="1" si="156"/>
        <v>2471.6099999999988</v>
      </c>
      <c r="E847" s="55">
        <f t="shared" ca="1" si="161"/>
        <v>0</v>
      </c>
      <c r="F847" s="55">
        <f t="shared" ca="1" si="162"/>
        <v>136819.42443278688</v>
      </c>
      <c r="G847" s="101">
        <f t="shared" ca="1" si="163"/>
        <v>349419.70443278679</v>
      </c>
      <c r="H847" s="100">
        <f ca="1">ROUND($B847*VLOOKUP($A847,$A$1:$B$10,2,1)/(365+IF(MOD(YEAR($A847),4),0,1)*($A847-$A846)),2)-Первоначальный[[#This Row],[Проценты на просроченный платеж по ОД за период]]</f>
        <v>74.63</v>
      </c>
      <c r="I847" s="55">
        <f t="shared" ca="1" si="164"/>
        <v>6.95</v>
      </c>
      <c r="J847" s="55">
        <v>0</v>
      </c>
      <c r="K847" s="55">
        <f t="shared" ref="K847:K910" ca="1" si="167">IF(S847&lt;&gt;0,R847*$B$7,0)</f>
        <v>362.05850327868842</v>
      </c>
      <c r="L847" s="55">
        <v>0</v>
      </c>
      <c r="M847" s="113">
        <f>SUMIFS(График[Возврат основной суммы долга],График[Дата с учетом нерабочих дней],$A847)</f>
        <v>0</v>
      </c>
      <c r="N847" s="56">
        <f>SUMIFS(График[Возврат начисленных %],График[Дата с учетом нерабочих дней],$A847)</f>
        <v>0</v>
      </c>
      <c r="O847" s="101">
        <v>0</v>
      </c>
      <c r="P847" s="100" cm="1">
        <f t="array" aca="1" ref="P847" ca="1">MAX(IF(AA846="Да",0,SUM(INDIRECT("M"&amp;(MAX(("Да"=AA$12:AA846)*ROW(AA$12:AA846)+1,ROW($P$12))&amp;":M"&amp;(ROW()))))-SUM(INDIRECT("W"&amp;(MAX(("Да"=AA$12:AA846)*ROW(AA$12:AA846)+1,ROW($P$12))&amp;":W"&amp;(ROW()))))),0)</f>
        <v>12739.58</v>
      </c>
      <c r="Q847" s="99">
        <f ca="1">MAX(SUM($N$13:N847)-SUM($T$13:T847),0)</f>
        <v>59672.120655737686</v>
      </c>
      <c r="R847" s="99">
        <f ca="1">Первоначальный[[#This Row],[Просроченный платеж по ОД]]+Первоначальный[[#This Row],[Просроченный платеж по процентам]]</f>
        <v>72411.700655737688</v>
      </c>
      <c r="S847" s="120">
        <f ca="1">IF(Первоначальный[[#This Row],[Просроченный платеж]]&lt;1,0,S846+1)</f>
        <v>743</v>
      </c>
      <c r="T847" s="100" cm="1">
        <f t="array" aca="1" ref="T847" ca="1">IF(Первоначальный[[#This Row],[Итого остаток на начало периода]]&lt;1,0,
IF(
AND(TYPE(VLOOKUP(1,$Z$12:Z847,1,0))=16,Первоначальный[[#This Row],[Досрочное погашение (да/"")]]=""),0,
_xlfn.IFS(AND(S846=0,Первоначальный[[#This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платеж]]&lt;&gt;0),MIN(LOOKUP(,-1/($Z$12:Z847=1),$C$12:C847)+LOOKUP(,-1/($Z$12:Z847=1),$H$12:H847),Первоначальный[[#This Row],[Полученный платеж]]+Y846),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платеж]]+Y846,SUM(Первоначальный[[#This Row],[Остаток процентов на начало периода]],Первоначальный[[#This Row],[Проценты за период]])),
AND(S846=0,Первоначальный[[#This Row],[Дата платежа из графика]]=""),0,
AND(S846=0,Первоначальный[[#This Row],[Дата платежа из графика]]=1,MAX((0&lt;&gt;S$12:S846)*ROW(S$12:S846),ROW($S$12))&gt;=MAX((1=Z$12:Z846)*ROW(Z$12:Z846),ROW($T$12)),TYPE(VLOOKUP("Да",(INDIRECT("AA"&amp;(MAX((1=Z$12:Z846)*ROW(Z$12:Z846),ROW($T$12))&amp;":AA"&amp;(ROW()-1)))),1,0))=16),MIN(LOOKUP(,-1/($Z$12:Z847=1),$C$12:C847)+LOOKUP(,-1/($Z$12:Z847=1),$H$12:H847),Первоначальный[[#This Row],[Полученный платеж]]+Y846),
AND(S846=0,TYPE(VLOOKUP("Да",(INDIRECT("AA"&amp;(MAX((1=Z$12:Z846)*ROW(Z$12:Z846),ROW($T$12))&amp;":AA"&amp;(ROW()-1)))),1,0))&lt;&gt;16),MIN(LOOKUP(,-1/($Z$12:Z847=1),$C$12:C847)+LOOKUP(,-1/($Z$12:Z847=1),$H$12:H847)-IF(AA846="Да",0,SUM(INDIRECT("T"&amp;(MAX(("Да"=AA$12:AA846)*ROW(AA$12:AA846)+1,ROW($T$12))&amp;":T"&amp;(ROW()-1))))),Первоначальный[[#This Row],[Полученный платеж]]+Y846),
AND(S846=0,MAX((0&lt;&gt;N$12:N846)*ROW(N$12:N846),ROW($S$12))&gt;=MAX((1=Z$12:Z846)*ROW(Z$12:Z846),ROW($T$12))),MIN(LOOKUP(,-1/($Z$12:Z847=1),$C$12:C847)+LOOKUP(,-1/($Z$12:Z847=1),$H$12:H847)-IF(N846&lt;&gt;0,0,SUM(INDIRECT("T"&amp;(MAX((0&lt;&gt;N$12:N846)*ROW(N$12:N846)+1,ROW($T$12))&amp;":T"&amp;(ROW()-1))))),Первоначальный[[#This Row],[Полученный платеж]]+Y846),
AND(S846=0,Первоначальный[[#This Row],[Дата платежа из графика]]=1),MIN(LOOKUP(,-1/($Z$12:Z847=1),$C$12:C847)+LOOKUP(,-1/($Z$12:Z847=1),$H$12:H847)-IF(Z846=1,0,SUM(INDIRECT("T"&amp;(MAX((1=Z$12:Z846)*ROW(Z$12:Z846)+1,ROW($T$12))&amp;":T"&amp;(ROW()-1))))),Первоначальный[[#This Row],[Полученный платеж]]+Y846),
AND(Z846&gt;0,Первоначальный[[#This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платеж]]+Y846),
AND(S846&gt;0,MAX((0&lt;&gt;S$12:S846)*ROW(S$12:S846),ROW($S$12))&gt;=MAX((1=Z$12:Z846)*ROW(Z$12:Z846),ROW($T$12)),TYPE(VLOOKUP("Да",(INDIRECT("AA"&amp;(MAX((1=Z$12:Z846)*ROW(Z$12:Z846),ROW($T$12))&amp;":AA"&amp;(ROW()-1)))),1,0))=16),MIN(LOOKUP(,-1/($Z$12:Z847=1),$C$12:C847)+LOOKUP(,-1/($Z$12:Z847=1),$H$12:H847)-SUM(INDIRECT("T"&amp;(MAX((1=Z$12:Z846)*ROW(Z$12:Z846),ROW($T$12))&amp;":T"&amp;(ROW()-1)))),Первоначальный[[#This Row],[Полученный платеж]]+Y846),
S846&gt;0,MIN(LOOKUP(,-1/($Z$12:Z847=1),$C$12:C847)+LOOKUP(,-1/($Z$12:Z847=1),$H$12:H847)-IF(Z846=1,0,SUM(INDIRECT("T"&amp;(MAX((1=Z$12:Z846)*ROW(Z$12:Z846)+1,ROW($T$12))&amp;":T"&amp;(ROW()-1))))),Первоначальный[[#This Row],[Полученный платеж]]+Y846)
)
)
)</f>
        <v>0</v>
      </c>
      <c r="U84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платеж]]+Y846-Первоначальный[[#This Row],[Полученный платёж по процентам]])</f>
        <v>0</v>
      </c>
      <c r="V847" s="55">
        <f t="shared" ca="1" si="157"/>
        <v>0</v>
      </c>
      <c r="W847" s="55" cm="1">
        <f t="array" aca="1" ref="W847" ca="1">IF(Первоначальный[[#This Row],[Итого остаток на начало периода]]&lt;1,0,
_xlfn.IFS(
AND(TYPE(VLOOKUP(1,$Z$12:Z847,1,0))=16,Первоначальный[[#This Row],[Досрочное погашение (да/"")]]=""),0,
AND(S846=0,Первоначальный[[#This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платеж]]+Y846-SUM(Первоначальный[[#This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комиссиям]]),VLOOKUP(LOOKUP(,-1/($Z$12:Z847=1),$A$12:A847),График[[Срок конец]:[Возврат основной суммы долга]],3,0)),
AND(S846=0,Первоначальный[[#This Row],[Дата платежа из графика]]="",Первоначальный[[#This Row],[Досрочное погашение (да/"")]]&lt;&gt;"Да"),0,
AND(S846=0,Первоначальный[[#This Row],[Досрочное погашение (да/"")]]=""),MIN(Первоначальный[[#This Row],[Полученный платеж]]+Y846-SUM(Первоначальный[[#This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комиссиям]]),VLOOKUP(LOOKUP(,-1/($Z$12:Z847=1),$A$12:A847),График[[Срок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платеж]]+Y846-SUM(Первоначальный[[#This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S846&gt;0,MIN(Первоначальный[[#This Row],[Полученный платеж]]+Y846-SUM(Первоначальный[[#This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комиссиям]]),SUM(INDIRECT("M"&amp;(MAX((1=S$12:S846)*ROW(S$12:S846),ROW($W$12))&amp;":M"&amp;(ROW()))))-SUM(INDIRECT("W"&amp;(MAX((1=S$12:S846)*ROW(S$12:S846),ROW($W$12))&amp;":W"&amp;(ROW()-1)))))
)
)</f>
        <v>0</v>
      </c>
      <c r="X847" s="55">
        <f t="shared" ca="1" si="158"/>
        <v>0</v>
      </c>
      <c r="Y847" s="101">
        <f t="shared" ca="1" si="165"/>
        <v>0</v>
      </c>
      <c r="Z847" s="133" t="str">
        <f>IF(TYPE((VLOOKUP(Первоначальный[[#This Row],[Дата платежа]],График[Срок конец],1,0)))=16,"",1)</f>
        <v/>
      </c>
      <c r="AA847" s="57"/>
      <c r="AB847" s="134"/>
      <c r="AC84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4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60569.95999999989</v>
      </c>
      <c r="AE84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2478.5599999999986</v>
      </c>
      <c r="AF84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4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137181.48293606556</v>
      </c>
      <c r="AH847" s="55"/>
      <c r="AI847" s="55"/>
      <c r="AJ847" s="55"/>
      <c r="AK847" s="101">
        <f t="shared" ca="1" si="166"/>
        <v>349863.3429360654</v>
      </c>
      <c r="AL847" s="129">
        <f t="array" ref="AL847">MAX((УслРестрактов[Характеристика]="Дата реструктуризации")*(УслРестрактов[Значение]=Первоначальный!$A847),0)</f>
        <v>0</v>
      </c>
    </row>
    <row r="848" spans="1:38" x14ac:dyDescent="0.25">
      <c r="A848" s="97">
        <f t="shared" si="159"/>
        <v>44979</v>
      </c>
      <c r="B848" s="100">
        <f t="shared" ca="1" si="160"/>
        <v>149633.34</v>
      </c>
      <c r="C848" s="55">
        <f t="shared" ca="1" si="156"/>
        <v>60569.95999999989</v>
      </c>
      <c r="D848" s="55">
        <f t="shared" ca="1" si="156"/>
        <v>2478.5599999999986</v>
      </c>
      <c r="E848" s="55">
        <f t="shared" ca="1" si="161"/>
        <v>0</v>
      </c>
      <c r="F848" s="55">
        <f t="shared" ca="1" si="162"/>
        <v>137181.48293606556</v>
      </c>
      <c r="G848" s="101">
        <f t="shared" ca="1" si="163"/>
        <v>349863.3429360654</v>
      </c>
      <c r="H848" s="100">
        <f ca="1">ROUND($B848*VLOOKUP($A848,$A$1:$B$10,2,1)/(365+IF(MOD(YEAR($A848),4),0,1)*($A848-$A847)),2)-Первоначальный[[#This Row],[Проценты на просроченный платеж по ОД за период]]</f>
        <v>74.63</v>
      </c>
      <c r="I848" s="55">
        <f t="shared" ca="1" si="164"/>
        <v>6.95</v>
      </c>
      <c r="J848" s="55">
        <v>0</v>
      </c>
      <c r="K848" s="55">
        <f t="shared" ca="1" si="167"/>
        <v>362.05850327868842</v>
      </c>
      <c r="L848" s="55">
        <v>0</v>
      </c>
      <c r="M848" s="113">
        <f>SUMIFS(График[Возврат основной суммы долга],График[Дата с учетом нерабочих дней],$A848)</f>
        <v>0</v>
      </c>
      <c r="N848" s="56">
        <f>SUMIFS(График[Возврат начисленных %],График[Дата с учетом нерабочих дней],$A848)</f>
        <v>0</v>
      </c>
      <c r="O848" s="101">
        <v>0</v>
      </c>
      <c r="P848" s="100" cm="1">
        <f t="array" aca="1" ref="P848" ca="1">MAX(IF(AA847="Да",0,SUM(INDIRECT("M"&amp;(MAX(("Да"=AA$12:AA847)*ROW(AA$12:AA847)+1,ROW($P$12))&amp;":M"&amp;(ROW()))))-SUM(INDIRECT("W"&amp;(MAX(("Да"=AA$12:AA847)*ROW(AA$12:AA847)+1,ROW($P$12))&amp;":W"&amp;(ROW()))))),0)</f>
        <v>12739.58</v>
      </c>
      <c r="Q848" s="99">
        <f ca="1">MAX(SUM($N$13:N848)-SUM($T$13:T848),0)</f>
        <v>59672.120655737686</v>
      </c>
      <c r="R848" s="99">
        <f ca="1">Первоначальный[[#This Row],[Просроченный платеж по ОД]]+Первоначальный[[#This Row],[Просроченный платеж по процентам]]</f>
        <v>72411.700655737688</v>
      </c>
      <c r="S848" s="120">
        <f ca="1">IF(Первоначальный[[#This Row],[Просроченный платеж]]&lt;1,0,S847+1)</f>
        <v>744</v>
      </c>
      <c r="T848" s="100" cm="1">
        <f t="array" aca="1" ref="T848" ca="1">IF(Первоначальный[[#This Row],[Итого остаток на начало периода]]&lt;1,0,
IF(
AND(TYPE(VLOOKUP(1,$Z$12:Z848,1,0))=16,Первоначальный[[#This Row],[Досрочное погашение (да/"")]]=""),0,
_xlfn.IFS(AND(S847=0,Первоначальный[[#This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платеж]]&lt;&gt;0),MIN(LOOKUP(,-1/($Z$12:Z848=1),$C$12:C848)+LOOKUP(,-1/($Z$12:Z848=1),$H$12:H848),Первоначальный[[#This Row],[Полученный платеж]]+Y847),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платеж]]+Y847,SUM(Первоначальный[[#This Row],[Остаток процентов на начало периода]],Первоначальный[[#This Row],[Проценты за период]])),
AND(S847=0,Первоначальный[[#This Row],[Дата платежа из графика]]=""),0,
AND(S847=0,Первоначальный[[#This Row],[Дата платежа из графика]]=1,MAX((0&lt;&gt;S$12:S847)*ROW(S$12:S847),ROW($S$12))&gt;=MAX((1=Z$12:Z847)*ROW(Z$12:Z847),ROW($T$12)),TYPE(VLOOKUP("Да",(INDIRECT("AA"&amp;(MAX((1=Z$12:Z847)*ROW(Z$12:Z847),ROW($T$12))&amp;":AA"&amp;(ROW()-1)))),1,0))=16),MIN(LOOKUP(,-1/($Z$12:Z848=1),$C$12:C848)+LOOKUP(,-1/($Z$12:Z848=1),$H$12:H848),Первоначальный[[#This Row],[Полученный платеж]]+Y847),
AND(S847=0,TYPE(VLOOKUP("Да",(INDIRECT("AA"&amp;(MAX((1=Z$12:Z847)*ROW(Z$12:Z847),ROW($T$12))&amp;":AA"&amp;(ROW()-1)))),1,0))&lt;&gt;16),MIN(LOOKUP(,-1/($Z$12:Z848=1),$C$12:C848)+LOOKUP(,-1/($Z$12:Z848=1),$H$12:H848)-IF(AA847="Да",0,SUM(INDIRECT("T"&amp;(MAX(("Да"=AA$12:AA847)*ROW(AA$12:AA847)+1,ROW($T$12))&amp;":T"&amp;(ROW()-1))))),Первоначальный[[#This Row],[Полученный платеж]]+Y847),
AND(S847=0,MAX((0&lt;&gt;N$12:N847)*ROW(N$12:N847),ROW($S$12))&gt;=MAX((1=Z$12:Z847)*ROW(Z$12:Z847),ROW($T$12))),MIN(LOOKUP(,-1/($Z$12:Z848=1),$C$12:C848)+LOOKUP(,-1/($Z$12:Z848=1),$H$12:H848)-IF(N847&lt;&gt;0,0,SUM(INDIRECT("T"&amp;(MAX((0&lt;&gt;N$12:N847)*ROW(N$12:N847)+1,ROW($T$12))&amp;":T"&amp;(ROW()-1))))),Первоначальный[[#This Row],[Полученный платеж]]+Y847),
AND(S847=0,Первоначальный[[#This Row],[Дата платежа из графика]]=1),MIN(LOOKUP(,-1/($Z$12:Z848=1),$C$12:C848)+LOOKUP(,-1/($Z$12:Z848=1),$H$12:H848)-IF(Z847=1,0,SUM(INDIRECT("T"&amp;(MAX((1=Z$12:Z847)*ROW(Z$12:Z847)+1,ROW($T$12))&amp;":T"&amp;(ROW()-1))))),Первоначальный[[#This Row],[Полученный платеж]]+Y847),
AND(Z847&gt;0,Первоначальный[[#This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платеж]]+Y847),
AND(S847&gt;0,MAX((0&lt;&gt;S$12:S847)*ROW(S$12:S847),ROW($S$12))&gt;=MAX((1=Z$12:Z847)*ROW(Z$12:Z847),ROW($T$12)),TYPE(VLOOKUP("Да",(INDIRECT("AA"&amp;(MAX((1=Z$12:Z847)*ROW(Z$12:Z847),ROW($T$12))&amp;":AA"&amp;(ROW()-1)))),1,0))=16),MIN(LOOKUP(,-1/($Z$12:Z848=1),$C$12:C848)+LOOKUP(,-1/($Z$12:Z848=1),$H$12:H848)-SUM(INDIRECT("T"&amp;(MAX((1=Z$12:Z847)*ROW(Z$12:Z847),ROW($T$12))&amp;":T"&amp;(ROW()-1)))),Первоначальный[[#This Row],[Полученный платеж]]+Y847),
S847&gt;0,MIN(LOOKUP(,-1/($Z$12:Z848=1),$C$12:C848)+LOOKUP(,-1/($Z$12:Z848=1),$H$12:H848)-IF(Z847=1,0,SUM(INDIRECT("T"&amp;(MAX((1=Z$12:Z847)*ROW(Z$12:Z847)+1,ROW($T$12))&amp;":T"&amp;(ROW()-1))))),Первоначальный[[#This Row],[Полученный платеж]]+Y847)
)
)
)</f>
        <v>0</v>
      </c>
      <c r="U84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платеж]]+Y847-Первоначальный[[#This Row],[Полученный платёж по процентам]])</f>
        <v>0</v>
      </c>
      <c r="V848" s="55">
        <f t="shared" ca="1" si="157"/>
        <v>0</v>
      </c>
      <c r="W848" s="55" cm="1">
        <f t="array" aca="1" ref="W848" ca="1">IF(Первоначальный[[#This Row],[Итого остаток на начало периода]]&lt;1,0,
_xlfn.IFS(
AND(TYPE(VLOOKUP(1,$Z$12:Z848,1,0))=16,Первоначальный[[#This Row],[Досрочное погашение (да/"")]]=""),0,
AND(S847=0,Первоначальный[[#This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платеж]]+Y847-SUM(Первоначальный[[#This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комиссиям]]),VLOOKUP(LOOKUP(,-1/($Z$12:Z848=1),$A$12:A848),График[[Срок конец]:[Возврат основной суммы долга]],3,0)),
AND(S847=0,Первоначальный[[#This Row],[Дата платежа из графика]]="",Первоначальный[[#This Row],[Досрочное погашение (да/"")]]&lt;&gt;"Да"),0,
AND(S847=0,Первоначальный[[#This Row],[Досрочное погашение (да/"")]]=""),MIN(Первоначальный[[#This Row],[Полученный платеж]]+Y847-SUM(Первоначальный[[#This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комиссиям]]),VLOOKUP(LOOKUP(,-1/($Z$12:Z848=1),$A$12:A848),График[[Срок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платеж]]+Y847-SUM(Первоначальный[[#This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S847&gt;0,MIN(Первоначальный[[#This Row],[Полученный платеж]]+Y847-SUM(Первоначальный[[#This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комиссиям]]),SUM(INDIRECT("M"&amp;(MAX((1=S$12:S847)*ROW(S$12:S847),ROW($W$12))&amp;":M"&amp;(ROW()))))-SUM(INDIRECT("W"&amp;(MAX((1=S$12:S847)*ROW(S$12:S847),ROW($W$12))&amp;":W"&amp;(ROW()-1)))))
)
)</f>
        <v>0</v>
      </c>
      <c r="X848" s="55">
        <f t="shared" ca="1" si="158"/>
        <v>0</v>
      </c>
      <c r="Y848" s="101">
        <f t="shared" ca="1" si="165"/>
        <v>0</v>
      </c>
      <c r="Z848" s="133" t="str">
        <f>IF(TYPE((VLOOKUP(Первоначальный[[#This Row],[Дата платежа]],График[Срок конец],1,0)))=16,"",1)</f>
        <v/>
      </c>
      <c r="AA848" s="57"/>
      <c r="AB848" s="134"/>
      <c r="AC84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4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60644.589999999887</v>
      </c>
      <c r="AE84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2485.5099999999984</v>
      </c>
      <c r="AF84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4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137543.54143934423</v>
      </c>
      <c r="AH848" s="55"/>
      <c r="AI848" s="55"/>
      <c r="AJ848" s="55"/>
      <c r="AK848" s="101">
        <f t="shared" ca="1" si="166"/>
        <v>350306.98143934412</v>
      </c>
      <c r="AL848" s="129">
        <f t="array" ref="AL848">MAX((УслРестрактов[Характеристика]="Дата реструктуризации")*(УслРестрактов[Значение]=Первоначальный!$A848),0)</f>
        <v>0</v>
      </c>
    </row>
    <row r="849" spans="1:38" x14ac:dyDescent="0.25">
      <c r="A849" s="97">
        <f t="shared" si="159"/>
        <v>44980</v>
      </c>
      <c r="B849" s="100">
        <f t="shared" ca="1" si="160"/>
        <v>149633.34</v>
      </c>
      <c r="C849" s="55">
        <f t="shared" ca="1" si="156"/>
        <v>60644.589999999887</v>
      </c>
      <c r="D849" s="55">
        <f t="shared" ca="1" si="156"/>
        <v>2485.5099999999984</v>
      </c>
      <c r="E849" s="55">
        <f t="shared" ca="1" si="161"/>
        <v>0</v>
      </c>
      <c r="F849" s="55">
        <f t="shared" ca="1" si="162"/>
        <v>137543.54143934423</v>
      </c>
      <c r="G849" s="101">
        <f t="shared" ca="1" si="163"/>
        <v>350306.98143934412</v>
      </c>
      <c r="H849" s="100">
        <f ca="1">ROUND($B849*VLOOKUP($A849,$A$1:$B$10,2,1)/(365+IF(MOD(YEAR($A849),4),0,1)*($A849-$A848)),2)-Первоначальный[[#This Row],[Проценты на просроченный платеж по ОД за период]]</f>
        <v>74.63</v>
      </c>
      <c r="I849" s="55">
        <f t="shared" ca="1" si="164"/>
        <v>6.95</v>
      </c>
      <c r="J849" s="55">
        <v>0</v>
      </c>
      <c r="K849" s="55">
        <f t="shared" ca="1" si="167"/>
        <v>362.05850327868842</v>
      </c>
      <c r="L849" s="55">
        <v>0</v>
      </c>
      <c r="M849" s="113">
        <f>SUMIFS(График[Возврат основной суммы долга],График[Дата с учетом нерабочих дней],$A849)</f>
        <v>0</v>
      </c>
      <c r="N849" s="56">
        <f>SUMIFS(График[Возврат начисленных %],График[Дата с учетом нерабочих дней],$A849)</f>
        <v>0</v>
      </c>
      <c r="O849" s="101">
        <v>0</v>
      </c>
      <c r="P849" s="100" cm="1">
        <f t="array" aca="1" ref="P849" ca="1">MAX(IF(AA848="Да",0,SUM(INDIRECT("M"&amp;(MAX(("Да"=AA$12:AA848)*ROW(AA$12:AA848)+1,ROW($P$12))&amp;":M"&amp;(ROW()))))-SUM(INDIRECT("W"&amp;(MAX(("Да"=AA$12:AA848)*ROW(AA$12:AA848)+1,ROW($P$12))&amp;":W"&amp;(ROW()))))),0)</f>
        <v>12739.58</v>
      </c>
      <c r="Q849" s="99">
        <f ca="1">MAX(SUM($N$13:N849)-SUM($T$13:T849),0)</f>
        <v>59672.120655737686</v>
      </c>
      <c r="R849" s="99">
        <f ca="1">Первоначальный[[#This Row],[Просроченный платеж по ОД]]+Первоначальный[[#This Row],[Просроченный платеж по процентам]]</f>
        <v>72411.700655737688</v>
      </c>
      <c r="S849" s="120">
        <f ca="1">IF(Первоначальный[[#This Row],[Просроченный платеж]]&lt;1,0,S848+1)</f>
        <v>745</v>
      </c>
      <c r="T849" s="100" cm="1">
        <f t="array" aca="1" ref="T849" ca="1">IF(Первоначальный[[#This Row],[Итого остаток на начало периода]]&lt;1,0,
IF(
AND(TYPE(VLOOKUP(1,$Z$12:Z849,1,0))=16,Первоначальный[[#This Row],[Досрочное погашение (да/"")]]=""),0,
_xlfn.IFS(AND(S848=0,Первоначальный[[#This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платеж]]&lt;&gt;0),MIN(LOOKUP(,-1/($Z$12:Z849=1),$C$12:C849)+LOOKUP(,-1/($Z$12:Z849=1),$H$12:H849),Первоначальный[[#This Row],[Полученный платеж]]+Y848),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платеж]]+Y848,SUM(Первоначальный[[#This Row],[Остаток процентов на начало периода]],Первоначальный[[#This Row],[Проценты за период]])),
AND(S848=0,Первоначальный[[#This Row],[Дата платежа из графика]]=""),0,
AND(S848=0,Первоначальный[[#This Row],[Дата платежа из графика]]=1,MAX((0&lt;&gt;S$12:S848)*ROW(S$12:S848),ROW($S$12))&gt;=MAX((1=Z$12:Z848)*ROW(Z$12:Z848),ROW($T$12)),TYPE(VLOOKUP("Да",(INDIRECT("AA"&amp;(MAX((1=Z$12:Z848)*ROW(Z$12:Z848),ROW($T$12))&amp;":AA"&amp;(ROW()-1)))),1,0))=16),MIN(LOOKUP(,-1/($Z$12:Z849=1),$C$12:C849)+LOOKUP(,-1/($Z$12:Z849=1),$H$12:H849),Первоначальный[[#This Row],[Полученный платеж]]+Y848),
AND(S848=0,TYPE(VLOOKUP("Да",(INDIRECT("AA"&amp;(MAX((1=Z$12:Z848)*ROW(Z$12:Z848),ROW($T$12))&amp;":AA"&amp;(ROW()-1)))),1,0))&lt;&gt;16),MIN(LOOKUP(,-1/($Z$12:Z849=1),$C$12:C849)+LOOKUP(,-1/($Z$12:Z849=1),$H$12:H849)-IF(AA848="Да",0,SUM(INDIRECT("T"&amp;(MAX(("Да"=AA$12:AA848)*ROW(AA$12:AA848)+1,ROW($T$12))&amp;":T"&amp;(ROW()-1))))),Первоначальный[[#This Row],[Полученный платеж]]+Y848),
AND(S848=0,MAX((0&lt;&gt;N$12:N848)*ROW(N$12:N848),ROW($S$12))&gt;=MAX((1=Z$12:Z848)*ROW(Z$12:Z848),ROW($T$12))),MIN(LOOKUP(,-1/($Z$12:Z849=1),$C$12:C849)+LOOKUP(,-1/($Z$12:Z849=1),$H$12:H849)-IF(N848&lt;&gt;0,0,SUM(INDIRECT("T"&amp;(MAX((0&lt;&gt;N$12:N848)*ROW(N$12:N848)+1,ROW($T$12))&amp;":T"&amp;(ROW()-1))))),Первоначальный[[#This Row],[Полученный платеж]]+Y848),
AND(S848=0,Первоначальный[[#This Row],[Дата платежа из графика]]=1),MIN(LOOKUP(,-1/($Z$12:Z849=1),$C$12:C849)+LOOKUP(,-1/($Z$12:Z849=1),$H$12:H849)-IF(Z848=1,0,SUM(INDIRECT("T"&amp;(MAX((1=Z$12:Z848)*ROW(Z$12:Z848)+1,ROW($T$12))&amp;":T"&amp;(ROW()-1))))),Первоначальный[[#This Row],[Полученный платеж]]+Y848),
AND(Z848&gt;0,Первоначальный[[#This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платеж]]+Y848),
AND(S848&gt;0,MAX((0&lt;&gt;S$12:S848)*ROW(S$12:S848),ROW($S$12))&gt;=MAX((1=Z$12:Z848)*ROW(Z$12:Z848),ROW($T$12)),TYPE(VLOOKUP("Да",(INDIRECT("AA"&amp;(MAX((1=Z$12:Z848)*ROW(Z$12:Z848),ROW($T$12))&amp;":AA"&amp;(ROW()-1)))),1,0))=16),MIN(LOOKUP(,-1/($Z$12:Z849=1),$C$12:C849)+LOOKUP(,-1/($Z$12:Z849=1),$H$12:H849)-SUM(INDIRECT("T"&amp;(MAX((1=Z$12:Z848)*ROW(Z$12:Z848),ROW($T$12))&amp;":T"&amp;(ROW()-1)))),Первоначальный[[#This Row],[Полученный платеж]]+Y848),
S848&gt;0,MIN(LOOKUP(,-1/($Z$12:Z849=1),$C$12:C849)+LOOKUP(,-1/($Z$12:Z849=1),$H$12:H849)-IF(Z848=1,0,SUM(INDIRECT("T"&amp;(MAX((1=Z$12:Z848)*ROW(Z$12:Z848)+1,ROW($T$12))&amp;":T"&amp;(ROW()-1))))),Первоначальный[[#This Row],[Полученный платеж]]+Y848)
)
)
)</f>
        <v>0</v>
      </c>
      <c r="U84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платеж]]+Y848-Первоначальный[[#This Row],[Полученный платёж по процентам]])</f>
        <v>0</v>
      </c>
      <c r="V849" s="55">
        <f t="shared" ca="1" si="157"/>
        <v>0</v>
      </c>
      <c r="W849" s="55" cm="1">
        <f t="array" aca="1" ref="W849" ca="1">IF(Первоначальный[[#This Row],[Итого остаток на начало периода]]&lt;1,0,
_xlfn.IFS(
AND(TYPE(VLOOKUP(1,$Z$12:Z849,1,0))=16,Первоначальный[[#This Row],[Досрочное погашение (да/"")]]=""),0,
AND(S848=0,Первоначальный[[#This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платеж]]+Y848-SUM(Первоначальный[[#This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комиссиям]]),VLOOKUP(LOOKUP(,-1/($Z$12:Z849=1),$A$12:A849),График[[Срок конец]:[Возврат основной суммы долга]],3,0)),
AND(S848=0,Первоначальный[[#This Row],[Дата платежа из графика]]="",Первоначальный[[#This Row],[Досрочное погашение (да/"")]]&lt;&gt;"Да"),0,
AND(S848=0,Первоначальный[[#This Row],[Досрочное погашение (да/"")]]=""),MIN(Первоначальный[[#This Row],[Полученный платеж]]+Y848-SUM(Первоначальный[[#This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комиссиям]]),VLOOKUP(LOOKUP(,-1/($Z$12:Z849=1),$A$12:A849),График[[Срок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платеж]]+Y848-SUM(Первоначальный[[#This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S848&gt;0,MIN(Первоначальный[[#This Row],[Полученный платеж]]+Y848-SUM(Первоначальный[[#This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комиссиям]]),SUM(INDIRECT("M"&amp;(MAX((1=S$12:S848)*ROW(S$12:S848),ROW($W$12))&amp;":M"&amp;(ROW()))))-SUM(INDIRECT("W"&amp;(MAX((1=S$12:S848)*ROW(S$12:S848),ROW($W$12))&amp;":W"&amp;(ROW()-1)))))
)
)</f>
        <v>0</v>
      </c>
      <c r="X849" s="55">
        <f t="shared" ca="1" si="158"/>
        <v>0</v>
      </c>
      <c r="Y849" s="101">
        <f t="shared" ca="1" si="165"/>
        <v>0</v>
      </c>
      <c r="Z849" s="133" t="str">
        <f>IF(TYPE((VLOOKUP(Первоначальный[[#This Row],[Дата платежа]],График[Срок конец],1,0)))=16,"",1)</f>
        <v/>
      </c>
      <c r="AA849" s="57"/>
      <c r="AB849" s="134"/>
      <c r="AC84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4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60719.219999999885</v>
      </c>
      <c r="AE84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2492.4599999999982</v>
      </c>
      <c r="AF84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4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137905.59994262291</v>
      </c>
      <c r="AH849" s="55"/>
      <c r="AI849" s="55"/>
      <c r="AJ849" s="55"/>
      <c r="AK849" s="101">
        <f t="shared" ca="1" si="166"/>
        <v>350750.61994262278</v>
      </c>
      <c r="AL849" s="129">
        <f t="array" ref="AL849">MAX((УслРестрактов[Характеристика]="Дата реструктуризации")*(УслРестрактов[Значение]=Первоначальный!$A849),0)</f>
        <v>0</v>
      </c>
    </row>
    <row r="850" spans="1:38" x14ac:dyDescent="0.25">
      <c r="A850" s="97">
        <f t="shared" si="159"/>
        <v>44981</v>
      </c>
      <c r="B850" s="100">
        <f t="shared" ca="1" si="160"/>
        <v>149633.34</v>
      </c>
      <c r="C850" s="55">
        <f t="shared" ca="1" si="156"/>
        <v>60719.219999999885</v>
      </c>
      <c r="D850" s="55">
        <f t="shared" ca="1" si="156"/>
        <v>2492.4599999999982</v>
      </c>
      <c r="E850" s="55">
        <f t="shared" ca="1" si="161"/>
        <v>0</v>
      </c>
      <c r="F850" s="55">
        <f t="shared" ca="1" si="162"/>
        <v>137905.59994262291</v>
      </c>
      <c r="G850" s="101">
        <f t="shared" ca="1" si="163"/>
        <v>350750.61994262278</v>
      </c>
      <c r="H850" s="100">
        <f ca="1">ROUND($B850*VLOOKUP($A850,$A$1:$B$10,2,1)/(365+IF(MOD(YEAR($A850),4),0,1)*($A850-$A849)),2)-Первоначальный[[#This Row],[Проценты на просроченный платеж по ОД за период]]</f>
        <v>74.63</v>
      </c>
      <c r="I850" s="55">
        <f t="shared" ca="1" si="164"/>
        <v>6.95</v>
      </c>
      <c r="J850" s="55">
        <v>0</v>
      </c>
      <c r="K850" s="55">
        <f t="shared" ca="1" si="167"/>
        <v>362.05850327868842</v>
      </c>
      <c r="L850" s="55">
        <v>0</v>
      </c>
      <c r="M850" s="113">
        <f>SUMIFS(График[Возврат основной суммы долга],График[Дата с учетом нерабочих дней],$A850)</f>
        <v>0</v>
      </c>
      <c r="N850" s="56">
        <f>SUMIFS(График[Возврат начисленных %],График[Дата с учетом нерабочих дней],$A850)</f>
        <v>0</v>
      </c>
      <c r="O850" s="101">
        <v>0</v>
      </c>
      <c r="P850" s="100" cm="1">
        <f t="array" aca="1" ref="P850" ca="1">MAX(IF(AA849="Да",0,SUM(INDIRECT("M"&amp;(MAX(("Да"=AA$12:AA849)*ROW(AA$12:AA849)+1,ROW($P$12))&amp;":M"&amp;(ROW()))))-SUM(INDIRECT("W"&amp;(MAX(("Да"=AA$12:AA849)*ROW(AA$12:AA849)+1,ROW($P$12))&amp;":W"&amp;(ROW()))))),0)</f>
        <v>12739.58</v>
      </c>
      <c r="Q850" s="99">
        <f ca="1">MAX(SUM($N$13:N850)-SUM($T$13:T850),0)</f>
        <v>59672.120655737686</v>
      </c>
      <c r="R850" s="99">
        <f ca="1">Первоначальный[[#This Row],[Просроченный платеж по ОД]]+Первоначальный[[#This Row],[Просроченный платеж по процентам]]</f>
        <v>72411.700655737688</v>
      </c>
      <c r="S850" s="120">
        <f ca="1">IF(Первоначальный[[#This Row],[Просроченный платеж]]&lt;1,0,S849+1)</f>
        <v>746</v>
      </c>
      <c r="T850" s="100" cm="1">
        <f t="array" aca="1" ref="T850" ca="1">IF(Первоначальный[[#This Row],[Итого остаток на начало периода]]&lt;1,0,
IF(
AND(TYPE(VLOOKUP(1,$Z$12:Z850,1,0))=16,Первоначальный[[#This Row],[Досрочное погашение (да/"")]]=""),0,
_xlfn.IFS(AND(S849=0,Первоначальный[[#This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платеж]]&lt;&gt;0),MIN(LOOKUP(,-1/($Z$12:Z850=1),$C$12:C850)+LOOKUP(,-1/($Z$12:Z850=1),$H$12:H850),Первоначальный[[#This Row],[Полученный платеж]]+Y849),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платеж]]+Y849,SUM(Первоначальный[[#This Row],[Остаток процентов на начало периода]],Первоначальный[[#This Row],[Проценты за период]])),
AND(S849=0,Первоначальный[[#This Row],[Дата платежа из графика]]=""),0,
AND(S849=0,Первоначальный[[#This Row],[Дата платежа из графика]]=1,MAX((0&lt;&gt;S$12:S849)*ROW(S$12:S849),ROW($S$12))&gt;=MAX((1=Z$12:Z849)*ROW(Z$12:Z849),ROW($T$12)),TYPE(VLOOKUP("Да",(INDIRECT("AA"&amp;(MAX((1=Z$12:Z849)*ROW(Z$12:Z849),ROW($T$12))&amp;":AA"&amp;(ROW()-1)))),1,0))=16),MIN(LOOKUP(,-1/($Z$12:Z850=1),$C$12:C850)+LOOKUP(,-1/($Z$12:Z850=1),$H$12:H850),Первоначальный[[#This Row],[Полученный платеж]]+Y849),
AND(S849=0,TYPE(VLOOKUP("Да",(INDIRECT("AA"&amp;(MAX((1=Z$12:Z849)*ROW(Z$12:Z849),ROW($T$12))&amp;":AA"&amp;(ROW()-1)))),1,0))&lt;&gt;16),MIN(LOOKUP(,-1/($Z$12:Z850=1),$C$12:C850)+LOOKUP(,-1/($Z$12:Z850=1),$H$12:H850)-IF(AA849="Да",0,SUM(INDIRECT("T"&amp;(MAX(("Да"=AA$12:AA849)*ROW(AA$12:AA849)+1,ROW($T$12))&amp;":T"&amp;(ROW()-1))))),Первоначальный[[#This Row],[Полученный платеж]]+Y849),
AND(S849=0,MAX((0&lt;&gt;N$12:N849)*ROW(N$12:N849),ROW($S$12))&gt;=MAX((1=Z$12:Z849)*ROW(Z$12:Z849),ROW($T$12))),MIN(LOOKUP(,-1/($Z$12:Z850=1),$C$12:C850)+LOOKUP(,-1/($Z$12:Z850=1),$H$12:H850)-IF(N849&lt;&gt;0,0,SUM(INDIRECT("T"&amp;(MAX((0&lt;&gt;N$12:N849)*ROW(N$12:N849)+1,ROW($T$12))&amp;":T"&amp;(ROW()-1))))),Первоначальный[[#This Row],[Полученный платеж]]+Y849),
AND(S849=0,Первоначальный[[#This Row],[Дата платежа из графика]]=1),MIN(LOOKUP(,-1/($Z$12:Z850=1),$C$12:C850)+LOOKUP(,-1/($Z$12:Z850=1),$H$12:H850)-IF(Z849=1,0,SUM(INDIRECT("T"&amp;(MAX((1=Z$12:Z849)*ROW(Z$12:Z849)+1,ROW($T$12))&amp;":T"&amp;(ROW()-1))))),Первоначальный[[#This Row],[Полученный платеж]]+Y849),
AND(Z849&gt;0,Первоначальный[[#This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платеж]]+Y849),
AND(S849&gt;0,MAX((0&lt;&gt;S$12:S849)*ROW(S$12:S849),ROW($S$12))&gt;=MAX((1=Z$12:Z849)*ROW(Z$12:Z849),ROW($T$12)),TYPE(VLOOKUP("Да",(INDIRECT("AA"&amp;(MAX((1=Z$12:Z849)*ROW(Z$12:Z849),ROW($T$12))&amp;":AA"&amp;(ROW()-1)))),1,0))=16),MIN(LOOKUP(,-1/($Z$12:Z850=1),$C$12:C850)+LOOKUP(,-1/($Z$12:Z850=1),$H$12:H850)-SUM(INDIRECT("T"&amp;(MAX((1=Z$12:Z849)*ROW(Z$12:Z849),ROW($T$12))&amp;":T"&amp;(ROW()-1)))),Первоначальный[[#This Row],[Полученный платеж]]+Y849),
S849&gt;0,MIN(LOOKUP(,-1/($Z$12:Z850=1),$C$12:C850)+LOOKUP(,-1/($Z$12:Z850=1),$H$12:H850)-IF(Z849=1,0,SUM(INDIRECT("T"&amp;(MAX((1=Z$12:Z849)*ROW(Z$12:Z849)+1,ROW($T$12))&amp;":T"&amp;(ROW()-1))))),Первоначальный[[#This Row],[Полученный платеж]]+Y849)
)
)
)</f>
        <v>0</v>
      </c>
      <c r="U85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платеж]]+Y849-Первоначальный[[#This Row],[Полученный платёж по процентам]])</f>
        <v>0</v>
      </c>
      <c r="V850" s="55">
        <f t="shared" ca="1" si="157"/>
        <v>0</v>
      </c>
      <c r="W850" s="55" cm="1">
        <f t="array" aca="1" ref="W850" ca="1">IF(Первоначальный[[#This Row],[Итого остаток на начало периода]]&lt;1,0,
_xlfn.IFS(
AND(TYPE(VLOOKUP(1,$Z$12:Z850,1,0))=16,Первоначальный[[#This Row],[Досрочное погашение (да/"")]]=""),0,
AND(S849=0,Первоначальный[[#This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платеж]]+Y849-SUM(Первоначальный[[#This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комиссиям]]),VLOOKUP(LOOKUP(,-1/($Z$12:Z850=1),$A$12:A850),График[[Срок конец]:[Возврат основной суммы долга]],3,0)),
AND(S849=0,Первоначальный[[#This Row],[Дата платежа из графика]]="",Первоначальный[[#This Row],[Досрочное погашение (да/"")]]&lt;&gt;"Да"),0,
AND(S849=0,Первоначальный[[#This Row],[Досрочное погашение (да/"")]]=""),MIN(Первоначальный[[#This Row],[Полученный платеж]]+Y849-SUM(Первоначальный[[#This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комиссиям]]),VLOOKUP(LOOKUP(,-1/($Z$12:Z850=1),$A$12:A850),График[[Срок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платеж]]+Y849-SUM(Первоначальный[[#This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S849&gt;0,MIN(Первоначальный[[#This Row],[Полученный платеж]]+Y849-SUM(Первоначальный[[#This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комиссиям]]),SUM(INDIRECT("M"&amp;(MAX((1=S$12:S849)*ROW(S$12:S849),ROW($W$12))&amp;":M"&amp;(ROW()))))-SUM(INDIRECT("W"&amp;(MAX((1=S$12:S849)*ROW(S$12:S849),ROW($W$12))&amp;":W"&amp;(ROW()-1)))))
)
)</f>
        <v>0</v>
      </c>
      <c r="X850" s="55">
        <f t="shared" ca="1" si="158"/>
        <v>0</v>
      </c>
      <c r="Y850" s="101">
        <f t="shared" ca="1" si="165"/>
        <v>0</v>
      </c>
      <c r="Z850" s="133" t="str">
        <f>IF(TYPE((VLOOKUP(Первоначальный[[#This Row],[Дата платежа]],График[Срок конец],1,0)))=16,"",1)</f>
        <v/>
      </c>
      <c r="AA850" s="57"/>
      <c r="AB850" s="134"/>
      <c r="AC85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5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60793.849999999882</v>
      </c>
      <c r="AE85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2499.409999999998</v>
      </c>
      <c r="AF85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5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138267.65844590159</v>
      </c>
      <c r="AH850" s="55"/>
      <c r="AI850" s="55"/>
      <c r="AJ850" s="55"/>
      <c r="AK850" s="101">
        <f t="shared" ca="1" si="166"/>
        <v>351194.25844590145</v>
      </c>
      <c r="AL850" s="129">
        <f t="array" ref="AL850">MAX((УслРестрактов[Характеристика]="Дата реструктуризации")*(УслРестрактов[Значение]=Первоначальный!$A850),0)</f>
        <v>0</v>
      </c>
    </row>
    <row r="851" spans="1:38" x14ac:dyDescent="0.25">
      <c r="A851" s="97">
        <f t="shared" si="159"/>
        <v>44982</v>
      </c>
      <c r="B851" s="100">
        <f t="shared" ca="1" si="160"/>
        <v>149633.34</v>
      </c>
      <c r="C851" s="55">
        <f t="shared" ca="1" si="156"/>
        <v>60793.849999999882</v>
      </c>
      <c r="D851" s="55">
        <f t="shared" ca="1" si="156"/>
        <v>2499.409999999998</v>
      </c>
      <c r="E851" s="55">
        <f t="shared" ca="1" si="161"/>
        <v>0</v>
      </c>
      <c r="F851" s="55">
        <f t="shared" ca="1" si="162"/>
        <v>138267.65844590159</v>
      </c>
      <c r="G851" s="101">
        <f t="shared" ca="1" si="163"/>
        <v>351194.25844590145</v>
      </c>
      <c r="H851" s="100">
        <f ca="1">ROUND($B851*VLOOKUP($A851,$A$1:$B$10,2,1)/(365+IF(MOD(YEAR($A851),4),0,1)*($A851-$A850)),2)-Первоначальный[[#This Row],[Проценты на просроченный платеж по ОД за период]]</f>
        <v>74.63</v>
      </c>
      <c r="I851" s="55">
        <f t="shared" ca="1" si="164"/>
        <v>6.95</v>
      </c>
      <c r="J851" s="55">
        <v>0</v>
      </c>
      <c r="K851" s="55">
        <f t="shared" ca="1" si="167"/>
        <v>362.05850327868842</v>
      </c>
      <c r="L851" s="55">
        <v>0</v>
      </c>
      <c r="M851" s="113">
        <f>SUMIFS(График[Возврат основной суммы долга],График[Дата с учетом нерабочих дней],$A851)</f>
        <v>0</v>
      </c>
      <c r="N851" s="56">
        <f>SUMIFS(График[Возврат начисленных %],График[Дата с учетом нерабочих дней],$A851)</f>
        <v>0</v>
      </c>
      <c r="O851" s="101">
        <v>0</v>
      </c>
      <c r="P851" s="100" cm="1">
        <f t="array" aca="1" ref="P851" ca="1">MAX(IF(AA850="Да",0,SUM(INDIRECT("M"&amp;(MAX(("Да"=AA$12:AA850)*ROW(AA$12:AA850)+1,ROW($P$12))&amp;":M"&amp;(ROW()))))-SUM(INDIRECT("W"&amp;(MAX(("Да"=AA$12:AA850)*ROW(AA$12:AA850)+1,ROW($P$12))&amp;":W"&amp;(ROW()))))),0)</f>
        <v>12739.58</v>
      </c>
      <c r="Q851" s="99">
        <f ca="1">MAX(SUM($N$13:N851)-SUM($T$13:T851),0)</f>
        <v>59672.120655737686</v>
      </c>
      <c r="R851" s="99">
        <f ca="1">Первоначальный[[#This Row],[Просроченный платеж по ОД]]+Первоначальный[[#This Row],[Просроченный платеж по процентам]]</f>
        <v>72411.700655737688</v>
      </c>
      <c r="S851" s="120">
        <f ca="1">IF(Первоначальный[[#This Row],[Просроченный платеж]]&lt;1,0,S850+1)</f>
        <v>747</v>
      </c>
      <c r="T851" s="100" cm="1">
        <f t="array" aca="1" ref="T851" ca="1">IF(Первоначальный[[#This Row],[Итого остаток на начало периода]]&lt;1,0,
IF(
AND(TYPE(VLOOKUP(1,$Z$12:Z851,1,0))=16,Первоначальный[[#This Row],[Досрочное погашение (да/"")]]=""),0,
_xlfn.IFS(AND(S850=0,Первоначальный[[#This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платеж]]&lt;&gt;0),MIN(LOOKUP(,-1/($Z$12:Z851=1),$C$12:C851)+LOOKUP(,-1/($Z$12:Z851=1),$H$12:H851),Первоначальный[[#This Row],[Полученный платеж]]+Y850),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платеж]]+Y850,SUM(Первоначальный[[#This Row],[Остаток процентов на начало периода]],Первоначальный[[#This Row],[Проценты за период]])),
AND(S850=0,Первоначальный[[#This Row],[Дата платежа из графика]]=""),0,
AND(S850=0,Первоначальный[[#This Row],[Дата платежа из графика]]=1,MAX((0&lt;&gt;S$12:S850)*ROW(S$12:S850),ROW($S$12))&gt;=MAX((1=Z$12:Z850)*ROW(Z$12:Z850),ROW($T$12)),TYPE(VLOOKUP("Да",(INDIRECT("AA"&amp;(MAX((1=Z$12:Z850)*ROW(Z$12:Z850),ROW($T$12))&amp;":AA"&amp;(ROW()-1)))),1,0))=16),MIN(LOOKUP(,-1/($Z$12:Z851=1),$C$12:C851)+LOOKUP(,-1/($Z$12:Z851=1),$H$12:H851),Первоначальный[[#This Row],[Полученный платеж]]+Y850),
AND(S850=0,TYPE(VLOOKUP("Да",(INDIRECT("AA"&amp;(MAX((1=Z$12:Z850)*ROW(Z$12:Z850),ROW($T$12))&amp;":AA"&amp;(ROW()-1)))),1,0))&lt;&gt;16),MIN(LOOKUP(,-1/($Z$12:Z851=1),$C$12:C851)+LOOKUP(,-1/($Z$12:Z851=1),$H$12:H851)-IF(AA850="Да",0,SUM(INDIRECT("T"&amp;(MAX(("Да"=AA$12:AA850)*ROW(AA$12:AA850)+1,ROW($T$12))&amp;":T"&amp;(ROW()-1))))),Первоначальный[[#This Row],[Полученный платеж]]+Y850),
AND(S850=0,MAX((0&lt;&gt;N$12:N850)*ROW(N$12:N850),ROW($S$12))&gt;=MAX((1=Z$12:Z850)*ROW(Z$12:Z850),ROW($T$12))),MIN(LOOKUP(,-1/($Z$12:Z851=1),$C$12:C851)+LOOKUP(,-1/($Z$12:Z851=1),$H$12:H851)-IF(N850&lt;&gt;0,0,SUM(INDIRECT("T"&amp;(MAX((0&lt;&gt;N$12:N850)*ROW(N$12:N850)+1,ROW($T$12))&amp;":T"&amp;(ROW()-1))))),Первоначальный[[#This Row],[Полученный платеж]]+Y850),
AND(S850=0,Первоначальный[[#This Row],[Дата платежа из графика]]=1),MIN(LOOKUP(,-1/($Z$12:Z851=1),$C$12:C851)+LOOKUP(,-1/($Z$12:Z851=1),$H$12:H851)-IF(Z850=1,0,SUM(INDIRECT("T"&amp;(MAX((1=Z$12:Z850)*ROW(Z$12:Z850)+1,ROW($T$12))&amp;":T"&amp;(ROW()-1))))),Первоначальный[[#This Row],[Полученный платеж]]+Y850),
AND(Z850&gt;0,Первоначальный[[#This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платеж]]+Y850),
AND(S850&gt;0,MAX((0&lt;&gt;S$12:S850)*ROW(S$12:S850),ROW($S$12))&gt;=MAX((1=Z$12:Z850)*ROW(Z$12:Z850),ROW($T$12)),TYPE(VLOOKUP("Да",(INDIRECT("AA"&amp;(MAX((1=Z$12:Z850)*ROW(Z$12:Z850),ROW($T$12))&amp;":AA"&amp;(ROW()-1)))),1,0))=16),MIN(LOOKUP(,-1/($Z$12:Z851=1),$C$12:C851)+LOOKUP(,-1/($Z$12:Z851=1),$H$12:H851)-SUM(INDIRECT("T"&amp;(MAX((1=Z$12:Z850)*ROW(Z$12:Z850),ROW($T$12))&amp;":T"&amp;(ROW()-1)))),Первоначальный[[#This Row],[Полученный платеж]]+Y850),
S850&gt;0,MIN(LOOKUP(,-1/($Z$12:Z851=1),$C$12:C851)+LOOKUP(,-1/($Z$12:Z851=1),$H$12:H851)-IF(Z850=1,0,SUM(INDIRECT("T"&amp;(MAX((1=Z$12:Z850)*ROW(Z$12:Z850)+1,ROW($T$12))&amp;":T"&amp;(ROW()-1))))),Первоначальный[[#This Row],[Полученный платеж]]+Y850)
)
)
)</f>
        <v>0</v>
      </c>
      <c r="U85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платеж]]+Y850-Первоначальный[[#This Row],[Полученный платёж по процентам]])</f>
        <v>0</v>
      </c>
      <c r="V851" s="55">
        <f t="shared" ca="1" si="157"/>
        <v>0</v>
      </c>
      <c r="W851" s="55" cm="1">
        <f t="array" aca="1" ref="W851" ca="1">IF(Первоначальный[[#This Row],[Итого остаток на начало периода]]&lt;1,0,
_xlfn.IFS(
AND(TYPE(VLOOKUP(1,$Z$12:Z851,1,0))=16,Первоначальный[[#This Row],[Досрочное погашение (да/"")]]=""),0,
AND(S850=0,Первоначальный[[#This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платеж]]+Y850-SUM(Первоначальный[[#This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комиссиям]]),VLOOKUP(LOOKUP(,-1/($Z$12:Z851=1),$A$12:A851),График[[Срок конец]:[Возврат основной суммы долга]],3,0)),
AND(S850=0,Первоначальный[[#This Row],[Дата платежа из графика]]="",Первоначальный[[#This Row],[Досрочное погашение (да/"")]]&lt;&gt;"Да"),0,
AND(S850=0,Первоначальный[[#This Row],[Досрочное погашение (да/"")]]=""),MIN(Первоначальный[[#This Row],[Полученный платеж]]+Y850-SUM(Первоначальный[[#This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комиссиям]]),VLOOKUP(LOOKUP(,-1/($Z$12:Z851=1),$A$12:A851),График[[Срок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платеж]]+Y850-SUM(Первоначальный[[#This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S850&gt;0,MIN(Первоначальный[[#This Row],[Полученный платеж]]+Y850-SUM(Первоначальный[[#This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комиссиям]]),SUM(INDIRECT("M"&amp;(MAX((1=S$12:S850)*ROW(S$12:S850),ROW($W$12))&amp;":M"&amp;(ROW()))))-SUM(INDIRECT("W"&amp;(MAX((1=S$12:S850)*ROW(S$12:S850),ROW($W$12))&amp;":W"&amp;(ROW()-1)))))
)
)</f>
        <v>0</v>
      </c>
      <c r="X851" s="55">
        <f t="shared" ca="1" si="158"/>
        <v>0</v>
      </c>
      <c r="Y851" s="101">
        <f t="shared" ca="1" si="165"/>
        <v>0</v>
      </c>
      <c r="Z851" s="133" t="str">
        <f>IF(TYPE((VLOOKUP(Первоначальный[[#This Row],[Дата платежа]],График[Срок конец],1,0)))=16,"",1)</f>
        <v/>
      </c>
      <c r="AA851" s="57"/>
      <c r="AB851" s="134"/>
      <c r="AC85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5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60868.47999999988</v>
      </c>
      <c r="AE85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2506.3599999999979</v>
      </c>
      <c r="AF85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5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138629.71694918026</v>
      </c>
      <c r="AH851" s="55"/>
      <c r="AI851" s="55"/>
      <c r="AJ851" s="55"/>
      <c r="AK851" s="101">
        <f t="shared" ca="1" si="166"/>
        <v>351637.89694918017</v>
      </c>
      <c r="AL851" s="129">
        <f t="array" ref="AL851">MAX((УслРестрактов[Характеристика]="Дата реструктуризации")*(УслРестрактов[Значение]=Первоначальный!$A851),0)</f>
        <v>0</v>
      </c>
    </row>
    <row r="852" spans="1:38" x14ac:dyDescent="0.25">
      <c r="A852" s="97">
        <f t="shared" si="159"/>
        <v>44983</v>
      </c>
      <c r="B852" s="100">
        <f t="shared" ca="1" si="160"/>
        <v>149633.34</v>
      </c>
      <c r="C852" s="55">
        <f t="shared" ca="1" si="156"/>
        <v>60868.47999999988</v>
      </c>
      <c r="D852" s="55">
        <f t="shared" ca="1" si="156"/>
        <v>2506.3599999999979</v>
      </c>
      <c r="E852" s="55">
        <f t="shared" ca="1" si="161"/>
        <v>0</v>
      </c>
      <c r="F852" s="55">
        <f t="shared" ca="1" si="162"/>
        <v>138629.71694918026</v>
      </c>
      <c r="G852" s="101">
        <f t="shared" ca="1" si="163"/>
        <v>351637.89694918017</v>
      </c>
      <c r="H852" s="100">
        <f ca="1">ROUND($B852*VLOOKUP($A852,$A$1:$B$10,2,1)/(365+IF(MOD(YEAR($A852),4),0,1)*($A852-$A851)),2)-Первоначальный[[#This Row],[Проценты на просроченный платеж по ОД за период]]</f>
        <v>74.63</v>
      </c>
      <c r="I852" s="55">
        <f t="shared" ca="1" si="164"/>
        <v>6.95</v>
      </c>
      <c r="J852" s="55">
        <v>0</v>
      </c>
      <c r="K852" s="55">
        <f t="shared" ca="1" si="167"/>
        <v>362.05850327868842</v>
      </c>
      <c r="L852" s="55">
        <v>0</v>
      </c>
      <c r="M852" s="113">
        <f>SUMIFS(График[Возврат основной суммы долга],График[Дата с учетом нерабочих дней],$A852)</f>
        <v>0</v>
      </c>
      <c r="N852" s="56">
        <f>SUMIFS(График[Возврат начисленных %],График[Дата с учетом нерабочих дней],$A852)</f>
        <v>0</v>
      </c>
      <c r="O852" s="101">
        <v>0</v>
      </c>
      <c r="P852" s="100" cm="1">
        <f t="array" aca="1" ref="P852" ca="1">MAX(IF(AA851="Да",0,SUM(INDIRECT("M"&amp;(MAX(("Да"=AA$12:AA851)*ROW(AA$12:AA851)+1,ROW($P$12))&amp;":M"&amp;(ROW()))))-SUM(INDIRECT("W"&amp;(MAX(("Да"=AA$12:AA851)*ROW(AA$12:AA851)+1,ROW($P$12))&amp;":W"&amp;(ROW()))))),0)</f>
        <v>12739.58</v>
      </c>
      <c r="Q852" s="99">
        <f ca="1">MAX(SUM($N$13:N852)-SUM($T$13:T852),0)</f>
        <v>59672.120655737686</v>
      </c>
      <c r="R852" s="99">
        <f ca="1">Первоначальный[[#This Row],[Просроченный платеж по ОД]]+Первоначальный[[#This Row],[Просроченный платеж по процентам]]</f>
        <v>72411.700655737688</v>
      </c>
      <c r="S852" s="120">
        <f ca="1">IF(Первоначальный[[#This Row],[Просроченный платеж]]&lt;1,0,S851+1)</f>
        <v>748</v>
      </c>
      <c r="T852" s="100" cm="1">
        <f t="array" aca="1" ref="T852" ca="1">IF(Первоначальный[[#This Row],[Итого остаток на начало периода]]&lt;1,0,
IF(
AND(TYPE(VLOOKUP(1,$Z$12:Z852,1,0))=16,Первоначальный[[#This Row],[Досрочное погашение (да/"")]]=""),0,
_xlfn.IFS(AND(S851=0,Первоначальный[[#This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платеж]]&lt;&gt;0),MIN(LOOKUP(,-1/($Z$12:Z852=1),$C$12:C852)+LOOKUP(,-1/($Z$12:Z852=1),$H$12:H852),Первоначальный[[#This Row],[Полученный платеж]]+Y851),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платеж]]+Y851,SUM(Первоначальный[[#This Row],[Остаток процентов на начало периода]],Первоначальный[[#This Row],[Проценты за период]])),
AND(S851=0,Первоначальный[[#This Row],[Дата платежа из графика]]=""),0,
AND(S851=0,Первоначальный[[#This Row],[Дата платежа из графика]]=1,MAX((0&lt;&gt;S$12:S851)*ROW(S$12:S851),ROW($S$12))&gt;=MAX((1=Z$12:Z851)*ROW(Z$12:Z851),ROW($T$12)),TYPE(VLOOKUP("Да",(INDIRECT("AA"&amp;(MAX((1=Z$12:Z851)*ROW(Z$12:Z851),ROW($T$12))&amp;":AA"&amp;(ROW()-1)))),1,0))=16),MIN(LOOKUP(,-1/($Z$12:Z852=1),$C$12:C852)+LOOKUP(,-1/($Z$12:Z852=1),$H$12:H852),Первоначальный[[#This Row],[Полученный платеж]]+Y851),
AND(S851=0,TYPE(VLOOKUP("Да",(INDIRECT("AA"&amp;(MAX((1=Z$12:Z851)*ROW(Z$12:Z851),ROW($T$12))&amp;":AA"&amp;(ROW()-1)))),1,0))&lt;&gt;16),MIN(LOOKUP(,-1/($Z$12:Z852=1),$C$12:C852)+LOOKUP(,-1/($Z$12:Z852=1),$H$12:H852)-IF(AA851="Да",0,SUM(INDIRECT("T"&amp;(MAX(("Да"=AA$12:AA851)*ROW(AA$12:AA851)+1,ROW($T$12))&amp;":T"&amp;(ROW()-1))))),Первоначальный[[#This Row],[Полученный платеж]]+Y851),
AND(S851=0,MAX((0&lt;&gt;N$12:N851)*ROW(N$12:N851),ROW($S$12))&gt;=MAX((1=Z$12:Z851)*ROW(Z$12:Z851),ROW($T$12))),MIN(LOOKUP(,-1/($Z$12:Z852=1),$C$12:C852)+LOOKUP(,-1/($Z$12:Z852=1),$H$12:H852)-IF(N851&lt;&gt;0,0,SUM(INDIRECT("T"&amp;(MAX((0&lt;&gt;N$12:N851)*ROW(N$12:N851)+1,ROW($T$12))&amp;":T"&amp;(ROW()-1))))),Первоначальный[[#This Row],[Полученный платеж]]+Y851),
AND(S851=0,Первоначальный[[#This Row],[Дата платежа из графика]]=1),MIN(LOOKUP(,-1/($Z$12:Z852=1),$C$12:C852)+LOOKUP(,-1/($Z$12:Z852=1),$H$12:H852)-IF(Z851=1,0,SUM(INDIRECT("T"&amp;(MAX((1=Z$12:Z851)*ROW(Z$12:Z851)+1,ROW($T$12))&amp;":T"&amp;(ROW()-1))))),Первоначальный[[#This Row],[Полученный платеж]]+Y851),
AND(Z851&gt;0,Первоначальный[[#This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платеж]]+Y851),
AND(S851&gt;0,MAX((0&lt;&gt;S$12:S851)*ROW(S$12:S851),ROW($S$12))&gt;=MAX((1=Z$12:Z851)*ROW(Z$12:Z851),ROW($T$12)),TYPE(VLOOKUP("Да",(INDIRECT("AA"&amp;(MAX((1=Z$12:Z851)*ROW(Z$12:Z851),ROW($T$12))&amp;":AA"&amp;(ROW()-1)))),1,0))=16),MIN(LOOKUP(,-1/($Z$12:Z852=1),$C$12:C852)+LOOKUP(,-1/($Z$12:Z852=1),$H$12:H852)-SUM(INDIRECT("T"&amp;(MAX((1=Z$12:Z851)*ROW(Z$12:Z851),ROW($T$12))&amp;":T"&amp;(ROW()-1)))),Первоначальный[[#This Row],[Полученный платеж]]+Y851),
S851&gt;0,MIN(LOOKUP(,-1/($Z$12:Z852=1),$C$12:C852)+LOOKUP(,-1/($Z$12:Z852=1),$H$12:H852)-IF(Z851=1,0,SUM(INDIRECT("T"&amp;(MAX((1=Z$12:Z851)*ROW(Z$12:Z851)+1,ROW($T$12))&amp;":T"&amp;(ROW()-1))))),Первоначальный[[#This Row],[Полученный платеж]]+Y851)
)
)
)</f>
        <v>0</v>
      </c>
      <c r="U85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платеж]]+Y851-Первоначальный[[#This Row],[Полученный платёж по процентам]])</f>
        <v>0</v>
      </c>
      <c r="V852" s="55">
        <f t="shared" ca="1" si="157"/>
        <v>0</v>
      </c>
      <c r="W852" s="55" cm="1">
        <f t="array" aca="1" ref="W852" ca="1">IF(Первоначальный[[#This Row],[Итого остаток на начало периода]]&lt;1,0,
_xlfn.IFS(
AND(TYPE(VLOOKUP(1,$Z$12:Z852,1,0))=16,Первоначальный[[#This Row],[Досрочное погашение (да/"")]]=""),0,
AND(S851=0,Первоначальный[[#This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платеж]]+Y851-SUM(Первоначальный[[#This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комиссиям]]),VLOOKUP(LOOKUP(,-1/($Z$12:Z852=1),$A$12:A852),График[[Срок конец]:[Возврат основной суммы долга]],3,0)),
AND(S851=0,Первоначальный[[#This Row],[Дата платежа из графика]]="",Первоначальный[[#This Row],[Досрочное погашение (да/"")]]&lt;&gt;"Да"),0,
AND(S851=0,Первоначальный[[#This Row],[Досрочное погашение (да/"")]]=""),MIN(Первоначальный[[#This Row],[Полученный платеж]]+Y851-SUM(Первоначальный[[#This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комиссиям]]),VLOOKUP(LOOKUP(,-1/($Z$12:Z852=1),$A$12:A852),График[[Срок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платеж]]+Y851-SUM(Первоначальный[[#This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S851&gt;0,MIN(Первоначальный[[#This Row],[Полученный платеж]]+Y851-SUM(Первоначальный[[#This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комиссиям]]),SUM(INDIRECT("M"&amp;(MAX((1=S$12:S851)*ROW(S$12:S851),ROW($W$12))&amp;":M"&amp;(ROW()))))-SUM(INDIRECT("W"&amp;(MAX((1=S$12:S851)*ROW(S$12:S851),ROW($W$12))&amp;":W"&amp;(ROW()-1)))))
)
)</f>
        <v>0</v>
      </c>
      <c r="X852" s="55">
        <f t="shared" ca="1" si="158"/>
        <v>0</v>
      </c>
      <c r="Y852" s="101">
        <f t="shared" ca="1" si="165"/>
        <v>0</v>
      </c>
      <c r="Z852" s="133" t="str">
        <f>IF(TYPE((VLOOKUP(Первоначальный[[#This Row],[Дата платежа]],График[Срок конец],1,0)))=16,"",1)</f>
        <v/>
      </c>
      <c r="AA852" s="57"/>
      <c r="AB852" s="134"/>
      <c r="AC85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5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60943.109999999877</v>
      </c>
      <c r="AE85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2513.3099999999977</v>
      </c>
      <c r="AF85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5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138991.77545245894</v>
      </c>
      <c r="AH852" s="55"/>
      <c r="AI852" s="55"/>
      <c r="AJ852" s="55"/>
      <c r="AK852" s="101">
        <f t="shared" ca="1" si="166"/>
        <v>352081.53545245877</v>
      </c>
      <c r="AL852" s="129">
        <f t="array" ref="AL852">MAX((УслРестрактов[Характеристика]="Дата реструктуризации")*(УслРестрактов[Значение]=Первоначальный!$A852),0)</f>
        <v>0</v>
      </c>
    </row>
    <row r="853" spans="1:38" x14ac:dyDescent="0.25">
      <c r="A853" s="97">
        <f t="shared" si="159"/>
        <v>44984</v>
      </c>
      <c r="B853" s="100">
        <f t="shared" ca="1" si="160"/>
        <v>149633.34</v>
      </c>
      <c r="C853" s="55">
        <f t="shared" ca="1" si="156"/>
        <v>60943.109999999877</v>
      </c>
      <c r="D853" s="55">
        <f t="shared" ca="1" si="156"/>
        <v>2513.3099999999977</v>
      </c>
      <c r="E853" s="55">
        <f t="shared" ca="1" si="161"/>
        <v>0</v>
      </c>
      <c r="F853" s="55">
        <f t="shared" ca="1" si="162"/>
        <v>138991.77545245894</v>
      </c>
      <c r="G853" s="101">
        <f t="shared" ca="1" si="163"/>
        <v>352081.53545245877</v>
      </c>
      <c r="H853" s="100">
        <f ca="1">ROUND($B853*VLOOKUP($A853,$A$1:$B$10,2,1)/(365+IF(MOD(YEAR($A853),4),0,1)*($A853-$A852)),2)-Первоначальный[[#This Row],[Проценты на просроченный платеж по ОД за период]]</f>
        <v>74.63</v>
      </c>
      <c r="I853" s="55">
        <f t="shared" ca="1" si="164"/>
        <v>6.95</v>
      </c>
      <c r="J853" s="55">
        <v>0</v>
      </c>
      <c r="K853" s="55">
        <f t="shared" ca="1" si="167"/>
        <v>362.05850327868842</v>
      </c>
      <c r="L853" s="55">
        <v>0</v>
      </c>
      <c r="M853" s="113">
        <f>SUMIFS(График[Возврат основной суммы долга],График[Дата с учетом нерабочих дней],$A853)</f>
        <v>0</v>
      </c>
      <c r="N853" s="56">
        <f>SUMIFS(График[Возврат начисленных %],График[Дата с учетом нерабочих дней],$A853)</f>
        <v>0</v>
      </c>
      <c r="O853" s="101">
        <v>0</v>
      </c>
      <c r="P853" s="100" cm="1">
        <f t="array" aca="1" ref="P853" ca="1">MAX(IF(AA852="Да",0,SUM(INDIRECT("M"&amp;(MAX(("Да"=AA$12:AA852)*ROW(AA$12:AA852)+1,ROW($P$12))&amp;":M"&amp;(ROW()))))-SUM(INDIRECT("W"&amp;(MAX(("Да"=AA$12:AA852)*ROW(AA$12:AA852)+1,ROW($P$12))&amp;":W"&amp;(ROW()))))),0)</f>
        <v>12739.58</v>
      </c>
      <c r="Q853" s="99">
        <f ca="1">MAX(SUM($N$13:N853)-SUM($T$13:T853),0)</f>
        <v>59672.120655737686</v>
      </c>
      <c r="R853" s="99">
        <f ca="1">Первоначальный[[#This Row],[Просроченный платеж по ОД]]+Первоначальный[[#This Row],[Просроченный платеж по процентам]]</f>
        <v>72411.700655737688</v>
      </c>
      <c r="S853" s="120">
        <f ca="1">IF(Первоначальный[[#This Row],[Просроченный платеж]]&lt;1,0,S852+1)</f>
        <v>749</v>
      </c>
      <c r="T853" s="100" cm="1">
        <f t="array" aca="1" ref="T853" ca="1">IF(Первоначальный[[#This Row],[Итого остаток на начало периода]]&lt;1,0,
IF(
AND(TYPE(VLOOKUP(1,$Z$12:Z853,1,0))=16,Первоначальный[[#This Row],[Досрочное погашение (да/"")]]=""),0,
_xlfn.IFS(AND(S852=0,Первоначальный[[#This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платеж]]&lt;&gt;0),MIN(LOOKUP(,-1/($Z$12:Z853=1),$C$12:C853)+LOOKUP(,-1/($Z$12:Z853=1),$H$12:H853),Первоначальный[[#This Row],[Полученный платеж]]+Y852),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платеж]]+Y852,SUM(Первоначальный[[#This Row],[Остаток процентов на начало периода]],Первоначальный[[#This Row],[Проценты за период]])),
AND(S852=0,Первоначальный[[#This Row],[Дата платежа из графика]]=""),0,
AND(S852=0,Первоначальный[[#This Row],[Дата платежа из графика]]=1,MAX((0&lt;&gt;S$12:S852)*ROW(S$12:S852),ROW($S$12))&gt;=MAX((1=Z$12:Z852)*ROW(Z$12:Z852),ROW($T$12)),TYPE(VLOOKUP("Да",(INDIRECT("AA"&amp;(MAX((1=Z$12:Z852)*ROW(Z$12:Z852),ROW($T$12))&amp;":AA"&amp;(ROW()-1)))),1,0))=16),MIN(LOOKUP(,-1/($Z$12:Z853=1),$C$12:C853)+LOOKUP(,-1/($Z$12:Z853=1),$H$12:H853),Первоначальный[[#This Row],[Полученный платеж]]+Y852),
AND(S852=0,TYPE(VLOOKUP("Да",(INDIRECT("AA"&amp;(MAX((1=Z$12:Z852)*ROW(Z$12:Z852),ROW($T$12))&amp;":AA"&amp;(ROW()-1)))),1,0))&lt;&gt;16),MIN(LOOKUP(,-1/($Z$12:Z853=1),$C$12:C853)+LOOKUP(,-1/($Z$12:Z853=1),$H$12:H853)-IF(AA852="Да",0,SUM(INDIRECT("T"&amp;(MAX(("Да"=AA$12:AA852)*ROW(AA$12:AA852)+1,ROW($T$12))&amp;":T"&amp;(ROW()-1))))),Первоначальный[[#This Row],[Полученный платеж]]+Y852),
AND(S852=0,MAX((0&lt;&gt;N$12:N852)*ROW(N$12:N852),ROW($S$12))&gt;=MAX((1=Z$12:Z852)*ROW(Z$12:Z852),ROW($T$12))),MIN(LOOKUP(,-1/($Z$12:Z853=1),$C$12:C853)+LOOKUP(,-1/($Z$12:Z853=1),$H$12:H853)-IF(N852&lt;&gt;0,0,SUM(INDIRECT("T"&amp;(MAX((0&lt;&gt;N$12:N852)*ROW(N$12:N852)+1,ROW($T$12))&amp;":T"&amp;(ROW()-1))))),Первоначальный[[#This Row],[Полученный платеж]]+Y852),
AND(S852=0,Первоначальный[[#This Row],[Дата платежа из графика]]=1),MIN(LOOKUP(,-1/($Z$12:Z853=1),$C$12:C853)+LOOKUP(,-1/($Z$12:Z853=1),$H$12:H853)-IF(Z852=1,0,SUM(INDIRECT("T"&amp;(MAX((1=Z$12:Z852)*ROW(Z$12:Z852)+1,ROW($T$12))&amp;":T"&amp;(ROW()-1))))),Первоначальный[[#This Row],[Полученный платеж]]+Y852),
AND(Z852&gt;0,Первоначальный[[#This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платеж]]+Y852),
AND(S852&gt;0,MAX((0&lt;&gt;S$12:S852)*ROW(S$12:S852),ROW($S$12))&gt;=MAX((1=Z$12:Z852)*ROW(Z$12:Z852),ROW($T$12)),TYPE(VLOOKUP("Да",(INDIRECT("AA"&amp;(MAX((1=Z$12:Z852)*ROW(Z$12:Z852),ROW($T$12))&amp;":AA"&amp;(ROW()-1)))),1,0))=16),MIN(LOOKUP(,-1/($Z$12:Z853=1),$C$12:C853)+LOOKUP(,-1/($Z$12:Z853=1),$H$12:H853)-SUM(INDIRECT("T"&amp;(MAX((1=Z$12:Z852)*ROW(Z$12:Z852),ROW($T$12))&amp;":T"&amp;(ROW()-1)))),Первоначальный[[#This Row],[Полученный платеж]]+Y852),
S852&gt;0,MIN(LOOKUP(,-1/($Z$12:Z853=1),$C$12:C853)+LOOKUP(,-1/($Z$12:Z853=1),$H$12:H853)-IF(Z852=1,0,SUM(INDIRECT("T"&amp;(MAX((1=Z$12:Z852)*ROW(Z$12:Z852)+1,ROW($T$12))&amp;":T"&amp;(ROW()-1))))),Первоначальный[[#This Row],[Полученный платеж]]+Y852)
)
)
)</f>
        <v>0</v>
      </c>
      <c r="U85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платеж]]+Y852-Первоначальный[[#This Row],[Полученный платёж по процентам]])</f>
        <v>0</v>
      </c>
      <c r="V853" s="55">
        <f t="shared" ca="1" si="157"/>
        <v>0</v>
      </c>
      <c r="W853" s="55" cm="1">
        <f t="array" aca="1" ref="W853" ca="1">IF(Первоначальный[[#This Row],[Итого остаток на начало периода]]&lt;1,0,
_xlfn.IFS(
AND(TYPE(VLOOKUP(1,$Z$12:Z853,1,0))=16,Первоначальный[[#This Row],[Досрочное погашение (да/"")]]=""),0,
AND(S852=0,Первоначальный[[#This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платеж]]+Y852-SUM(Первоначальный[[#This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комиссиям]]),VLOOKUP(LOOKUP(,-1/($Z$12:Z853=1),$A$12:A853),График[[Срок конец]:[Возврат основной суммы долга]],3,0)),
AND(S852=0,Первоначальный[[#This Row],[Дата платежа из графика]]="",Первоначальный[[#This Row],[Досрочное погашение (да/"")]]&lt;&gt;"Да"),0,
AND(S852=0,Первоначальный[[#This Row],[Досрочное погашение (да/"")]]=""),MIN(Первоначальный[[#This Row],[Полученный платеж]]+Y852-SUM(Первоначальный[[#This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комиссиям]]),VLOOKUP(LOOKUP(,-1/($Z$12:Z853=1),$A$12:A853),График[[Срок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платеж]]+Y852-SUM(Первоначальный[[#This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S852&gt;0,MIN(Первоначальный[[#This Row],[Полученный платеж]]+Y852-SUM(Первоначальный[[#This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комиссиям]]),SUM(INDIRECT("M"&amp;(MAX((1=S$12:S852)*ROW(S$12:S852),ROW($W$12))&amp;":M"&amp;(ROW()))))-SUM(INDIRECT("W"&amp;(MAX((1=S$12:S852)*ROW(S$12:S852),ROW($W$12))&amp;":W"&amp;(ROW()-1)))))
)
)</f>
        <v>0</v>
      </c>
      <c r="X853" s="55">
        <f t="shared" ca="1" si="158"/>
        <v>0</v>
      </c>
      <c r="Y853" s="101">
        <f t="shared" ca="1" si="165"/>
        <v>0</v>
      </c>
      <c r="Z853" s="133" t="str">
        <f>IF(TYPE((VLOOKUP(Первоначальный[[#This Row],[Дата платежа]],График[Срок конец],1,0)))=16,"",1)</f>
        <v/>
      </c>
      <c r="AA853" s="57"/>
      <c r="AB853" s="134"/>
      <c r="AC85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5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61017.739999999874</v>
      </c>
      <c r="AE85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2520.2599999999975</v>
      </c>
      <c r="AF85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5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139353.83395573762</v>
      </c>
      <c r="AH853" s="55"/>
      <c r="AI853" s="55"/>
      <c r="AJ853" s="55"/>
      <c r="AK853" s="101">
        <f t="shared" ca="1" si="166"/>
        <v>352525.1739557375</v>
      </c>
      <c r="AL853" s="129">
        <f t="array" ref="AL853">MAX((УслРестрактов[Характеристика]="Дата реструктуризации")*(УслРестрактов[Значение]=Первоначальный!$A853),0)</f>
        <v>0</v>
      </c>
    </row>
    <row r="854" spans="1:38" x14ac:dyDescent="0.25">
      <c r="A854" s="97">
        <f t="shared" si="159"/>
        <v>44985</v>
      </c>
      <c r="B854" s="100">
        <f t="shared" ca="1" si="160"/>
        <v>149633.34</v>
      </c>
      <c r="C854" s="55">
        <f t="shared" ca="1" si="156"/>
        <v>61017.739999999874</v>
      </c>
      <c r="D854" s="55">
        <f t="shared" ca="1" si="156"/>
        <v>2520.2599999999975</v>
      </c>
      <c r="E854" s="55">
        <f t="shared" ca="1" si="161"/>
        <v>0</v>
      </c>
      <c r="F854" s="55">
        <f t="shared" ca="1" si="162"/>
        <v>139353.83395573762</v>
      </c>
      <c r="G854" s="101">
        <f t="shared" ca="1" si="163"/>
        <v>352525.1739557375</v>
      </c>
      <c r="H854" s="100">
        <f ca="1">ROUND($B854*VLOOKUP($A854,$A$1:$B$10,2,1)/(365+IF(MOD(YEAR($A854),4),0,1)*($A854-$A853)),2)-Первоначальный[[#This Row],[Проценты на просроченный платеж по ОД за период]]</f>
        <v>74.63</v>
      </c>
      <c r="I854" s="55">
        <f t="shared" ca="1" si="164"/>
        <v>6.95</v>
      </c>
      <c r="J854" s="55">
        <v>0</v>
      </c>
      <c r="K854" s="55">
        <f t="shared" ca="1" si="167"/>
        <v>362.05850327868842</v>
      </c>
      <c r="L854" s="55">
        <v>0</v>
      </c>
      <c r="M854" s="113">
        <f>SUMIFS(График[Возврат основной суммы долга],График[Дата с учетом нерабочих дней],$A854)</f>
        <v>0</v>
      </c>
      <c r="N854" s="56">
        <f>SUMIFS(График[Возврат начисленных %],График[Дата с учетом нерабочих дней],$A854)</f>
        <v>0</v>
      </c>
      <c r="O854" s="101">
        <v>0</v>
      </c>
      <c r="P854" s="100" cm="1">
        <f t="array" aca="1" ref="P854" ca="1">MAX(IF(AA853="Да",0,SUM(INDIRECT("M"&amp;(MAX(("Да"=AA$12:AA853)*ROW(AA$12:AA853)+1,ROW($P$12))&amp;":M"&amp;(ROW()))))-SUM(INDIRECT("W"&amp;(MAX(("Да"=AA$12:AA853)*ROW(AA$12:AA853)+1,ROW($P$12))&amp;":W"&amp;(ROW()))))),0)</f>
        <v>12739.58</v>
      </c>
      <c r="Q854" s="99">
        <f ca="1">MAX(SUM($N$13:N854)-SUM($T$13:T854),0)</f>
        <v>59672.120655737686</v>
      </c>
      <c r="R854" s="99">
        <f ca="1">Первоначальный[[#This Row],[Просроченный платеж по ОД]]+Первоначальный[[#This Row],[Просроченный платеж по процентам]]</f>
        <v>72411.700655737688</v>
      </c>
      <c r="S854" s="120">
        <f ca="1">IF(Первоначальный[[#This Row],[Просроченный платеж]]&lt;1,0,S853+1)</f>
        <v>750</v>
      </c>
      <c r="T854" s="100" cm="1">
        <f t="array" aca="1" ref="T854" ca="1">IF(Первоначальный[[#This Row],[Итого остаток на начало периода]]&lt;1,0,
IF(
AND(TYPE(VLOOKUP(1,$Z$12:Z854,1,0))=16,Первоначальный[[#This Row],[Досрочное погашение (да/"")]]=""),0,
_xlfn.IFS(AND(S853=0,Первоначальный[[#This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платеж]]&lt;&gt;0),MIN(LOOKUP(,-1/($Z$12:Z854=1),$C$12:C854)+LOOKUP(,-1/($Z$12:Z854=1),$H$12:H854),Первоначальный[[#This Row],[Полученный платеж]]+Y853),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платеж]]+Y853,SUM(Первоначальный[[#This Row],[Остаток процентов на начало периода]],Первоначальный[[#This Row],[Проценты за период]])),
AND(S853=0,Первоначальный[[#This Row],[Дата платежа из графика]]=""),0,
AND(S853=0,Первоначальный[[#This Row],[Дата платежа из графика]]=1,MAX((0&lt;&gt;S$12:S853)*ROW(S$12:S853),ROW($S$12))&gt;=MAX((1=Z$12:Z853)*ROW(Z$12:Z853),ROW($T$12)),TYPE(VLOOKUP("Да",(INDIRECT("AA"&amp;(MAX((1=Z$12:Z853)*ROW(Z$12:Z853),ROW($T$12))&amp;":AA"&amp;(ROW()-1)))),1,0))=16),MIN(LOOKUP(,-1/($Z$12:Z854=1),$C$12:C854)+LOOKUP(,-1/($Z$12:Z854=1),$H$12:H854),Первоначальный[[#This Row],[Полученный платеж]]+Y853),
AND(S853=0,TYPE(VLOOKUP("Да",(INDIRECT("AA"&amp;(MAX((1=Z$12:Z853)*ROW(Z$12:Z853),ROW($T$12))&amp;":AA"&amp;(ROW()-1)))),1,0))&lt;&gt;16),MIN(LOOKUP(,-1/($Z$12:Z854=1),$C$12:C854)+LOOKUP(,-1/($Z$12:Z854=1),$H$12:H854)-IF(AA853="Да",0,SUM(INDIRECT("T"&amp;(MAX(("Да"=AA$12:AA853)*ROW(AA$12:AA853)+1,ROW($T$12))&amp;":T"&amp;(ROW()-1))))),Первоначальный[[#This Row],[Полученный платеж]]+Y853),
AND(S853=0,MAX((0&lt;&gt;N$12:N853)*ROW(N$12:N853),ROW($S$12))&gt;=MAX((1=Z$12:Z853)*ROW(Z$12:Z853),ROW($T$12))),MIN(LOOKUP(,-1/($Z$12:Z854=1),$C$12:C854)+LOOKUP(,-1/($Z$12:Z854=1),$H$12:H854)-IF(N853&lt;&gt;0,0,SUM(INDIRECT("T"&amp;(MAX((0&lt;&gt;N$12:N853)*ROW(N$12:N853)+1,ROW($T$12))&amp;":T"&amp;(ROW()-1))))),Первоначальный[[#This Row],[Полученный платеж]]+Y853),
AND(S853=0,Первоначальный[[#This Row],[Дата платежа из графика]]=1),MIN(LOOKUP(,-1/($Z$12:Z854=1),$C$12:C854)+LOOKUP(,-1/($Z$12:Z854=1),$H$12:H854)-IF(Z853=1,0,SUM(INDIRECT("T"&amp;(MAX((1=Z$12:Z853)*ROW(Z$12:Z853)+1,ROW($T$12))&amp;":T"&amp;(ROW()-1))))),Первоначальный[[#This Row],[Полученный платеж]]+Y853),
AND(Z853&gt;0,Первоначальный[[#This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платеж]]+Y853),
AND(S853&gt;0,MAX((0&lt;&gt;S$12:S853)*ROW(S$12:S853),ROW($S$12))&gt;=MAX((1=Z$12:Z853)*ROW(Z$12:Z853),ROW($T$12)),TYPE(VLOOKUP("Да",(INDIRECT("AA"&amp;(MAX((1=Z$12:Z853)*ROW(Z$12:Z853),ROW($T$12))&amp;":AA"&amp;(ROW()-1)))),1,0))=16),MIN(LOOKUP(,-1/($Z$12:Z854=1),$C$12:C854)+LOOKUP(,-1/($Z$12:Z854=1),$H$12:H854)-SUM(INDIRECT("T"&amp;(MAX((1=Z$12:Z853)*ROW(Z$12:Z853),ROW($T$12))&amp;":T"&amp;(ROW()-1)))),Первоначальный[[#This Row],[Полученный платеж]]+Y853),
S853&gt;0,MIN(LOOKUP(,-1/($Z$12:Z854=1),$C$12:C854)+LOOKUP(,-1/($Z$12:Z854=1),$H$12:H854)-IF(Z853=1,0,SUM(INDIRECT("T"&amp;(MAX((1=Z$12:Z853)*ROW(Z$12:Z853)+1,ROW($T$12))&amp;":T"&amp;(ROW()-1))))),Первоначальный[[#This Row],[Полученный платеж]]+Y853)
)
)
)</f>
        <v>0</v>
      </c>
      <c r="U85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платеж]]+Y853-Первоначальный[[#This Row],[Полученный платёж по процентам]])</f>
        <v>0</v>
      </c>
      <c r="V854" s="55">
        <f t="shared" ca="1" si="157"/>
        <v>0</v>
      </c>
      <c r="W854" s="55" cm="1">
        <f t="array" aca="1" ref="W854" ca="1">IF(Первоначальный[[#This Row],[Итого остаток на начало периода]]&lt;1,0,
_xlfn.IFS(
AND(TYPE(VLOOKUP(1,$Z$12:Z854,1,0))=16,Первоначальный[[#This Row],[Досрочное погашение (да/"")]]=""),0,
AND(S853=0,Первоначальный[[#This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платеж]]+Y853-SUM(Первоначальный[[#This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комиссиям]]),VLOOKUP(LOOKUP(,-1/($Z$12:Z854=1),$A$12:A854),График[[Срок конец]:[Возврат основной суммы долга]],3,0)),
AND(S853=0,Первоначальный[[#This Row],[Дата платежа из графика]]="",Первоначальный[[#This Row],[Досрочное погашение (да/"")]]&lt;&gt;"Да"),0,
AND(S853=0,Первоначальный[[#This Row],[Досрочное погашение (да/"")]]=""),MIN(Первоначальный[[#This Row],[Полученный платеж]]+Y853-SUM(Первоначальный[[#This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комиссиям]]),VLOOKUP(LOOKUP(,-1/($Z$12:Z854=1),$A$12:A854),График[[Срок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платеж]]+Y853-SUM(Первоначальный[[#This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S853&gt;0,MIN(Первоначальный[[#This Row],[Полученный платеж]]+Y853-SUM(Первоначальный[[#This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комиссиям]]),SUM(INDIRECT("M"&amp;(MAX((1=S$12:S853)*ROW(S$12:S853),ROW($W$12))&amp;":M"&amp;(ROW()))))-SUM(INDIRECT("W"&amp;(MAX((1=S$12:S853)*ROW(S$12:S853),ROW($W$12))&amp;":W"&amp;(ROW()-1)))))
)
)</f>
        <v>0</v>
      </c>
      <c r="X854" s="55">
        <f t="shared" ca="1" si="158"/>
        <v>0</v>
      </c>
      <c r="Y854" s="101">
        <f t="shared" ca="1" si="165"/>
        <v>0</v>
      </c>
      <c r="Z854" s="133" t="str">
        <f>IF(TYPE((VLOOKUP(Первоначальный[[#This Row],[Дата платежа]],График[Срок конец],1,0)))=16,"",1)</f>
        <v/>
      </c>
      <c r="AA854" s="57"/>
      <c r="AB854" s="134"/>
      <c r="AC85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5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61092.369999999872</v>
      </c>
      <c r="AE85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2527.2099999999973</v>
      </c>
      <c r="AF85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5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139715.89245901629</v>
      </c>
      <c r="AH854" s="55"/>
      <c r="AI854" s="55"/>
      <c r="AJ854" s="55"/>
      <c r="AK854" s="101">
        <f t="shared" ca="1" si="166"/>
        <v>352968.81245901616</v>
      </c>
      <c r="AL854" s="129">
        <f t="array" ref="AL854">MAX((УслРестрактов[Характеристика]="Дата реструктуризации")*(УслРестрактов[Значение]=Первоначальный!$A854),0)</f>
        <v>0</v>
      </c>
    </row>
    <row r="855" spans="1:38" x14ac:dyDescent="0.25">
      <c r="A855" s="97">
        <f t="shared" si="159"/>
        <v>44986</v>
      </c>
      <c r="B855" s="100">
        <f t="shared" ca="1" si="160"/>
        <v>149633.34</v>
      </c>
      <c r="C855" s="55">
        <f t="shared" ca="1" si="156"/>
        <v>61092.369999999872</v>
      </c>
      <c r="D855" s="55">
        <f t="shared" ca="1" si="156"/>
        <v>2527.2099999999973</v>
      </c>
      <c r="E855" s="55">
        <f t="shared" ca="1" si="161"/>
        <v>0</v>
      </c>
      <c r="F855" s="55">
        <f t="shared" ca="1" si="162"/>
        <v>139715.89245901629</v>
      </c>
      <c r="G855" s="101">
        <f t="shared" ca="1" si="163"/>
        <v>352968.81245901616</v>
      </c>
      <c r="H855" s="100">
        <f ca="1">ROUND($B855*VLOOKUP($A855,$A$1:$B$10,2,1)/(365+IF(MOD(YEAR($A855),4),0,1)*($A855-$A854)),2)-Первоначальный[[#This Row],[Проценты на просроченный платеж по ОД за период]]</f>
        <v>74.63</v>
      </c>
      <c r="I855" s="55">
        <f t="shared" ca="1" si="164"/>
        <v>6.95</v>
      </c>
      <c r="J855" s="55">
        <v>0</v>
      </c>
      <c r="K855" s="55">
        <f t="shared" ca="1" si="167"/>
        <v>362.05850327868842</v>
      </c>
      <c r="L855" s="55">
        <v>0</v>
      </c>
      <c r="M855" s="113">
        <f>SUMIFS(График[Возврат основной суммы долга],График[Дата с учетом нерабочих дней],$A855)</f>
        <v>0</v>
      </c>
      <c r="N855" s="56">
        <f>SUMIFS(График[Возврат начисленных %],График[Дата с учетом нерабочих дней],$A855)</f>
        <v>0</v>
      </c>
      <c r="O855" s="101">
        <v>0</v>
      </c>
      <c r="P855" s="100" cm="1">
        <f t="array" aca="1" ref="P855" ca="1">MAX(IF(AA854="Да",0,SUM(INDIRECT("M"&amp;(MAX(("Да"=AA$12:AA854)*ROW(AA$12:AA854)+1,ROW($P$12))&amp;":M"&amp;(ROW()))))-SUM(INDIRECT("W"&amp;(MAX(("Да"=AA$12:AA854)*ROW(AA$12:AA854)+1,ROW($P$12))&amp;":W"&amp;(ROW()))))),0)</f>
        <v>12739.58</v>
      </c>
      <c r="Q855" s="99">
        <f ca="1">MAX(SUM($N$13:N855)-SUM($T$13:T855),0)</f>
        <v>59672.120655737686</v>
      </c>
      <c r="R855" s="99">
        <f ca="1">Первоначальный[[#This Row],[Просроченный платеж по ОД]]+Первоначальный[[#This Row],[Просроченный платеж по процентам]]</f>
        <v>72411.700655737688</v>
      </c>
      <c r="S855" s="120">
        <f ca="1">IF(Первоначальный[[#This Row],[Просроченный платеж]]&lt;1,0,S854+1)</f>
        <v>751</v>
      </c>
      <c r="T855" s="100" cm="1">
        <f t="array" aca="1" ref="T855" ca="1">IF(Первоначальный[[#This Row],[Итого остаток на начало периода]]&lt;1,0,
IF(
AND(TYPE(VLOOKUP(1,$Z$12:Z855,1,0))=16,Первоначальный[[#This Row],[Досрочное погашение (да/"")]]=""),0,
_xlfn.IFS(AND(S854=0,Первоначальный[[#This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платеж]]&lt;&gt;0),MIN(LOOKUP(,-1/($Z$12:Z855=1),$C$12:C855)+LOOKUP(,-1/($Z$12:Z855=1),$H$12:H855),Первоначальный[[#This Row],[Полученный платеж]]+Y854),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платеж]]+Y854,SUM(Первоначальный[[#This Row],[Остаток процентов на начало периода]],Первоначальный[[#This Row],[Проценты за период]])),
AND(S854=0,Первоначальный[[#This Row],[Дата платежа из графика]]=""),0,
AND(S854=0,Первоначальный[[#This Row],[Дата платежа из графика]]=1,MAX((0&lt;&gt;S$12:S854)*ROW(S$12:S854),ROW($S$12))&gt;=MAX((1=Z$12:Z854)*ROW(Z$12:Z854),ROW($T$12)),TYPE(VLOOKUP("Да",(INDIRECT("AA"&amp;(MAX((1=Z$12:Z854)*ROW(Z$12:Z854),ROW($T$12))&amp;":AA"&amp;(ROW()-1)))),1,0))=16),MIN(LOOKUP(,-1/($Z$12:Z855=1),$C$12:C855)+LOOKUP(,-1/($Z$12:Z855=1),$H$12:H855),Первоначальный[[#This Row],[Полученный платеж]]+Y854),
AND(S854=0,TYPE(VLOOKUP("Да",(INDIRECT("AA"&amp;(MAX((1=Z$12:Z854)*ROW(Z$12:Z854),ROW($T$12))&amp;":AA"&amp;(ROW()-1)))),1,0))&lt;&gt;16),MIN(LOOKUP(,-1/($Z$12:Z855=1),$C$12:C855)+LOOKUP(,-1/($Z$12:Z855=1),$H$12:H855)-IF(AA854="Да",0,SUM(INDIRECT("T"&amp;(MAX(("Да"=AA$12:AA854)*ROW(AA$12:AA854)+1,ROW($T$12))&amp;":T"&amp;(ROW()-1))))),Первоначальный[[#This Row],[Полученный платеж]]+Y854),
AND(S854=0,MAX((0&lt;&gt;N$12:N854)*ROW(N$12:N854),ROW($S$12))&gt;=MAX((1=Z$12:Z854)*ROW(Z$12:Z854),ROW($T$12))),MIN(LOOKUP(,-1/($Z$12:Z855=1),$C$12:C855)+LOOKUP(,-1/($Z$12:Z855=1),$H$12:H855)-IF(N854&lt;&gt;0,0,SUM(INDIRECT("T"&amp;(MAX((0&lt;&gt;N$12:N854)*ROW(N$12:N854)+1,ROW($T$12))&amp;":T"&amp;(ROW()-1))))),Первоначальный[[#This Row],[Полученный платеж]]+Y854),
AND(S854=0,Первоначальный[[#This Row],[Дата платежа из графика]]=1),MIN(LOOKUP(,-1/($Z$12:Z855=1),$C$12:C855)+LOOKUP(,-1/($Z$12:Z855=1),$H$12:H855)-IF(Z854=1,0,SUM(INDIRECT("T"&amp;(MAX((1=Z$12:Z854)*ROW(Z$12:Z854)+1,ROW($T$12))&amp;":T"&amp;(ROW()-1))))),Первоначальный[[#This Row],[Полученный платеж]]+Y854),
AND(Z854&gt;0,Первоначальный[[#This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платеж]]+Y854),
AND(S854&gt;0,MAX((0&lt;&gt;S$12:S854)*ROW(S$12:S854),ROW($S$12))&gt;=MAX((1=Z$12:Z854)*ROW(Z$12:Z854),ROW($T$12)),TYPE(VLOOKUP("Да",(INDIRECT("AA"&amp;(MAX((1=Z$12:Z854)*ROW(Z$12:Z854),ROW($T$12))&amp;":AA"&amp;(ROW()-1)))),1,0))=16),MIN(LOOKUP(,-1/($Z$12:Z855=1),$C$12:C855)+LOOKUP(,-1/($Z$12:Z855=1),$H$12:H855)-SUM(INDIRECT("T"&amp;(MAX((1=Z$12:Z854)*ROW(Z$12:Z854),ROW($T$12))&amp;":T"&amp;(ROW()-1)))),Первоначальный[[#This Row],[Полученный платеж]]+Y854),
S854&gt;0,MIN(LOOKUP(,-1/($Z$12:Z855=1),$C$12:C855)+LOOKUP(,-1/($Z$12:Z855=1),$H$12:H855)-IF(Z854=1,0,SUM(INDIRECT("T"&amp;(MAX((1=Z$12:Z854)*ROW(Z$12:Z854)+1,ROW($T$12))&amp;":T"&amp;(ROW()-1))))),Первоначальный[[#This Row],[Полученный платеж]]+Y854)
)
)
)</f>
        <v>0</v>
      </c>
      <c r="U85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платеж]]+Y854-Первоначальный[[#This Row],[Полученный платёж по процентам]])</f>
        <v>0</v>
      </c>
      <c r="V855" s="55">
        <f t="shared" ca="1" si="157"/>
        <v>0</v>
      </c>
      <c r="W855" s="55" cm="1">
        <f t="array" aca="1" ref="W855" ca="1">IF(Первоначальный[[#This Row],[Итого остаток на начало периода]]&lt;1,0,
_xlfn.IFS(
AND(TYPE(VLOOKUP(1,$Z$12:Z855,1,0))=16,Первоначальный[[#This Row],[Досрочное погашение (да/"")]]=""),0,
AND(S854=0,Первоначальный[[#This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платеж]]+Y854-SUM(Первоначальный[[#This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комиссиям]]),VLOOKUP(LOOKUP(,-1/($Z$12:Z855=1),$A$12:A855),График[[Срок конец]:[Возврат основной суммы долга]],3,0)),
AND(S854=0,Первоначальный[[#This Row],[Дата платежа из графика]]="",Первоначальный[[#This Row],[Досрочное погашение (да/"")]]&lt;&gt;"Да"),0,
AND(S854=0,Первоначальный[[#This Row],[Досрочное погашение (да/"")]]=""),MIN(Первоначальный[[#This Row],[Полученный платеж]]+Y854-SUM(Первоначальный[[#This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комиссиям]]),VLOOKUP(LOOKUP(,-1/($Z$12:Z855=1),$A$12:A855),График[[Срок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платеж]]+Y854-SUM(Первоначальный[[#This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S854&gt;0,MIN(Первоначальный[[#This Row],[Полученный платеж]]+Y854-SUM(Первоначальный[[#This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комиссиям]]),SUM(INDIRECT("M"&amp;(MAX((1=S$12:S854)*ROW(S$12:S854),ROW($W$12))&amp;":M"&amp;(ROW()))))-SUM(INDIRECT("W"&amp;(MAX((1=S$12:S854)*ROW(S$12:S854),ROW($W$12))&amp;":W"&amp;(ROW()-1)))))
)
)</f>
        <v>0</v>
      </c>
      <c r="X855" s="55">
        <f t="shared" ca="1" si="158"/>
        <v>0</v>
      </c>
      <c r="Y855" s="101">
        <f t="shared" ca="1" si="165"/>
        <v>0</v>
      </c>
      <c r="Z855" s="133" t="str">
        <f>IF(TYPE((VLOOKUP(Первоначальный[[#This Row],[Дата платежа]],График[Срок конец],1,0)))=16,"",1)</f>
        <v/>
      </c>
      <c r="AA855" s="57"/>
      <c r="AB855" s="134"/>
      <c r="AC85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5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61166.999999999869</v>
      </c>
      <c r="AE85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2534.1599999999971</v>
      </c>
      <c r="AF85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5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140077.95096229497</v>
      </c>
      <c r="AH855" s="55"/>
      <c r="AI855" s="55"/>
      <c r="AJ855" s="55"/>
      <c r="AK855" s="101">
        <f t="shared" ca="1" si="166"/>
        <v>353412.45096229482</v>
      </c>
      <c r="AL855" s="129">
        <f t="array" ref="AL855">MAX((УслРестрактов[Характеристика]="Дата реструктуризации")*(УслРестрактов[Значение]=Первоначальный!$A855),0)</f>
        <v>0</v>
      </c>
    </row>
    <row r="856" spans="1:38" x14ac:dyDescent="0.25">
      <c r="A856" s="97">
        <f t="shared" si="159"/>
        <v>44987</v>
      </c>
      <c r="B856" s="100">
        <f t="shared" ca="1" si="160"/>
        <v>149633.34</v>
      </c>
      <c r="C856" s="55">
        <f t="shared" ca="1" si="156"/>
        <v>61166.999999999869</v>
      </c>
      <c r="D856" s="55">
        <f t="shared" ca="1" si="156"/>
        <v>2534.1599999999971</v>
      </c>
      <c r="E856" s="55">
        <f t="shared" ca="1" si="161"/>
        <v>0</v>
      </c>
      <c r="F856" s="55">
        <f t="shared" ca="1" si="162"/>
        <v>140077.95096229497</v>
      </c>
      <c r="G856" s="101">
        <f t="shared" ca="1" si="163"/>
        <v>353412.45096229482</v>
      </c>
      <c r="H856" s="100">
        <f ca="1">ROUND($B856*VLOOKUP($A856,$A$1:$B$10,2,1)/(365+IF(MOD(YEAR($A856),4),0,1)*($A856-$A855)),2)-Первоначальный[[#This Row],[Проценты на просроченный платеж по ОД за период]]</f>
        <v>74.63</v>
      </c>
      <c r="I856" s="55">
        <f t="shared" ca="1" si="164"/>
        <v>6.95</v>
      </c>
      <c r="J856" s="55">
        <v>0</v>
      </c>
      <c r="K856" s="55">
        <f t="shared" ca="1" si="167"/>
        <v>362.05850327868842</v>
      </c>
      <c r="L856" s="55">
        <v>0</v>
      </c>
      <c r="M856" s="113">
        <f>SUMIFS(График[Возврат основной суммы долга],График[Дата с учетом нерабочих дней],$A856)</f>
        <v>0</v>
      </c>
      <c r="N856" s="56">
        <f>SUMIFS(График[Возврат начисленных %],График[Дата с учетом нерабочих дней],$A856)</f>
        <v>0</v>
      </c>
      <c r="O856" s="101">
        <v>0</v>
      </c>
      <c r="P856" s="100" cm="1">
        <f t="array" aca="1" ref="P856" ca="1">MAX(IF(AA855="Да",0,SUM(INDIRECT("M"&amp;(MAX(("Да"=AA$12:AA855)*ROW(AA$12:AA855)+1,ROW($P$12))&amp;":M"&amp;(ROW()))))-SUM(INDIRECT("W"&amp;(MAX(("Да"=AA$12:AA855)*ROW(AA$12:AA855)+1,ROW($P$12))&amp;":W"&amp;(ROW()))))),0)</f>
        <v>12739.58</v>
      </c>
      <c r="Q856" s="99">
        <f ca="1">MAX(SUM($N$13:N856)-SUM($T$13:T856),0)</f>
        <v>59672.120655737686</v>
      </c>
      <c r="R856" s="99">
        <f ca="1">Первоначальный[[#This Row],[Просроченный платеж по ОД]]+Первоначальный[[#This Row],[Просроченный платеж по процентам]]</f>
        <v>72411.700655737688</v>
      </c>
      <c r="S856" s="120">
        <f ca="1">IF(Первоначальный[[#This Row],[Просроченный платеж]]&lt;1,0,S855+1)</f>
        <v>752</v>
      </c>
      <c r="T856" s="100" cm="1">
        <f t="array" aca="1" ref="T856" ca="1">IF(Первоначальный[[#This Row],[Итого остаток на начало периода]]&lt;1,0,
IF(
AND(TYPE(VLOOKUP(1,$Z$12:Z856,1,0))=16,Первоначальный[[#This Row],[Досрочное погашение (да/"")]]=""),0,
_xlfn.IFS(AND(S855=0,Первоначальный[[#This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платеж]]&lt;&gt;0),MIN(LOOKUP(,-1/($Z$12:Z856=1),$C$12:C856)+LOOKUP(,-1/($Z$12:Z856=1),$H$12:H856),Первоначальный[[#This Row],[Полученный платеж]]+Y855),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платеж]]+Y855,SUM(Первоначальный[[#This Row],[Остаток процентов на начало периода]],Первоначальный[[#This Row],[Проценты за период]])),
AND(S855=0,Первоначальный[[#This Row],[Дата платежа из графика]]=""),0,
AND(S855=0,Первоначальный[[#This Row],[Дата платежа из графика]]=1,MAX((0&lt;&gt;S$12:S855)*ROW(S$12:S855),ROW($S$12))&gt;=MAX((1=Z$12:Z855)*ROW(Z$12:Z855),ROW($T$12)),TYPE(VLOOKUP("Да",(INDIRECT("AA"&amp;(MAX((1=Z$12:Z855)*ROW(Z$12:Z855),ROW($T$12))&amp;":AA"&amp;(ROW()-1)))),1,0))=16),MIN(LOOKUP(,-1/($Z$12:Z856=1),$C$12:C856)+LOOKUP(,-1/($Z$12:Z856=1),$H$12:H856),Первоначальный[[#This Row],[Полученный платеж]]+Y855),
AND(S855=0,TYPE(VLOOKUP("Да",(INDIRECT("AA"&amp;(MAX((1=Z$12:Z855)*ROW(Z$12:Z855),ROW($T$12))&amp;":AA"&amp;(ROW()-1)))),1,0))&lt;&gt;16),MIN(LOOKUP(,-1/($Z$12:Z856=1),$C$12:C856)+LOOKUP(,-1/($Z$12:Z856=1),$H$12:H856)-IF(AA855="Да",0,SUM(INDIRECT("T"&amp;(MAX(("Да"=AA$12:AA855)*ROW(AA$12:AA855)+1,ROW($T$12))&amp;":T"&amp;(ROW()-1))))),Первоначальный[[#This Row],[Полученный платеж]]+Y855),
AND(S855=0,MAX((0&lt;&gt;N$12:N855)*ROW(N$12:N855),ROW($S$12))&gt;=MAX((1=Z$12:Z855)*ROW(Z$12:Z855),ROW($T$12))),MIN(LOOKUP(,-1/($Z$12:Z856=1),$C$12:C856)+LOOKUP(,-1/($Z$12:Z856=1),$H$12:H856)-IF(N855&lt;&gt;0,0,SUM(INDIRECT("T"&amp;(MAX((0&lt;&gt;N$12:N855)*ROW(N$12:N855)+1,ROW($T$12))&amp;":T"&amp;(ROW()-1))))),Первоначальный[[#This Row],[Полученный платеж]]+Y855),
AND(S855=0,Первоначальный[[#This Row],[Дата платежа из графика]]=1),MIN(LOOKUP(,-1/($Z$12:Z856=1),$C$12:C856)+LOOKUP(,-1/($Z$12:Z856=1),$H$12:H856)-IF(Z855=1,0,SUM(INDIRECT("T"&amp;(MAX((1=Z$12:Z855)*ROW(Z$12:Z855)+1,ROW($T$12))&amp;":T"&amp;(ROW()-1))))),Первоначальный[[#This Row],[Полученный платеж]]+Y855),
AND(Z855&gt;0,Первоначальный[[#This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платеж]]+Y855),
AND(S855&gt;0,MAX((0&lt;&gt;S$12:S855)*ROW(S$12:S855),ROW($S$12))&gt;=MAX((1=Z$12:Z855)*ROW(Z$12:Z855),ROW($T$12)),TYPE(VLOOKUP("Да",(INDIRECT("AA"&amp;(MAX((1=Z$12:Z855)*ROW(Z$12:Z855),ROW($T$12))&amp;":AA"&amp;(ROW()-1)))),1,0))=16),MIN(LOOKUP(,-1/($Z$12:Z856=1),$C$12:C856)+LOOKUP(,-1/($Z$12:Z856=1),$H$12:H856)-SUM(INDIRECT("T"&amp;(MAX((1=Z$12:Z855)*ROW(Z$12:Z855),ROW($T$12))&amp;":T"&amp;(ROW()-1)))),Первоначальный[[#This Row],[Полученный платеж]]+Y855),
S855&gt;0,MIN(LOOKUP(,-1/($Z$12:Z856=1),$C$12:C856)+LOOKUP(,-1/($Z$12:Z856=1),$H$12:H856)-IF(Z855=1,0,SUM(INDIRECT("T"&amp;(MAX((1=Z$12:Z855)*ROW(Z$12:Z855)+1,ROW($T$12))&amp;":T"&amp;(ROW()-1))))),Первоначальный[[#This Row],[Полученный платеж]]+Y855)
)
)
)</f>
        <v>0</v>
      </c>
      <c r="U85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платеж]]+Y855-Первоначальный[[#This Row],[Полученный платёж по процентам]])</f>
        <v>0</v>
      </c>
      <c r="V856" s="55">
        <f t="shared" ca="1" si="157"/>
        <v>0</v>
      </c>
      <c r="W856" s="55" cm="1">
        <f t="array" aca="1" ref="W856" ca="1">IF(Первоначальный[[#This Row],[Итого остаток на начало периода]]&lt;1,0,
_xlfn.IFS(
AND(TYPE(VLOOKUP(1,$Z$12:Z856,1,0))=16,Первоначальный[[#This Row],[Досрочное погашение (да/"")]]=""),0,
AND(S855=0,Первоначальный[[#This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платеж]]+Y855-SUM(Первоначальный[[#This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комиссиям]]),VLOOKUP(LOOKUP(,-1/($Z$12:Z856=1),$A$12:A856),График[[Срок конец]:[Возврат основной суммы долга]],3,0)),
AND(S855=0,Первоначальный[[#This Row],[Дата платежа из графика]]="",Первоначальный[[#This Row],[Досрочное погашение (да/"")]]&lt;&gt;"Да"),0,
AND(S855=0,Первоначальный[[#This Row],[Досрочное погашение (да/"")]]=""),MIN(Первоначальный[[#This Row],[Полученный платеж]]+Y855-SUM(Первоначальный[[#This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комиссиям]]),VLOOKUP(LOOKUP(,-1/($Z$12:Z856=1),$A$12:A856),График[[Срок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платеж]]+Y855-SUM(Первоначальный[[#This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S855&gt;0,MIN(Первоначальный[[#This Row],[Полученный платеж]]+Y855-SUM(Первоначальный[[#This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комиссиям]]),SUM(INDIRECT("M"&amp;(MAX((1=S$12:S855)*ROW(S$12:S855),ROW($W$12))&amp;":M"&amp;(ROW()))))-SUM(INDIRECT("W"&amp;(MAX((1=S$12:S855)*ROW(S$12:S855),ROW($W$12))&amp;":W"&amp;(ROW()-1)))))
)
)</f>
        <v>0</v>
      </c>
      <c r="X856" s="55">
        <f t="shared" ca="1" si="158"/>
        <v>0</v>
      </c>
      <c r="Y856" s="101">
        <f t="shared" ca="1" si="165"/>
        <v>0</v>
      </c>
      <c r="Z856" s="133" t="str">
        <f>IF(TYPE((VLOOKUP(Первоначальный[[#This Row],[Дата платежа]],График[Срок конец],1,0)))=16,"",1)</f>
        <v/>
      </c>
      <c r="AA856" s="57"/>
      <c r="AB856" s="134"/>
      <c r="AC85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5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61241.629999999866</v>
      </c>
      <c r="AE85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2541.1099999999969</v>
      </c>
      <c r="AF85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5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140440.00946557365</v>
      </c>
      <c r="AH856" s="55"/>
      <c r="AI856" s="55"/>
      <c r="AJ856" s="55"/>
      <c r="AK856" s="101">
        <f t="shared" ca="1" si="166"/>
        <v>353856.08946557349</v>
      </c>
      <c r="AL856" s="129">
        <f t="array" ref="AL856">MAX((УслРестрактов[Характеристика]="Дата реструктуризации")*(УслРестрактов[Значение]=Первоначальный!$A856),0)</f>
        <v>0</v>
      </c>
    </row>
    <row r="857" spans="1:38" x14ac:dyDescent="0.25">
      <c r="A857" s="97">
        <f t="shared" si="159"/>
        <v>44988</v>
      </c>
      <c r="B857" s="100">
        <f t="shared" ca="1" si="160"/>
        <v>149633.34</v>
      </c>
      <c r="C857" s="55">
        <f t="shared" ca="1" si="156"/>
        <v>61241.629999999866</v>
      </c>
      <c r="D857" s="55">
        <f t="shared" ca="1" si="156"/>
        <v>2541.1099999999969</v>
      </c>
      <c r="E857" s="55">
        <f t="shared" ca="1" si="161"/>
        <v>0</v>
      </c>
      <c r="F857" s="55">
        <f t="shared" ca="1" si="162"/>
        <v>140440.00946557365</v>
      </c>
      <c r="G857" s="101">
        <f t="shared" ca="1" si="163"/>
        <v>353856.08946557349</v>
      </c>
      <c r="H857" s="100">
        <f ca="1">ROUND($B857*VLOOKUP($A857,$A$1:$B$10,2,1)/(365+IF(MOD(YEAR($A857),4),0,1)*($A857-$A856)),2)-Первоначальный[[#This Row],[Проценты на просроченный платеж по ОД за период]]</f>
        <v>74.63</v>
      </c>
      <c r="I857" s="55">
        <f t="shared" ca="1" si="164"/>
        <v>6.95</v>
      </c>
      <c r="J857" s="55">
        <v>0</v>
      </c>
      <c r="K857" s="55">
        <f t="shared" ca="1" si="167"/>
        <v>362.05850327868842</v>
      </c>
      <c r="L857" s="55">
        <v>0</v>
      </c>
      <c r="M857" s="113">
        <f>SUMIFS(График[Возврат основной суммы долга],График[Дата с учетом нерабочих дней],$A857)</f>
        <v>0</v>
      </c>
      <c r="N857" s="56">
        <f>SUMIFS(График[Возврат начисленных %],График[Дата с учетом нерабочих дней],$A857)</f>
        <v>0</v>
      </c>
      <c r="O857" s="101">
        <v>0</v>
      </c>
      <c r="P857" s="100" cm="1">
        <f t="array" aca="1" ref="P857" ca="1">MAX(IF(AA856="Да",0,SUM(INDIRECT("M"&amp;(MAX(("Да"=AA$12:AA856)*ROW(AA$12:AA856)+1,ROW($P$12))&amp;":M"&amp;(ROW()))))-SUM(INDIRECT("W"&amp;(MAX(("Да"=AA$12:AA856)*ROW(AA$12:AA856)+1,ROW($P$12))&amp;":W"&amp;(ROW()))))),0)</f>
        <v>12739.58</v>
      </c>
      <c r="Q857" s="99">
        <f ca="1">MAX(SUM($N$13:N857)-SUM($T$13:T857),0)</f>
        <v>59672.120655737686</v>
      </c>
      <c r="R857" s="99">
        <f ca="1">Первоначальный[[#This Row],[Просроченный платеж по ОД]]+Первоначальный[[#This Row],[Просроченный платеж по процентам]]</f>
        <v>72411.700655737688</v>
      </c>
      <c r="S857" s="120">
        <f ca="1">IF(Первоначальный[[#This Row],[Просроченный платеж]]&lt;1,0,S856+1)</f>
        <v>753</v>
      </c>
      <c r="T857" s="100" cm="1">
        <f t="array" aca="1" ref="T857" ca="1">IF(Первоначальный[[#This Row],[Итого остаток на начало периода]]&lt;1,0,
IF(
AND(TYPE(VLOOKUP(1,$Z$12:Z857,1,0))=16,Первоначальный[[#This Row],[Досрочное погашение (да/"")]]=""),0,
_xlfn.IFS(AND(S856=0,Первоначальный[[#This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платеж]]&lt;&gt;0),MIN(LOOKUP(,-1/($Z$12:Z857=1),$C$12:C857)+LOOKUP(,-1/($Z$12:Z857=1),$H$12:H857),Первоначальный[[#This Row],[Полученный платеж]]+Y856),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платеж]]+Y856,SUM(Первоначальный[[#This Row],[Остаток процентов на начало периода]],Первоначальный[[#This Row],[Проценты за период]])),
AND(S856=0,Первоначальный[[#This Row],[Дата платежа из графика]]=""),0,
AND(S856=0,Первоначальный[[#This Row],[Дата платежа из графика]]=1,MAX((0&lt;&gt;S$12:S856)*ROW(S$12:S856),ROW($S$12))&gt;=MAX((1=Z$12:Z856)*ROW(Z$12:Z856),ROW($T$12)),TYPE(VLOOKUP("Да",(INDIRECT("AA"&amp;(MAX((1=Z$12:Z856)*ROW(Z$12:Z856),ROW($T$12))&amp;":AA"&amp;(ROW()-1)))),1,0))=16),MIN(LOOKUP(,-1/($Z$12:Z857=1),$C$12:C857)+LOOKUP(,-1/($Z$12:Z857=1),$H$12:H857),Первоначальный[[#This Row],[Полученный платеж]]+Y856),
AND(S856=0,TYPE(VLOOKUP("Да",(INDIRECT("AA"&amp;(MAX((1=Z$12:Z856)*ROW(Z$12:Z856),ROW($T$12))&amp;":AA"&amp;(ROW()-1)))),1,0))&lt;&gt;16),MIN(LOOKUP(,-1/($Z$12:Z857=1),$C$12:C857)+LOOKUP(,-1/($Z$12:Z857=1),$H$12:H857)-IF(AA856="Да",0,SUM(INDIRECT("T"&amp;(MAX(("Да"=AA$12:AA856)*ROW(AA$12:AA856)+1,ROW($T$12))&amp;":T"&amp;(ROW()-1))))),Первоначальный[[#This Row],[Полученный платеж]]+Y856),
AND(S856=0,MAX((0&lt;&gt;N$12:N856)*ROW(N$12:N856),ROW($S$12))&gt;=MAX((1=Z$12:Z856)*ROW(Z$12:Z856),ROW($T$12))),MIN(LOOKUP(,-1/($Z$12:Z857=1),$C$12:C857)+LOOKUP(,-1/($Z$12:Z857=1),$H$12:H857)-IF(N856&lt;&gt;0,0,SUM(INDIRECT("T"&amp;(MAX((0&lt;&gt;N$12:N856)*ROW(N$12:N856)+1,ROW($T$12))&amp;":T"&amp;(ROW()-1))))),Первоначальный[[#This Row],[Полученный платеж]]+Y856),
AND(S856=0,Первоначальный[[#This Row],[Дата платежа из графика]]=1),MIN(LOOKUP(,-1/($Z$12:Z857=1),$C$12:C857)+LOOKUP(,-1/($Z$12:Z857=1),$H$12:H857)-IF(Z856=1,0,SUM(INDIRECT("T"&amp;(MAX((1=Z$12:Z856)*ROW(Z$12:Z856)+1,ROW($T$12))&amp;":T"&amp;(ROW()-1))))),Первоначальный[[#This Row],[Полученный платеж]]+Y856),
AND(Z856&gt;0,Первоначальный[[#This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платеж]]+Y856),
AND(S856&gt;0,MAX((0&lt;&gt;S$12:S856)*ROW(S$12:S856),ROW($S$12))&gt;=MAX((1=Z$12:Z856)*ROW(Z$12:Z856),ROW($T$12)),TYPE(VLOOKUP("Да",(INDIRECT("AA"&amp;(MAX((1=Z$12:Z856)*ROW(Z$12:Z856),ROW($T$12))&amp;":AA"&amp;(ROW()-1)))),1,0))=16),MIN(LOOKUP(,-1/($Z$12:Z857=1),$C$12:C857)+LOOKUP(,-1/($Z$12:Z857=1),$H$12:H857)-SUM(INDIRECT("T"&amp;(MAX((1=Z$12:Z856)*ROW(Z$12:Z856),ROW($T$12))&amp;":T"&amp;(ROW()-1)))),Первоначальный[[#This Row],[Полученный платеж]]+Y856),
S856&gt;0,MIN(LOOKUP(,-1/($Z$12:Z857=1),$C$12:C857)+LOOKUP(,-1/($Z$12:Z857=1),$H$12:H857)-IF(Z856=1,0,SUM(INDIRECT("T"&amp;(MAX((1=Z$12:Z856)*ROW(Z$12:Z856)+1,ROW($T$12))&amp;":T"&amp;(ROW()-1))))),Первоначальный[[#This Row],[Полученный платеж]]+Y856)
)
)
)</f>
        <v>0</v>
      </c>
      <c r="U85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платеж]]+Y856-Первоначальный[[#This Row],[Полученный платёж по процентам]])</f>
        <v>0</v>
      </c>
      <c r="V857" s="55">
        <f t="shared" ca="1" si="157"/>
        <v>0</v>
      </c>
      <c r="W857" s="55" cm="1">
        <f t="array" aca="1" ref="W857" ca="1">IF(Первоначальный[[#This Row],[Итого остаток на начало периода]]&lt;1,0,
_xlfn.IFS(
AND(TYPE(VLOOKUP(1,$Z$12:Z857,1,0))=16,Первоначальный[[#This Row],[Досрочное погашение (да/"")]]=""),0,
AND(S856=0,Первоначальный[[#This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платеж]]+Y856-SUM(Первоначальный[[#This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комиссиям]]),VLOOKUP(LOOKUP(,-1/($Z$12:Z857=1),$A$12:A857),График[[Срок конец]:[Возврат основной суммы долга]],3,0)),
AND(S856=0,Первоначальный[[#This Row],[Дата платежа из графика]]="",Первоначальный[[#This Row],[Досрочное погашение (да/"")]]&lt;&gt;"Да"),0,
AND(S856=0,Первоначальный[[#This Row],[Досрочное погашение (да/"")]]=""),MIN(Первоначальный[[#This Row],[Полученный платеж]]+Y856-SUM(Первоначальный[[#This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комиссиям]]),VLOOKUP(LOOKUP(,-1/($Z$12:Z857=1),$A$12:A857),График[[Срок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платеж]]+Y856-SUM(Первоначальный[[#This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S856&gt;0,MIN(Первоначальный[[#This Row],[Полученный платеж]]+Y856-SUM(Первоначальный[[#This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комиссиям]]),SUM(INDIRECT("M"&amp;(MAX((1=S$12:S856)*ROW(S$12:S856),ROW($W$12))&amp;":M"&amp;(ROW()))))-SUM(INDIRECT("W"&amp;(MAX((1=S$12:S856)*ROW(S$12:S856),ROW($W$12))&amp;":W"&amp;(ROW()-1)))))
)
)</f>
        <v>0</v>
      </c>
      <c r="X857" s="55">
        <f t="shared" ca="1" si="158"/>
        <v>0</v>
      </c>
      <c r="Y857" s="101">
        <f t="shared" ca="1" si="165"/>
        <v>0</v>
      </c>
      <c r="Z857" s="133" t="str">
        <f>IF(TYPE((VLOOKUP(Первоначальный[[#This Row],[Дата платежа]],График[Срок конец],1,0)))=16,"",1)</f>
        <v/>
      </c>
      <c r="AA857" s="57"/>
      <c r="AB857" s="134"/>
      <c r="AC85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5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61316.259999999864</v>
      </c>
      <c r="AE85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2548.0599999999968</v>
      </c>
      <c r="AF85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5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140802.06796885232</v>
      </c>
      <c r="AH857" s="55"/>
      <c r="AI857" s="55"/>
      <c r="AJ857" s="55"/>
      <c r="AK857" s="101">
        <f t="shared" ca="1" si="166"/>
        <v>354299.72796885215</v>
      </c>
      <c r="AL857" s="129">
        <f t="array" ref="AL857">MAX((УслРестрактов[Характеристика]="Дата реструктуризации")*(УслРестрактов[Значение]=Первоначальный!$A857),0)</f>
        <v>0</v>
      </c>
    </row>
    <row r="858" spans="1:38" x14ac:dyDescent="0.25">
      <c r="A858" s="97">
        <f t="shared" si="159"/>
        <v>44989</v>
      </c>
      <c r="B858" s="100">
        <f t="shared" ca="1" si="160"/>
        <v>149633.34</v>
      </c>
      <c r="C858" s="55">
        <f t="shared" ca="1" si="156"/>
        <v>61316.259999999864</v>
      </c>
      <c r="D858" s="55">
        <f t="shared" ca="1" si="156"/>
        <v>2548.0599999999968</v>
      </c>
      <c r="E858" s="55">
        <f t="shared" ca="1" si="161"/>
        <v>0</v>
      </c>
      <c r="F858" s="55">
        <f t="shared" ca="1" si="162"/>
        <v>140802.06796885232</v>
      </c>
      <c r="G858" s="101">
        <f t="shared" ca="1" si="163"/>
        <v>354299.72796885215</v>
      </c>
      <c r="H858" s="100">
        <f ca="1">ROUND($B858*VLOOKUP($A858,$A$1:$B$10,2,1)/(365+IF(MOD(YEAR($A858),4),0,1)*($A858-$A857)),2)-Первоначальный[[#This Row],[Проценты на просроченный платеж по ОД за период]]</f>
        <v>74.63</v>
      </c>
      <c r="I858" s="55">
        <f t="shared" ca="1" si="164"/>
        <v>6.95</v>
      </c>
      <c r="J858" s="55">
        <v>0</v>
      </c>
      <c r="K858" s="55">
        <f t="shared" ca="1" si="167"/>
        <v>362.05850327868842</v>
      </c>
      <c r="L858" s="55">
        <v>0</v>
      </c>
      <c r="M858" s="113">
        <f>SUMIFS(График[Возврат основной суммы долга],График[Дата с учетом нерабочих дней],$A858)</f>
        <v>0</v>
      </c>
      <c r="N858" s="56">
        <f>SUMIFS(График[Возврат начисленных %],График[Дата с учетом нерабочих дней],$A858)</f>
        <v>0</v>
      </c>
      <c r="O858" s="101">
        <v>0</v>
      </c>
      <c r="P858" s="100" cm="1">
        <f t="array" aca="1" ref="P858" ca="1">MAX(IF(AA857="Да",0,SUM(INDIRECT("M"&amp;(MAX(("Да"=AA$12:AA857)*ROW(AA$12:AA857)+1,ROW($P$12))&amp;":M"&amp;(ROW()))))-SUM(INDIRECT("W"&amp;(MAX(("Да"=AA$12:AA857)*ROW(AA$12:AA857)+1,ROW($P$12))&amp;":W"&amp;(ROW()))))),0)</f>
        <v>12739.58</v>
      </c>
      <c r="Q858" s="99">
        <f ca="1">MAX(SUM($N$13:N858)-SUM($T$13:T858),0)</f>
        <v>59672.120655737686</v>
      </c>
      <c r="R858" s="99">
        <f ca="1">Первоначальный[[#This Row],[Просроченный платеж по ОД]]+Первоначальный[[#This Row],[Просроченный платеж по процентам]]</f>
        <v>72411.700655737688</v>
      </c>
      <c r="S858" s="120">
        <f ca="1">IF(Первоначальный[[#This Row],[Просроченный платеж]]&lt;1,0,S857+1)</f>
        <v>754</v>
      </c>
      <c r="T858" s="100" cm="1">
        <f t="array" aca="1" ref="T858" ca="1">IF(Первоначальный[[#This Row],[Итого остаток на начало периода]]&lt;1,0,
IF(
AND(TYPE(VLOOKUP(1,$Z$12:Z858,1,0))=16,Первоначальный[[#This Row],[Досрочное погашение (да/"")]]=""),0,
_xlfn.IFS(AND(S857=0,Первоначальный[[#This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платеж]]&lt;&gt;0),MIN(LOOKUP(,-1/($Z$12:Z858=1),$C$12:C858)+LOOKUP(,-1/($Z$12:Z858=1),$H$12:H858),Первоначальный[[#This Row],[Полученный платеж]]+Y857),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платеж]]+Y857,SUM(Первоначальный[[#This Row],[Остаток процентов на начало периода]],Первоначальный[[#This Row],[Проценты за период]])),
AND(S857=0,Первоначальный[[#This Row],[Дата платежа из графика]]=""),0,
AND(S857=0,Первоначальный[[#This Row],[Дата платежа из графика]]=1,MAX((0&lt;&gt;S$12:S857)*ROW(S$12:S857),ROW($S$12))&gt;=MAX((1=Z$12:Z857)*ROW(Z$12:Z857),ROW($T$12)),TYPE(VLOOKUP("Да",(INDIRECT("AA"&amp;(MAX((1=Z$12:Z857)*ROW(Z$12:Z857),ROW($T$12))&amp;":AA"&amp;(ROW()-1)))),1,0))=16),MIN(LOOKUP(,-1/($Z$12:Z858=1),$C$12:C858)+LOOKUP(,-1/($Z$12:Z858=1),$H$12:H858),Первоначальный[[#This Row],[Полученный платеж]]+Y857),
AND(S857=0,TYPE(VLOOKUP("Да",(INDIRECT("AA"&amp;(MAX((1=Z$12:Z857)*ROW(Z$12:Z857),ROW($T$12))&amp;":AA"&amp;(ROW()-1)))),1,0))&lt;&gt;16),MIN(LOOKUP(,-1/($Z$12:Z858=1),$C$12:C858)+LOOKUP(,-1/($Z$12:Z858=1),$H$12:H858)-IF(AA857="Да",0,SUM(INDIRECT("T"&amp;(MAX(("Да"=AA$12:AA857)*ROW(AA$12:AA857)+1,ROW($T$12))&amp;":T"&amp;(ROW()-1))))),Первоначальный[[#This Row],[Полученный платеж]]+Y857),
AND(S857=0,MAX((0&lt;&gt;N$12:N857)*ROW(N$12:N857),ROW($S$12))&gt;=MAX((1=Z$12:Z857)*ROW(Z$12:Z857),ROW($T$12))),MIN(LOOKUP(,-1/($Z$12:Z858=1),$C$12:C858)+LOOKUP(,-1/($Z$12:Z858=1),$H$12:H858)-IF(N857&lt;&gt;0,0,SUM(INDIRECT("T"&amp;(MAX((0&lt;&gt;N$12:N857)*ROW(N$12:N857)+1,ROW($T$12))&amp;":T"&amp;(ROW()-1))))),Первоначальный[[#This Row],[Полученный платеж]]+Y857),
AND(S857=0,Первоначальный[[#This Row],[Дата платежа из графика]]=1),MIN(LOOKUP(,-1/($Z$12:Z858=1),$C$12:C858)+LOOKUP(,-1/($Z$12:Z858=1),$H$12:H858)-IF(Z857=1,0,SUM(INDIRECT("T"&amp;(MAX((1=Z$12:Z857)*ROW(Z$12:Z857)+1,ROW($T$12))&amp;":T"&amp;(ROW()-1))))),Первоначальный[[#This Row],[Полученный платеж]]+Y857),
AND(Z857&gt;0,Первоначальный[[#This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платеж]]+Y857),
AND(S857&gt;0,MAX((0&lt;&gt;S$12:S857)*ROW(S$12:S857),ROW($S$12))&gt;=MAX((1=Z$12:Z857)*ROW(Z$12:Z857),ROW($T$12)),TYPE(VLOOKUP("Да",(INDIRECT("AA"&amp;(MAX((1=Z$12:Z857)*ROW(Z$12:Z857),ROW($T$12))&amp;":AA"&amp;(ROW()-1)))),1,0))=16),MIN(LOOKUP(,-1/($Z$12:Z858=1),$C$12:C858)+LOOKUP(,-1/($Z$12:Z858=1),$H$12:H858)-SUM(INDIRECT("T"&amp;(MAX((1=Z$12:Z857)*ROW(Z$12:Z857),ROW($T$12))&amp;":T"&amp;(ROW()-1)))),Первоначальный[[#This Row],[Полученный платеж]]+Y857),
S857&gt;0,MIN(LOOKUP(,-1/($Z$12:Z858=1),$C$12:C858)+LOOKUP(,-1/($Z$12:Z858=1),$H$12:H858)-IF(Z857=1,0,SUM(INDIRECT("T"&amp;(MAX((1=Z$12:Z857)*ROW(Z$12:Z857)+1,ROW($T$12))&amp;":T"&amp;(ROW()-1))))),Первоначальный[[#This Row],[Полученный платеж]]+Y857)
)
)
)</f>
        <v>0</v>
      </c>
      <c r="U85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платеж]]+Y857-Первоначальный[[#This Row],[Полученный платёж по процентам]])</f>
        <v>0</v>
      </c>
      <c r="V858" s="55">
        <f t="shared" ca="1" si="157"/>
        <v>0</v>
      </c>
      <c r="W858" s="55" cm="1">
        <f t="array" aca="1" ref="W858" ca="1">IF(Первоначальный[[#This Row],[Итого остаток на начало периода]]&lt;1,0,
_xlfn.IFS(
AND(TYPE(VLOOKUP(1,$Z$12:Z858,1,0))=16,Первоначальный[[#This Row],[Досрочное погашение (да/"")]]=""),0,
AND(S857=0,Первоначальный[[#This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платеж]]+Y857-SUM(Первоначальный[[#This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комиссиям]]),VLOOKUP(LOOKUP(,-1/($Z$12:Z858=1),$A$12:A858),График[[Срок конец]:[Возврат основной суммы долга]],3,0)),
AND(S857=0,Первоначальный[[#This Row],[Дата платежа из графика]]="",Первоначальный[[#This Row],[Досрочное погашение (да/"")]]&lt;&gt;"Да"),0,
AND(S857=0,Первоначальный[[#This Row],[Досрочное погашение (да/"")]]=""),MIN(Первоначальный[[#This Row],[Полученный платеж]]+Y857-SUM(Первоначальный[[#This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комиссиям]]),VLOOKUP(LOOKUP(,-1/($Z$12:Z858=1),$A$12:A858),График[[Срок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платеж]]+Y857-SUM(Первоначальный[[#This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S857&gt;0,MIN(Первоначальный[[#This Row],[Полученный платеж]]+Y857-SUM(Первоначальный[[#This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комиссиям]]),SUM(INDIRECT("M"&amp;(MAX((1=S$12:S857)*ROW(S$12:S857),ROW($W$12))&amp;":M"&amp;(ROW()))))-SUM(INDIRECT("W"&amp;(MAX((1=S$12:S857)*ROW(S$12:S857),ROW($W$12))&amp;":W"&amp;(ROW()-1)))))
)
)</f>
        <v>0</v>
      </c>
      <c r="X858" s="55">
        <f t="shared" ca="1" si="158"/>
        <v>0</v>
      </c>
      <c r="Y858" s="101">
        <f t="shared" ca="1" si="165"/>
        <v>0</v>
      </c>
      <c r="Z858" s="133" t="str">
        <f>IF(TYPE((VLOOKUP(Первоначальный[[#This Row],[Дата платежа]],График[Срок конец],1,0)))=16,"",1)</f>
        <v/>
      </c>
      <c r="AA858" s="57"/>
      <c r="AB858" s="134"/>
      <c r="AC85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5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61390.889999999861</v>
      </c>
      <c r="AE85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2555.0099999999966</v>
      </c>
      <c r="AF85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5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141164.126472131</v>
      </c>
      <c r="AH858" s="55"/>
      <c r="AI858" s="55"/>
      <c r="AJ858" s="55"/>
      <c r="AK858" s="101">
        <f t="shared" ca="1" si="166"/>
        <v>354743.36647213087</v>
      </c>
      <c r="AL858" s="129">
        <f t="array" ref="AL858">MAX((УслРестрактов[Характеристика]="Дата реструктуризации")*(УслРестрактов[Значение]=Первоначальный!$A858),0)</f>
        <v>0</v>
      </c>
    </row>
    <row r="859" spans="1:38" x14ac:dyDescent="0.25">
      <c r="A859" s="97">
        <f t="shared" si="159"/>
        <v>44990</v>
      </c>
      <c r="B859" s="100">
        <f t="shared" ca="1" si="160"/>
        <v>149633.34</v>
      </c>
      <c r="C859" s="55">
        <f t="shared" ca="1" si="156"/>
        <v>61390.889999999861</v>
      </c>
      <c r="D859" s="55">
        <f t="shared" ca="1" si="156"/>
        <v>2555.0099999999966</v>
      </c>
      <c r="E859" s="55">
        <f t="shared" ca="1" si="161"/>
        <v>0</v>
      </c>
      <c r="F859" s="55">
        <f t="shared" ca="1" si="162"/>
        <v>141164.126472131</v>
      </c>
      <c r="G859" s="101">
        <f t="shared" ca="1" si="163"/>
        <v>354743.36647213087</v>
      </c>
      <c r="H859" s="100">
        <f ca="1">ROUND($B859*VLOOKUP($A859,$A$1:$B$10,2,1)/(365+IF(MOD(YEAR($A859),4),0,1)*($A859-$A858)),2)-Первоначальный[[#This Row],[Проценты на просроченный платеж по ОД за период]]</f>
        <v>74.63</v>
      </c>
      <c r="I859" s="55">
        <f t="shared" ca="1" si="164"/>
        <v>6.95</v>
      </c>
      <c r="J859" s="55">
        <v>0</v>
      </c>
      <c r="K859" s="55">
        <f t="shared" ca="1" si="167"/>
        <v>362.05850327868842</v>
      </c>
      <c r="L859" s="55">
        <v>0</v>
      </c>
      <c r="M859" s="113">
        <f>SUMIFS(График[Возврат основной суммы долга],График[Дата с учетом нерабочих дней],$A859)</f>
        <v>0</v>
      </c>
      <c r="N859" s="56">
        <f>SUMIFS(График[Возврат начисленных %],График[Дата с учетом нерабочих дней],$A859)</f>
        <v>0</v>
      </c>
      <c r="O859" s="101">
        <v>0</v>
      </c>
      <c r="P859" s="100" cm="1">
        <f t="array" aca="1" ref="P859" ca="1">MAX(IF(AA858="Да",0,SUM(INDIRECT("M"&amp;(MAX(("Да"=AA$12:AA858)*ROW(AA$12:AA858)+1,ROW($P$12))&amp;":M"&amp;(ROW()))))-SUM(INDIRECT("W"&amp;(MAX(("Да"=AA$12:AA858)*ROW(AA$12:AA858)+1,ROW($P$12))&amp;":W"&amp;(ROW()))))),0)</f>
        <v>12739.58</v>
      </c>
      <c r="Q859" s="99">
        <f ca="1">MAX(SUM($N$13:N859)-SUM($T$13:T859),0)</f>
        <v>59672.120655737686</v>
      </c>
      <c r="R859" s="99">
        <f ca="1">Первоначальный[[#This Row],[Просроченный платеж по ОД]]+Первоначальный[[#This Row],[Просроченный платеж по процентам]]</f>
        <v>72411.700655737688</v>
      </c>
      <c r="S859" s="120">
        <f ca="1">IF(Первоначальный[[#This Row],[Просроченный платеж]]&lt;1,0,S858+1)</f>
        <v>755</v>
      </c>
      <c r="T859" s="100" cm="1">
        <f t="array" aca="1" ref="T859" ca="1">IF(Первоначальный[[#This Row],[Итого остаток на начало периода]]&lt;1,0,
IF(
AND(TYPE(VLOOKUP(1,$Z$12:Z859,1,0))=16,Первоначальный[[#This Row],[Досрочное погашение (да/"")]]=""),0,
_xlfn.IFS(AND(S858=0,Первоначальный[[#This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платеж]]&lt;&gt;0),MIN(LOOKUP(,-1/($Z$12:Z859=1),$C$12:C859)+LOOKUP(,-1/($Z$12:Z859=1),$H$12:H859),Первоначальный[[#This Row],[Полученный платеж]]+Y858),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платеж]]+Y858,SUM(Первоначальный[[#This Row],[Остаток процентов на начало периода]],Первоначальный[[#This Row],[Проценты за период]])),
AND(S858=0,Первоначальный[[#This Row],[Дата платежа из графика]]=""),0,
AND(S858=0,Первоначальный[[#This Row],[Дата платежа из графика]]=1,MAX((0&lt;&gt;S$12:S858)*ROW(S$12:S858),ROW($S$12))&gt;=MAX((1=Z$12:Z858)*ROW(Z$12:Z858),ROW($T$12)),TYPE(VLOOKUP("Да",(INDIRECT("AA"&amp;(MAX((1=Z$12:Z858)*ROW(Z$12:Z858),ROW($T$12))&amp;":AA"&amp;(ROW()-1)))),1,0))=16),MIN(LOOKUP(,-1/($Z$12:Z859=1),$C$12:C859)+LOOKUP(,-1/($Z$12:Z859=1),$H$12:H859),Первоначальный[[#This Row],[Полученный платеж]]+Y858),
AND(S858=0,TYPE(VLOOKUP("Да",(INDIRECT("AA"&amp;(MAX((1=Z$12:Z858)*ROW(Z$12:Z858),ROW($T$12))&amp;":AA"&amp;(ROW()-1)))),1,0))&lt;&gt;16),MIN(LOOKUP(,-1/($Z$12:Z859=1),$C$12:C859)+LOOKUP(,-1/($Z$12:Z859=1),$H$12:H859)-IF(AA858="Да",0,SUM(INDIRECT("T"&amp;(MAX(("Да"=AA$12:AA858)*ROW(AA$12:AA858)+1,ROW($T$12))&amp;":T"&amp;(ROW()-1))))),Первоначальный[[#This Row],[Полученный платеж]]+Y858),
AND(S858=0,MAX((0&lt;&gt;N$12:N858)*ROW(N$12:N858),ROW($S$12))&gt;=MAX((1=Z$12:Z858)*ROW(Z$12:Z858),ROW($T$12))),MIN(LOOKUP(,-1/($Z$12:Z859=1),$C$12:C859)+LOOKUP(,-1/($Z$12:Z859=1),$H$12:H859)-IF(N858&lt;&gt;0,0,SUM(INDIRECT("T"&amp;(MAX((0&lt;&gt;N$12:N858)*ROW(N$12:N858)+1,ROW($T$12))&amp;":T"&amp;(ROW()-1))))),Первоначальный[[#This Row],[Полученный платеж]]+Y858),
AND(S858=0,Первоначальный[[#This Row],[Дата платежа из графика]]=1),MIN(LOOKUP(,-1/($Z$12:Z859=1),$C$12:C859)+LOOKUP(,-1/($Z$12:Z859=1),$H$12:H859)-IF(Z858=1,0,SUM(INDIRECT("T"&amp;(MAX((1=Z$12:Z858)*ROW(Z$12:Z858)+1,ROW($T$12))&amp;":T"&amp;(ROW()-1))))),Первоначальный[[#This Row],[Полученный платеж]]+Y858),
AND(Z858&gt;0,Первоначальный[[#This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платеж]]+Y858),
AND(S858&gt;0,MAX((0&lt;&gt;S$12:S858)*ROW(S$12:S858),ROW($S$12))&gt;=MAX((1=Z$12:Z858)*ROW(Z$12:Z858),ROW($T$12)),TYPE(VLOOKUP("Да",(INDIRECT("AA"&amp;(MAX((1=Z$12:Z858)*ROW(Z$12:Z858),ROW($T$12))&amp;":AA"&amp;(ROW()-1)))),1,0))=16),MIN(LOOKUP(,-1/($Z$12:Z859=1),$C$12:C859)+LOOKUP(,-1/($Z$12:Z859=1),$H$12:H859)-SUM(INDIRECT("T"&amp;(MAX((1=Z$12:Z858)*ROW(Z$12:Z858),ROW($T$12))&amp;":T"&amp;(ROW()-1)))),Первоначальный[[#This Row],[Полученный платеж]]+Y858),
S858&gt;0,MIN(LOOKUP(,-1/($Z$12:Z859=1),$C$12:C859)+LOOKUP(,-1/($Z$12:Z859=1),$H$12:H859)-IF(Z858=1,0,SUM(INDIRECT("T"&amp;(MAX((1=Z$12:Z858)*ROW(Z$12:Z858)+1,ROW($T$12))&amp;":T"&amp;(ROW()-1))))),Первоначальный[[#This Row],[Полученный платеж]]+Y858)
)
)
)</f>
        <v>0</v>
      </c>
      <c r="U85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платеж]]+Y858-Первоначальный[[#This Row],[Полученный платёж по процентам]])</f>
        <v>0</v>
      </c>
      <c r="V859" s="55">
        <f t="shared" ca="1" si="157"/>
        <v>0</v>
      </c>
      <c r="W859" s="55" cm="1">
        <f t="array" aca="1" ref="W859" ca="1">IF(Первоначальный[[#This Row],[Итого остаток на начало периода]]&lt;1,0,
_xlfn.IFS(
AND(TYPE(VLOOKUP(1,$Z$12:Z859,1,0))=16,Первоначальный[[#This Row],[Досрочное погашение (да/"")]]=""),0,
AND(S858=0,Первоначальный[[#This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платеж]]+Y858-SUM(Первоначальный[[#This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комиссиям]]),VLOOKUP(LOOKUP(,-1/($Z$12:Z859=1),$A$12:A859),График[[Срок конец]:[Возврат основной суммы долга]],3,0)),
AND(S858=0,Первоначальный[[#This Row],[Дата платежа из графика]]="",Первоначальный[[#This Row],[Досрочное погашение (да/"")]]&lt;&gt;"Да"),0,
AND(S858=0,Первоначальный[[#This Row],[Досрочное погашение (да/"")]]=""),MIN(Первоначальный[[#This Row],[Полученный платеж]]+Y858-SUM(Первоначальный[[#This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комиссиям]]),VLOOKUP(LOOKUP(,-1/($Z$12:Z859=1),$A$12:A859),График[[Срок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платеж]]+Y858-SUM(Первоначальный[[#This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S858&gt;0,MIN(Первоначальный[[#This Row],[Полученный платеж]]+Y858-SUM(Первоначальный[[#This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комиссиям]]),SUM(INDIRECT("M"&amp;(MAX((1=S$12:S858)*ROW(S$12:S858),ROW($W$12))&amp;":M"&amp;(ROW()))))-SUM(INDIRECT("W"&amp;(MAX((1=S$12:S858)*ROW(S$12:S858),ROW($W$12))&amp;":W"&amp;(ROW()-1)))))
)
)</f>
        <v>0</v>
      </c>
      <c r="X859" s="55">
        <f t="shared" ca="1" si="158"/>
        <v>0</v>
      </c>
      <c r="Y859" s="101">
        <f t="shared" ca="1" si="165"/>
        <v>0</v>
      </c>
      <c r="Z859" s="133" t="str">
        <f>IF(TYPE((VLOOKUP(Первоначальный[[#This Row],[Дата платежа]],График[Срок конец],1,0)))=16,"",1)</f>
        <v/>
      </c>
      <c r="AA859" s="57"/>
      <c r="AB859" s="134"/>
      <c r="AC85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5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61465.519999999859</v>
      </c>
      <c r="AE85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2561.9599999999964</v>
      </c>
      <c r="AF85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5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141526.18497540968</v>
      </c>
      <c r="AH859" s="55"/>
      <c r="AI859" s="55"/>
      <c r="AJ859" s="55"/>
      <c r="AK859" s="101">
        <f t="shared" ca="1" si="166"/>
        <v>355187.00497540954</v>
      </c>
      <c r="AL859" s="129">
        <f t="array" ref="AL859">MAX((УслРестрактов[Характеристика]="Дата реструктуризации")*(УслРестрактов[Значение]=Первоначальный!$A859),0)</f>
        <v>0</v>
      </c>
    </row>
    <row r="860" spans="1:38" x14ac:dyDescent="0.25">
      <c r="A860" s="97">
        <f t="shared" si="159"/>
        <v>44991</v>
      </c>
      <c r="B860" s="100">
        <f t="shared" ca="1" si="160"/>
        <v>149633.34</v>
      </c>
      <c r="C860" s="55">
        <f t="shared" ca="1" si="156"/>
        <v>61465.519999999859</v>
      </c>
      <c r="D860" s="55">
        <f t="shared" ca="1" si="156"/>
        <v>2561.9599999999964</v>
      </c>
      <c r="E860" s="55">
        <f t="shared" ca="1" si="161"/>
        <v>0</v>
      </c>
      <c r="F860" s="55">
        <f t="shared" ca="1" si="162"/>
        <v>141526.18497540968</v>
      </c>
      <c r="G860" s="101">
        <f t="shared" ca="1" si="163"/>
        <v>355187.00497540954</v>
      </c>
      <c r="H860" s="100">
        <f ca="1">ROUND($B860*VLOOKUP($A860,$A$1:$B$10,2,1)/(365+IF(MOD(YEAR($A860),4),0,1)*($A860-$A859)),2)-Первоначальный[[#This Row],[Проценты на просроченный платеж по ОД за период]]</f>
        <v>74.63</v>
      </c>
      <c r="I860" s="55">
        <f t="shared" ca="1" si="164"/>
        <v>6.95</v>
      </c>
      <c r="J860" s="55">
        <v>0</v>
      </c>
      <c r="K860" s="55">
        <f t="shared" ca="1" si="167"/>
        <v>362.05850327868842</v>
      </c>
      <c r="L860" s="55">
        <v>0</v>
      </c>
      <c r="M860" s="113">
        <f>SUMIFS(График[Возврат основной суммы долга],График[Дата с учетом нерабочих дней],$A860)</f>
        <v>0</v>
      </c>
      <c r="N860" s="56">
        <f>SUMIFS(График[Возврат начисленных %],График[Дата с учетом нерабочих дней],$A860)</f>
        <v>0</v>
      </c>
      <c r="O860" s="101">
        <v>0</v>
      </c>
      <c r="P860" s="100" cm="1">
        <f t="array" aca="1" ref="P860" ca="1">MAX(IF(AA859="Да",0,SUM(INDIRECT("M"&amp;(MAX(("Да"=AA$12:AA859)*ROW(AA$12:AA859)+1,ROW($P$12))&amp;":M"&amp;(ROW()))))-SUM(INDIRECT("W"&amp;(MAX(("Да"=AA$12:AA859)*ROW(AA$12:AA859)+1,ROW($P$12))&amp;":W"&amp;(ROW()))))),0)</f>
        <v>12739.58</v>
      </c>
      <c r="Q860" s="99">
        <f ca="1">MAX(SUM($N$13:N860)-SUM($T$13:T860),0)</f>
        <v>59672.120655737686</v>
      </c>
      <c r="R860" s="99">
        <f ca="1">Первоначальный[[#This Row],[Просроченный платеж по ОД]]+Первоначальный[[#This Row],[Просроченный платеж по процентам]]</f>
        <v>72411.700655737688</v>
      </c>
      <c r="S860" s="120">
        <f ca="1">IF(Первоначальный[[#This Row],[Просроченный платеж]]&lt;1,0,S859+1)</f>
        <v>756</v>
      </c>
      <c r="T860" s="100" cm="1">
        <f t="array" aca="1" ref="T860" ca="1">IF(Первоначальный[[#This Row],[Итого остаток на начало периода]]&lt;1,0,
IF(
AND(TYPE(VLOOKUP(1,$Z$12:Z860,1,0))=16,Первоначальный[[#This Row],[Досрочное погашение (да/"")]]=""),0,
_xlfn.IFS(AND(S859=0,Первоначальный[[#This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платеж]]&lt;&gt;0),MIN(LOOKUP(,-1/($Z$12:Z860=1),$C$12:C860)+LOOKUP(,-1/($Z$12:Z860=1),$H$12:H860),Первоначальный[[#This Row],[Полученный платеж]]+Y859),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платеж]]+Y859,SUM(Первоначальный[[#This Row],[Остаток процентов на начало периода]],Первоначальный[[#This Row],[Проценты за период]])),
AND(S859=0,Первоначальный[[#This Row],[Дата платежа из графика]]=""),0,
AND(S859=0,Первоначальный[[#This Row],[Дата платежа из графика]]=1,MAX((0&lt;&gt;S$12:S859)*ROW(S$12:S859),ROW($S$12))&gt;=MAX((1=Z$12:Z859)*ROW(Z$12:Z859),ROW($T$12)),TYPE(VLOOKUP("Да",(INDIRECT("AA"&amp;(MAX((1=Z$12:Z859)*ROW(Z$12:Z859),ROW($T$12))&amp;":AA"&amp;(ROW()-1)))),1,0))=16),MIN(LOOKUP(,-1/($Z$12:Z860=1),$C$12:C860)+LOOKUP(,-1/($Z$12:Z860=1),$H$12:H860),Первоначальный[[#This Row],[Полученный платеж]]+Y859),
AND(S859=0,TYPE(VLOOKUP("Да",(INDIRECT("AA"&amp;(MAX((1=Z$12:Z859)*ROW(Z$12:Z859),ROW($T$12))&amp;":AA"&amp;(ROW()-1)))),1,0))&lt;&gt;16),MIN(LOOKUP(,-1/($Z$12:Z860=1),$C$12:C860)+LOOKUP(,-1/($Z$12:Z860=1),$H$12:H860)-IF(AA859="Да",0,SUM(INDIRECT("T"&amp;(MAX(("Да"=AA$12:AA859)*ROW(AA$12:AA859)+1,ROW($T$12))&amp;":T"&amp;(ROW()-1))))),Первоначальный[[#This Row],[Полученный платеж]]+Y859),
AND(S859=0,MAX((0&lt;&gt;N$12:N859)*ROW(N$12:N859),ROW($S$12))&gt;=MAX((1=Z$12:Z859)*ROW(Z$12:Z859),ROW($T$12))),MIN(LOOKUP(,-1/($Z$12:Z860=1),$C$12:C860)+LOOKUP(,-1/($Z$12:Z860=1),$H$12:H860)-IF(N859&lt;&gt;0,0,SUM(INDIRECT("T"&amp;(MAX((0&lt;&gt;N$12:N859)*ROW(N$12:N859)+1,ROW($T$12))&amp;":T"&amp;(ROW()-1))))),Первоначальный[[#This Row],[Полученный платеж]]+Y859),
AND(S859=0,Первоначальный[[#This Row],[Дата платежа из графика]]=1),MIN(LOOKUP(,-1/($Z$12:Z860=1),$C$12:C860)+LOOKUP(,-1/($Z$12:Z860=1),$H$12:H860)-IF(Z859=1,0,SUM(INDIRECT("T"&amp;(MAX((1=Z$12:Z859)*ROW(Z$12:Z859)+1,ROW($T$12))&amp;":T"&amp;(ROW()-1))))),Первоначальный[[#This Row],[Полученный платеж]]+Y859),
AND(Z859&gt;0,Первоначальный[[#This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платеж]]+Y859),
AND(S859&gt;0,MAX((0&lt;&gt;S$12:S859)*ROW(S$12:S859),ROW($S$12))&gt;=MAX((1=Z$12:Z859)*ROW(Z$12:Z859),ROW($T$12)),TYPE(VLOOKUP("Да",(INDIRECT("AA"&amp;(MAX((1=Z$12:Z859)*ROW(Z$12:Z859),ROW($T$12))&amp;":AA"&amp;(ROW()-1)))),1,0))=16),MIN(LOOKUP(,-1/($Z$12:Z860=1),$C$12:C860)+LOOKUP(,-1/($Z$12:Z860=1),$H$12:H860)-SUM(INDIRECT("T"&amp;(MAX((1=Z$12:Z859)*ROW(Z$12:Z859),ROW($T$12))&amp;":T"&amp;(ROW()-1)))),Первоначальный[[#This Row],[Полученный платеж]]+Y859),
S859&gt;0,MIN(LOOKUP(,-1/($Z$12:Z860=1),$C$12:C860)+LOOKUP(,-1/($Z$12:Z860=1),$H$12:H860)-IF(Z859=1,0,SUM(INDIRECT("T"&amp;(MAX((1=Z$12:Z859)*ROW(Z$12:Z859)+1,ROW($T$12))&amp;":T"&amp;(ROW()-1))))),Первоначальный[[#This Row],[Полученный платеж]]+Y859)
)
)
)</f>
        <v>0</v>
      </c>
      <c r="U86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платеж]]+Y859-Первоначальный[[#This Row],[Полученный платёж по процентам]])</f>
        <v>0</v>
      </c>
      <c r="V860" s="55">
        <f t="shared" ca="1" si="157"/>
        <v>0</v>
      </c>
      <c r="W860" s="55" cm="1">
        <f t="array" aca="1" ref="W860" ca="1">IF(Первоначальный[[#This Row],[Итого остаток на начало периода]]&lt;1,0,
_xlfn.IFS(
AND(TYPE(VLOOKUP(1,$Z$12:Z860,1,0))=16,Первоначальный[[#This Row],[Досрочное погашение (да/"")]]=""),0,
AND(S859=0,Первоначальный[[#This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платеж]]+Y859-SUM(Первоначальный[[#This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комиссиям]]),VLOOKUP(LOOKUP(,-1/($Z$12:Z860=1),$A$12:A860),График[[Срок конец]:[Возврат основной суммы долга]],3,0)),
AND(S859=0,Первоначальный[[#This Row],[Дата платежа из графика]]="",Первоначальный[[#This Row],[Досрочное погашение (да/"")]]&lt;&gt;"Да"),0,
AND(S859=0,Первоначальный[[#This Row],[Досрочное погашение (да/"")]]=""),MIN(Первоначальный[[#This Row],[Полученный платеж]]+Y859-SUM(Первоначальный[[#This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комиссиям]]),VLOOKUP(LOOKUP(,-1/($Z$12:Z860=1),$A$12:A860),График[[Срок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платеж]]+Y859-SUM(Первоначальный[[#This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S859&gt;0,MIN(Первоначальный[[#This Row],[Полученный платеж]]+Y859-SUM(Первоначальный[[#This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комиссиям]]),SUM(INDIRECT("M"&amp;(MAX((1=S$12:S859)*ROW(S$12:S859),ROW($W$12))&amp;":M"&amp;(ROW()))))-SUM(INDIRECT("W"&amp;(MAX((1=S$12:S859)*ROW(S$12:S859),ROW($W$12))&amp;":W"&amp;(ROW()-1)))))
)
)</f>
        <v>0</v>
      </c>
      <c r="X860" s="55">
        <f t="shared" ca="1" si="158"/>
        <v>0</v>
      </c>
      <c r="Y860" s="101">
        <f t="shared" ca="1" si="165"/>
        <v>0</v>
      </c>
      <c r="Z860" s="133" t="str">
        <f>IF(TYPE((VLOOKUP(Первоначальный[[#This Row],[Дата платежа]],График[Срок конец],1,0)))=16,"",1)</f>
        <v/>
      </c>
      <c r="AA860" s="57"/>
      <c r="AB860" s="134"/>
      <c r="AC86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6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61540.149999999856</v>
      </c>
      <c r="AE86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2568.9099999999962</v>
      </c>
      <c r="AF86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6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141888.24347868835</v>
      </c>
      <c r="AH860" s="55"/>
      <c r="AI860" s="55"/>
      <c r="AJ860" s="55"/>
      <c r="AK860" s="101">
        <f t="shared" ca="1" si="166"/>
        <v>355630.6434786882</v>
      </c>
      <c r="AL860" s="129">
        <f t="array" ref="AL860">MAX((УслРестрактов[Характеристика]="Дата реструктуризации")*(УслРестрактов[Значение]=Первоначальный!$A860),0)</f>
        <v>0</v>
      </c>
    </row>
    <row r="861" spans="1:38" x14ac:dyDescent="0.25">
      <c r="A861" s="97">
        <f t="shared" si="159"/>
        <v>44992</v>
      </c>
      <c r="B861" s="100">
        <f t="shared" ca="1" si="160"/>
        <v>149633.34</v>
      </c>
      <c r="C861" s="55">
        <f t="shared" ref="C861:D873" ca="1" si="168">AD860+AI860</f>
        <v>61540.149999999856</v>
      </c>
      <c r="D861" s="55">
        <f t="shared" ca="1" si="168"/>
        <v>2568.9099999999962</v>
      </c>
      <c r="E861" s="55">
        <f t="shared" ca="1" si="161"/>
        <v>0</v>
      </c>
      <c r="F861" s="55">
        <f t="shared" ca="1" si="162"/>
        <v>141888.24347868835</v>
      </c>
      <c r="G861" s="101">
        <f t="shared" ca="1" si="163"/>
        <v>355630.6434786882</v>
      </c>
      <c r="H861" s="100">
        <f ca="1">ROUND($B861*VLOOKUP($A861,$A$1:$B$10,2,1)/(365+IF(MOD(YEAR($A861),4),0,1)*($A861-$A860)),2)-Первоначальный[[#This Row],[Проценты на просроченный платеж по ОД за период]]</f>
        <v>74.63</v>
      </c>
      <c r="I861" s="55">
        <f t="shared" ca="1" si="164"/>
        <v>6.95</v>
      </c>
      <c r="J861" s="55">
        <v>0</v>
      </c>
      <c r="K861" s="55">
        <f t="shared" ca="1" si="167"/>
        <v>362.05850327868842</v>
      </c>
      <c r="L861" s="55">
        <v>0</v>
      </c>
      <c r="M861" s="113">
        <f>SUMIFS(График[Возврат основной суммы долга],График[Дата с учетом нерабочих дней],$A861)</f>
        <v>0</v>
      </c>
      <c r="N861" s="56">
        <f>SUMIFS(График[Возврат начисленных %],График[Дата с учетом нерабочих дней],$A861)</f>
        <v>0</v>
      </c>
      <c r="O861" s="101">
        <v>0</v>
      </c>
      <c r="P861" s="100" cm="1">
        <f t="array" aca="1" ref="P861" ca="1">MAX(IF(AA860="Да",0,SUM(INDIRECT("M"&amp;(MAX(("Да"=AA$12:AA860)*ROW(AA$12:AA860)+1,ROW($P$12))&amp;":M"&amp;(ROW()))))-SUM(INDIRECT("W"&amp;(MAX(("Да"=AA$12:AA860)*ROW(AA$12:AA860)+1,ROW($P$12))&amp;":W"&amp;(ROW()))))),0)</f>
        <v>12739.58</v>
      </c>
      <c r="Q861" s="99">
        <f ca="1">MAX(SUM($N$13:N861)-SUM($T$13:T861),0)</f>
        <v>59672.120655737686</v>
      </c>
      <c r="R861" s="99">
        <f ca="1">Первоначальный[[#This Row],[Просроченный платеж по ОД]]+Первоначальный[[#This Row],[Просроченный платеж по процентам]]</f>
        <v>72411.700655737688</v>
      </c>
      <c r="S861" s="120">
        <f ca="1">IF(Первоначальный[[#This Row],[Просроченный платеж]]&lt;1,0,S860+1)</f>
        <v>757</v>
      </c>
      <c r="T861" s="100" cm="1">
        <f t="array" aca="1" ref="T861" ca="1">IF(Первоначальный[[#This Row],[Итого остаток на начало периода]]&lt;1,0,
IF(
AND(TYPE(VLOOKUP(1,$Z$12:Z861,1,0))=16,Первоначальный[[#This Row],[Досрочное погашение (да/"")]]=""),0,
_xlfn.IFS(AND(S860=0,Первоначальный[[#This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платеж]]&lt;&gt;0),MIN(LOOKUP(,-1/($Z$12:Z861=1),$C$12:C861)+LOOKUP(,-1/($Z$12:Z861=1),$H$12:H861),Первоначальный[[#This Row],[Полученный платеж]]+Y860),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платеж]]+Y860,SUM(Первоначальный[[#This Row],[Остаток процентов на начало периода]],Первоначальный[[#This Row],[Проценты за период]])),
AND(S860=0,Первоначальный[[#This Row],[Дата платежа из графика]]=""),0,
AND(S860=0,Первоначальный[[#This Row],[Дата платежа из графика]]=1,MAX((0&lt;&gt;S$12:S860)*ROW(S$12:S860),ROW($S$12))&gt;=MAX((1=Z$12:Z860)*ROW(Z$12:Z860),ROW($T$12)),TYPE(VLOOKUP("Да",(INDIRECT("AA"&amp;(MAX((1=Z$12:Z860)*ROW(Z$12:Z860),ROW($T$12))&amp;":AA"&amp;(ROW()-1)))),1,0))=16),MIN(LOOKUP(,-1/($Z$12:Z861=1),$C$12:C861)+LOOKUP(,-1/($Z$12:Z861=1),$H$12:H861),Первоначальный[[#This Row],[Полученный платеж]]+Y860),
AND(S860=0,TYPE(VLOOKUP("Да",(INDIRECT("AA"&amp;(MAX((1=Z$12:Z860)*ROW(Z$12:Z860),ROW($T$12))&amp;":AA"&amp;(ROW()-1)))),1,0))&lt;&gt;16),MIN(LOOKUP(,-1/($Z$12:Z861=1),$C$12:C861)+LOOKUP(,-1/($Z$12:Z861=1),$H$12:H861)-IF(AA860="Да",0,SUM(INDIRECT("T"&amp;(MAX(("Да"=AA$12:AA860)*ROW(AA$12:AA860)+1,ROW($T$12))&amp;":T"&amp;(ROW()-1))))),Первоначальный[[#This Row],[Полученный платеж]]+Y860),
AND(S860=0,MAX((0&lt;&gt;N$12:N860)*ROW(N$12:N860),ROW($S$12))&gt;=MAX((1=Z$12:Z860)*ROW(Z$12:Z860),ROW($T$12))),MIN(LOOKUP(,-1/($Z$12:Z861=1),$C$12:C861)+LOOKUP(,-1/($Z$12:Z861=1),$H$12:H861)-IF(N860&lt;&gt;0,0,SUM(INDIRECT("T"&amp;(MAX((0&lt;&gt;N$12:N860)*ROW(N$12:N860)+1,ROW($T$12))&amp;":T"&amp;(ROW()-1))))),Первоначальный[[#This Row],[Полученный платеж]]+Y860),
AND(S860=0,Первоначальный[[#This Row],[Дата платежа из графика]]=1),MIN(LOOKUP(,-1/($Z$12:Z861=1),$C$12:C861)+LOOKUP(,-1/($Z$12:Z861=1),$H$12:H861)-IF(Z860=1,0,SUM(INDIRECT("T"&amp;(MAX((1=Z$12:Z860)*ROW(Z$12:Z860)+1,ROW($T$12))&amp;":T"&amp;(ROW()-1))))),Первоначальный[[#This Row],[Полученный платеж]]+Y860),
AND(Z860&gt;0,Первоначальный[[#This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платеж]]+Y860),
AND(S860&gt;0,MAX((0&lt;&gt;S$12:S860)*ROW(S$12:S860),ROW($S$12))&gt;=MAX((1=Z$12:Z860)*ROW(Z$12:Z860),ROW($T$12)),TYPE(VLOOKUP("Да",(INDIRECT("AA"&amp;(MAX((1=Z$12:Z860)*ROW(Z$12:Z860),ROW($T$12))&amp;":AA"&amp;(ROW()-1)))),1,0))=16),MIN(LOOKUP(,-1/($Z$12:Z861=1),$C$12:C861)+LOOKUP(,-1/($Z$12:Z861=1),$H$12:H861)-SUM(INDIRECT("T"&amp;(MAX((1=Z$12:Z860)*ROW(Z$12:Z860),ROW($T$12))&amp;":T"&amp;(ROW()-1)))),Первоначальный[[#This Row],[Полученный платеж]]+Y860),
S860&gt;0,MIN(LOOKUP(,-1/($Z$12:Z861=1),$C$12:C861)+LOOKUP(,-1/($Z$12:Z861=1),$H$12:H861)-IF(Z860=1,0,SUM(INDIRECT("T"&amp;(MAX((1=Z$12:Z860)*ROW(Z$12:Z860)+1,ROW($T$12))&amp;":T"&amp;(ROW()-1))))),Первоначальный[[#This Row],[Полученный платеж]]+Y860)
)
)
)</f>
        <v>0</v>
      </c>
      <c r="U86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платеж]]+Y860-Первоначальный[[#This Row],[Полученный платёж по процентам]])</f>
        <v>0</v>
      </c>
      <c r="V861" s="55">
        <f t="shared" ca="1" si="157"/>
        <v>0</v>
      </c>
      <c r="W861" s="55" cm="1">
        <f t="array" aca="1" ref="W861" ca="1">IF(Первоначальный[[#This Row],[Итого остаток на начало периода]]&lt;1,0,
_xlfn.IFS(
AND(TYPE(VLOOKUP(1,$Z$12:Z861,1,0))=16,Первоначальный[[#This Row],[Досрочное погашение (да/"")]]=""),0,
AND(S860=0,Первоначальный[[#This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платеж]]+Y860-SUM(Первоначальный[[#This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комиссиям]]),VLOOKUP(LOOKUP(,-1/($Z$12:Z861=1),$A$12:A861),График[[Срок конец]:[Возврат основной суммы долга]],3,0)),
AND(S860=0,Первоначальный[[#This Row],[Дата платежа из графика]]="",Первоначальный[[#This Row],[Досрочное погашение (да/"")]]&lt;&gt;"Да"),0,
AND(S860=0,Первоначальный[[#This Row],[Досрочное погашение (да/"")]]=""),MIN(Первоначальный[[#This Row],[Полученный платеж]]+Y860-SUM(Первоначальный[[#This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комиссиям]]),VLOOKUP(LOOKUP(,-1/($Z$12:Z861=1),$A$12:A861),График[[Срок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платеж]]+Y860-SUM(Первоначальный[[#This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S860&gt;0,MIN(Первоначальный[[#This Row],[Полученный платеж]]+Y860-SUM(Первоначальный[[#This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комиссиям]]),SUM(INDIRECT("M"&amp;(MAX((1=S$12:S860)*ROW(S$12:S860),ROW($W$12))&amp;":M"&amp;(ROW()))))-SUM(INDIRECT("W"&amp;(MAX((1=S$12:S860)*ROW(S$12:S860),ROW($W$12))&amp;":W"&amp;(ROW()-1)))))
)
)</f>
        <v>0</v>
      </c>
      <c r="X861" s="55">
        <f t="shared" ca="1" si="158"/>
        <v>0</v>
      </c>
      <c r="Y861" s="101">
        <f t="shared" ca="1" si="165"/>
        <v>0</v>
      </c>
      <c r="Z861" s="133" t="str">
        <f>IF(TYPE((VLOOKUP(Первоначальный[[#This Row],[Дата платежа]],График[Срок конец],1,0)))=16,"",1)</f>
        <v/>
      </c>
      <c r="AA861" s="57"/>
      <c r="AB861" s="134"/>
      <c r="AC86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6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61614.779999999853</v>
      </c>
      <c r="AE86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2575.859999999996</v>
      </c>
      <c r="AF86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6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142250.30198196703</v>
      </c>
      <c r="AH861" s="55"/>
      <c r="AI861" s="55"/>
      <c r="AJ861" s="55"/>
      <c r="AK861" s="101">
        <f t="shared" ca="1" si="166"/>
        <v>356074.28198196687</v>
      </c>
      <c r="AL861" s="129">
        <f t="array" ref="AL861">MAX((УслРестрактов[Характеристика]="Дата реструктуризации")*(УслРестрактов[Значение]=Первоначальный!$A861),0)</f>
        <v>0</v>
      </c>
    </row>
    <row r="862" spans="1:38" x14ac:dyDescent="0.25">
      <c r="A862" s="97">
        <f t="shared" si="159"/>
        <v>44993</v>
      </c>
      <c r="B862" s="100">
        <f t="shared" ca="1" si="160"/>
        <v>149633.34</v>
      </c>
      <c r="C862" s="55">
        <f t="shared" ca="1" si="168"/>
        <v>61614.779999999853</v>
      </c>
      <c r="D862" s="55">
        <f t="shared" ca="1" si="168"/>
        <v>2575.859999999996</v>
      </c>
      <c r="E862" s="55">
        <f t="shared" ca="1" si="161"/>
        <v>0</v>
      </c>
      <c r="F862" s="55">
        <f t="shared" ca="1" si="162"/>
        <v>142250.30198196703</v>
      </c>
      <c r="G862" s="101">
        <f t="shared" ca="1" si="163"/>
        <v>356074.28198196687</v>
      </c>
      <c r="H862" s="100">
        <f ca="1">ROUND($B862*VLOOKUP($A862,$A$1:$B$10,2,1)/(365+IF(MOD(YEAR($A862),4),0,1)*($A862-$A861)),2)-Первоначальный[[#This Row],[Проценты на просроченный платеж по ОД за период]]</f>
        <v>74.63</v>
      </c>
      <c r="I862" s="55">
        <f t="shared" ca="1" si="164"/>
        <v>6.95</v>
      </c>
      <c r="J862" s="55">
        <v>0</v>
      </c>
      <c r="K862" s="55">
        <f t="shared" ca="1" si="167"/>
        <v>362.05850327868842</v>
      </c>
      <c r="L862" s="55">
        <v>0</v>
      </c>
      <c r="M862" s="113">
        <f>SUMIFS(График[Возврат основной суммы долга],График[Дата с учетом нерабочих дней],$A862)</f>
        <v>0</v>
      </c>
      <c r="N862" s="56">
        <f>SUMIFS(График[Возврат начисленных %],График[Дата с учетом нерабочих дней],$A862)</f>
        <v>0</v>
      </c>
      <c r="O862" s="101">
        <v>0</v>
      </c>
      <c r="P862" s="100" cm="1">
        <f t="array" aca="1" ref="P862" ca="1">MAX(IF(AA861="Да",0,SUM(INDIRECT("M"&amp;(MAX(("Да"=AA$12:AA861)*ROW(AA$12:AA861)+1,ROW($P$12))&amp;":M"&amp;(ROW()))))-SUM(INDIRECT("W"&amp;(MAX(("Да"=AA$12:AA861)*ROW(AA$12:AA861)+1,ROW($P$12))&amp;":W"&amp;(ROW()))))),0)</f>
        <v>12739.58</v>
      </c>
      <c r="Q862" s="99">
        <f ca="1">MAX(SUM($N$13:N862)-SUM($T$13:T862),0)</f>
        <v>59672.120655737686</v>
      </c>
      <c r="R862" s="99">
        <f ca="1">Первоначальный[[#This Row],[Просроченный платеж по ОД]]+Первоначальный[[#This Row],[Просроченный платеж по процентам]]</f>
        <v>72411.700655737688</v>
      </c>
      <c r="S862" s="120">
        <f ca="1">IF(Первоначальный[[#This Row],[Просроченный платеж]]&lt;1,0,S861+1)</f>
        <v>758</v>
      </c>
      <c r="T862" s="100" cm="1">
        <f t="array" aca="1" ref="T862" ca="1">IF(Первоначальный[[#This Row],[Итого остаток на начало периода]]&lt;1,0,
IF(
AND(TYPE(VLOOKUP(1,$Z$12:Z862,1,0))=16,Первоначальный[[#This Row],[Досрочное погашение (да/"")]]=""),0,
_xlfn.IFS(AND(S861=0,Первоначальный[[#This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платеж]]&lt;&gt;0),MIN(LOOKUP(,-1/($Z$12:Z862=1),$C$12:C862)+LOOKUP(,-1/($Z$12:Z862=1),$H$12:H862),Первоначальный[[#This Row],[Полученный платеж]]+Y861),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платеж]]+Y861,SUM(Первоначальный[[#This Row],[Остаток процентов на начало периода]],Первоначальный[[#This Row],[Проценты за период]])),
AND(S861=0,Первоначальный[[#This Row],[Дата платежа из графика]]=""),0,
AND(S861=0,Первоначальный[[#This Row],[Дата платежа из графика]]=1,MAX((0&lt;&gt;S$12:S861)*ROW(S$12:S861),ROW($S$12))&gt;=MAX((1=Z$12:Z861)*ROW(Z$12:Z861),ROW($T$12)),TYPE(VLOOKUP("Да",(INDIRECT("AA"&amp;(MAX((1=Z$12:Z861)*ROW(Z$12:Z861),ROW($T$12))&amp;":AA"&amp;(ROW()-1)))),1,0))=16),MIN(LOOKUP(,-1/($Z$12:Z862=1),$C$12:C862)+LOOKUP(,-1/($Z$12:Z862=1),$H$12:H862),Первоначальный[[#This Row],[Полученный платеж]]+Y861),
AND(S861=0,TYPE(VLOOKUP("Да",(INDIRECT("AA"&amp;(MAX((1=Z$12:Z861)*ROW(Z$12:Z861),ROW($T$12))&amp;":AA"&amp;(ROW()-1)))),1,0))&lt;&gt;16),MIN(LOOKUP(,-1/($Z$12:Z862=1),$C$12:C862)+LOOKUP(,-1/($Z$12:Z862=1),$H$12:H862)-IF(AA861="Да",0,SUM(INDIRECT("T"&amp;(MAX(("Да"=AA$12:AA861)*ROW(AA$12:AA861)+1,ROW($T$12))&amp;":T"&amp;(ROW()-1))))),Первоначальный[[#This Row],[Полученный платеж]]+Y861),
AND(S861=0,MAX((0&lt;&gt;N$12:N861)*ROW(N$12:N861),ROW($S$12))&gt;=MAX((1=Z$12:Z861)*ROW(Z$12:Z861),ROW($T$12))),MIN(LOOKUP(,-1/($Z$12:Z862=1),$C$12:C862)+LOOKUP(,-1/($Z$12:Z862=1),$H$12:H862)-IF(N861&lt;&gt;0,0,SUM(INDIRECT("T"&amp;(MAX((0&lt;&gt;N$12:N861)*ROW(N$12:N861)+1,ROW($T$12))&amp;":T"&amp;(ROW()-1))))),Первоначальный[[#This Row],[Полученный платеж]]+Y861),
AND(S861=0,Первоначальный[[#This Row],[Дата платежа из графика]]=1),MIN(LOOKUP(,-1/($Z$12:Z862=1),$C$12:C862)+LOOKUP(,-1/($Z$12:Z862=1),$H$12:H862)-IF(Z861=1,0,SUM(INDIRECT("T"&amp;(MAX((1=Z$12:Z861)*ROW(Z$12:Z861)+1,ROW($T$12))&amp;":T"&amp;(ROW()-1))))),Первоначальный[[#This Row],[Полученный платеж]]+Y861),
AND(Z861&gt;0,Первоначальный[[#This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платеж]]+Y861),
AND(S861&gt;0,MAX((0&lt;&gt;S$12:S861)*ROW(S$12:S861),ROW($S$12))&gt;=MAX((1=Z$12:Z861)*ROW(Z$12:Z861),ROW($T$12)),TYPE(VLOOKUP("Да",(INDIRECT("AA"&amp;(MAX((1=Z$12:Z861)*ROW(Z$12:Z861),ROW($T$12))&amp;":AA"&amp;(ROW()-1)))),1,0))=16),MIN(LOOKUP(,-1/($Z$12:Z862=1),$C$12:C862)+LOOKUP(,-1/($Z$12:Z862=1),$H$12:H862)-SUM(INDIRECT("T"&amp;(MAX((1=Z$12:Z861)*ROW(Z$12:Z861),ROW($T$12))&amp;":T"&amp;(ROW()-1)))),Первоначальный[[#This Row],[Полученный платеж]]+Y861),
S861&gt;0,MIN(LOOKUP(,-1/($Z$12:Z862=1),$C$12:C862)+LOOKUP(,-1/($Z$12:Z862=1),$H$12:H862)-IF(Z861=1,0,SUM(INDIRECT("T"&amp;(MAX((1=Z$12:Z861)*ROW(Z$12:Z861)+1,ROW($T$12))&amp;":T"&amp;(ROW()-1))))),Первоначальный[[#This Row],[Полученный платеж]]+Y861)
)
)
)</f>
        <v>0</v>
      </c>
      <c r="U86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платеж]]+Y861-Первоначальный[[#This Row],[Полученный платёж по процентам]])</f>
        <v>0</v>
      </c>
      <c r="V862" s="55">
        <f t="shared" ca="1" si="157"/>
        <v>0</v>
      </c>
      <c r="W862" s="55" cm="1">
        <f t="array" aca="1" ref="W862" ca="1">IF(Первоначальный[[#This Row],[Итого остаток на начало периода]]&lt;1,0,
_xlfn.IFS(
AND(TYPE(VLOOKUP(1,$Z$12:Z862,1,0))=16,Первоначальный[[#This Row],[Досрочное погашение (да/"")]]=""),0,
AND(S861=0,Первоначальный[[#This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платеж]]+Y861-SUM(Первоначальный[[#This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комиссиям]]),VLOOKUP(LOOKUP(,-1/($Z$12:Z862=1),$A$12:A862),График[[Срок конец]:[Возврат основной суммы долга]],3,0)),
AND(S861=0,Первоначальный[[#This Row],[Дата платежа из графика]]="",Первоначальный[[#This Row],[Досрочное погашение (да/"")]]&lt;&gt;"Да"),0,
AND(S861=0,Первоначальный[[#This Row],[Досрочное погашение (да/"")]]=""),MIN(Первоначальный[[#This Row],[Полученный платеж]]+Y861-SUM(Первоначальный[[#This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комиссиям]]),VLOOKUP(LOOKUP(,-1/($Z$12:Z862=1),$A$12:A862),График[[Срок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платеж]]+Y861-SUM(Первоначальный[[#This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S861&gt;0,MIN(Первоначальный[[#This Row],[Полученный платеж]]+Y861-SUM(Первоначальный[[#This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комиссиям]]),SUM(INDIRECT("M"&amp;(MAX((1=S$12:S861)*ROW(S$12:S861),ROW($W$12))&amp;":M"&amp;(ROW()))))-SUM(INDIRECT("W"&amp;(MAX((1=S$12:S861)*ROW(S$12:S861),ROW($W$12))&amp;":W"&amp;(ROW()-1)))))
)
)</f>
        <v>0</v>
      </c>
      <c r="X862" s="55">
        <f t="shared" ca="1" si="158"/>
        <v>0</v>
      </c>
      <c r="Y862" s="101">
        <f t="shared" ca="1" si="165"/>
        <v>0</v>
      </c>
      <c r="Z862" s="133" t="str">
        <f>IF(TYPE((VLOOKUP(Первоначальный[[#This Row],[Дата платежа]],График[Срок конец],1,0)))=16,"",1)</f>
        <v/>
      </c>
      <c r="AA862" s="57"/>
      <c r="AB862" s="134"/>
      <c r="AC86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6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61689.409999999851</v>
      </c>
      <c r="AE86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2582.8099999999959</v>
      </c>
      <c r="AF86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6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142612.36048524571</v>
      </c>
      <c r="AH862" s="55"/>
      <c r="AI862" s="55"/>
      <c r="AJ862" s="55"/>
      <c r="AK862" s="101">
        <f t="shared" ca="1" si="166"/>
        <v>356517.92048524553</v>
      </c>
      <c r="AL862" s="129">
        <f t="array" ref="AL862">MAX((УслРестрактов[Характеристика]="Дата реструктуризации")*(УслРестрактов[Значение]=Первоначальный!$A862),0)</f>
        <v>0</v>
      </c>
    </row>
    <row r="863" spans="1:38" x14ac:dyDescent="0.25">
      <c r="A863" s="97">
        <f t="shared" si="159"/>
        <v>44994</v>
      </c>
      <c r="B863" s="100">
        <f t="shared" ca="1" si="160"/>
        <v>149633.34</v>
      </c>
      <c r="C863" s="55">
        <f t="shared" ca="1" si="168"/>
        <v>61689.409999999851</v>
      </c>
      <c r="D863" s="55">
        <f t="shared" ca="1" si="168"/>
        <v>2582.8099999999959</v>
      </c>
      <c r="E863" s="55">
        <f t="shared" ca="1" si="161"/>
        <v>0</v>
      </c>
      <c r="F863" s="55">
        <f t="shared" ca="1" si="162"/>
        <v>142612.36048524571</v>
      </c>
      <c r="G863" s="101">
        <f t="shared" ca="1" si="163"/>
        <v>356517.92048524553</v>
      </c>
      <c r="H863" s="100">
        <f ca="1">ROUND($B863*VLOOKUP($A863,$A$1:$B$10,2,1)/(365+IF(MOD(YEAR($A863),4),0,1)*($A863-$A862)),2)-Первоначальный[[#This Row],[Проценты на просроченный платеж по ОД за период]]</f>
        <v>74.63</v>
      </c>
      <c r="I863" s="55">
        <f t="shared" ca="1" si="164"/>
        <v>6.95</v>
      </c>
      <c r="J863" s="55">
        <v>0</v>
      </c>
      <c r="K863" s="55">
        <f t="shared" ca="1" si="167"/>
        <v>376.54350327868843</v>
      </c>
      <c r="L863" s="55">
        <v>0</v>
      </c>
      <c r="M863" s="113">
        <f>SUMIFS(График[Возврат основной суммы долга],График[Дата с учетом нерабочих дней],$A863)</f>
        <v>807.21</v>
      </c>
      <c r="N863" s="56">
        <f>SUMIFS(График[Возврат начисленных %],График[Дата с учетом нерабочих дней],$A863)</f>
        <v>2089.79</v>
      </c>
      <c r="O863" s="101">
        <v>0</v>
      </c>
      <c r="P863" s="100" cm="1">
        <f t="array" aca="1" ref="P863" ca="1">MAX(IF(AA862="Да",0,SUM(INDIRECT("M"&amp;(MAX(("Да"=AA$12:AA862)*ROW(AA$12:AA862)+1,ROW($P$12))&amp;":M"&amp;(ROW()))))-SUM(INDIRECT("W"&amp;(MAX(("Да"=AA$12:AA862)*ROW(AA$12:AA862)+1,ROW($P$12))&amp;":W"&amp;(ROW()))))),0)</f>
        <v>13546.79</v>
      </c>
      <c r="Q863" s="99">
        <f ca="1">MAX(SUM($N$13:N863)-SUM($T$13:T863),0)</f>
        <v>61761.91065573768</v>
      </c>
      <c r="R863" s="99">
        <f ca="1">Первоначальный[[#This Row],[Просроченный платеж по ОД]]+Первоначальный[[#This Row],[Просроченный платеж по процентам]]</f>
        <v>75308.700655737688</v>
      </c>
      <c r="S863" s="120">
        <f ca="1">IF(Первоначальный[[#This Row],[Просроченный платеж]]&lt;1,0,S862+1)</f>
        <v>759</v>
      </c>
      <c r="T863" s="100" cm="1">
        <f t="array" aca="1" ref="T863" ca="1">IF(Первоначальный[[#This Row],[Итого остаток на начало периода]]&lt;1,0,
IF(
AND(TYPE(VLOOKUP(1,$Z$12:Z863,1,0))=16,Первоначальный[[#This Row],[Досрочное погашение (да/"")]]=""),0,
_xlfn.IFS(AND(S862=0,Первоначальный[[#This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платеж]]&lt;&gt;0),MIN(LOOKUP(,-1/($Z$12:Z863=1),$C$12:C863)+LOOKUP(,-1/($Z$12:Z863=1),$H$12:H863),Первоначальный[[#This Row],[Полученный платеж]]+Y862),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платеж]]+Y862,SUM(Первоначальный[[#This Row],[Остаток процентов на начало периода]],Первоначальный[[#This Row],[Проценты за период]])),
AND(S862=0,Первоначальный[[#This Row],[Дата платежа из графика]]=""),0,
AND(S862=0,Первоначальный[[#This Row],[Дата платежа из графика]]=1,MAX((0&lt;&gt;S$12:S862)*ROW(S$12:S862),ROW($S$12))&gt;=MAX((1=Z$12:Z862)*ROW(Z$12:Z862),ROW($T$12)),TYPE(VLOOKUP("Да",(INDIRECT("AA"&amp;(MAX((1=Z$12:Z862)*ROW(Z$12:Z862),ROW($T$12))&amp;":AA"&amp;(ROW()-1)))),1,0))=16),MIN(LOOKUP(,-1/($Z$12:Z863=1),$C$12:C863)+LOOKUP(,-1/($Z$12:Z863=1),$H$12:H863),Первоначальный[[#This Row],[Полученный платеж]]+Y862),
AND(S862=0,TYPE(VLOOKUP("Да",(INDIRECT("AA"&amp;(MAX((1=Z$12:Z862)*ROW(Z$12:Z862),ROW($T$12))&amp;":AA"&amp;(ROW()-1)))),1,0))&lt;&gt;16),MIN(LOOKUP(,-1/($Z$12:Z863=1),$C$12:C863)+LOOKUP(,-1/($Z$12:Z863=1),$H$12:H863)-IF(AA862="Да",0,SUM(INDIRECT("T"&amp;(MAX(("Да"=AA$12:AA862)*ROW(AA$12:AA862)+1,ROW($T$12))&amp;":T"&amp;(ROW()-1))))),Первоначальный[[#This Row],[Полученный платеж]]+Y862),
AND(S862=0,MAX((0&lt;&gt;N$12:N862)*ROW(N$12:N862),ROW($S$12))&gt;=MAX((1=Z$12:Z862)*ROW(Z$12:Z862),ROW($T$12))),MIN(LOOKUP(,-1/($Z$12:Z863=1),$C$12:C863)+LOOKUP(,-1/($Z$12:Z863=1),$H$12:H863)-IF(N862&lt;&gt;0,0,SUM(INDIRECT("T"&amp;(MAX((0&lt;&gt;N$12:N862)*ROW(N$12:N862)+1,ROW($T$12))&amp;":T"&amp;(ROW()-1))))),Первоначальный[[#This Row],[Полученный платеж]]+Y862),
AND(S862=0,Первоначальный[[#This Row],[Дата платежа из графика]]=1),MIN(LOOKUP(,-1/($Z$12:Z863=1),$C$12:C863)+LOOKUP(,-1/($Z$12:Z863=1),$H$12:H863)-IF(Z862=1,0,SUM(INDIRECT("T"&amp;(MAX((1=Z$12:Z862)*ROW(Z$12:Z862)+1,ROW($T$12))&amp;":T"&amp;(ROW()-1))))),Первоначальный[[#This Row],[Полученный платеж]]+Y862),
AND(Z862&gt;0,Первоначальный[[#This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платеж]]+Y862),
AND(S862&gt;0,MAX((0&lt;&gt;S$12:S862)*ROW(S$12:S862),ROW($S$12))&gt;=MAX((1=Z$12:Z862)*ROW(Z$12:Z862),ROW($T$12)),TYPE(VLOOKUP("Да",(INDIRECT("AA"&amp;(MAX((1=Z$12:Z862)*ROW(Z$12:Z862),ROW($T$12))&amp;":AA"&amp;(ROW()-1)))),1,0))=16),MIN(LOOKUP(,-1/($Z$12:Z863=1),$C$12:C863)+LOOKUP(,-1/($Z$12:Z863=1),$H$12:H863)-SUM(INDIRECT("T"&amp;(MAX((1=Z$12:Z862)*ROW(Z$12:Z862),ROW($T$12))&amp;":T"&amp;(ROW()-1)))),Первоначальный[[#This Row],[Полученный платеж]]+Y862),
S862&gt;0,MIN(LOOKUP(,-1/($Z$12:Z863=1),$C$12:C863)+LOOKUP(,-1/($Z$12:Z863=1),$H$12:H863)-IF(Z862=1,0,SUM(INDIRECT("T"&amp;(MAX((1=Z$12:Z862)*ROW(Z$12:Z862)+1,ROW($T$12))&amp;":T"&amp;(ROW()-1))))),Первоначальный[[#This Row],[Полученный платеж]]+Y862)
)
)
)</f>
        <v>0</v>
      </c>
      <c r="U86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платеж]]+Y862-Первоначальный[[#This Row],[Полученный платёж по процентам]])</f>
        <v>0</v>
      </c>
      <c r="V863" s="55">
        <f t="shared" ca="1" si="157"/>
        <v>0</v>
      </c>
      <c r="W863" s="55" cm="1">
        <f t="array" aca="1" ref="W863" ca="1">IF(Первоначальный[[#This Row],[Итого остаток на начало периода]]&lt;1,0,
_xlfn.IFS(
AND(TYPE(VLOOKUP(1,$Z$12:Z863,1,0))=16,Первоначальный[[#This Row],[Досрочное погашение (да/"")]]=""),0,
AND(S862=0,Первоначальный[[#This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платеж]]+Y862-SUM(Первоначальный[[#This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комиссиям]]),VLOOKUP(LOOKUP(,-1/($Z$12:Z863=1),$A$12:A863),График[[Срок конец]:[Возврат основной суммы долга]],3,0)),
AND(S862=0,Первоначальный[[#This Row],[Дата платежа из графика]]="",Первоначальный[[#This Row],[Досрочное погашение (да/"")]]&lt;&gt;"Да"),0,
AND(S862=0,Первоначальный[[#This Row],[Досрочное погашение (да/"")]]=""),MIN(Первоначальный[[#This Row],[Полученный платеж]]+Y862-SUM(Первоначальный[[#This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комиссиям]]),VLOOKUP(LOOKUP(,-1/($Z$12:Z863=1),$A$12:A863),График[[Срок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платеж]]+Y862-SUM(Первоначальный[[#This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S862&gt;0,MIN(Первоначальный[[#This Row],[Полученный платеж]]+Y862-SUM(Первоначальный[[#This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комиссиям]]),SUM(INDIRECT("M"&amp;(MAX((1=S$12:S862)*ROW(S$12:S862),ROW($W$12))&amp;":M"&amp;(ROW()))))-SUM(INDIRECT("W"&amp;(MAX((1=S$12:S862)*ROW(S$12:S862),ROW($W$12))&amp;":W"&amp;(ROW()-1)))))
)
)</f>
        <v>0</v>
      </c>
      <c r="X863" s="55">
        <f t="shared" ca="1" si="158"/>
        <v>0</v>
      </c>
      <c r="Y863" s="101">
        <f t="shared" ca="1" si="165"/>
        <v>0</v>
      </c>
      <c r="Z863" s="133">
        <f>IF(TYPE((VLOOKUP(Первоначальный[[#This Row],[Дата платежа]],График[Срок конец],1,0)))=16,"",1)</f>
        <v>1</v>
      </c>
      <c r="AA863" s="57"/>
      <c r="AB863" s="134"/>
      <c r="AC86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6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61764.039999999848</v>
      </c>
      <c r="AE86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2589.7599999999957</v>
      </c>
      <c r="AF86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6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142988.9039885244</v>
      </c>
      <c r="AH863" s="55"/>
      <c r="AI863" s="55"/>
      <c r="AJ863" s="55"/>
      <c r="AK863" s="101">
        <f t="shared" ca="1" si="166"/>
        <v>356976.04398852424</v>
      </c>
      <c r="AL863" s="129">
        <f t="array" ref="AL863">MAX((УслРестрактов[Характеристика]="Дата реструктуризации")*(УслРестрактов[Значение]=Первоначальный!$A863),0)</f>
        <v>0</v>
      </c>
    </row>
    <row r="864" spans="1:38" x14ac:dyDescent="0.25">
      <c r="A864" s="97">
        <f t="shared" si="159"/>
        <v>44995</v>
      </c>
      <c r="B864" s="100">
        <f t="shared" ca="1" si="160"/>
        <v>149633.34</v>
      </c>
      <c r="C864" s="55">
        <f t="shared" ca="1" si="168"/>
        <v>61764.039999999848</v>
      </c>
      <c r="D864" s="55">
        <f t="shared" ca="1" si="168"/>
        <v>2589.7599999999957</v>
      </c>
      <c r="E864" s="55">
        <f t="shared" ca="1" si="161"/>
        <v>0</v>
      </c>
      <c r="F864" s="55">
        <f t="shared" ca="1" si="162"/>
        <v>142988.9039885244</v>
      </c>
      <c r="G864" s="101">
        <f t="shared" ca="1" si="163"/>
        <v>356976.04398852424</v>
      </c>
      <c r="H864" s="100">
        <f ca="1">ROUND($B864*VLOOKUP($A864,$A$1:$B$10,2,1)/(365+IF(MOD(YEAR($A864),4),0,1)*($A864-$A863)),2)-Первоначальный[[#This Row],[Проценты на просроченный платеж по ОД за период]]</f>
        <v>74.19</v>
      </c>
      <c r="I864" s="55">
        <f t="shared" ca="1" si="164"/>
        <v>7.39</v>
      </c>
      <c r="J864" s="55">
        <v>0</v>
      </c>
      <c r="K864" s="55">
        <f t="shared" ca="1" si="167"/>
        <v>376.54350327868843</v>
      </c>
      <c r="L864" s="55">
        <v>0</v>
      </c>
      <c r="M864" s="113">
        <f>SUMIFS(График[Возврат основной суммы долга],График[Дата с учетом нерабочих дней],$A864)</f>
        <v>0</v>
      </c>
      <c r="N864" s="56">
        <f>SUMIFS(График[Возврат начисленных %],График[Дата с учетом нерабочих дней],$A864)</f>
        <v>0</v>
      </c>
      <c r="O864" s="101">
        <v>0</v>
      </c>
      <c r="P864" s="100" cm="1">
        <f t="array" aca="1" ref="P864" ca="1">MAX(IF(AA863="Да",0,SUM(INDIRECT("M"&amp;(MAX(("Да"=AA$12:AA863)*ROW(AA$12:AA863)+1,ROW($P$12))&amp;":M"&amp;(ROW()))))-SUM(INDIRECT("W"&amp;(MAX(("Да"=AA$12:AA863)*ROW(AA$12:AA863)+1,ROW($P$12))&amp;":W"&amp;(ROW()))))),0)</f>
        <v>13546.79</v>
      </c>
      <c r="Q864" s="99">
        <f ca="1">MAX(SUM($N$13:N864)-SUM($T$13:T864),0)</f>
        <v>61761.91065573768</v>
      </c>
      <c r="R864" s="99">
        <f ca="1">Первоначальный[[#This Row],[Просроченный платеж по ОД]]+Первоначальный[[#This Row],[Просроченный платеж по процентам]]</f>
        <v>75308.700655737688</v>
      </c>
      <c r="S864" s="120">
        <f ca="1">IF(Первоначальный[[#This Row],[Просроченный платеж]]&lt;1,0,S863+1)</f>
        <v>760</v>
      </c>
      <c r="T864" s="100" cm="1">
        <f t="array" aca="1" ref="T864" ca="1">IF(Первоначальный[[#This Row],[Итого остаток на начало периода]]&lt;1,0,
IF(
AND(TYPE(VLOOKUP(1,$Z$12:Z864,1,0))=16,Первоначальный[[#This Row],[Досрочное погашение (да/"")]]=""),0,
_xlfn.IFS(AND(S863=0,Первоначальный[[#This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платеж]]&lt;&gt;0),MIN(LOOKUP(,-1/($Z$12:Z864=1),$C$12:C864)+LOOKUP(,-1/($Z$12:Z864=1),$H$12:H864),Первоначальный[[#This Row],[Полученный платеж]]+Y863),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платеж]]+Y863,SUM(Первоначальный[[#This Row],[Остаток процентов на начало периода]],Первоначальный[[#This Row],[Проценты за период]])),
AND(S863=0,Первоначальный[[#This Row],[Дата платежа из графика]]=""),0,
AND(S863=0,Первоначальный[[#This Row],[Дата платежа из графика]]=1,MAX((0&lt;&gt;S$12:S863)*ROW(S$12:S863),ROW($S$12))&gt;=MAX((1=Z$12:Z863)*ROW(Z$12:Z863),ROW($T$12)),TYPE(VLOOKUP("Да",(INDIRECT("AA"&amp;(MAX((1=Z$12:Z863)*ROW(Z$12:Z863),ROW($T$12))&amp;":AA"&amp;(ROW()-1)))),1,0))=16),MIN(LOOKUP(,-1/($Z$12:Z864=1),$C$12:C864)+LOOKUP(,-1/($Z$12:Z864=1),$H$12:H864),Первоначальный[[#This Row],[Полученный платеж]]+Y863),
AND(S863=0,TYPE(VLOOKUP("Да",(INDIRECT("AA"&amp;(MAX((1=Z$12:Z863)*ROW(Z$12:Z863),ROW($T$12))&amp;":AA"&amp;(ROW()-1)))),1,0))&lt;&gt;16),MIN(LOOKUP(,-1/($Z$12:Z864=1),$C$12:C864)+LOOKUP(,-1/($Z$12:Z864=1),$H$12:H864)-IF(AA863="Да",0,SUM(INDIRECT("T"&amp;(MAX(("Да"=AA$12:AA863)*ROW(AA$12:AA863)+1,ROW($T$12))&amp;":T"&amp;(ROW()-1))))),Первоначальный[[#This Row],[Полученный платеж]]+Y863),
AND(S863=0,MAX((0&lt;&gt;N$12:N863)*ROW(N$12:N863),ROW($S$12))&gt;=MAX((1=Z$12:Z863)*ROW(Z$12:Z863),ROW($T$12))),MIN(LOOKUP(,-1/($Z$12:Z864=1),$C$12:C864)+LOOKUP(,-1/($Z$12:Z864=1),$H$12:H864)-IF(N863&lt;&gt;0,0,SUM(INDIRECT("T"&amp;(MAX((0&lt;&gt;N$12:N863)*ROW(N$12:N863)+1,ROW($T$12))&amp;":T"&amp;(ROW()-1))))),Первоначальный[[#This Row],[Полученный платеж]]+Y863),
AND(S863=0,Первоначальный[[#This Row],[Дата платежа из графика]]=1),MIN(LOOKUP(,-1/($Z$12:Z864=1),$C$12:C864)+LOOKUP(,-1/($Z$12:Z864=1),$H$12:H864)-IF(Z863=1,0,SUM(INDIRECT("T"&amp;(MAX((1=Z$12:Z863)*ROW(Z$12:Z863)+1,ROW($T$12))&amp;":T"&amp;(ROW()-1))))),Первоначальный[[#This Row],[Полученный платеж]]+Y863),
AND(Z863&gt;0,Первоначальный[[#This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платеж]]+Y863),
AND(S863&gt;0,MAX((0&lt;&gt;S$12:S863)*ROW(S$12:S863),ROW($S$12))&gt;=MAX((1=Z$12:Z863)*ROW(Z$12:Z863),ROW($T$12)),TYPE(VLOOKUP("Да",(INDIRECT("AA"&amp;(MAX((1=Z$12:Z863)*ROW(Z$12:Z863),ROW($T$12))&amp;":AA"&amp;(ROW()-1)))),1,0))=16),MIN(LOOKUP(,-1/($Z$12:Z864=1),$C$12:C864)+LOOKUP(,-1/($Z$12:Z864=1),$H$12:H864)-SUM(INDIRECT("T"&amp;(MAX((1=Z$12:Z863)*ROW(Z$12:Z863),ROW($T$12))&amp;":T"&amp;(ROW()-1)))),Первоначальный[[#This Row],[Полученный платеж]]+Y863),
S863&gt;0,MIN(LOOKUP(,-1/($Z$12:Z864=1),$C$12:C864)+LOOKUP(,-1/($Z$12:Z864=1),$H$12:H864)-IF(Z863=1,0,SUM(INDIRECT("T"&amp;(MAX((1=Z$12:Z863)*ROW(Z$12:Z863)+1,ROW($T$12))&amp;":T"&amp;(ROW()-1))))),Первоначальный[[#This Row],[Полученный платеж]]+Y863)
)
)
)</f>
        <v>0</v>
      </c>
      <c r="U86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платеж]]+Y863-Первоначальный[[#This Row],[Полученный платёж по процентам]])</f>
        <v>0</v>
      </c>
      <c r="V864" s="55">
        <f t="shared" ca="1" si="157"/>
        <v>0</v>
      </c>
      <c r="W864" s="55" cm="1">
        <f t="array" aca="1" ref="W864" ca="1">IF(Первоначальный[[#This Row],[Итого остаток на начало периода]]&lt;1,0,
_xlfn.IFS(
AND(TYPE(VLOOKUP(1,$Z$12:Z864,1,0))=16,Первоначальный[[#This Row],[Досрочное погашение (да/"")]]=""),0,
AND(S863=0,Первоначальный[[#This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платеж]]+Y863-SUM(Первоначальный[[#This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комиссиям]]),VLOOKUP(LOOKUP(,-1/($Z$12:Z864=1),$A$12:A864),График[[Срок конец]:[Возврат основной суммы долга]],3,0)),
AND(S863=0,Первоначальный[[#This Row],[Дата платежа из графика]]="",Первоначальный[[#This Row],[Досрочное погашение (да/"")]]&lt;&gt;"Да"),0,
AND(S863=0,Первоначальный[[#This Row],[Досрочное погашение (да/"")]]=""),MIN(Первоначальный[[#This Row],[Полученный платеж]]+Y863-SUM(Первоначальный[[#This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комиссиям]]),VLOOKUP(LOOKUP(,-1/($Z$12:Z864=1),$A$12:A864),График[[Срок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платеж]]+Y863-SUM(Первоначальный[[#This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S863&gt;0,MIN(Первоначальный[[#This Row],[Полученный платеж]]+Y863-SUM(Первоначальный[[#This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комиссиям]]),SUM(INDIRECT("M"&amp;(MAX((1=S$12:S863)*ROW(S$12:S863),ROW($W$12))&amp;":M"&amp;(ROW()))))-SUM(INDIRECT("W"&amp;(MAX((1=S$12:S863)*ROW(S$12:S863),ROW($W$12))&amp;":W"&amp;(ROW()-1)))))
)
)</f>
        <v>0</v>
      </c>
      <c r="X864" s="55">
        <f t="shared" ca="1" si="158"/>
        <v>0</v>
      </c>
      <c r="Y864" s="101">
        <f t="shared" ca="1" si="165"/>
        <v>0</v>
      </c>
      <c r="Z864" s="133" t="str">
        <f>IF(TYPE((VLOOKUP(Первоначальный[[#This Row],[Дата платежа]],График[Срок конец],1,0)))=16,"",1)</f>
        <v/>
      </c>
      <c r="AA864" s="57"/>
      <c r="AB864" s="134"/>
      <c r="AC86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6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61838.22999999985</v>
      </c>
      <c r="AE86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2597.1499999999955</v>
      </c>
      <c r="AF86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6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143365.44749180309</v>
      </c>
      <c r="AH864" s="55"/>
      <c r="AI864" s="55"/>
      <c r="AJ864" s="55"/>
      <c r="AK864" s="101">
        <f t="shared" ca="1" si="166"/>
        <v>357434.16749180295</v>
      </c>
      <c r="AL864" s="129">
        <f t="array" ref="AL864">MAX((УслРестрактов[Характеристика]="Дата реструктуризации")*(УслРестрактов[Значение]=Первоначальный!$A864),0)</f>
        <v>0</v>
      </c>
    </row>
    <row r="865" spans="1:38" x14ac:dyDescent="0.25">
      <c r="A865" s="97">
        <f t="shared" si="159"/>
        <v>44996</v>
      </c>
      <c r="B865" s="100">
        <f t="shared" ca="1" si="160"/>
        <v>149633.34</v>
      </c>
      <c r="C865" s="55">
        <f t="shared" ca="1" si="168"/>
        <v>61838.22999999985</v>
      </c>
      <c r="D865" s="55">
        <f t="shared" ca="1" si="168"/>
        <v>2597.1499999999955</v>
      </c>
      <c r="E865" s="55">
        <f t="shared" ca="1" si="161"/>
        <v>0</v>
      </c>
      <c r="F865" s="55">
        <f t="shared" ca="1" si="162"/>
        <v>143365.44749180309</v>
      </c>
      <c r="G865" s="101">
        <f t="shared" ca="1" si="163"/>
        <v>357434.16749180295</v>
      </c>
      <c r="H865" s="100">
        <f ca="1">ROUND($B865*VLOOKUP($A865,$A$1:$B$10,2,1)/(365+IF(MOD(YEAR($A865),4),0,1)*($A865-$A864)),2)-Первоначальный[[#This Row],[Проценты на просроченный платеж по ОД за период]]</f>
        <v>74.19</v>
      </c>
      <c r="I865" s="55">
        <f t="shared" ca="1" si="164"/>
        <v>7.39</v>
      </c>
      <c r="J865" s="55">
        <v>0</v>
      </c>
      <c r="K865" s="55">
        <f t="shared" ca="1" si="167"/>
        <v>376.54350327868843</v>
      </c>
      <c r="L865" s="55">
        <v>0</v>
      </c>
      <c r="M865" s="113">
        <f>SUMIFS(График[Возврат основной суммы долга],График[Дата с учетом нерабочих дней],$A865)</f>
        <v>0</v>
      </c>
      <c r="N865" s="56">
        <f>SUMIFS(График[Возврат начисленных %],График[Дата с учетом нерабочих дней],$A865)</f>
        <v>0</v>
      </c>
      <c r="O865" s="101">
        <v>0</v>
      </c>
      <c r="P865" s="100" cm="1">
        <f t="array" aca="1" ref="P865" ca="1">MAX(IF(AA864="Да",0,SUM(INDIRECT("M"&amp;(MAX(("Да"=AA$12:AA864)*ROW(AA$12:AA864)+1,ROW($P$12))&amp;":M"&amp;(ROW()))))-SUM(INDIRECT("W"&amp;(MAX(("Да"=AA$12:AA864)*ROW(AA$12:AA864)+1,ROW($P$12))&amp;":W"&amp;(ROW()))))),0)</f>
        <v>13546.79</v>
      </c>
      <c r="Q865" s="99">
        <f ca="1">MAX(SUM($N$13:N865)-SUM($T$13:T865),0)</f>
        <v>61761.91065573768</v>
      </c>
      <c r="R865" s="99">
        <f ca="1">Первоначальный[[#This Row],[Просроченный платеж по ОД]]+Первоначальный[[#This Row],[Просроченный платеж по процентам]]</f>
        <v>75308.700655737688</v>
      </c>
      <c r="S865" s="120">
        <f ca="1">IF(Первоначальный[[#This Row],[Просроченный платеж]]&lt;1,0,S864+1)</f>
        <v>761</v>
      </c>
      <c r="T865" s="100" cm="1">
        <f t="array" aca="1" ref="T865" ca="1">IF(Первоначальный[[#This Row],[Итого остаток на начало периода]]&lt;1,0,
IF(
AND(TYPE(VLOOKUP(1,$Z$12:Z865,1,0))=16,Первоначальный[[#This Row],[Досрочное погашение (да/"")]]=""),0,
_xlfn.IFS(AND(S864=0,Первоначальный[[#This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платеж]]&lt;&gt;0),MIN(LOOKUP(,-1/($Z$12:Z865=1),$C$12:C865)+LOOKUP(,-1/($Z$12:Z865=1),$H$12:H865),Первоначальный[[#This Row],[Полученный платеж]]+Y864),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платеж]]+Y864,SUM(Первоначальный[[#This Row],[Остаток процентов на начало периода]],Первоначальный[[#This Row],[Проценты за период]])),
AND(S864=0,Первоначальный[[#This Row],[Дата платежа из графика]]=""),0,
AND(S864=0,Первоначальный[[#This Row],[Дата платежа из графика]]=1,MAX((0&lt;&gt;S$12:S864)*ROW(S$12:S864),ROW($S$12))&gt;=MAX((1=Z$12:Z864)*ROW(Z$12:Z864),ROW($T$12)),TYPE(VLOOKUP("Да",(INDIRECT("AA"&amp;(MAX((1=Z$12:Z864)*ROW(Z$12:Z864),ROW($T$12))&amp;":AA"&amp;(ROW()-1)))),1,0))=16),MIN(LOOKUP(,-1/($Z$12:Z865=1),$C$12:C865)+LOOKUP(,-1/($Z$12:Z865=1),$H$12:H865),Первоначальный[[#This Row],[Полученный платеж]]+Y864),
AND(S864=0,TYPE(VLOOKUP("Да",(INDIRECT("AA"&amp;(MAX((1=Z$12:Z864)*ROW(Z$12:Z864),ROW($T$12))&amp;":AA"&amp;(ROW()-1)))),1,0))&lt;&gt;16),MIN(LOOKUP(,-1/($Z$12:Z865=1),$C$12:C865)+LOOKUP(,-1/($Z$12:Z865=1),$H$12:H865)-IF(AA864="Да",0,SUM(INDIRECT("T"&amp;(MAX(("Да"=AA$12:AA864)*ROW(AA$12:AA864)+1,ROW($T$12))&amp;":T"&amp;(ROW()-1))))),Первоначальный[[#This Row],[Полученный платеж]]+Y864),
AND(S864=0,MAX((0&lt;&gt;N$12:N864)*ROW(N$12:N864),ROW($S$12))&gt;=MAX((1=Z$12:Z864)*ROW(Z$12:Z864),ROW($T$12))),MIN(LOOKUP(,-1/($Z$12:Z865=1),$C$12:C865)+LOOKUP(,-1/($Z$12:Z865=1),$H$12:H865)-IF(N864&lt;&gt;0,0,SUM(INDIRECT("T"&amp;(MAX((0&lt;&gt;N$12:N864)*ROW(N$12:N864)+1,ROW($T$12))&amp;":T"&amp;(ROW()-1))))),Первоначальный[[#This Row],[Полученный платеж]]+Y864),
AND(S864=0,Первоначальный[[#This Row],[Дата платежа из графика]]=1),MIN(LOOKUP(,-1/($Z$12:Z865=1),$C$12:C865)+LOOKUP(,-1/($Z$12:Z865=1),$H$12:H865)-IF(Z864=1,0,SUM(INDIRECT("T"&amp;(MAX((1=Z$12:Z864)*ROW(Z$12:Z864)+1,ROW($T$12))&amp;":T"&amp;(ROW()-1))))),Первоначальный[[#This Row],[Полученный платеж]]+Y864),
AND(Z864&gt;0,Первоначальный[[#This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платеж]]+Y864),
AND(S864&gt;0,MAX((0&lt;&gt;S$12:S864)*ROW(S$12:S864),ROW($S$12))&gt;=MAX((1=Z$12:Z864)*ROW(Z$12:Z864),ROW($T$12)),TYPE(VLOOKUP("Да",(INDIRECT("AA"&amp;(MAX((1=Z$12:Z864)*ROW(Z$12:Z864),ROW($T$12))&amp;":AA"&amp;(ROW()-1)))),1,0))=16),MIN(LOOKUP(,-1/($Z$12:Z865=1),$C$12:C865)+LOOKUP(,-1/($Z$12:Z865=1),$H$12:H865)-SUM(INDIRECT("T"&amp;(MAX((1=Z$12:Z864)*ROW(Z$12:Z864),ROW($T$12))&amp;":T"&amp;(ROW()-1)))),Первоначальный[[#This Row],[Полученный платеж]]+Y864),
S864&gt;0,MIN(LOOKUP(,-1/($Z$12:Z865=1),$C$12:C865)+LOOKUP(,-1/($Z$12:Z865=1),$H$12:H865)-IF(Z864=1,0,SUM(INDIRECT("T"&amp;(MAX((1=Z$12:Z864)*ROW(Z$12:Z864)+1,ROW($T$12))&amp;":T"&amp;(ROW()-1))))),Первоначальный[[#This Row],[Полученный платеж]]+Y864)
)
)
)</f>
        <v>0</v>
      </c>
      <c r="U86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платеж]]+Y864-Первоначальный[[#This Row],[Полученный платёж по процентам]])</f>
        <v>0</v>
      </c>
      <c r="V865" s="55">
        <f t="shared" ca="1" si="157"/>
        <v>0</v>
      </c>
      <c r="W865" s="55" cm="1">
        <f t="array" aca="1" ref="W865" ca="1">IF(Первоначальный[[#This Row],[Итого остаток на начало периода]]&lt;1,0,
_xlfn.IFS(
AND(TYPE(VLOOKUP(1,$Z$12:Z865,1,0))=16,Первоначальный[[#This Row],[Досрочное погашение (да/"")]]=""),0,
AND(S864=0,Первоначальный[[#This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платеж]]+Y864-SUM(Первоначальный[[#This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комиссиям]]),VLOOKUP(LOOKUP(,-1/($Z$12:Z865=1),$A$12:A865),График[[Срок конец]:[Возврат основной суммы долга]],3,0)),
AND(S864=0,Первоначальный[[#This Row],[Дата платежа из графика]]="",Первоначальный[[#This Row],[Досрочное погашение (да/"")]]&lt;&gt;"Да"),0,
AND(S864=0,Первоначальный[[#This Row],[Досрочное погашение (да/"")]]=""),MIN(Первоначальный[[#This Row],[Полученный платеж]]+Y864-SUM(Первоначальный[[#This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комиссиям]]),VLOOKUP(LOOKUP(,-1/($Z$12:Z865=1),$A$12:A865),График[[Срок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платеж]]+Y864-SUM(Первоначальный[[#This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S864&gt;0,MIN(Первоначальный[[#This Row],[Полученный платеж]]+Y864-SUM(Первоначальный[[#This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комиссиям]]),SUM(INDIRECT("M"&amp;(MAX((1=S$12:S864)*ROW(S$12:S864),ROW($W$12))&amp;":M"&amp;(ROW()))))-SUM(INDIRECT("W"&amp;(MAX((1=S$12:S864)*ROW(S$12:S864),ROW($W$12))&amp;":W"&amp;(ROW()-1)))))
)
)</f>
        <v>0</v>
      </c>
      <c r="X865" s="55">
        <f t="shared" ca="1" si="158"/>
        <v>0</v>
      </c>
      <c r="Y865" s="101">
        <f t="shared" ca="1" si="165"/>
        <v>0</v>
      </c>
      <c r="Z865" s="133" t="str">
        <f>IF(TYPE((VLOOKUP(Первоначальный[[#This Row],[Дата платежа]],График[Срок конец],1,0)))=16,"",1)</f>
        <v/>
      </c>
      <c r="AA865" s="57"/>
      <c r="AB865" s="134"/>
      <c r="AC86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6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61912.419999999853</v>
      </c>
      <c r="AE86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2604.5399999999954</v>
      </c>
      <c r="AF86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6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143741.99099508178</v>
      </c>
      <c r="AH865" s="55"/>
      <c r="AI865" s="55"/>
      <c r="AJ865" s="55"/>
      <c r="AK865" s="101">
        <f t="shared" ca="1" si="166"/>
        <v>357892.29099508165</v>
      </c>
      <c r="AL865" s="129">
        <f t="array" ref="AL865">MAX((УслРестрактов[Характеристика]="Дата реструктуризации")*(УслРестрактов[Значение]=Первоначальный!$A865),0)</f>
        <v>0</v>
      </c>
    </row>
    <row r="866" spans="1:38" x14ac:dyDescent="0.25">
      <c r="A866" s="97">
        <f t="shared" si="159"/>
        <v>44997</v>
      </c>
      <c r="B866" s="100">
        <f t="shared" ca="1" si="160"/>
        <v>149633.34</v>
      </c>
      <c r="C866" s="55">
        <f t="shared" ca="1" si="168"/>
        <v>61912.419999999853</v>
      </c>
      <c r="D866" s="55">
        <f t="shared" ca="1" si="168"/>
        <v>2604.5399999999954</v>
      </c>
      <c r="E866" s="55">
        <f t="shared" ca="1" si="161"/>
        <v>0</v>
      </c>
      <c r="F866" s="55">
        <f t="shared" ca="1" si="162"/>
        <v>143741.99099508178</v>
      </c>
      <c r="G866" s="101">
        <f t="shared" ca="1" si="163"/>
        <v>357892.29099508165</v>
      </c>
      <c r="H866" s="100">
        <f ca="1">ROUND($B866*VLOOKUP($A866,$A$1:$B$10,2,1)/(365+IF(MOD(YEAR($A866),4),0,1)*($A866-$A865)),2)-Первоначальный[[#This Row],[Проценты на просроченный платеж по ОД за период]]</f>
        <v>74.19</v>
      </c>
      <c r="I866" s="55">
        <f t="shared" ca="1" si="164"/>
        <v>7.39</v>
      </c>
      <c r="J866" s="55">
        <v>0</v>
      </c>
      <c r="K866" s="55">
        <f t="shared" ca="1" si="167"/>
        <v>376.54350327868843</v>
      </c>
      <c r="L866" s="55">
        <v>0</v>
      </c>
      <c r="M866" s="113">
        <f>SUMIFS(График[Возврат основной суммы долга],График[Дата с учетом нерабочих дней],$A866)</f>
        <v>0</v>
      </c>
      <c r="N866" s="56">
        <f>SUMIFS(График[Возврат начисленных %],График[Дата с учетом нерабочих дней],$A866)</f>
        <v>0</v>
      </c>
      <c r="O866" s="101">
        <v>0</v>
      </c>
      <c r="P866" s="100" cm="1">
        <f t="array" aca="1" ref="P866" ca="1">MAX(IF(AA865="Да",0,SUM(INDIRECT("M"&amp;(MAX(("Да"=AA$12:AA865)*ROW(AA$12:AA865)+1,ROW($P$12))&amp;":M"&amp;(ROW()))))-SUM(INDIRECT("W"&amp;(MAX(("Да"=AA$12:AA865)*ROW(AA$12:AA865)+1,ROW($P$12))&amp;":W"&amp;(ROW()))))),0)</f>
        <v>13546.79</v>
      </c>
      <c r="Q866" s="99">
        <f ca="1">MAX(SUM($N$13:N866)-SUM($T$13:T866),0)</f>
        <v>61761.91065573768</v>
      </c>
      <c r="R866" s="99">
        <f ca="1">Первоначальный[[#This Row],[Просроченный платеж по ОД]]+Первоначальный[[#This Row],[Просроченный платеж по процентам]]</f>
        <v>75308.700655737688</v>
      </c>
      <c r="S866" s="120">
        <f ca="1">IF(Первоначальный[[#This Row],[Просроченный платеж]]&lt;1,0,S865+1)</f>
        <v>762</v>
      </c>
      <c r="T866" s="100" cm="1">
        <f t="array" aca="1" ref="T866" ca="1">IF(Первоначальный[[#This Row],[Итого остаток на начало периода]]&lt;1,0,
IF(
AND(TYPE(VLOOKUP(1,$Z$12:Z866,1,0))=16,Первоначальный[[#This Row],[Досрочное погашение (да/"")]]=""),0,
_xlfn.IFS(AND(S865=0,Первоначальный[[#This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платеж]]&lt;&gt;0),MIN(LOOKUP(,-1/($Z$12:Z866=1),$C$12:C866)+LOOKUP(,-1/($Z$12:Z866=1),$H$12:H866),Первоначальный[[#This Row],[Полученный платеж]]+Y865),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платеж]]+Y865,SUM(Первоначальный[[#This Row],[Остаток процентов на начало периода]],Первоначальный[[#This Row],[Проценты за период]])),
AND(S865=0,Первоначальный[[#This Row],[Дата платежа из графика]]=""),0,
AND(S865=0,Первоначальный[[#This Row],[Дата платежа из графика]]=1,MAX((0&lt;&gt;S$12:S865)*ROW(S$12:S865),ROW($S$12))&gt;=MAX((1=Z$12:Z865)*ROW(Z$12:Z865),ROW($T$12)),TYPE(VLOOKUP("Да",(INDIRECT("AA"&amp;(MAX((1=Z$12:Z865)*ROW(Z$12:Z865),ROW($T$12))&amp;":AA"&amp;(ROW()-1)))),1,0))=16),MIN(LOOKUP(,-1/($Z$12:Z866=1),$C$12:C866)+LOOKUP(,-1/($Z$12:Z866=1),$H$12:H866),Первоначальный[[#This Row],[Полученный платеж]]+Y865),
AND(S865=0,TYPE(VLOOKUP("Да",(INDIRECT("AA"&amp;(MAX((1=Z$12:Z865)*ROW(Z$12:Z865),ROW($T$12))&amp;":AA"&amp;(ROW()-1)))),1,0))&lt;&gt;16),MIN(LOOKUP(,-1/($Z$12:Z866=1),$C$12:C866)+LOOKUP(,-1/($Z$12:Z866=1),$H$12:H866)-IF(AA865="Да",0,SUM(INDIRECT("T"&amp;(MAX(("Да"=AA$12:AA865)*ROW(AA$12:AA865)+1,ROW($T$12))&amp;":T"&amp;(ROW()-1))))),Первоначальный[[#This Row],[Полученный платеж]]+Y865),
AND(S865=0,MAX((0&lt;&gt;N$12:N865)*ROW(N$12:N865),ROW($S$12))&gt;=MAX((1=Z$12:Z865)*ROW(Z$12:Z865),ROW($T$12))),MIN(LOOKUP(,-1/($Z$12:Z866=1),$C$12:C866)+LOOKUP(,-1/($Z$12:Z866=1),$H$12:H866)-IF(N865&lt;&gt;0,0,SUM(INDIRECT("T"&amp;(MAX((0&lt;&gt;N$12:N865)*ROW(N$12:N865)+1,ROW($T$12))&amp;":T"&amp;(ROW()-1))))),Первоначальный[[#This Row],[Полученный платеж]]+Y865),
AND(S865=0,Первоначальный[[#This Row],[Дата платежа из графика]]=1),MIN(LOOKUP(,-1/($Z$12:Z866=1),$C$12:C866)+LOOKUP(,-1/($Z$12:Z866=1),$H$12:H866)-IF(Z865=1,0,SUM(INDIRECT("T"&amp;(MAX((1=Z$12:Z865)*ROW(Z$12:Z865)+1,ROW($T$12))&amp;":T"&amp;(ROW()-1))))),Первоначальный[[#This Row],[Полученный платеж]]+Y865),
AND(Z865&gt;0,Первоначальный[[#This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платеж]]+Y865),
AND(S865&gt;0,MAX((0&lt;&gt;S$12:S865)*ROW(S$12:S865),ROW($S$12))&gt;=MAX((1=Z$12:Z865)*ROW(Z$12:Z865),ROW($T$12)),TYPE(VLOOKUP("Да",(INDIRECT("AA"&amp;(MAX((1=Z$12:Z865)*ROW(Z$12:Z865),ROW($T$12))&amp;":AA"&amp;(ROW()-1)))),1,0))=16),MIN(LOOKUP(,-1/($Z$12:Z866=1),$C$12:C866)+LOOKUP(,-1/($Z$12:Z866=1),$H$12:H866)-SUM(INDIRECT("T"&amp;(MAX((1=Z$12:Z865)*ROW(Z$12:Z865),ROW($T$12))&amp;":T"&amp;(ROW()-1)))),Первоначальный[[#This Row],[Полученный платеж]]+Y865),
S865&gt;0,MIN(LOOKUP(,-1/($Z$12:Z866=1),$C$12:C866)+LOOKUP(,-1/($Z$12:Z866=1),$H$12:H866)-IF(Z865=1,0,SUM(INDIRECT("T"&amp;(MAX((1=Z$12:Z865)*ROW(Z$12:Z865)+1,ROW($T$12))&amp;":T"&amp;(ROW()-1))))),Первоначальный[[#This Row],[Полученный платеж]]+Y865)
)
)
)</f>
        <v>0</v>
      </c>
      <c r="U86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платеж]]+Y865-Первоначальный[[#This Row],[Полученный платёж по процентам]])</f>
        <v>0</v>
      </c>
      <c r="V866" s="55">
        <f t="shared" ca="1" si="157"/>
        <v>0</v>
      </c>
      <c r="W866" s="55" cm="1">
        <f t="array" aca="1" ref="W866" ca="1">IF(Первоначальный[[#This Row],[Итого остаток на начало периода]]&lt;1,0,
_xlfn.IFS(
AND(TYPE(VLOOKUP(1,$Z$12:Z866,1,0))=16,Первоначальный[[#This Row],[Досрочное погашение (да/"")]]=""),0,
AND(S865=0,Первоначальный[[#This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платеж]]+Y865-SUM(Первоначальный[[#This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комиссиям]]),VLOOKUP(LOOKUP(,-1/($Z$12:Z866=1),$A$12:A866),График[[Срок конец]:[Возврат основной суммы долга]],3,0)),
AND(S865=0,Первоначальный[[#This Row],[Дата платежа из графика]]="",Первоначальный[[#This Row],[Досрочное погашение (да/"")]]&lt;&gt;"Да"),0,
AND(S865=0,Первоначальный[[#This Row],[Досрочное погашение (да/"")]]=""),MIN(Первоначальный[[#This Row],[Полученный платеж]]+Y865-SUM(Первоначальный[[#This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комиссиям]]),VLOOKUP(LOOKUP(,-1/($Z$12:Z866=1),$A$12:A866),График[[Срок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платеж]]+Y865-SUM(Первоначальный[[#This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S865&gt;0,MIN(Первоначальный[[#This Row],[Полученный платеж]]+Y865-SUM(Первоначальный[[#This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комиссиям]]),SUM(INDIRECT("M"&amp;(MAX((1=S$12:S865)*ROW(S$12:S865),ROW($W$12))&amp;":M"&amp;(ROW()))))-SUM(INDIRECT("W"&amp;(MAX((1=S$12:S865)*ROW(S$12:S865),ROW($W$12))&amp;":W"&amp;(ROW()-1)))))
)
)</f>
        <v>0</v>
      </c>
      <c r="X866" s="55">
        <f t="shared" ca="1" si="158"/>
        <v>0</v>
      </c>
      <c r="Y866" s="101">
        <f t="shared" ca="1" si="165"/>
        <v>0</v>
      </c>
      <c r="Z866" s="133" t="str">
        <f>IF(TYPE((VLOOKUP(Первоначальный[[#This Row],[Дата платежа]],График[Срок конец],1,0)))=16,"",1)</f>
        <v/>
      </c>
      <c r="AA866" s="57"/>
      <c r="AB866" s="134"/>
      <c r="AC86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6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61986.609999999855</v>
      </c>
      <c r="AE86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2611.9299999999953</v>
      </c>
      <c r="AF86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6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144118.53449836047</v>
      </c>
      <c r="AH866" s="55"/>
      <c r="AI866" s="55"/>
      <c r="AJ866" s="55"/>
      <c r="AK866" s="101">
        <f t="shared" ca="1" si="166"/>
        <v>358350.4144983603</v>
      </c>
      <c r="AL866" s="129">
        <f t="array" ref="AL866">MAX((УслРестрактов[Характеристика]="Дата реструктуризации")*(УслРестрактов[Значение]=Первоначальный!$A866),0)</f>
        <v>0</v>
      </c>
    </row>
    <row r="867" spans="1:38" x14ac:dyDescent="0.25">
      <c r="A867" s="97">
        <f t="shared" si="159"/>
        <v>44998</v>
      </c>
      <c r="B867" s="100">
        <f t="shared" ca="1" si="160"/>
        <v>149633.34</v>
      </c>
      <c r="C867" s="55">
        <f t="shared" ca="1" si="168"/>
        <v>61986.609999999855</v>
      </c>
      <c r="D867" s="55">
        <f t="shared" ca="1" si="168"/>
        <v>2611.9299999999953</v>
      </c>
      <c r="E867" s="55">
        <f t="shared" ca="1" si="161"/>
        <v>0</v>
      </c>
      <c r="F867" s="55">
        <f t="shared" ca="1" si="162"/>
        <v>144118.53449836047</v>
      </c>
      <c r="G867" s="101">
        <f t="shared" ca="1" si="163"/>
        <v>358350.4144983603</v>
      </c>
      <c r="H867" s="100">
        <f ca="1">ROUND($B867*VLOOKUP($A867,$A$1:$B$10,2,1)/(365+IF(MOD(YEAR($A867),4),0,1)*($A867-$A866)),2)-Первоначальный[[#This Row],[Проценты на просроченный платеж по ОД за период]]</f>
        <v>74.19</v>
      </c>
      <c r="I867" s="55">
        <f t="shared" ca="1" si="164"/>
        <v>7.39</v>
      </c>
      <c r="J867" s="55">
        <v>0</v>
      </c>
      <c r="K867" s="55">
        <f t="shared" ca="1" si="167"/>
        <v>376.54350327868843</v>
      </c>
      <c r="L867" s="55">
        <v>0</v>
      </c>
      <c r="M867" s="113">
        <f>SUMIFS(График[Возврат основной суммы долга],График[Дата с учетом нерабочих дней],$A867)</f>
        <v>0</v>
      </c>
      <c r="N867" s="56">
        <f>SUMIFS(График[Возврат начисленных %],График[Дата с учетом нерабочих дней],$A867)</f>
        <v>0</v>
      </c>
      <c r="O867" s="101">
        <v>0</v>
      </c>
      <c r="P867" s="100" cm="1">
        <f t="array" aca="1" ref="P867" ca="1">MAX(IF(AA866="Да",0,SUM(INDIRECT("M"&amp;(MAX(("Да"=AA$12:AA866)*ROW(AA$12:AA866)+1,ROW($P$12))&amp;":M"&amp;(ROW()))))-SUM(INDIRECT("W"&amp;(MAX(("Да"=AA$12:AA866)*ROW(AA$12:AA866)+1,ROW($P$12))&amp;":W"&amp;(ROW()))))),0)</f>
        <v>13546.79</v>
      </c>
      <c r="Q867" s="99">
        <f ca="1">MAX(SUM($N$13:N867)-SUM($T$13:T867),0)</f>
        <v>61761.91065573768</v>
      </c>
      <c r="R867" s="99">
        <f ca="1">Первоначальный[[#This Row],[Просроченный платеж по ОД]]+Первоначальный[[#This Row],[Просроченный платеж по процентам]]</f>
        <v>75308.700655737688</v>
      </c>
      <c r="S867" s="120">
        <f ca="1">IF(Первоначальный[[#This Row],[Просроченный платеж]]&lt;1,0,S866+1)</f>
        <v>763</v>
      </c>
      <c r="T867" s="100" cm="1">
        <f t="array" aca="1" ref="T867" ca="1">IF(Первоначальный[[#This Row],[Итого остаток на начало периода]]&lt;1,0,
IF(
AND(TYPE(VLOOKUP(1,$Z$12:Z867,1,0))=16,Первоначальный[[#This Row],[Досрочное погашение (да/"")]]=""),0,
_xlfn.IFS(AND(S866=0,Первоначальный[[#This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платеж]]&lt;&gt;0),MIN(LOOKUP(,-1/($Z$12:Z867=1),$C$12:C867)+LOOKUP(,-1/($Z$12:Z867=1),$H$12:H867),Первоначальный[[#This Row],[Полученный платеж]]+Y866),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платеж]]+Y866,SUM(Первоначальный[[#This Row],[Остаток процентов на начало периода]],Первоначальный[[#This Row],[Проценты за период]])),
AND(S866=0,Первоначальный[[#This Row],[Дата платежа из графика]]=""),0,
AND(S866=0,Первоначальный[[#This Row],[Дата платежа из графика]]=1,MAX((0&lt;&gt;S$12:S866)*ROW(S$12:S866),ROW($S$12))&gt;=MAX((1=Z$12:Z866)*ROW(Z$12:Z866),ROW($T$12)),TYPE(VLOOKUP("Да",(INDIRECT("AA"&amp;(MAX((1=Z$12:Z866)*ROW(Z$12:Z866),ROW($T$12))&amp;":AA"&amp;(ROW()-1)))),1,0))=16),MIN(LOOKUP(,-1/($Z$12:Z867=1),$C$12:C867)+LOOKUP(,-1/($Z$12:Z867=1),$H$12:H867),Первоначальный[[#This Row],[Полученный платеж]]+Y866),
AND(S866=0,TYPE(VLOOKUP("Да",(INDIRECT("AA"&amp;(MAX((1=Z$12:Z866)*ROW(Z$12:Z866),ROW($T$12))&amp;":AA"&amp;(ROW()-1)))),1,0))&lt;&gt;16),MIN(LOOKUP(,-1/($Z$12:Z867=1),$C$12:C867)+LOOKUP(,-1/($Z$12:Z867=1),$H$12:H867)-IF(AA866="Да",0,SUM(INDIRECT("T"&amp;(MAX(("Да"=AA$12:AA866)*ROW(AA$12:AA866)+1,ROW($T$12))&amp;":T"&amp;(ROW()-1))))),Первоначальный[[#This Row],[Полученный платеж]]+Y866),
AND(S866=0,MAX((0&lt;&gt;N$12:N866)*ROW(N$12:N866),ROW($S$12))&gt;=MAX((1=Z$12:Z866)*ROW(Z$12:Z866),ROW($T$12))),MIN(LOOKUP(,-1/($Z$12:Z867=1),$C$12:C867)+LOOKUP(,-1/($Z$12:Z867=1),$H$12:H867)-IF(N866&lt;&gt;0,0,SUM(INDIRECT("T"&amp;(MAX((0&lt;&gt;N$12:N866)*ROW(N$12:N866)+1,ROW($T$12))&amp;":T"&amp;(ROW()-1))))),Первоначальный[[#This Row],[Полученный платеж]]+Y866),
AND(S866=0,Первоначальный[[#This Row],[Дата платежа из графика]]=1),MIN(LOOKUP(,-1/($Z$12:Z867=1),$C$12:C867)+LOOKUP(,-1/($Z$12:Z867=1),$H$12:H867)-IF(Z866=1,0,SUM(INDIRECT("T"&amp;(MAX((1=Z$12:Z866)*ROW(Z$12:Z866)+1,ROW($T$12))&amp;":T"&amp;(ROW()-1))))),Первоначальный[[#This Row],[Полученный платеж]]+Y866),
AND(Z866&gt;0,Первоначальный[[#This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платеж]]+Y866),
AND(S866&gt;0,MAX((0&lt;&gt;S$12:S866)*ROW(S$12:S866),ROW($S$12))&gt;=MAX((1=Z$12:Z866)*ROW(Z$12:Z866),ROW($T$12)),TYPE(VLOOKUP("Да",(INDIRECT("AA"&amp;(MAX((1=Z$12:Z866)*ROW(Z$12:Z866),ROW($T$12))&amp;":AA"&amp;(ROW()-1)))),1,0))=16),MIN(LOOKUP(,-1/($Z$12:Z867=1),$C$12:C867)+LOOKUP(,-1/($Z$12:Z867=1),$H$12:H867)-SUM(INDIRECT("T"&amp;(MAX((1=Z$12:Z866)*ROW(Z$12:Z866),ROW($T$12))&amp;":T"&amp;(ROW()-1)))),Первоначальный[[#This Row],[Полученный платеж]]+Y866),
S866&gt;0,MIN(LOOKUP(,-1/($Z$12:Z867=1),$C$12:C867)+LOOKUP(,-1/($Z$12:Z867=1),$H$12:H867)-IF(Z866=1,0,SUM(INDIRECT("T"&amp;(MAX((1=Z$12:Z866)*ROW(Z$12:Z866)+1,ROW($T$12))&amp;":T"&amp;(ROW()-1))))),Первоначальный[[#This Row],[Полученный платеж]]+Y866)
)
)
)</f>
        <v>0</v>
      </c>
      <c r="U86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платеж]]+Y866-Первоначальный[[#This Row],[Полученный платёж по процентам]])</f>
        <v>0</v>
      </c>
      <c r="V867" s="55">
        <f t="shared" ca="1" si="157"/>
        <v>0</v>
      </c>
      <c r="W867" s="55" cm="1">
        <f t="array" aca="1" ref="W867" ca="1">IF(Первоначальный[[#This Row],[Итого остаток на начало периода]]&lt;1,0,
_xlfn.IFS(
AND(TYPE(VLOOKUP(1,$Z$12:Z867,1,0))=16,Первоначальный[[#This Row],[Досрочное погашение (да/"")]]=""),0,
AND(S866=0,Первоначальный[[#This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платеж]]+Y866-SUM(Первоначальный[[#This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комиссиям]]),VLOOKUP(LOOKUP(,-1/($Z$12:Z867=1),$A$12:A867),График[[Срок конец]:[Возврат основной суммы долга]],3,0)),
AND(S866=0,Первоначальный[[#This Row],[Дата платежа из графика]]="",Первоначальный[[#This Row],[Досрочное погашение (да/"")]]&lt;&gt;"Да"),0,
AND(S866=0,Первоначальный[[#This Row],[Досрочное погашение (да/"")]]=""),MIN(Первоначальный[[#This Row],[Полученный платеж]]+Y866-SUM(Первоначальный[[#This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комиссиям]]),VLOOKUP(LOOKUP(,-1/($Z$12:Z867=1),$A$12:A867),График[[Срок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платеж]]+Y866-SUM(Первоначальный[[#This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S866&gt;0,MIN(Первоначальный[[#This Row],[Полученный платеж]]+Y866-SUM(Первоначальный[[#This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комиссиям]]),SUM(INDIRECT("M"&amp;(MAX((1=S$12:S866)*ROW(S$12:S866),ROW($W$12))&amp;":M"&amp;(ROW()))))-SUM(INDIRECT("W"&amp;(MAX((1=S$12:S866)*ROW(S$12:S866),ROW($W$12))&amp;":W"&amp;(ROW()-1)))))
)
)</f>
        <v>0</v>
      </c>
      <c r="X867" s="55">
        <f t="shared" ca="1" si="158"/>
        <v>0</v>
      </c>
      <c r="Y867" s="101">
        <f t="shared" ca="1" si="165"/>
        <v>0</v>
      </c>
      <c r="Z867" s="133" t="str">
        <f>IF(TYPE((VLOOKUP(Первоначальный[[#This Row],[Дата платежа]],График[Срок конец],1,0)))=16,"",1)</f>
        <v/>
      </c>
      <c r="AA867" s="57"/>
      <c r="AB867" s="134"/>
      <c r="AC86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6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62060.799999999857</v>
      </c>
      <c r="AE86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2619.3199999999952</v>
      </c>
      <c r="AF86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6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144495.07800163917</v>
      </c>
      <c r="AH867" s="55"/>
      <c r="AI867" s="55"/>
      <c r="AJ867" s="55"/>
      <c r="AK867" s="101">
        <f t="shared" ca="1" si="166"/>
        <v>358808.53800163901</v>
      </c>
      <c r="AL867" s="129">
        <f t="array" ref="AL867">MAX((УслРестрактов[Характеристика]="Дата реструктуризации")*(УслРестрактов[Значение]=Первоначальный!$A867),0)</f>
        <v>0</v>
      </c>
    </row>
    <row r="868" spans="1:38" x14ac:dyDescent="0.25">
      <c r="A868" s="97">
        <f t="shared" si="159"/>
        <v>44999</v>
      </c>
      <c r="B868" s="100">
        <f t="shared" ca="1" si="160"/>
        <v>149633.34</v>
      </c>
      <c r="C868" s="55">
        <f t="shared" ca="1" si="168"/>
        <v>62060.799999999857</v>
      </c>
      <c r="D868" s="55">
        <f t="shared" ca="1" si="168"/>
        <v>2619.3199999999952</v>
      </c>
      <c r="E868" s="55">
        <f t="shared" ca="1" si="161"/>
        <v>0</v>
      </c>
      <c r="F868" s="55">
        <f t="shared" ca="1" si="162"/>
        <v>144495.07800163917</v>
      </c>
      <c r="G868" s="101">
        <f t="shared" ca="1" si="163"/>
        <v>358808.53800163901</v>
      </c>
      <c r="H868" s="100">
        <f ca="1">ROUND($B868*VLOOKUP($A868,$A$1:$B$10,2,1)/(365+IF(MOD(YEAR($A868),4),0,1)*($A868-$A867)),2)-Первоначальный[[#This Row],[Проценты на просроченный платеж по ОД за период]]</f>
        <v>74.19</v>
      </c>
      <c r="I868" s="55">
        <f t="shared" ca="1" si="164"/>
        <v>7.39</v>
      </c>
      <c r="J868" s="55">
        <v>0</v>
      </c>
      <c r="K868" s="55">
        <f t="shared" ca="1" si="167"/>
        <v>376.54350327868843</v>
      </c>
      <c r="L868" s="55">
        <v>0</v>
      </c>
      <c r="M868" s="113">
        <f>SUMIFS(График[Возврат основной суммы долга],График[Дата с учетом нерабочих дней],$A868)</f>
        <v>0</v>
      </c>
      <c r="N868" s="56">
        <f>SUMIFS(График[Возврат начисленных %],График[Дата с учетом нерабочих дней],$A868)</f>
        <v>0</v>
      </c>
      <c r="O868" s="101">
        <v>0</v>
      </c>
      <c r="P868" s="100" cm="1">
        <f t="array" aca="1" ref="P868" ca="1">MAX(IF(AA867="Да",0,SUM(INDIRECT("M"&amp;(MAX(("Да"=AA$12:AA867)*ROW(AA$12:AA867)+1,ROW($P$12))&amp;":M"&amp;(ROW()))))-SUM(INDIRECT("W"&amp;(MAX(("Да"=AA$12:AA867)*ROW(AA$12:AA867)+1,ROW($P$12))&amp;":W"&amp;(ROW()))))),0)</f>
        <v>13546.79</v>
      </c>
      <c r="Q868" s="99">
        <f ca="1">MAX(SUM($N$13:N868)-SUM($T$13:T868),0)</f>
        <v>61761.91065573768</v>
      </c>
      <c r="R868" s="99">
        <f ca="1">Первоначальный[[#This Row],[Просроченный платеж по ОД]]+Первоначальный[[#This Row],[Просроченный платеж по процентам]]</f>
        <v>75308.700655737688</v>
      </c>
      <c r="S868" s="120">
        <f ca="1">IF(Первоначальный[[#This Row],[Просроченный платеж]]&lt;1,0,S867+1)</f>
        <v>764</v>
      </c>
      <c r="T868" s="100" cm="1">
        <f t="array" aca="1" ref="T868" ca="1">IF(Первоначальный[[#This Row],[Итого остаток на начало периода]]&lt;1,0,
IF(
AND(TYPE(VLOOKUP(1,$Z$12:Z868,1,0))=16,Первоначальный[[#This Row],[Досрочное погашение (да/"")]]=""),0,
_xlfn.IFS(AND(S867=0,Первоначальный[[#This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платеж]]&lt;&gt;0),MIN(LOOKUP(,-1/($Z$12:Z868=1),$C$12:C868)+LOOKUP(,-1/($Z$12:Z868=1),$H$12:H868),Первоначальный[[#This Row],[Полученный платеж]]+Y867),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платеж]]+Y867,SUM(Первоначальный[[#This Row],[Остаток процентов на начало периода]],Первоначальный[[#This Row],[Проценты за период]])),
AND(S867=0,Первоначальный[[#This Row],[Дата платежа из графика]]=""),0,
AND(S867=0,Первоначальный[[#This Row],[Дата платежа из графика]]=1,MAX((0&lt;&gt;S$12:S867)*ROW(S$12:S867),ROW($S$12))&gt;=MAX((1=Z$12:Z867)*ROW(Z$12:Z867),ROW($T$12)),TYPE(VLOOKUP("Да",(INDIRECT("AA"&amp;(MAX((1=Z$12:Z867)*ROW(Z$12:Z867),ROW($T$12))&amp;":AA"&amp;(ROW()-1)))),1,0))=16),MIN(LOOKUP(,-1/($Z$12:Z868=1),$C$12:C868)+LOOKUP(,-1/($Z$12:Z868=1),$H$12:H868),Первоначальный[[#This Row],[Полученный платеж]]+Y867),
AND(S867=0,TYPE(VLOOKUP("Да",(INDIRECT("AA"&amp;(MAX((1=Z$12:Z867)*ROW(Z$12:Z867),ROW($T$12))&amp;":AA"&amp;(ROW()-1)))),1,0))&lt;&gt;16),MIN(LOOKUP(,-1/($Z$12:Z868=1),$C$12:C868)+LOOKUP(,-1/($Z$12:Z868=1),$H$12:H868)-IF(AA867="Да",0,SUM(INDIRECT("T"&amp;(MAX(("Да"=AA$12:AA867)*ROW(AA$12:AA867)+1,ROW($T$12))&amp;":T"&amp;(ROW()-1))))),Первоначальный[[#This Row],[Полученный платеж]]+Y867),
AND(S867=0,MAX((0&lt;&gt;N$12:N867)*ROW(N$12:N867),ROW($S$12))&gt;=MAX((1=Z$12:Z867)*ROW(Z$12:Z867),ROW($T$12))),MIN(LOOKUP(,-1/($Z$12:Z868=1),$C$12:C868)+LOOKUP(,-1/($Z$12:Z868=1),$H$12:H868)-IF(N867&lt;&gt;0,0,SUM(INDIRECT("T"&amp;(MAX((0&lt;&gt;N$12:N867)*ROW(N$12:N867)+1,ROW($T$12))&amp;":T"&amp;(ROW()-1))))),Первоначальный[[#This Row],[Полученный платеж]]+Y867),
AND(S867=0,Первоначальный[[#This Row],[Дата платежа из графика]]=1),MIN(LOOKUP(,-1/($Z$12:Z868=1),$C$12:C868)+LOOKUP(,-1/($Z$12:Z868=1),$H$12:H868)-IF(Z867=1,0,SUM(INDIRECT("T"&amp;(MAX((1=Z$12:Z867)*ROW(Z$12:Z867)+1,ROW($T$12))&amp;":T"&amp;(ROW()-1))))),Первоначальный[[#This Row],[Полученный платеж]]+Y867),
AND(Z867&gt;0,Первоначальный[[#This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платеж]]+Y867),
AND(S867&gt;0,MAX((0&lt;&gt;S$12:S867)*ROW(S$12:S867),ROW($S$12))&gt;=MAX((1=Z$12:Z867)*ROW(Z$12:Z867),ROW($T$12)),TYPE(VLOOKUP("Да",(INDIRECT("AA"&amp;(MAX((1=Z$12:Z867)*ROW(Z$12:Z867),ROW($T$12))&amp;":AA"&amp;(ROW()-1)))),1,0))=16),MIN(LOOKUP(,-1/($Z$12:Z868=1),$C$12:C868)+LOOKUP(,-1/($Z$12:Z868=1),$H$12:H868)-SUM(INDIRECT("T"&amp;(MAX((1=Z$12:Z867)*ROW(Z$12:Z867),ROW($T$12))&amp;":T"&amp;(ROW()-1)))),Первоначальный[[#This Row],[Полученный платеж]]+Y867),
S867&gt;0,MIN(LOOKUP(,-1/($Z$12:Z868=1),$C$12:C868)+LOOKUP(,-1/($Z$12:Z868=1),$H$12:H868)-IF(Z867=1,0,SUM(INDIRECT("T"&amp;(MAX((1=Z$12:Z867)*ROW(Z$12:Z867)+1,ROW($T$12))&amp;":T"&amp;(ROW()-1))))),Первоначальный[[#This Row],[Полученный платеж]]+Y867)
)
)
)</f>
        <v>0</v>
      </c>
      <c r="U86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платеж]]+Y867-Первоначальный[[#This Row],[Полученный платёж по процентам]])</f>
        <v>0</v>
      </c>
      <c r="V868" s="55">
        <f t="shared" ca="1" si="157"/>
        <v>0</v>
      </c>
      <c r="W868" s="55" cm="1">
        <f t="array" aca="1" ref="W868" ca="1">IF(Первоначальный[[#This Row],[Итого остаток на начало периода]]&lt;1,0,
_xlfn.IFS(
AND(TYPE(VLOOKUP(1,$Z$12:Z868,1,0))=16,Первоначальный[[#This Row],[Досрочное погашение (да/"")]]=""),0,
AND(S867=0,Первоначальный[[#This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платеж]]+Y867-SUM(Первоначальный[[#This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комиссиям]]),VLOOKUP(LOOKUP(,-1/($Z$12:Z868=1),$A$12:A868),График[[Срок конец]:[Возврат основной суммы долга]],3,0)),
AND(S867=0,Первоначальный[[#This Row],[Дата платежа из графика]]="",Первоначальный[[#This Row],[Досрочное погашение (да/"")]]&lt;&gt;"Да"),0,
AND(S867=0,Первоначальный[[#This Row],[Досрочное погашение (да/"")]]=""),MIN(Первоначальный[[#This Row],[Полученный платеж]]+Y867-SUM(Первоначальный[[#This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комиссиям]]),VLOOKUP(LOOKUP(,-1/($Z$12:Z868=1),$A$12:A868),График[[Срок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платеж]]+Y867-SUM(Первоначальный[[#This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S867&gt;0,MIN(Первоначальный[[#This Row],[Полученный платеж]]+Y867-SUM(Первоначальный[[#This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комиссиям]]),SUM(INDIRECT("M"&amp;(MAX((1=S$12:S867)*ROW(S$12:S867),ROW($W$12))&amp;":M"&amp;(ROW()))))-SUM(INDIRECT("W"&amp;(MAX((1=S$12:S867)*ROW(S$12:S867),ROW($W$12))&amp;":W"&amp;(ROW()-1)))))
)
)</f>
        <v>0</v>
      </c>
      <c r="X868" s="55">
        <f t="shared" ca="1" si="158"/>
        <v>0</v>
      </c>
      <c r="Y868" s="101">
        <f t="shared" ca="1" si="165"/>
        <v>0</v>
      </c>
      <c r="Z868" s="133" t="str">
        <f>IF(TYPE((VLOOKUP(Первоначальный[[#This Row],[Дата платежа]],График[Срок конец],1,0)))=16,"",1)</f>
        <v/>
      </c>
      <c r="AA868" s="57"/>
      <c r="AB868" s="134"/>
      <c r="AC86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6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62134.98999999986</v>
      </c>
      <c r="AE86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2626.709999999995</v>
      </c>
      <c r="AF86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6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144871.62150491786</v>
      </c>
      <c r="AH868" s="55"/>
      <c r="AI868" s="55"/>
      <c r="AJ868" s="55"/>
      <c r="AK868" s="101">
        <f t="shared" ca="1" si="166"/>
        <v>359266.66150491766</v>
      </c>
      <c r="AL868" s="129">
        <f t="array" ref="AL868">MAX((УслРестрактов[Характеристика]="Дата реструктуризации")*(УслРестрактов[Значение]=Первоначальный!$A868),0)</f>
        <v>0</v>
      </c>
    </row>
    <row r="869" spans="1:38" x14ac:dyDescent="0.25">
      <c r="A869" s="97">
        <f t="shared" si="159"/>
        <v>45000</v>
      </c>
      <c r="B869" s="100">
        <f t="shared" ca="1" si="160"/>
        <v>149633.34</v>
      </c>
      <c r="C869" s="55">
        <f ca="1">AD868+AI868</f>
        <v>62134.98999999986</v>
      </c>
      <c r="D869" s="55">
        <f t="shared" ca="1" si="168"/>
        <v>2626.709999999995</v>
      </c>
      <c r="E869" s="55">
        <f t="shared" ca="1" si="161"/>
        <v>0</v>
      </c>
      <c r="F869" s="55">
        <f t="shared" ca="1" si="162"/>
        <v>144871.62150491786</v>
      </c>
      <c r="G869" s="101">
        <f t="shared" ca="1" si="163"/>
        <v>359266.66150491766</v>
      </c>
      <c r="H869" s="100">
        <f ca="1">ROUND($B869*VLOOKUP($A869,$A$1:$B$10,2,1)/(365+IF(MOD(YEAR($A869),4),0,1)*($A869-$A868)),2)-Первоначальный[[#This Row],[Проценты на просроченный платеж по ОД за период]]</f>
        <v>74.19</v>
      </c>
      <c r="I869" s="55">
        <f t="shared" ca="1" si="164"/>
        <v>7.39</v>
      </c>
      <c r="J869" s="55">
        <v>0</v>
      </c>
      <c r="K869" s="55">
        <f t="shared" ca="1" si="167"/>
        <v>376.54350327868843</v>
      </c>
      <c r="L869" s="55">
        <v>0</v>
      </c>
      <c r="M869" s="113">
        <f>SUMIFS(График[Возврат основной суммы долга],График[Дата с учетом нерабочих дней],$A869)</f>
        <v>0</v>
      </c>
      <c r="N869" s="56">
        <f>SUMIFS(График[Возврат начисленных %],График[Дата с учетом нерабочих дней],$A869)</f>
        <v>0</v>
      </c>
      <c r="O869" s="101">
        <v>0</v>
      </c>
      <c r="P869" s="100" cm="1">
        <f t="array" aca="1" ref="P869" ca="1">MAX(IF(AA868="Да",0,SUM(INDIRECT("M"&amp;(MAX(("Да"=AA$12:AA868)*ROW(AA$12:AA868)+1,ROW($P$12))&amp;":M"&amp;(ROW()))))-SUM(INDIRECT("W"&amp;(MAX(("Да"=AA$12:AA868)*ROW(AA$12:AA868)+1,ROW($P$12))&amp;":W"&amp;(ROW()))))),0)</f>
        <v>13546.79</v>
      </c>
      <c r="Q869" s="99">
        <f ca="1">MAX(SUM($N$13:N869)-SUM($T$13:T869),0)</f>
        <v>61761.91065573768</v>
      </c>
      <c r="R869" s="99">
        <f ca="1">Первоначальный[[#This Row],[Просроченный платеж по ОД]]+Первоначальный[[#This Row],[Просроченный платеж по процентам]]</f>
        <v>75308.700655737688</v>
      </c>
      <c r="S869" s="120">
        <f ca="1">IF(Первоначальный[[#This Row],[Просроченный платеж]]&lt;1,0,S868+1)</f>
        <v>765</v>
      </c>
      <c r="T869" s="100" cm="1">
        <f t="array" aca="1" ref="T869" ca="1">IF(Первоначальный[[#This Row],[Итого остаток на начало периода]]&lt;1,0,
IF(
AND(TYPE(VLOOKUP(1,$Z$12:Z869,1,0))=16,Первоначальный[[#This Row],[Досрочное погашение (да/"")]]=""),0,
_xlfn.IFS(AND(S868=0,Первоначальный[[#This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платеж]]&lt;&gt;0),MIN(LOOKUP(,-1/($Z$12:Z869=1),$C$12:C869)+LOOKUP(,-1/($Z$12:Z869=1),$H$12:H869),Первоначальный[[#This Row],[Полученный платеж]]+Y868),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платеж]]+Y868,SUM(Первоначальный[[#This Row],[Остаток процентов на начало периода]],Первоначальный[[#This Row],[Проценты за период]])),
AND(S868=0,Первоначальный[[#This Row],[Дата платежа из графика]]=""),0,
AND(S868=0,Первоначальный[[#This Row],[Дата платежа из графика]]=1,MAX((0&lt;&gt;S$12:S868)*ROW(S$12:S868),ROW($S$12))&gt;=MAX((1=Z$12:Z868)*ROW(Z$12:Z868),ROW($T$12)),TYPE(VLOOKUP("Да",(INDIRECT("AA"&amp;(MAX((1=Z$12:Z868)*ROW(Z$12:Z868),ROW($T$12))&amp;":AA"&amp;(ROW()-1)))),1,0))=16),MIN(LOOKUP(,-1/($Z$12:Z869=1),$C$12:C869)+LOOKUP(,-1/($Z$12:Z869=1),$H$12:H869),Первоначальный[[#This Row],[Полученный платеж]]+Y868),
AND(S868=0,TYPE(VLOOKUP("Да",(INDIRECT("AA"&amp;(MAX((1=Z$12:Z868)*ROW(Z$12:Z868),ROW($T$12))&amp;":AA"&amp;(ROW()-1)))),1,0))&lt;&gt;16),MIN(LOOKUP(,-1/($Z$12:Z869=1),$C$12:C869)+LOOKUP(,-1/($Z$12:Z869=1),$H$12:H869)-IF(AA868="Да",0,SUM(INDIRECT("T"&amp;(MAX(("Да"=AA$12:AA868)*ROW(AA$12:AA868)+1,ROW($T$12))&amp;":T"&amp;(ROW()-1))))),Первоначальный[[#This Row],[Полученный платеж]]+Y868),
AND(S868=0,MAX((0&lt;&gt;N$12:N868)*ROW(N$12:N868),ROW($S$12))&gt;=MAX((1=Z$12:Z868)*ROW(Z$12:Z868),ROW($T$12))),MIN(LOOKUP(,-1/($Z$12:Z869=1),$C$12:C869)+LOOKUP(,-1/($Z$12:Z869=1),$H$12:H869)-IF(N868&lt;&gt;0,0,SUM(INDIRECT("T"&amp;(MAX((0&lt;&gt;N$12:N868)*ROW(N$12:N868)+1,ROW($T$12))&amp;":T"&amp;(ROW()-1))))),Первоначальный[[#This Row],[Полученный платеж]]+Y868),
AND(S868=0,Первоначальный[[#This Row],[Дата платежа из графика]]=1),MIN(LOOKUP(,-1/($Z$12:Z869=1),$C$12:C869)+LOOKUP(,-1/($Z$12:Z869=1),$H$12:H869)-IF(Z868=1,0,SUM(INDIRECT("T"&amp;(MAX((1=Z$12:Z868)*ROW(Z$12:Z868)+1,ROW($T$12))&amp;":T"&amp;(ROW()-1))))),Первоначальный[[#This Row],[Полученный платеж]]+Y868),
AND(Z868&gt;0,Первоначальный[[#This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платеж]]+Y868),
AND(S868&gt;0,MAX((0&lt;&gt;S$12:S868)*ROW(S$12:S868),ROW($S$12))&gt;=MAX((1=Z$12:Z868)*ROW(Z$12:Z868),ROW($T$12)),TYPE(VLOOKUP("Да",(INDIRECT("AA"&amp;(MAX((1=Z$12:Z868)*ROW(Z$12:Z868),ROW($T$12))&amp;":AA"&amp;(ROW()-1)))),1,0))=16),MIN(LOOKUP(,-1/($Z$12:Z869=1),$C$12:C869)+LOOKUP(,-1/($Z$12:Z869=1),$H$12:H869)-SUM(INDIRECT("T"&amp;(MAX((1=Z$12:Z868)*ROW(Z$12:Z868),ROW($T$12))&amp;":T"&amp;(ROW()-1)))),Первоначальный[[#This Row],[Полученный платеж]]+Y868),
S868&gt;0,MIN(LOOKUP(,-1/($Z$12:Z869=1),$C$12:C869)+LOOKUP(,-1/($Z$12:Z869=1),$H$12:H869)-IF(Z868=1,0,SUM(INDIRECT("T"&amp;(MAX((1=Z$12:Z868)*ROW(Z$12:Z868)+1,ROW($T$12))&amp;":T"&amp;(ROW()-1))))),Первоначальный[[#This Row],[Полученный платеж]]+Y868)
)
)
)</f>
        <v>0</v>
      </c>
      <c r="U86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платеж]]+Y868-Первоначальный[[#This Row],[Полученный платёж по процентам]])</f>
        <v>0</v>
      </c>
      <c r="V869" s="55">
        <f t="shared" ca="1" si="157"/>
        <v>0</v>
      </c>
      <c r="W869" s="55" cm="1">
        <f t="array" aca="1" ref="W869" ca="1">IF(Первоначальный[[#This Row],[Итого остаток на начало периода]]&lt;1,0,
_xlfn.IFS(
AND(TYPE(VLOOKUP(1,$Z$12:Z869,1,0))=16,Первоначальный[[#This Row],[Досрочное погашение (да/"")]]=""),0,
AND(S868=0,Первоначальный[[#This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платеж]]+Y868-SUM(Первоначальный[[#This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комиссиям]]),VLOOKUP(LOOKUP(,-1/($Z$12:Z869=1),$A$12:A869),График[[Срок конец]:[Возврат основной суммы долга]],3,0)),
AND(S868=0,Первоначальный[[#This Row],[Дата платежа из графика]]="",Первоначальный[[#This Row],[Досрочное погашение (да/"")]]&lt;&gt;"Да"),0,
AND(S868=0,Первоначальный[[#This Row],[Досрочное погашение (да/"")]]=""),MIN(Первоначальный[[#This Row],[Полученный платеж]]+Y868-SUM(Первоначальный[[#This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комиссиям]]),VLOOKUP(LOOKUP(,-1/($Z$12:Z869=1),$A$12:A869),График[[Срок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платеж]]+Y868-SUM(Первоначальный[[#This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S868&gt;0,MIN(Первоначальный[[#This Row],[Полученный платеж]]+Y868-SUM(Первоначальный[[#This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комиссиям]]),SUM(INDIRECT("M"&amp;(MAX((1=S$12:S868)*ROW(S$12:S868),ROW($W$12))&amp;":M"&amp;(ROW()))))-SUM(INDIRECT("W"&amp;(MAX((1=S$12:S868)*ROW(S$12:S868),ROW($W$12))&amp;":W"&amp;(ROW()-1)))))
)
)</f>
        <v>0</v>
      </c>
      <c r="X869" s="55">
        <f t="shared" ca="1" si="158"/>
        <v>0</v>
      </c>
      <c r="Y869" s="101">
        <f t="shared" ca="1" si="165"/>
        <v>0</v>
      </c>
      <c r="Z869" s="133" t="str">
        <f>IF(TYPE((VLOOKUP(Первоначальный[[#This Row],[Дата платежа]],График[Срок конец],1,0)))=16,"",1)</f>
        <v/>
      </c>
      <c r="AA869" s="57"/>
      <c r="AB869" s="134"/>
      <c r="AC86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6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62209.179999999862</v>
      </c>
      <c r="AE86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2634.0999999999949</v>
      </c>
      <c r="AF86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6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145248.16500819655</v>
      </c>
      <c r="AH869" s="55"/>
      <c r="AI869" s="55"/>
      <c r="AJ869" s="55"/>
      <c r="AK869" s="101">
        <f t="shared" ca="1" si="166"/>
        <v>359724.78500819637</v>
      </c>
      <c r="AL869" s="129">
        <f t="array" ref="AL869">MAX((УслРестрактов[Характеристика]="Дата реструктуризации")*(УслРестрактов[Значение]=Первоначальный!$A869),0)</f>
        <v>0</v>
      </c>
    </row>
    <row r="870" spans="1:38" x14ac:dyDescent="0.25">
      <c r="A870" s="97">
        <f t="shared" si="159"/>
        <v>45001</v>
      </c>
      <c r="B870" s="100">
        <f t="shared" ca="1" si="160"/>
        <v>149633.34</v>
      </c>
      <c r="C870" s="55">
        <f ca="1">AD869+AI869</f>
        <v>62209.179999999862</v>
      </c>
      <c r="D870" s="55">
        <f t="shared" ca="1" si="168"/>
        <v>2634.0999999999949</v>
      </c>
      <c r="E870" s="55">
        <f t="shared" ca="1" si="161"/>
        <v>0</v>
      </c>
      <c r="F870" s="55">
        <f t="shared" ca="1" si="162"/>
        <v>145248.16500819655</v>
      </c>
      <c r="G870" s="101">
        <f t="shared" ca="1" si="163"/>
        <v>359724.78500819637</v>
      </c>
      <c r="H870" s="100">
        <f ca="1">ROUND($B870*VLOOKUP($A870,$A$1:$B$10,2,1)/(365+IF(MOD(YEAR($A870),4),0,1)*($A870-$A869)),2)-Первоначальный[[#This Row],[Проценты на просроченный платеж по ОД за период]]</f>
        <v>74.19</v>
      </c>
      <c r="I870" s="55">
        <f t="shared" ca="1" si="164"/>
        <v>7.39</v>
      </c>
      <c r="J870" s="55">
        <v>0</v>
      </c>
      <c r="K870" s="55">
        <f t="shared" ca="1" si="167"/>
        <v>376.54350327868843</v>
      </c>
      <c r="L870" s="55">
        <v>0</v>
      </c>
      <c r="M870" s="113">
        <f>SUMIFS(График[Возврат основной суммы долга],График[Дата с учетом нерабочих дней],$A870)</f>
        <v>0</v>
      </c>
      <c r="N870" s="56">
        <f>SUMIFS(График[Возврат начисленных %],График[Дата с учетом нерабочих дней],$A870)</f>
        <v>0</v>
      </c>
      <c r="O870" s="101">
        <v>0</v>
      </c>
      <c r="P870" s="100" cm="1">
        <f t="array" aca="1" ref="P870" ca="1">MAX(IF(AA869="Да",0,SUM(INDIRECT("M"&amp;(MAX(("Да"=AA$12:AA869)*ROW(AA$12:AA869)+1,ROW($P$12))&amp;":M"&amp;(ROW()))))-SUM(INDIRECT("W"&amp;(MAX(("Да"=AA$12:AA869)*ROW(AA$12:AA869)+1,ROW($P$12))&amp;":W"&amp;(ROW()))))),0)</f>
        <v>13546.79</v>
      </c>
      <c r="Q870" s="99">
        <f ca="1">MAX(SUM($N$13:N870)-SUM($T$13:T870),0)</f>
        <v>61761.91065573768</v>
      </c>
      <c r="R870" s="99">
        <f ca="1">Первоначальный[[#This Row],[Просроченный платеж по ОД]]+Первоначальный[[#This Row],[Просроченный платеж по процентам]]</f>
        <v>75308.700655737688</v>
      </c>
      <c r="S870" s="120">
        <f ca="1">IF(Первоначальный[[#This Row],[Просроченный платеж]]&lt;1,0,S869+1)</f>
        <v>766</v>
      </c>
      <c r="T870" s="100" cm="1">
        <f t="array" aca="1" ref="T870" ca="1">IF(Первоначальный[[#This Row],[Итого остаток на начало периода]]&lt;1,0,
IF(
AND(TYPE(VLOOKUP(1,$Z$12:Z870,1,0))=16,Первоначальный[[#This Row],[Досрочное погашение (да/"")]]=""),0,
_xlfn.IFS(AND(S869=0,Первоначальный[[#This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платеж]]&lt;&gt;0),MIN(LOOKUP(,-1/($Z$12:Z870=1),$C$12:C870)+LOOKUP(,-1/($Z$12:Z870=1),$H$12:H870),Первоначальный[[#This Row],[Полученный платеж]]+Y869),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платеж]]+Y869,SUM(Первоначальный[[#This Row],[Остаток процентов на начало периода]],Первоначальный[[#This Row],[Проценты за период]])),
AND(S869=0,Первоначальный[[#This Row],[Дата платежа из графика]]=""),0,
AND(S869=0,Первоначальный[[#This Row],[Дата платежа из графика]]=1,MAX((0&lt;&gt;S$12:S869)*ROW(S$12:S869),ROW($S$12))&gt;=MAX((1=Z$12:Z869)*ROW(Z$12:Z869),ROW($T$12)),TYPE(VLOOKUP("Да",(INDIRECT("AA"&amp;(MAX((1=Z$12:Z869)*ROW(Z$12:Z869),ROW($T$12))&amp;":AA"&amp;(ROW()-1)))),1,0))=16),MIN(LOOKUP(,-1/($Z$12:Z870=1),$C$12:C870)+LOOKUP(,-1/($Z$12:Z870=1),$H$12:H870),Первоначальный[[#This Row],[Полученный платеж]]+Y869),
AND(S869=0,TYPE(VLOOKUP("Да",(INDIRECT("AA"&amp;(MAX((1=Z$12:Z869)*ROW(Z$12:Z869),ROW($T$12))&amp;":AA"&amp;(ROW()-1)))),1,0))&lt;&gt;16),MIN(LOOKUP(,-1/($Z$12:Z870=1),$C$12:C870)+LOOKUP(,-1/($Z$12:Z870=1),$H$12:H870)-IF(AA869="Да",0,SUM(INDIRECT("T"&amp;(MAX(("Да"=AA$12:AA869)*ROW(AA$12:AA869)+1,ROW($T$12))&amp;":T"&amp;(ROW()-1))))),Первоначальный[[#This Row],[Полученный платеж]]+Y869),
AND(S869=0,MAX((0&lt;&gt;N$12:N869)*ROW(N$12:N869),ROW($S$12))&gt;=MAX((1=Z$12:Z869)*ROW(Z$12:Z869),ROW($T$12))),MIN(LOOKUP(,-1/($Z$12:Z870=1),$C$12:C870)+LOOKUP(,-1/($Z$12:Z870=1),$H$12:H870)-IF(N869&lt;&gt;0,0,SUM(INDIRECT("T"&amp;(MAX((0&lt;&gt;N$12:N869)*ROW(N$12:N869)+1,ROW($T$12))&amp;":T"&amp;(ROW()-1))))),Первоначальный[[#This Row],[Полученный платеж]]+Y869),
AND(S869=0,Первоначальный[[#This Row],[Дата платежа из графика]]=1),MIN(LOOKUP(,-1/($Z$12:Z870=1),$C$12:C870)+LOOKUP(,-1/($Z$12:Z870=1),$H$12:H870)-IF(Z869=1,0,SUM(INDIRECT("T"&amp;(MAX((1=Z$12:Z869)*ROW(Z$12:Z869)+1,ROW($T$12))&amp;":T"&amp;(ROW()-1))))),Первоначальный[[#This Row],[Полученный платеж]]+Y869),
AND(Z869&gt;0,Первоначальный[[#This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платеж]]+Y869),
AND(S869&gt;0,MAX((0&lt;&gt;S$12:S869)*ROW(S$12:S869),ROW($S$12))&gt;=MAX((1=Z$12:Z869)*ROW(Z$12:Z869),ROW($T$12)),TYPE(VLOOKUP("Да",(INDIRECT("AA"&amp;(MAX((1=Z$12:Z869)*ROW(Z$12:Z869),ROW($T$12))&amp;":AA"&amp;(ROW()-1)))),1,0))=16),MIN(LOOKUP(,-1/($Z$12:Z870=1),$C$12:C870)+LOOKUP(,-1/($Z$12:Z870=1),$H$12:H870)-SUM(INDIRECT("T"&amp;(MAX((1=Z$12:Z869)*ROW(Z$12:Z869),ROW($T$12))&amp;":T"&amp;(ROW()-1)))),Первоначальный[[#This Row],[Полученный платеж]]+Y869),
S869&gt;0,MIN(LOOKUP(,-1/($Z$12:Z870=1),$C$12:C870)+LOOKUP(,-1/($Z$12:Z870=1),$H$12:H870)-IF(Z869=1,0,SUM(INDIRECT("T"&amp;(MAX((1=Z$12:Z869)*ROW(Z$12:Z869)+1,ROW($T$12))&amp;":T"&amp;(ROW()-1))))),Первоначальный[[#This Row],[Полученный платеж]]+Y869)
)
)
)</f>
        <v>0</v>
      </c>
      <c r="U87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платеж]]+Y869-Первоначальный[[#This Row],[Полученный платёж по процентам]])</f>
        <v>0</v>
      </c>
      <c r="V870" s="55">
        <f t="shared" ca="1" si="157"/>
        <v>0</v>
      </c>
      <c r="W870" s="55" cm="1">
        <f t="array" aca="1" ref="W870" ca="1">IF(Первоначальный[[#This Row],[Итого остаток на начало периода]]&lt;1,0,
_xlfn.IFS(
AND(TYPE(VLOOKUP(1,$Z$12:Z870,1,0))=16,Первоначальный[[#This Row],[Досрочное погашение (да/"")]]=""),0,
AND(S869=0,Первоначальный[[#This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платеж]]+Y869-SUM(Первоначальный[[#This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комиссиям]]),VLOOKUP(LOOKUP(,-1/($Z$12:Z870=1),$A$12:A870),График[[Срок конец]:[Возврат основной суммы долга]],3,0)),
AND(S869=0,Первоначальный[[#This Row],[Дата платежа из графика]]="",Первоначальный[[#This Row],[Досрочное погашение (да/"")]]&lt;&gt;"Да"),0,
AND(S869=0,Первоначальный[[#This Row],[Досрочное погашение (да/"")]]=""),MIN(Первоначальный[[#This Row],[Полученный платеж]]+Y869-SUM(Первоначальный[[#This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комиссиям]]),VLOOKUP(LOOKUP(,-1/($Z$12:Z870=1),$A$12:A870),График[[Срок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платеж]]+Y869-SUM(Первоначальный[[#This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S869&gt;0,MIN(Первоначальный[[#This Row],[Полученный платеж]]+Y869-SUM(Первоначальный[[#This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комиссиям]]),SUM(INDIRECT("M"&amp;(MAX((1=S$12:S869)*ROW(S$12:S869),ROW($W$12))&amp;":M"&amp;(ROW()))))-SUM(INDIRECT("W"&amp;(MAX((1=S$12:S869)*ROW(S$12:S869),ROW($W$12))&amp;":W"&amp;(ROW()-1)))))
)
)</f>
        <v>0</v>
      </c>
      <c r="X870" s="55">
        <f t="shared" ca="1" si="158"/>
        <v>0</v>
      </c>
      <c r="Y870" s="101">
        <f t="shared" ca="1" si="165"/>
        <v>0</v>
      </c>
      <c r="Z870" s="133" t="str">
        <f>IF(TYPE((VLOOKUP(Первоначальный[[#This Row],[Дата платежа]],График[Срок конец],1,0)))=16,"",1)</f>
        <v/>
      </c>
      <c r="AA870" s="57"/>
      <c r="AB870" s="134"/>
      <c r="AC87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7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62283.369999999864</v>
      </c>
      <c r="AE87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2641.4899999999948</v>
      </c>
      <c r="AF87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7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145624.70851147524</v>
      </c>
      <c r="AH870" s="55"/>
      <c r="AI870" s="55"/>
      <c r="AJ870" s="55"/>
      <c r="AK870" s="101">
        <f t="shared" ca="1" si="166"/>
        <v>360182.90851147508</v>
      </c>
      <c r="AL870" s="129">
        <f t="array" ref="AL870">MAX((УслРестрактов[Характеристика]="Дата реструктуризации")*(УслРестрактов[Значение]=Первоначальный!$A870),0)</f>
        <v>0</v>
      </c>
    </row>
    <row r="871" spans="1:38" x14ac:dyDescent="0.25">
      <c r="A871" s="97">
        <f t="shared" si="159"/>
        <v>45002</v>
      </c>
      <c r="B871" s="100">
        <f t="shared" ca="1" si="160"/>
        <v>149633.34</v>
      </c>
      <c r="C871" s="55">
        <f ca="1">AD870+AI870</f>
        <v>62283.369999999864</v>
      </c>
      <c r="D871" s="55">
        <f t="shared" ca="1" si="168"/>
        <v>2641.4899999999948</v>
      </c>
      <c r="E871" s="55">
        <f t="shared" ca="1" si="161"/>
        <v>0</v>
      </c>
      <c r="F871" s="55">
        <f t="shared" ca="1" si="162"/>
        <v>145624.70851147524</v>
      </c>
      <c r="G871" s="101">
        <f t="shared" ca="1" si="163"/>
        <v>360182.90851147508</v>
      </c>
      <c r="H871" s="100">
        <f ca="1">ROUND($B871*VLOOKUP($A871,$A$1:$B$10,2,1)/(365+IF(MOD(YEAR($A871),4),0,1)*($A871-$A870)),2)-Первоначальный[[#This Row],[Проценты на просроченный платеж по ОД за период]]</f>
        <v>74.19</v>
      </c>
      <c r="I871" s="55">
        <f t="shared" ca="1" si="164"/>
        <v>7.39</v>
      </c>
      <c r="J871" s="55">
        <v>0</v>
      </c>
      <c r="K871" s="55">
        <f t="shared" ca="1" si="167"/>
        <v>376.54350327868843</v>
      </c>
      <c r="L871" s="55">
        <v>0</v>
      </c>
      <c r="M871" s="113">
        <f>SUMIFS(График[Возврат основной суммы долга],График[Дата с учетом нерабочих дней],$A871)</f>
        <v>0</v>
      </c>
      <c r="N871" s="56">
        <f>SUMIFS(График[Возврат начисленных %],График[Дата с учетом нерабочих дней],$A871)</f>
        <v>0</v>
      </c>
      <c r="O871" s="101">
        <v>0</v>
      </c>
      <c r="P871" s="100" cm="1">
        <f t="array" aca="1" ref="P871" ca="1">MAX(IF(AA870="Да",0,SUM(INDIRECT("M"&amp;(MAX(("Да"=AA$12:AA870)*ROW(AA$12:AA870)+1,ROW($P$12))&amp;":M"&amp;(ROW()))))-SUM(INDIRECT("W"&amp;(MAX(("Да"=AA$12:AA870)*ROW(AA$12:AA870)+1,ROW($P$12))&amp;":W"&amp;(ROW()))))),0)</f>
        <v>13546.79</v>
      </c>
      <c r="Q871" s="99">
        <f ca="1">MAX(SUM($N$13:N871)-SUM($T$13:T871),0)</f>
        <v>61761.91065573768</v>
      </c>
      <c r="R871" s="99">
        <f ca="1">Первоначальный[[#This Row],[Просроченный платеж по ОД]]+Первоначальный[[#This Row],[Просроченный платеж по процентам]]</f>
        <v>75308.700655737688</v>
      </c>
      <c r="S871" s="120">
        <f ca="1">IF(Первоначальный[[#This Row],[Просроченный платеж]]&lt;1,0,S870+1)</f>
        <v>767</v>
      </c>
      <c r="T871" s="100" cm="1">
        <f t="array" aca="1" ref="T871" ca="1">IF(Первоначальный[[#This Row],[Итого остаток на начало периода]]&lt;1,0,
IF(
AND(TYPE(VLOOKUP(1,$Z$12:Z871,1,0))=16,Первоначальный[[#This Row],[Досрочное погашение (да/"")]]=""),0,
_xlfn.IFS(AND(S870=0,Первоначальный[[#This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платеж]]&lt;&gt;0),MIN(LOOKUP(,-1/($Z$12:Z871=1),$C$12:C871)+LOOKUP(,-1/($Z$12:Z871=1),$H$12:H871),Первоначальный[[#This Row],[Полученный платеж]]+Y870),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платеж]]+Y870,SUM(Первоначальный[[#This Row],[Остаток процентов на начало периода]],Первоначальный[[#This Row],[Проценты за период]])),
AND(S870=0,Первоначальный[[#This Row],[Дата платежа из графика]]=""),0,
AND(S870=0,Первоначальный[[#This Row],[Дата платежа из графика]]=1,MAX((0&lt;&gt;S$12:S870)*ROW(S$12:S870),ROW($S$12))&gt;=MAX((1=Z$12:Z870)*ROW(Z$12:Z870),ROW($T$12)),TYPE(VLOOKUP("Да",(INDIRECT("AA"&amp;(MAX((1=Z$12:Z870)*ROW(Z$12:Z870),ROW($T$12))&amp;":AA"&amp;(ROW()-1)))),1,0))=16),MIN(LOOKUP(,-1/($Z$12:Z871=1),$C$12:C871)+LOOKUP(,-1/($Z$12:Z871=1),$H$12:H871),Первоначальный[[#This Row],[Полученный платеж]]+Y870),
AND(S870=0,TYPE(VLOOKUP("Да",(INDIRECT("AA"&amp;(MAX((1=Z$12:Z870)*ROW(Z$12:Z870),ROW($T$12))&amp;":AA"&amp;(ROW()-1)))),1,0))&lt;&gt;16),MIN(LOOKUP(,-1/($Z$12:Z871=1),$C$12:C871)+LOOKUP(,-1/($Z$12:Z871=1),$H$12:H871)-IF(AA870="Да",0,SUM(INDIRECT("T"&amp;(MAX(("Да"=AA$12:AA870)*ROW(AA$12:AA870)+1,ROW($T$12))&amp;":T"&amp;(ROW()-1))))),Первоначальный[[#This Row],[Полученный платеж]]+Y870),
AND(S870=0,MAX((0&lt;&gt;N$12:N870)*ROW(N$12:N870),ROW($S$12))&gt;=MAX((1=Z$12:Z870)*ROW(Z$12:Z870),ROW($T$12))),MIN(LOOKUP(,-1/($Z$12:Z871=1),$C$12:C871)+LOOKUP(,-1/($Z$12:Z871=1),$H$12:H871)-IF(N870&lt;&gt;0,0,SUM(INDIRECT("T"&amp;(MAX((0&lt;&gt;N$12:N870)*ROW(N$12:N870)+1,ROW($T$12))&amp;":T"&amp;(ROW()-1))))),Первоначальный[[#This Row],[Полученный платеж]]+Y870),
AND(S870=0,Первоначальный[[#This Row],[Дата платежа из графика]]=1),MIN(LOOKUP(,-1/($Z$12:Z871=1),$C$12:C871)+LOOKUP(,-1/($Z$12:Z871=1),$H$12:H871)-IF(Z870=1,0,SUM(INDIRECT("T"&amp;(MAX((1=Z$12:Z870)*ROW(Z$12:Z870)+1,ROW($T$12))&amp;":T"&amp;(ROW()-1))))),Первоначальный[[#This Row],[Полученный платеж]]+Y870),
AND(Z870&gt;0,Первоначальный[[#This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платеж]]+Y870),
AND(S870&gt;0,MAX((0&lt;&gt;S$12:S870)*ROW(S$12:S870),ROW($S$12))&gt;=MAX((1=Z$12:Z870)*ROW(Z$12:Z870),ROW($T$12)),TYPE(VLOOKUP("Да",(INDIRECT("AA"&amp;(MAX((1=Z$12:Z870)*ROW(Z$12:Z870),ROW($T$12))&amp;":AA"&amp;(ROW()-1)))),1,0))=16),MIN(LOOKUP(,-1/($Z$12:Z871=1),$C$12:C871)+LOOKUP(,-1/($Z$12:Z871=1),$H$12:H871)-SUM(INDIRECT("T"&amp;(MAX((1=Z$12:Z870)*ROW(Z$12:Z870),ROW($T$12))&amp;":T"&amp;(ROW()-1)))),Первоначальный[[#This Row],[Полученный платеж]]+Y870),
S870&gt;0,MIN(LOOKUP(,-1/($Z$12:Z871=1),$C$12:C871)+LOOKUP(,-1/($Z$12:Z871=1),$H$12:H871)-IF(Z870=1,0,SUM(INDIRECT("T"&amp;(MAX((1=Z$12:Z870)*ROW(Z$12:Z870)+1,ROW($T$12))&amp;":T"&amp;(ROW()-1))))),Первоначальный[[#This Row],[Полученный платеж]]+Y870)
)
)
)</f>
        <v>0</v>
      </c>
      <c r="U87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платеж]]+Y870-Первоначальный[[#This Row],[Полученный платёж по процентам]])</f>
        <v>0</v>
      </c>
      <c r="V871" s="55">
        <f t="shared" ca="1" si="157"/>
        <v>0</v>
      </c>
      <c r="W871" s="55" cm="1">
        <f t="array" aca="1" ref="W871" ca="1">IF(Первоначальный[[#This Row],[Итого остаток на начало периода]]&lt;1,0,
_xlfn.IFS(
AND(TYPE(VLOOKUP(1,$Z$12:Z871,1,0))=16,Первоначальный[[#This Row],[Досрочное погашение (да/"")]]=""),0,
AND(S870=0,Первоначальный[[#This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платеж]]+Y870-SUM(Первоначальный[[#This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комиссиям]]),VLOOKUP(LOOKUP(,-1/($Z$12:Z871=1),$A$12:A871),График[[Срок конец]:[Возврат основной суммы долга]],3,0)),
AND(S870=0,Первоначальный[[#This Row],[Дата платежа из графика]]="",Первоначальный[[#This Row],[Досрочное погашение (да/"")]]&lt;&gt;"Да"),0,
AND(S870=0,Первоначальный[[#This Row],[Досрочное погашение (да/"")]]=""),MIN(Первоначальный[[#This Row],[Полученный платеж]]+Y870-SUM(Первоначальный[[#This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комиссиям]]),VLOOKUP(LOOKUP(,-1/($Z$12:Z871=1),$A$12:A871),График[[Срок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платеж]]+Y870-SUM(Первоначальный[[#This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S870&gt;0,MIN(Первоначальный[[#This Row],[Полученный платеж]]+Y870-SUM(Первоначальный[[#This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комиссиям]]),SUM(INDIRECT("M"&amp;(MAX((1=S$12:S870)*ROW(S$12:S870),ROW($W$12))&amp;":M"&amp;(ROW()))))-SUM(INDIRECT("W"&amp;(MAX((1=S$12:S870)*ROW(S$12:S870),ROW($W$12))&amp;":W"&amp;(ROW()-1)))))
)
)</f>
        <v>0</v>
      </c>
      <c r="X871" s="55">
        <f t="shared" ca="1" si="158"/>
        <v>0</v>
      </c>
      <c r="Y871" s="101">
        <f t="shared" ca="1" si="165"/>
        <v>0</v>
      </c>
      <c r="Z871" s="133" t="str">
        <f>IF(TYPE((VLOOKUP(Первоначальный[[#This Row],[Дата платежа]],График[Срок конец],1,0)))=16,"",1)</f>
        <v/>
      </c>
      <c r="AA871" s="57"/>
      <c r="AB871" s="134"/>
      <c r="AC87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7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62357.559999999867</v>
      </c>
      <c r="AE87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2648.8799999999947</v>
      </c>
      <c r="AF87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7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146001.25201475393</v>
      </c>
      <c r="AH871" s="55"/>
      <c r="AI871" s="55"/>
      <c r="AJ871" s="55"/>
      <c r="AK871" s="101">
        <f t="shared" ca="1" si="166"/>
        <v>360641.03201475379</v>
      </c>
      <c r="AL871" s="129">
        <f t="array" ref="AL871">MAX((УслРестрактов[Характеристика]="Дата реструктуризации")*(УслРестрактов[Значение]=Первоначальный!$A871),0)</f>
        <v>0</v>
      </c>
    </row>
    <row r="872" spans="1:38" x14ac:dyDescent="0.25">
      <c r="A872" s="97">
        <f t="shared" si="159"/>
        <v>45003</v>
      </c>
      <c r="B872" s="100">
        <f t="shared" ca="1" si="160"/>
        <v>149633.34</v>
      </c>
      <c r="C872" s="55">
        <f ca="1">AD871+AI871</f>
        <v>62357.559999999867</v>
      </c>
      <c r="D872" s="55">
        <f t="shared" ca="1" si="168"/>
        <v>2648.8799999999947</v>
      </c>
      <c r="E872" s="55">
        <f t="shared" ca="1" si="161"/>
        <v>0</v>
      </c>
      <c r="F872" s="55">
        <f t="shared" ca="1" si="162"/>
        <v>146001.25201475393</v>
      </c>
      <c r="G872" s="101">
        <f t="shared" ca="1" si="163"/>
        <v>360641.03201475379</v>
      </c>
      <c r="H872" s="100">
        <f ca="1">ROUND($B872*VLOOKUP($A872,$A$1:$B$10,2,1)/(365+IF(MOD(YEAR($A872),4),0,1)*($A872-$A871)),2)-Первоначальный[[#This Row],[Проценты на просроченный платеж по ОД за период]]</f>
        <v>74.19</v>
      </c>
      <c r="I872" s="55">
        <f t="shared" ca="1" si="164"/>
        <v>7.39</v>
      </c>
      <c r="J872" s="55">
        <v>0</v>
      </c>
      <c r="K872" s="55">
        <f t="shared" ca="1" si="167"/>
        <v>376.54350327868843</v>
      </c>
      <c r="L872" s="55">
        <v>0</v>
      </c>
      <c r="M872" s="113">
        <f>SUMIFS(График[Возврат основной суммы долга],График[Дата с учетом нерабочих дней],$A872)</f>
        <v>0</v>
      </c>
      <c r="N872" s="56">
        <f>SUMIFS(График[Возврат начисленных %],График[Дата с учетом нерабочих дней],$A872)</f>
        <v>0</v>
      </c>
      <c r="O872" s="101">
        <v>0</v>
      </c>
      <c r="P872" s="100" cm="1">
        <f t="array" aca="1" ref="P872" ca="1">MAX(IF(AA871="Да",0,SUM(INDIRECT("M"&amp;(MAX(("Да"=AA$12:AA871)*ROW(AA$12:AA871)+1,ROW($P$12))&amp;":M"&amp;(ROW()))))-SUM(INDIRECT("W"&amp;(MAX(("Да"=AA$12:AA871)*ROW(AA$12:AA871)+1,ROW($P$12))&amp;":W"&amp;(ROW()))))),0)</f>
        <v>13546.79</v>
      </c>
      <c r="Q872" s="99">
        <f ca="1">MAX(SUM($N$13:N872)-SUM($T$13:T872),0)</f>
        <v>61761.91065573768</v>
      </c>
      <c r="R872" s="99">
        <f ca="1">Первоначальный[[#This Row],[Просроченный платеж по ОД]]+Первоначальный[[#This Row],[Просроченный платеж по процентам]]</f>
        <v>75308.700655737688</v>
      </c>
      <c r="S872" s="120">
        <f ca="1">IF(Первоначальный[[#This Row],[Просроченный платеж]]&lt;1,0,S871+1)</f>
        <v>768</v>
      </c>
      <c r="T872" s="100" cm="1">
        <f t="array" aca="1" ref="T872" ca="1">IF(Первоначальный[[#This Row],[Итого остаток на начало периода]]&lt;1,0,
IF(
AND(TYPE(VLOOKUP(1,$Z$12:Z872,1,0))=16,Первоначальный[[#This Row],[Досрочное погашение (да/"")]]=""),0,
_xlfn.IFS(AND(S871=0,Первоначальный[[#This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платеж]]&lt;&gt;0),MIN(LOOKUP(,-1/($Z$12:Z872=1),$C$12:C872)+LOOKUP(,-1/($Z$12:Z872=1),$H$12:H872),Первоначальный[[#This Row],[Полученный платеж]]+Y871),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платеж]]+Y871,SUM(Первоначальный[[#This Row],[Остаток процентов на начало периода]],Первоначальный[[#This Row],[Проценты за период]])),
AND(S871=0,Первоначальный[[#This Row],[Дата платежа из графика]]=""),0,
AND(S871=0,Первоначальный[[#This Row],[Дата платежа из графика]]=1,MAX((0&lt;&gt;S$12:S871)*ROW(S$12:S871),ROW($S$12))&gt;=MAX((1=Z$12:Z871)*ROW(Z$12:Z871),ROW($T$12)),TYPE(VLOOKUP("Да",(INDIRECT("AA"&amp;(MAX((1=Z$12:Z871)*ROW(Z$12:Z871),ROW($T$12))&amp;":AA"&amp;(ROW()-1)))),1,0))=16),MIN(LOOKUP(,-1/($Z$12:Z872=1),$C$12:C872)+LOOKUP(,-1/($Z$12:Z872=1),$H$12:H872),Первоначальный[[#This Row],[Полученный платеж]]+Y871),
AND(S871=0,TYPE(VLOOKUP("Да",(INDIRECT("AA"&amp;(MAX((1=Z$12:Z871)*ROW(Z$12:Z871),ROW($T$12))&amp;":AA"&amp;(ROW()-1)))),1,0))&lt;&gt;16),MIN(LOOKUP(,-1/($Z$12:Z872=1),$C$12:C872)+LOOKUP(,-1/($Z$12:Z872=1),$H$12:H872)-IF(AA871="Да",0,SUM(INDIRECT("T"&amp;(MAX(("Да"=AA$12:AA871)*ROW(AA$12:AA871)+1,ROW($T$12))&amp;":T"&amp;(ROW()-1))))),Первоначальный[[#This Row],[Полученный платеж]]+Y871),
AND(S871=0,MAX((0&lt;&gt;N$12:N871)*ROW(N$12:N871),ROW($S$12))&gt;=MAX((1=Z$12:Z871)*ROW(Z$12:Z871),ROW($T$12))),MIN(LOOKUP(,-1/($Z$12:Z872=1),$C$12:C872)+LOOKUP(,-1/($Z$12:Z872=1),$H$12:H872)-IF(N871&lt;&gt;0,0,SUM(INDIRECT("T"&amp;(MAX((0&lt;&gt;N$12:N871)*ROW(N$12:N871)+1,ROW($T$12))&amp;":T"&amp;(ROW()-1))))),Первоначальный[[#This Row],[Полученный платеж]]+Y871),
AND(S871=0,Первоначальный[[#This Row],[Дата платежа из графика]]=1),MIN(LOOKUP(,-1/($Z$12:Z872=1),$C$12:C872)+LOOKUP(,-1/($Z$12:Z872=1),$H$12:H872)-IF(Z871=1,0,SUM(INDIRECT("T"&amp;(MAX((1=Z$12:Z871)*ROW(Z$12:Z871)+1,ROW($T$12))&amp;":T"&amp;(ROW()-1))))),Первоначальный[[#This Row],[Полученный платеж]]+Y871),
AND(Z871&gt;0,Первоначальный[[#This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платеж]]+Y871),
AND(S871&gt;0,MAX((0&lt;&gt;S$12:S871)*ROW(S$12:S871),ROW($S$12))&gt;=MAX((1=Z$12:Z871)*ROW(Z$12:Z871),ROW($T$12)),TYPE(VLOOKUP("Да",(INDIRECT("AA"&amp;(MAX((1=Z$12:Z871)*ROW(Z$12:Z871),ROW($T$12))&amp;":AA"&amp;(ROW()-1)))),1,0))=16),MIN(LOOKUP(,-1/($Z$12:Z872=1),$C$12:C872)+LOOKUP(,-1/($Z$12:Z872=1),$H$12:H872)-SUM(INDIRECT("T"&amp;(MAX((1=Z$12:Z871)*ROW(Z$12:Z871),ROW($T$12))&amp;":T"&amp;(ROW()-1)))),Первоначальный[[#This Row],[Полученный платеж]]+Y871),
S871&gt;0,MIN(LOOKUP(,-1/($Z$12:Z872=1),$C$12:C872)+LOOKUP(,-1/($Z$12:Z872=1),$H$12:H872)-IF(Z871=1,0,SUM(INDIRECT("T"&amp;(MAX((1=Z$12:Z871)*ROW(Z$12:Z871)+1,ROW($T$12))&amp;":T"&amp;(ROW()-1))))),Первоначальный[[#This Row],[Полученный платеж]]+Y871)
)
)
)</f>
        <v>0</v>
      </c>
      <c r="U87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платеж]]+Y871-Первоначальный[[#This Row],[Полученный платёж по процентам]])</f>
        <v>0</v>
      </c>
      <c r="V872" s="55">
        <f t="shared" ca="1" si="157"/>
        <v>0</v>
      </c>
      <c r="W872" s="55" cm="1">
        <f t="array" aca="1" ref="W872" ca="1">IF(Первоначальный[[#This Row],[Итого остаток на начало периода]]&lt;1,0,
_xlfn.IFS(
AND(TYPE(VLOOKUP(1,$Z$12:Z872,1,0))=16,Первоначальный[[#This Row],[Досрочное погашение (да/"")]]=""),0,
AND(S871=0,Первоначальный[[#This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платеж]]+Y871-SUM(Первоначальный[[#This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комиссиям]]),VLOOKUP(LOOKUP(,-1/($Z$12:Z872=1),$A$12:A872),График[[Срок конец]:[Возврат основной суммы долга]],3,0)),
AND(S871=0,Первоначальный[[#This Row],[Дата платежа из графика]]="",Первоначальный[[#This Row],[Досрочное погашение (да/"")]]&lt;&gt;"Да"),0,
AND(S871=0,Первоначальный[[#This Row],[Досрочное погашение (да/"")]]=""),MIN(Первоначальный[[#This Row],[Полученный платеж]]+Y871-SUM(Первоначальный[[#This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комиссиям]]),VLOOKUP(LOOKUP(,-1/($Z$12:Z872=1),$A$12:A872),График[[Срок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платеж]]+Y871-SUM(Первоначальный[[#This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S871&gt;0,MIN(Первоначальный[[#This Row],[Полученный платеж]]+Y871-SUM(Первоначальный[[#This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комиссиям]]),SUM(INDIRECT("M"&amp;(MAX((1=S$12:S871)*ROW(S$12:S871),ROW($W$12))&amp;":M"&amp;(ROW()))))-SUM(INDIRECT("W"&amp;(MAX((1=S$12:S871)*ROW(S$12:S871),ROW($W$12))&amp;":W"&amp;(ROW()-1)))))
)
)</f>
        <v>0</v>
      </c>
      <c r="X872" s="55">
        <f t="shared" ca="1" si="158"/>
        <v>0</v>
      </c>
      <c r="Y872" s="101">
        <f t="shared" ca="1" si="165"/>
        <v>0</v>
      </c>
      <c r="Z872" s="133" t="str">
        <f>IF(TYPE((VLOOKUP(Первоначальный[[#This Row],[Дата платежа]],График[Срок конец],1,0)))=16,"",1)</f>
        <v/>
      </c>
      <c r="AA872" s="57"/>
      <c r="AB872" s="134"/>
      <c r="AC87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7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62431.749999999869</v>
      </c>
      <c r="AE87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2656.2699999999945</v>
      </c>
      <c r="AF87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7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146377.79551803262</v>
      </c>
      <c r="AH872" s="55"/>
      <c r="AI872" s="55"/>
      <c r="AJ872" s="55"/>
      <c r="AK872" s="101">
        <f t="shared" ca="1" si="166"/>
        <v>361099.15551803249</v>
      </c>
      <c r="AL872" s="129">
        <f t="array" ref="AL872">MAX((УслРестрактов[Характеристика]="Дата реструктуризации")*(УслРестрактов[Значение]=Первоначальный!$A872),0)</f>
        <v>0</v>
      </c>
    </row>
    <row r="873" spans="1:38" x14ac:dyDescent="0.25">
      <c r="A873" s="97">
        <f t="shared" si="159"/>
        <v>45004</v>
      </c>
      <c r="B873" s="100">
        <f t="shared" ca="1" si="160"/>
        <v>149633.34</v>
      </c>
      <c r="C873" s="55">
        <f ca="1">AD872+AI872</f>
        <v>62431.749999999869</v>
      </c>
      <c r="D873" s="55">
        <f t="shared" ca="1" si="168"/>
        <v>2656.2699999999945</v>
      </c>
      <c r="E873" s="55">
        <f t="shared" ca="1" si="161"/>
        <v>0</v>
      </c>
      <c r="F873" s="55">
        <f t="shared" ca="1" si="162"/>
        <v>146377.79551803262</v>
      </c>
      <c r="G873" s="101">
        <f t="shared" ca="1" si="163"/>
        <v>361099.15551803249</v>
      </c>
      <c r="H873" s="100">
        <f ca="1">ROUND($B873*VLOOKUP($A873,$A$1:$B$10,2,1)/(365+IF(MOD(YEAR($A873),4),0,1)*($A873-$A872)),2)-Первоначальный[[#This Row],[Проценты на просроченный платеж по ОД за период]]</f>
        <v>74.19</v>
      </c>
      <c r="I873" s="55">
        <f t="shared" ca="1" si="164"/>
        <v>7.39</v>
      </c>
      <c r="J873" s="55">
        <v>0</v>
      </c>
      <c r="K873" s="55">
        <f t="shared" ca="1" si="167"/>
        <v>376.54350327868843</v>
      </c>
      <c r="L873" s="55">
        <v>0</v>
      </c>
      <c r="M873" s="113">
        <f>SUMIFS(График[Возврат основной суммы долга],График[Дата с учетом нерабочих дней],$A873)</f>
        <v>0</v>
      </c>
      <c r="N873" s="56">
        <f>SUMIFS(График[Возврат начисленных %],График[Дата с учетом нерабочих дней],$A873)</f>
        <v>0</v>
      </c>
      <c r="O873" s="101">
        <v>0</v>
      </c>
      <c r="P873" s="100" cm="1">
        <f t="array" aca="1" ref="P873" ca="1">MAX(IF(AA872="Да",0,SUM(INDIRECT("M"&amp;(MAX(("Да"=AA$12:AA872)*ROW(AA$12:AA872)+1,ROW($P$12))&amp;":M"&amp;(ROW()))))-SUM(INDIRECT("W"&amp;(MAX(("Да"=AA$12:AA872)*ROW(AA$12:AA872)+1,ROW($P$12))&amp;":W"&amp;(ROW()))))),0)</f>
        <v>13546.79</v>
      </c>
      <c r="Q873" s="99">
        <f ca="1">MAX(SUM($N$13:N873)-SUM($T$13:T873),0)</f>
        <v>61761.91065573768</v>
      </c>
      <c r="R873" s="99">
        <f ca="1">Первоначальный[[#This Row],[Просроченный платеж по ОД]]+Первоначальный[[#This Row],[Просроченный платеж по процентам]]</f>
        <v>75308.700655737688</v>
      </c>
      <c r="S873" s="120">
        <f ca="1">IF(Первоначальный[[#This Row],[Просроченный платеж]]&lt;1,0,S872+1)</f>
        <v>769</v>
      </c>
      <c r="T873" s="100" cm="1">
        <f t="array" aca="1" ref="T873" ca="1">IF(Первоначальный[[#This Row],[Итого остаток на начало периода]]&lt;1,0,
IF(
AND(TYPE(VLOOKUP(1,$Z$12:Z873,1,0))=16,Первоначальный[[#This Row],[Досрочное погашение (да/"")]]=""),0,
_xlfn.IFS(AND(S872=0,Первоначальный[[#This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платеж]]&lt;&gt;0),MIN(LOOKUP(,-1/($Z$12:Z873=1),$C$12:C873)+LOOKUP(,-1/($Z$12:Z873=1),$H$12:H873),Первоначальный[[#This Row],[Полученный платеж]]+Y872),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платеж]]+Y872,SUM(Первоначальный[[#This Row],[Остаток процентов на начало периода]],Первоначальный[[#This Row],[Проценты за период]])),
AND(S872=0,Первоначальный[[#This Row],[Дата платежа из графика]]=""),0,
AND(S872=0,Первоначальный[[#This Row],[Дата платежа из графика]]=1,MAX((0&lt;&gt;S$12:S872)*ROW(S$12:S872),ROW($S$12))&gt;=MAX((1=Z$12:Z872)*ROW(Z$12:Z872),ROW($T$12)),TYPE(VLOOKUP("Да",(INDIRECT("AA"&amp;(MAX((1=Z$12:Z872)*ROW(Z$12:Z872),ROW($T$12))&amp;":AA"&amp;(ROW()-1)))),1,0))=16),MIN(LOOKUP(,-1/($Z$12:Z873=1),$C$12:C873)+LOOKUP(,-1/($Z$12:Z873=1),$H$12:H873),Первоначальный[[#This Row],[Полученный платеж]]+Y872),
AND(S872=0,TYPE(VLOOKUP("Да",(INDIRECT("AA"&amp;(MAX((1=Z$12:Z872)*ROW(Z$12:Z872),ROW($T$12))&amp;":AA"&amp;(ROW()-1)))),1,0))&lt;&gt;16),MIN(LOOKUP(,-1/($Z$12:Z873=1),$C$12:C873)+LOOKUP(,-1/($Z$12:Z873=1),$H$12:H873)-IF(AA872="Да",0,SUM(INDIRECT("T"&amp;(MAX(("Да"=AA$12:AA872)*ROW(AA$12:AA872)+1,ROW($T$12))&amp;":T"&amp;(ROW()-1))))),Первоначальный[[#This Row],[Полученный платеж]]+Y872),
AND(S872=0,MAX((0&lt;&gt;N$12:N872)*ROW(N$12:N872),ROW($S$12))&gt;=MAX((1=Z$12:Z872)*ROW(Z$12:Z872),ROW($T$12))),MIN(LOOKUP(,-1/($Z$12:Z873=1),$C$12:C873)+LOOKUP(,-1/($Z$12:Z873=1),$H$12:H873)-IF(N872&lt;&gt;0,0,SUM(INDIRECT("T"&amp;(MAX((0&lt;&gt;N$12:N872)*ROW(N$12:N872)+1,ROW($T$12))&amp;":T"&amp;(ROW()-1))))),Первоначальный[[#This Row],[Полученный платеж]]+Y872),
AND(S872=0,Первоначальный[[#This Row],[Дата платежа из графика]]=1),MIN(LOOKUP(,-1/($Z$12:Z873=1),$C$12:C873)+LOOKUP(,-1/($Z$12:Z873=1),$H$12:H873)-IF(Z872=1,0,SUM(INDIRECT("T"&amp;(MAX((1=Z$12:Z872)*ROW(Z$12:Z872)+1,ROW($T$12))&amp;":T"&amp;(ROW()-1))))),Первоначальный[[#This Row],[Полученный платеж]]+Y872),
AND(Z872&gt;0,Первоначальный[[#This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платеж]]+Y872),
AND(S872&gt;0,MAX((0&lt;&gt;S$12:S872)*ROW(S$12:S872),ROW($S$12))&gt;=MAX((1=Z$12:Z872)*ROW(Z$12:Z872),ROW($T$12)),TYPE(VLOOKUP("Да",(INDIRECT("AA"&amp;(MAX((1=Z$12:Z872)*ROW(Z$12:Z872),ROW($T$12))&amp;":AA"&amp;(ROW()-1)))),1,0))=16),MIN(LOOKUP(,-1/($Z$12:Z873=1),$C$12:C873)+LOOKUP(,-1/($Z$12:Z873=1),$H$12:H873)-SUM(INDIRECT("T"&amp;(MAX((1=Z$12:Z872)*ROW(Z$12:Z872),ROW($T$12))&amp;":T"&amp;(ROW()-1)))),Первоначальный[[#This Row],[Полученный платеж]]+Y872),
S872&gt;0,MIN(LOOKUP(,-1/($Z$12:Z873=1),$C$12:C873)+LOOKUP(,-1/($Z$12:Z873=1),$H$12:H873)-IF(Z872=1,0,SUM(INDIRECT("T"&amp;(MAX((1=Z$12:Z872)*ROW(Z$12:Z872)+1,ROW($T$12))&amp;":T"&amp;(ROW()-1))))),Первоначальный[[#This Row],[Полученный платеж]]+Y872)
)
)
)</f>
        <v>0</v>
      </c>
      <c r="U87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платеж]]+Y872-Первоначальный[[#This Row],[Полученный платёж по процентам]])</f>
        <v>0</v>
      </c>
      <c r="V873" s="55">
        <f t="shared" ca="1" si="157"/>
        <v>0</v>
      </c>
      <c r="W873" s="55" cm="1">
        <f t="array" aca="1" ref="W873" ca="1">IF(Первоначальный[[#This Row],[Итого остаток на начало периода]]&lt;1,0,
_xlfn.IFS(
AND(TYPE(VLOOKUP(1,$Z$12:Z873,1,0))=16,Первоначальный[[#This Row],[Досрочное погашение (да/"")]]=""),0,
AND(S872=0,Первоначальный[[#This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платеж]]+Y872-SUM(Первоначальный[[#This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комиссиям]]),VLOOKUP(LOOKUP(,-1/($Z$12:Z873=1),$A$12:A873),График[[Срок конец]:[Возврат основной суммы долга]],3,0)),
AND(S872=0,Первоначальный[[#This Row],[Дата платежа из графика]]="",Первоначальный[[#This Row],[Досрочное погашение (да/"")]]&lt;&gt;"Да"),0,
AND(S872=0,Первоначальный[[#This Row],[Досрочное погашение (да/"")]]=""),MIN(Первоначальный[[#This Row],[Полученный платеж]]+Y872-SUM(Первоначальный[[#This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комиссиям]]),VLOOKUP(LOOKUP(,-1/($Z$12:Z873=1),$A$12:A873),График[[Срок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платеж]]+Y872-SUM(Первоначальный[[#This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S872&gt;0,MIN(Первоначальный[[#This Row],[Полученный платеж]]+Y872-SUM(Первоначальный[[#This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комиссиям]]),SUM(INDIRECT("M"&amp;(MAX((1=S$12:S872)*ROW(S$12:S872),ROW($W$12))&amp;":M"&amp;(ROW()))))-SUM(INDIRECT("W"&amp;(MAX((1=S$12:S872)*ROW(S$12:S872),ROW($W$12))&amp;":W"&amp;(ROW()-1)))))
)
)</f>
        <v>0</v>
      </c>
      <c r="X873" s="55">
        <f t="shared" ca="1" si="158"/>
        <v>0</v>
      </c>
      <c r="Y873" s="101">
        <f t="shared" ca="1" si="165"/>
        <v>0</v>
      </c>
      <c r="Z873" s="133" t="str">
        <f>IF(TYPE((VLOOKUP(Первоначальный[[#This Row],[Дата платежа]],График[Срок конец],1,0)))=16,"",1)</f>
        <v/>
      </c>
      <c r="AA873" s="57"/>
      <c r="AB873" s="134"/>
      <c r="AC87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7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62505.939999999871</v>
      </c>
      <c r="AE87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2663.6599999999944</v>
      </c>
      <c r="AF87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7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146754.33902131132</v>
      </c>
      <c r="AH873" s="55"/>
      <c r="AI873" s="55"/>
      <c r="AJ873" s="55"/>
      <c r="AK873" s="101">
        <f t="shared" ca="1" si="166"/>
        <v>361557.2790213112</v>
      </c>
      <c r="AL873" s="129">
        <f t="array" ref="AL873">MAX((УслРестрактов[Характеристика]="Дата реструктуризации")*(УслРестрактов[Значение]=Первоначальный!$A873),0)</f>
        <v>0</v>
      </c>
    </row>
    <row r="874" spans="1:38" x14ac:dyDescent="0.25">
      <c r="A874" s="97">
        <f t="shared" si="159"/>
        <v>45005</v>
      </c>
      <c r="B874" s="100">
        <f t="shared" ca="1" si="160"/>
        <v>149633.34</v>
      </c>
      <c r="C874" s="55">
        <f t="shared" ref="C874:D896" ca="1" si="169">AD873+AI873</f>
        <v>62505.939999999871</v>
      </c>
      <c r="D874" s="55">
        <f t="shared" ca="1" si="169"/>
        <v>2663.6599999999944</v>
      </c>
      <c r="E874" s="55">
        <f t="shared" ca="1" si="161"/>
        <v>0</v>
      </c>
      <c r="F874" s="55">
        <f t="shared" ca="1" si="162"/>
        <v>146754.33902131132</v>
      </c>
      <c r="G874" s="101">
        <f t="shared" ca="1" si="163"/>
        <v>361557.2790213112</v>
      </c>
      <c r="H874" s="100">
        <f ca="1">ROUND($B874*VLOOKUP($A874,$A$1:$B$10,2,1)/(365+IF(MOD(YEAR($A874),4),0,1)*($A874-$A873)),2)-Первоначальный[[#This Row],[Проценты на просроченный платеж по ОД за период]]</f>
        <v>74.19</v>
      </c>
      <c r="I874" s="55">
        <f t="shared" ca="1" si="164"/>
        <v>7.39</v>
      </c>
      <c r="J874" s="55">
        <v>0</v>
      </c>
      <c r="K874" s="55">
        <f t="shared" ca="1" si="167"/>
        <v>376.54350327868843</v>
      </c>
      <c r="L874" s="55">
        <v>0</v>
      </c>
      <c r="M874" s="113">
        <f>SUMIFS(График[Возврат основной суммы долга],График[Дата с учетом нерабочих дней],$A874)</f>
        <v>0</v>
      </c>
      <c r="N874" s="56">
        <f>SUMIFS(График[Возврат начисленных %],График[Дата с учетом нерабочих дней],$A874)</f>
        <v>0</v>
      </c>
      <c r="O874" s="101">
        <v>0</v>
      </c>
      <c r="P874" s="100" cm="1">
        <f t="array" aca="1" ref="P874" ca="1">MAX(IF(AA873="Да",0,SUM(INDIRECT("M"&amp;(MAX(("Да"=AA$12:AA873)*ROW(AA$12:AA873)+1,ROW($P$12))&amp;":M"&amp;(ROW()))))-SUM(INDIRECT("W"&amp;(MAX(("Да"=AA$12:AA873)*ROW(AA$12:AA873)+1,ROW($P$12))&amp;":W"&amp;(ROW()))))),0)</f>
        <v>13546.79</v>
      </c>
      <c r="Q874" s="99">
        <f ca="1">MAX(SUM($N$13:N874)-SUM($T$13:T874),0)</f>
        <v>61761.91065573768</v>
      </c>
      <c r="R874" s="99">
        <f ca="1">Первоначальный[[#This Row],[Просроченный платеж по ОД]]+Первоначальный[[#This Row],[Просроченный платеж по процентам]]</f>
        <v>75308.700655737688</v>
      </c>
      <c r="S874" s="120">
        <f ca="1">IF(Первоначальный[[#This Row],[Просроченный платеж]]&lt;1,0,S873+1)</f>
        <v>770</v>
      </c>
      <c r="T874" s="100" cm="1">
        <f t="array" aca="1" ref="T874" ca="1">IF(Первоначальный[[#This Row],[Итого остаток на начало периода]]&lt;1,0,
IF(
AND(TYPE(VLOOKUP(1,$Z$12:Z874,1,0))=16,Первоначальный[[#This Row],[Досрочное погашение (да/"")]]=""),0,
_xlfn.IFS(AND(S873=0,Первоначальный[[#This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платеж]]&lt;&gt;0),MIN(LOOKUP(,-1/($Z$12:Z874=1),$C$12:C874)+LOOKUP(,-1/($Z$12:Z874=1),$H$12:H874),Первоначальный[[#This Row],[Полученный платеж]]+Y873),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платеж]]+Y873,SUM(Первоначальный[[#This Row],[Остаток процентов на начало периода]],Первоначальный[[#This Row],[Проценты за период]])),
AND(S873=0,Первоначальный[[#This Row],[Дата платежа из графика]]=""),0,
AND(S873=0,Первоначальный[[#This Row],[Дата платежа из графика]]=1,MAX((0&lt;&gt;S$12:S873)*ROW(S$12:S873),ROW($S$12))&gt;=MAX((1=Z$12:Z873)*ROW(Z$12:Z873),ROW($T$12)),TYPE(VLOOKUP("Да",(INDIRECT("AA"&amp;(MAX((1=Z$12:Z873)*ROW(Z$12:Z873),ROW($T$12))&amp;":AA"&amp;(ROW()-1)))),1,0))=16),MIN(LOOKUP(,-1/($Z$12:Z874=1),$C$12:C874)+LOOKUP(,-1/($Z$12:Z874=1),$H$12:H874),Первоначальный[[#This Row],[Полученный платеж]]+Y873),
AND(S873=0,TYPE(VLOOKUP("Да",(INDIRECT("AA"&amp;(MAX((1=Z$12:Z873)*ROW(Z$12:Z873),ROW($T$12))&amp;":AA"&amp;(ROW()-1)))),1,0))&lt;&gt;16),MIN(LOOKUP(,-1/($Z$12:Z874=1),$C$12:C874)+LOOKUP(,-1/($Z$12:Z874=1),$H$12:H874)-IF(AA873="Да",0,SUM(INDIRECT("T"&amp;(MAX(("Да"=AA$12:AA873)*ROW(AA$12:AA873)+1,ROW($T$12))&amp;":T"&amp;(ROW()-1))))),Первоначальный[[#This Row],[Полученный платеж]]+Y873),
AND(S873=0,MAX((0&lt;&gt;N$12:N873)*ROW(N$12:N873),ROW($S$12))&gt;=MAX((1=Z$12:Z873)*ROW(Z$12:Z873),ROW($T$12))),MIN(LOOKUP(,-1/($Z$12:Z874=1),$C$12:C874)+LOOKUP(,-1/($Z$12:Z874=1),$H$12:H874)-IF(N873&lt;&gt;0,0,SUM(INDIRECT("T"&amp;(MAX((0&lt;&gt;N$12:N873)*ROW(N$12:N873)+1,ROW($T$12))&amp;":T"&amp;(ROW()-1))))),Первоначальный[[#This Row],[Полученный платеж]]+Y873),
AND(S873=0,Первоначальный[[#This Row],[Дата платежа из графика]]=1),MIN(LOOKUP(,-1/($Z$12:Z874=1),$C$12:C874)+LOOKUP(,-1/($Z$12:Z874=1),$H$12:H874)-IF(Z873=1,0,SUM(INDIRECT("T"&amp;(MAX((1=Z$12:Z873)*ROW(Z$12:Z873)+1,ROW($T$12))&amp;":T"&amp;(ROW()-1))))),Первоначальный[[#This Row],[Полученный платеж]]+Y873),
AND(Z873&gt;0,Первоначальный[[#This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платеж]]+Y873),
AND(S873&gt;0,MAX((0&lt;&gt;S$12:S873)*ROW(S$12:S873),ROW($S$12))&gt;=MAX((1=Z$12:Z873)*ROW(Z$12:Z873),ROW($T$12)),TYPE(VLOOKUP("Да",(INDIRECT("AA"&amp;(MAX((1=Z$12:Z873)*ROW(Z$12:Z873),ROW($T$12))&amp;":AA"&amp;(ROW()-1)))),1,0))=16),MIN(LOOKUP(,-1/($Z$12:Z874=1),$C$12:C874)+LOOKUP(,-1/($Z$12:Z874=1),$H$12:H874)-SUM(INDIRECT("T"&amp;(MAX((1=Z$12:Z873)*ROW(Z$12:Z873),ROW($T$12))&amp;":T"&amp;(ROW()-1)))),Первоначальный[[#This Row],[Полученный платеж]]+Y873),
S873&gt;0,MIN(LOOKUP(,-1/($Z$12:Z874=1),$C$12:C874)+LOOKUP(,-1/($Z$12:Z874=1),$H$12:H874)-IF(Z873=1,0,SUM(INDIRECT("T"&amp;(MAX((1=Z$12:Z873)*ROW(Z$12:Z873)+1,ROW($T$12))&amp;":T"&amp;(ROW()-1))))),Первоначальный[[#This Row],[Полученный платеж]]+Y873)
)
)
)</f>
        <v>0</v>
      </c>
      <c r="U87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платеж]]+Y873-Первоначальный[[#This Row],[Полученный платёж по процентам]])</f>
        <v>0</v>
      </c>
      <c r="V874" s="55">
        <f t="shared" ca="1" si="157"/>
        <v>0</v>
      </c>
      <c r="W874" s="55" cm="1">
        <f t="array" aca="1" ref="W874" ca="1">IF(Первоначальный[[#This Row],[Итого остаток на начало периода]]&lt;1,0,
_xlfn.IFS(
AND(TYPE(VLOOKUP(1,$Z$12:Z874,1,0))=16,Первоначальный[[#This Row],[Досрочное погашение (да/"")]]=""),0,
AND(S873=0,Первоначальный[[#This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платеж]]+Y873-SUM(Первоначальный[[#This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комиссиям]]),VLOOKUP(LOOKUP(,-1/($Z$12:Z874=1),$A$12:A874),График[[Срок конец]:[Возврат основной суммы долга]],3,0)),
AND(S873=0,Первоначальный[[#This Row],[Дата платежа из графика]]="",Первоначальный[[#This Row],[Досрочное погашение (да/"")]]&lt;&gt;"Да"),0,
AND(S873=0,Первоначальный[[#This Row],[Досрочное погашение (да/"")]]=""),MIN(Первоначальный[[#This Row],[Полученный платеж]]+Y873-SUM(Первоначальный[[#This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комиссиям]]),VLOOKUP(LOOKUP(,-1/($Z$12:Z874=1),$A$12:A874),График[[Срок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платеж]]+Y873-SUM(Первоначальный[[#This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S873&gt;0,MIN(Первоначальный[[#This Row],[Полученный платеж]]+Y873-SUM(Первоначальный[[#This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комиссиям]]),SUM(INDIRECT("M"&amp;(MAX((1=S$12:S873)*ROW(S$12:S873),ROW($W$12))&amp;":M"&amp;(ROW()))))-SUM(INDIRECT("W"&amp;(MAX((1=S$12:S873)*ROW(S$12:S873),ROW($W$12))&amp;":W"&amp;(ROW()-1)))))
)
)</f>
        <v>0</v>
      </c>
      <c r="X874" s="55">
        <f t="shared" ca="1" si="158"/>
        <v>0</v>
      </c>
      <c r="Y874" s="101">
        <f t="shared" ca="1" si="165"/>
        <v>0</v>
      </c>
      <c r="Z874" s="133" t="str">
        <f>IF(TYPE((VLOOKUP(Первоначальный[[#This Row],[Дата платежа]],График[Срок конец],1,0)))=16,"",1)</f>
        <v/>
      </c>
      <c r="AA874" s="57"/>
      <c r="AB874" s="134"/>
      <c r="AC87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7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62580.129999999874</v>
      </c>
      <c r="AE87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2671.0499999999943</v>
      </c>
      <c r="AF87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7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147130.88252459001</v>
      </c>
      <c r="AH874" s="55"/>
      <c r="AI874" s="55"/>
      <c r="AJ874" s="55"/>
      <c r="AK874" s="101">
        <f t="shared" ca="1" si="166"/>
        <v>362015.40252458985</v>
      </c>
      <c r="AL874" s="129">
        <f t="array" ref="AL874">MAX((УслРестрактов[Характеристика]="Дата реструктуризации")*(УслРестрактов[Значение]=Первоначальный!$A874),0)</f>
        <v>0</v>
      </c>
    </row>
    <row r="875" spans="1:38" x14ac:dyDescent="0.25">
      <c r="A875" s="97">
        <f t="shared" si="159"/>
        <v>45006</v>
      </c>
      <c r="B875" s="100">
        <f t="shared" ca="1" si="160"/>
        <v>149633.34</v>
      </c>
      <c r="C875" s="55">
        <f t="shared" ca="1" si="169"/>
        <v>62580.129999999874</v>
      </c>
      <c r="D875" s="55">
        <f t="shared" ca="1" si="169"/>
        <v>2671.0499999999943</v>
      </c>
      <c r="E875" s="55">
        <f t="shared" ca="1" si="161"/>
        <v>0</v>
      </c>
      <c r="F875" s="55">
        <f t="shared" ca="1" si="162"/>
        <v>147130.88252459001</v>
      </c>
      <c r="G875" s="101">
        <f t="shared" ca="1" si="163"/>
        <v>362015.40252458985</v>
      </c>
      <c r="H875" s="100">
        <f ca="1">ROUND($B875*VLOOKUP($A875,$A$1:$B$10,2,1)/(365+IF(MOD(YEAR($A875),4),0,1)*($A875-$A874)),2)-Первоначальный[[#This Row],[Проценты на просроченный платеж по ОД за период]]</f>
        <v>74.19</v>
      </c>
      <c r="I875" s="55">
        <f t="shared" ca="1" si="164"/>
        <v>7.39</v>
      </c>
      <c r="J875" s="55">
        <v>0</v>
      </c>
      <c r="K875" s="55">
        <f t="shared" ca="1" si="167"/>
        <v>376.54350327868843</v>
      </c>
      <c r="L875" s="55">
        <v>0</v>
      </c>
      <c r="M875" s="113">
        <f>SUMIFS(График[Возврат основной суммы долга],График[Дата с учетом нерабочих дней],$A875)</f>
        <v>0</v>
      </c>
      <c r="N875" s="56">
        <f>SUMIFS(График[Возврат начисленных %],График[Дата с учетом нерабочих дней],$A875)</f>
        <v>0</v>
      </c>
      <c r="O875" s="101">
        <v>0</v>
      </c>
      <c r="P875" s="100" cm="1">
        <f t="array" aca="1" ref="P875" ca="1">MAX(IF(AA874="Да",0,SUM(INDIRECT("M"&amp;(MAX(("Да"=AA$12:AA874)*ROW(AA$12:AA874)+1,ROW($P$12))&amp;":M"&amp;(ROW()))))-SUM(INDIRECT("W"&amp;(MAX(("Да"=AA$12:AA874)*ROW(AA$12:AA874)+1,ROW($P$12))&amp;":W"&amp;(ROW()))))),0)</f>
        <v>13546.79</v>
      </c>
      <c r="Q875" s="99">
        <f ca="1">MAX(SUM($N$13:N875)-SUM($T$13:T875),0)</f>
        <v>61761.91065573768</v>
      </c>
      <c r="R875" s="99">
        <f ca="1">Первоначальный[[#This Row],[Просроченный платеж по ОД]]+Первоначальный[[#This Row],[Просроченный платеж по процентам]]</f>
        <v>75308.700655737688</v>
      </c>
      <c r="S875" s="120">
        <f ca="1">IF(Первоначальный[[#This Row],[Просроченный платеж]]&lt;1,0,S874+1)</f>
        <v>771</v>
      </c>
      <c r="T875" s="100" cm="1">
        <f t="array" aca="1" ref="T875" ca="1">IF(Первоначальный[[#This Row],[Итого остаток на начало периода]]&lt;1,0,
IF(
AND(TYPE(VLOOKUP(1,$Z$12:Z875,1,0))=16,Первоначальный[[#This Row],[Досрочное погашение (да/"")]]=""),0,
_xlfn.IFS(AND(S874=0,Первоначальный[[#This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платеж]]&lt;&gt;0),MIN(LOOKUP(,-1/($Z$12:Z875=1),$C$12:C875)+LOOKUP(,-1/($Z$12:Z875=1),$H$12:H875),Первоначальный[[#This Row],[Полученный платеж]]+Y874),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платеж]]+Y874,SUM(Первоначальный[[#This Row],[Остаток процентов на начало периода]],Первоначальный[[#This Row],[Проценты за период]])),
AND(S874=0,Первоначальный[[#This Row],[Дата платежа из графика]]=""),0,
AND(S874=0,Первоначальный[[#This Row],[Дата платежа из графика]]=1,MAX((0&lt;&gt;S$12:S874)*ROW(S$12:S874),ROW($S$12))&gt;=MAX((1=Z$12:Z874)*ROW(Z$12:Z874),ROW($T$12)),TYPE(VLOOKUP("Да",(INDIRECT("AA"&amp;(MAX((1=Z$12:Z874)*ROW(Z$12:Z874),ROW($T$12))&amp;":AA"&amp;(ROW()-1)))),1,0))=16),MIN(LOOKUP(,-1/($Z$12:Z875=1),$C$12:C875)+LOOKUP(,-1/($Z$12:Z875=1),$H$12:H875),Первоначальный[[#This Row],[Полученный платеж]]+Y874),
AND(S874=0,TYPE(VLOOKUP("Да",(INDIRECT("AA"&amp;(MAX((1=Z$12:Z874)*ROW(Z$12:Z874),ROW($T$12))&amp;":AA"&amp;(ROW()-1)))),1,0))&lt;&gt;16),MIN(LOOKUP(,-1/($Z$12:Z875=1),$C$12:C875)+LOOKUP(,-1/($Z$12:Z875=1),$H$12:H875)-IF(AA874="Да",0,SUM(INDIRECT("T"&amp;(MAX(("Да"=AA$12:AA874)*ROW(AA$12:AA874)+1,ROW($T$12))&amp;":T"&amp;(ROW()-1))))),Первоначальный[[#This Row],[Полученный платеж]]+Y874),
AND(S874=0,MAX((0&lt;&gt;N$12:N874)*ROW(N$12:N874),ROW($S$12))&gt;=MAX((1=Z$12:Z874)*ROW(Z$12:Z874),ROW($T$12))),MIN(LOOKUP(,-1/($Z$12:Z875=1),$C$12:C875)+LOOKUP(,-1/($Z$12:Z875=1),$H$12:H875)-IF(N874&lt;&gt;0,0,SUM(INDIRECT("T"&amp;(MAX((0&lt;&gt;N$12:N874)*ROW(N$12:N874)+1,ROW($T$12))&amp;":T"&amp;(ROW()-1))))),Первоначальный[[#This Row],[Полученный платеж]]+Y874),
AND(S874=0,Первоначальный[[#This Row],[Дата платежа из графика]]=1),MIN(LOOKUP(,-1/($Z$12:Z875=1),$C$12:C875)+LOOKUP(,-1/($Z$12:Z875=1),$H$12:H875)-IF(Z874=1,0,SUM(INDIRECT("T"&amp;(MAX((1=Z$12:Z874)*ROW(Z$12:Z874)+1,ROW($T$12))&amp;":T"&amp;(ROW()-1))))),Первоначальный[[#This Row],[Полученный платеж]]+Y874),
AND(Z874&gt;0,Первоначальный[[#This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платеж]]+Y874),
AND(S874&gt;0,MAX((0&lt;&gt;S$12:S874)*ROW(S$12:S874),ROW($S$12))&gt;=MAX((1=Z$12:Z874)*ROW(Z$12:Z874),ROW($T$12)),TYPE(VLOOKUP("Да",(INDIRECT("AA"&amp;(MAX((1=Z$12:Z874)*ROW(Z$12:Z874),ROW($T$12))&amp;":AA"&amp;(ROW()-1)))),1,0))=16),MIN(LOOKUP(,-1/($Z$12:Z875=1),$C$12:C875)+LOOKUP(,-1/($Z$12:Z875=1),$H$12:H875)-SUM(INDIRECT("T"&amp;(MAX((1=Z$12:Z874)*ROW(Z$12:Z874),ROW($T$12))&amp;":T"&amp;(ROW()-1)))),Первоначальный[[#This Row],[Полученный платеж]]+Y874),
S874&gt;0,MIN(LOOKUP(,-1/($Z$12:Z875=1),$C$12:C875)+LOOKUP(,-1/($Z$12:Z875=1),$H$12:H875)-IF(Z874=1,0,SUM(INDIRECT("T"&amp;(MAX((1=Z$12:Z874)*ROW(Z$12:Z874)+1,ROW($T$12))&amp;":T"&amp;(ROW()-1))))),Первоначальный[[#This Row],[Полученный платеж]]+Y874)
)
)
)</f>
        <v>0</v>
      </c>
      <c r="U87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платеж]]+Y874-Первоначальный[[#This Row],[Полученный платёж по процентам]])</f>
        <v>0</v>
      </c>
      <c r="V875" s="55">
        <f t="shared" ca="1" si="157"/>
        <v>0</v>
      </c>
      <c r="W875" s="55" cm="1">
        <f t="array" aca="1" ref="W875" ca="1">IF(Первоначальный[[#This Row],[Итого остаток на начало периода]]&lt;1,0,
_xlfn.IFS(
AND(TYPE(VLOOKUP(1,$Z$12:Z875,1,0))=16,Первоначальный[[#This Row],[Досрочное погашение (да/"")]]=""),0,
AND(S874=0,Первоначальный[[#This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платеж]]+Y874-SUM(Первоначальный[[#This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комиссиям]]),VLOOKUP(LOOKUP(,-1/($Z$12:Z875=1),$A$12:A875),График[[Срок конец]:[Возврат основной суммы долга]],3,0)),
AND(S874=0,Первоначальный[[#This Row],[Дата платежа из графика]]="",Первоначальный[[#This Row],[Досрочное погашение (да/"")]]&lt;&gt;"Да"),0,
AND(S874=0,Первоначальный[[#This Row],[Досрочное погашение (да/"")]]=""),MIN(Первоначальный[[#This Row],[Полученный платеж]]+Y874-SUM(Первоначальный[[#This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комиссиям]]),VLOOKUP(LOOKUP(,-1/($Z$12:Z875=1),$A$12:A875),График[[Срок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платеж]]+Y874-SUM(Первоначальный[[#This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S874&gt;0,MIN(Первоначальный[[#This Row],[Полученный платеж]]+Y874-SUM(Первоначальный[[#This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комиссиям]]),SUM(INDIRECT("M"&amp;(MAX((1=S$12:S874)*ROW(S$12:S874),ROW($W$12))&amp;":M"&amp;(ROW()))))-SUM(INDIRECT("W"&amp;(MAX((1=S$12:S874)*ROW(S$12:S874),ROW($W$12))&amp;":W"&amp;(ROW()-1)))))
)
)</f>
        <v>0</v>
      </c>
      <c r="X875" s="55">
        <f t="shared" ca="1" si="158"/>
        <v>0</v>
      </c>
      <c r="Y875" s="101">
        <f t="shared" ca="1" si="165"/>
        <v>0</v>
      </c>
      <c r="Z875" s="133" t="str">
        <f>IF(TYPE((VLOOKUP(Первоначальный[[#This Row],[Дата платежа]],График[Срок конец],1,0)))=16,"",1)</f>
        <v/>
      </c>
      <c r="AA875" s="57"/>
      <c r="AB875" s="134"/>
      <c r="AC87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7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62654.319999999876</v>
      </c>
      <c r="AE87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2678.4399999999941</v>
      </c>
      <c r="AF87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7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147507.4260278687</v>
      </c>
      <c r="AH875" s="55"/>
      <c r="AI875" s="55"/>
      <c r="AJ875" s="55"/>
      <c r="AK875" s="101">
        <f t="shared" ca="1" si="166"/>
        <v>362473.52602786856</v>
      </c>
      <c r="AL875" s="129">
        <f t="array" ref="AL875">MAX((УслРестрактов[Характеристика]="Дата реструктуризации")*(УслРестрактов[Значение]=Первоначальный!$A875),0)</f>
        <v>0</v>
      </c>
    </row>
    <row r="876" spans="1:38" x14ac:dyDescent="0.25">
      <c r="A876" s="97">
        <f t="shared" si="159"/>
        <v>45007</v>
      </c>
      <c r="B876" s="100">
        <f t="shared" ca="1" si="160"/>
        <v>149633.34</v>
      </c>
      <c r="C876" s="55">
        <f t="shared" ca="1" si="169"/>
        <v>62654.319999999876</v>
      </c>
      <c r="D876" s="55">
        <f t="shared" ca="1" si="169"/>
        <v>2678.4399999999941</v>
      </c>
      <c r="E876" s="55">
        <f t="shared" ca="1" si="161"/>
        <v>0</v>
      </c>
      <c r="F876" s="55">
        <f t="shared" ca="1" si="162"/>
        <v>147507.4260278687</v>
      </c>
      <c r="G876" s="101">
        <f t="shared" ca="1" si="163"/>
        <v>362473.52602786856</v>
      </c>
      <c r="H876" s="100">
        <f ca="1">ROUND($B876*VLOOKUP($A876,$A$1:$B$10,2,1)/(365+IF(MOD(YEAR($A876),4),0,1)*($A876-$A875)),2)-Первоначальный[[#This Row],[Проценты на просроченный платеж по ОД за период]]</f>
        <v>74.19</v>
      </c>
      <c r="I876" s="55">
        <f t="shared" ca="1" si="164"/>
        <v>7.39</v>
      </c>
      <c r="J876" s="55">
        <v>0</v>
      </c>
      <c r="K876" s="55">
        <f t="shared" ca="1" si="167"/>
        <v>376.54350327868843</v>
      </c>
      <c r="L876" s="55">
        <v>0</v>
      </c>
      <c r="M876" s="113">
        <f>SUMIFS(График[Возврат основной суммы долга],График[Дата с учетом нерабочих дней],$A876)</f>
        <v>0</v>
      </c>
      <c r="N876" s="56">
        <f>SUMIFS(График[Возврат начисленных %],График[Дата с учетом нерабочих дней],$A876)</f>
        <v>0</v>
      </c>
      <c r="O876" s="101">
        <v>0</v>
      </c>
      <c r="P876" s="100" cm="1">
        <f t="array" aca="1" ref="P876" ca="1">MAX(IF(AA875="Да",0,SUM(INDIRECT("M"&amp;(MAX(("Да"=AA$12:AA875)*ROW(AA$12:AA875)+1,ROW($P$12))&amp;":M"&amp;(ROW()))))-SUM(INDIRECT("W"&amp;(MAX(("Да"=AA$12:AA875)*ROW(AA$12:AA875)+1,ROW($P$12))&amp;":W"&amp;(ROW()))))),0)</f>
        <v>13546.79</v>
      </c>
      <c r="Q876" s="99">
        <f ca="1">MAX(SUM($N$13:N876)-SUM($T$13:T876),0)</f>
        <v>61761.91065573768</v>
      </c>
      <c r="R876" s="99">
        <f ca="1">Первоначальный[[#This Row],[Просроченный платеж по ОД]]+Первоначальный[[#This Row],[Просроченный платеж по процентам]]</f>
        <v>75308.700655737688</v>
      </c>
      <c r="S876" s="120">
        <f ca="1">IF(Первоначальный[[#This Row],[Просроченный платеж]]&lt;1,0,S875+1)</f>
        <v>772</v>
      </c>
      <c r="T876" s="100" cm="1">
        <f t="array" aca="1" ref="T876" ca="1">IF(Первоначальный[[#This Row],[Итого остаток на начало периода]]&lt;1,0,
IF(
AND(TYPE(VLOOKUP(1,$Z$12:Z876,1,0))=16,Первоначальный[[#This Row],[Досрочное погашение (да/"")]]=""),0,
_xlfn.IFS(AND(S875=0,Первоначальный[[#This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платеж]]&lt;&gt;0),MIN(LOOKUP(,-1/($Z$12:Z876=1),$C$12:C876)+LOOKUP(,-1/($Z$12:Z876=1),$H$12:H876),Первоначальный[[#This Row],[Полученный платеж]]+Y875),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платеж]]+Y875,SUM(Первоначальный[[#This Row],[Остаток процентов на начало периода]],Первоначальный[[#This Row],[Проценты за период]])),
AND(S875=0,Первоначальный[[#This Row],[Дата платежа из графика]]=""),0,
AND(S875=0,Первоначальный[[#This Row],[Дата платежа из графика]]=1,MAX((0&lt;&gt;S$12:S875)*ROW(S$12:S875),ROW($S$12))&gt;=MAX((1=Z$12:Z875)*ROW(Z$12:Z875),ROW($T$12)),TYPE(VLOOKUP("Да",(INDIRECT("AA"&amp;(MAX((1=Z$12:Z875)*ROW(Z$12:Z875),ROW($T$12))&amp;":AA"&amp;(ROW()-1)))),1,0))=16),MIN(LOOKUP(,-1/($Z$12:Z876=1),$C$12:C876)+LOOKUP(,-1/($Z$12:Z876=1),$H$12:H876),Первоначальный[[#This Row],[Полученный платеж]]+Y875),
AND(S875=0,TYPE(VLOOKUP("Да",(INDIRECT("AA"&amp;(MAX((1=Z$12:Z875)*ROW(Z$12:Z875),ROW($T$12))&amp;":AA"&amp;(ROW()-1)))),1,0))&lt;&gt;16),MIN(LOOKUP(,-1/($Z$12:Z876=1),$C$12:C876)+LOOKUP(,-1/($Z$12:Z876=1),$H$12:H876)-IF(AA875="Да",0,SUM(INDIRECT("T"&amp;(MAX(("Да"=AA$12:AA875)*ROW(AA$12:AA875)+1,ROW($T$12))&amp;":T"&amp;(ROW()-1))))),Первоначальный[[#This Row],[Полученный платеж]]+Y875),
AND(S875=0,MAX((0&lt;&gt;N$12:N875)*ROW(N$12:N875),ROW($S$12))&gt;=MAX((1=Z$12:Z875)*ROW(Z$12:Z875),ROW($T$12))),MIN(LOOKUP(,-1/($Z$12:Z876=1),$C$12:C876)+LOOKUP(,-1/($Z$12:Z876=1),$H$12:H876)-IF(N875&lt;&gt;0,0,SUM(INDIRECT("T"&amp;(MAX((0&lt;&gt;N$12:N875)*ROW(N$12:N875)+1,ROW($T$12))&amp;":T"&amp;(ROW()-1))))),Первоначальный[[#This Row],[Полученный платеж]]+Y875),
AND(S875=0,Первоначальный[[#This Row],[Дата платежа из графика]]=1),MIN(LOOKUP(,-1/($Z$12:Z876=1),$C$12:C876)+LOOKUP(,-1/($Z$12:Z876=1),$H$12:H876)-IF(Z875=1,0,SUM(INDIRECT("T"&amp;(MAX((1=Z$12:Z875)*ROW(Z$12:Z875)+1,ROW($T$12))&amp;":T"&amp;(ROW()-1))))),Первоначальный[[#This Row],[Полученный платеж]]+Y875),
AND(Z875&gt;0,Первоначальный[[#This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платеж]]+Y875),
AND(S875&gt;0,MAX((0&lt;&gt;S$12:S875)*ROW(S$12:S875),ROW($S$12))&gt;=MAX((1=Z$12:Z875)*ROW(Z$12:Z875),ROW($T$12)),TYPE(VLOOKUP("Да",(INDIRECT("AA"&amp;(MAX((1=Z$12:Z875)*ROW(Z$12:Z875),ROW($T$12))&amp;":AA"&amp;(ROW()-1)))),1,0))=16),MIN(LOOKUP(,-1/($Z$12:Z876=1),$C$12:C876)+LOOKUP(,-1/($Z$12:Z876=1),$H$12:H876)-SUM(INDIRECT("T"&amp;(MAX((1=Z$12:Z875)*ROW(Z$12:Z875),ROW($T$12))&amp;":T"&amp;(ROW()-1)))),Первоначальный[[#This Row],[Полученный платеж]]+Y875),
S875&gt;0,MIN(LOOKUP(,-1/($Z$12:Z876=1),$C$12:C876)+LOOKUP(,-1/($Z$12:Z876=1),$H$12:H876)-IF(Z875=1,0,SUM(INDIRECT("T"&amp;(MAX((1=Z$12:Z875)*ROW(Z$12:Z875)+1,ROW($T$12))&amp;":T"&amp;(ROW()-1))))),Первоначальный[[#This Row],[Полученный платеж]]+Y875)
)
)
)</f>
        <v>0</v>
      </c>
      <c r="U87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платеж]]+Y875-Первоначальный[[#This Row],[Полученный платёж по процентам]])</f>
        <v>0</v>
      </c>
      <c r="V876" s="55">
        <f t="shared" ca="1" si="157"/>
        <v>0</v>
      </c>
      <c r="W876" s="55" cm="1">
        <f t="array" aca="1" ref="W876" ca="1">IF(Первоначальный[[#This Row],[Итого остаток на начало периода]]&lt;1,0,
_xlfn.IFS(
AND(TYPE(VLOOKUP(1,$Z$12:Z876,1,0))=16,Первоначальный[[#This Row],[Досрочное погашение (да/"")]]=""),0,
AND(S875=0,Первоначальный[[#This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платеж]]+Y875-SUM(Первоначальный[[#This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комиссиям]]),VLOOKUP(LOOKUP(,-1/($Z$12:Z876=1),$A$12:A876),График[[Срок конец]:[Возврат основной суммы долга]],3,0)),
AND(S875=0,Первоначальный[[#This Row],[Дата платежа из графика]]="",Первоначальный[[#This Row],[Досрочное погашение (да/"")]]&lt;&gt;"Да"),0,
AND(S875=0,Первоначальный[[#This Row],[Досрочное погашение (да/"")]]=""),MIN(Первоначальный[[#This Row],[Полученный платеж]]+Y875-SUM(Первоначальный[[#This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комиссиям]]),VLOOKUP(LOOKUP(,-1/($Z$12:Z876=1),$A$12:A876),График[[Срок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платеж]]+Y875-SUM(Первоначальный[[#This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S875&gt;0,MIN(Первоначальный[[#This Row],[Полученный платеж]]+Y875-SUM(Первоначальный[[#This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комиссиям]]),SUM(INDIRECT("M"&amp;(MAX((1=S$12:S875)*ROW(S$12:S875),ROW($W$12))&amp;":M"&amp;(ROW()))))-SUM(INDIRECT("W"&amp;(MAX((1=S$12:S875)*ROW(S$12:S875),ROW($W$12))&amp;":W"&amp;(ROW()-1)))))
)
)</f>
        <v>0</v>
      </c>
      <c r="X876" s="55">
        <f t="shared" ca="1" si="158"/>
        <v>0</v>
      </c>
      <c r="Y876" s="101">
        <f t="shared" ca="1" si="165"/>
        <v>0</v>
      </c>
      <c r="Z876" s="133" t="str">
        <f>IF(TYPE((VLOOKUP(Первоначальный[[#This Row],[Дата платежа]],График[Срок конец],1,0)))=16,"",1)</f>
        <v/>
      </c>
      <c r="AA876" s="57"/>
      <c r="AB876" s="134"/>
      <c r="AC87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7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62728.509999999878</v>
      </c>
      <c r="AE87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2685.829999999994</v>
      </c>
      <c r="AF87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7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147883.96953114739</v>
      </c>
      <c r="AH876" s="55"/>
      <c r="AI876" s="55"/>
      <c r="AJ876" s="55"/>
      <c r="AK876" s="101">
        <f t="shared" ca="1" si="166"/>
        <v>362931.64953114721</v>
      </c>
      <c r="AL876" s="129">
        <f t="array" ref="AL876">MAX((УслРестрактов[Характеристика]="Дата реструктуризации")*(УслРестрактов[Значение]=Первоначальный!$A876),0)</f>
        <v>0</v>
      </c>
    </row>
    <row r="877" spans="1:38" x14ac:dyDescent="0.25">
      <c r="A877" s="97">
        <f t="shared" si="159"/>
        <v>45008</v>
      </c>
      <c r="B877" s="100">
        <f t="shared" ca="1" si="160"/>
        <v>149633.34</v>
      </c>
      <c r="C877" s="55">
        <f t="shared" ca="1" si="169"/>
        <v>62728.509999999878</v>
      </c>
      <c r="D877" s="55">
        <f t="shared" ca="1" si="169"/>
        <v>2685.829999999994</v>
      </c>
      <c r="E877" s="55">
        <f t="shared" ca="1" si="161"/>
        <v>0</v>
      </c>
      <c r="F877" s="55">
        <f t="shared" ca="1" si="162"/>
        <v>147883.96953114739</v>
      </c>
      <c r="G877" s="101">
        <f t="shared" ca="1" si="163"/>
        <v>362931.64953114721</v>
      </c>
      <c r="H877" s="100">
        <f ca="1">ROUND($B877*VLOOKUP($A877,$A$1:$B$10,2,1)/(365+IF(MOD(YEAR($A877),4),0,1)*($A877-$A876)),2)-Первоначальный[[#This Row],[Проценты на просроченный платеж по ОД за период]]</f>
        <v>74.19</v>
      </c>
      <c r="I877" s="55">
        <f t="shared" ca="1" si="164"/>
        <v>7.39</v>
      </c>
      <c r="J877" s="55">
        <v>0</v>
      </c>
      <c r="K877" s="55">
        <f t="shared" ca="1" si="167"/>
        <v>376.54350327868843</v>
      </c>
      <c r="L877" s="55">
        <v>0</v>
      </c>
      <c r="M877" s="113">
        <f>SUMIFS(График[Возврат основной суммы долга],График[Дата с учетом нерабочих дней],$A877)</f>
        <v>0</v>
      </c>
      <c r="N877" s="56">
        <f>SUMIFS(График[Возврат начисленных %],График[Дата с учетом нерабочих дней],$A877)</f>
        <v>0</v>
      </c>
      <c r="O877" s="101">
        <v>0</v>
      </c>
      <c r="P877" s="100" cm="1">
        <f t="array" aca="1" ref="P877" ca="1">MAX(IF(AA876="Да",0,SUM(INDIRECT("M"&amp;(MAX(("Да"=AA$12:AA876)*ROW(AA$12:AA876)+1,ROW($P$12))&amp;":M"&amp;(ROW()))))-SUM(INDIRECT("W"&amp;(MAX(("Да"=AA$12:AA876)*ROW(AA$12:AA876)+1,ROW($P$12))&amp;":W"&amp;(ROW()))))),0)</f>
        <v>13546.79</v>
      </c>
      <c r="Q877" s="99">
        <f ca="1">MAX(SUM($N$13:N877)-SUM($T$13:T877),0)</f>
        <v>61761.91065573768</v>
      </c>
      <c r="R877" s="99">
        <f ca="1">Первоначальный[[#This Row],[Просроченный платеж по ОД]]+Первоначальный[[#This Row],[Просроченный платеж по процентам]]</f>
        <v>75308.700655737688</v>
      </c>
      <c r="S877" s="120">
        <f ca="1">IF(Первоначальный[[#This Row],[Просроченный платеж]]&lt;1,0,S876+1)</f>
        <v>773</v>
      </c>
      <c r="T877" s="100" cm="1">
        <f t="array" aca="1" ref="T877" ca="1">IF(Первоначальный[[#This Row],[Итого остаток на начало периода]]&lt;1,0,
IF(
AND(TYPE(VLOOKUP(1,$Z$12:Z877,1,0))=16,Первоначальный[[#This Row],[Досрочное погашение (да/"")]]=""),0,
_xlfn.IFS(AND(S876=0,Первоначальный[[#This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платеж]]&lt;&gt;0),MIN(LOOKUP(,-1/($Z$12:Z877=1),$C$12:C877)+LOOKUP(,-1/($Z$12:Z877=1),$H$12:H877),Первоначальный[[#This Row],[Полученный платеж]]+Y876),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платеж]]+Y876,SUM(Первоначальный[[#This Row],[Остаток процентов на начало периода]],Первоначальный[[#This Row],[Проценты за период]])),
AND(S876=0,Первоначальный[[#This Row],[Дата платежа из графика]]=""),0,
AND(S876=0,Первоначальный[[#This Row],[Дата платежа из графика]]=1,MAX((0&lt;&gt;S$12:S876)*ROW(S$12:S876),ROW($S$12))&gt;=MAX((1=Z$12:Z876)*ROW(Z$12:Z876),ROW($T$12)),TYPE(VLOOKUP("Да",(INDIRECT("AA"&amp;(MAX((1=Z$12:Z876)*ROW(Z$12:Z876),ROW($T$12))&amp;":AA"&amp;(ROW()-1)))),1,0))=16),MIN(LOOKUP(,-1/($Z$12:Z877=1),$C$12:C877)+LOOKUP(,-1/($Z$12:Z877=1),$H$12:H877),Первоначальный[[#This Row],[Полученный платеж]]+Y876),
AND(S876=0,TYPE(VLOOKUP("Да",(INDIRECT("AA"&amp;(MAX((1=Z$12:Z876)*ROW(Z$12:Z876),ROW($T$12))&amp;":AA"&amp;(ROW()-1)))),1,0))&lt;&gt;16),MIN(LOOKUP(,-1/($Z$12:Z877=1),$C$12:C877)+LOOKUP(,-1/($Z$12:Z877=1),$H$12:H877)-IF(AA876="Да",0,SUM(INDIRECT("T"&amp;(MAX(("Да"=AA$12:AA876)*ROW(AA$12:AA876)+1,ROW($T$12))&amp;":T"&amp;(ROW()-1))))),Первоначальный[[#This Row],[Полученный платеж]]+Y876),
AND(S876=0,MAX((0&lt;&gt;N$12:N876)*ROW(N$12:N876),ROW($S$12))&gt;=MAX((1=Z$12:Z876)*ROW(Z$12:Z876),ROW($T$12))),MIN(LOOKUP(,-1/($Z$12:Z877=1),$C$12:C877)+LOOKUP(,-1/($Z$12:Z877=1),$H$12:H877)-IF(N876&lt;&gt;0,0,SUM(INDIRECT("T"&amp;(MAX((0&lt;&gt;N$12:N876)*ROW(N$12:N876)+1,ROW($T$12))&amp;":T"&amp;(ROW()-1))))),Первоначальный[[#This Row],[Полученный платеж]]+Y876),
AND(S876=0,Первоначальный[[#This Row],[Дата платежа из графика]]=1),MIN(LOOKUP(,-1/($Z$12:Z877=1),$C$12:C877)+LOOKUP(,-1/($Z$12:Z877=1),$H$12:H877)-IF(Z876=1,0,SUM(INDIRECT("T"&amp;(MAX((1=Z$12:Z876)*ROW(Z$12:Z876)+1,ROW($T$12))&amp;":T"&amp;(ROW()-1))))),Первоначальный[[#This Row],[Полученный платеж]]+Y876),
AND(Z876&gt;0,Первоначальный[[#This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платеж]]+Y876),
AND(S876&gt;0,MAX((0&lt;&gt;S$12:S876)*ROW(S$12:S876),ROW($S$12))&gt;=MAX((1=Z$12:Z876)*ROW(Z$12:Z876),ROW($T$12)),TYPE(VLOOKUP("Да",(INDIRECT("AA"&amp;(MAX((1=Z$12:Z876)*ROW(Z$12:Z876),ROW($T$12))&amp;":AA"&amp;(ROW()-1)))),1,0))=16),MIN(LOOKUP(,-1/($Z$12:Z877=1),$C$12:C877)+LOOKUP(,-1/($Z$12:Z877=1),$H$12:H877)-SUM(INDIRECT("T"&amp;(MAX((1=Z$12:Z876)*ROW(Z$12:Z876),ROW($T$12))&amp;":T"&amp;(ROW()-1)))),Первоначальный[[#This Row],[Полученный платеж]]+Y876),
S876&gt;0,MIN(LOOKUP(,-1/($Z$12:Z877=1),$C$12:C877)+LOOKUP(,-1/($Z$12:Z877=1),$H$12:H877)-IF(Z876=1,0,SUM(INDIRECT("T"&amp;(MAX((1=Z$12:Z876)*ROW(Z$12:Z876)+1,ROW($T$12))&amp;":T"&amp;(ROW()-1))))),Первоначальный[[#This Row],[Полученный платеж]]+Y876)
)
)
)</f>
        <v>0</v>
      </c>
      <c r="U87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платеж]]+Y876-Первоначальный[[#This Row],[Полученный платёж по процентам]])</f>
        <v>0</v>
      </c>
      <c r="V877" s="55">
        <f t="shared" ca="1" si="157"/>
        <v>0</v>
      </c>
      <c r="W877" s="55" cm="1">
        <f t="array" aca="1" ref="W877" ca="1">IF(Первоначальный[[#This Row],[Итого остаток на начало периода]]&lt;1,0,
_xlfn.IFS(
AND(TYPE(VLOOKUP(1,$Z$12:Z877,1,0))=16,Первоначальный[[#This Row],[Досрочное погашение (да/"")]]=""),0,
AND(S876=0,Первоначальный[[#This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платеж]]+Y876-SUM(Первоначальный[[#This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комиссиям]]),VLOOKUP(LOOKUP(,-1/($Z$12:Z877=1),$A$12:A877),График[[Срок конец]:[Возврат основной суммы долга]],3,0)),
AND(S876=0,Первоначальный[[#This Row],[Дата платежа из графика]]="",Первоначальный[[#This Row],[Досрочное погашение (да/"")]]&lt;&gt;"Да"),0,
AND(S876=0,Первоначальный[[#This Row],[Досрочное погашение (да/"")]]=""),MIN(Первоначальный[[#This Row],[Полученный платеж]]+Y876-SUM(Первоначальный[[#This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комиссиям]]),VLOOKUP(LOOKUP(,-1/($Z$12:Z877=1),$A$12:A877),График[[Срок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платеж]]+Y876-SUM(Первоначальный[[#This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S876&gt;0,MIN(Первоначальный[[#This Row],[Полученный платеж]]+Y876-SUM(Первоначальный[[#This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комиссиям]]),SUM(INDIRECT("M"&amp;(MAX((1=S$12:S876)*ROW(S$12:S876),ROW($W$12))&amp;":M"&amp;(ROW()))))-SUM(INDIRECT("W"&amp;(MAX((1=S$12:S876)*ROW(S$12:S876),ROW($W$12))&amp;":W"&amp;(ROW()-1)))))
)
)</f>
        <v>0</v>
      </c>
      <c r="X877" s="55">
        <f t="shared" ca="1" si="158"/>
        <v>0</v>
      </c>
      <c r="Y877" s="101">
        <f t="shared" ca="1" si="165"/>
        <v>0</v>
      </c>
      <c r="Z877" s="133" t="str">
        <f>IF(TYPE((VLOOKUP(Первоначальный[[#This Row],[Дата платежа]],График[Срок конец],1,0)))=16,"",1)</f>
        <v/>
      </c>
      <c r="AA877" s="57"/>
      <c r="AB877" s="134"/>
      <c r="AC87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7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62802.699999999881</v>
      </c>
      <c r="AE87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2693.2199999999939</v>
      </c>
      <c r="AF87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7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148260.51303442608</v>
      </c>
      <c r="AH877" s="55"/>
      <c r="AI877" s="55"/>
      <c r="AJ877" s="55"/>
      <c r="AK877" s="101">
        <f t="shared" ca="1" si="166"/>
        <v>363389.77303442592</v>
      </c>
      <c r="AL877" s="129">
        <f t="array" ref="AL877">MAX((УслРестрактов[Характеристика]="Дата реструктуризации")*(УслРестрактов[Значение]=Первоначальный!$A877),0)</f>
        <v>0</v>
      </c>
    </row>
    <row r="878" spans="1:38" x14ac:dyDescent="0.25">
      <c r="A878" s="97">
        <f t="shared" si="159"/>
        <v>45009</v>
      </c>
      <c r="B878" s="100">
        <f t="shared" ca="1" si="160"/>
        <v>149633.34</v>
      </c>
      <c r="C878" s="55">
        <f t="shared" ca="1" si="169"/>
        <v>62802.699999999881</v>
      </c>
      <c r="D878" s="55">
        <f t="shared" ca="1" si="169"/>
        <v>2693.2199999999939</v>
      </c>
      <c r="E878" s="55">
        <f t="shared" ca="1" si="161"/>
        <v>0</v>
      </c>
      <c r="F878" s="55">
        <f t="shared" ca="1" si="162"/>
        <v>148260.51303442608</v>
      </c>
      <c r="G878" s="101">
        <f t="shared" ca="1" si="163"/>
        <v>363389.77303442592</v>
      </c>
      <c r="H878" s="100">
        <f ca="1">ROUND($B878*VLOOKUP($A878,$A$1:$B$10,2,1)/(365+IF(MOD(YEAR($A878),4),0,1)*($A878-$A877)),2)-Первоначальный[[#This Row],[Проценты на просроченный платеж по ОД за период]]</f>
        <v>74.19</v>
      </c>
      <c r="I878" s="55">
        <f t="shared" ca="1" si="164"/>
        <v>7.39</v>
      </c>
      <c r="J878" s="55">
        <v>0</v>
      </c>
      <c r="K878" s="55">
        <f t="shared" ca="1" si="167"/>
        <v>376.54350327868843</v>
      </c>
      <c r="L878" s="55">
        <v>0</v>
      </c>
      <c r="M878" s="113">
        <f>SUMIFS(График[Возврат основной суммы долга],График[Дата с учетом нерабочих дней],$A878)</f>
        <v>0</v>
      </c>
      <c r="N878" s="56">
        <f>SUMIFS(График[Возврат начисленных %],График[Дата с учетом нерабочих дней],$A878)</f>
        <v>0</v>
      </c>
      <c r="O878" s="101">
        <v>0</v>
      </c>
      <c r="P878" s="100" cm="1">
        <f t="array" aca="1" ref="P878" ca="1">MAX(IF(AA877="Да",0,SUM(INDIRECT("M"&amp;(MAX(("Да"=AA$12:AA877)*ROW(AA$12:AA877)+1,ROW($P$12))&amp;":M"&amp;(ROW()))))-SUM(INDIRECT("W"&amp;(MAX(("Да"=AA$12:AA877)*ROW(AA$12:AA877)+1,ROW($P$12))&amp;":W"&amp;(ROW()))))),0)</f>
        <v>13546.79</v>
      </c>
      <c r="Q878" s="99">
        <f ca="1">MAX(SUM($N$13:N878)-SUM($T$13:T878),0)</f>
        <v>61761.91065573768</v>
      </c>
      <c r="R878" s="99">
        <f ca="1">Первоначальный[[#This Row],[Просроченный платеж по ОД]]+Первоначальный[[#This Row],[Просроченный платеж по процентам]]</f>
        <v>75308.700655737688</v>
      </c>
      <c r="S878" s="120">
        <f ca="1">IF(Первоначальный[[#This Row],[Просроченный платеж]]&lt;1,0,S877+1)</f>
        <v>774</v>
      </c>
      <c r="T878" s="100" cm="1">
        <f t="array" aca="1" ref="T878" ca="1">IF(Первоначальный[[#This Row],[Итого остаток на начало периода]]&lt;1,0,
IF(
AND(TYPE(VLOOKUP(1,$Z$12:Z878,1,0))=16,Первоначальный[[#This Row],[Досрочное погашение (да/"")]]=""),0,
_xlfn.IFS(AND(S877=0,Первоначальный[[#This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платеж]]&lt;&gt;0),MIN(LOOKUP(,-1/($Z$12:Z878=1),$C$12:C878)+LOOKUP(,-1/($Z$12:Z878=1),$H$12:H878),Первоначальный[[#This Row],[Полученный платеж]]+Y877),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платеж]]+Y877,SUM(Первоначальный[[#This Row],[Остаток процентов на начало периода]],Первоначальный[[#This Row],[Проценты за период]])),
AND(S877=0,Первоначальный[[#This Row],[Дата платежа из графика]]=""),0,
AND(S877=0,Первоначальный[[#This Row],[Дата платежа из графика]]=1,MAX((0&lt;&gt;S$12:S877)*ROW(S$12:S877),ROW($S$12))&gt;=MAX((1=Z$12:Z877)*ROW(Z$12:Z877),ROW($T$12)),TYPE(VLOOKUP("Да",(INDIRECT("AA"&amp;(MAX((1=Z$12:Z877)*ROW(Z$12:Z877),ROW($T$12))&amp;":AA"&amp;(ROW()-1)))),1,0))=16),MIN(LOOKUP(,-1/($Z$12:Z878=1),$C$12:C878)+LOOKUP(,-1/($Z$12:Z878=1),$H$12:H878),Первоначальный[[#This Row],[Полученный платеж]]+Y877),
AND(S877=0,TYPE(VLOOKUP("Да",(INDIRECT("AA"&amp;(MAX((1=Z$12:Z877)*ROW(Z$12:Z877),ROW($T$12))&amp;":AA"&amp;(ROW()-1)))),1,0))&lt;&gt;16),MIN(LOOKUP(,-1/($Z$12:Z878=1),$C$12:C878)+LOOKUP(,-1/($Z$12:Z878=1),$H$12:H878)-IF(AA877="Да",0,SUM(INDIRECT("T"&amp;(MAX(("Да"=AA$12:AA877)*ROW(AA$12:AA877)+1,ROW($T$12))&amp;":T"&amp;(ROW()-1))))),Первоначальный[[#This Row],[Полученный платеж]]+Y877),
AND(S877=0,MAX((0&lt;&gt;N$12:N877)*ROW(N$12:N877),ROW($S$12))&gt;=MAX((1=Z$12:Z877)*ROW(Z$12:Z877),ROW($T$12))),MIN(LOOKUP(,-1/($Z$12:Z878=1),$C$12:C878)+LOOKUP(,-1/($Z$12:Z878=1),$H$12:H878)-IF(N877&lt;&gt;0,0,SUM(INDIRECT("T"&amp;(MAX((0&lt;&gt;N$12:N877)*ROW(N$12:N877)+1,ROW($T$12))&amp;":T"&amp;(ROW()-1))))),Первоначальный[[#This Row],[Полученный платеж]]+Y877),
AND(S877=0,Первоначальный[[#This Row],[Дата платежа из графика]]=1),MIN(LOOKUP(,-1/($Z$12:Z878=1),$C$12:C878)+LOOKUP(,-1/($Z$12:Z878=1),$H$12:H878)-IF(Z877=1,0,SUM(INDIRECT("T"&amp;(MAX((1=Z$12:Z877)*ROW(Z$12:Z877)+1,ROW($T$12))&amp;":T"&amp;(ROW()-1))))),Первоначальный[[#This Row],[Полученный платеж]]+Y877),
AND(Z877&gt;0,Первоначальный[[#This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платеж]]+Y877),
AND(S877&gt;0,MAX((0&lt;&gt;S$12:S877)*ROW(S$12:S877),ROW($S$12))&gt;=MAX((1=Z$12:Z877)*ROW(Z$12:Z877),ROW($T$12)),TYPE(VLOOKUP("Да",(INDIRECT("AA"&amp;(MAX((1=Z$12:Z877)*ROW(Z$12:Z877),ROW($T$12))&amp;":AA"&amp;(ROW()-1)))),1,0))=16),MIN(LOOKUP(,-1/($Z$12:Z878=1),$C$12:C878)+LOOKUP(,-1/($Z$12:Z878=1),$H$12:H878)-SUM(INDIRECT("T"&amp;(MAX((1=Z$12:Z877)*ROW(Z$12:Z877),ROW($T$12))&amp;":T"&amp;(ROW()-1)))),Первоначальный[[#This Row],[Полученный платеж]]+Y877),
S877&gt;0,MIN(LOOKUP(,-1/($Z$12:Z878=1),$C$12:C878)+LOOKUP(,-1/($Z$12:Z878=1),$H$12:H878)-IF(Z877=1,0,SUM(INDIRECT("T"&amp;(MAX((1=Z$12:Z877)*ROW(Z$12:Z877)+1,ROW($T$12))&amp;":T"&amp;(ROW()-1))))),Первоначальный[[#This Row],[Полученный платеж]]+Y877)
)
)
)</f>
        <v>0</v>
      </c>
      <c r="U87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платеж]]+Y877-Первоначальный[[#This Row],[Полученный платёж по процентам]])</f>
        <v>0</v>
      </c>
      <c r="V878" s="55">
        <f t="shared" ca="1" si="157"/>
        <v>0</v>
      </c>
      <c r="W878" s="55" cm="1">
        <f t="array" aca="1" ref="W878" ca="1">IF(Первоначальный[[#This Row],[Итого остаток на начало периода]]&lt;1,0,
_xlfn.IFS(
AND(TYPE(VLOOKUP(1,$Z$12:Z878,1,0))=16,Первоначальный[[#This Row],[Досрочное погашение (да/"")]]=""),0,
AND(S877=0,Первоначальный[[#This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платеж]]+Y877-SUM(Первоначальный[[#This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комиссиям]]),VLOOKUP(LOOKUP(,-1/($Z$12:Z878=1),$A$12:A878),График[[Срок конец]:[Возврат основной суммы долга]],3,0)),
AND(S877=0,Первоначальный[[#This Row],[Дата платежа из графика]]="",Первоначальный[[#This Row],[Досрочное погашение (да/"")]]&lt;&gt;"Да"),0,
AND(S877=0,Первоначальный[[#This Row],[Досрочное погашение (да/"")]]=""),MIN(Первоначальный[[#This Row],[Полученный платеж]]+Y877-SUM(Первоначальный[[#This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комиссиям]]),VLOOKUP(LOOKUP(,-1/($Z$12:Z878=1),$A$12:A878),График[[Срок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платеж]]+Y877-SUM(Первоначальный[[#This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S877&gt;0,MIN(Первоначальный[[#This Row],[Полученный платеж]]+Y877-SUM(Первоначальный[[#This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комиссиям]]),SUM(INDIRECT("M"&amp;(MAX((1=S$12:S877)*ROW(S$12:S877),ROW($W$12))&amp;":M"&amp;(ROW()))))-SUM(INDIRECT("W"&amp;(MAX((1=S$12:S877)*ROW(S$12:S877),ROW($W$12))&amp;":W"&amp;(ROW()-1)))))
)
)</f>
        <v>0</v>
      </c>
      <c r="X878" s="55">
        <f t="shared" ca="1" si="158"/>
        <v>0</v>
      </c>
      <c r="Y878" s="101">
        <f t="shared" ca="1" si="165"/>
        <v>0</v>
      </c>
      <c r="Z878" s="133" t="str">
        <f>IF(TYPE((VLOOKUP(Первоначальный[[#This Row],[Дата платежа]],График[Срок конец],1,0)))=16,"",1)</f>
        <v/>
      </c>
      <c r="AA878" s="57"/>
      <c r="AB878" s="134"/>
      <c r="AC87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7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62876.889999999883</v>
      </c>
      <c r="AE87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2700.6099999999938</v>
      </c>
      <c r="AF87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7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148637.05653770478</v>
      </c>
      <c r="AH878" s="55"/>
      <c r="AI878" s="55"/>
      <c r="AJ878" s="55"/>
      <c r="AK878" s="101">
        <f t="shared" ca="1" si="166"/>
        <v>363847.89653770463</v>
      </c>
      <c r="AL878" s="129">
        <f t="array" ref="AL878">MAX((УслРестрактов[Характеристика]="Дата реструктуризации")*(УслРестрактов[Значение]=Первоначальный!$A878),0)</f>
        <v>0</v>
      </c>
    </row>
    <row r="879" spans="1:38" x14ac:dyDescent="0.25">
      <c r="A879" s="97">
        <f t="shared" si="159"/>
        <v>45010</v>
      </c>
      <c r="B879" s="100">
        <f t="shared" ca="1" si="160"/>
        <v>149633.34</v>
      </c>
      <c r="C879" s="55">
        <f t="shared" ca="1" si="169"/>
        <v>62876.889999999883</v>
      </c>
      <c r="D879" s="55">
        <f t="shared" ca="1" si="169"/>
        <v>2700.6099999999938</v>
      </c>
      <c r="E879" s="55">
        <f t="shared" ca="1" si="161"/>
        <v>0</v>
      </c>
      <c r="F879" s="55">
        <f t="shared" ca="1" si="162"/>
        <v>148637.05653770478</v>
      </c>
      <c r="G879" s="101">
        <f t="shared" ca="1" si="163"/>
        <v>363847.89653770463</v>
      </c>
      <c r="H879" s="100">
        <f ca="1">ROUND($B879*VLOOKUP($A879,$A$1:$B$10,2,1)/(365+IF(MOD(YEAR($A879),4),0,1)*($A879-$A878)),2)-Первоначальный[[#This Row],[Проценты на просроченный платеж по ОД за период]]</f>
        <v>74.19</v>
      </c>
      <c r="I879" s="55">
        <f t="shared" ca="1" si="164"/>
        <v>7.39</v>
      </c>
      <c r="J879" s="55">
        <v>0</v>
      </c>
      <c r="K879" s="55">
        <f t="shared" ca="1" si="167"/>
        <v>376.54350327868843</v>
      </c>
      <c r="L879" s="55">
        <v>0</v>
      </c>
      <c r="M879" s="113">
        <f>SUMIFS(График[Возврат основной суммы долга],График[Дата с учетом нерабочих дней],$A879)</f>
        <v>0</v>
      </c>
      <c r="N879" s="56">
        <f>SUMIFS(График[Возврат начисленных %],График[Дата с учетом нерабочих дней],$A879)</f>
        <v>0</v>
      </c>
      <c r="O879" s="101">
        <v>0</v>
      </c>
      <c r="P879" s="100" cm="1">
        <f t="array" aca="1" ref="P879" ca="1">MAX(IF(AA878="Да",0,SUM(INDIRECT("M"&amp;(MAX(("Да"=AA$12:AA878)*ROW(AA$12:AA878)+1,ROW($P$12))&amp;":M"&amp;(ROW()))))-SUM(INDIRECT("W"&amp;(MAX(("Да"=AA$12:AA878)*ROW(AA$12:AA878)+1,ROW($P$12))&amp;":W"&amp;(ROW()))))),0)</f>
        <v>13546.79</v>
      </c>
      <c r="Q879" s="99">
        <f ca="1">MAX(SUM($N$13:N879)-SUM($T$13:T879),0)</f>
        <v>61761.91065573768</v>
      </c>
      <c r="R879" s="99">
        <f ca="1">Первоначальный[[#This Row],[Просроченный платеж по ОД]]+Первоначальный[[#This Row],[Просроченный платеж по процентам]]</f>
        <v>75308.700655737688</v>
      </c>
      <c r="S879" s="120">
        <f ca="1">IF(Первоначальный[[#This Row],[Просроченный платеж]]&lt;1,0,S878+1)</f>
        <v>775</v>
      </c>
      <c r="T879" s="100" cm="1">
        <f t="array" aca="1" ref="T879" ca="1">IF(Первоначальный[[#This Row],[Итого остаток на начало периода]]&lt;1,0,
IF(
AND(TYPE(VLOOKUP(1,$Z$12:Z879,1,0))=16,Первоначальный[[#This Row],[Досрочное погашение (да/"")]]=""),0,
_xlfn.IFS(AND(S878=0,Первоначальный[[#This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платеж]]&lt;&gt;0),MIN(LOOKUP(,-1/($Z$12:Z879=1),$C$12:C879)+LOOKUP(,-1/($Z$12:Z879=1),$H$12:H879),Первоначальный[[#This Row],[Полученный платеж]]+Y878),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платеж]]+Y878,SUM(Первоначальный[[#This Row],[Остаток процентов на начало периода]],Первоначальный[[#This Row],[Проценты за период]])),
AND(S878=0,Первоначальный[[#This Row],[Дата платежа из графика]]=""),0,
AND(S878=0,Первоначальный[[#This Row],[Дата платежа из графика]]=1,MAX((0&lt;&gt;S$12:S878)*ROW(S$12:S878),ROW($S$12))&gt;=MAX((1=Z$12:Z878)*ROW(Z$12:Z878),ROW($T$12)),TYPE(VLOOKUP("Да",(INDIRECT("AA"&amp;(MAX((1=Z$12:Z878)*ROW(Z$12:Z878),ROW($T$12))&amp;":AA"&amp;(ROW()-1)))),1,0))=16),MIN(LOOKUP(,-1/($Z$12:Z879=1),$C$12:C879)+LOOKUP(,-1/($Z$12:Z879=1),$H$12:H879),Первоначальный[[#This Row],[Полученный платеж]]+Y878),
AND(S878=0,TYPE(VLOOKUP("Да",(INDIRECT("AA"&amp;(MAX((1=Z$12:Z878)*ROW(Z$12:Z878),ROW($T$12))&amp;":AA"&amp;(ROW()-1)))),1,0))&lt;&gt;16),MIN(LOOKUP(,-1/($Z$12:Z879=1),$C$12:C879)+LOOKUP(,-1/($Z$12:Z879=1),$H$12:H879)-IF(AA878="Да",0,SUM(INDIRECT("T"&amp;(MAX(("Да"=AA$12:AA878)*ROW(AA$12:AA878)+1,ROW($T$12))&amp;":T"&amp;(ROW()-1))))),Первоначальный[[#This Row],[Полученный платеж]]+Y878),
AND(S878=0,MAX((0&lt;&gt;N$12:N878)*ROW(N$12:N878),ROW($S$12))&gt;=MAX((1=Z$12:Z878)*ROW(Z$12:Z878),ROW($T$12))),MIN(LOOKUP(,-1/($Z$12:Z879=1),$C$12:C879)+LOOKUP(,-1/($Z$12:Z879=1),$H$12:H879)-IF(N878&lt;&gt;0,0,SUM(INDIRECT("T"&amp;(MAX((0&lt;&gt;N$12:N878)*ROW(N$12:N878)+1,ROW($T$12))&amp;":T"&amp;(ROW()-1))))),Первоначальный[[#This Row],[Полученный платеж]]+Y878),
AND(S878=0,Первоначальный[[#This Row],[Дата платежа из графика]]=1),MIN(LOOKUP(,-1/($Z$12:Z879=1),$C$12:C879)+LOOKUP(,-1/($Z$12:Z879=1),$H$12:H879)-IF(Z878=1,0,SUM(INDIRECT("T"&amp;(MAX((1=Z$12:Z878)*ROW(Z$12:Z878)+1,ROW($T$12))&amp;":T"&amp;(ROW()-1))))),Первоначальный[[#This Row],[Полученный платеж]]+Y878),
AND(Z878&gt;0,Первоначальный[[#This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платеж]]+Y878),
AND(S878&gt;0,MAX((0&lt;&gt;S$12:S878)*ROW(S$12:S878),ROW($S$12))&gt;=MAX((1=Z$12:Z878)*ROW(Z$12:Z878),ROW($T$12)),TYPE(VLOOKUP("Да",(INDIRECT("AA"&amp;(MAX((1=Z$12:Z878)*ROW(Z$12:Z878),ROW($T$12))&amp;":AA"&amp;(ROW()-1)))),1,0))=16),MIN(LOOKUP(,-1/($Z$12:Z879=1),$C$12:C879)+LOOKUP(,-1/($Z$12:Z879=1),$H$12:H879)-SUM(INDIRECT("T"&amp;(MAX((1=Z$12:Z878)*ROW(Z$12:Z878),ROW($T$12))&amp;":T"&amp;(ROW()-1)))),Первоначальный[[#This Row],[Полученный платеж]]+Y878),
S878&gt;0,MIN(LOOKUP(,-1/($Z$12:Z879=1),$C$12:C879)+LOOKUP(,-1/($Z$12:Z879=1),$H$12:H879)-IF(Z878=1,0,SUM(INDIRECT("T"&amp;(MAX((1=Z$12:Z878)*ROW(Z$12:Z878)+1,ROW($T$12))&amp;":T"&amp;(ROW()-1))))),Первоначальный[[#This Row],[Полученный платеж]]+Y878)
)
)
)</f>
        <v>0</v>
      </c>
      <c r="U87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платеж]]+Y878-Первоначальный[[#This Row],[Полученный платёж по процентам]])</f>
        <v>0</v>
      </c>
      <c r="V879" s="55">
        <f t="shared" ca="1" si="157"/>
        <v>0</v>
      </c>
      <c r="W879" s="55" cm="1">
        <f t="array" aca="1" ref="W879" ca="1">IF(Первоначальный[[#This Row],[Итого остаток на начало периода]]&lt;1,0,
_xlfn.IFS(
AND(TYPE(VLOOKUP(1,$Z$12:Z879,1,0))=16,Первоначальный[[#This Row],[Досрочное погашение (да/"")]]=""),0,
AND(S878=0,Первоначальный[[#This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платеж]]+Y878-SUM(Первоначальный[[#This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комиссиям]]),VLOOKUP(LOOKUP(,-1/($Z$12:Z879=1),$A$12:A879),График[[Срок конец]:[Возврат основной суммы долга]],3,0)),
AND(S878=0,Первоначальный[[#This Row],[Дата платежа из графика]]="",Первоначальный[[#This Row],[Досрочное погашение (да/"")]]&lt;&gt;"Да"),0,
AND(S878=0,Первоначальный[[#This Row],[Досрочное погашение (да/"")]]=""),MIN(Первоначальный[[#This Row],[Полученный платеж]]+Y878-SUM(Первоначальный[[#This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комиссиям]]),VLOOKUP(LOOKUP(,-1/($Z$12:Z879=1),$A$12:A879),График[[Срок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платеж]]+Y878-SUM(Первоначальный[[#This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S878&gt;0,MIN(Первоначальный[[#This Row],[Полученный платеж]]+Y878-SUM(Первоначальный[[#This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комиссиям]]),SUM(INDIRECT("M"&amp;(MAX((1=S$12:S878)*ROW(S$12:S878),ROW($W$12))&amp;":M"&amp;(ROW()))))-SUM(INDIRECT("W"&amp;(MAX((1=S$12:S878)*ROW(S$12:S878),ROW($W$12))&amp;":W"&amp;(ROW()-1)))))
)
)</f>
        <v>0</v>
      </c>
      <c r="X879" s="55">
        <f t="shared" ca="1" si="158"/>
        <v>0</v>
      </c>
      <c r="Y879" s="101">
        <f t="shared" ca="1" si="165"/>
        <v>0</v>
      </c>
      <c r="Z879" s="133" t="str">
        <f>IF(TYPE((VLOOKUP(Первоначальный[[#This Row],[Дата платежа]],График[Срок конец],1,0)))=16,"",1)</f>
        <v/>
      </c>
      <c r="AA879" s="57"/>
      <c r="AB879" s="134"/>
      <c r="AC87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7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62951.079999999885</v>
      </c>
      <c r="AE87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2707.9999999999936</v>
      </c>
      <c r="AF87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7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149013.60004098347</v>
      </c>
      <c r="AH879" s="55"/>
      <c r="AI879" s="55"/>
      <c r="AJ879" s="55"/>
      <c r="AK879" s="101">
        <f t="shared" ca="1" si="166"/>
        <v>364306.02004098333</v>
      </c>
      <c r="AL879" s="129">
        <f t="array" ref="AL879">MAX((УслРестрактов[Характеристика]="Дата реструктуризации")*(УслРестрактов[Значение]=Первоначальный!$A879),0)</f>
        <v>0</v>
      </c>
    </row>
    <row r="880" spans="1:38" x14ac:dyDescent="0.25">
      <c r="A880" s="97">
        <f t="shared" si="159"/>
        <v>45011</v>
      </c>
      <c r="B880" s="100">
        <f t="shared" ca="1" si="160"/>
        <v>149633.34</v>
      </c>
      <c r="C880" s="55">
        <f t="shared" ca="1" si="169"/>
        <v>62951.079999999885</v>
      </c>
      <c r="D880" s="55">
        <f t="shared" ca="1" si="169"/>
        <v>2707.9999999999936</v>
      </c>
      <c r="E880" s="55">
        <f t="shared" ca="1" si="161"/>
        <v>0</v>
      </c>
      <c r="F880" s="55">
        <f t="shared" ca="1" si="162"/>
        <v>149013.60004098347</v>
      </c>
      <c r="G880" s="101">
        <f t="shared" ca="1" si="163"/>
        <v>364306.02004098333</v>
      </c>
      <c r="H880" s="100">
        <f ca="1">ROUND($B880*VLOOKUP($A880,$A$1:$B$10,2,1)/(365+IF(MOD(YEAR($A880),4),0,1)*($A880-$A879)),2)-Первоначальный[[#This Row],[Проценты на просроченный платеж по ОД за период]]</f>
        <v>74.19</v>
      </c>
      <c r="I880" s="55">
        <f t="shared" ca="1" si="164"/>
        <v>7.39</v>
      </c>
      <c r="J880" s="55">
        <v>0</v>
      </c>
      <c r="K880" s="55">
        <f t="shared" ca="1" si="167"/>
        <v>376.54350327868843</v>
      </c>
      <c r="L880" s="55">
        <v>0</v>
      </c>
      <c r="M880" s="113">
        <f>SUMIFS(График[Возврат основной суммы долга],График[Дата с учетом нерабочих дней],$A880)</f>
        <v>0</v>
      </c>
      <c r="N880" s="56">
        <f>SUMIFS(График[Возврат начисленных %],График[Дата с учетом нерабочих дней],$A880)</f>
        <v>0</v>
      </c>
      <c r="O880" s="101">
        <v>0</v>
      </c>
      <c r="P880" s="100" cm="1">
        <f t="array" aca="1" ref="P880" ca="1">MAX(IF(AA879="Да",0,SUM(INDIRECT("M"&amp;(MAX(("Да"=AA$12:AA879)*ROW(AA$12:AA879)+1,ROW($P$12))&amp;":M"&amp;(ROW()))))-SUM(INDIRECT("W"&amp;(MAX(("Да"=AA$12:AA879)*ROW(AA$12:AA879)+1,ROW($P$12))&amp;":W"&amp;(ROW()))))),0)</f>
        <v>13546.79</v>
      </c>
      <c r="Q880" s="99">
        <f ca="1">MAX(SUM($N$13:N880)-SUM($T$13:T880),0)</f>
        <v>61761.91065573768</v>
      </c>
      <c r="R880" s="99">
        <f ca="1">Первоначальный[[#This Row],[Просроченный платеж по ОД]]+Первоначальный[[#This Row],[Просроченный платеж по процентам]]</f>
        <v>75308.700655737688</v>
      </c>
      <c r="S880" s="120">
        <f ca="1">IF(Первоначальный[[#This Row],[Просроченный платеж]]&lt;1,0,S879+1)</f>
        <v>776</v>
      </c>
      <c r="T880" s="100" cm="1">
        <f t="array" aca="1" ref="T880" ca="1">IF(Первоначальный[[#This Row],[Итого остаток на начало периода]]&lt;1,0,
IF(
AND(TYPE(VLOOKUP(1,$Z$12:Z880,1,0))=16,Первоначальный[[#This Row],[Досрочное погашение (да/"")]]=""),0,
_xlfn.IFS(AND(S879=0,Первоначальный[[#This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платеж]]&lt;&gt;0),MIN(LOOKUP(,-1/($Z$12:Z880=1),$C$12:C880)+LOOKUP(,-1/($Z$12:Z880=1),$H$12:H880),Первоначальный[[#This Row],[Полученный платеж]]+Y879),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платеж]]+Y879,SUM(Первоначальный[[#This Row],[Остаток процентов на начало периода]],Первоначальный[[#This Row],[Проценты за период]])),
AND(S879=0,Первоначальный[[#This Row],[Дата платежа из графика]]=""),0,
AND(S879=0,Первоначальный[[#This Row],[Дата платежа из графика]]=1,MAX((0&lt;&gt;S$12:S879)*ROW(S$12:S879),ROW($S$12))&gt;=MAX((1=Z$12:Z879)*ROW(Z$12:Z879),ROW($T$12)),TYPE(VLOOKUP("Да",(INDIRECT("AA"&amp;(MAX((1=Z$12:Z879)*ROW(Z$12:Z879),ROW($T$12))&amp;":AA"&amp;(ROW()-1)))),1,0))=16),MIN(LOOKUP(,-1/($Z$12:Z880=1),$C$12:C880)+LOOKUP(,-1/($Z$12:Z880=1),$H$12:H880),Первоначальный[[#This Row],[Полученный платеж]]+Y879),
AND(S879=0,TYPE(VLOOKUP("Да",(INDIRECT("AA"&amp;(MAX((1=Z$12:Z879)*ROW(Z$12:Z879),ROW($T$12))&amp;":AA"&amp;(ROW()-1)))),1,0))&lt;&gt;16),MIN(LOOKUP(,-1/($Z$12:Z880=1),$C$12:C880)+LOOKUP(,-1/($Z$12:Z880=1),$H$12:H880)-IF(AA879="Да",0,SUM(INDIRECT("T"&amp;(MAX(("Да"=AA$12:AA879)*ROW(AA$12:AA879)+1,ROW($T$12))&amp;":T"&amp;(ROW()-1))))),Первоначальный[[#This Row],[Полученный платеж]]+Y879),
AND(S879=0,MAX((0&lt;&gt;N$12:N879)*ROW(N$12:N879),ROW($S$12))&gt;=MAX((1=Z$12:Z879)*ROW(Z$12:Z879),ROW($T$12))),MIN(LOOKUP(,-1/($Z$12:Z880=1),$C$12:C880)+LOOKUP(,-1/($Z$12:Z880=1),$H$12:H880)-IF(N879&lt;&gt;0,0,SUM(INDIRECT("T"&amp;(MAX((0&lt;&gt;N$12:N879)*ROW(N$12:N879)+1,ROW($T$12))&amp;":T"&amp;(ROW()-1))))),Первоначальный[[#This Row],[Полученный платеж]]+Y879),
AND(S879=0,Первоначальный[[#This Row],[Дата платежа из графика]]=1),MIN(LOOKUP(,-1/($Z$12:Z880=1),$C$12:C880)+LOOKUP(,-1/($Z$12:Z880=1),$H$12:H880)-IF(Z879=1,0,SUM(INDIRECT("T"&amp;(MAX((1=Z$12:Z879)*ROW(Z$12:Z879)+1,ROW($T$12))&amp;":T"&amp;(ROW()-1))))),Первоначальный[[#This Row],[Полученный платеж]]+Y879),
AND(Z879&gt;0,Первоначальный[[#This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платеж]]+Y879),
AND(S879&gt;0,MAX((0&lt;&gt;S$12:S879)*ROW(S$12:S879),ROW($S$12))&gt;=MAX((1=Z$12:Z879)*ROW(Z$12:Z879),ROW($T$12)),TYPE(VLOOKUP("Да",(INDIRECT("AA"&amp;(MAX((1=Z$12:Z879)*ROW(Z$12:Z879),ROW($T$12))&amp;":AA"&amp;(ROW()-1)))),1,0))=16),MIN(LOOKUP(,-1/($Z$12:Z880=1),$C$12:C880)+LOOKUP(,-1/($Z$12:Z880=1),$H$12:H880)-SUM(INDIRECT("T"&amp;(MAX((1=Z$12:Z879)*ROW(Z$12:Z879),ROW($T$12))&amp;":T"&amp;(ROW()-1)))),Первоначальный[[#This Row],[Полученный платеж]]+Y879),
S879&gt;0,MIN(LOOKUP(,-1/($Z$12:Z880=1),$C$12:C880)+LOOKUP(,-1/($Z$12:Z880=1),$H$12:H880)-IF(Z879=1,0,SUM(INDIRECT("T"&amp;(MAX((1=Z$12:Z879)*ROW(Z$12:Z879)+1,ROW($T$12))&amp;":T"&amp;(ROW()-1))))),Первоначальный[[#This Row],[Полученный платеж]]+Y879)
)
)
)</f>
        <v>0</v>
      </c>
      <c r="U88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платеж]]+Y879-Первоначальный[[#This Row],[Полученный платёж по процентам]])</f>
        <v>0</v>
      </c>
      <c r="V880" s="55">
        <f t="shared" ca="1" si="157"/>
        <v>0</v>
      </c>
      <c r="W880" s="55" cm="1">
        <f t="array" aca="1" ref="W880" ca="1">IF(Первоначальный[[#This Row],[Итого остаток на начало периода]]&lt;1,0,
_xlfn.IFS(
AND(TYPE(VLOOKUP(1,$Z$12:Z880,1,0))=16,Первоначальный[[#This Row],[Досрочное погашение (да/"")]]=""),0,
AND(S879=0,Первоначальный[[#This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платеж]]+Y879-SUM(Первоначальный[[#This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комиссиям]]),VLOOKUP(LOOKUP(,-1/($Z$12:Z880=1),$A$12:A880),График[[Срок конец]:[Возврат основной суммы долга]],3,0)),
AND(S879=0,Первоначальный[[#This Row],[Дата платежа из графика]]="",Первоначальный[[#This Row],[Досрочное погашение (да/"")]]&lt;&gt;"Да"),0,
AND(S879=0,Первоначальный[[#This Row],[Досрочное погашение (да/"")]]=""),MIN(Первоначальный[[#This Row],[Полученный платеж]]+Y879-SUM(Первоначальный[[#This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комиссиям]]),VLOOKUP(LOOKUP(,-1/($Z$12:Z880=1),$A$12:A880),График[[Срок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платеж]]+Y879-SUM(Первоначальный[[#This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S879&gt;0,MIN(Первоначальный[[#This Row],[Полученный платеж]]+Y879-SUM(Первоначальный[[#This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комиссиям]]),SUM(INDIRECT("M"&amp;(MAX((1=S$12:S879)*ROW(S$12:S879),ROW($W$12))&amp;":M"&amp;(ROW()))))-SUM(INDIRECT("W"&amp;(MAX((1=S$12:S879)*ROW(S$12:S879),ROW($W$12))&amp;":W"&amp;(ROW()-1)))))
)
)</f>
        <v>0</v>
      </c>
      <c r="X880" s="55">
        <f t="shared" ca="1" si="158"/>
        <v>0</v>
      </c>
      <c r="Y880" s="101">
        <f t="shared" ca="1" si="165"/>
        <v>0</v>
      </c>
      <c r="Z880" s="133" t="str">
        <f>IF(TYPE((VLOOKUP(Первоначальный[[#This Row],[Дата платежа]],График[Срок конец],1,0)))=16,"",1)</f>
        <v/>
      </c>
      <c r="AA880" s="57"/>
      <c r="AB880" s="134"/>
      <c r="AC88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8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63025.269999999888</v>
      </c>
      <c r="AE88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2715.3899999999935</v>
      </c>
      <c r="AF88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8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149390.14354426216</v>
      </c>
      <c r="AH880" s="55"/>
      <c r="AI880" s="55"/>
      <c r="AJ880" s="55"/>
      <c r="AK880" s="101">
        <f t="shared" ca="1" si="166"/>
        <v>364764.14354426204</v>
      </c>
      <c r="AL880" s="129">
        <f t="array" ref="AL880">MAX((УслРестрактов[Характеристика]="Дата реструктуризации")*(УслРестрактов[Значение]=Первоначальный!$A880),0)</f>
        <v>0</v>
      </c>
    </row>
    <row r="881" spans="1:38" x14ac:dyDescent="0.25">
      <c r="A881" s="97">
        <f t="shared" si="159"/>
        <v>45012</v>
      </c>
      <c r="B881" s="100">
        <f t="shared" ca="1" si="160"/>
        <v>149633.34</v>
      </c>
      <c r="C881" s="55">
        <f t="shared" ca="1" si="169"/>
        <v>63025.269999999888</v>
      </c>
      <c r="D881" s="55">
        <f t="shared" ca="1" si="169"/>
        <v>2715.3899999999935</v>
      </c>
      <c r="E881" s="55">
        <f t="shared" ca="1" si="161"/>
        <v>0</v>
      </c>
      <c r="F881" s="55">
        <f t="shared" ca="1" si="162"/>
        <v>149390.14354426216</v>
      </c>
      <c r="G881" s="101">
        <f t="shared" ca="1" si="163"/>
        <v>364764.14354426204</v>
      </c>
      <c r="H881" s="100">
        <f ca="1">ROUND($B881*VLOOKUP($A881,$A$1:$B$10,2,1)/(365+IF(MOD(YEAR($A881),4),0,1)*($A881-$A880)),2)-Первоначальный[[#This Row],[Проценты на просроченный платеж по ОД за период]]</f>
        <v>74.19</v>
      </c>
      <c r="I881" s="55">
        <f t="shared" ca="1" si="164"/>
        <v>7.39</v>
      </c>
      <c r="J881" s="55">
        <v>0</v>
      </c>
      <c r="K881" s="55">
        <f t="shared" ca="1" si="167"/>
        <v>376.54350327868843</v>
      </c>
      <c r="L881" s="55">
        <v>0</v>
      </c>
      <c r="M881" s="113">
        <f>SUMIFS(График[Возврат основной суммы долга],График[Дата с учетом нерабочих дней],$A881)</f>
        <v>0</v>
      </c>
      <c r="N881" s="56">
        <f>SUMIFS(График[Возврат начисленных %],График[Дата с учетом нерабочих дней],$A881)</f>
        <v>0</v>
      </c>
      <c r="O881" s="101">
        <v>0</v>
      </c>
      <c r="P881" s="100" cm="1">
        <f t="array" aca="1" ref="P881" ca="1">MAX(IF(AA880="Да",0,SUM(INDIRECT("M"&amp;(MAX(("Да"=AA$12:AA880)*ROW(AA$12:AA880)+1,ROW($P$12))&amp;":M"&amp;(ROW()))))-SUM(INDIRECT("W"&amp;(MAX(("Да"=AA$12:AA880)*ROW(AA$12:AA880)+1,ROW($P$12))&amp;":W"&amp;(ROW()))))),0)</f>
        <v>13546.79</v>
      </c>
      <c r="Q881" s="99">
        <f ca="1">MAX(SUM($N$13:N881)-SUM($T$13:T881),0)</f>
        <v>61761.91065573768</v>
      </c>
      <c r="R881" s="99">
        <f ca="1">Первоначальный[[#This Row],[Просроченный платеж по ОД]]+Первоначальный[[#This Row],[Просроченный платеж по процентам]]</f>
        <v>75308.700655737688</v>
      </c>
      <c r="S881" s="120">
        <f ca="1">IF(Первоначальный[[#This Row],[Просроченный платеж]]&lt;1,0,S880+1)</f>
        <v>777</v>
      </c>
      <c r="T881" s="100" cm="1">
        <f t="array" aca="1" ref="T881" ca="1">IF(Первоначальный[[#This Row],[Итого остаток на начало периода]]&lt;1,0,
IF(
AND(TYPE(VLOOKUP(1,$Z$12:Z881,1,0))=16,Первоначальный[[#This Row],[Досрочное погашение (да/"")]]=""),0,
_xlfn.IFS(AND(S880=0,Первоначальный[[#This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платеж]]&lt;&gt;0),MIN(LOOKUP(,-1/($Z$12:Z881=1),$C$12:C881)+LOOKUP(,-1/($Z$12:Z881=1),$H$12:H881),Первоначальный[[#This Row],[Полученный платеж]]+Y880),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платеж]]+Y880,SUM(Первоначальный[[#This Row],[Остаток процентов на начало периода]],Первоначальный[[#This Row],[Проценты за период]])),
AND(S880=0,Первоначальный[[#This Row],[Дата платежа из графика]]=""),0,
AND(S880=0,Первоначальный[[#This Row],[Дата платежа из графика]]=1,MAX((0&lt;&gt;S$12:S880)*ROW(S$12:S880),ROW($S$12))&gt;=MAX((1=Z$12:Z880)*ROW(Z$12:Z880),ROW($T$12)),TYPE(VLOOKUP("Да",(INDIRECT("AA"&amp;(MAX((1=Z$12:Z880)*ROW(Z$12:Z880),ROW($T$12))&amp;":AA"&amp;(ROW()-1)))),1,0))=16),MIN(LOOKUP(,-1/($Z$12:Z881=1),$C$12:C881)+LOOKUP(,-1/($Z$12:Z881=1),$H$12:H881),Первоначальный[[#This Row],[Полученный платеж]]+Y880),
AND(S880=0,TYPE(VLOOKUP("Да",(INDIRECT("AA"&amp;(MAX((1=Z$12:Z880)*ROW(Z$12:Z880),ROW($T$12))&amp;":AA"&amp;(ROW()-1)))),1,0))&lt;&gt;16),MIN(LOOKUP(,-1/($Z$12:Z881=1),$C$12:C881)+LOOKUP(,-1/($Z$12:Z881=1),$H$12:H881)-IF(AA880="Да",0,SUM(INDIRECT("T"&amp;(MAX(("Да"=AA$12:AA880)*ROW(AA$12:AA880)+1,ROW($T$12))&amp;":T"&amp;(ROW()-1))))),Первоначальный[[#This Row],[Полученный платеж]]+Y880),
AND(S880=0,MAX((0&lt;&gt;N$12:N880)*ROW(N$12:N880),ROW($S$12))&gt;=MAX((1=Z$12:Z880)*ROW(Z$12:Z880),ROW($T$12))),MIN(LOOKUP(,-1/($Z$12:Z881=1),$C$12:C881)+LOOKUP(,-1/($Z$12:Z881=1),$H$12:H881)-IF(N880&lt;&gt;0,0,SUM(INDIRECT("T"&amp;(MAX((0&lt;&gt;N$12:N880)*ROW(N$12:N880)+1,ROW($T$12))&amp;":T"&amp;(ROW()-1))))),Первоначальный[[#This Row],[Полученный платеж]]+Y880),
AND(S880=0,Первоначальный[[#This Row],[Дата платежа из графика]]=1),MIN(LOOKUP(,-1/($Z$12:Z881=1),$C$12:C881)+LOOKUP(,-1/($Z$12:Z881=1),$H$12:H881)-IF(Z880=1,0,SUM(INDIRECT("T"&amp;(MAX((1=Z$12:Z880)*ROW(Z$12:Z880)+1,ROW($T$12))&amp;":T"&amp;(ROW()-1))))),Первоначальный[[#This Row],[Полученный платеж]]+Y880),
AND(Z880&gt;0,Первоначальный[[#This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платеж]]+Y880),
AND(S880&gt;0,MAX((0&lt;&gt;S$12:S880)*ROW(S$12:S880),ROW($S$12))&gt;=MAX((1=Z$12:Z880)*ROW(Z$12:Z880),ROW($T$12)),TYPE(VLOOKUP("Да",(INDIRECT("AA"&amp;(MAX((1=Z$12:Z880)*ROW(Z$12:Z880),ROW($T$12))&amp;":AA"&amp;(ROW()-1)))),1,0))=16),MIN(LOOKUP(,-1/($Z$12:Z881=1),$C$12:C881)+LOOKUP(,-1/($Z$12:Z881=1),$H$12:H881)-SUM(INDIRECT("T"&amp;(MAX((1=Z$12:Z880)*ROW(Z$12:Z880),ROW($T$12))&amp;":T"&amp;(ROW()-1)))),Первоначальный[[#This Row],[Полученный платеж]]+Y880),
S880&gt;0,MIN(LOOKUP(,-1/($Z$12:Z881=1),$C$12:C881)+LOOKUP(,-1/($Z$12:Z881=1),$H$12:H881)-IF(Z880=1,0,SUM(INDIRECT("T"&amp;(MAX((1=Z$12:Z880)*ROW(Z$12:Z880)+1,ROW($T$12))&amp;":T"&amp;(ROW()-1))))),Первоначальный[[#This Row],[Полученный платеж]]+Y880)
)
)
)</f>
        <v>0</v>
      </c>
      <c r="U88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платеж]]+Y880-Первоначальный[[#This Row],[Полученный платёж по процентам]])</f>
        <v>0</v>
      </c>
      <c r="V881" s="55">
        <f t="shared" ca="1" si="157"/>
        <v>0</v>
      </c>
      <c r="W881" s="55" cm="1">
        <f t="array" aca="1" ref="W881" ca="1">IF(Первоначальный[[#This Row],[Итого остаток на начало периода]]&lt;1,0,
_xlfn.IFS(
AND(TYPE(VLOOKUP(1,$Z$12:Z881,1,0))=16,Первоначальный[[#This Row],[Досрочное погашение (да/"")]]=""),0,
AND(S880=0,Первоначальный[[#This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платеж]]+Y880-SUM(Первоначальный[[#This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комиссиям]]),VLOOKUP(LOOKUP(,-1/($Z$12:Z881=1),$A$12:A881),График[[Срок конец]:[Возврат основной суммы долга]],3,0)),
AND(S880=0,Первоначальный[[#This Row],[Дата платежа из графика]]="",Первоначальный[[#This Row],[Досрочное погашение (да/"")]]&lt;&gt;"Да"),0,
AND(S880=0,Первоначальный[[#This Row],[Досрочное погашение (да/"")]]=""),MIN(Первоначальный[[#This Row],[Полученный платеж]]+Y880-SUM(Первоначальный[[#This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комиссиям]]),VLOOKUP(LOOKUP(,-1/($Z$12:Z881=1),$A$12:A881),График[[Срок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платеж]]+Y880-SUM(Первоначальный[[#This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S880&gt;0,MIN(Первоначальный[[#This Row],[Полученный платеж]]+Y880-SUM(Первоначальный[[#This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комиссиям]]),SUM(INDIRECT("M"&amp;(MAX((1=S$12:S880)*ROW(S$12:S880),ROW($W$12))&amp;":M"&amp;(ROW()))))-SUM(INDIRECT("W"&amp;(MAX((1=S$12:S880)*ROW(S$12:S880),ROW($W$12))&amp;":W"&amp;(ROW()-1)))))
)
)</f>
        <v>0</v>
      </c>
      <c r="X881" s="55">
        <f t="shared" ca="1" si="158"/>
        <v>0</v>
      </c>
      <c r="Y881" s="101">
        <f t="shared" ca="1" si="165"/>
        <v>0</v>
      </c>
      <c r="Z881" s="133" t="str">
        <f>IF(TYPE((VLOOKUP(Первоначальный[[#This Row],[Дата платежа]],График[Срок конец],1,0)))=16,"",1)</f>
        <v/>
      </c>
      <c r="AA881" s="57"/>
      <c r="AB881" s="134"/>
      <c r="AC88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8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63099.45999999989</v>
      </c>
      <c r="AE88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2722.7799999999934</v>
      </c>
      <c r="AF88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8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149766.68704754085</v>
      </c>
      <c r="AH881" s="55"/>
      <c r="AI881" s="55"/>
      <c r="AJ881" s="55"/>
      <c r="AK881" s="101">
        <f t="shared" ca="1" si="166"/>
        <v>365222.26704754075</v>
      </c>
      <c r="AL881" s="129">
        <f t="array" ref="AL881">MAX((УслРестрактов[Характеристика]="Дата реструктуризации")*(УслРестрактов[Значение]=Первоначальный!$A881),0)</f>
        <v>0</v>
      </c>
    </row>
    <row r="882" spans="1:38" x14ac:dyDescent="0.25">
      <c r="A882" s="97">
        <f t="shared" si="159"/>
        <v>45013</v>
      </c>
      <c r="B882" s="100">
        <f t="shared" ca="1" si="160"/>
        <v>149633.34</v>
      </c>
      <c r="C882" s="55">
        <f t="shared" ca="1" si="169"/>
        <v>63099.45999999989</v>
      </c>
      <c r="D882" s="55">
        <f t="shared" ca="1" si="169"/>
        <v>2722.7799999999934</v>
      </c>
      <c r="E882" s="55">
        <f t="shared" ca="1" si="161"/>
        <v>0</v>
      </c>
      <c r="F882" s="55">
        <f t="shared" ca="1" si="162"/>
        <v>149766.68704754085</v>
      </c>
      <c r="G882" s="101">
        <f t="shared" ca="1" si="163"/>
        <v>365222.26704754075</v>
      </c>
      <c r="H882" s="100">
        <f ca="1">ROUND($B882*VLOOKUP($A882,$A$1:$B$10,2,1)/(365+IF(MOD(YEAR($A882),4),0,1)*($A882-$A881)),2)-Первоначальный[[#This Row],[Проценты на просроченный платеж по ОД за период]]</f>
        <v>74.19</v>
      </c>
      <c r="I882" s="55">
        <f t="shared" ca="1" si="164"/>
        <v>7.39</v>
      </c>
      <c r="J882" s="55">
        <v>0</v>
      </c>
      <c r="K882" s="55">
        <f t="shared" ca="1" si="167"/>
        <v>376.54350327868843</v>
      </c>
      <c r="L882" s="55">
        <v>0</v>
      </c>
      <c r="M882" s="113">
        <f>SUMIFS(График[Возврат основной суммы долга],График[Дата с учетом нерабочих дней],$A882)</f>
        <v>0</v>
      </c>
      <c r="N882" s="56">
        <f>SUMIFS(График[Возврат начисленных %],График[Дата с учетом нерабочих дней],$A882)</f>
        <v>0</v>
      </c>
      <c r="O882" s="101">
        <v>0</v>
      </c>
      <c r="P882" s="100" cm="1">
        <f t="array" aca="1" ref="P882" ca="1">MAX(IF(AA881="Да",0,SUM(INDIRECT("M"&amp;(MAX(("Да"=AA$12:AA881)*ROW(AA$12:AA881)+1,ROW($P$12))&amp;":M"&amp;(ROW()))))-SUM(INDIRECT("W"&amp;(MAX(("Да"=AA$12:AA881)*ROW(AA$12:AA881)+1,ROW($P$12))&amp;":W"&amp;(ROW()))))),0)</f>
        <v>13546.79</v>
      </c>
      <c r="Q882" s="99">
        <f ca="1">MAX(SUM($N$13:N882)-SUM($T$13:T882),0)</f>
        <v>61761.91065573768</v>
      </c>
      <c r="R882" s="99">
        <f ca="1">Первоначальный[[#This Row],[Просроченный платеж по ОД]]+Первоначальный[[#This Row],[Просроченный платеж по процентам]]</f>
        <v>75308.700655737688</v>
      </c>
      <c r="S882" s="120">
        <f ca="1">IF(Первоначальный[[#This Row],[Просроченный платеж]]&lt;1,0,S881+1)</f>
        <v>778</v>
      </c>
      <c r="T882" s="100" cm="1">
        <f t="array" aca="1" ref="T882" ca="1">IF(Первоначальный[[#This Row],[Итого остаток на начало периода]]&lt;1,0,
IF(
AND(TYPE(VLOOKUP(1,$Z$12:Z882,1,0))=16,Первоначальный[[#This Row],[Досрочное погашение (да/"")]]=""),0,
_xlfn.IFS(AND(S881=0,Первоначальный[[#This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платеж]]&lt;&gt;0),MIN(LOOKUP(,-1/($Z$12:Z882=1),$C$12:C882)+LOOKUP(,-1/($Z$12:Z882=1),$H$12:H882),Первоначальный[[#This Row],[Полученный платеж]]+Y881),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платеж]]+Y881,SUM(Первоначальный[[#This Row],[Остаток процентов на начало периода]],Первоначальный[[#This Row],[Проценты за период]])),
AND(S881=0,Первоначальный[[#This Row],[Дата платежа из графика]]=""),0,
AND(S881=0,Первоначальный[[#This Row],[Дата платежа из графика]]=1,MAX((0&lt;&gt;S$12:S881)*ROW(S$12:S881),ROW($S$12))&gt;=MAX((1=Z$12:Z881)*ROW(Z$12:Z881),ROW($T$12)),TYPE(VLOOKUP("Да",(INDIRECT("AA"&amp;(MAX((1=Z$12:Z881)*ROW(Z$12:Z881),ROW($T$12))&amp;":AA"&amp;(ROW()-1)))),1,0))=16),MIN(LOOKUP(,-1/($Z$12:Z882=1),$C$12:C882)+LOOKUP(,-1/($Z$12:Z882=1),$H$12:H882),Первоначальный[[#This Row],[Полученный платеж]]+Y881),
AND(S881=0,TYPE(VLOOKUP("Да",(INDIRECT("AA"&amp;(MAX((1=Z$12:Z881)*ROW(Z$12:Z881),ROW($T$12))&amp;":AA"&amp;(ROW()-1)))),1,0))&lt;&gt;16),MIN(LOOKUP(,-1/($Z$12:Z882=1),$C$12:C882)+LOOKUP(,-1/($Z$12:Z882=1),$H$12:H882)-IF(AA881="Да",0,SUM(INDIRECT("T"&amp;(MAX(("Да"=AA$12:AA881)*ROW(AA$12:AA881)+1,ROW($T$12))&amp;":T"&amp;(ROW()-1))))),Первоначальный[[#This Row],[Полученный платеж]]+Y881),
AND(S881=0,MAX((0&lt;&gt;N$12:N881)*ROW(N$12:N881),ROW($S$12))&gt;=MAX((1=Z$12:Z881)*ROW(Z$12:Z881),ROW($T$12))),MIN(LOOKUP(,-1/($Z$12:Z882=1),$C$12:C882)+LOOKUP(,-1/($Z$12:Z882=1),$H$12:H882)-IF(N881&lt;&gt;0,0,SUM(INDIRECT("T"&amp;(MAX((0&lt;&gt;N$12:N881)*ROW(N$12:N881)+1,ROW($T$12))&amp;":T"&amp;(ROW()-1))))),Первоначальный[[#This Row],[Полученный платеж]]+Y881),
AND(S881=0,Первоначальный[[#This Row],[Дата платежа из графика]]=1),MIN(LOOKUP(,-1/($Z$12:Z882=1),$C$12:C882)+LOOKUP(,-1/($Z$12:Z882=1),$H$12:H882)-IF(Z881=1,0,SUM(INDIRECT("T"&amp;(MAX((1=Z$12:Z881)*ROW(Z$12:Z881)+1,ROW($T$12))&amp;":T"&amp;(ROW()-1))))),Первоначальный[[#This Row],[Полученный платеж]]+Y881),
AND(Z881&gt;0,Первоначальный[[#This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платеж]]+Y881),
AND(S881&gt;0,MAX((0&lt;&gt;S$12:S881)*ROW(S$12:S881),ROW($S$12))&gt;=MAX((1=Z$12:Z881)*ROW(Z$12:Z881),ROW($T$12)),TYPE(VLOOKUP("Да",(INDIRECT("AA"&amp;(MAX((1=Z$12:Z881)*ROW(Z$12:Z881),ROW($T$12))&amp;":AA"&amp;(ROW()-1)))),1,0))=16),MIN(LOOKUP(,-1/($Z$12:Z882=1),$C$12:C882)+LOOKUP(,-1/($Z$12:Z882=1),$H$12:H882)-SUM(INDIRECT("T"&amp;(MAX((1=Z$12:Z881)*ROW(Z$12:Z881),ROW($T$12))&amp;":T"&amp;(ROW()-1)))),Первоначальный[[#This Row],[Полученный платеж]]+Y881),
S881&gt;0,MIN(LOOKUP(,-1/($Z$12:Z882=1),$C$12:C882)+LOOKUP(,-1/($Z$12:Z882=1),$H$12:H882)-IF(Z881=1,0,SUM(INDIRECT("T"&amp;(MAX((1=Z$12:Z881)*ROW(Z$12:Z881)+1,ROW($T$12))&amp;":T"&amp;(ROW()-1))))),Первоначальный[[#This Row],[Полученный платеж]]+Y881)
)
)
)</f>
        <v>0</v>
      </c>
      <c r="U88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платеж]]+Y881-Первоначальный[[#This Row],[Полученный платёж по процентам]])</f>
        <v>0</v>
      </c>
      <c r="V882" s="55">
        <f t="shared" ca="1" si="157"/>
        <v>0</v>
      </c>
      <c r="W882" s="55" cm="1">
        <f t="array" aca="1" ref="W882" ca="1">IF(Первоначальный[[#This Row],[Итого остаток на начало периода]]&lt;1,0,
_xlfn.IFS(
AND(TYPE(VLOOKUP(1,$Z$12:Z882,1,0))=16,Первоначальный[[#This Row],[Досрочное погашение (да/"")]]=""),0,
AND(S881=0,Первоначальный[[#This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платеж]]+Y881-SUM(Первоначальный[[#This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комиссиям]]),VLOOKUP(LOOKUP(,-1/($Z$12:Z882=1),$A$12:A882),График[[Срок конец]:[Возврат основной суммы долга]],3,0)),
AND(S881=0,Первоначальный[[#This Row],[Дата платежа из графика]]="",Первоначальный[[#This Row],[Досрочное погашение (да/"")]]&lt;&gt;"Да"),0,
AND(S881=0,Первоначальный[[#This Row],[Досрочное погашение (да/"")]]=""),MIN(Первоначальный[[#This Row],[Полученный платеж]]+Y881-SUM(Первоначальный[[#This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комиссиям]]),VLOOKUP(LOOKUP(,-1/($Z$12:Z882=1),$A$12:A882),График[[Срок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платеж]]+Y881-SUM(Первоначальный[[#This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S881&gt;0,MIN(Первоначальный[[#This Row],[Полученный платеж]]+Y881-SUM(Первоначальный[[#This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комиссиям]]),SUM(INDIRECT("M"&amp;(MAX((1=S$12:S881)*ROW(S$12:S881),ROW($W$12))&amp;":M"&amp;(ROW()))))-SUM(INDIRECT("W"&amp;(MAX((1=S$12:S881)*ROW(S$12:S881),ROW($W$12))&amp;":W"&amp;(ROW()-1)))))
)
)</f>
        <v>0</v>
      </c>
      <c r="X882" s="55">
        <f t="shared" ca="1" si="158"/>
        <v>0</v>
      </c>
      <c r="Y882" s="101">
        <f t="shared" ca="1" si="165"/>
        <v>0</v>
      </c>
      <c r="Z882" s="133" t="str">
        <f>IF(TYPE((VLOOKUP(Первоначальный[[#This Row],[Дата платежа]],График[Срок конец],1,0)))=16,"",1)</f>
        <v/>
      </c>
      <c r="AA882" s="57"/>
      <c r="AB882" s="134"/>
      <c r="AC88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8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63173.649999999892</v>
      </c>
      <c r="AE88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2730.1699999999933</v>
      </c>
      <c r="AF88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8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150143.23055081954</v>
      </c>
      <c r="AH882" s="55"/>
      <c r="AI882" s="55"/>
      <c r="AJ882" s="55"/>
      <c r="AK882" s="101">
        <f t="shared" ca="1" si="166"/>
        <v>365680.3905508194</v>
      </c>
      <c r="AL882" s="129">
        <f t="array" ref="AL882">MAX((УслРестрактов[Характеристика]="Дата реструктуризации")*(УслРестрактов[Значение]=Первоначальный!$A882),0)</f>
        <v>0</v>
      </c>
    </row>
    <row r="883" spans="1:38" x14ac:dyDescent="0.25">
      <c r="A883" s="97">
        <f t="shared" si="159"/>
        <v>45014</v>
      </c>
      <c r="B883" s="100">
        <f t="shared" ca="1" si="160"/>
        <v>149633.34</v>
      </c>
      <c r="C883" s="55">
        <f t="shared" ca="1" si="169"/>
        <v>63173.649999999892</v>
      </c>
      <c r="D883" s="55">
        <f t="shared" ca="1" si="169"/>
        <v>2730.1699999999933</v>
      </c>
      <c r="E883" s="55">
        <f t="shared" ca="1" si="161"/>
        <v>0</v>
      </c>
      <c r="F883" s="55">
        <f t="shared" ca="1" si="162"/>
        <v>150143.23055081954</v>
      </c>
      <c r="G883" s="101">
        <f t="shared" ca="1" si="163"/>
        <v>365680.3905508194</v>
      </c>
      <c r="H883" s="100">
        <f ca="1">ROUND($B883*VLOOKUP($A883,$A$1:$B$10,2,1)/(365+IF(MOD(YEAR($A883),4),0,1)*($A883-$A882)),2)-Первоначальный[[#This Row],[Проценты на просроченный платеж по ОД за период]]</f>
        <v>74.19</v>
      </c>
      <c r="I883" s="55">
        <f t="shared" ca="1" si="164"/>
        <v>7.39</v>
      </c>
      <c r="J883" s="55">
        <v>0</v>
      </c>
      <c r="K883" s="55">
        <f t="shared" ca="1" si="167"/>
        <v>376.54350327868843</v>
      </c>
      <c r="L883" s="55">
        <v>0</v>
      </c>
      <c r="M883" s="113">
        <f>SUMIFS(График[Возврат основной суммы долга],График[Дата с учетом нерабочих дней],$A883)</f>
        <v>0</v>
      </c>
      <c r="N883" s="56">
        <f>SUMIFS(График[Возврат начисленных %],График[Дата с учетом нерабочих дней],$A883)</f>
        <v>0</v>
      </c>
      <c r="O883" s="101">
        <v>0</v>
      </c>
      <c r="P883" s="100" cm="1">
        <f t="array" aca="1" ref="P883" ca="1">MAX(IF(AA882="Да",0,SUM(INDIRECT("M"&amp;(MAX(("Да"=AA$12:AA882)*ROW(AA$12:AA882)+1,ROW($P$12))&amp;":M"&amp;(ROW()))))-SUM(INDIRECT("W"&amp;(MAX(("Да"=AA$12:AA882)*ROW(AA$12:AA882)+1,ROW($P$12))&amp;":W"&amp;(ROW()))))),0)</f>
        <v>13546.79</v>
      </c>
      <c r="Q883" s="99">
        <f ca="1">MAX(SUM($N$13:N883)-SUM($T$13:T883),0)</f>
        <v>61761.91065573768</v>
      </c>
      <c r="R883" s="99">
        <f ca="1">Первоначальный[[#This Row],[Просроченный платеж по ОД]]+Первоначальный[[#This Row],[Просроченный платеж по процентам]]</f>
        <v>75308.700655737688</v>
      </c>
      <c r="S883" s="120">
        <f ca="1">IF(Первоначальный[[#This Row],[Просроченный платеж]]&lt;1,0,S882+1)</f>
        <v>779</v>
      </c>
      <c r="T883" s="100" cm="1">
        <f t="array" aca="1" ref="T883" ca="1">IF(Первоначальный[[#This Row],[Итого остаток на начало периода]]&lt;1,0,
IF(
AND(TYPE(VLOOKUP(1,$Z$12:Z883,1,0))=16,Первоначальный[[#This Row],[Досрочное погашение (да/"")]]=""),0,
_xlfn.IFS(AND(S882=0,Первоначальный[[#This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платеж]]&lt;&gt;0),MIN(LOOKUP(,-1/($Z$12:Z883=1),$C$12:C883)+LOOKUP(,-1/($Z$12:Z883=1),$H$12:H883),Первоначальный[[#This Row],[Полученный платеж]]+Y882),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платеж]]+Y882,SUM(Первоначальный[[#This Row],[Остаток процентов на начало периода]],Первоначальный[[#This Row],[Проценты за период]])),
AND(S882=0,Первоначальный[[#This Row],[Дата платежа из графика]]=""),0,
AND(S882=0,Первоначальный[[#This Row],[Дата платежа из графика]]=1,MAX((0&lt;&gt;S$12:S882)*ROW(S$12:S882),ROW($S$12))&gt;=MAX((1=Z$12:Z882)*ROW(Z$12:Z882),ROW($T$12)),TYPE(VLOOKUP("Да",(INDIRECT("AA"&amp;(MAX((1=Z$12:Z882)*ROW(Z$12:Z882),ROW($T$12))&amp;":AA"&amp;(ROW()-1)))),1,0))=16),MIN(LOOKUP(,-1/($Z$12:Z883=1),$C$12:C883)+LOOKUP(,-1/($Z$12:Z883=1),$H$12:H883),Первоначальный[[#This Row],[Полученный платеж]]+Y882),
AND(S882=0,TYPE(VLOOKUP("Да",(INDIRECT("AA"&amp;(MAX((1=Z$12:Z882)*ROW(Z$12:Z882),ROW($T$12))&amp;":AA"&amp;(ROW()-1)))),1,0))&lt;&gt;16),MIN(LOOKUP(,-1/($Z$12:Z883=1),$C$12:C883)+LOOKUP(,-1/($Z$12:Z883=1),$H$12:H883)-IF(AA882="Да",0,SUM(INDIRECT("T"&amp;(MAX(("Да"=AA$12:AA882)*ROW(AA$12:AA882)+1,ROW($T$12))&amp;":T"&amp;(ROW()-1))))),Первоначальный[[#This Row],[Полученный платеж]]+Y882),
AND(S882=0,MAX((0&lt;&gt;N$12:N882)*ROW(N$12:N882),ROW($S$12))&gt;=MAX((1=Z$12:Z882)*ROW(Z$12:Z882),ROW($T$12))),MIN(LOOKUP(,-1/($Z$12:Z883=1),$C$12:C883)+LOOKUP(,-1/($Z$12:Z883=1),$H$12:H883)-IF(N882&lt;&gt;0,0,SUM(INDIRECT("T"&amp;(MAX((0&lt;&gt;N$12:N882)*ROW(N$12:N882)+1,ROW($T$12))&amp;":T"&amp;(ROW()-1))))),Первоначальный[[#This Row],[Полученный платеж]]+Y882),
AND(S882=0,Первоначальный[[#This Row],[Дата платежа из графика]]=1),MIN(LOOKUP(,-1/($Z$12:Z883=1),$C$12:C883)+LOOKUP(,-1/($Z$12:Z883=1),$H$12:H883)-IF(Z882=1,0,SUM(INDIRECT("T"&amp;(MAX((1=Z$12:Z882)*ROW(Z$12:Z882)+1,ROW($T$12))&amp;":T"&amp;(ROW()-1))))),Первоначальный[[#This Row],[Полученный платеж]]+Y882),
AND(Z882&gt;0,Первоначальный[[#This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платеж]]+Y882),
AND(S882&gt;0,MAX((0&lt;&gt;S$12:S882)*ROW(S$12:S882),ROW($S$12))&gt;=MAX((1=Z$12:Z882)*ROW(Z$12:Z882),ROW($T$12)),TYPE(VLOOKUP("Да",(INDIRECT("AA"&amp;(MAX((1=Z$12:Z882)*ROW(Z$12:Z882),ROW($T$12))&amp;":AA"&amp;(ROW()-1)))),1,0))=16),MIN(LOOKUP(,-1/($Z$12:Z883=1),$C$12:C883)+LOOKUP(,-1/($Z$12:Z883=1),$H$12:H883)-SUM(INDIRECT("T"&amp;(MAX((1=Z$12:Z882)*ROW(Z$12:Z882),ROW($T$12))&amp;":T"&amp;(ROW()-1)))),Первоначальный[[#This Row],[Полученный платеж]]+Y882),
S882&gt;0,MIN(LOOKUP(,-1/($Z$12:Z883=1),$C$12:C883)+LOOKUP(,-1/($Z$12:Z883=1),$H$12:H883)-IF(Z882=1,0,SUM(INDIRECT("T"&amp;(MAX((1=Z$12:Z882)*ROW(Z$12:Z882)+1,ROW($T$12))&amp;":T"&amp;(ROW()-1))))),Первоначальный[[#This Row],[Полученный платеж]]+Y882)
)
)
)</f>
        <v>0</v>
      </c>
      <c r="U88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платеж]]+Y882-Первоначальный[[#This Row],[Полученный платёж по процентам]])</f>
        <v>0</v>
      </c>
      <c r="V883" s="55">
        <f t="shared" ca="1" si="157"/>
        <v>0</v>
      </c>
      <c r="W883" s="55" cm="1">
        <f t="array" aca="1" ref="W883" ca="1">IF(Первоначальный[[#This Row],[Итого остаток на начало периода]]&lt;1,0,
_xlfn.IFS(
AND(TYPE(VLOOKUP(1,$Z$12:Z883,1,0))=16,Первоначальный[[#This Row],[Досрочное погашение (да/"")]]=""),0,
AND(S882=0,Первоначальный[[#This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платеж]]+Y882-SUM(Первоначальный[[#This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комиссиям]]),VLOOKUP(LOOKUP(,-1/($Z$12:Z883=1),$A$12:A883),График[[Срок конец]:[Возврат основной суммы долга]],3,0)),
AND(S882=0,Первоначальный[[#This Row],[Дата платежа из графика]]="",Первоначальный[[#This Row],[Досрочное погашение (да/"")]]&lt;&gt;"Да"),0,
AND(S882=0,Первоначальный[[#This Row],[Досрочное погашение (да/"")]]=""),MIN(Первоначальный[[#This Row],[Полученный платеж]]+Y882-SUM(Первоначальный[[#This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комиссиям]]),VLOOKUP(LOOKUP(,-1/($Z$12:Z883=1),$A$12:A883),График[[Срок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платеж]]+Y882-SUM(Первоначальный[[#This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S882&gt;0,MIN(Первоначальный[[#This Row],[Полученный платеж]]+Y882-SUM(Первоначальный[[#This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комиссиям]]),SUM(INDIRECT("M"&amp;(MAX((1=S$12:S882)*ROW(S$12:S882),ROW($W$12))&amp;":M"&amp;(ROW()))))-SUM(INDIRECT("W"&amp;(MAX((1=S$12:S882)*ROW(S$12:S882),ROW($W$12))&amp;":W"&amp;(ROW()-1)))))
)
)</f>
        <v>0</v>
      </c>
      <c r="X883" s="55">
        <f t="shared" ca="1" si="158"/>
        <v>0</v>
      </c>
      <c r="Y883" s="101">
        <f t="shared" ca="1" si="165"/>
        <v>0</v>
      </c>
      <c r="Z883" s="133" t="str">
        <f>IF(TYPE((VLOOKUP(Первоначальный[[#This Row],[Дата платежа]],График[Срок конец],1,0)))=16,"",1)</f>
        <v/>
      </c>
      <c r="AA883" s="57"/>
      <c r="AB883" s="134"/>
      <c r="AC88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8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63247.839999999895</v>
      </c>
      <c r="AE88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2737.5599999999931</v>
      </c>
      <c r="AF88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8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150519.77405409823</v>
      </c>
      <c r="AH883" s="55"/>
      <c r="AI883" s="55"/>
      <c r="AJ883" s="55"/>
      <c r="AK883" s="101">
        <f t="shared" ca="1" si="166"/>
        <v>366138.51405409811</v>
      </c>
      <c r="AL883" s="129">
        <f t="array" ref="AL883">MAX((УслРестрактов[Характеристика]="Дата реструктуризации")*(УслРестрактов[Значение]=Первоначальный!$A883),0)</f>
        <v>0</v>
      </c>
    </row>
    <row r="884" spans="1:38" x14ac:dyDescent="0.25">
      <c r="A884" s="97">
        <f t="shared" si="159"/>
        <v>45015</v>
      </c>
      <c r="B884" s="100">
        <f t="shared" ca="1" si="160"/>
        <v>149633.34</v>
      </c>
      <c r="C884" s="55">
        <f t="shared" ca="1" si="169"/>
        <v>63247.839999999895</v>
      </c>
      <c r="D884" s="55">
        <f t="shared" ca="1" si="169"/>
        <v>2737.5599999999931</v>
      </c>
      <c r="E884" s="55">
        <f t="shared" ca="1" si="161"/>
        <v>0</v>
      </c>
      <c r="F884" s="55">
        <f t="shared" ca="1" si="162"/>
        <v>150519.77405409823</v>
      </c>
      <c r="G884" s="101">
        <f t="shared" ca="1" si="163"/>
        <v>366138.51405409811</v>
      </c>
      <c r="H884" s="100">
        <f ca="1">ROUND($B884*VLOOKUP($A884,$A$1:$B$10,2,1)/(365+IF(MOD(YEAR($A884),4),0,1)*($A884-$A883)),2)-Первоначальный[[#This Row],[Проценты на просроченный платеж по ОД за период]]</f>
        <v>74.19</v>
      </c>
      <c r="I884" s="55">
        <f t="shared" ca="1" si="164"/>
        <v>7.39</v>
      </c>
      <c r="J884" s="55">
        <v>0</v>
      </c>
      <c r="K884" s="55">
        <f t="shared" ca="1" si="167"/>
        <v>376.54350327868843</v>
      </c>
      <c r="L884" s="55">
        <v>0</v>
      </c>
      <c r="M884" s="113">
        <f>SUMIFS(График[Возврат основной суммы долга],График[Дата с учетом нерабочих дней],$A884)</f>
        <v>0</v>
      </c>
      <c r="N884" s="56">
        <f>SUMIFS(График[Возврат начисленных %],График[Дата с учетом нерабочих дней],$A884)</f>
        <v>0</v>
      </c>
      <c r="O884" s="101">
        <v>0</v>
      </c>
      <c r="P884" s="100" cm="1">
        <f t="array" aca="1" ref="P884" ca="1">MAX(IF(AA883="Да",0,SUM(INDIRECT("M"&amp;(MAX(("Да"=AA$12:AA883)*ROW(AA$12:AA883)+1,ROW($P$12))&amp;":M"&amp;(ROW()))))-SUM(INDIRECT("W"&amp;(MAX(("Да"=AA$12:AA883)*ROW(AA$12:AA883)+1,ROW($P$12))&amp;":W"&amp;(ROW()))))),0)</f>
        <v>13546.79</v>
      </c>
      <c r="Q884" s="99">
        <f ca="1">MAX(SUM($N$13:N884)-SUM($T$13:T884),0)</f>
        <v>61761.91065573768</v>
      </c>
      <c r="R884" s="99">
        <f ca="1">Первоначальный[[#This Row],[Просроченный платеж по ОД]]+Первоначальный[[#This Row],[Просроченный платеж по процентам]]</f>
        <v>75308.700655737688</v>
      </c>
      <c r="S884" s="120">
        <f ca="1">IF(Первоначальный[[#This Row],[Просроченный платеж]]&lt;1,0,S883+1)</f>
        <v>780</v>
      </c>
      <c r="T884" s="100" cm="1">
        <f t="array" aca="1" ref="T884" ca="1">IF(Первоначальный[[#This Row],[Итого остаток на начало периода]]&lt;1,0,
IF(
AND(TYPE(VLOOKUP(1,$Z$12:Z884,1,0))=16,Первоначальный[[#This Row],[Досрочное погашение (да/"")]]=""),0,
_xlfn.IFS(AND(S883=0,Первоначальный[[#This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платеж]]&lt;&gt;0),MIN(LOOKUP(,-1/($Z$12:Z884=1),$C$12:C884)+LOOKUP(,-1/($Z$12:Z884=1),$H$12:H884),Первоначальный[[#This Row],[Полученный платеж]]+Y883),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платеж]]+Y883,SUM(Первоначальный[[#This Row],[Остаток процентов на начало периода]],Первоначальный[[#This Row],[Проценты за период]])),
AND(S883=0,Первоначальный[[#This Row],[Дата платежа из графика]]=""),0,
AND(S883=0,Первоначальный[[#This Row],[Дата платежа из графика]]=1,MAX((0&lt;&gt;S$12:S883)*ROW(S$12:S883),ROW($S$12))&gt;=MAX((1=Z$12:Z883)*ROW(Z$12:Z883),ROW($T$12)),TYPE(VLOOKUP("Да",(INDIRECT("AA"&amp;(MAX((1=Z$12:Z883)*ROW(Z$12:Z883),ROW($T$12))&amp;":AA"&amp;(ROW()-1)))),1,0))=16),MIN(LOOKUP(,-1/($Z$12:Z884=1),$C$12:C884)+LOOKUP(,-1/($Z$12:Z884=1),$H$12:H884),Первоначальный[[#This Row],[Полученный платеж]]+Y883),
AND(S883=0,TYPE(VLOOKUP("Да",(INDIRECT("AA"&amp;(MAX((1=Z$12:Z883)*ROW(Z$12:Z883),ROW($T$12))&amp;":AA"&amp;(ROW()-1)))),1,0))&lt;&gt;16),MIN(LOOKUP(,-1/($Z$12:Z884=1),$C$12:C884)+LOOKUP(,-1/($Z$12:Z884=1),$H$12:H884)-IF(AA883="Да",0,SUM(INDIRECT("T"&amp;(MAX(("Да"=AA$12:AA883)*ROW(AA$12:AA883)+1,ROW($T$12))&amp;":T"&amp;(ROW()-1))))),Первоначальный[[#This Row],[Полученный платеж]]+Y883),
AND(S883=0,MAX((0&lt;&gt;N$12:N883)*ROW(N$12:N883),ROW($S$12))&gt;=MAX((1=Z$12:Z883)*ROW(Z$12:Z883),ROW($T$12))),MIN(LOOKUP(,-1/($Z$12:Z884=1),$C$12:C884)+LOOKUP(,-1/($Z$12:Z884=1),$H$12:H884)-IF(N883&lt;&gt;0,0,SUM(INDIRECT("T"&amp;(MAX((0&lt;&gt;N$12:N883)*ROW(N$12:N883)+1,ROW($T$12))&amp;":T"&amp;(ROW()-1))))),Первоначальный[[#This Row],[Полученный платеж]]+Y883),
AND(S883=0,Первоначальный[[#This Row],[Дата платежа из графика]]=1),MIN(LOOKUP(,-1/($Z$12:Z884=1),$C$12:C884)+LOOKUP(,-1/($Z$12:Z884=1),$H$12:H884)-IF(Z883=1,0,SUM(INDIRECT("T"&amp;(MAX((1=Z$12:Z883)*ROW(Z$12:Z883)+1,ROW($T$12))&amp;":T"&amp;(ROW()-1))))),Первоначальный[[#This Row],[Полученный платеж]]+Y883),
AND(Z883&gt;0,Первоначальный[[#This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платеж]]+Y883),
AND(S883&gt;0,MAX((0&lt;&gt;S$12:S883)*ROW(S$12:S883),ROW($S$12))&gt;=MAX((1=Z$12:Z883)*ROW(Z$12:Z883),ROW($T$12)),TYPE(VLOOKUP("Да",(INDIRECT("AA"&amp;(MAX((1=Z$12:Z883)*ROW(Z$12:Z883),ROW($T$12))&amp;":AA"&amp;(ROW()-1)))),1,0))=16),MIN(LOOKUP(,-1/($Z$12:Z884=1),$C$12:C884)+LOOKUP(,-1/($Z$12:Z884=1),$H$12:H884)-SUM(INDIRECT("T"&amp;(MAX((1=Z$12:Z883)*ROW(Z$12:Z883),ROW($T$12))&amp;":T"&amp;(ROW()-1)))),Первоначальный[[#This Row],[Полученный платеж]]+Y883),
S883&gt;0,MIN(LOOKUP(,-1/($Z$12:Z884=1),$C$12:C884)+LOOKUP(,-1/($Z$12:Z884=1),$H$12:H884)-IF(Z883=1,0,SUM(INDIRECT("T"&amp;(MAX((1=Z$12:Z883)*ROW(Z$12:Z883)+1,ROW($T$12))&amp;":T"&amp;(ROW()-1))))),Первоначальный[[#This Row],[Полученный платеж]]+Y883)
)
)
)</f>
        <v>0</v>
      </c>
      <c r="U88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платеж]]+Y883-Первоначальный[[#This Row],[Полученный платёж по процентам]])</f>
        <v>0</v>
      </c>
      <c r="V884" s="55">
        <f t="shared" ca="1" si="157"/>
        <v>0</v>
      </c>
      <c r="W884" s="55" cm="1">
        <f t="array" aca="1" ref="W884" ca="1">IF(Первоначальный[[#This Row],[Итого остаток на начало периода]]&lt;1,0,
_xlfn.IFS(
AND(TYPE(VLOOKUP(1,$Z$12:Z884,1,0))=16,Первоначальный[[#This Row],[Досрочное погашение (да/"")]]=""),0,
AND(S883=0,Первоначальный[[#This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платеж]]+Y883-SUM(Первоначальный[[#This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комиссиям]]),VLOOKUP(LOOKUP(,-1/($Z$12:Z884=1),$A$12:A884),График[[Срок конец]:[Возврат основной суммы долга]],3,0)),
AND(S883=0,Первоначальный[[#This Row],[Дата платежа из графика]]="",Первоначальный[[#This Row],[Досрочное погашение (да/"")]]&lt;&gt;"Да"),0,
AND(S883=0,Первоначальный[[#This Row],[Досрочное погашение (да/"")]]=""),MIN(Первоначальный[[#This Row],[Полученный платеж]]+Y883-SUM(Первоначальный[[#This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комиссиям]]),VLOOKUP(LOOKUP(,-1/($Z$12:Z884=1),$A$12:A884),График[[Срок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платеж]]+Y883-SUM(Первоначальный[[#This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S883&gt;0,MIN(Первоначальный[[#This Row],[Полученный платеж]]+Y883-SUM(Первоначальный[[#This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комиссиям]]),SUM(INDIRECT("M"&amp;(MAX((1=S$12:S883)*ROW(S$12:S883),ROW($W$12))&amp;":M"&amp;(ROW()))))-SUM(INDIRECT("W"&amp;(MAX((1=S$12:S883)*ROW(S$12:S883),ROW($W$12))&amp;":W"&amp;(ROW()-1)))))
)
)</f>
        <v>0</v>
      </c>
      <c r="X884" s="55">
        <f t="shared" ca="1" si="158"/>
        <v>0</v>
      </c>
      <c r="Y884" s="101">
        <f t="shared" ca="1" si="165"/>
        <v>0</v>
      </c>
      <c r="Z884" s="133" t="str">
        <f>IF(TYPE((VLOOKUP(Первоначальный[[#This Row],[Дата платежа]],График[Срок конец],1,0)))=16,"",1)</f>
        <v/>
      </c>
      <c r="AA884" s="57"/>
      <c r="AB884" s="134"/>
      <c r="AC88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8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63322.029999999897</v>
      </c>
      <c r="AE88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2744.949999999993</v>
      </c>
      <c r="AF88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8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150896.31755737693</v>
      </c>
      <c r="AH884" s="55"/>
      <c r="AI884" s="55"/>
      <c r="AJ884" s="55"/>
      <c r="AK884" s="101">
        <f t="shared" ca="1" si="166"/>
        <v>366596.63755737676</v>
      </c>
      <c r="AL884" s="129">
        <f t="array" ref="AL884">MAX((УслРестрактов[Характеристика]="Дата реструктуризации")*(УслРестрактов[Значение]=Первоначальный!$A884),0)</f>
        <v>0</v>
      </c>
    </row>
    <row r="885" spans="1:38" x14ac:dyDescent="0.25">
      <c r="A885" s="97">
        <f t="shared" si="159"/>
        <v>45016</v>
      </c>
      <c r="B885" s="100">
        <f t="shared" ca="1" si="160"/>
        <v>149633.34</v>
      </c>
      <c r="C885" s="55">
        <f t="shared" ca="1" si="169"/>
        <v>63322.029999999897</v>
      </c>
      <c r="D885" s="55">
        <f t="shared" ca="1" si="169"/>
        <v>2744.949999999993</v>
      </c>
      <c r="E885" s="55">
        <f t="shared" ca="1" si="161"/>
        <v>0</v>
      </c>
      <c r="F885" s="55">
        <f t="shared" ca="1" si="162"/>
        <v>150896.31755737693</v>
      </c>
      <c r="G885" s="101">
        <f t="shared" ca="1" si="163"/>
        <v>366596.63755737676</v>
      </c>
      <c r="H885" s="100">
        <f ca="1">ROUND($B885*VLOOKUP($A885,$A$1:$B$10,2,1)/(365+IF(MOD(YEAR($A885),4),0,1)*($A885-$A884)),2)-Первоначальный[[#This Row],[Проценты на просроченный платеж по ОД за период]]</f>
        <v>74.19</v>
      </c>
      <c r="I885" s="55">
        <f t="shared" ca="1" si="164"/>
        <v>7.39</v>
      </c>
      <c r="J885" s="55">
        <v>0</v>
      </c>
      <c r="K885" s="55">
        <f t="shared" ca="1" si="167"/>
        <v>376.54350327868843</v>
      </c>
      <c r="L885" s="55">
        <v>0</v>
      </c>
      <c r="M885" s="113">
        <f>SUMIFS(График[Возврат основной суммы долга],График[Дата с учетом нерабочих дней],$A885)</f>
        <v>0</v>
      </c>
      <c r="N885" s="56">
        <f>SUMIFS(График[Возврат начисленных %],График[Дата с учетом нерабочих дней],$A885)</f>
        <v>0</v>
      </c>
      <c r="O885" s="101">
        <v>0</v>
      </c>
      <c r="P885" s="100" cm="1">
        <f t="array" aca="1" ref="P885" ca="1">MAX(IF(AA884="Да",0,SUM(INDIRECT("M"&amp;(MAX(("Да"=AA$12:AA884)*ROW(AA$12:AA884)+1,ROW($P$12))&amp;":M"&amp;(ROW()))))-SUM(INDIRECT("W"&amp;(MAX(("Да"=AA$12:AA884)*ROW(AA$12:AA884)+1,ROW($P$12))&amp;":W"&amp;(ROW()))))),0)</f>
        <v>13546.79</v>
      </c>
      <c r="Q885" s="99">
        <f ca="1">MAX(SUM($N$13:N885)-SUM($T$13:T885),0)</f>
        <v>61761.91065573768</v>
      </c>
      <c r="R885" s="99">
        <f ca="1">Первоначальный[[#This Row],[Просроченный платеж по ОД]]+Первоначальный[[#This Row],[Просроченный платеж по процентам]]</f>
        <v>75308.700655737688</v>
      </c>
      <c r="S885" s="120">
        <f ca="1">IF(Первоначальный[[#This Row],[Просроченный платеж]]&lt;1,0,S884+1)</f>
        <v>781</v>
      </c>
      <c r="T885" s="100" cm="1">
        <f t="array" aca="1" ref="T885" ca="1">IF(Первоначальный[[#This Row],[Итого остаток на начало периода]]&lt;1,0,
IF(
AND(TYPE(VLOOKUP(1,$Z$12:Z885,1,0))=16,Первоначальный[[#This Row],[Досрочное погашение (да/"")]]=""),0,
_xlfn.IFS(AND(S884=0,Первоначальный[[#This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платеж]]&lt;&gt;0),MIN(LOOKUP(,-1/($Z$12:Z885=1),$C$12:C885)+LOOKUP(,-1/($Z$12:Z885=1),$H$12:H885),Первоначальный[[#This Row],[Полученный платеж]]+Y884),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платеж]]+Y884,SUM(Первоначальный[[#This Row],[Остаток процентов на начало периода]],Первоначальный[[#This Row],[Проценты за период]])),
AND(S884=0,Первоначальный[[#This Row],[Дата платежа из графика]]=""),0,
AND(S884=0,Первоначальный[[#This Row],[Дата платежа из графика]]=1,MAX((0&lt;&gt;S$12:S884)*ROW(S$12:S884),ROW($S$12))&gt;=MAX((1=Z$12:Z884)*ROW(Z$12:Z884),ROW($T$12)),TYPE(VLOOKUP("Да",(INDIRECT("AA"&amp;(MAX((1=Z$12:Z884)*ROW(Z$12:Z884),ROW($T$12))&amp;":AA"&amp;(ROW()-1)))),1,0))=16),MIN(LOOKUP(,-1/($Z$12:Z885=1),$C$12:C885)+LOOKUP(,-1/($Z$12:Z885=1),$H$12:H885),Первоначальный[[#This Row],[Полученный платеж]]+Y884),
AND(S884=0,TYPE(VLOOKUP("Да",(INDIRECT("AA"&amp;(MAX((1=Z$12:Z884)*ROW(Z$12:Z884),ROW($T$12))&amp;":AA"&amp;(ROW()-1)))),1,0))&lt;&gt;16),MIN(LOOKUP(,-1/($Z$12:Z885=1),$C$12:C885)+LOOKUP(,-1/($Z$12:Z885=1),$H$12:H885)-IF(AA884="Да",0,SUM(INDIRECT("T"&amp;(MAX(("Да"=AA$12:AA884)*ROW(AA$12:AA884)+1,ROW($T$12))&amp;":T"&amp;(ROW()-1))))),Первоначальный[[#This Row],[Полученный платеж]]+Y884),
AND(S884=0,MAX((0&lt;&gt;N$12:N884)*ROW(N$12:N884),ROW($S$12))&gt;=MAX((1=Z$12:Z884)*ROW(Z$12:Z884),ROW($T$12))),MIN(LOOKUP(,-1/($Z$12:Z885=1),$C$12:C885)+LOOKUP(,-1/($Z$12:Z885=1),$H$12:H885)-IF(N884&lt;&gt;0,0,SUM(INDIRECT("T"&amp;(MAX((0&lt;&gt;N$12:N884)*ROW(N$12:N884)+1,ROW($T$12))&amp;":T"&amp;(ROW()-1))))),Первоначальный[[#This Row],[Полученный платеж]]+Y884),
AND(S884=0,Первоначальный[[#This Row],[Дата платежа из графика]]=1),MIN(LOOKUP(,-1/($Z$12:Z885=1),$C$12:C885)+LOOKUP(,-1/($Z$12:Z885=1),$H$12:H885)-IF(Z884=1,0,SUM(INDIRECT("T"&amp;(MAX((1=Z$12:Z884)*ROW(Z$12:Z884)+1,ROW($T$12))&amp;":T"&amp;(ROW()-1))))),Первоначальный[[#This Row],[Полученный платеж]]+Y884),
AND(Z884&gt;0,Первоначальный[[#This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платеж]]+Y884),
AND(S884&gt;0,MAX((0&lt;&gt;S$12:S884)*ROW(S$12:S884),ROW($S$12))&gt;=MAX((1=Z$12:Z884)*ROW(Z$12:Z884),ROW($T$12)),TYPE(VLOOKUP("Да",(INDIRECT("AA"&amp;(MAX((1=Z$12:Z884)*ROW(Z$12:Z884),ROW($T$12))&amp;":AA"&amp;(ROW()-1)))),1,0))=16),MIN(LOOKUP(,-1/($Z$12:Z885=1),$C$12:C885)+LOOKUP(,-1/($Z$12:Z885=1),$H$12:H885)-SUM(INDIRECT("T"&amp;(MAX((1=Z$12:Z884)*ROW(Z$12:Z884),ROW($T$12))&amp;":T"&amp;(ROW()-1)))),Первоначальный[[#This Row],[Полученный платеж]]+Y884),
S884&gt;0,MIN(LOOKUP(,-1/($Z$12:Z885=1),$C$12:C885)+LOOKUP(,-1/($Z$12:Z885=1),$H$12:H885)-IF(Z884=1,0,SUM(INDIRECT("T"&amp;(MAX((1=Z$12:Z884)*ROW(Z$12:Z884)+1,ROW($T$12))&amp;":T"&amp;(ROW()-1))))),Первоначальный[[#This Row],[Полученный платеж]]+Y884)
)
)
)</f>
        <v>0</v>
      </c>
      <c r="U88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платеж]]+Y884-Первоначальный[[#This Row],[Полученный платёж по процентам]])</f>
        <v>0</v>
      </c>
      <c r="V885" s="55">
        <f t="shared" ca="1" si="157"/>
        <v>0</v>
      </c>
      <c r="W885" s="55" cm="1">
        <f t="array" aca="1" ref="W885" ca="1">IF(Первоначальный[[#This Row],[Итого остаток на начало периода]]&lt;1,0,
_xlfn.IFS(
AND(TYPE(VLOOKUP(1,$Z$12:Z885,1,0))=16,Первоначальный[[#This Row],[Досрочное погашение (да/"")]]=""),0,
AND(S884=0,Первоначальный[[#This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платеж]]+Y884-SUM(Первоначальный[[#This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комиссиям]]),VLOOKUP(LOOKUP(,-1/($Z$12:Z885=1),$A$12:A885),График[[Срок конец]:[Возврат основной суммы долга]],3,0)),
AND(S884=0,Первоначальный[[#This Row],[Дата платежа из графика]]="",Первоначальный[[#This Row],[Досрочное погашение (да/"")]]&lt;&gt;"Да"),0,
AND(S884=0,Первоначальный[[#This Row],[Досрочное погашение (да/"")]]=""),MIN(Первоначальный[[#This Row],[Полученный платеж]]+Y884-SUM(Первоначальный[[#This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комиссиям]]),VLOOKUP(LOOKUP(,-1/($Z$12:Z885=1),$A$12:A885),График[[Срок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платеж]]+Y884-SUM(Первоначальный[[#This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S884&gt;0,MIN(Первоначальный[[#This Row],[Полученный платеж]]+Y884-SUM(Первоначальный[[#This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комиссиям]]),SUM(INDIRECT("M"&amp;(MAX((1=S$12:S884)*ROW(S$12:S884),ROW($W$12))&amp;":M"&amp;(ROW()))))-SUM(INDIRECT("W"&amp;(MAX((1=S$12:S884)*ROW(S$12:S884),ROW($W$12))&amp;":W"&amp;(ROW()-1)))))
)
)</f>
        <v>0</v>
      </c>
      <c r="X885" s="55">
        <f t="shared" ca="1" si="158"/>
        <v>0</v>
      </c>
      <c r="Y885" s="101">
        <f t="shared" ca="1" si="165"/>
        <v>0</v>
      </c>
      <c r="Z885" s="133" t="str">
        <f>IF(TYPE((VLOOKUP(Первоначальный[[#This Row],[Дата платежа]],График[Срок конец],1,0)))=16,"",1)</f>
        <v/>
      </c>
      <c r="AA885" s="57"/>
      <c r="AB885" s="134"/>
      <c r="AC88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8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63396.219999999899</v>
      </c>
      <c r="AE88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2752.3399999999929</v>
      </c>
      <c r="AF88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8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151272.86106065562</v>
      </c>
      <c r="AH885" s="55"/>
      <c r="AI885" s="55"/>
      <c r="AJ885" s="55"/>
      <c r="AK885" s="101">
        <f t="shared" ca="1" si="166"/>
        <v>367054.76106065547</v>
      </c>
      <c r="AL885" s="129">
        <f t="array" ref="AL885">MAX((УслРестрактов[Характеристика]="Дата реструктуризации")*(УслРестрактов[Значение]=Первоначальный!$A885),0)</f>
        <v>0</v>
      </c>
    </row>
    <row r="886" spans="1:38" x14ac:dyDescent="0.25">
      <c r="A886" s="97">
        <f t="shared" si="159"/>
        <v>45017</v>
      </c>
      <c r="B886" s="100">
        <f t="shared" ca="1" si="160"/>
        <v>149633.34</v>
      </c>
      <c r="C886" s="55">
        <f t="shared" ca="1" si="169"/>
        <v>63396.219999999899</v>
      </c>
      <c r="D886" s="55">
        <f t="shared" ca="1" si="169"/>
        <v>2752.3399999999929</v>
      </c>
      <c r="E886" s="55">
        <f t="shared" ca="1" si="161"/>
        <v>0</v>
      </c>
      <c r="F886" s="55">
        <f t="shared" ca="1" si="162"/>
        <v>151272.86106065562</v>
      </c>
      <c r="G886" s="101">
        <f t="shared" ca="1" si="163"/>
        <v>367054.76106065547</v>
      </c>
      <c r="H886" s="100">
        <f ca="1">ROUND($B886*VLOOKUP($A886,$A$1:$B$10,2,1)/(365+IF(MOD(YEAR($A886),4),0,1)*($A886-$A885)),2)-Первоначальный[[#This Row],[Проценты на просроченный платеж по ОД за период]]</f>
        <v>74.19</v>
      </c>
      <c r="I886" s="55">
        <f t="shared" ca="1" si="164"/>
        <v>7.39</v>
      </c>
      <c r="J886" s="55">
        <v>0</v>
      </c>
      <c r="K886" s="55">
        <f t="shared" ca="1" si="167"/>
        <v>376.54350327868843</v>
      </c>
      <c r="L886" s="55">
        <v>0</v>
      </c>
      <c r="M886" s="113">
        <f>SUMIFS(График[Возврат основной суммы долга],График[Дата с учетом нерабочих дней],$A886)</f>
        <v>0</v>
      </c>
      <c r="N886" s="56">
        <f>SUMIFS(График[Возврат начисленных %],График[Дата с учетом нерабочих дней],$A886)</f>
        <v>0</v>
      </c>
      <c r="O886" s="101">
        <v>0</v>
      </c>
      <c r="P886" s="100" cm="1">
        <f t="array" aca="1" ref="P886" ca="1">MAX(IF(AA885="Да",0,SUM(INDIRECT("M"&amp;(MAX(("Да"=AA$12:AA885)*ROW(AA$12:AA885)+1,ROW($P$12))&amp;":M"&amp;(ROW()))))-SUM(INDIRECT("W"&amp;(MAX(("Да"=AA$12:AA885)*ROW(AA$12:AA885)+1,ROW($P$12))&amp;":W"&amp;(ROW()))))),0)</f>
        <v>13546.79</v>
      </c>
      <c r="Q886" s="99">
        <f ca="1">MAX(SUM($N$13:N886)-SUM($T$13:T886),0)</f>
        <v>61761.91065573768</v>
      </c>
      <c r="R886" s="99">
        <f ca="1">Первоначальный[[#This Row],[Просроченный платеж по ОД]]+Первоначальный[[#This Row],[Просроченный платеж по процентам]]</f>
        <v>75308.700655737688</v>
      </c>
      <c r="S886" s="120">
        <f ca="1">IF(Первоначальный[[#This Row],[Просроченный платеж]]&lt;1,0,S885+1)</f>
        <v>782</v>
      </c>
      <c r="T886" s="100" cm="1">
        <f t="array" aca="1" ref="T886" ca="1">IF(Первоначальный[[#This Row],[Итого остаток на начало периода]]&lt;1,0,
IF(
AND(TYPE(VLOOKUP(1,$Z$12:Z886,1,0))=16,Первоначальный[[#This Row],[Досрочное погашение (да/"")]]=""),0,
_xlfn.IFS(AND(S885=0,Первоначальный[[#This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платеж]]&lt;&gt;0),MIN(LOOKUP(,-1/($Z$12:Z886=1),$C$12:C886)+LOOKUP(,-1/($Z$12:Z886=1),$H$12:H886),Первоначальный[[#This Row],[Полученный платеж]]+Y885),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платеж]]+Y885,SUM(Первоначальный[[#This Row],[Остаток процентов на начало периода]],Первоначальный[[#This Row],[Проценты за период]])),
AND(S885=0,Первоначальный[[#This Row],[Дата платежа из графика]]=""),0,
AND(S885=0,Первоначальный[[#This Row],[Дата платежа из графика]]=1,MAX((0&lt;&gt;S$12:S885)*ROW(S$12:S885),ROW($S$12))&gt;=MAX((1=Z$12:Z885)*ROW(Z$12:Z885),ROW($T$12)),TYPE(VLOOKUP("Да",(INDIRECT("AA"&amp;(MAX((1=Z$12:Z885)*ROW(Z$12:Z885),ROW($T$12))&amp;":AA"&amp;(ROW()-1)))),1,0))=16),MIN(LOOKUP(,-1/($Z$12:Z886=1),$C$12:C886)+LOOKUP(,-1/($Z$12:Z886=1),$H$12:H886),Первоначальный[[#This Row],[Полученный платеж]]+Y885),
AND(S885=0,TYPE(VLOOKUP("Да",(INDIRECT("AA"&amp;(MAX((1=Z$12:Z885)*ROW(Z$12:Z885),ROW($T$12))&amp;":AA"&amp;(ROW()-1)))),1,0))&lt;&gt;16),MIN(LOOKUP(,-1/($Z$12:Z886=1),$C$12:C886)+LOOKUP(,-1/($Z$12:Z886=1),$H$12:H886)-IF(AA885="Да",0,SUM(INDIRECT("T"&amp;(MAX(("Да"=AA$12:AA885)*ROW(AA$12:AA885)+1,ROW($T$12))&amp;":T"&amp;(ROW()-1))))),Первоначальный[[#This Row],[Полученный платеж]]+Y885),
AND(S885=0,MAX((0&lt;&gt;N$12:N885)*ROW(N$12:N885),ROW($S$12))&gt;=MAX((1=Z$12:Z885)*ROW(Z$12:Z885),ROW($T$12))),MIN(LOOKUP(,-1/($Z$12:Z886=1),$C$12:C886)+LOOKUP(,-1/($Z$12:Z886=1),$H$12:H886)-IF(N885&lt;&gt;0,0,SUM(INDIRECT("T"&amp;(MAX((0&lt;&gt;N$12:N885)*ROW(N$12:N885)+1,ROW($T$12))&amp;":T"&amp;(ROW()-1))))),Первоначальный[[#This Row],[Полученный платеж]]+Y885),
AND(S885=0,Первоначальный[[#This Row],[Дата платежа из графика]]=1),MIN(LOOKUP(,-1/($Z$12:Z886=1),$C$12:C886)+LOOKUP(,-1/($Z$12:Z886=1),$H$12:H886)-IF(Z885=1,0,SUM(INDIRECT("T"&amp;(MAX((1=Z$12:Z885)*ROW(Z$12:Z885)+1,ROW($T$12))&amp;":T"&amp;(ROW()-1))))),Первоначальный[[#This Row],[Полученный платеж]]+Y885),
AND(Z885&gt;0,Первоначальный[[#This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платеж]]+Y885),
AND(S885&gt;0,MAX((0&lt;&gt;S$12:S885)*ROW(S$12:S885),ROW($S$12))&gt;=MAX((1=Z$12:Z885)*ROW(Z$12:Z885),ROW($T$12)),TYPE(VLOOKUP("Да",(INDIRECT("AA"&amp;(MAX((1=Z$12:Z885)*ROW(Z$12:Z885),ROW($T$12))&amp;":AA"&amp;(ROW()-1)))),1,0))=16),MIN(LOOKUP(,-1/($Z$12:Z886=1),$C$12:C886)+LOOKUP(,-1/($Z$12:Z886=1),$H$12:H886)-SUM(INDIRECT("T"&amp;(MAX((1=Z$12:Z885)*ROW(Z$12:Z885),ROW($T$12))&amp;":T"&amp;(ROW()-1)))),Первоначальный[[#This Row],[Полученный платеж]]+Y885),
S885&gt;0,MIN(LOOKUP(,-1/($Z$12:Z886=1),$C$12:C886)+LOOKUP(,-1/($Z$12:Z886=1),$H$12:H886)-IF(Z885=1,0,SUM(INDIRECT("T"&amp;(MAX((1=Z$12:Z885)*ROW(Z$12:Z885)+1,ROW($T$12))&amp;":T"&amp;(ROW()-1))))),Первоначальный[[#This Row],[Полученный платеж]]+Y885)
)
)
)</f>
        <v>0</v>
      </c>
      <c r="U88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платеж]]+Y885-Первоначальный[[#This Row],[Полученный платёж по процентам]])</f>
        <v>0</v>
      </c>
      <c r="V886" s="55">
        <f t="shared" ca="1" si="157"/>
        <v>0</v>
      </c>
      <c r="W886" s="55" cm="1">
        <f t="array" aca="1" ref="W886" ca="1">IF(Первоначальный[[#This Row],[Итого остаток на начало периода]]&lt;1,0,
_xlfn.IFS(
AND(TYPE(VLOOKUP(1,$Z$12:Z886,1,0))=16,Первоначальный[[#This Row],[Досрочное погашение (да/"")]]=""),0,
AND(S885=0,Первоначальный[[#This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платеж]]+Y885-SUM(Первоначальный[[#This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комиссиям]]),VLOOKUP(LOOKUP(,-1/($Z$12:Z886=1),$A$12:A886),График[[Срок конец]:[Возврат основной суммы долга]],3,0)),
AND(S885=0,Первоначальный[[#This Row],[Дата платежа из графика]]="",Первоначальный[[#This Row],[Досрочное погашение (да/"")]]&lt;&gt;"Да"),0,
AND(S885=0,Первоначальный[[#This Row],[Досрочное погашение (да/"")]]=""),MIN(Первоначальный[[#This Row],[Полученный платеж]]+Y885-SUM(Первоначальный[[#This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комиссиям]]),VLOOKUP(LOOKUP(,-1/($Z$12:Z886=1),$A$12:A886),График[[Срок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платеж]]+Y885-SUM(Первоначальный[[#This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S885&gt;0,MIN(Первоначальный[[#This Row],[Полученный платеж]]+Y885-SUM(Первоначальный[[#This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комиссиям]]),SUM(INDIRECT("M"&amp;(MAX((1=S$12:S885)*ROW(S$12:S885),ROW($W$12))&amp;":M"&amp;(ROW()))))-SUM(INDIRECT("W"&amp;(MAX((1=S$12:S885)*ROW(S$12:S885),ROW($W$12))&amp;":W"&amp;(ROW()-1)))))
)
)</f>
        <v>0</v>
      </c>
      <c r="X886" s="55">
        <f t="shared" ca="1" si="158"/>
        <v>0</v>
      </c>
      <c r="Y886" s="101">
        <f t="shared" ca="1" si="165"/>
        <v>0</v>
      </c>
      <c r="Z886" s="133" t="str">
        <f>IF(TYPE((VLOOKUP(Первоначальный[[#This Row],[Дата платежа]],График[Срок конец],1,0)))=16,"",1)</f>
        <v/>
      </c>
      <c r="AA886" s="57"/>
      <c r="AB886" s="134"/>
      <c r="AC88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8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63470.409999999902</v>
      </c>
      <c r="AE88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2759.7299999999927</v>
      </c>
      <c r="AF88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8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151649.40456393431</v>
      </c>
      <c r="AH886" s="55"/>
      <c r="AI886" s="55"/>
      <c r="AJ886" s="55"/>
      <c r="AK886" s="101">
        <f t="shared" ca="1" si="166"/>
        <v>367512.88456393417</v>
      </c>
      <c r="AL886" s="129">
        <f t="array" ref="AL886">MAX((УслРестрактов[Характеристика]="Дата реструктуризации")*(УслРестрактов[Значение]=Первоначальный!$A886),0)</f>
        <v>0</v>
      </c>
    </row>
    <row r="887" spans="1:38" x14ac:dyDescent="0.25">
      <c r="A887" s="97">
        <f t="shared" si="159"/>
        <v>45018</v>
      </c>
      <c r="B887" s="100">
        <f t="shared" ca="1" si="160"/>
        <v>149633.34</v>
      </c>
      <c r="C887" s="55">
        <f t="shared" ca="1" si="169"/>
        <v>63470.409999999902</v>
      </c>
      <c r="D887" s="55">
        <f t="shared" ca="1" si="169"/>
        <v>2759.7299999999927</v>
      </c>
      <c r="E887" s="55">
        <f t="shared" ca="1" si="161"/>
        <v>0</v>
      </c>
      <c r="F887" s="55">
        <f t="shared" ca="1" si="162"/>
        <v>151649.40456393431</v>
      </c>
      <c r="G887" s="101">
        <f t="shared" ca="1" si="163"/>
        <v>367512.88456393417</v>
      </c>
      <c r="H887" s="100">
        <f ca="1">ROUND($B887*VLOOKUP($A887,$A$1:$B$10,2,1)/(365+IF(MOD(YEAR($A887),4),0,1)*($A887-$A886)),2)-Первоначальный[[#This Row],[Проценты на просроченный платеж по ОД за период]]</f>
        <v>74.19</v>
      </c>
      <c r="I887" s="55">
        <f t="shared" ca="1" si="164"/>
        <v>7.39</v>
      </c>
      <c r="J887" s="55">
        <v>0</v>
      </c>
      <c r="K887" s="55">
        <f t="shared" ca="1" si="167"/>
        <v>376.54350327868843</v>
      </c>
      <c r="L887" s="55">
        <v>0</v>
      </c>
      <c r="M887" s="113">
        <f>SUMIFS(График[Возврат основной суммы долга],График[Дата с учетом нерабочих дней],$A887)</f>
        <v>0</v>
      </c>
      <c r="N887" s="56">
        <f>SUMIFS(График[Возврат начисленных %],График[Дата с учетом нерабочих дней],$A887)</f>
        <v>0</v>
      </c>
      <c r="O887" s="101">
        <v>0</v>
      </c>
      <c r="P887" s="100" cm="1">
        <f t="array" aca="1" ref="P887" ca="1">MAX(IF(AA886="Да",0,SUM(INDIRECT("M"&amp;(MAX(("Да"=AA$12:AA886)*ROW(AA$12:AA886)+1,ROW($P$12))&amp;":M"&amp;(ROW()))))-SUM(INDIRECT("W"&amp;(MAX(("Да"=AA$12:AA886)*ROW(AA$12:AA886)+1,ROW($P$12))&amp;":W"&amp;(ROW()))))),0)</f>
        <v>13546.79</v>
      </c>
      <c r="Q887" s="99">
        <f ca="1">MAX(SUM($N$13:N887)-SUM($T$13:T887),0)</f>
        <v>61761.91065573768</v>
      </c>
      <c r="R887" s="99">
        <f ca="1">Первоначальный[[#This Row],[Просроченный платеж по ОД]]+Первоначальный[[#This Row],[Просроченный платеж по процентам]]</f>
        <v>75308.700655737688</v>
      </c>
      <c r="S887" s="120">
        <f ca="1">IF(Первоначальный[[#This Row],[Просроченный платеж]]&lt;1,0,S886+1)</f>
        <v>783</v>
      </c>
      <c r="T887" s="100" cm="1">
        <f t="array" aca="1" ref="T887" ca="1">IF(Первоначальный[[#This Row],[Итого остаток на начало периода]]&lt;1,0,
IF(
AND(TYPE(VLOOKUP(1,$Z$12:Z887,1,0))=16,Первоначальный[[#This Row],[Досрочное погашение (да/"")]]=""),0,
_xlfn.IFS(AND(S886=0,Первоначальный[[#This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платеж]]&lt;&gt;0),MIN(LOOKUP(,-1/($Z$12:Z887=1),$C$12:C887)+LOOKUP(,-1/($Z$12:Z887=1),$H$12:H887),Первоначальный[[#This Row],[Полученный платеж]]+Y886),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платеж]]+Y886,SUM(Первоначальный[[#This Row],[Остаток процентов на начало периода]],Первоначальный[[#This Row],[Проценты за период]])),
AND(S886=0,Первоначальный[[#This Row],[Дата платежа из графика]]=""),0,
AND(S886=0,Первоначальный[[#This Row],[Дата платежа из графика]]=1,MAX((0&lt;&gt;S$12:S886)*ROW(S$12:S886),ROW($S$12))&gt;=MAX((1=Z$12:Z886)*ROW(Z$12:Z886),ROW($T$12)),TYPE(VLOOKUP("Да",(INDIRECT("AA"&amp;(MAX((1=Z$12:Z886)*ROW(Z$12:Z886),ROW($T$12))&amp;":AA"&amp;(ROW()-1)))),1,0))=16),MIN(LOOKUP(,-1/($Z$12:Z887=1),$C$12:C887)+LOOKUP(,-1/($Z$12:Z887=1),$H$12:H887),Первоначальный[[#This Row],[Полученный платеж]]+Y886),
AND(S886=0,TYPE(VLOOKUP("Да",(INDIRECT("AA"&amp;(MAX((1=Z$12:Z886)*ROW(Z$12:Z886),ROW($T$12))&amp;":AA"&amp;(ROW()-1)))),1,0))&lt;&gt;16),MIN(LOOKUP(,-1/($Z$12:Z887=1),$C$12:C887)+LOOKUP(,-1/($Z$12:Z887=1),$H$12:H887)-IF(AA886="Да",0,SUM(INDIRECT("T"&amp;(MAX(("Да"=AA$12:AA886)*ROW(AA$12:AA886)+1,ROW($T$12))&amp;":T"&amp;(ROW()-1))))),Первоначальный[[#This Row],[Полученный платеж]]+Y886),
AND(S886=0,MAX((0&lt;&gt;N$12:N886)*ROW(N$12:N886),ROW($S$12))&gt;=MAX((1=Z$12:Z886)*ROW(Z$12:Z886),ROW($T$12))),MIN(LOOKUP(,-1/($Z$12:Z887=1),$C$12:C887)+LOOKUP(,-1/($Z$12:Z887=1),$H$12:H887)-IF(N886&lt;&gt;0,0,SUM(INDIRECT("T"&amp;(MAX((0&lt;&gt;N$12:N886)*ROW(N$12:N886)+1,ROW($T$12))&amp;":T"&amp;(ROW()-1))))),Первоначальный[[#This Row],[Полученный платеж]]+Y886),
AND(S886=0,Первоначальный[[#This Row],[Дата платежа из графика]]=1),MIN(LOOKUP(,-1/($Z$12:Z887=1),$C$12:C887)+LOOKUP(,-1/($Z$12:Z887=1),$H$12:H887)-IF(Z886=1,0,SUM(INDIRECT("T"&amp;(MAX((1=Z$12:Z886)*ROW(Z$12:Z886)+1,ROW($T$12))&amp;":T"&amp;(ROW()-1))))),Первоначальный[[#This Row],[Полученный платеж]]+Y886),
AND(Z886&gt;0,Первоначальный[[#This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платеж]]+Y886),
AND(S886&gt;0,MAX((0&lt;&gt;S$12:S886)*ROW(S$12:S886),ROW($S$12))&gt;=MAX((1=Z$12:Z886)*ROW(Z$12:Z886),ROW($T$12)),TYPE(VLOOKUP("Да",(INDIRECT("AA"&amp;(MAX((1=Z$12:Z886)*ROW(Z$12:Z886),ROW($T$12))&amp;":AA"&amp;(ROW()-1)))),1,0))=16),MIN(LOOKUP(,-1/($Z$12:Z887=1),$C$12:C887)+LOOKUP(,-1/($Z$12:Z887=1),$H$12:H887)-SUM(INDIRECT("T"&amp;(MAX((1=Z$12:Z886)*ROW(Z$12:Z886),ROW($T$12))&amp;":T"&amp;(ROW()-1)))),Первоначальный[[#This Row],[Полученный платеж]]+Y886),
S886&gt;0,MIN(LOOKUP(,-1/($Z$12:Z887=1),$C$12:C887)+LOOKUP(,-1/($Z$12:Z887=1),$H$12:H887)-IF(Z886=1,0,SUM(INDIRECT("T"&amp;(MAX((1=Z$12:Z886)*ROW(Z$12:Z886)+1,ROW($T$12))&amp;":T"&amp;(ROW()-1))))),Первоначальный[[#This Row],[Полученный платеж]]+Y886)
)
)
)</f>
        <v>0</v>
      </c>
      <c r="U88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платеж]]+Y886-Первоначальный[[#This Row],[Полученный платёж по процентам]])</f>
        <v>0</v>
      </c>
      <c r="V887" s="55">
        <f t="shared" ca="1" si="157"/>
        <v>0</v>
      </c>
      <c r="W887" s="55" cm="1">
        <f t="array" aca="1" ref="W887" ca="1">IF(Первоначальный[[#This Row],[Итого остаток на начало периода]]&lt;1,0,
_xlfn.IFS(
AND(TYPE(VLOOKUP(1,$Z$12:Z887,1,0))=16,Первоначальный[[#This Row],[Досрочное погашение (да/"")]]=""),0,
AND(S886=0,Первоначальный[[#This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платеж]]+Y886-SUM(Первоначальный[[#This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комиссиям]]),VLOOKUP(LOOKUP(,-1/($Z$12:Z887=1),$A$12:A887),График[[Срок конец]:[Возврат основной суммы долга]],3,0)),
AND(S886=0,Первоначальный[[#This Row],[Дата платежа из графика]]="",Первоначальный[[#This Row],[Досрочное погашение (да/"")]]&lt;&gt;"Да"),0,
AND(S886=0,Первоначальный[[#This Row],[Досрочное погашение (да/"")]]=""),MIN(Первоначальный[[#This Row],[Полученный платеж]]+Y886-SUM(Первоначальный[[#This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комиссиям]]),VLOOKUP(LOOKUP(,-1/($Z$12:Z887=1),$A$12:A887),График[[Срок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платеж]]+Y886-SUM(Первоначальный[[#This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S886&gt;0,MIN(Первоначальный[[#This Row],[Полученный платеж]]+Y886-SUM(Первоначальный[[#This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комиссиям]]),SUM(INDIRECT("M"&amp;(MAX((1=S$12:S886)*ROW(S$12:S886),ROW($W$12))&amp;":M"&amp;(ROW()))))-SUM(INDIRECT("W"&amp;(MAX((1=S$12:S886)*ROW(S$12:S886),ROW($W$12))&amp;":W"&amp;(ROW()-1)))))
)
)</f>
        <v>0</v>
      </c>
      <c r="X887" s="55">
        <f t="shared" ca="1" si="158"/>
        <v>0</v>
      </c>
      <c r="Y887" s="101">
        <f t="shared" ca="1" si="165"/>
        <v>0</v>
      </c>
      <c r="Z887" s="133" t="str">
        <f>IF(TYPE((VLOOKUP(Первоначальный[[#This Row],[Дата платежа]],График[Срок конец],1,0)))=16,"",1)</f>
        <v/>
      </c>
      <c r="AA887" s="57"/>
      <c r="AB887" s="134"/>
      <c r="AC88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8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63544.599999999904</v>
      </c>
      <c r="AE88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2767.1199999999926</v>
      </c>
      <c r="AF88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8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152025.948067213</v>
      </c>
      <c r="AH887" s="55"/>
      <c r="AI887" s="55"/>
      <c r="AJ887" s="55"/>
      <c r="AK887" s="101">
        <f t="shared" ca="1" si="166"/>
        <v>367971.00806721288</v>
      </c>
      <c r="AL887" s="129">
        <f t="array" ref="AL887">MAX((УслРестрактов[Характеристика]="Дата реструктуризации")*(УслРестрактов[Значение]=Первоначальный!$A887),0)</f>
        <v>0</v>
      </c>
    </row>
    <row r="888" spans="1:38" x14ac:dyDescent="0.25">
      <c r="A888" s="97">
        <f t="shared" si="159"/>
        <v>45019</v>
      </c>
      <c r="B888" s="100">
        <f t="shared" ca="1" si="160"/>
        <v>149633.34</v>
      </c>
      <c r="C888" s="55">
        <f t="shared" ca="1" si="169"/>
        <v>63544.599999999904</v>
      </c>
      <c r="D888" s="55">
        <f t="shared" ca="1" si="169"/>
        <v>2767.1199999999926</v>
      </c>
      <c r="E888" s="55">
        <f t="shared" ca="1" si="161"/>
        <v>0</v>
      </c>
      <c r="F888" s="55">
        <f t="shared" ca="1" si="162"/>
        <v>152025.948067213</v>
      </c>
      <c r="G888" s="101">
        <f t="shared" ca="1" si="163"/>
        <v>367971.00806721288</v>
      </c>
      <c r="H888" s="100">
        <f ca="1">ROUND($B888*VLOOKUP($A888,$A$1:$B$10,2,1)/(365+IF(MOD(YEAR($A888),4),0,1)*($A888-$A887)),2)-Первоначальный[[#This Row],[Проценты на просроченный платеж по ОД за период]]</f>
        <v>74.19</v>
      </c>
      <c r="I888" s="55">
        <f t="shared" ca="1" si="164"/>
        <v>7.39</v>
      </c>
      <c r="J888" s="55">
        <v>0</v>
      </c>
      <c r="K888" s="55">
        <f t="shared" ca="1" si="167"/>
        <v>376.54350327868843</v>
      </c>
      <c r="L888" s="55">
        <v>0</v>
      </c>
      <c r="M888" s="113">
        <f>SUMIFS(График[Возврат основной суммы долга],График[Дата с учетом нерабочих дней],$A888)</f>
        <v>0</v>
      </c>
      <c r="N888" s="56">
        <f>SUMIFS(График[Возврат начисленных %],График[Дата с учетом нерабочих дней],$A888)</f>
        <v>0</v>
      </c>
      <c r="O888" s="101">
        <v>0</v>
      </c>
      <c r="P888" s="100" cm="1">
        <f t="array" aca="1" ref="P888" ca="1">MAX(IF(AA887="Да",0,SUM(INDIRECT("M"&amp;(MAX(("Да"=AA$12:AA887)*ROW(AA$12:AA887)+1,ROW($P$12))&amp;":M"&amp;(ROW()))))-SUM(INDIRECT("W"&amp;(MAX(("Да"=AA$12:AA887)*ROW(AA$12:AA887)+1,ROW($P$12))&amp;":W"&amp;(ROW()))))),0)</f>
        <v>13546.79</v>
      </c>
      <c r="Q888" s="99">
        <f ca="1">MAX(SUM($N$13:N888)-SUM($T$13:T888),0)</f>
        <v>61761.91065573768</v>
      </c>
      <c r="R888" s="99">
        <f ca="1">Первоначальный[[#This Row],[Просроченный платеж по ОД]]+Первоначальный[[#This Row],[Просроченный платеж по процентам]]</f>
        <v>75308.700655737688</v>
      </c>
      <c r="S888" s="120">
        <f ca="1">IF(Первоначальный[[#This Row],[Просроченный платеж]]&lt;1,0,S887+1)</f>
        <v>784</v>
      </c>
      <c r="T888" s="100" cm="1">
        <f t="array" aca="1" ref="T888" ca="1">IF(Первоначальный[[#This Row],[Итого остаток на начало периода]]&lt;1,0,
IF(
AND(TYPE(VLOOKUP(1,$Z$12:Z888,1,0))=16,Первоначальный[[#This Row],[Досрочное погашение (да/"")]]=""),0,
_xlfn.IFS(AND(S887=0,Первоначальный[[#This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платеж]]&lt;&gt;0),MIN(LOOKUP(,-1/($Z$12:Z888=1),$C$12:C888)+LOOKUP(,-1/($Z$12:Z888=1),$H$12:H888),Первоначальный[[#This Row],[Полученный платеж]]+Y887),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платеж]]+Y887,SUM(Первоначальный[[#This Row],[Остаток процентов на начало периода]],Первоначальный[[#This Row],[Проценты за период]])),
AND(S887=0,Первоначальный[[#This Row],[Дата платежа из графика]]=""),0,
AND(S887=0,Первоначальный[[#This Row],[Дата платежа из графика]]=1,MAX((0&lt;&gt;S$12:S887)*ROW(S$12:S887),ROW($S$12))&gt;=MAX((1=Z$12:Z887)*ROW(Z$12:Z887),ROW($T$12)),TYPE(VLOOKUP("Да",(INDIRECT("AA"&amp;(MAX((1=Z$12:Z887)*ROW(Z$12:Z887),ROW($T$12))&amp;":AA"&amp;(ROW()-1)))),1,0))=16),MIN(LOOKUP(,-1/($Z$12:Z888=1),$C$12:C888)+LOOKUP(,-1/($Z$12:Z888=1),$H$12:H888),Первоначальный[[#This Row],[Полученный платеж]]+Y887),
AND(S887=0,TYPE(VLOOKUP("Да",(INDIRECT("AA"&amp;(MAX((1=Z$12:Z887)*ROW(Z$12:Z887),ROW($T$12))&amp;":AA"&amp;(ROW()-1)))),1,0))&lt;&gt;16),MIN(LOOKUP(,-1/($Z$12:Z888=1),$C$12:C888)+LOOKUP(,-1/($Z$12:Z888=1),$H$12:H888)-IF(AA887="Да",0,SUM(INDIRECT("T"&amp;(MAX(("Да"=AA$12:AA887)*ROW(AA$12:AA887)+1,ROW($T$12))&amp;":T"&amp;(ROW()-1))))),Первоначальный[[#This Row],[Полученный платеж]]+Y887),
AND(S887=0,MAX((0&lt;&gt;N$12:N887)*ROW(N$12:N887),ROW($S$12))&gt;=MAX((1=Z$12:Z887)*ROW(Z$12:Z887),ROW($T$12))),MIN(LOOKUP(,-1/($Z$12:Z888=1),$C$12:C888)+LOOKUP(,-1/($Z$12:Z888=1),$H$12:H888)-IF(N887&lt;&gt;0,0,SUM(INDIRECT("T"&amp;(MAX((0&lt;&gt;N$12:N887)*ROW(N$12:N887)+1,ROW($T$12))&amp;":T"&amp;(ROW()-1))))),Первоначальный[[#This Row],[Полученный платеж]]+Y887),
AND(S887=0,Первоначальный[[#This Row],[Дата платежа из графика]]=1),MIN(LOOKUP(,-1/($Z$12:Z888=1),$C$12:C888)+LOOKUP(,-1/($Z$12:Z888=1),$H$12:H888)-IF(Z887=1,0,SUM(INDIRECT("T"&amp;(MAX((1=Z$12:Z887)*ROW(Z$12:Z887)+1,ROW($T$12))&amp;":T"&amp;(ROW()-1))))),Первоначальный[[#This Row],[Полученный платеж]]+Y887),
AND(Z887&gt;0,Первоначальный[[#This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платеж]]+Y887),
AND(S887&gt;0,MAX((0&lt;&gt;S$12:S887)*ROW(S$12:S887),ROW($S$12))&gt;=MAX((1=Z$12:Z887)*ROW(Z$12:Z887),ROW($T$12)),TYPE(VLOOKUP("Да",(INDIRECT("AA"&amp;(MAX((1=Z$12:Z887)*ROW(Z$12:Z887),ROW($T$12))&amp;":AA"&amp;(ROW()-1)))),1,0))=16),MIN(LOOKUP(,-1/($Z$12:Z888=1),$C$12:C888)+LOOKUP(,-1/($Z$12:Z888=1),$H$12:H888)-SUM(INDIRECT("T"&amp;(MAX((1=Z$12:Z887)*ROW(Z$12:Z887),ROW($T$12))&amp;":T"&amp;(ROW()-1)))),Первоначальный[[#This Row],[Полученный платеж]]+Y887),
S887&gt;0,MIN(LOOKUP(,-1/($Z$12:Z888=1),$C$12:C888)+LOOKUP(,-1/($Z$12:Z888=1),$H$12:H888)-IF(Z887=1,0,SUM(INDIRECT("T"&amp;(MAX((1=Z$12:Z887)*ROW(Z$12:Z887)+1,ROW($T$12))&amp;":T"&amp;(ROW()-1))))),Первоначальный[[#This Row],[Полученный платеж]]+Y887)
)
)
)</f>
        <v>0</v>
      </c>
      <c r="U88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платеж]]+Y887-Первоначальный[[#This Row],[Полученный платёж по процентам]])</f>
        <v>0</v>
      </c>
      <c r="V888" s="55">
        <f t="shared" ca="1" si="157"/>
        <v>0</v>
      </c>
      <c r="W888" s="55" cm="1">
        <f t="array" aca="1" ref="W888" ca="1">IF(Первоначальный[[#This Row],[Итого остаток на начало периода]]&lt;1,0,
_xlfn.IFS(
AND(TYPE(VLOOKUP(1,$Z$12:Z888,1,0))=16,Первоначальный[[#This Row],[Досрочное погашение (да/"")]]=""),0,
AND(S887=0,Первоначальный[[#This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платеж]]+Y887-SUM(Первоначальный[[#This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комиссиям]]),VLOOKUP(LOOKUP(,-1/($Z$12:Z888=1),$A$12:A888),График[[Срок конец]:[Возврат основной суммы долга]],3,0)),
AND(S887=0,Первоначальный[[#This Row],[Дата платежа из графика]]="",Первоначальный[[#This Row],[Досрочное погашение (да/"")]]&lt;&gt;"Да"),0,
AND(S887=0,Первоначальный[[#This Row],[Досрочное погашение (да/"")]]=""),MIN(Первоначальный[[#This Row],[Полученный платеж]]+Y887-SUM(Первоначальный[[#This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комиссиям]]),VLOOKUP(LOOKUP(,-1/($Z$12:Z888=1),$A$12:A888),График[[Срок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платеж]]+Y887-SUM(Первоначальный[[#This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S887&gt;0,MIN(Первоначальный[[#This Row],[Полученный платеж]]+Y887-SUM(Первоначальный[[#This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комиссиям]]),SUM(INDIRECT("M"&amp;(MAX((1=S$12:S887)*ROW(S$12:S887),ROW($W$12))&amp;":M"&amp;(ROW()))))-SUM(INDIRECT("W"&amp;(MAX((1=S$12:S887)*ROW(S$12:S887),ROW($W$12))&amp;":W"&amp;(ROW()-1)))))
)
)</f>
        <v>0</v>
      </c>
      <c r="X888" s="55">
        <f t="shared" ca="1" si="158"/>
        <v>0</v>
      </c>
      <c r="Y888" s="101">
        <f t="shared" ca="1" si="165"/>
        <v>0</v>
      </c>
      <c r="Z888" s="133" t="str">
        <f>IF(TYPE((VLOOKUP(Первоначальный[[#This Row],[Дата платежа]],График[Срок конец],1,0)))=16,"",1)</f>
        <v/>
      </c>
      <c r="AA888" s="57"/>
      <c r="AB888" s="134"/>
      <c r="AC88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8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63618.789999999906</v>
      </c>
      <c r="AE88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2774.5099999999925</v>
      </c>
      <c r="AF88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8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152402.49157049169</v>
      </c>
      <c r="AH888" s="55"/>
      <c r="AI888" s="55"/>
      <c r="AJ888" s="55"/>
      <c r="AK888" s="101">
        <f t="shared" ca="1" si="166"/>
        <v>368429.13157049159</v>
      </c>
      <c r="AL888" s="129">
        <f t="array" ref="AL888">MAX((УслРестрактов[Характеристика]="Дата реструктуризации")*(УслРестрактов[Значение]=Первоначальный!$A888),0)</f>
        <v>0</v>
      </c>
    </row>
    <row r="889" spans="1:38" x14ac:dyDescent="0.25">
      <c r="A889" s="97">
        <f t="shared" si="159"/>
        <v>45020</v>
      </c>
      <c r="B889" s="100">
        <f t="shared" ca="1" si="160"/>
        <v>149633.34</v>
      </c>
      <c r="C889" s="55">
        <f t="shared" ca="1" si="169"/>
        <v>63618.789999999906</v>
      </c>
      <c r="D889" s="55">
        <f t="shared" ca="1" si="169"/>
        <v>2774.5099999999925</v>
      </c>
      <c r="E889" s="55">
        <f t="shared" ca="1" si="161"/>
        <v>0</v>
      </c>
      <c r="F889" s="55">
        <f t="shared" ca="1" si="162"/>
        <v>152402.49157049169</v>
      </c>
      <c r="G889" s="101">
        <f t="shared" ca="1" si="163"/>
        <v>368429.13157049159</v>
      </c>
      <c r="H889" s="100">
        <f ca="1">ROUND($B889*VLOOKUP($A889,$A$1:$B$10,2,1)/(365+IF(MOD(YEAR($A889),4),0,1)*($A889-$A888)),2)-Первоначальный[[#This Row],[Проценты на просроченный платеж по ОД за период]]</f>
        <v>74.19</v>
      </c>
      <c r="I889" s="55">
        <f t="shared" ca="1" si="164"/>
        <v>7.39</v>
      </c>
      <c r="J889" s="55">
        <v>0</v>
      </c>
      <c r="K889" s="55">
        <f t="shared" ca="1" si="167"/>
        <v>376.54350327868843</v>
      </c>
      <c r="L889" s="55">
        <v>0</v>
      </c>
      <c r="M889" s="113">
        <f>SUMIFS(График[Возврат основной суммы долга],График[Дата с учетом нерабочих дней],$A889)</f>
        <v>0</v>
      </c>
      <c r="N889" s="56">
        <f>SUMIFS(График[Возврат начисленных %],График[Дата с учетом нерабочих дней],$A889)</f>
        <v>0</v>
      </c>
      <c r="O889" s="101">
        <v>0</v>
      </c>
      <c r="P889" s="100" cm="1">
        <f t="array" aca="1" ref="P889" ca="1">MAX(IF(AA888="Да",0,SUM(INDIRECT("M"&amp;(MAX(("Да"=AA$12:AA888)*ROW(AA$12:AA888)+1,ROW($P$12))&amp;":M"&amp;(ROW()))))-SUM(INDIRECT("W"&amp;(MAX(("Да"=AA$12:AA888)*ROW(AA$12:AA888)+1,ROW($P$12))&amp;":W"&amp;(ROW()))))),0)</f>
        <v>13546.79</v>
      </c>
      <c r="Q889" s="99">
        <f ca="1">MAX(SUM($N$13:N889)-SUM($T$13:T889),0)</f>
        <v>61761.91065573768</v>
      </c>
      <c r="R889" s="99">
        <f ca="1">Первоначальный[[#This Row],[Просроченный платеж по ОД]]+Первоначальный[[#This Row],[Просроченный платеж по процентам]]</f>
        <v>75308.700655737688</v>
      </c>
      <c r="S889" s="120">
        <f ca="1">IF(Первоначальный[[#This Row],[Просроченный платеж]]&lt;1,0,S888+1)</f>
        <v>785</v>
      </c>
      <c r="T889" s="100" cm="1">
        <f t="array" aca="1" ref="T889" ca="1">IF(Первоначальный[[#This Row],[Итого остаток на начало периода]]&lt;1,0,
IF(
AND(TYPE(VLOOKUP(1,$Z$12:Z889,1,0))=16,Первоначальный[[#This Row],[Досрочное погашение (да/"")]]=""),0,
_xlfn.IFS(AND(S888=0,Первоначальный[[#This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платеж]]&lt;&gt;0),MIN(LOOKUP(,-1/($Z$12:Z889=1),$C$12:C889)+LOOKUP(,-1/($Z$12:Z889=1),$H$12:H889),Первоначальный[[#This Row],[Полученный платеж]]+Y888),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платеж]]+Y888,SUM(Первоначальный[[#This Row],[Остаток процентов на начало периода]],Первоначальный[[#This Row],[Проценты за период]])),
AND(S888=0,Первоначальный[[#This Row],[Дата платежа из графика]]=""),0,
AND(S888=0,Первоначальный[[#This Row],[Дата платежа из графика]]=1,MAX((0&lt;&gt;S$12:S888)*ROW(S$12:S888),ROW($S$12))&gt;=MAX((1=Z$12:Z888)*ROW(Z$12:Z888),ROW($T$12)),TYPE(VLOOKUP("Да",(INDIRECT("AA"&amp;(MAX((1=Z$12:Z888)*ROW(Z$12:Z888),ROW($T$12))&amp;":AA"&amp;(ROW()-1)))),1,0))=16),MIN(LOOKUP(,-1/($Z$12:Z889=1),$C$12:C889)+LOOKUP(,-1/($Z$12:Z889=1),$H$12:H889),Первоначальный[[#This Row],[Полученный платеж]]+Y888),
AND(S888=0,TYPE(VLOOKUP("Да",(INDIRECT("AA"&amp;(MAX((1=Z$12:Z888)*ROW(Z$12:Z888),ROW($T$12))&amp;":AA"&amp;(ROW()-1)))),1,0))&lt;&gt;16),MIN(LOOKUP(,-1/($Z$12:Z889=1),$C$12:C889)+LOOKUP(,-1/($Z$12:Z889=1),$H$12:H889)-IF(AA888="Да",0,SUM(INDIRECT("T"&amp;(MAX(("Да"=AA$12:AA888)*ROW(AA$12:AA888)+1,ROW($T$12))&amp;":T"&amp;(ROW()-1))))),Первоначальный[[#This Row],[Полученный платеж]]+Y888),
AND(S888=0,MAX((0&lt;&gt;N$12:N888)*ROW(N$12:N888),ROW($S$12))&gt;=MAX((1=Z$12:Z888)*ROW(Z$12:Z888),ROW($T$12))),MIN(LOOKUP(,-1/($Z$12:Z889=1),$C$12:C889)+LOOKUP(,-1/($Z$12:Z889=1),$H$12:H889)-IF(N888&lt;&gt;0,0,SUM(INDIRECT("T"&amp;(MAX((0&lt;&gt;N$12:N888)*ROW(N$12:N888)+1,ROW($T$12))&amp;":T"&amp;(ROW()-1))))),Первоначальный[[#This Row],[Полученный платеж]]+Y888),
AND(S888=0,Первоначальный[[#This Row],[Дата платежа из графика]]=1),MIN(LOOKUP(,-1/($Z$12:Z889=1),$C$12:C889)+LOOKUP(,-1/($Z$12:Z889=1),$H$12:H889)-IF(Z888=1,0,SUM(INDIRECT("T"&amp;(MAX((1=Z$12:Z888)*ROW(Z$12:Z888)+1,ROW($T$12))&amp;":T"&amp;(ROW()-1))))),Первоначальный[[#This Row],[Полученный платеж]]+Y888),
AND(Z888&gt;0,Первоначальный[[#This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платеж]]+Y888),
AND(S888&gt;0,MAX((0&lt;&gt;S$12:S888)*ROW(S$12:S888),ROW($S$12))&gt;=MAX((1=Z$12:Z888)*ROW(Z$12:Z888),ROW($T$12)),TYPE(VLOOKUP("Да",(INDIRECT("AA"&amp;(MAX((1=Z$12:Z888)*ROW(Z$12:Z888),ROW($T$12))&amp;":AA"&amp;(ROW()-1)))),1,0))=16),MIN(LOOKUP(,-1/($Z$12:Z889=1),$C$12:C889)+LOOKUP(,-1/($Z$12:Z889=1),$H$12:H889)-SUM(INDIRECT("T"&amp;(MAX((1=Z$12:Z888)*ROW(Z$12:Z888),ROW($T$12))&amp;":T"&amp;(ROW()-1)))),Первоначальный[[#This Row],[Полученный платеж]]+Y888),
S888&gt;0,MIN(LOOKUP(,-1/($Z$12:Z889=1),$C$12:C889)+LOOKUP(,-1/($Z$12:Z889=1),$H$12:H889)-IF(Z888=1,0,SUM(INDIRECT("T"&amp;(MAX((1=Z$12:Z888)*ROW(Z$12:Z888)+1,ROW($T$12))&amp;":T"&amp;(ROW()-1))))),Первоначальный[[#This Row],[Полученный платеж]]+Y888)
)
)
)</f>
        <v>0</v>
      </c>
      <c r="U88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платеж]]+Y888-Первоначальный[[#This Row],[Полученный платёж по процентам]])</f>
        <v>0</v>
      </c>
      <c r="V889" s="55">
        <f t="shared" ca="1" si="157"/>
        <v>0</v>
      </c>
      <c r="W889" s="55" cm="1">
        <f t="array" aca="1" ref="W889" ca="1">IF(Первоначальный[[#This Row],[Итого остаток на начало периода]]&lt;1,0,
_xlfn.IFS(
AND(TYPE(VLOOKUP(1,$Z$12:Z889,1,0))=16,Первоначальный[[#This Row],[Досрочное погашение (да/"")]]=""),0,
AND(S888=0,Первоначальный[[#This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платеж]]+Y888-SUM(Первоначальный[[#This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комиссиям]]),VLOOKUP(LOOKUP(,-1/($Z$12:Z889=1),$A$12:A889),График[[Срок конец]:[Возврат основной суммы долга]],3,0)),
AND(S888=0,Первоначальный[[#This Row],[Дата платежа из графика]]="",Первоначальный[[#This Row],[Досрочное погашение (да/"")]]&lt;&gt;"Да"),0,
AND(S888=0,Первоначальный[[#This Row],[Досрочное погашение (да/"")]]=""),MIN(Первоначальный[[#This Row],[Полученный платеж]]+Y888-SUM(Первоначальный[[#This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комиссиям]]),VLOOKUP(LOOKUP(,-1/($Z$12:Z889=1),$A$12:A889),График[[Срок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платеж]]+Y888-SUM(Первоначальный[[#This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S888&gt;0,MIN(Первоначальный[[#This Row],[Полученный платеж]]+Y888-SUM(Первоначальный[[#This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комиссиям]]),SUM(INDIRECT("M"&amp;(MAX((1=S$12:S888)*ROW(S$12:S888),ROW($W$12))&amp;":M"&amp;(ROW()))))-SUM(INDIRECT("W"&amp;(MAX((1=S$12:S888)*ROW(S$12:S888),ROW($W$12))&amp;":W"&amp;(ROW()-1)))))
)
)</f>
        <v>0</v>
      </c>
      <c r="X889" s="55">
        <f t="shared" ca="1" si="158"/>
        <v>0</v>
      </c>
      <c r="Y889" s="101">
        <f t="shared" ca="1" si="165"/>
        <v>0</v>
      </c>
      <c r="Z889" s="133" t="str">
        <f>IF(TYPE((VLOOKUP(Первоначальный[[#This Row],[Дата платежа]],График[Срок конец],1,0)))=16,"",1)</f>
        <v/>
      </c>
      <c r="AA889" s="57"/>
      <c r="AB889" s="134"/>
      <c r="AC88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8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63692.979999999909</v>
      </c>
      <c r="AE88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2781.8999999999924</v>
      </c>
      <c r="AF88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8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152779.03507377038</v>
      </c>
      <c r="AH889" s="55"/>
      <c r="AI889" s="55"/>
      <c r="AJ889" s="55"/>
      <c r="AK889" s="101">
        <f t="shared" ca="1" si="166"/>
        <v>368887.2550737703</v>
      </c>
      <c r="AL889" s="129">
        <f t="array" ref="AL889">MAX((УслРестрактов[Характеристика]="Дата реструктуризации")*(УслРестрактов[Значение]=Первоначальный!$A889),0)</f>
        <v>0</v>
      </c>
    </row>
    <row r="890" spans="1:38" x14ac:dyDescent="0.25">
      <c r="A890" s="97">
        <f t="shared" si="159"/>
        <v>45021</v>
      </c>
      <c r="B890" s="100">
        <f t="shared" ca="1" si="160"/>
        <v>149633.34</v>
      </c>
      <c r="C890" s="55">
        <f t="shared" ca="1" si="169"/>
        <v>63692.979999999909</v>
      </c>
      <c r="D890" s="55">
        <f t="shared" ca="1" si="169"/>
        <v>2781.8999999999924</v>
      </c>
      <c r="E890" s="55">
        <f t="shared" ca="1" si="161"/>
        <v>0</v>
      </c>
      <c r="F890" s="55">
        <f t="shared" ca="1" si="162"/>
        <v>152779.03507377038</v>
      </c>
      <c r="G890" s="101">
        <f t="shared" ca="1" si="163"/>
        <v>368887.2550737703</v>
      </c>
      <c r="H890" s="100">
        <f ca="1">ROUND($B890*VLOOKUP($A890,$A$1:$B$10,2,1)/(365+IF(MOD(YEAR($A890),4),0,1)*($A890-$A889)),2)-Первоначальный[[#This Row],[Проценты на просроченный платеж по ОД за период]]</f>
        <v>74.19</v>
      </c>
      <c r="I890" s="55">
        <f t="shared" ca="1" si="164"/>
        <v>7.39</v>
      </c>
      <c r="J890" s="55">
        <v>0</v>
      </c>
      <c r="K890" s="55">
        <f t="shared" ca="1" si="167"/>
        <v>376.54350327868843</v>
      </c>
      <c r="L890" s="55">
        <v>0</v>
      </c>
      <c r="M890" s="113">
        <f>SUMIFS(График[Возврат основной суммы долга],График[Дата с учетом нерабочих дней],$A890)</f>
        <v>0</v>
      </c>
      <c r="N890" s="56">
        <f>SUMIFS(График[Возврат начисленных %],График[Дата с учетом нерабочих дней],$A890)</f>
        <v>0</v>
      </c>
      <c r="O890" s="101">
        <v>0</v>
      </c>
      <c r="P890" s="100" cm="1">
        <f t="array" aca="1" ref="P890" ca="1">MAX(IF(AA889="Да",0,SUM(INDIRECT("M"&amp;(MAX(("Да"=AA$12:AA889)*ROW(AA$12:AA889)+1,ROW($P$12))&amp;":M"&amp;(ROW()))))-SUM(INDIRECT("W"&amp;(MAX(("Да"=AA$12:AA889)*ROW(AA$12:AA889)+1,ROW($P$12))&amp;":W"&amp;(ROW()))))),0)</f>
        <v>13546.79</v>
      </c>
      <c r="Q890" s="99">
        <f ca="1">MAX(SUM($N$13:N890)-SUM($T$13:T890),0)</f>
        <v>61761.91065573768</v>
      </c>
      <c r="R890" s="99">
        <f ca="1">Первоначальный[[#This Row],[Просроченный платеж по ОД]]+Первоначальный[[#This Row],[Просроченный платеж по процентам]]</f>
        <v>75308.700655737688</v>
      </c>
      <c r="S890" s="120">
        <f ca="1">IF(Первоначальный[[#This Row],[Просроченный платеж]]&lt;1,0,S889+1)</f>
        <v>786</v>
      </c>
      <c r="T890" s="100" cm="1">
        <f t="array" aca="1" ref="T890" ca="1">IF(Первоначальный[[#This Row],[Итого остаток на начало периода]]&lt;1,0,
IF(
AND(TYPE(VLOOKUP(1,$Z$12:Z890,1,0))=16,Первоначальный[[#This Row],[Досрочное погашение (да/"")]]=""),0,
_xlfn.IFS(AND(S889=0,Первоначальный[[#This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платеж]]&lt;&gt;0),MIN(LOOKUP(,-1/($Z$12:Z890=1),$C$12:C890)+LOOKUP(,-1/($Z$12:Z890=1),$H$12:H890),Первоначальный[[#This Row],[Полученный платеж]]+Y889),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платеж]]+Y889,SUM(Первоначальный[[#This Row],[Остаток процентов на начало периода]],Первоначальный[[#This Row],[Проценты за период]])),
AND(S889=0,Первоначальный[[#This Row],[Дата платежа из графика]]=""),0,
AND(S889=0,Первоначальный[[#This Row],[Дата платежа из графика]]=1,MAX((0&lt;&gt;S$12:S889)*ROW(S$12:S889),ROW($S$12))&gt;=MAX((1=Z$12:Z889)*ROW(Z$12:Z889),ROW($T$12)),TYPE(VLOOKUP("Да",(INDIRECT("AA"&amp;(MAX((1=Z$12:Z889)*ROW(Z$12:Z889),ROW($T$12))&amp;":AA"&amp;(ROW()-1)))),1,0))=16),MIN(LOOKUP(,-1/($Z$12:Z890=1),$C$12:C890)+LOOKUP(,-1/($Z$12:Z890=1),$H$12:H890),Первоначальный[[#This Row],[Полученный платеж]]+Y889),
AND(S889=0,TYPE(VLOOKUP("Да",(INDIRECT("AA"&amp;(MAX((1=Z$12:Z889)*ROW(Z$12:Z889),ROW($T$12))&amp;":AA"&amp;(ROW()-1)))),1,0))&lt;&gt;16),MIN(LOOKUP(,-1/($Z$12:Z890=1),$C$12:C890)+LOOKUP(,-1/($Z$12:Z890=1),$H$12:H890)-IF(AA889="Да",0,SUM(INDIRECT("T"&amp;(MAX(("Да"=AA$12:AA889)*ROW(AA$12:AA889)+1,ROW($T$12))&amp;":T"&amp;(ROW()-1))))),Первоначальный[[#This Row],[Полученный платеж]]+Y889),
AND(S889=0,MAX((0&lt;&gt;N$12:N889)*ROW(N$12:N889),ROW($S$12))&gt;=MAX((1=Z$12:Z889)*ROW(Z$12:Z889),ROW($T$12))),MIN(LOOKUP(,-1/($Z$12:Z890=1),$C$12:C890)+LOOKUP(,-1/($Z$12:Z890=1),$H$12:H890)-IF(N889&lt;&gt;0,0,SUM(INDIRECT("T"&amp;(MAX((0&lt;&gt;N$12:N889)*ROW(N$12:N889)+1,ROW($T$12))&amp;":T"&amp;(ROW()-1))))),Первоначальный[[#This Row],[Полученный платеж]]+Y889),
AND(S889=0,Первоначальный[[#This Row],[Дата платежа из графика]]=1),MIN(LOOKUP(,-1/($Z$12:Z890=1),$C$12:C890)+LOOKUP(,-1/($Z$12:Z890=1),$H$12:H890)-IF(Z889=1,0,SUM(INDIRECT("T"&amp;(MAX((1=Z$12:Z889)*ROW(Z$12:Z889)+1,ROW($T$12))&amp;":T"&amp;(ROW()-1))))),Первоначальный[[#This Row],[Полученный платеж]]+Y889),
AND(Z889&gt;0,Первоначальный[[#This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платеж]]+Y889),
AND(S889&gt;0,MAX((0&lt;&gt;S$12:S889)*ROW(S$12:S889),ROW($S$12))&gt;=MAX((1=Z$12:Z889)*ROW(Z$12:Z889),ROW($T$12)),TYPE(VLOOKUP("Да",(INDIRECT("AA"&amp;(MAX((1=Z$12:Z889)*ROW(Z$12:Z889),ROW($T$12))&amp;":AA"&amp;(ROW()-1)))),1,0))=16),MIN(LOOKUP(,-1/($Z$12:Z890=1),$C$12:C890)+LOOKUP(,-1/($Z$12:Z890=1),$H$12:H890)-SUM(INDIRECT("T"&amp;(MAX((1=Z$12:Z889)*ROW(Z$12:Z889),ROW($T$12))&amp;":T"&amp;(ROW()-1)))),Первоначальный[[#This Row],[Полученный платеж]]+Y889),
S889&gt;0,MIN(LOOKUP(,-1/($Z$12:Z890=1),$C$12:C890)+LOOKUP(,-1/($Z$12:Z890=1),$H$12:H890)-IF(Z889=1,0,SUM(INDIRECT("T"&amp;(MAX((1=Z$12:Z889)*ROW(Z$12:Z889)+1,ROW($T$12))&amp;":T"&amp;(ROW()-1))))),Первоначальный[[#This Row],[Полученный платеж]]+Y889)
)
)
)</f>
        <v>0</v>
      </c>
      <c r="U89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платеж]]+Y889-Первоначальный[[#This Row],[Полученный платёж по процентам]])</f>
        <v>0</v>
      </c>
      <c r="V890" s="55">
        <f t="shared" ca="1" si="157"/>
        <v>0</v>
      </c>
      <c r="W890" s="55" cm="1">
        <f t="array" aca="1" ref="W890" ca="1">IF(Первоначальный[[#This Row],[Итого остаток на начало периода]]&lt;1,0,
_xlfn.IFS(
AND(TYPE(VLOOKUP(1,$Z$12:Z890,1,0))=16,Первоначальный[[#This Row],[Досрочное погашение (да/"")]]=""),0,
AND(S889=0,Первоначальный[[#This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платеж]]+Y889-SUM(Первоначальный[[#This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комиссиям]]),VLOOKUP(LOOKUP(,-1/($Z$12:Z890=1),$A$12:A890),График[[Срок конец]:[Возврат основной суммы долга]],3,0)),
AND(S889=0,Первоначальный[[#This Row],[Дата платежа из графика]]="",Первоначальный[[#This Row],[Досрочное погашение (да/"")]]&lt;&gt;"Да"),0,
AND(S889=0,Первоначальный[[#This Row],[Досрочное погашение (да/"")]]=""),MIN(Первоначальный[[#This Row],[Полученный платеж]]+Y889-SUM(Первоначальный[[#This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комиссиям]]),VLOOKUP(LOOKUP(,-1/($Z$12:Z890=1),$A$12:A890),График[[Срок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платеж]]+Y889-SUM(Первоначальный[[#This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S889&gt;0,MIN(Первоначальный[[#This Row],[Полученный платеж]]+Y889-SUM(Первоначальный[[#This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комиссиям]]),SUM(INDIRECT("M"&amp;(MAX((1=S$12:S889)*ROW(S$12:S889),ROW($W$12))&amp;":M"&amp;(ROW()))))-SUM(INDIRECT("W"&amp;(MAX((1=S$12:S889)*ROW(S$12:S889),ROW($W$12))&amp;":W"&amp;(ROW()-1)))))
)
)</f>
        <v>0</v>
      </c>
      <c r="X890" s="55">
        <f t="shared" ca="1" si="158"/>
        <v>0</v>
      </c>
      <c r="Y890" s="101">
        <f t="shared" ca="1" si="165"/>
        <v>0</v>
      </c>
      <c r="Z890" s="133" t="str">
        <f>IF(TYPE((VLOOKUP(Первоначальный[[#This Row],[Дата платежа]],График[Срок конец],1,0)))=16,"",1)</f>
        <v/>
      </c>
      <c r="AA890" s="57"/>
      <c r="AB890" s="134"/>
      <c r="AC89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9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63767.169999999911</v>
      </c>
      <c r="AE89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2789.2899999999922</v>
      </c>
      <c r="AF89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9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153155.57857704908</v>
      </c>
      <c r="AH890" s="55"/>
      <c r="AI890" s="55"/>
      <c r="AJ890" s="55"/>
      <c r="AK890" s="101">
        <f t="shared" ca="1" si="166"/>
        <v>369345.37857704895</v>
      </c>
      <c r="AL890" s="129">
        <f t="array" ref="AL890">MAX((УслРестрактов[Характеристика]="Дата реструктуризации")*(УслРестрактов[Значение]=Первоначальный!$A890),0)</f>
        <v>0</v>
      </c>
    </row>
    <row r="891" spans="1:38" x14ac:dyDescent="0.25">
      <c r="A891" s="97">
        <f t="shared" si="159"/>
        <v>45022</v>
      </c>
      <c r="B891" s="100">
        <f t="shared" ca="1" si="160"/>
        <v>149633.34</v>
      </c>
      <c r="C891" s="55">
        <f t="shared" ca="1" si="169"/>
        <v>63767.169999999911</v>
      </c>
      <c r="D891" s="55">
        <f t="shared" ca="1" si="169"/>
        <v>2789.2899999999922</v>
      </c>
      <c r="E891" s="55">
        <f t="shared" ca="1" si="161"/>
        <v>0</v>
      </c>
      <c r="F891" s="55">
        <f t="shared" ca="1" si="162"/>
        <v>153155.57857704908</v>
      </c>
      <c r="G891" s="101">
        <f t="shared" ca="1" si="163"/>
        <v>369345.37857704895</v>
      </c>
      <c r="H891" s="100">
        <f ca="1">ROUND($B891*VLOOKUP($A891,$A$1:$B$10,2,1)/(365+IF(MOD(YEAR($A891),4),0,1)*($A891-$A890)),2)-Первоначальный[[#This Row],[Проценты на просроченный платеж по ОД за период]]</f>
        <v>74.19</v>
      </c>
      <c r="I891" s="55">
        <f t="shared" ca="1" si="164"/>
        <v>7.39</v>
      </c>
      <c r="J891" s="55">
        <v>0</v>
      </c>
      <c r="K891" s="55">
        <f t="shared" ca="1" si="167"/>
        <v>376.54350327868843</v>
      </c>
      <c r="L891" s="55">
        <v>0</v>
      </c>
      <c r="M891" s="113">
        <f>SUMIFS(График[Возврат основной суммы долга],График[Дата с учетом нерабочих дней],$A891)</f>
        <v>0</v>
      </c>
      <c r="N891" s="56">
        <f>SUMIFS(График[Возврат начисленных %],График[Дата с учетом нерабочих дней],$A891)</f>
        <v>0</v>
      </c>
      <c r="O891" s="101">
        <v>0</v>
      </c>
      <c r="P891" s="100" cm="1">
        <f t="array" aca="1" ref="P891" ca="1">MAX(IF(AA890="Да",0,SUM(INDIRECT("M"&amp;(MAX(("Да"=AA$12:AA890)*ROW(AA$12:AA890)+1,ROW($P$12))&amp;":M"&amp;(ROW()))))-SUM(INDIRECT("W"&amp;(MAX(("Да"=AA$12:AA890)*ROW(AA$12:AA890)+1,ROW($P$12))&amp;":W"&amp;(ROW()))))),0)</f>
        <v>13546.79</v>
      </c>
      <c r="Q891" s="99">
        <f ca="1">MAX(SUM($N$13:N891)-SUM($T$13:T891),0)</f>
        <v>61761.91065573768</v>
      </c>
      <c r="R891" s="99">
        <f ca="1">Первоначальный[[#This Row],[Просроченный платеж по ОД]]+Первоначальный[[#This Row],[Просроченный платеж по процентам]]</f>
        <v>75308.700655737688</v>
      </c>
      <c r="S891" s="120">
        <f ca="1">IF(Первоначальный[[#This Row],[Просроченный платеж]]&lt;1,0,S890+1)</f>
        <v>787</v>
      </c>
      <c r="T891" s="100" cm="1">
        <f t="array" aca="1" ref="T891" ca="1">IF(Первоначальный[[#This Row],[Итого остаток на начало периода]]&lt;1,0,
IF(
AND(TYPE(VLOOKUP(1,$Z$12:Z891,1,0))=16,Первоначальный[[#This Row],[Досрочное погашение (да/"")]]=""),0,
_xlfn.IFS(AND(S890=0,Первоначальный[[#This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платеж]]&lt;&gt;0),MIN(LOOKUP(,-1/($Z$12:Z891=1),$C$12:C891)+LOOKUP(,-1/($Z$12:Z891=1),$H$12:H891),Первоначальный[[#This Row],[Полученный платеж]]+Y890),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платеж]]+Y890,SUM(Первоначальный[[#This Row],[Остаток процентов на начало периода]],Первоначальный[[#This Row],[Проценты за период]])),
AND(S890=0,Первоначальный[[#This Row],[Дата платежа из графика]]=""),0,
AND(S890=0,Первоначальный[[#This Row],[Дата платежа из графика]]=1,MAX((0&lt;&gt;S$12:S890)*ROW(S$12:S890),ROW($S$12))&gt;=MAX((1=Z$12:Z890)*ROW(Z$12:Z890),ROW($T$12)),TYPE(VLOOKUP("Да",(INDIRECT("AA"&amp;(MAX((1=Z$12:Z890)*ROW(Z$12:Z890),ROW($T$12))&amp;":AA"&amp;(ROW()-1)))),1,0))=16),MIN(LOOKUP(,-1/($Z$12:Z891=1),$C$12:C891)+LOOKUP(,-1/($Z$12:Z891=1),$H$12:H891),Первоначальный[[#This Row],[Полученный платеж]]+Y890),
AND(S890=0,TYPE(VLOOKUP("Да",(INDIRECT("AA"&amp;(MAX((1=Z$12:Z890)*ROW(Z$12:Z890),ROW($T$12))&amp;":AA"&amp;(ROW()-1)))),1,0))&lt;&gt;16),MIN(LOOKUP(,-1/($Z$12:Z891=1),$C$12:C891)+LOOKUP(,-1/($Z$12:Z891=1),$H$12:H891)-IF(AA890="Да",0,SUM(INDIRECT("T"&amp;(MAX(("Да"=AA$12:AA890)*ROW(AA$12:AA890)+1,ROW($T$12))&amp;":T"&amp;(ROW()-1))))),Первоначальный[[#This Row],[Полученный платеж]]+Y890),
AND(S890=0,MAX((0&lt;&gt;N$12:N890)*ROW(N$12:N890),ROW($S$12))&gt;=MAX((1=Z$12:Z890)*ROW(Z$12:Z890),ROW($T$12))),MIN(LOOKUP(,-1/($Z$12:Z891=1),$C$12:C891)+LOOKUP(,-1/($Z$12:Z891=1),$H$12:H891)-IF(N890&lt;&gt;0,0,SUM(INDIRECT("T"&amp;(MAX((0&lt;&gt;N$12:N890)*ROW(N$12:N890)+1,ROW($T$12))&amp;":T"&amp;(ROW()-1))))),Первоначальный[[#This Row],[Полученный платеж]]+Y890),
AND(S890=0,Первоначальный[[#This Row],[Дата платежа из графика]]=1),MIN(LOOKUP(,-1/($Z$12:Z891=1),$C$12:C891)+LOOKUP(,-1/($Z$12:Z891=1),$H$12:H891)-IF(Z890=1,0,SUM(INDIRECT("T"&amp;(MAX((1=Z$12:Z890)*ROW(Z$12:Z890)+1,ROW($T$12))&amp;":T"&amp;(ROW()-1))))),Первоначальный[[#This Row],[Полученный платеж]]+Y890),
AND(Z890&gt;0,Первоначальный[[#This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платеж]]+Y890),
AND(S890&gt;0,MAX((0&lt;&gt;S$12:S890)*ROW(S$12:S890),ROW($S$12))&gt;=MAX((1=Z$12:Z890)*ROW(Z$12:Z890),ROW($T$12)),TYPE(VLOOKUP("Да",(INDIRECT("AA"&amp;(MAX((1=Z$12:Z890)*ROW(Z$12:Z890),ROW($T$12))&amp;":AA"&amp;(ROW()-1)))),1,0))=16),MIN(LOOKUP(,-1/($Z$12:Z891=1),$C$12:C891)+LOOKUP(,-1/($Z$12:Z891=1),$H$12:H891)-SUM(INDIRECT("T"&amp;(MAX((1=Z$12:Z890)*ROW(Z$12:Z890),ROW($T$12))&amp;":T"&amp;(ROW()-1)))),Первоначальный[[#This Row],[Полученный платеж]]+Y890),
S890&gt;0,MIN(LOOKUP(,-1/($Z$12:Z891=1),$C$12:C891)+LOOKUP(,-1/($Z$12:Z891=1),$H$12:H891)-IF(Z890=1,0,SUM(INDIRECT("T"&amp;(MAX((1=Z$12:Z890)*ROW(Z$12:Z890)+1,ROW($T$12))&amp;":T"&amp;(ROW()-1))))),Первоначальный[[#This Row],[Полученный платеж]]+Y890)
)
)
)</f>
        <v>0</v>
      </c>
      <c r="U89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платеж]]+Y890-Первоначальный[[#This Row],[Полученный платёж по процентам]])</f>
        <v>0</v>
      </c>
      <c r="V891" s="55">
        <f t="shared" ca="1" si="157"/>
        <v>0</v>
      </c>
      <c r="W891" s="55" cm="1">
        <f t="array" aca="1" ref="W891" ca="1">IF(Первоначальный[[#This Row],[Итого остаток на начало периода]]&lt;1,0,
_xlfn.IFS(
AND(TYPE(VLOOKUP(1,$Z$12:Z891,1,0))=16,Первоначальный[[#This Row],[Досрочное погашение (да/"")]]=""),0,
AND(S890=0,Первоначальный[[#This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платеж]]+Y890-SUM(Первоначальный[[#This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комиссиям]]),VLOOKUP(LOOKUP(,-1/($Z$12:Z891=1),$A$12:A891),График[[Срок конец]:[Возврат основной суммы долга]],3,0)),
AND(S890=0,Первоначальный[[#This Row],[Дата платежа из графика]]="",Первоначальный[[#This Row],[Досрочное погашение (да/"")]]&lt;&gt;"Да"),0,
AND(S890=0,Первоначальный[[#This Row],[Досрочное погашение (да/"")]]=""),MIN(Первоначальный[[#This Row],[Полученный платеж]]+Y890-SUM(Первоначальный[[#This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комиссиям]]),VLOOKUP(LOOKUP(,-1/($Z$12:Z891=1),$A$12:A891),График[[Срок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платеж]]+Y890-SUM(Первоначальный[[#This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S890&gt;0,MIN(Первоначальный[[#This Row],[Полученный платеж]]+Y890-SUM(Первоначальный[[#This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комиссиям]]),SUM(INDIRECT("M"&amp;(MAX((1=S$12:S890)*ROW(S$12:S890),ROW($W$12))&amp;":M"&amp;(ROW()))))-SUM(INDIRECT("W"&amp;(MAX((1=S$12:S890)*ROW(S$12:S890),ROW($W$12))&amp;":W"&amp;(ROW()-1)))))
)
)</f>
        <v>0</v>
      </c>
      <c r="X891" s="55">
        <f t="shared" ca="1" si="158"/>
        <v>0</v>
      </c>
      <c r="Y891" s="101">
        <f t="shared" ca="1" si="165"/>
        <v>0</v>
      </c>
      <c r="Z891" s="133" t="str">
        <f>IF(TYPE((VLOOKUP(Первоначальный[[#This Row],[Дата платежа]],График[Срок конец],1,0)))=16,"",1)</f>
        <v/>
      </c>
      <c r="AA891" s="57"/>
      <c r="AB891" s="134"/>
      <c r="AC89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9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63841.359999999913</v>
      </c>
      <c r="AE89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2796.6799999999921</v>
      </c>
      <c r="AF89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9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153532.12208032777</v>
      </c>
      <c r="AH891" s="55"/>
      <c r="AI891" s="55"/>
      <c r="AJ891" s="55"/>
      <c r="AK891" s="101">
        <f t="shared" ca="1" si="166"/>
        <v>369803.50208032766</v>
      </c>
      <c r="AL891" s="129">
        <f t="array" ref="AL891">MAX((УслРестрактов[Характеристика]="Дата реструктуризации")*(УслРестрактов[Значение]=Первоначальный!$A891),0)</f>
        <v>0</v>
      </c>
    </row>
    <row r="892" spans="1:38" x14ac:dyDescent="0.25">
      <c r="A892" s="97">
        <f t="shared" si="159"/>
        <v>45023</v>
      </c>
      <c r="B892" s="100">
        <f t="shared" ca="1" si="160"/>
        <v>149633.34</v>
      </c>
      <c r="C892" s="55">
        <f t="shared" ca="1" si="169"/>
        <v>63841.359999999913</v>
      </c>
      <c r="D892" s="55">
        <f t="shared" ca="1" si="169"/>
        <v>2796.6799999999921</v>
      </c>
      <c r="E892" s="55">
        <f t="shared" ca="1" si="161"/>
        <v>0</v>
      </c>
      <c r="F892" s="55">
        <f t="shared" ca="1" si="162"/>
        <v>153532.12208032777</v>
      </c>
      <c r="G892" s="101">
        <f t="shared" ca="1" si="163"/>
        <v>369803.50208032766</v>
      </c>
      <c r="H892" s="100">
        <f ca="1">ROUND($B892*VLOOKUP($A892,$A$1:$B$10,2,1)/(365+IF(MOD(YEAR($A892),4),0,1)*($A892-$A891)),2)-Первоначальный[[#This Row],[Проценты на просроченный платеж по ОД за период]]</f>
        <v>74.19</v>
      </c>
      <c r="I892" s="55">
        <f t="shared" ca="1" si="164"/>
        <v>7.39</v>
      </c>
      <c r="J892" s="55">
        <v>0</v>
      </c>
      <c r="K892" s="55">
        <f t="shared" ca="1" si="167"/>
        <v>376.54350327868843</v>
      </c>
      <c r="L892" s="55">
        <v>0</v>
      </c>
      <c r="M892" s="113">
        <f>SUMIFS(График[Возврат основной суммы долга],График[Дата с учетом нерабочих дней],$A892)</f>
        <v>0</v>
      </c>
      <c r="N892" s="56">
        <f>SUMIFS(График[Возврат начисленных %],График[Дата с учетом нерабочих дней],$A892)</f>
        <v>0</v>
      </c>
      <c r="O892" s="101">
        <v>0</v>
      </c>
      <c r="P892" s="100" cm="1">
        <f t="array" aca="1" ref="P892" ca="1">MAX(IF(AA891="Да",0,SUM(INDIRECT("M"&amp;(MAX(("Да"=AA$12:AA891)*ROW(AA$12:AA891)+1,ROW($P$12))&amp;":M"&amp;(ROW()))))-SUM(INDIRECT("W"&amp;(MAX(("Да"=AA$12:AA891)*ROW(AA$12:AA891)+1,ROW($P$12))&amp;":W"&amp;(ROW()))))),0)</f>
        <v>13546.79</v>
      </c>
      <c r="Q892" s="99">
        <f ca="1">MAX(SUM($N$13:N892)-SUM($T$13:T892),0)</f>
        <v>61761.91065573768</v>
      </c>
      <c r="R892" s="99">
        <f ca="1">Первоначальный[[#This Row],[Просроченный платеж по ОД]]+Первоначальный[[#This Row],[Просроченный платеж по процентам]]</f>
        <v>75308.700655737688</v>
      </c>
      <c r="S892" s="120">
        <f ca="1">IF(Первоначальный[[#This Row],[Просроченный платеж]]&lt;1,0,S891+1)</f>
        <v>788</v>
      </c>
      <c r="T892" s="100" cm="1">
        <f t="array" aca="1" ref="T892" ca="1">IF(Первоначальный[[#This Row],[Итого остаток на начало периода]]&lt;1,0,
IF(
AND(TYPE(VLOOKUP(1,$Z$12:Z892,1,0))=16,Первоначальный[[#This Row],[Досрочное погашение (да/"")]]=""),0,
_xlfn.IFS(AND(S891=0,Первоначальный[[#This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платеж]]&lt;&gt;0),MIN(LOOKUP(,-1/($Z$12:Z892=1),$C$12:C892)+LOOKUP(,-1/($Z$12:Z892=1),$H$12:H892),Первоначальный[[#This Row],[Полученный платеж]]+Y891),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платеж]]+Y891,SUM(Первоначальный[[#This Row],[Остаток процентов на начало периода]],Первоначальный[[#This Row],[Проценты за период]])),
AND(S891=0,Первоначальный[[#This Row],[Дата платежа из графика]]=""),0,
AND(S891=0,Первоначальный[[#This Row],[Дата платежа из графика]]=1,MAX((0&lt;&gt;S$12:S891)*ROW(S$12:S891),ROW($S$12))&gt;=MAX((1=Z$12:Z891)*ROW(Z$12:Z891),ROW($T$12)),TYPE(VLOOKUP("Да",(INDIRECT("AA"&amp;(MAX((1=Z$12:Z891)*ROW(Z$12:Z891),ROW($T$12))&amp;":AA"&amp;(ROW()-1)))),1,0))=16),MIN(LOOKUP(,-1/($Z$12:Z892=1),$C$12:C892)+LOOKUP(,-1/($Z$12:Z892=1),$H$12:H892),Первоначальный[[#This Row],[Полученный платеж]]+Y891),
AND(S891=0,TYPE(VLOOKUP("Да",(INDIRECT("AA"&amp;(MAX((1=Z$12:Z891)*ROW(Z$12:Z891),ROW($T$12))&amp;":AA"&amp;(ROW()-1)))),1,0))&lt;&gt;16),MIN(LOOKUP(,-1/($Z$12:Z892=1),$C$12:C892)+LOOKUP(,-1/($Z$12:Z892=1),$H$12:H892)-IF(AA891="Да",0,SUM(INDIRECT("T"&amp;(MAX(("Да"=AA$12:AA891)*ROW(AA$12:AA891)+1,ROW($T$12))&amp;":T"&amp;(ROW()-1))))),Первоначальный[[#This Row],[Полученный платеж]]+Y891),
AND(S891=0,MAX((0&lt;&gt;N$12:N891)*ROW(N$12:N891),ROW($S$12))&gt;=MAX((1=Z$12:Z891)*ROW(Z$12:Z891),ROW($T$12))),MIN(LOOKUP(,-1/($Z$12:Z892=1),$C$12:C892)+LOOKUP(,-1/($Z$12:Z892=1),$H$12:H892)-IF(N891&lt;&gt;0,0,SUM(INDIRECT("T"&amp;(MAX((0&lt;&gt;N$12:N891)*ROW(N$12:N891)+1,ROW($T$12))&amp;":T"&amp;(ROW()-1))))),Первоначальный[[#This Row],[Полученный платеж]]+Y891),
AND(S891=0,Первоначальный[[#This Row],[Дата платежа из графика]]=1),MIN(LOOKUP(,-1/($Z$12:Z892=1),$C$12:C892)+LOOKUP(,-1/($Z$12:Z892=1),$H$12:H892)-IF(Z891=1,0,SUM(INDIRECT("T"&amp;(MAX((1=Z$12:Z891)*ROW(Z$12:Z891)+1,ROW($T$12))&amp;":T"&amp;(ROW()-1))))),Первоначальный[[#This Row],[Полученный платеж]]+Y891),
AND(Z891&gt;0,Первоначальный[[#This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платеж]]+Y891),
AND(S891&gt;0,MAX((0&lt;&gt;S$12:S891)*ROW(S$12:S891),ROW($S$12))&gt;=MAX((1=Z$12:Z891)*ROW(Z$12:Z891),ROW($T$12)),TYPE(VLOOKUP("Да",(INDIRECT("AA"&amp;(MAX((1=Z$12:Z891)*ROW(Z$12:Z891),ROW($T$12))&amp;":AA"&amp;(ROW()-1)))),1,0))=16),MIN(LOOKUP(,-1/($Z$12:Z892=1),$C$12:C892)+LOOKUP(,-1/($Z$12:Z892=1),$H$12:H892)-SUM(INDIRECT("T"&amp;(MAX((1=Z$12:Z891)*ROW(Z$12:Z891),ROW($T$12))&amp;":T"&amp;(ROW()-1)))),Первоначальный[[#This Row],[Полученный платеж]]+Y891),
S891&gt;0,MIN(LOOKUP(,-1/($Z$12:Z892=1),$C$12:C892)+LOOKUP(,-1/($Z$12:Z892=1),$H$12:H892)-IF(Z891=1,0,SUM(INDIRECT("T"&amp;(MAX((1=Z$12:Z891)*ROW(Z$12:Z891)+1,ROW($T$12))&amp;":T"&amp;(ROW()-1))))),Первоначальный[[#This Row],[Полученный платеж]]+Y891)
)
)
)</f>
        <v>0</v>
      </c>
      <c r="U89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платеж]]+Y891-Первоначальный[[#This Row],[Полученный платёж по процентам]])</f>
        <v>0</v>
      </c>
      <c r="V892" s="55">
        <f t="shared" ca="1" si="157"/>
        <v>0</v>
      </c>
      <c r="W892" s="55" cm="1">
        <f t="array" aca="1" ref="W892" ca="1">IF(Первоначальный[[#This Row],[Итого остаток на начало периода]]&lt;1,0,
_xlfn.IFS(
AND(TYPE(VLOOKUP(1,$Z$12:Z892,1,0))=16,Первоначальный[[#This Row],[Досрочное погашение (да/"")]]=""),0,
AND(S891=0,Первоначальный[[#This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платеж]]+Y891-SUM(Первоначальный[[#This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комиссиям]]),VLOOKUP(LOOKUP(,-1/($Z$12:Z892=1),$A$12:A892),График[[Срок конец]:[Возврат основной суммы долга]],3,0)),
AND(S891=0,Первоначальный[[#This Row],[Дата платежа из графика]]="",Первоначальный[[#This Row],[Досрочное погашение (да/"")]]&lt;&gt;"Да"),0,
AND(S891=0,Первоначальный[[#This Row],[Досрочное погашение (да/"")]]=""),MIN(Первоначальный[[#This Row],[Полученный платеж]]+Y891-SUM(Первоначальный[[#This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комиссиям]]),VLOOKUP(LOOKUP(,-1/($Z$12:Z892=1),$A$12:A892),График[[Срок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платеж]]+Y891-SUM(Первоначальный[[#This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S891&gt;0,MIN(Первоначальный[[#This Row],[Полученный платеж]]+Y891-SUM(Первоначальный[[#This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комиссиям]]),SUM(INDIRECT("M"&amp;(MAX((1=S$12:S891)*ROW(S$12:S891),ROW($W$12))&amp;":M"&amp;(ROW()))))-SUM(INDIRECT("W"&amp;(MAX((1=S$12:S891)*ROW(S$12:S891),ROW($W$12))&amp;":W"&amp;(ROW()-1)))))
)
)</f>
        <v>0</v>
      </c>
      <c r="X892" s="55">
        <f t="shared" ca="1" si="158"/>
        <v>0</v>
      </c>
      <c r="Y892" s="101">
        <f t="shared" ca="1" si="165"/>
        <v>0</v>
      </c>
      <c r="Z892" s="133" t="str">
        <f>IF(TYPE((VLOOKUP(Первоначальный[[#This Row],[Дата платежа]],График[Срок конец],1,0)))=16,"",1)</f>
        <v/>
      </c>
      <c r="AA892" s="57"/>
      <c r="AB892" s="134"/>
      <c r="AC89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9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63915.549999999916</v>
      </c>
      <c r="AE89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2804.069999999992</v>
      </c>
      <c r="AF89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9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153908.66558360646</v>
      </c>
      <c r="AH892" s="55"/>
      <c r="AI892" s="55"/>
      <c r="AJ892" s="55"/>
      <c r="AK892" s="101">
        <f t="shared" ca="1" si="166"/>
        <v>370261.62558360631</v>
      </c>
      <c r="AL892" s="129">
        <f t="array" ref="AL892">MAX((УслРестрактов[Характеристика]="Дата реструктуризации")*(УслРестрактов[Значение]=Первоначальный!$A892),0)</f>
        <v>0</v>
      </c>
    </row>
    <row r="893" spans="1:38" x14ac:dyDescent="0.25">
      <c r="A893" s="97">
        <f t="shared" si="159"/>
        <v>45024</v>
      </c>
      <c r="B893" s="100">
        <f t="shared" ca="1" si="160"/>
        <v>149633.34</v>
      </c>
      <c r="C893" s="55">
        <f t="shared" ca="1" si="169"/>
        <v>63915.549999999916</v>
      </c>
      <c r="D893" s="55">
        <f t="shared" ca="1" si="169"/>
        <v>2804.069999999992</v>
      </c>
      <c r="E893" s="55">
        <f t="shared" ca="1" si="161"/>
        <v>0</v>
      </c>
      <c r="F893" s="55">
        <f t="shared" ca="1" si="162"/>
        <v>153908.66558360646</v>
      </c>
      <c r="G893" s="101">
        <f t="shared" ca="1" si="163"/>
        <v>370261.62558360631</v>
      </c>
      <c r="H893" s="100">
        <f ca="1">ROUND($B893*VLOOKUP($A893,$A$1:$B$10,2,1)/(365+IF(MOD(YEAR($A893),4),0,1)*($A893-$A892)),2)-Первоначальный[[#This Row],[Проценты на просроченный платеж по ОД за период]]</f>
        <v>74.19</v>
      </c>
      <c r="I893" s="55">
        <f t="shared" ca="1" si="164"/>
        <v>7.39</v>
      </c>
      <c r="J893" s="55">
        <v>0</v>
      </c>
      <c r="K893" s="55">
        <f t="shared" ca="1" si="167"/>
        <v>376.54350327868843</v>
      </c>
      <c r="L893" s="55">
        <v>0</v>
      </c>
      <c r="M893" s="113">
        <f>SUMIFS(График[Возврат основной суммы долга],График[Дата с учетом нерабочих дней],$A893)</f>
        <v>0</v>
      </c>
      <c r="N893" s="56">
        <f>SUMIFS(График[Возврат начисленных %],График[Дата с учетом нерабочих дней],$A893)</f>
        <v>0</v>
      </c>
      <c r="O893" s="101">
        <v>0</v>
      </c>
      <c r="P893" s="100" cm="1">
        <f t="array" aca="1" ref="P893" ca="1">MAX(IF(AA892="Да",0,SUM(INDIRECT("M"&amp;(MAX(("Да"=AA$12:AA892)*ROW(AA$12:AA892)+1,ROW($P$12))&amp;":M"&amp;(ROW()))))-SUM(INDIRECT("W"&amp;(MAX(("Да"=AA$12:AA892)*ROW(AA$12:AA892)+1,ROW($P$12))&amp;":W"&amp;(ROW()))))),0)</f>
        <v>13546.79</v>
      </c>
      <c r="Q893" s="99">
        <f ca="1">MAX(SUM($N$13:N893)-SUM($T$13:T893),0)</f>
        <v>61761.91065573768</v>
      </c>
      <c r="R893" s="99">
        <f ca="1">Первоначальный[[#This Row],[Просроченный платеж по ОД]]+Первоначальный[[#This Row],[Просроченный платеж по процентам]]</f>
        <v>75308.700655737688</v>
      </c>
      <c r="S893" s="120">
        <f ca="1">IF(Первоначальный[[#This Row],[Просроченный платеж]]&lt;1,0,S892+1)</f>
        <v>789</v>
      </c>
      <c r="T893" s="100" cm="1">
        <f t="array" aca="1" ref="T893" ca="1">IF(Первоначальный[[#This Row],[Итого остаток на начало периода]]&lt;1,0,
IF(
AND(TYPE(VLOOKUP(1,$Z$12:Z893,1,0))=16,Первоначальный[[#This Row],[Досрочное погашение (да/"")]]=""),0,
_xlfn.IFS(AND(S892=0,Первоначальный[[#This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платеж]]&lt;&gt;0),MIN(LOOKUP(,-1/($Z$12:Z893=1),$C$12:C893)+LOOKUP(,-1/($Z$12:Z893=1),$H$12:H893),Первоначальный[[#This Row],[Полученный платеж]]+Y892),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платеж]]+Y892,SUM(Первоначальный[[#This Row],[Остаток процентов на начало периода]],Первоначальный[[#This Row],[Проценты за период]])),
AND(S892=0,Первоначальный[[#This Row],[Дата платежа из графика]]=""),0,
AND(S892=0,Первоначальный[[#This Row],[Дата платежа из графика]]=1,MAX((0&lt;&gt;S$12:S892)*ROW(S$12:S892),ROW($S$12))&gt;=MAX((1=Z$12:Z892)*ROW(Z$12:Z892),ROW($T$12)),TYPE(VLOOKUP("Да",(INDIRECT("AA"&amp;(MAX((1=Z$12:Z892)*ROW(Z$12:Z892),ROW($T$12))&amp;":AA"&amp;(ROW()-1)))),1,0))=16),MIN(LOOKUP(,-1/($Z$12:Z893=1),$C$12:C893)+LOOKUP(,-1/($Z$12:Z893=1),$H$12:H893),Первоначальный[[#This Row],[Полученный платеж]]+Y892),
AND(S892=0,TYPE(VLOOKUP("Да",(INDIRECT("AA"&amp;(MAX((1=Z$12:Z892)*ROW(Z$12:Z892),ROW($T$12))&amp;":AA"&amp;(ROW()-1)))),1,0))&lt;&gt;16),MIN(LOOKUP(,-1/($Z$12:Z893=1),$C$12:C893)+LOOKUP(,-1/($Z$12:Z893=1),$H$12:H893)-IF(AA892="Да",0,SUM(INDIRECT("T"&amp;(MAX(("Да"=AA$12:AA892)*ROW(AA$12:AA892)+1,ROW($T$12))&amp;":T"&amp;(ROW()-1))))),Первоначальный[[#This Row],[Полученный платеж]]+Y892),
AND(S892=0,MAX((0&lt;&gt;N$12:N892)*ROW(N$12:N892),ROW($S$12))&gt;=MAX((1=Z$12:Z892)*ROW(Z$12:Z892),ROW($T$12))),MIN(LOOKUP(,-1/($Z$12:Z893=1),$C$12:C893)+LOOKUP(,-1/($Z$12:Z893=1),$H$12:H893)-IF(N892&lt;&gt;0,0,SUM(INDIRECT("T"&amp;(MAX((0&lt;&gt;N$12:N892)*ROW(N$12:N892)+1,ROW($T$12))&amp;":T"&amp;(ROW()-1))))),Первоначальный[[#This Row],[Полученный платеж]]+Y892),
AND(S892=0,Первоначальный[[#This Row],[Дата платежа из графика]]=1),MIN(LOOKUP(,-1/($Z$12:Z893=1),$C$12:C893)+LOOKUP(,-1/($Z$12:Z893=1),$H$12:H893)-IF(Z892=1,0,SUM(INDIRECT("T"&amp;(MAX((1=Z$12:Z892)*ROW(Z$12:Z892)+1,ROW($T$12))&amp;":T"&amp;(ROW()-1))))),Первоначальный[[#This Row],[Полученный платеж]]+Y892),
AND(Z892&gt;0,Первоначальный[[#This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платеж]]+Y892),
AND(S892&gt;0,MAX((0&lt;&gt;S$12:S892)*ROW(S$12:S892),ROW($S$12))&gt;=MAX((1=Z$12:Z892)*ROW(Z$12:Z892),ROW($T$12)),TYPE(VLOOKUP("Да",(INDIRECT("AA"&amp;(MAX((1=Z$12:Z892)*ROW(Z$12:Z892),ROW($T$12))&amp;":AA"&amp;(ROW()-1)))),1,0))=16),MIN(LOOKUP(,-1/($Z$12:Z893=1),$C$12:C893)+LOOKUP(,-1/($Z$12:Z893=1),$H$12:H893)-SUM(INDIRECT("T"&amp;(MAX((1=Z$12:Z892)*ROW(Z$12:Z892),ROW($T$12))&amp;":T"&amp;(ROW()-1)))),Первоначальный[[#This Row],[Полученный платеж]]+Y892),
S892&gt;0,MIN(LOOKUP(,-1/($Z$12:Z893=1),$C$12:C893)+LOOKUP(,-1/($Z$12:Z893=1),$H$12:H893)-IF(Z892=1,0,SUM(INDIRECT("T"&amp;(MAX((1=Z$12:Z892)*ROW(Z$12:Z892)+1,ROW($T$12))&amp;":T"&amp;(ROW()-1))))),Первоначальный[[#This Row],[Полученный платеж]]+Y892)
)
)
)</f>
        <v>0</v>
      </c>
      <c r="U89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платеж]]+Y892-Первоначальный[[#This Row],[Полученный платёж по процентам]])</f>
        <v>0</v>
      </c>
      <c r="V893" s="55">
        <f t="shared" ca="1" si="157"/>
        <v>0</v>
      </c>
      <c r="W893" s="55" cm="1">
        <f t="array" aca="1" ref="W893" ca="1">IF(Первоначальный[[#This Row],[Итого остаток на начало периода]]&lt;1,0,
_xlfn.IFS(
AND(TYPE(VLOOKUP(1,$Z$12:Z893,1,0))=16,Первоначальный[[#This Row],[Досрочное погашение (да/"")]]=""),0,
AND(S892=0,Первоначальный[[#This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платеж]]+Y892-SUM(Первоначальный[[#This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комиссиям]]),VLOOKUP(LOOKUP(,-1/($Z$12:Z893=1),$A$12:A893),График[[Срок конец]:[Возврат основной суммы долга]],3,0)),
AND(S892=0,Первоначальный[[#This Row],[Дата платежа из графика]]="",Первоначальный[[#This Row],[Досрочное погашение (да/"")]]&lt;&gt;"Да"),0,
AND(S892=0,Первоначальный[[#This Row],[Досрочное погашение (да/"")]]=""),MIN(Первоначальный[[#This Row],[Полученный платеж]]+Y892-SUM(Первоначальный[[#This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комиссиям]]),VLOOKUP(LOOKUP(,-1/($Z$12:Z893=1),$A$12:A893),График[[Срок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платеж]]+Y892-SUM(Первоначальный[[#This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S892&gt;0,MIN(Первоначальный[[#This Row],[Полученный платеж]]+Y892-SUM(Первоначальный[[#This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комиссиям]]),SUM(INDIRECT("M"&amp;(MAX((1=S$12:S892)*ROW(S$12:S892),ROW($W$12))&amp;":M"&amp;(ROW()))))-SUM(INDIRECT("W"&amp;(MAX((1=S$12:S892)*ROW(S$12:S892),ROW($W$12))&amp;":W"&amp;(ROW()-1)))))
)
)</f>
        <v>0</v>
      </c>
      <c r="X893" s="55">
        <f t="shared" ca="1" si="158"/>
        <v>0</v>
      </c>
      <c r="Y893" s="101">
        <f t="shared" ca="1" si="165"/>
        <v>0</v>
      </c>
      <c r="Z893" s="133" t="str">
        <f>IF(TYPE((VLOOKUP(Первоначальный[[#This Row],[Дата платежа]],График[Срок конец],1,0)))=16,"",1)</f>
        <v/>
      </c>
      <c r="AA893" s="57"/>
      <c r="AB893" s="134"/>
      <c r="AC89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9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63989.739999999918</v>
      </c>
      <c r="AE89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2811.4599999999919</v>
      </c>
      <c r="AF89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9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154285.20908688515</v>
      </c>
      <c r="AH893" s="55"/>
      <c r="AI893" s="55"/>
      <c r="AJ893" s="55"/>
      <c r="AK893" s="101">
        <f t="shared" ca="1" si="166"/>
        <v>370719.74908688501</v>
      </c>
      <c r="AL893" s="129">
        <f t="array" ref="AL893">MAX((УслРестрактов[Характеристика]="Дата реструктуризации")*(УслРестрактов[Значение]=Первоначальный!$A893),0)</f>
        <v>0</v>
      </c>
    </row>
    <row r="894" spans="1:38" x14ac:dyDescent="0.25">
      <c r="A894" s="97">
        <f t="shared" si="159"/>
        <v>45025</v>
      </c>
      <c r="B894" s="100">
        <f t="shared" ca="1" si="160"/>
        <v>149633.34</v>
      </c>
      <c r="C894" s="55">
        <f t="shared" ca="1" si="169"/>
        <v>63989.739999999918</v>
      </c>
      <c r="D894" s="55">
        <f t="shared" ca="1" si="169"/>
        <v>2811.4599999999919</v>
      </c>
      <c r="E894" s="55">
        <f t="shared" ca="1" si="161"/>
        <v>0</v>
      </c>
      <c r="F894" s="55">
        <f t="shared" ca="1" si="162"/>
        <v>154285.20908688515</v>
      </c>
      <c r="G894" s="101">
        <f t="shared" ca="1" si="163"/>
        <v>370719.74908688501</v>
      </c>
      <c r="H894" s="100">
        <f ca="1">ROUND($B894*VLOOKUP($A894,$A$1:$B$10,2,1)/(365+IF(MOD(YEAR($A894),4),0,1)*($A894-$A893)),2)-Первоначальный[[#This Row],[Проценты на просроченный платеж по ОД за период]]</f>
        <v>74.19</v>
      </c>
      <c r="I894" s="55">
        <f t="shared" ca="1" si="164"/>
        <v>7.39</v>
      </c>
      <c r="J894" s="55">
        <v>0</v>
      </c>
      <c r="K894" s="55">
        <f t="shared" ca="1" si="167"/>
        <v>376.54350327868843</v>
      </c>
      <c r="L894" s="55">
        <v>0</v>
      </c>
      <c r="M894" s="113">
        <f>SUMIFS(График[Возврат основной суммы долга],График[Дата с учетом нерабочих дней],$A894)</f>
        <v>0</v>
      </c>
      <c r="N894" s="56">
        <f>SUMIFS(График[Возврат начисленных %],График[Дата с учетом нерабочих дней],$A894)</f>
        <v>0</v>
      </c>
      <c r="O894" s="101">
        <v>0</v>
      </c>
      <c r="P894" s="100" cm="1">
        <f t="array" aca="1" ref="P894" ca="1">MAX(IF(AA893="Да",0,SUM(INDIRECT("M"&amp;(MAX(("Да"=AA$12:AA893)*ROW(AA$12:AA893)+1,ROW($P$12))&amp;":M"&amp;(ROW()))))-SUM(INDIRECT("W"&amp;(MAX(("Да"=AA$12:AA893)*ROW(AA$12:AA893)+1,ROW($P$12))&amp;":W"&amp;(ROW()))))),0)</f>
        <v>13546.79</v>
      </c>
      <c r="Q894" s="99">
        <f ca="1">MAX(SUM($N$13:N894)-SUM($T$13:T894),0)</f>
        <v>61761.91065573768</v>
      </c>
      <c r="R894" s="99">
        <f ca="1">Первоначальный[[#This Row],[Просроченный платеж по ОД]]+Первоначальный[[#This Row],[Просроченный платеж по процентам]]</f>
        <v>75308.700655737688</v>
      </c>
      <c r="S894" s="120">
        <f ca="1">IF(Первоначальный[[#This Row],[Просроченный платеж]]&lt;1,0,S893+1)</f>
        <v>790</v>
      </c>
      <c r="T894" s="100" cm="1">
        <f t="array" aca="1" ref="T894" ca="1">IF(Первоначальный[[#This Row],[Итого остаток на начало периода]]&lt;1,0,
IF(
AND(TYPE(VLOOKUP(1,$Z$12:Z894,1,0))=16,Первоначальный[[#This Row],[Досрочное погашение (да/"")]]=""),0,
_xlfn.IFS(AND(S893=0,Первоначальный[[#This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платеж]]&lt;&gt;0),MIN(LOOKUP(,-1/($Z$12:Z894=1),$C$12:C894)+LOOKUP(,-1/($Z$12:Z894=1),$H$12:H894),Первоначальный[[#This Row],[Полученный платеж]]+Y893),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платеж]]+Y893,SUM(Первоначальный[[#This Row],[Остаток процентов на начало периода]],Первоначальный[[#This Row],[Проценты за период]])),
AND(S893=0,Первоначальный[[#This Row],[Дата платежа из графика]]=""),0,
AND(S893=0,Первоначальный[[#This Row],[Дата платежа из графика]]=1,MAX((0&lt;&gt;S$12:S893)*ROW(S$12:S893),ROW($S$12))&gt;=MAX((1=Z$12:Z893)*ROW(Z$12:Z893),ROW($T$12)),TYPE(VLOOKUP("Да",(INDIRECT("AA"&amp;(MAX((1=Z$12:Z893)*ROW(Z$12:Z893),ROW($T$12))&amp;":AA"&amp;(ROW()-1)))),1,0))=16),MIN(LOOKUP(,-1/($Z$12:Z894=1),$C$12:C894)+LOOKUP(,-1/($Z$12:Z894=1),$H$12:H894),Первоначальный[[#This Row],[Полученный платеж]]+Y893),
AND(S893=0,TYPE(VLOOKUP("Да",(INDIRECT("AA"&amp;(MAX((1=Z$12:Z893)*ROW(Z$12:Z893),ROW($T$12))&amp;":AA"&amp;(ROW()-1)))),1,0))&lt;&gt;16),MIN(LOOKUP(,-1/($Z$12:Z894=1),$C$12:C894)+LOOKUP(,-1/($Z$12:Z894=1),$H$12:H894)-IF(AA893="Да",0,SUM(INDIRECT("T"&amp;(MAX(("Да"=AA$12:AA893)*ROW(AA$12:AA893)+1,ROW($T$12))&amp;":T"&amp;(ROW()-1))))),Первоначальный[[#This Row],[Полученный платеж]]+Y893),
AND(S893=0,MAX((0&lt;&gt;N$12:N893)*ROW(N$12:N893),ROW($S$12))&gt;=MAX((1=Z$12:Z893)*ROW(Z$12:Z893),ROW($T$12))),MIN(LOOKUP(,-1/($Z$12:Z894=1),$C$12:C894)+LOOKUP(,-1/($Z$12:Z894=1),$H$12:H894)-IF(N893&lt;&gt;0,0,SUM(INDIRECT("T"&amp;(MAX((0&lt;&gt;N$12:N893)*ROW(N$12:N893)+1,ROW($T$12))&amp;":T"&amp;(ROW()-1))))),Первоначальный[[#This Row],[Полученный платеж]]+Y893),
AND(S893=0,Первоначальный[[#This Row],[Дата платежа из графика]]=1),MIN(LOOKUP(,-1/($Z$12:Z894=1),$C$12:C894)+LOOKUP(,-1/($Z$12:Z894=1),$H$12:H894)-IF(Z893=1,0,SUM(INDIRECT("T"&amp;(MAX((1=Z$12:Z893)*ROW(Z$12:Z893)+1,ROW($T$12))&amp;":T"&amp;(ROW()-1))))),Первоначальный[[#This Row],[Полученный платеж]]+Y893),
AND(Z893&gt;0,Первоначальный[[#This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платеж]]+Y893),
AND(S893&gt;0,MAX((0&lt;&gt;S$12:S893)*ROW(S$12:S893),ROW($S$12))&gt;=MAX((1=Z$12:Z893)*ROW(Z$12:Z893),ROW($T$12)),TYPE(VLOOKUP("Да",(INDIRECT("AA"&amp;(MAX((1=Z$12:Z893)*ROW(Z$12:Z893),ROW($T$12))&amp;":AA"&amp;(ROW()-1)))),1,0))=16),MIN(LOOKUP(,-1/($Z$12:Z894=1),$C$12:C894)+LOOKUP(,-1/($Z$12:Z894=1),$H$12:H894)-SUM(INDIRECT("T"&amp;(MAX((1=Z$12:Z893)*ROW(Z$12:Z893),ROW($T$12))&amp;":T"&amp;(ROW()-1)))),Первоначальный[[#This Row],[Полученный платеж]]+Y893),
S893&gt;0,MIN(LOOKUP(,-1/($Z$12:Z894=1),$C$12:C894)+LOOKUP(,-1/($Z$12:Z894=1),$H$12:H894)-IF(Z893=1,0,SUM(INDIRECT("T"&amp;(MAX((1=Z$12:Z893)*ROW(Z$12:Z893)+1,ROW($T$12))&amp;":T"&amp;(ROW()-1))))),Первоначальный[[#This Row],[Полученный платеж]]+Y893)
)
)
)</f>
        <v>0</v>
      </c>
      <c r="U89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платеж]]+Y893-Первоначальный[[#This Row],[Полученный платёж по процентам]])</f>
        <v>0</v>
      </c>
      <c r="V894" s="55">
        <f t="shared" ca="1" si="157"/>
        <v>0</v>
      </c>
      <c r="W894" s="55" cm="1">
        <f t="array" aca="1" ref="W894" ca="1">IF(Первоначальный[[#This Row],[Итого остаток на начало периода]]&lt;1,0,
_xlfn.IFS(
AND(TYPE(VLOOKUP(1,$Z$12:Z894,1,0))=16,Первоначальный[[#This Row],[Досрочное погашение (да/"")]]=""),0,
AND(S893=0,Первоначальный[[#This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платеж]]+Y893-SUM(Первоначальный[[#This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комиссиям]]),VLOOKUP(LOOKUP(,-1/($Z$12:Z894=1),$A$12:A894),График[[Срок конец]:[Возврат основной суммы долга]],3,0)),
AND(S893=0,Первоначальный[[#This Row],[Дата платежа из графика]]="",Первоначальный[[#This Row],[Досрочное погашение (да/"")]]&lt;&gt;"Да"),0,
AND(S893=0,Первоначальный[[#This Row],[Досрочное погашение (да/"")]]=""),MIN(Первоначальный[[#This Row],[Полученный платеж]]+Y893-SUM(Первоначальный[[#This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комиссиям]]),VLOOKUP(LOOKUP(,-1/($Z$12:Z894=1),$A$12:A894),График[[Срок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платеж]]+Y893-SUM(Первоначальный[[#This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S893&gt;0,MIN(Первоначальный[[#This Row],[Полученный платеж]]+Y893-SUM(Первоначальный[[#This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комиссиям]]),SUM(INDIRECT("M"&amp;(MAX((1=S$12:S893)*ROW(S$12:S893),ROW($W$12))&amp;":M"&amp;(ROW()))))-SUM(INDIRECT("W"&amp;(MAX((1=S$12:S893)*ROW(S$12:S893),ROW($W$12))&amp;":W"&amp;(ROW()-1)))))
)
)</f>
        <v>0</v>
      </c>
      <c r="X894" s="55">
        <f t="shared" ca="1" si="158"/>
        <v>0</v>
      </c>
      <c r="Y894" s="101">
        <f t="shared" ca="1" si="165"/>
        <v>0</v>
      </c>
      <c r="Z894" s="133">
        <f>IF(TYPE((VLOOKUP(Первоначальный[[#This Row],[Дата платежа]],График[Срок конец],1,0)))=16,"",1)</f>
        <v>1</v>
      </c>
      <c r="AA894" s="57"/>
      <c r="AB894" s="134"/>
      <c r="AC89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9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64063.92999999992</v>
      </c>
      <c r="AE89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2818.8499999999917</v>
      </c>
      <c r="AF89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9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154661.75259016384</v>
      </c>
      <c r="AH894" s="55"/>
      <c r="AI894" s="55"/>
      <c r="AJ894" s="55"/>
      <c r="AK894" s="101">
        <f t="shared" ca="1" si="166"/>
        <v>371177.87259016372</v>
      </c>
      <c r="AL894" s="129">
        <f t="array" ref="AL894">MAX((УслРестрактов[Характеристика]="Дата реструктуризации")*(УслРестрактов[Значение]=Первоначальный!$A894),0)</f>
        <v>0</v>
      </c>
    </row>
    <row r="895" spans="1:38" x14ac:dyDescent="0.25">
      <c r="A895" s="97">
        <f t="shared" si="159"/>
        <v>45026</v>
      </c>
      <c r="B895" s="100">
        <f t="shared" ca="1" si="160"/>
        <v>149633.34</v>
      </c>
      <c r="C895" s="55">
        <f t="shared" ca="1" si="169"/>
        <v>64063.92999999992</v>
      </c>
      <c r="D895" s="55">
        <f t="shared" ca="1" si="169"/>
        <v>2818.8499999999917</v>
      </c>
      <c r="E895" s="55">
        <f t="shared" ca="1" si="161"/>
        <v>0</v>
      </c>
      <c r="F895" s="55">
        <f t="shared" ca="1" si="162"/>
        <v>154661.75259016384</v>
      </c>
      <c r="G895" s="101">
        <f t="shared" ca="1" si="163"/>
        <v>371177.87259016372</v>
      </c>
      <c r="H895" s="100">
        <f ca="1">ROUND($B895*VLOOKUP($A895,$A$1:$B$10,2,1)/(365+IF(MOD(YEAR($A895),4),0,1)*($A895-$A894)),2)-Первоначальный[[#This Row],[Проценты на просроченный платеж по ОД за период]]</f>
        <v>74.19</v>
      </c>
      <c r="I895" s="55">
        <f t="shared" ca="1" si="164"/>
        <v>7.39</v>
      </c>
      <c r="J895" s="55">
        <v>0</v>
      </c>
      <c r="K895" s="55">
        <f t="shared" ca="1" si="167"/>
        <v>391.02850327868845</v>
      </c>
      <c r="L895" s="55">
        <v>0</v>
      </c>
      <c r="M895" s="113">
        <f>SUMIFS(График[Возврат основной суммы долга],График[Дата с учетом нерабочих дней],$A895)</f>
        <v>596.94999999999982</v>
      </c>
      <c r="N895" s="56">
        <f>SUMIFS(График[Возврат начисленных %],График[Дата с учетом нерабочих дней],$A895)</f>
        <v>2300.0500000000002</v>
      </c>
      <c r="O895" s="101">
        <v>0</v>
      </c>
      <c r="P895" s="100" cm="1">
        <f t="array" aca="1" ref="P895" ca="1">MAX(IF(AA894="Да",0,SUM(INDIRECT("M"&amp;(MAX(("Да"=AA$12:AA894)*ROW(AA$12:AA894)+1,ROW($P$12))&amp;":M"&amp;(ROW()))))-SUM(INDIRECT("W"&amp;(MAX(("Да"=AA$12:AA894)*ROW(AA$12:AA894)+1,ROW($P$12))&amp;":W"&amp;(ROW()))))),0)</f>
        <v>14143.740000000002</v>
      </c>
      <c r="Q895" s="99">
        <f ca="1">MAX(SUM($N$13:N895)-SUM($T$13:T895),0)</f>
        <v>64061.960655737683</v>
      </c>
      <c r="R895" s="99">
        <f ca="1">Первоначальный[[#This Row],[Просроченный платеж по ОД]]+Первоначальный[[#This Row],[Просроченный платеж по процентам]]</f>
        <v>78205.700655737688</v>
      </c>
      <c r="S895" s="120">
        <f ca="1">IF(Первоначальный[[#This Row],[Просроченный платеж]]&lt;1,0,S894+1)</f>
        <v>791</v>
      </c>
      <c r="T895" s="100" cm="1">
        <f t="array" aca="1" ref="T895" ca="1">IF(Первоначальный[[#This Row],[Итого остаток на начало периода]]&lt;1,0,
IF(
AND(TYPE(VLOOKUP(1,$Z$12:Z895,1,0))=16,Первоначальный[[#This Row],[Досрочное погашение (да/"")]]=""),0,
_xlfn.IFS(AND(S894=0,Первоначальный[[#This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платеж]]&lt;&gt;0),MIN(LOOKUP(,-1/($Z$12:Z895=1),$C$12:C895)+LOOKUP(,-1/($Z$12:Z895=1),$H$12:H895),Первоначальный[[#This Row],[Полученный платеж]]+Y894),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платеж]]+Y894,SUM(Первоначальный[[#This Row],[Остаток процентов на начало периода]],Первоначальный[[#This Row],[Проценты за период]])),
AND(S894=0,Первоначальный[[#This Row],[Дата платежа из графика]]=""),0,
AND(S894=0,Первоначальный[[#This Row],[Дата платежа из графика]]=1,MAX((0&lt;&gt;S$12:S894)*ROW(S$12:S894),ROW($S$12))&gt;=MAX((1=Z$12:Z894)*ROW(Z$12:Z894),ROW($T$12)),TYPE(VLOOKUP("Да",(INDIRECT("AA"&amp;(MAX((1=Z$12:Z894)*ROW(Z$12:Z894),ROW($T$12))&amp;":AA"&amp;(ROW()-1)))),1,0))=16),MIN(LOOKUP(,-1/($Z$12:Z895=1),$C$12:C895)+LOOKUP(,-1/($Z$12:Z895=1),$H$12:H895),Первоначальный[[#This Row],[Полученный платеж]]+Y894),
AND(S894=0,TYPE(VLOOKUP("Да",(INDIRECT("AA"&amp;(MAX((1=Z$12:Z894)*ROW(Z$12:Z894),ROW($T$12))&amp;":AA"&amp;(ROW()-1)))),1,0))&lt;&gt;16),MIN(LOOKUP(,-1/($Z$12:Z895=1),$C$12:C895)+LOOKUP(,-1/($Z$12:Z895=1),$H$12:H895)-IF(AA894="Да",0,SUM(INDIRECT("T"&amp;(MAX(("Да"=AA$12:AA894)*ROW(AA$12:AA894)+1,ROW($T$12))&amp;":T"&amp;(ROW()-1))))),Первоначальный[[#This Row],[Полученный платеж]]+Y894),
AND(S894=0,MAX((0&lt;&gt;N$12:N894)*ROW(N$12:N894),ROW($S$12))&gt;=MAX((1=Z$12:Z894)*ROW(Z$12:Z894),ROW($T$12))),MIN(LOOKUP(,-1/($Z$12:Z895=1),$C$12:C895)+LOOKUP(,-1/($Z$12:Z895=1),$H$12:H895)-IF(N894&lt;&gt;0,0,SUM(INDIRECT("T"&amp;(MAX((0&lt;&gt;N$12:N894)*ROW(N$12:N894)+1,ROW($T$12))&amp;":T"&amp;(ROW()-1))))),Первоначальный[[#This Row],[Полученный платеж]]+Y894),
AND(S894=0,Первоначальный[[#This Row],[Дата платежа из графика]]=1),MIN(LOOKUP(,-1/($Z$12:Z895=1),$C$12:C895)+LOOKUP(,-1/($Z$12:Z895=1),$H$12:H895)-IF(Z894=1,0,SUM(INDIRECT("T"&amp;(MAX((1=Z$12:Z894)*ROW(Z$12:Z894)+1,ROW($T$12))&amp;":T"&amp;(ROW()-1))))),Первоначальный[[#This Row],[Полученный платеж]]+Y894),
AND(Z894&gt;0,Первоначальный[[#This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платеж]]+Y894),
AND(S894&gt;0,MAX((0&lt;&gt;S$12:S894)*ROW(S$12:S894),ROW($S$12))&gt;=MAX((1=Z$12:Z894)*ROW(Z$12:Z894),ROW($T$12)),TYPE(VLOOKUP("Да",(INDIRECT("AA"&amp;(MAX((1=Z$12:Z894)*ROW(Z$12:Z894),ROW($T$12))&amp;":AA"&amp;(ROW()-1)))),1,0))=16),MIN(LOOKUP(,-1/($Z$12:Z895=1),$C$12:C895)+LOOKUP(,-1/($Z$12:Z895=1),$H$12:H895)-SUM(INDIRECT("T"&amp;(MAX((1=Z$12:Z894)*ROW(Z$12:Z894),ROW($T$12))&amp;":T"&amp;(ROW()-1)))),Первоначальный[[#This Row],[Полученный платеж]]+Y894),
S894&gt;0,MIN(LOOKUP(,-1/($Z$12:Z895=1),$C$12:C895)+LOOKUP(,-1/($Z$12:Z895=1),$H$12:H895)-IF(Z894=1,0,SUM(INDIRECT("T"&amp;(MAX((1=Z$12:Z894)*ROW(Z$12:Z894)+1,ROW($T$12))&amp;":T"&amp;(ROW()-1))))),Первоначальный[[#This Row],[Полученный платеж]]+Y894)
)
)
)</f>
        <v>0</v>
      </c>
      <c r="U89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платеж]]+Y894-Первоначальный[[#This Row],[Полученный платёж по процентам]])</f>
        <v>0</v>
      </c>
      <c r="V895" s="55">
        <f t="shared" ca="1" si="157"/>
        <v>0</v>
      </c>
      <c r="W895" s="55" cm="1">
        <f t="array" aca="1" ref="W895" ca="1">IF(Первоначальный[[#This Row],[Итого остаток на начало периода]]&lt;1,0,
_xlfn.IFS(
AND(TYPE(VLOOKUP(1,$Z$12:Z895,1,0))=16,Первоначальный[[#This Row],[Досрочное погашение (да/"")]]=""),0,
AND(S894=0,Первоначальный[[#This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платеж]]+Y894-SUM(Первоначальный[[#This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комиссиям]]),VLOOKUP(LOOKUP(,-1/($Z$12:Z895=1),$A$12:A895),График[[Срок конец]:[Возврат основной суммы долга]],3,0)),
AND(S894=0,Первоначальный[[#This Row],[Дата платежа из графика]]="",Первоначальный[[#This Row],[Досрочное погашение (да/"")]]&lt;&gt;"Да"),0,
AND(S894=0,Первоначальный[[#This Row],[Досрочное погашение (да/"")]]=""),MIN(Первоначальный[[#This Row],[Полученный платеж]]+Y894-SUM(Первоначальный[[#This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комиссиям]]),VLOOKUP(LOOKUP(,-1/($Z$12:Z895=1),$A$12:A895),График[[Срок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платеж]]+Y894-SUM(Первоначальный[[#This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S894&gt;0,MIN(Первоначальный[[#This Row],[Полученный платеж]]+Y894-SUM(Первоначальный[[#This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комиссиям]]),SUM(INDIRECT("M"&amp;(MAX((1=S$12:S894)*ROW(S$12:S894),ROW($W$12))&amp;":M"&amp;(ROW()))))-SUM(INDIRECT("W"&amp;(MAX((1=S$12:S894)*ROW(S$12:S894),ROW($W$12))&amp;":W"&amp;(ROW()-1)))))
)
)</f>
        <v>0</v>
      </c>
      <c r="X895" s="55">
        <f t="shared" ca="1" si="158"/>
        <v>0</v>
      </c>
      <c r="Y895" s="101">
        <f t="shared" ca="1" si="165"/>
        <v>0</v>
      </c>
      <c r="Z895" s="133" t="str">
        <f>IF(TYPE((VLOOKUP(Первоначальный[[#This Row],[Дата платежа]],График[Срок конец],1,0)))=16,"",1)</f>
        <v/>
      </c>
      <c r="AA895" s="57"/>
      <c r="AB895" s="134"/>
      <c r="AC89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9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64138.119999999923</v>
      </c>
      <c r="AE89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2826.2399999999916</v>
      </c>
      <c r="AF89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9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155052.78109344252</v>
      </c>
      <c r="AH895" s="55"/>
      <c r="AI895" s="55"/>
      <c r="AJ895" s="55"/>
      <c r="AK895" s="101">
        <f t="shared" ca="1" si="166"/>
        <v>371650.48109344242</v>
      </c>
      <c r="AL895" s="129">
        <f t="array" ref="AL895">MAX((УслРестрактов[Характеристика]="Дата реструктуризации")*(УслРестрактов[Значение]=Первоначальный!$A895),0)</f>
        <v>0</v>
      </c>
    </row>
    <row r="896" spans="1:38" x14ac:dyDescent="0.25">
      <c r="A896" s="97">
        <f t="shared" si="159"/>
        <v>45027</v>
      </c>
      <c r="B896" s="100">
        <f t="shared" ca="1" si="160"/>
        <v>149633.34</v>
      </c>
      <c r="C896" s="55">
        <f ca="1">AD895+AI895</f>
        <v>64138.119999999923</v>
      </c>
      <c r="D896" s="55">
        <f t="shared" ca="1" si="169"/>
        <v>2826.2399999999916</v>
      </c>
      <c r="E896" s="55">
        <f t="shared" ca="1" si="161"/>
        <v>0</v>
      </c>
      <c r="F896" s="55">
        <f t="shared" ca="1" si="162"/>
        <v>155052.78109344252</v>
      </c>
      <c r="G896" s="101">
        <f t="shared" ca="1" si="163"/>
        <v>371650.48109344242</v>
      </c>
      <c r="H896" s="100">
        <f ca="1">ROUND($B896*VLOOKUP($A896,$A$1:$B$10,2,1)/(365+IF(MOD(YEAR($A896),4),0,1)*($A896-$A895)),2)-Первоначальный[[#This Row],[Проценты на просроченный платеж по ОД за период]]</f>
        <v>73.87</v>
      </c>
      <c r="I896" s="55">
        <f t="shared" ca="1" si="164"/>
        <v>7.71</v>
      </c>
      <c r="J896" s="55">
        <v>0</v>
      </c>
      <c r="K896" s="55">
        <f t="shared" ca="1" si="167"/>
        <v>391.02850327868845</v>
      </c>
      <c r="L896" s="55">
        <v>0</v>
      </c>
      <c r="M896" s="113">
        <f>SUMIFS(График[Возврат основной суммы долга],График[Дата с учетом нерабочих дней],$A896)</f>
        <v>0</v>
      </c>
      <c r="N896" s="56">
        <f>SUMIFS(График[Возврат начисленных %],График[Дата с учетом нерабочих дней],$A896)</f>
        <v>0</v>
      </c>
      <c r="O896" s="101">
        <v>0</v>
      </c>
      <c r="P896" s="100" cm="1">
        <f t="array" aca="1" ref="P896" ca="1">MAX(IF(AA895="Да",0,SUM(INDIRECT("M"&amp;(MAX(("Да"=AA$12:AA895)*ROW(AA$12:AA895)+1,ROW($P$12))&amp;":M"&amp;(ROW()))))-SUM(INDIRECT("W"&amp;(MAX(("Да"=AA$12:AA895)*ROW(AA$12:AA895)+1,ROW($P$12))&amp;":W"&amp;(ROW()))))),0)</f>
        <v>14143.740000000002</v>
      </c>
      <c r="Q896" s="99">
        <f ca="1">MAX(SUM($N$13:N896)-SUM($T$13:T896),0)</f>
        <v>64061.960655737683</v>
      </c>
      <c r="R896" s="99">
        <f ca="1">Первоначальный[[#This Row],[Просроченный платеж по ОД]]+Первоначальный[[#This Row],[Просроченный платеж по процентам]]</f>
        <v>78205.700655737688</v>
      </c>
      <c r="S896" s="120">
        <f ca="1">IF(Первоначальный[[#This Row],[Просроченный платеж]]&lt;1,0,S895+1)</f>
        <v>792</v>
      </c>
      <c r="T896" s="100" cm="1">
        <f t="array" aca="1" ref="T896" ca="1">IF(Первоначальный[[#This Row],[Итого остаток на начало периода]]&lt;1,0,
IF(
AND(TYPE(VLOOKUP(1,$Z$12:Z896,1,0))=16,Первоначальный[[#This Row],[Досрочное погашение (да/"")]]=""),0,
_xlfn.IFS(AND(S895=0,Первоначальный[[#This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платеж]]&lt;&gt;0),MIN(LOOKUP(,-1/($Z$12:Z896=1),$C$12:C896)+LOOKUP(,-1/($Z$12:Z896=1),$H$12:H896),Первоначальный[[#This Row],[Полученный платеж]]+Y895),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платеж]]+Y895,SUM(Первоначальный[[#This Row],[Остаток процентов на начало периода]],Первоначальный[[#This Row],[Проценты за период]])),
AND(S895=0,Первоначальный[[#This Row],[Дата платежа из графика]]=""),0,
AND(S895=0,Первоначальный[[#This Row],[Дата платежа из графика]]=1,MAX((0&lt;&gt;S$12:S895)*ROW(S$12:S895),ROW($S$12))&gt;=MAX((1=Z$12:Z895)*ROW(Z$12:Z895),ROW($T$12)),TYPE(VLOOKUP("Да",(INDIRECT("AA"&amp;(MAX((1=Z$12:Z895)*ROW(Z$12:Z895),ROW($T$12))&amp;":AA"&amp;(ROW()-1)))),1,0))=16),MIN(LOOKUP(,-1/($Z$12:Z896=1),$C$12:C896)+LOOKUP(,-1/($Z$12:Z896=1),$H$12:H896),Первоначальный[[#This Row],[Полученный платеж]]+Y895),
AND(S895=0,TYPE(VLOOKUP("Да",(INDIRECT("AA"&amp;(MAX((1=Z$12:Z895)*ROW(Z$12:Z895),ROW($T$12))&amp;":AA"&amp;(ROW()-1)))),1,0))&lt;&gt;16),MIN(LOOKUP(,-1/($Z$12:Z896=1),$C$12:C896)+LOOKUP(,-1/($Z$12:Z896=1),$H$12:H896)-IF(AA895="Да",0,SUM(INDIRECT("T"&amp;(MAX(("Да"=AA$12:AA895)*ROW(AA$12:AA895)+1,ROW($T$12))&amp;":T"&amp;(ROW()-1))))),Первоначальный[[#This Row],[Полученный платеж]]+Y895),
AND(S895=0,MAX((0&lt;&gt;N$12:N895)*ROW(N$12:N895),ROW($S$12))&gt;=MAX((1=Z$12:Z895)*ROW(Z$12:Z895),ROW($T$12))),MIN(LOOKUP(,-1/($Z$12:Z896=1),$C$12:C896)+LOOKUP(,-1/($Z$12:Z896=1),$H$12:H896)-IF(N895&lt;&gt;0,0,SUM(INDIRECT("T"&amp;(MAX((0&lt;&gt;N$12:N895)*ROW(N$12:N895)+1,ROW($T$12))&amp;":T"&amp;(ROW()-1))))),Первоначальный[[#This Row],[Полученный платеж]]+Y895),
AND(S895=0,Первоначальный[[#This Row],[Дата платежа из графика]]=1),MIN(LOOKUP(,-1/($Z$12:Z896=1),$C$12:C896)+LOOKUP(,-1/($Z$12:Z896=1),$H$12:H896)-IF(Z895=1,0,SUM(INDIRECT("T"&amp;(MAX((1=Z$12:Z895)*ROW(Z$12:Z895)+1,ROW($T$12))&amp;":T"&amp;(ROW()-1))))),Первоначальный[[#This Row],[Полученный платеж]]+Y895),
AND(Z895&gt;0,Первоначальный[[#This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платеж]]+Y895),
AND(S895&gt;0,MAX((0&lt;&gt;S$12:S895)*ROW(S$12:S895),ROW($S$12))&gt;=MAX((1=Z$12:Z895)*ROW(Z$12:Z895),ROW($T$12)),TYPE(VLOOKUP("Да",(INDIRECT("AA"&amp;(MAX((1=Z$12:Z895)*ROW(Z$12:Z895),ROW($T$12))&amp;":AA"&amp;(ROW()-1)))),1,0))=16),MIN(LOOKUP(,-1/($Z$12:Z896=1),$C$12:C896)+LOOKUP(,-1/($Z$12:Z896=1),$H$12:H896)-SUM(INDIRECT("T"&amp;(MAX((1=Z$12:Z895)*ROW(Z$12:Z895),ROW($T$12))&amp;":T"&amp;(ROW()-1)))),Первоначальный[[#This Row],[Полученный платеж]]+Y895),
S895&gt;0,MIN(LOOKUP(,-1/($Z$12:Z896=1),$C$12:C896)+LOOKUP(,-1/($Z$12:Z896=1),$H$12:H896)-IF(Z895=1,0,SUM(INDIRECT("T"&amp;(MAX((1=Z$12:Z895)*ROW(Z$12:Z895)+1,ROW($T$12))&amp;":T"&amp;(ROW()-1))))),Первоначальный[[#This Row],[Полученный платеж]]+Y895)
)
)
)</f>
        <v>0</v>
      </c>
      <c r="U89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платеж]]+Y895-Первоначальный[[#This Row],[Полученный платёж по процентам]])</f>
        <v>0</v>
      </c>
      <c r="V896" s="55">
        <f t="shared" ca="1" si="157"/>
        <v>0</v>
      </c>
      <c r="W896" s="55" cm="1">
        <f t="array" aca="1" ref="W896" ca="1">IF(Первоначальный[[#This Row],[Итого остаток на начало периода]]&lt;1,0,
_xlfn.IFS(
AND(TYPE(VLOOKUP(1,$Z$12:Z896,1,0))=16,Первоначальный[[#This Row],[Досрочное погашение (да/"")]]=""),0,
AND(S895=0,Первоначальный[[#This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платеж]]+Y895-SUM(Первоначальный[[#This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комиссиям]]),VLOOKUP(LOOKUP(,-1/($Z$12:Z896=1),$A$12:A896),График[[Срок конец]:[Возврат основной суммы долга]],3,0)),
AND(S895=0,Первоначальный[[#This Row],[Дата платежа из графика]]="",Первоначальный[[#This Row],[Досрочное погашение (да/"")]]&lt;&gt;"Да"),0,
AND(S895=0,Первоначальный[[#This Row],[Досрочное погашение (да/"")]]=""),MIN(Первоначальный[[#This Row],[Полученный платеж]]+Y895-SUM(Первоначальный[[#This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комиссиям]]),VLOOKUP(LOOKUP(,-1/($Z$12:Z896=1),$A$12:A896),График[[Срок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платеж]]+Y895-SUM(Первоначальный[[#This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S895&gt;0,MIN(Первоначальный[[#This Row],[Полученный платеж]]+Y895-SUM(Первоначальный[[#This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комиссиям]]),SUM(INDIRECT("M"&amp;(MAX((1=S$12:S895)*ROW(S$12:S895),ROW($W$12))&amp;":M"&amp;(ROW()))))-SUM(INDIRECT("W"&amp;(MAX((1=S$12:S895)*ROW(S$12:S895),ROW($W$12))&amp;":W"&amp;(ROW()-1)))))
)
)</f>
        <v>0</v>
      </c>
      <c r="X896" s="55">
        <f t="shared" ca="1" si="158"/>
        <v>0</v>
      </c>
      <c r="Y896" s="101">
        <f t="shared" ca="1" si="165"/>
        <v>0</v>
      </c>
      <c r="Z896" s="133" t="str">
        <f>IF(TYPE((VLOOKUP(Первоначальный[[#This Row],[Дата платежа]],График[Срок конец],1,0)))=16,"",1)</f>
        <v/>
      </c>
      <c r="AA896" s="57"/>
      <c r="AB896" s="134"/>
      <c r="AC89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9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64211.989999999925</v>
      </c>
      <c r="AE89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2833.9499999999916</v>
      </c>
      <c r="AF89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9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155443.8095967212</v>
      </c>
      <c r="AH896" s="55"/>
      <c r="AI896" s="55"/>
      <c r="AJ896" s="55"/>
      <c r="AK896" s="101">
        <f t="shared" ca="1" si="166"/>
        <v>372123.08959672111</v>
      </c>
      <c r="AL896" s="129">
        <f t="array" ref="AL896">MAX((УслРестрактов[Характеристика]="Дата реструктуризации")*(УслРестрактов[Значение]=Первоначальный!$A896),0)</f>
        <v>0</v>
      </c>
    </row>
    <row r="897" spans="1:38" x14ac:dyDescent="0.25">
      <c r="A897" s="97">
        <f t="shared" si="159"/>
        <v>45028</v>
      </c>
      <c r="B897" s="100">
        <f t="shared" ca="1" si="160"/>
        <v>149633.34</v>
      </c>
      <c r="C897" s="55">
        <f t="shared" ref="C897:D960" ca="1" si="170">AD896+AI896</f>
        <v>64211.989999999925</v>
      </c>
      <c r="D897" s="55">
        <f t="shared" ca="1" si="170"/>
        <v>2833.9499999999916</v>
      </c>
      <c r="E897" s="55">
        <f t="shared" ca="1" si="161"/>
        <v>0</v>
      </c>
      <c r="F897" s="55">
        <f t="shared" ca="1" si="162"/>
        <v>155443.8095967212</v>
      </c>
      <c r="G897" s="101">
        <f t="shared" ca="1" si="163"/>
        <v>372123.08959672111</v>
      </c>
      <c r="H897" s="100">
        <f ca="1">ROUND($B897*VLOOKUP($A897,$A$1:$B$10,2,1)/(365+IF(MOD(YEAR($A897),4),0,1)*($A897-$A896)),2)-Первоначальный[[#This Row],[Проценты на просроченный платеж по ОД за период]]</f>
        <v>73.87</v>
      </c>
      <c r="I897" s="55">
        <f t="shared" ca="1" si="164"/>
        <v>7.71</v>
      </c>
      <c r="J897" s="55">
        <v>0</v>
      </c>
      <c r="K897" s="55">
        <f t="shared" ca="1" si="167"/>
        <v>391.02850327868845</v>
      </c>
      <c r="L897" s="55">
        <v>0</v>
      </c>
      <c r="M897" s="113">
        <f>SUMIFS(График[Возврат основной суммы долга],График[Дата с учетом нерабочих дней],$A897)</f>
        <v>0</v>
      </c>
      <c r="N897" s="56">
        <f>SUMIFS(График[Возврат начисленных %],График[Дата с учетом нерабочих дней],$A897)</f>
        <v>0</v>
      </c>
      <c r="O897" s="101">
        <v>0</v>
      </c>
      <c r="P897" s="100" cm="1">
        <f t="array" aca="1" ref="P897" ca="1">MAX(IF(AA896="Да",0,SUM(INDIRECT("M"&amp;(MAX(("Да"=AA$12:AA896)*ROW(AA$12:AA896)+1,ROW($P$12))&amp;":M"&amp;(ROW()))))-SUM(INDIRECT("W"&amp;(MAX(("Да"=AA$12:AA896)*ROW(AA$12:AA896)+1,ROW($P$12))&amp;":W"&amp;(ROW()))))),0)</f>
        <v>14143.740000000002</v>
      </c>
      <c r="Q897" s="99">
        <f ca="1">MAX(SUM($N$13:N897)-SUM($T$13:T897),0)</f>
        <v>64061.960655737683</v>
      </c>
      <c r="R897" s="99">
        <f ca="1">Первоначальный[[#This Row],[Просроченный платеж по ОД]]+Первоначальный[[#This Row],[Просроченный платеж по процентам]]</f>
        <v>78205.700655737688</v>
      </c>
      <c r="S897" s="120">
        <f ca="1">IF(Первоначальный[[#This Row],[Просроченный платеж]]&lt;1,0,S896+1)</f>
        <v>793</v>
      </c>
      <c r="T897" s="100" cm="1">
        <f t="array" aca="1" ref="T897" ca="1">IF(Первоначальный[[#This Row],[Итого остаток на начало периода]]&lt;1,0,
IF(
AND(TYPE(VLOOKUP(1,$Z$12:Z897,1,0))=16,Первоначальный[[#This Row],[Досрочное погашение (да/"")]]=""),0,
_xlfn.IFS(AND(S896=0,Первоначальный[[#This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платеж]]&lt;&gt;0),MIN(LOOKUP(,-1/($Z$12:Z897=1),$C$12:C897)+LOOKUP(,-1/($Z$12:Z897=1),$H$12:H897),Первоначальный[[#This Row],[Полученный платеж]]+Y896),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платеж]]+Y896,SUM(Первоначальный[[#This Row],[Остаток процентов на начало периода]],Первоначальный[[#This Row],[Проценты за период]])),
AND(S896=0,Первоначальный[[#This Row],[Дата платежа из графика]]=""),0,
AND(S896=0,Первоначальный[[#This Row],[Дата платежа из графика]]=1,MAX((0&lt;&gt;S$12:S896)*ROW(S$12:S896),ROW($S$12))&gt;=MAX((1=Z$12:Z896)*ROW(Z$12:Z896),ROW($T$12)),TYPE(VLOOKUP("Да",(INDIRECT("AA"&amp;(MAX((1=Z$12:Z896)*ROW(Z$12:Z896),ROW($T$12))&amp;":AA"&amp;(ROW()-1)))),1,0))=16),MIN(LOOKUP(,-1/($Z$12:Z897=1),$C$12:C897)+LOOKUP(,-1/($Z$12:Z897=1),$H$12:H897),Первоначальный[[#This Row],[Полученный платеж]]+Y896),
AND(S896=0,TYPE(VLOOKUP("Да",(INDIRECT("AA"&amp;(MAX((1=Z$12:Z896)*ROW(Z$12:Z896),ROW($T$12))&amp;":AA"&amp;(ROW()-1)))),1,0))&lt;&gt;16),MIN(LOOKUP(,-1/($Z$12:Z897=1),$C$12:C897)+LOOKUP(,-1/($Z$12:Z897=1),$H$12:H897)-IF(AA896="Да",0,SUM(INDIRECT("T"&amp;(MAX(("Да"=AA$12:AA896)*ROW(AA$12:AA896)+1,ROW($T$12))&amp;":T"&amp;(ROW()-1))))),Первоначальный[[#This Row],[Полученный платеж]]+Y896),
AND(S896=0,MAX((0&lt;&gt;N$12:N896)*ROW(N$12:N896),ROW($S$12))&gt;=MAX((1=Z$12:Z896)*ROW(Z$12:Z896),ROW($T$12))),MIN(LOOKUP(,-1/($Z$12:Z897=1),$C$12:C897)+LOOKUP(,-1/($Z$12:Z897=1),$H$12:H897)-IF(N896&lt;&gt;0,0,SUM(INDIRECT("T"&amp;(MAX((0&lt;&gt;N$12:N896)*ROW(N$12:N896)+1,ROW($T$12))&amp;":T"&amp;(ROW()-1))))),Первоначальный[[#This Row],[Полученный платеж]]+Y896),
AND(S896=0,Первоначальный[[#This Row],[Дата платежа из графика]]=1),MIN(LOOKUP(,-1/($Z$12:Z897=1),$C$12:C897)+LOOKUP(,-1/($Z$12:Z897=1),$H$12:H897)-IF(Z896=1,0,SUM(INDIRECT("T"&amp;(MAX((1=Z$12:Z896)*ROW(Z$12:Z896)+1,ROW($T$12))&amp;":T"&amp;(ROW()-1))))),Первоначальный[[#This Row],[Полученный платеж]]+Y896),
AND(Z896&gt;0,Первоначальный[[#This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платеж]]+Y896),
AND(S896&gt;0,MAX((0&lt;&gt;S$12:S896)*ROW(S$12:S896),ROW($S$12))&gt;=MAX((1=Z$12:Z896)*ROW(Z$12:Z896),ROW($T$12)),TYPE(VLOOKUP("Да",(INDIRECT("AA"&amp;(MAX((1=Z$12:Z896)*ROW(Z$12:Z896),ROW($T$12))&amp;":AA"&amp;(ROW()-1)))),1,0))=16),MIN(LOOKUP(,-1/($Z$12:Z897=1),$C$12:C897)+LOOKUP(,-1/($Z$12:Z897=1),$H$12:H897)-SUM(INDIRECT("T"&amp;(MAX((1=Z$12:Z896)*ROW(Z$12:Z896),ROW($T$12))&amp;":T"&amp;(ROW()-1)))),Первоначальный[[#This Row],[Полученный платеж]]+Y896),
S896&gt;0,MIN(LOOKUP(,-1/($Z$12:Z897=1),$C$12:C897)+LOOKUP(,-1/($Z$12:Z897=1),$H$12:H897)-IF(Z896=1,0,SUM(INDIRECT("T"&amp;(MAX((1=Z$12:Z896)*ROW(Z$12:Z896)+1,ROW($T$12))&amp;":T"&amp;(ROW()-1))))),Первоначальный[[#This Row],[Полученный платеж]]+Y896)
)
)
)</f>
        <v>0</v>
      </c>
      <c r="U89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платеж]]+Y896-Первоначальный[[#This Row],[Полученный платёж по процентам]])</f>
        <v>0</v>
      </c>
      <c r="V897" s="55">
        <f t="shared" ca="1" si="157"/>
        <v>0</v>
      </c>
      <c r="W897" s="55" cm="1">
        <f t="array" aca="1" ref="W897" ca="1">IF(Первоначальный[[#This Row],[Итого остаток на начало периода]]&lt;1,0,
_xlfn.IFS(
AND(TYPE(VLOOKUP(1,$Z$12:Z897,1,0))=16,Первоначальный[[#This Row],[Досрочное погашение (да/"")]]=""),0,
AND(S896=0,Первоначальный[[#This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платеж]]+Y896-SUM(Первоначальный[[#This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комиссиям]]),VLOOKUP(LOOKUP(,-1/($Z$12:Z897=1),$A$12:A897),График[[Срок конец]:[Возврат основной суммы долга]],3,0)),
AND(S896=0,Первоначальный[[#This Row],[Дата платежа из графика]]="",Первоначальный[[#This Row],[Досрочное погашение (да/"")]]&lt;&gt;"Да"),0,
AND(S896=0,Первоначальный[[#This Row],[Досрочное погашение (да/"")]]=""),MIN(Первоначальный[[#This Row],[Полученный платеж]]+Y896-SUM(Первоначальный[[#This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комиссиям]]),VLOOKUP(LOOKUP(,-1/($Z$12:Z897=1),$A$12:A897),График[[Срок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платеж]]+Y896-SUM(Первоначальный[[#This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S896&gt;0,MIN(Первоначальный[[#This Row],[Полученный платеж]]+Y896-SUM(Первоначальный[[#This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комиссиям]]),SUM(INDIRECT("M"&amp;(MAX((1=S$12:S896)*ROW(S$12:S896),ROW($W$12))&amp;":M"&amp;(ROW()))))-SUM(INDIRECT("W"&amp;(MAX((1=S$12:S896)*ROW(S$12:S896),ROW($W$12))&amp;":W"&amp;(ROW()-1)))))
)
)</f>
        <v>0</v>
      </c>
      <c r="X897" s="55">
        <f t="shared" ca="1" si="158"/>
        <v>0</v>
      </c>
      <c r="Y897" s="101">
        <f t="shared" ca="1" si="165"/>
        <v>0</v>
      </c>
      <c r="Z897" s="133" t="str">
        <f>IF(TYPE((VLOOKUP(Первоначальный[[#This Row],[Дата платежа]],График[Срок конец],1,0)))=16,"",1)</f>
        <v/>
      </c>
      <c r="AA897" s="57"/>
      <c r="AB897" s="134"/>
      <c r="AC89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9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64285.859999999928</v>
      </c>
      <c r="AE89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2841.6599999999917</v>
      </c>
      <c r="AF89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9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155834.83809999988</v>
      </c>
      <c r="AH897" s="55"/>
      <c r="AI897" s="55"/>
      <c r="AJ897" s="55"/>
      <c r="AK897" s="101">
        <f t="shared" ca="1" si="166"/>
        <v>372595.6980999998</v>
      </c>
      <c r="AL897" s="129">
        <f t="array" ref="AL897">MAX((УслРестрактов[Характеристика]="Дата реструктуризации")*(УслРестрактов[Значение]=Первоначальный!$A897),0)</f>
        <v>0</v>
      </c>
    </row>
    <row r="898" spans="1:38" x14ac:dyDescent="0.25">
      <c r="A898" s="97">
        <f t="shared" si="159"/>
        <v>45029</v>
      </c>
      <c r="B898" s="100">
        <f t="shared" ca="1" si="160"/>
        <v>149633.34</v>
      </c>
      <c r="C898" s="55">
        <f t="shared" ca="1" si="170"/>
        <v>64285.859999999928</v>
      </c>
      <c r="D898" s="55">
        <f t="shared" ca="1" si="170"/>
        <v>2841.6599999999917</v>
      </c>
      <c r="E898" s="55">
        <f t="shared" ca="1" si="161"/>
        <v>0</v>
      </c>
      <c r="F898" s="55">
        <f t="shared" ca="1" si="162"/>
        <v>155834.83809999988</v>
      </c>
      <c r="G898" s="101">
        <f t="shared" ca="1" si="163"/>
        <v>372595.6980999998</v>
      </c>
      <c r="H898" s="100">
        <f ca="1">ROUND($B898*VLOOKUP($A898,$A$1:$B$10,2,1)/(365+IF(MOD(YEAR($A898),4),0,1)*($A898-$A897)),2)-Первоначальный[[#This Row],[Проценты на просроченный платеж по ОД за период]]</f>
        <v>73.87</v>
      </c>
      <c r="I898" s="55">
        <f t="shared" ca="1" si="164"/>
        <v>7.71</v>
      </c>
      <c r="J898" s="55">
        <v>0</v>
      </c>
      <c r="K898" s="55">
        <f t="shared" ca="1" si="167"/>
        <v>391.02850327868845</v>
      </c>
      <c r="L898" s="55">
        <v>0</v>
      </c>
      <c r="M898" s="113">
        <f>SUMIFS(График[Возврат основной суммы долга],График[Дата с учетом нерабочих дней],$A898)</f>
        <v>0</v>
      </c>
      <c r="N898" s="56">
        <f>SUMIFS(График[Возврат начисленных %],График[Дата с учетом нерабочих дней],$A898)</f>
        <v>0</v>
      </c>
      <c r="O898" s="101">
        <v>0</v>
      </c>
      <c r="P898" s="100" cm="1">
        <f t="array" aca="1" ref="P898" ca="1">MAX(IF(AA897="Да",0,SUM(INDIRECT("M"&amp;(MAX(("Да"=AA$12:AA897)*ROW(AA$12:AA897)+1,ROW($P$12))&amp;":M"&amp;(ROW()))))-SUM(INDIRECT("W"&amp;(MAX(("Да"=AA$12:AA897)*ROW(AA$12:AA897)+1,ROW($P$12))&amp;":W"&amp;(ROW()))))),0)</f>
        <v>14143.740000000002</v>
      </c>
      <c r="Q898" s="99">
        <f ca="1">MAX(SUM($N$13:N898)-SUM($T$13:T898),0)</f>
        <v>64061.960655737683</v>
      </c>
      <c r="R898" s="99">
        <f ca="1">Первоначальный[[#This Row],[Просроченный платеж по ОД]]+Первоначальный[[#This Row],[Просроченный платеж по процентам]]</f>
        <v>78205.700655737688</v>
      </c>
      <c r="S898" s="120">
        <f ca="1">IF(Первоначальный[[#This Row],[Просроченный платеж]]&lt;1,0,S897+1)</f>
        <v>794</v>
      </c>
      <c r="T898" s="100" cm="1">
        <f t="array" aca="1" ref="T898" ca="1">IF(Первоначальный[[#This Row],[Итого остаток на начало периода]]&lt;1,0,
IF(
AND(TYPE(VLOOKUP(1,$Z$12:Z898,1,0))=16,Первоначальный[[#This Row],[Досрочное погашение (да/"")]]=""),0,
_xlfn.IFS(AND(S897=0,Первоначальный[[#This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платеж]]&lt;&gt;0),MIN(LOOKUP(,-1/($Z$12:Z898=1),$C$12:C898)+LOOKUP(,-1/($Z$12:Z898=1),$H$12:H898),Первоначальный[[#This Row],[Полученный платеж]]+Y897),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платеж]]+Y897,SUM(Первоначальный[[#This Row],[Остаток процентов на начало периода]],Первоначальный[[#This Row],[Проценты за период]])),
AND(S897=0,Первоначальный[[#This Row],[Дата платежа из графика]]=""),0,
AND(S897=0,Первоначальный[[#This Row],[Дата платежа из графика]]=1,MAX((0&lt;&gt;S$12:S897)*ROW(S$12:S897),ROW($S$12))&gt;=MAX((1=Z$12:Z897)*ROW(Z$12:Z897),ROW($T$12)),TYPE(VLOOKUP("Да",(INDIRECT("AA"&amp;(MAX((1=Z$12:Z897)*ROW(Z$12:Z897),ROW($T$12))&amp;":AA"&amp;(ROW()-1)))),1,0))=16),MIN(LOOKUP(,-1/($Z$12:Z898=1),$C$12:C898)+LOOKUP(,-1/($Z$12:Z898=1),$H$12:H898),Первоначальный[[#This Row],[Полученный платеж]]+Y897),
AND(S897=0,TYPE(VLOOKUP("Да",(INDIRECT("AA"&amp;(MAX((1=Z$12:Z897)*ROW(Z$12:Z897),ROW($T$12))&amp;":AA"&amp;(ROW()-1)))),1,0))&lt;&gt;16),MIN(LOOKUP(,-1/($Z$12:Z898=1),$C$12:C898)+LOOKUP(,-1/($Z$12:Z898=1),$H$12:H898)-IF(AA897="Да",0,SUM(INDIRECT("T"&amp;(MAX(("Да"=AA$12:AA897)*ROW(AA$12:AA897)+1,ROW($T$12))&amp;":T"&amp;(ROW()-1))))),Первоначальный[[#This Row],[Полученный платеж]]+Y897),
AND(S897=0,MAX((0&lt;&gt;N$12:N897)*ROW(N$12:N897),ROW($S$12))&gt;=MAX((1=Z$12:Z897)*ROW(Z$12:Z897),ROW($T$12))),MIN(LOOKUP(,-1/($Z$12:Z898=1),$C$12:C898)+LOOKUP(,-1/($Z$12:Z898=1),$H$12:H898)-IF(N897&lt;&gt;0,0,SUM(INDIRECT("T"&amp;(MAX((0&lt;&gt;N$12:N897)*ROW(N$12:N897)+1,ROW($T$12))&amp;":T"&amp;(ROW()-1))))),Первоначальный[[#This Row],[Полученный платеж]]+Y897),
AND(S897=0,Первоначальный[[#This Row],[Дата платежа из графика]]=1),MIN(LOOKUP(,-1/($Z$12:Z898=1),$C$12:C898)+LOOKUP(,-1/($Z$12:Z898=1),$H$12:H898)-IF(Z897=1,0,SUM(INDIRECT("T"&amp;(MAX((1=Z$12:Z897)*ROW(Z$12:Z897)+1,ROW($T$12))&amp;":T"&amp;(ROW()-1))))),Первоначальный[[#This Row],[Полученный платеж]]+Y897),
AND(Z897&gt;0,Первоначальный[[#This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платеж]]+Y897),
AND(S897&gt;0,MAX((0&lt;&gt;S$12:S897)*ROW(S$12:S897),ROW($S$12))&gt;=MAX((1=Z$12:Z897)*ROW(Z$12:Z897),ROW($T$12)),TYPE(VLOOKUP("Да",(INDIRECT("AA"&amp;(MAX((1=Z$12:Z897)*ROW(Z$12:Z897),ROW($T$12))&amp;":AA"&amp;(ROW()-1)))),1,0))=16),MIN(LOOKUP(,-1/($Z$12:Z898=1),$C$12:C898)+LOOKUP(,-1/($Z$12:Z898=1),$H$12:H898)-SUM(INDIRECT("T"&amp;(MAX((1=Z$12:Z897)*ROW(Z$12:Z897),ROW($T$12))&amp;":T"&amp;(ROW()-1)))),Первоначальный[[#This Row],[Полученный платеж]]+Y897),
S897&gt;0,MIN(LOOKUP(,-1/($Z$12:Z898=1),$C$12:C898)+LOOKUP(,-1/($Z$12:Z898=1),$H$12:H898)-IF(Z897=1,0,SUM(INDIRECT("T"&amp;(MAX((1=Z$12:Z897)*ROW(Z$12:Z897)+1,ROW($T$12))&amp;":T"&amp;(ROW()-1))))),Первоначальный[[#This Row],[Полученный платеж]]+Y897)
)
)
)</f>
        <v>0</v>
      </c>
      <c r="U89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платеж]]+Y897-Первоначальный[[#This Row],[Полученный платёж по процентам]])</f>
        <v>0</v>
      </c>
      <c r="V898" s="55">
        <f t="shared" ca="1" si="157"/>
        <v>0</v>
      </c>
      <c r="W898" s="55" cm="1">
        <f t="array" aca="1" ref="W898" ca="1">IF(Первоначальный[[#This Row],[Итого остаток на начало периода]]&lt;1,0,
_xlfn.IFS(
AND(TYPE(VLOOKUP(1,$Z$12:Z898,1,0))=16,Первоначальный[[#This Row],[Досрочное погашение (да/"")]]=""),0,
AND(S897=0,Первоначальный[[#This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платеж]]+Y897-SUM(Первоначальный[[#This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комиссиям]]),VLOOKUP(LOOKUP(,-1/($Z$12:Z898=1),$A$12:A898),График[[Срок конец]:[Возврат основной суммы долга]],3,0)),
AND(S897=0,Первоначальный[[#This Row],[Дата платежа из графика]]="",Первоначальный[[#This Row],[Досрочное погашение (да/"")]]&lt;&gt;"Да"),0,
AND(S897=0,Первоначальный[[#This Row],[Досрочное погашение (да/"")]]=""),MIN(Первоначальный[[#This Row],[Полученный платеж]]+Y897-SUM(Первоначальный[[#This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комиссиям]]),VLOOKUP(LOOKUP(,-1/($Z$12:Z898=1),$A$12:A898),График[[Срок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платеж]]+Y897-SUM(Первоначальный[[#This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S897&gt;0,MIN(Первоначальный[[#This Row],[Полученный платеж]]+Y897-SUM(Первоначальный[[#This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комиссиям]]),SUM(INDIRECT("M"&amp;(MAX((1=S$12:S897)*ROW(S$12:S897),ROW($W$12))&amp;":M"&amp;(ROW()))))-SUM(INDIRECT("W"&amp;(MAX((1=S$12:S897)*ROW(S$12:S897),ROW($W$12))&amp;":W"&amp;(ROW()-1)))))
)
)</f>
        <v>0</v>
      </c>
      <c r="X898" s="55">
        <f t="shared" ca="1" si="158"/>
        <v>0</v>
      </c>
      <c r="Y898" s="101">
        <f t="shared" ca="1" si="165"/>
        <v>0</v>
      </c>
      <c r="Z898" s="133" t="str">
        <f>IF(TYPE((VLOOKUP(Первоначальный[[#This Row],[Дата платежа]],График[Срок конец],1,0)))=16,"",1)</f>
        <v/>
      </c>
      <c r="AA898" s="57"/>
      <c r="AB898" s="134"/>
      <c r="AC89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9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64359.72999999993</v>
      </c>
      <c r="AE89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2849.3699999999917</v>
      </c>
      <c r="AF89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9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156225.86660327855</v>
      </c>
      <c r="AH898" s="55"/>
      <c r="AI898" s="55"/>
      <c r="AJ898" s="55"/>
      <c r="AK898" s="101">
        <f t="shared" ca="1" si="166"/>
        <v>373068.3066032785</v>
      </c>
      <c r="AL898" s="129">
        <f t="array" ref="AL898">MAX((УслРестрактов[Характеристика]="Дата реструктуризации")*(УслРестрактов[Значение]=Первоначальный!$A898),0)</f>
        <v>0</v>
      </c>
    </row>
    <row r="899" spans="1:38" x14ac:dyDescent="0.25">
      <c r="A899" s="97">
        <f t="shared" si="159"/>
        <v>45030</v>
      </c>
      <c r="B899" s="100">
        <f t="shared" ca="1" si="160"/>
        <v>149633.34</v>
      </c>
      <c r="C899" s="55">
        <f t="shared" ca="1" si="170"/>
        <v>64359.72999999993</v>
      </c>
      <c r="D899" s="55">
        <f t="shared" ca="1" si="170"/>
        <v>2849.3699999999917</v>
      </c>
      <c r="E899" s="55">
        <f t="shared" ca="1" si="161"/>
        <v>0</v>
      </c>
      <c r="F899" s="55">
        <f t="shared" ca="1" si="162"/>
        <v>156225.86660327855</v>
      </c>
      <c r="G899" s="101">
        <f t="shared" ca="1" si="163"/>
        <v>373068.3066032785</v>
      </c>
      <c r="H899" s="100">
        <f ca="1">ROUND($B899*VLOOKUP($A899,$A$1:$B$10,2,1)/(365+IF(MOD(YEAR($A899),4),0,1)*($A899-$A898)),2)-Первоначальный[[#This Row],[Проценты на просроченный платеж по ОД за период]]</f>
        <v>73.87</v>
      </c>
      <c r="I899" s="55">
        <f t="shared" ca="1" si="164"/>
        <v>7.71</v>
      </c>
      <c r="J899" s="55">
        <v>0</v>
      </c>
      <c r="K899" s="55">
        <f t="shared" ca="1" si="167"/>
        <v>391.02850327868845</v>
      </c>
      <c r="L899" s="55">
        <v>0</v>
      </c>
      <c r="M899" s="113">
        <f>SUMIFS(График[Возврат основной суммы долга],График[Дата с учетом нерабочих дней],$A899)</f>
        <v>0</v>
      </c>
      <c r="N899" s="56">
        <f>SUMIFS(График[Возврат начисленных %],График[Дата с учетом нерабочих дней],$A899)</f>
        <v>0</v>
      </c>
      <c r="O899" s="101">
        <v>0</v>
      </c>
      <c r="P899" s="100" cm="1">
        <f t="array" aca="1" ref="P899" ca="1">MAX(IF(AA898="Да",0,SUM(INDIRECT("M"&amp;(MAX(("Да"=AA$12:AA898)*ROW(AA$12:AA898)+1,ROW($P$12))&amp;":M"&amp;(ROW()))))-SUM(INDIRECT("W"&amp;(MAX(("Да"=AA$12:AA898)*ROW(AA$12:AA898)+1,ROW($P$12))&amp;":W"&amp;(ROW()))))),0)</f>
        <v>14143.740000000002</v>
      </c>
      <c r="Q899" s="99">
        <f ca="1">MAX(SUM($N$13:N899)-SUM($T$13:T899),0)</f>
        <v>64061.960655737683</v>
      </c>
      <c r="R899" s="99">
        <f ca="1">Первоначальный[[#This Row],[Просроченный платеж по ОД]]+Первоначальный[[#This Row],[Просроченный платеж по процентам]]</f>
        <v>78205.700655737688</v>
      </c>
      <c r="S899" s="120">
        <f ca="1">IF(Первоначальный[[#This Row],[Просроченный платеж]]&lt;1,0,S898+1)</f>
        <v>795</v>
      </c>
      <c r="T899" s="100" cm="1">
        <f t="array" aca="1" ref="T899" ca="1">IF(Первоначальный[[#This Row],[Итого остаток на начало периода]]&lt;1,0,
IF(
AND(TYPE(VLOOKUP(1,$Z$12:Z899,1,0))=16,Первоначальный[[#This Row],[Досрочное погашение (да/"")]]=""),0,
_xlfn.IFS(AND(S898=0,Первоначальный[[#This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платеж]]&lt;&gt;0),MIN(LOOKUP(,-1/($Z$12:Z899=1),$C$12:C899)+LOOKUP(,-1/($Z$12:Z899=1),$H$12:H899),Первоначальный[[#This Row],[Полученный платеж]]+Y898),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платеж]]+Y898,SUM(Первоначальный[[#This Row],[Остаток процентов на начало периода]],Первоначальный[[#This Row],[Проценты за период]])),
AND(S898=0,Первоначальный[[#This Row],[Дата платежа из графика]]=""),0,
AND(S898=0,Первоначальный[[#This Row],[Дата платежа из графика]]=1,MAX((0&lt;&gt;S$12:S898)*ROW(S$12:S898),ROW($S$12))&gt;=MAX((1=Z$12:Z898)*ROW(Z$12:Z898),ROW($T$12)),TYPE(VLOOKUP("Да",(INDIRECT("AA"&amp;(MAX((1=Z$12:Z898)*ROW(Z$12:Z898),ROW($T$12))&amp;":AA"&amp;(ROW()-1)))),1,0))=16),MIN(LOOKUP(,-1/($Z$12:Z899=1),$C$12:C899)+LOOKUP(,-1/($Z$12:Z899=1),$H$12:H899),Первоначальный[[#This Row],[Полученный платеж]]+Y898),
AND(S898=0,TYPE(VLOOKUP("Да",(INDIRECT("AA"&amp;(MAX((1=Z$12:Z898)*ROW(Z$12:Z898),ROW($T$12))&amp;":AA"&amp;(ROW()-1)))),1,0))&lt;&gt;16),MIN(LOOKUP(,-1/($Z$12:Z899=1),$C$12:C899)+LOOKUP(,-1/($Z$12:Z899=1),$H$12:H899)-IF(AA898="Да",0,SUM(INDIRECT("T"&amp;(MAX(("Да"=AA$12:AA898)*ROW(AA$12:AA898)+1,ROW($T$12))&amp;":T"&amp;(ROW()-1))))),Первоначальный[[#This Row],[Полученный платеж]]+Y898),
AND(S898=0,MAX((0&lt;&gt;N$12:N898)*ROW(N$12:N898),ROW($S$12))&gt;=MAX((1=Z$12:Z898)*ROW(Z$12:Z898),ROW($T$12))),MIN(LOOKUP(,-1/($Z$12:Z899=1),$C$12:C899)+LOOKUP(,-1/($Z$12:Z899=1),$H$12:H899)-IF(N898&lt;&gt;0,0,SUM(INDIRECT("T"&amp;(MAX((0&lt;&gt;N$12:N898)*ROW(N$12:N898)+1,ROW($T$12))&amp;":T"&amp;(ROW()-1))))),Первоначальный[[#This Row],[Полученный платеж]]+Y898),
AND(S898=0,Первоначальный[[#This Row],[Дата платежа из графика]]=1),MIN(LOOKUP(,-1/($Z$12:Z899=1),$C$12:C899)+LOOKUP(,-1/($Z$12:Z899=1),$H$12:H899)-IF(Z898=1,0,SUM(INDIRECT("T"&amp;(MAX((1=Z$12:Z898)*ROW(Z$12:Z898)+1,ROW($T$12))&amp;":T"&amp;(ROW()-1))))),Первоначальный[[#This Row],[Полученный платеж]]+Y898),
AND(Z898&gt;0,Первоначальный[[#This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платеж]]+Y898),
AND(S898&gt;0,MAX((0&lt;&gt;S$12:S898)*ROW(S$12:S898),ROW($S$12))&gt;=MAX((1=Z$12:Z898)*ROW(Z$12:Z898),ROW($T$12)),TYPE(VLOOKUP("Да",(INDIRECT("AA"&amp;(MAX((1=Z$12:Z898)*ROW(Z$12:Z898),ROW($T$12))&amp;":AA"&amp;(ROW()-1)))),1,0))=16),MIN(LOOKUP(,-1/($Z$12:Z899=1),$C$12:C899)+LOOKUP(,-1/($Z$12:Z899=1),$H$12:H899)-SUM(INDIRECT("T"&amp;(MAX((1=Z$12:Z898)*ROW(Z$12:Z898),ROW($T$12))&amp;":T"&amp;(ROW()-1)))),Первоначальный[[#This Row],[Полученный платеж]]+Y898),
S898&gt;0,MIN(LOOKUP(,-1/($Z$12:Z899=1),$C$12:C899)+LOOKUP(,-1/($Z$12:Z899=1),$H$12:H899)-IF(Z898=1,0,SUM(INDIRECT("T"&amp;(MAX((1=Z$12:Z898)*ROW(Z$12:Z898)+1,ROW($T$12))&amp;":T"&amp;(ROW()-1))))),Первоначальный[[#This Row],[Полученный платеж]]+Y898)
)
)
)</f>
        <v>0</v>
      </c>
      <c r="U89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платеж]]+Y898-Первоначальный[[#This Row],[Полученный платёж по процентам]])</f>
        <v>0</v>
      </c>
      <c r="V899" s="55">
        <f t="shared" ca="1" si="157"/>
        <v>0</v>
      </c>
      <c r="W899" s="55" cm="1">
        <f t="array" aca="1" ref="W899" ca="1">IF(Первоначальный[[#This Row],[Итого остаток на начало периода]]&lt;1,0,
_xlfn.IFS(
AND(TYPE(VLOOKUP(1,$Z$12:Z899,1,0))=16,Первоначальный[[#This Row],[Досрочное погашение (да/"")]]=""),0,
AND(S898=0,Первоначальный[[#This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платеж]]+Y898-SUM(Первоначальный[[#This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комиссиям]]),VLOOKUP(LOOKUP(,-1/($Z$12:Z899=1),$A$12:A899),График[[Срок конец]:[Возврат основной суммы долга]],3,0)),
AND(S898=0,Первоначальный[[#This Row],[Дата платежа из графика]]="",Первоначальный[[#This Row],[Досрочное погашение (да/"")]]&lt;&gt;"Да"),0,
AND(S898=0,Первоначальный[[#This Row],[Досрочное погашение (да/"")]]=""),MIN(Первоначальный[[#This Row],[Полученный платеж]]+Y898-SUM(Первоначальный[[#This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комиссиям]]),VLOOKUP(LOOKUP(,-1/($Z$12:Z899=1),$A$12:A899),График[[Срок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платеж]]+Y898-SUM(Первоначальный[[#This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S898&gt;0,MIN(Первоначальный[[#This Row],[Полученный платеж]]+Y898-SUM(Первоначальный[[#This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комиссиям]]),SUM(INDIRECT("M"&amp;(MAX((1=S$12:S898)*ROW(S$12:S898),ROW($W$12))&amp;":M"&amp;(ROW()))))-SUM(INDIRECT("W"&amp;(MAX((1=S$12:S898)*ROW(S$12:S898),ROW($W$12))&amp;":W"&amp;(ROW()-1)))))
)
)</f>
        <v>0</v>
      </c>
      <c r="X899" s="55">
        <f t="shared" ca="1" si="158"/>
        <v>0</v>
      </c>
      <c r="Y899" s="101">
        <f t="shared" ca="1" si="165"/>
        <v>0</v>
      </c>
      <c r="Z899" s="133" t="str">
        <f>IF(TYPE((VLOOKUP(Первоначальный[[#This Row],[Дата платежа]],График[Срок конец],1,0)))=16,"",1)</f>
        <v/>
      </c>
      <c r="AA899" s="57"/>
      <c r="AB899" s="134"/>
      <c r="AC89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89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64433.599999999933</v>
      </c>
      <c r="AE89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2857.0799999999917</v>
      </c>
      <c r="AF89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89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156616.89510655723</v>
      </c>
      <c r="AH899" s="55"/>
      <c r="AI899" s="55"/>
      <c r="AJ899" s="55"/>
      <c r="AK899" s="101">
        <f t="shared" ca="1" si="166"/>
        <v>373540.91510655719</v>
      </c>
      <c r="AL899" s="129">
        <f t="array" ref="AL899">MAX((УслРестрактов[Характеристика]="Дата реструктуризации")*(УслРестрактов[Значение]=Первоначальный!$A899),0)</f>
        <v>0</v>
      </c>
    </row>
    <row r="900" spans="1:38" x14ac:dyDescent="0.25">
      <c r="A900" s="97">
        <f t="shared" si="159"/>
        <v>45031</v>
      </c>
      <c r="B900" s="100">
        <f t="shared" ca="1" si="160"/>
        <v>149633.34</v>
      </c>
      <c r="C900" s="55">
        <f t="shared" ca="1" si="170"/>
        <v>64433.599999999933</v>
      </c>
      <c r="D900" s="55">
        <f t="shared" ca="1" si="170"/>
        <v>2857.0799999999917</v>
      </c>
      <c r="E900" s="55">
        <f t="shared" ca="1" si="161"/>
        <v>0</v>
      </c>
      <c r="F900" s="55">
        <f t="shared" ca="1" si="162"/>
        <v>156616.89510655723</v>
      </c>
      <c r="G900" s="101">
        <f t="shared" ca="1" si="163"/>
        <v>373540.91510655719</v>
      </c>
      <c r="H900" s="100">
        <f ca="1">ROUND($B900*VLOOKUP($A900,$A$1:$B$10,2,1)/(365+IF(MOD(YEAR($A900),4),0,1)*($A900-$A899)),2)-Первоначальный[[#This Row],[Проценты на просроченный платеж по ОД за период]]</f>
        <v>73.87</v>
      </c>
      <c r="I900" s="55">
        <f t="shared" ca="1" si="164"/>
        <v>7.71</v>
      </c>
      <c r="J900" s="55">
        <v>0</v>
      </c>
      <c r="K900" s="55">
        <f t="shared" ca="1" si="167"/>
        <v>391.02850327868845</v>
      </c>
      <c r="L900" s="55">
        <v>0</v>
      </c>
      <c r="M900" s="113">
        <f>SUMIFS(График[Возврат основной суммы долга],График[Дата с учетом нерабочих дней],$A900)</f>
        <v>0</v>
      </c>
      <c r="N900" s="56">
        <f>SUMIFS(График[Возврат начисленных %],График[Дата с учетом нерабочих дней],$A900)</f>
        <v>0</v>
      </c>
      <c r="O900" s="101">
        <v>0</v>
      </c>
      <c r="P900" s="100" cm="1">
        <f t="array" aca="1" ref="P900" ca="1">MAX(IF(AA899="Да",0,SUM(INDIRECT("M"&amp;(MAX(("Да"=AA$12:AA899)*ROW(AA$12:AA899)+1,ROW($P$12))&amp;":M"&amp;(ROW()))))-SUM(INDIRECT("W"&amp;(MAX(("Да"=AA$12:AA899)*ROW(AA$12:AA899)+1,ROW($P$12))&amp;":W"&amp;(ROW()))))),0)</f>
        <v>14143.740000000002</v>
      </c>
      <c r="Q900" s="99">
        <f ca="1">MAX(SUM($N$13:N900)-SUM($T$13:T900),0)</f>
        <v>64061.960655737683</v>
      </c>
      <c r="R900" s="99">
        <f ca="1">Первоначальный[[#This Row],[Просроченный платеж по ОД]]+Первоначальный[[#This Row],[Просроченный платеж по процентам]]</f>
        <v>78205.700655737688</v>
      </c>
      <c r="S900" s="120">
        <f ca="1">IF(Первоначальный[[#This Row],[Просроченный платеж]]&lt;1,0,S899+1)</f>
        <v>796</v>
      </c>
      <c r="T900" s="100" cm="1">
        <f t="array" aca="1" ref="T900" ca="1">IF(Первоначальный[[#This Row],[Итого остаток на начало периода]]&lt;1,0,
IF(
AND(TYPE(VLOOKUP(1,$Z$12:Z900,1,0))=16,Первоначальный[[#This Row],[Досрочное погашение (да/"")]]=""),0,
_xlfn.IFS(AND(S899=0,Первоначальный[[#This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платеж]]&lt;&gt;0),MIN(LOOKUP(,-1/($Z$12:Z900=1),$C$12:C900)+LOOKUP(,-1/($Z$12:Z900=1),$H$12:H900),Первоначальный[[#This Row],[Полученный платеж]]+Y899),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платеж]]+Y899,SUM(Первоначальный[[#This Row],[Остаток процентов на начало периода]],Первоначальный[[#This Row],[Проценты за период]])),
AND(S899=0,Первоначальный[[#This Row],[Дата платежа из графика]]=""),0,
AND(S899=0,Первоначальный[[#This Row],[Дата платежа из графика]]=1,MAX((0&lt;&gt;S$12:S899)*ROW(S$12:S899),ROW($S$12))&gt;=MAX((1=Z$12:Z899)*ROW(Z$12:Z899),ROW($T$12)),TYPE(VLOOKUP("Да",(INDIRECT("AA"&amp;(MAX((1=Z$12:Z899)*ROW(Z$12:Z899),ROW($T$12))&amp;":AA"&amp;(ROW()-1)))),1,0))=16),MIN(LOOKUP(,-1/($Z$12:Z900=1),$C$12:C900)+LOOKUP(,-1/($Z$12:Z900=1),$H$12:H900),Первоначальный[[#This Row],[Полученный платеж]]+Y899),
AND(S899=0,TYPE(VLOOKUP("Да",(INDIRECT("AA"&amp;(MAX((1=Z$12:Z899)*ROW(Z$12:Z899),ROW($T$12))&amp;":AA"&amp;(ROW()-1)))),1,0))&lt;&gt;16),MIN(LOOKUP(,-1/($Z$12:Z900=1),$C$12:C900)+LOOKUP(,-1/($Z$12:Z900=1),$H$12:H900)-IF(AA899="Да",0,SUM(INDIRECT("T"&amp;(MAX(("Да"=AA$12:AA899)*ROW(AA$12:AA899)+1,ROW($T$12))&amp;":T"&amp;(ROW()-1))))),Первоначальный[[#This Row],[Полученный платеж]]+Y899),
AND(S899=0,MAX((0&lt;&gt;N$12:N899)*ROW(N$12:N899),ROW($S$12))&gt;=MAX((1=Z$12:Z899)*ROW(Z$12:Z899),ROW($T$12))),MIN(LOOKUP(,-1/($Z$12:Z900=1),$C$12:C900)+LOOKUP(,-1/($Z$12:Z900=1),$H$12:H900)-IF(N899&lt;&gt;0,0,SUM(INDIRECT("T"&amp;(MAX((0&lt;&gt;N$12:N899)*ROW(N$12:N899)+1,ROW($T$12))&amp;":T"&amp;(ROW()-1))))),Первоначальный[[#This Row],[Полученный платеж]]+Y899),
AND(S899=0,Первоначальный[[#This Row],[Дата платежа из графика]]=1),MIN(LOOKUP(,-1/($Z$12:Z900=1),$C$12:C900)+LOOKUP(,-1/($Z$12:Z900=1),$H$12:H900)-IF(Z899=1,0,SUM(INDIRECT("T"&amp;(MAX((1=Z$12:Z899)*ROW(Z$12:Z899)+1,ROW($T$12))&amp;":T"&amp;(ROW()-1))))),Первоначальный[[#This Row],[Полученный платеж]]+Y899),
AND(Z899&gt;0,Первоначальный[[#This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платеж]]+Y899),
AND(S899&gt;0,MAX((0&lt;&gt;S$12:S899)*ROW(S$12:S899),ROW($S$12))&gt;=MAX((1=Z$12:Z899)*ROW(Z$12:Z899),ROW($T$12)),TYPE(VLOOKUP("Да",(INDIRECT("AA"&amp;(MAX((1=Z$12:Z899)*ROW(Z$12:Z899),ROW($T$12))&amp;":AA"&amp;(ROW()-1)))),1,0))=16),MIN(LOOKUP(,-1/($Z$12:Z900=1),$C$12:C900)+LOOKUP(,-1/($Z$12:Z900=1),$H$12:H900)-SUM(INDIRECT("T"&amp;(MAX((1=Z$12:Z899)*ROW(Z$12:Z899),ROW($T$12))&amp;":T"&amp;(ROW()-1)))),Первоначальный[[#This Row],[Полученный платеж]]+Y899),
S899&gt;0,MIN(LOOKUP(,-1/($Z$12:Z900=1),$C$12:C900)+LOOKUP(,-1/($Z$12:Z900=1),$H$12:H900)-IF(Z899=1,0,SUM(INDIRECT("T"&amp;(MAX((1=Z$12:Z899)*ROW(Z$12:Z899)+1,ROW($T$12))&amp;":T"&amp;(ROW()-1))))),Первоначальный[[#This Row],[Полученный платеж]]+Y899)
)
)
)</f>
        <v>0</v>
      </c>
      <c r="U90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платеж]]+Y899-Первоначальный[[#This Row],[Полученный платёж по процентам]])</f>
        <v>0</v>
      </c>
      <c r="V900" s="55">
        <f t="shared" ca="1" si="157"/>
        <v>0</v>
      </c>
      <c r="W900" s="55" cm="1">
        <f t="array" aca="1" ref="W900" ca="1">IF(Первоначальный[[#This Row],[Итого остаток на начало периода]]&lt;1,0,
_xlfn.IFS(
AND(TYPE(VLOOKUP(1,$Z$12:Z900,1,0))=16,Первоначальный[[#This Row],[Досрочное погашение (да/"")]]=""),0,
AND(S899=0,Первоначальный[[#This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платеж]]+Y899-SUM(Первоначальный[[#This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комиссиям]]),VLOOKUP(LOOKUP(,-1/($Z$12:Z900=1),$A$12:A900),График[[Срок конец]:[Возврат основной суммы долга]],3,0)),
AND(S899=0,Первоначальный[[#This Row],[Дата платежа из графика]]="",Первоначальный[[#This Row],[Досрочное погашение (да/"")]]&lt;&gt;"Да"),0,
AND(S899=0,Первоначальный[[#This Row],[Досрочное погашение (да/"")]]=""),MIN(Первоначальный[[#This Row],[Полученный платеж]]+Y899-SUM(Первоначальный[[#This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комиссиям]]),VLOOKUP(LOOKUP(,-1/($Z$12:Z900=1),$A$12:A900),График[[Срок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платеж]]+Y899-SUM(Первоначальный[[#This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S899&gt;0,MIN(Первоначальный[[#This Row],[Полученный платеж]]+Y899-SUM(Первоначальный[[#This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комиссиям]]),SUM(INDIRECT("M"&amp;(MAX((1=S$12:S899)*ROW(S$12:S899),ROW($W$12))&amp;":M"&amp;(ROW()))))-SUM(INDIRECT("W"&amp;(MAX((1=S$12:S899)*ROW(S$12:S899),ROW($W$12))&amp;":W"&amp;(ROW()-1)))))
)
)</f>
        <v>0</v>
      </c>
      <c r="X900" s="55">
        <f t="shared" ca="1" si="158"/>
        <v>0</v>
      </c>
      <c r="Y900" s="101">
        <f t="shared" ca="1" si="165"/>
        <v>0</v>
      </c>
      <c r="Z900" s="133" t="str">
        <f>IF(TYPE((VLOOKUP(Первоначальный[[#This Row],[Дата платежа]],График[Срок конец],1,0)))=16,"",1)</f>
        <v/>
      </c>
      <c r="AA900" s="57"/>
      <c r="AB900" s="134"/>
      <c r="AC90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0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64507.469999999936</v>
      </c>
      <c r="AE90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2864.7899999999918</v>
      </c>
      <c r="AF90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0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157007.92360983591</v>
      </c>
      <c r="AH900" s="55"/>
      <c r="AI900" s="55"/>
      <c r="AJ900" s="55"/>
      <c r="AK900" s="101">
        <f t="shared" ca="1" si="166"/>
        <v>374013.52360983583</v>
      </c>
      <c r="AL900" s="129">
        <f t="array" ref="AL900">MAX((УслРестрактов[Характеристика]="Дата реструктуризации")*(УслРестрактов[Значение]=Первоначальный!$A900),0)</f>
        <v>0</v>
      </c>
    </row>
    <row r="901" spans="1:38" x14ac:dyDescent="0.25">
      <c r="A901" s="97">
        <f t="shared" si="159"/>
        <v>45032</v>
      </c>
      <c r="B901" s="100">
        <f t="shared" ca="1" si="160"/>
        <v>149633.34</v>
      </c>
      <c r="C901" s="55">
        <f t="shared" ca="1" si="170"/>
        <v>64507.469999999936</v>
      </c>
      <c r="D901" s="55">
        <f t="shared" ca="1" si="170"/>
        <v>2864.7899999999918</v>
      </c>
      <c r="E901" s="55">
        <f t="shared" ca="1" si="161"/>
        <v>0</v>
      </c>
      <c r="F901" s="55">
        <f t="shared" ca="1" si="162"/>
        <v>157007.92360983591</v>
      </c>
      <c r="G901" s="101">
        <f t="shared" ca="1" si="163"/>
        <v>374013.52360983583</v>
      </c>
      <c r="H901" s="100">
        <f ca="1">ROUND($B901*VLOOKUP($A901,$A$1:$B$10,2,1)/(365+IF(MOD(YEAR($A901),4),0,1)*($A901-$A900)),2)-Первоначальный[[#This Row],[Проценты на просроченный платеж по ОД за период]]</f>
        <v>73.87</v>
      </c>
      <c r="I901" s="55">
        <f t="shared" ca="1" si="164"/>
        <v>7.71</v>
      </c>
      <c r="J901" s="55">
        <v>0</v>
      </c>
      <c r="K901" s="55">
        <f t="shared" ca="1" si="167"/>
        <v>391.02850327868845</v>
      </c>
      <c r="L901" s="55">
        <v>0</v>
      </c>
      <c r="M901" s="113">
        <f>SUMIFS(График[Возврат основной суммы долга],График[Дата с учетом нерабочих дней],$A901)</f>
        <v>0</v>
      </c>
      <c r="N901" s="56">
        <f>SUMIFS(График[Возврат начисленных %],График[Дата с учетом нерабочих дней],$A901)</f>
        <v>0</v>
      </c>
      <c r="O901" s="101">
        <v>0</v>
      </c>
      <c r="P901" s="100" cm="1">
        <f t="array" aca="1" ref="P901" ca="1">MAX(IF(AA900="Да",0,SUM(INDIRECT("M"&amp;(MAX(("Да"=AA$12:AA900)*ROW(AA$12:AA900)+1,ROW($P$12))&amp;":M"&amp;(ROW()))))-SUM(INDIRECT("W"&amp;(MAX(("Да"=AA$12:AA900)*ROW(AA$12:AA900)+1,ROW($P$12))&amp;":W"&amp;(ROW()))))),0)</f>
        <v>14143.740000000002</v>
      </c>
      <c r="Q901" s="99">
        <f ca="1">MAX(SUM($N$13:N901)-SUM($T$13:T901),0)</f>
        <v>64061.960655737683</v>
      </c>
      <c r="R901" s="99">
        <f ca="1">Первоначальный[[#This Row],[Просроченный платеж по ОД]]+Первоначальный[[#This Row],[Просроченный платеж по процентам]]</f>
        <v>78205.700655737688</v>
      </c>
      <c r="S901" s="120">
        <f ca="1">IF(Первоначальный[[#This Row],[Просроченный платеж]]&lt;1,0,S900+1)</f>
        <v>797</v>
      </c>
      <c r="T901" s="100" cm="1">
        <f t="array" aca="1" ref="T901" ca="1">IF(Первоначальный[[#This Row],[Итого остаток на начало периода]]&lt;1,0,
IF(
AND(TYPE(VLOOKUP(1,$Z$12:Z901,1,0))=16,Первоначальный[[#This Row],[Досрочное погашение (да/"")]]=""),0,
_xlfn.IFS(AND(S900=0,Первоначальный[[#This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платеж]]&lt;&gt;0),MIN(LOOKUP(,-1/($Z$12:Z901=1),$C$12:C901)+LOOKUP(,-1/($Z$12:Z901=1),$H$12:H901),Первоначальный[[#This Row],[Полученный платеж]]+Y900),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платеж]]+Y900,SUM(Первоначальный[[#This Row],[Остаток процентов на начало периода]],Первоначальный[[#This Row],[Проценты за период]])),
AND(S900=0,Первоначальный[[#This Row],[Дата платежа из графика]]=""),0,
AND(S900=0,Первоначальный[[#This Row],[Дата платежа из графика]]=1,MAX((0&lt;&gt;S$12:S900)*ROW(S$12:S900),ROW($S$12))&gt;=MAX((1=Z$12:Z900)*ROW(Z$12:Z900),ROW($T$12)),TYPE(VLOOKUP("Да",(INDIRECT("AA"&amp;(MAX((1=Z$12:Z900)*ROW(Z$12:Z900),ROW($T$12))&amp;":AA"&amp;(ROW()-1)))),1,0))=16),MIN(LOOKUP(,-1/($Z$12:Z901=1),$C$12:C901)+LOOKUP(,-1/($Z$12:Z901=1),$H$12:H901),Первоначальный[[#This Row],[Полученный платеж]]+Y900),
AND(S900=0,TYPE(VLOOKUP("Да",(INDIRECT("AA"&amp;(MAX((1=Z$12:Z900)*ROW(Z$12:Z900),ROW($T$12))&amp;":AA"&amp;(ROW()-1)))),1,0))&lt;&gt;16),MIN(LOOKUP(,-1/($Z$12:Z901=1),$C$12:C901)+LOOKUP(,-1/($Z$12:Z901=1),$H$12:H901)-IF(AA900="Да",0,SUM(INDIRECT("T"&amp;(MAX(("Да"=AA$12:AA900)*ROW(AA$12:AA900)+1,ROW($T$12))&amp;":T"&amp;(ROW()-1))))),Первоначальный[[#This Row],[Полученный платеж]]+Y900),
AND(S900=0,MAX((0&lt;&gt;N$12:N900)*ROW(N$12:N900),ROW($S$12))&gt;=MAX((1=Z$12:Z900)*ROW(Z$12:Z900),ROW($T$12))),MIN(LOOKUP(,-1/($Z$12:Z901=1),$C$12:C901)+LOOKUP(,-1/($Z$12:Z901=1),$H$12:H901)-IF(N900&lt;&gt;0,0,SUM(INDIRECT("T"&amp;(MAX((0&lt;&gt;N$12:N900)*ROW(N$12:N900)+1,ROW($T$12))&amp;":T"&amp;(ROW()-1))))),Первоначальный[[#This Row],[Полученный платеж]]+Y900),
AND(S900=0,Первоначальный[[#This Row],[Дата платежа из графика]]=1),MIN(LOOKUP(,-1/($Z$12:Z901=1),$C$12:C901)+LOOKUP(,-1/($Z$12:Z901=1),$H$12:H901)-IF(Z900=1,0,SUM(INDIRECT("T"&amp;(MAX((1=Z$12:Z900)*ROW(Z$12:Z900)+1,ROW($T$12))&amp;":T"&amp;(ROW()-1))))),Первоначальный[[#This Row],[Полученный платеж]]+Y900),
AND(Z900&gt;0,Первоначальный[[#This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платеж]]+Y900),
AND(S900&gt;0,MAX((0&lt;&gt;S$12:S900)*ROW(S$12:S900),ROW($S$12))&gt;=MAX((1=Z$12:Z900)*ROW(Z$12:Z900),ROW($T$12)),TYPE(VLOOKUP("Да",(INDIRECT("AA"&amp;(MAX((1=Z$12:Z900)*ROW(Z$12:Z900),ROW($T$12))&amp;":AA"&amp;(ROW()-1)))),1,0))=16),MIN(LOOKUP(,-1/($Z$12:Z901=1),$C$12:C901)+LOOKUP(,-1/($Z$12:Z901=1),$H$12:H901)-SUM(INDIRECT("T"&amp;(MAX((1=Z$12:Z900)*ROW(Z$12:Z900),ROW($T$12))&amp;":T"&amp;(ROW()-1)))),Первоначальный[[#This Row],[Полученный платеж]]+Y900),
S900&gt;0,MIN(LOOKUP(,-1/($Z$12:Z901=1),$C$12:C901)+LOOKUP(,-1/($Z$12:Z901=1),$H$12:H901)-IF(Z900=1,0,SUM(INDIRECT("T"&amp;(MAX((1=Z$12:Z900)*ROW(Z$12:Z900)+1,ROW($T$12))&amp;":T"&amp;(ROW()-1))))),Первоначальный[[#This Row],[Полученный платеж]]+Y900)
)
)
)</f>
        <v>0</v>
      </c>
      <c r="U90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платеж]]+Y900-Первоначальный[[#This Row],[Полученный платёж по процентам]])</f>
        <v>0</v>
      </c>
      <c r="V901" s="55">
        <f t="shared" ca="1" si="157"/>
        <v>0</v>
      </c>
      <c r="W901" s="55" cm="1">
        <f t="array" aca="1" ref="W901" ca="1">IF(Первоначальный[[#This Row],[Итого остаток на начало периода]]&lt;1,0,
_xlfn.IFS(
AND(TYPE(VLOOKUP(1,$Z$12:Z901,1,0))=16,Первоначальный[[#This Row],[Досрочное погашение (да/"")]]=""),0,
AND(S900=0,Первоначальный[[#This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платеж]]+Y900-SUM(Первоначальный[[#This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комиссиям]]),VLOOKUP(LOOKUP(,-1/($Z$12:Z901=1),$A$12:A901),График[[Срок конец]:[Возврат основной суммы долга]],3,0)),
AND(S900=0,Первоначальный[[#This Row],[Дата платежа из графика]]="",Первоначальный[[#This Row],[Досрочное погашение (да/"")]]&lt;&gt;"Да"),0,
AND(S900=0,Первоначальный[[#This Row],[Досрочное погашение (да/"")]]=""),MIN(Первоначальный[[#This Row],[Полученный платеж]]+Y900-SUM(Первоначальный[[#This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комиссиям]]),VLOOKUP(LOOKUP(,-1/($Z$12:Z901=1),$A$12:A901),График[[Срок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платеж]]+Y900-SUM(Первоначальный[[#This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S900&gt;0,MIN(Первоначальный[[#This Row],[Полученный платеж]]+Y900-SUM(Первоначальный[[#This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комиссиям]]),SUM(INDIRECT("M"&amp;(MAX((1=S$12:S900)*ROW(S$12:S900),ROW($W$12))&amp;":M"&amp;(ROW()))))-SUM(INDIRECT("W"&amp;(MAX((1=S$12:S900)*ROW(S$12:S900),ROW($W$12))&amp;":W"&amp;(ROW()-1)))))
)
)</f>
        <v>0</v>
      </c>
      <c r="X901" s="55">
        <f t="shared" ca="1" si="158"/>
        <v>0</v>
      </c>
      <c r="Y901" s="101">
        <f t="shared" ca="1" si="165"/>
        <v>0</v>
      </c>
      <c r="Z901" s="133" t="str">
        <f>IF(TYPE((VLOOKUP(Первоначальный[[#This Row],[Дата платежа]],График[Срок конец],1,0)))=16,"",1)</f>
        <v/>
      </c>
      <c r="AA901" s="57"/>
      <c r="AB901" s="134"/>
      <c r="AC90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0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64581.339999999938</v>
      </c>
      <c r="AE90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2872.4999999999918</v>
      </c>
      <c r="AF90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0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157398.95211311459</v>
      </c>
      <c r="AH901" s="55"/>
      <c r="AI901" s="55"/>
      <c r="AJ901" s="55"/>
      <c r="AK901" s="101">
        <f t="shared" ca="1" si="166"/>
        <v>374486.13211311452</v>
      </c>
      <c r="AL901" s="129">
        <f t="array" ref="AL901">MAX((УслРестрактов[Характеристика]="Дата реструктуризации")*(УслРестрактов[Значение]=Первоначальный!$A901),0)</f>
        <v>0</v>
      </c>
    </row>
    <row r="902" spans="1:38" x14ac:dyDescent="0.25">
      <c r="A902" s="97">
        <f t="shared" si="159"/>
        <v>45033</v>
      </c>
      <c r="B902" s="100">
        <f t="shared" ca="1" si="160"/>
        <v>149633.34</v>
      </c>
      <c r="C902" s="55">
        <f t="shared" ca="1" si="170"/>
        <v>64581.339999999938</v>
      </c>
      <c r="D902" s="55">
        <f t="shared" ca="1" si="170"/>
        <v>2872.4999999999918</v>
      </c>
      <c r="E902" s="55">
        <f t="shared" ca="1" si="161"/>
        <v>0</v>
      </c>
      <c r="F902" s="55">
        <f t="shared" ca="1" si="162"/>
        <v>157398.95211311459</v>
      </c>
      <c r="G902" s="101">
        <f t="shared" ca="1" si="163"/>
        <v>374486.13211311452</v>
      </c>
      <c r="H902" s="100">
        <f ca="1">ROUND($B902*VLOOKUP($A902,$A$1:$B$10,2,1)/(365+IF(MOD(YEAR($A902),4),0,1)*($A902-$A901)),2)-Первоначальный[[#This Row],[Проценты на просроченный платеж по ОД за период]]</f>
        <v>73.87</v>
      </c>
      <c r="I902" s="55">
        <f t="shared" ca="1" si="164"/>
        <v>7.71</v>
      </c>
      <c r="J902" s="55">
        <v>0</v>
      </c>
      <c r="K902" s="55">
        <f t="shared" ca="1" si="167"/>
        <v>391.02850327868845</v>
      </c>
      <c r="L902" s="55">
        <v>0</v>
      </c>
      <c r="M902" s="113">
        <f>SUMIFS(График[Возврат основной суммы долга],График[Дата с учетом нерабочих дней],$A902)</f>
        <v>0</v>
      </c>
      <c r="N902" s="56">
        <f>SUMIFS(График[Возврат начисленных %],График[Дата с учетом нерабочих дней],$A902)</f>
        <v>0</v>
      </c>
      <c r="O902" s="101">
        <v>0</v>
      </c>
      <c r="P902" s="100" cm="1">
        <f t="array" aca="1" ref="P902" ca="1">MAX(IF(AA901="Да",0,SUM(INDIRECT("M"&amp;(MAX(("Да"=AA$12:AA901)*ROW(AA$12:AA901)+1,ROW($P$12))&amp;":M"&amp;(ROW()))))-SUM(INDIRECT("W"&amp;(MAX(("Да"=AA$12:AA901)*ROW(AA$12:AA901)+1,ROW($P$12))&amp;":W"&amp;(ROW()))))),0)</f>
        <v>14143.740000000002</v>
      </c>
      <c r="Q902" s="99">
        <f ca="1">MAX(SUM($N$13:N902)-SUM($T$13:T902),0)</f>
        <v>64061.960655737683</v>
      </c>
      <c r="R902" s="99">
        <f ca="1">Первоначальный[[#This Row],[Просроченный платеж по ОД]]+Первоначальный[[#This Row],[Просроченный платеж по процентам]]</f>
        <v>78205.700655737688</v>
      </c>
      <c r="S902" s="120">
        <f ca="1">IF(Первоначальный[[#This Row],[Просроченный платеж]]&lt;1,0,S901+1)</f>
        <v>798</v>
      </c>
      <c r="T902" s="100" cm="1">
        <f t="array" aca="1" ref="T902" ca="1">IF(Первоначальный[[#This Row],[Итого остаток на начало периода]]&lt;1,0,
IF(
AND(TYPE(VLOOKUP(1,$Z$12:Z902,1,0))=16,Первоначальный[[#This Row],[Досрочное погашение (да/"")]]=""),0,
_xlfn.IFS(AND(S901=0,Первоначальный[[#This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платеж]]&lt;&gt;0),MIN(LOOKUP(,-1/($Z$12:Z902=1),$C$12:C902)+LOOKUP(,-1/($Z$12:Z902=1),$H$12:H902),Первоначальный[[#This Row],[Полученный платеж]]+Y901),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платеж]]+Y901,SUM(Первоначальный[[#This Row],[Остаток процентов на начало периода]],Первоначальный[[#This Row],[Проценты за период]])),
AND(S901=0,Первоначальный[[#This Row],[Дата платежа из графика]]=""),0,
AND(S901=0,Первоначальный[[#This Row],[Дата платежа из графика]]=1,MAX((0&lt;&gt;S$12:S901)*ROW(S$12:S901),ROW($S$12))&gt;=MAX((1=Z$12:Z901)*ROW(Z$12:Z901),ROW($T$12)),TYPE(VLOOKUP("Да",(INDIRECT("AA"&amp;(MAX((1=Z$12:Z901)*ROW(Z$12:Z901),ROW($T$12))&amp;":AA"&amp;(ROW()-1)))),1,0))=16),MIN(LOOKUP(,-1/($Z$12:Z902=1),$C$12:C902)+LOOKUP(,-1/($Z$12:Z902=1),$H$12:H902),Первоначальный[[#This Row],[Полученный платеж]]+Y901),
AND(S901=0,TYPE(VLOOKUP("Да",(INDIRECT("AA"&amp;(MAX((1=Z$12:Z901)*ROW(Z$12:Z901),ROW($T$12))&amp;":AA"&amp;(ROW()-1)))),1,0))&lt;&gt;16),MIN(LOOKUP(,-1/($Z$12:Z902=1),$C$12:C902)+LOOKUP(,-1/($Z$12:Z902=1),$H$12:H902)-IF(AA901="Да",0,SUM(INDIRECT("T"&amp;(MAX(("Да"=AA$12:AA901)*ROW(AA$12:AA901)+1,ROW($T$12))&amp;":T"&amp;(ROW()-1))))),Первоначальный[[#This Row],[Полученный платеж]]+Y901),
AND(S901=0,MAX((0&lt;&gt;N$12:N901)*ROW(N$12:N901),ROW($S$12))&gt;=MAX((1=Z$12:Z901)*ROW(Z$12:Z901),ROW($T$12))),MIN(LOOKUP(,-1/($Z$12:Z902=1),$C$12:C902)+LOOKUP(,-1/($Z$12:Z902=1),$H$12:H902)-IF(N901&lt;&gt;0,0,SUM(INDIRECT("T"&amp;(MAX((0&lt;&gt;N$12:N901)*ROW(N$12:N901)+1,ROW($T$12))&amp;":T"&amp;(ROW()-1))))),Первоначальный[[#This Row],[Полученный платеж]]+Y901),
AND(S901=0,Первоначальный[[#This Row],[Дата платежа из графика]]=1),MIN(LOOKUP(,-1/($Z$12:Z902=1),$C$12:C902)+LOOKUP(,-1/($Z$12:Z902=1),$H$12:H902)-IF(Z901=1,0,SUM(INDIRECT("T"&amp;(MAX((1=Z$12:Z901)*ROW(Z$12:Z901)+1,ROW($T$12))&amp;":T"&amp;(ROW()-1))))),Первоначальный[[#This Row],[Полученный платеж]]+Y901),
AND(Z901&gt;0,Первоначальный[[#This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платеж]]+Y901),
AND(S901&gt;0,MAX((0&lt;&gt;S$12:S901)*ROW(S$12:S901),ROW($S$12))&gt;=MAX((1=Z$12:Z901)*ROW(Z$12:Z901),ROW($T$12)),TYPE(VLOOKUP("Да",(INDIRECT("AA"&amp;(MAX((1=Z$12:Z901)*ROW(Z$12:Z901),ROW($T$12))&amp;":AA"&amp;(ROW()-1)))),1,0))=16),MIN(LOOKUP(,-1/($Z$12:Z902=1),$C$12:C902)+LOOKUP(,-1/($Z$12:Z902=1),$H$12:H902)-SUM(INDIRECT("T"&amp;(MAX((1=Z$12:Z901)*ROW(Z$12:Z901),ROW($T$12))&amp;":T"&amp;(ROW()-1)))),Первоначальный[[#This Row],[Полученный платеж]]+Y901),
S901&gt;0,MIN(LOOKUP(,-1/($Z$12:Z902=1),$C$12:C902)+LOOKUP(,-1/($Z$12:Z902=1),$H$12:H902)-IF(Z901=1,0,SUM(INDIRECT("T"&amp;(MAX((1=Z$12:Z901)*ROW(Z$12:Z901)+1,ROW($T$12))&amp;":T"&amp;(ROW()-1))))),Первоначальный[[#This Row],[Полученный платеж]]+Y901)
)
)
)</f>
        <v>0</v>
      </c>
      <c r="U90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платеж]]+Y901-Первоначальный[[#This Row],[Полученный платёж по процентам]])</f>
        <v>0</v>
      </c>
      <c r="V902" s="55">
        <f t="shared" ca="1" si="157"/>
        <v>0</v>
      </c>
      <c r="W902" s="55" cm="1">
        <f t="array" aca="1" ref="W902" ca="1">IF(Первоначальный[[#This Row],[Итого остаток на начало периода]]&lt;1,0,
_xlfn.IFS(
AND(TYPE(VLOOKUP(1,$Z$12:Z902,1,0))=16,Первоначальный[[#This Row],[Досрочное погашение (да/"")]]=""),0,
AND(S901=0,Первоначальный[[#This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платеж]]+Y901-SUM(Первоначальный[[#This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комиссиям]]),VLOOKUP(LOOKUP(,-1/($Z$12:Z902=1),$A$12:A902),График[[Срок конец]:[Возврат основной суммы долга]],3,0)),
AND(S901=0,Первоначальный[[#This Row],[Дата платежа из графика]]="",Первоначальный[[#This Row],[Досрочное погашение (да/"")]]&lt;&gt;"Да"),0,
AND(S901=0,Первоначальный[[#This Row],[Досрочное погашение (да/"")]]=""),MIN(Первоначальный[[#This Row],[Полученный платеж]]+Y901-SUM(Первоначальный[[#This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комиссиям]]),VLOOKUP(LOOKUP(,-1/($Z$12:Z902=1),$A$12:A902),График[[Срок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платеж]]+Y901-SUM(Первоначальный[[#This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S901&gt;0,MIN(Первоначальный[[#This Row],[Полученный платеж]]+Y901-SUM(Первоначальный[[#This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комиссиям]]),SUM(INDIRECT("M"&amp;(MAX((1=S$12:S901)*ROW(S$12:S901),ROW($W$12))&amp;":M"&amp;(ROW()))))-SUM(INDIRECT("W"&amp;(MAX((1=S$12:S901)*ROW(S$12:S901),ROW($W$12))&amp;":W"&amp;(ROW()-1)))))
)
)</f>
        <v>0</v>
      </c>
      <c r="X902" s="55">
        <f t="shared" ca="1" si="158"/>
        <v>0</v>
      </c>
      <c r="Y902" s="101">
        <f t="shared" ca="1" si="165"/>
        <v>0</v>
      </c>
      <c r="Z902" s="133" t="str">
        <f>IF(TYPE((VLOOKUP(Первоначальный[[#This Row],[Дата платежа]],График[Срок конец],1,0)))=16,"",1)</f>
        <v/>
      </c>
      <c r="AA902" s="57"/>
      <c r="AB902" s="134"/>
      <c r="AC90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0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64655.209999999941</v>
      </c>
      <c r="AE90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2880.2099999999919</v>
      </c>
      <c r="AF90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0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157789.98061639327</v>
      </c>
      <c r="AH902" s="55"/>
      <c r="AI902" s="55"/>
      <c r="AJ902" s="55"/>
      <c r="AK902" s="101">
        <f t="shared" ca="1" si="166"/>
        <v>374958.74061639316</v>
      </c>
      <c r="AL902" s="129">
        <f t="array" ref="AL902">MAX((УслРестрактов[Характеристика]="Дата реструктуризации")*(УслРестрактов[Значение]=Первоначальный!$A902),0)</f>
        <v>0</v>
      </c>
    </row>
    <row r="903" spans="1:38" x14ac:dyDescent="0.25">
      <c r="A903" s="97">
        <f t="shared" si="159"/>
        <v>45034</v>
      </c>
      <c r="B903" s="100">
        <f t="shared" ca="1" si="160"/>
        <v>149633.34</v>
      </c>
      <c r="C903" s="55">
        <f t="shared" ca="1" si="170"/>
        <v>64655.209999999941</v>
      </c>
      <c r="D903" s="55">
        <f t="shared" ca="1" si="170"/>
        <v>2880.2099999999919</v>
      </c>
      <c r="E903" s="55">
        <f t="shared" ca="1" si="161"/>
        <v>0</v>
      </c>
      <c r="F903" s="55">
        <f t="shared" ca="1" si="162"/>
        <v>157789.98061639327</v>
      </c>
      <c r="G903" s="101">
        <f t="shared" ca="1" si="163"/>
        <v>374958.74061639316</v>
      </c>
      <c r="H903" s="100">
        <f ca="1">ROUND($B903*VLOOKUP($A903,$A$1:$B$10,2,1)/(365+IF(MOD(YEAR($A903),4),0,1)*($A903-$A902)),2)-Первоначальный[[#This Row],[Проценты на просроченный платеж по ОД за период]]</f>
        <v>73.87</v>
      </c>
      <c r="I903" s="55">
        <f t="shared" ca="1" si="164"/>
        <v>7.71</v>
      </c>
      <c r="J903" s="55">
        <v>0</v>
      </c>
      <c r="K903" s="55">
        <f t="shared" ca="1" si="167"/>
        <v>391.02850327868845</v>
      </c>
      <c r="L903" s="55">
        <v>0</v>
      </c>
      <c r="M903" s="113">
        <f>SUMIFS(График[Возврат основной суммы долга],График[Дата с учетом нерабочих дней],$A903)</f>
        <v>0</v>
      </c>
      <c r="N903" s="56">
        <f>SUMIFS(График[Возврат начисленных %],График[Дата с учетом нерабочих дней],$A903)</f>
        <v>0</v>
      </c>
      <c r="O903" s="101">
        <v>0</v>
      </c>
      <c r="P903" s="100" cm="1">
        <f t="array" aca="1" ref="P903" ca="1">MAX(IF(AA902="Да",0,SUM(INDIRECT("M"&amp;(MAX(("Да"=AA$12:AA902)*ROW(AA$12:AA902)+1,ROW($P$12))&amp;":M"&amp;(ROW()))))-SUM(INDIRECT("W"&amp;(MAX(("Да"=AA$12:AA902)*ROW(AA$12:AA902)+1,ROW($P$12))&amp;":W"&amp;(ROW()))))),0)</f>
        <v>14143.740000000002</v>
      </c>
      <c r="Q903" s="99">
        <f ca="1">MAX(SUM($N$13:N903)-SUM($T$13:T903),0)</f>
        <v>64061.960655737683</v>
      </c>
      <c r="R903" s="99">
        <f ca="1">Первоначальный[[#This Row],[Просроченный платеж по ОД]]+Первоначальный[[#This Row],[Просроченный платеж по процентам]]</f>
        <v>78205.700655737688</v>
      </c>
      <c r="S903" s="120">
        <f ca="1">IF(Первоначальный[[#This Row],[Просроченный платеж]]&lt;1,0,S902+1)</f>
        <v>799</v>
      </c>
      <c r="T903" s="100" cm="1">
        <f t="array" aca="1" ref="T903" ca="1">IF(Первоначальный[[#This Row],[Итого остаток на начало периода]]&lt;1,0,
IF(
AND(TYPE(VLOOKUP(1,$Z$12:Z903,1,0))=16,Первоначальный[[#This Row],[Досрочное погашение (да/"")]]=""),0,
_xlfn.IFS(AND(S902=0,Первоначальный[[#This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платеж]]&lt;&gt;0),MIN(LOOKUP(,-1/($Z$12:Z903=1),$C$12:C903)+LOOKUP(,-1/($Z$12:Z903=1),$H$12:H903),Первоначальный[[#This Row],[Полученный платеж]]+Y902),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платеж]]+Y902,SUM(Первоначальный[[#This Row],[Остаток процентов на начало периода]],Первоначальный[[#This Row],[Проценты за период]])),
AND(S902=0,Первоначальный[[#This Row],[Дата платежа из графика]]=""),0,
AND(S902=0,Первоначальный[[#This Row],[Дата платежа из графика]]=1,MAX((0&lt;&gt;S$12:S902)*ROW(S$12:S902),ROW($S$12))&gt;=MAX((1=Z$12:Z902)*ROW(Z$12:Z902),ROW($T$12)),TYPE(VLOOKUP("Да",(INDIRECT("AA"&amp;(MAX((1=Z$12:Z902)*ROW(Z$12:Z902),ROW($T$12))&amp;":AA"&amp;(ROW()-1)))),1,0))=16),MIN(LOOKUP(,-1/($Z$12:Z903=1),$C$12:C903)+LOOKUP(,-1/($Z$12:Z903=1),$H$12:H903),Первоначальный[[#This Row],[Полученный платеж]]+Y902),
AND(S902=0,TYPE(VLOOKUP("Да",(INDIRECT("AA"&amp;(MAX((1=Z$12:Z902)*ROW(Z$12:Z902),ROW($T$12))&amp;":AA"&amp;(ROW()-1)))),1,0))&lt;&gt;16),MIN(LOOKUP(,-1/($Z$12:Z903=1),$C$12:C903)+LOOKUP(,-1/($Z$12:Z903=1),$H$12:H903)-IF(AA902="Да",0,SUM(INDIRECT("T"&amp;(MAX(("Да"=AA$12:AA902)*ROW(AA$12:AA902)+1,ROW($T$12))&amp;":T"&amp;(ROW()-1))))),Первоначальный[[#This Row],[Полученный платеж]]+Y902),
AND(S902=0,MAX((0&lt;&gt;N$12:N902)*ROW(N$12:N902),ROW($S$12))&gt;=MAX((1=Z$12:Z902)*ROW(Z$12:Z902),ROW($T$12))),MIN(LOOKUP(,-1/($Z$12:Z903=1),$C$12:C903)+LOOKUP(,-1/($Z$12:Z903=1),$H$12:H903)-IF(N902&lt;&gt;0,0,SUM(INDIRECT("T"&amp;(MAX((0&lt;&gt;N$12:N902)*ROW(N$12:N902)+1,ROW($T$12))&amp;":T"&amp;(ROW()-1))))),Первоначальный[[#This Row],[Полученный платеж]]+Y902),
AND(S902=0,Первоначальный[[#This Row],[Дата платежа из графика]]=1),MIN(LOOKUP(,-1/($Z$12:Z903=1),$C$12:C903)+LOOKUP(,-1/($Z$12:Z903=1),$H$12:H903)-IF(Z902=1,0,SUM(INDIRECT("T"&amp;(MAX((1=Z$12:Z902)*ROW(Z$12:Z902)+1,ROW($T$12))&amp;":T"&amp;(ROW()-1))))),Первоначальный[[#This Row],[Полученный платеж]]+Y902),
AND(Z902&gt;0,Первоначальный[[#This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платеж]]+Y902),
AND(S902&gt;0,MAX((0&lt;&gt;S$12:S902)*ROW(S$12:S902),ROW($S$12))&gt;=MAX((1=Z$12:Z902)*ROW(Z$12:Z902),ROW($T$12)),TYPE(VLOOKUP("Да",(INDIRECT("AA"&amp;(MAX((1=Z$12:Z902)*ROW(Z$12:Z902),ROW($T$12))&amp;":AA"&amp;(ROW()-1)))),1,0))=16),MIN(LOOKUP(,-1/($Z$12:Z903=1),$C$12:C903)+LOOKUP(,-1/($Z$12:Z903=1),$H$12:H903)-SUM(INDIRECT("T"&amp;(MAX((1=Z$12:Z902)*ROW(Z$12:Z902),ROW($T$12))&amp;":T"&amp;(ROW()-1)))),Первоначальный[[#This Row],[Полученный платеж]]+Y902),
S902&gt;0,MIN(LOOKUP(,-1/($Z$12:Z903=1),$C$12:C903)+LOOKUP(,-1/($Z$12:Z903=1),$H$12:H903)-IF(Z902=1,0,SUM(INDIRECT("T"&amp;(MAX((1=Z$12:Z902)*ROW(Z$12:Z902)+1,ROW($T$12))&amp;":T"&amp;(ROW()-1))))),Первоначальный[[#This Row],[Полученный платеж]]+Y902)
)
)
)</f>
        <v>0</v>
      </c>
      <c r="U90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платеж]]+Y902-Первоначальный[[#This Row],[Полученный платёж по процентам]])</f>
        <v>0</v>
      </c>
      <c r="V903" s="55">
        <f t="shared" ca="1" si="157"/>
        <v>0</v>
      </c>
      <c r="W903" s="55" cm="1">
        <f t="array" aca="1" ref="W903" ca="1">IF(Первоначальный[[#This Row],[Итого остаток на начало периода]]&lt;1,0,
_xlfn.IFS(
AND(TYPE(VLOOKUP(1,$Z$12:Z903,1,0))=16,Первоначальный[[#This Row],[Досрочное погашение (да/"")]]=""),0,
AND(S902=0,Первоначальный[[#This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платеж]]+Y902-SUM(Первоначальный[[#This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комиссиям]]),VLOOKUP(LOOKUP(,-1/($Z$12:Z903=1),$A$12:A903),График[[Срок конец]:[Возврат основной суммы долга]],3,0)),
AND(S902=0,Первоначальный[[#This Row],[Дата платежа из графика]]="",Первоначальный[[#This Row],[Досрочное погашение (да/"")]]&lt;&gt;"Да"),0,
AND(S902=0,Первоначальный[[#This Row],[Досрочное погашение (да/"")]]=""),MIN(Первоначальный[[#This Row],[Полученный платеж]]+Y902-SUM(Первоначальный[[#This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комиссиям]]),VLOOKUP(LOOKUP(,-1/($Z$12:Z903=1),$A$12:A903),График[[Срок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платеж]]+Y902-SUM(Первоначальный[[#This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S902&gt;0,MIN(Первоначальный[[#This Row],[Полученный платеж]]+Y902-SUM(Первоначальный[[#This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комиссиям]]),SUM(INDIRECT("M"&amp;(MAX((1=S$12:S902)*ROW(S$12:S902),ROW($W$12))&amp;":M"&amp;(ROW()))))-SUM(INDIRECT("W"&amp;(MAX((1=S$12:S902)*ROW(S$12:S902),ROW($W$12))&amp;":W"&amp;(ROW()-1)))))
)
)</f>
        <v>0</v>
      </c>
      <c r="X903" s="55">
        <f t="shared" ca="1" si="158"/>
        <v>0</v>
      </c>
      <c r="Y903" s="101">
        <f t="shared" ca="1" si="165"/>
        <v>0</v>
      </c>
      <c r="Z903" s="133" t="str">
        <f>IF(TYPE((VLOOKUP(Первоначальный[[#This Row],[Дата платежа]],График[Срок конец],1,0)))=16,"",1)</f>
        <v/>
      </c>
      <c r="AA903" s="57"/>
      <c r="AB903" s="134"/>
      <c r="AC90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0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64729.079999999944</v>
      </c>
      <c r="AE90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2887.9199999999919</v>
      </c>
      <c r="AF90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0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158181.00911967194</v>
      </c>
      <c r="AH903" s="55"/>
      <c r="AI903" s="55"/>
      <c r="AJ903" s="55"/>
      <c r="AK903" s="101">
        <f t="shared" ca="1" si="166"/>
        <v>375431.34911967185</v>
      </c>
      <c r="AL903" s="129">
        <f t="array" ref="AL903">MAX((УслРестрактов[Характеристика]="Дата реструктуризации")*(УслРестрактов[Значение]=Первоначальный!$A903),0)</f>
        <v>0</v>
      </c>
    </row>
    <row r="904" spans="1:38" x14ac:dyDescent="0.25">
      <c r="A904" s="97">
        <f t="shared" si="159"/>
        <v>45035</v>
      </c>
      <c r="B904" s="100">
        <f t="shared" ca="1" si="160"/>
        <v>149633.34</v>
      </c>
      <c r="C904" s="55">
        <f t="shared" ca="1" si="170"/>
        <v>64729.079999999944</v>
      </c>
      <c r="D904" s="55">
        <f t="shared" ca="1" si="170"/>
        <v>2887.9199999999919</v>
      </c>
      <c r="E904" s="55">
        <f t="shared" ca="1" si="161"/>
        <v>0</v>
      </c>
      <c r="F904" s="55">
        <f t="shared" ca="1" si="162"/>
        <v>158181.00911967194</v>
      </c>
      <c r="G904" s="101">
        <f t="shared" ca="1" si="163"/>
        <v>375431.34911967185</v>
      </c>
      <c r="H904" s="100">
        <f ca="1">ROUND($B904*VLOOKUP($A904,$A$1:$B$10,2,1)/(365+IF(MOD(YEAR($A904),4),0,1)*($A904-$A903)),2)-Первоначальный[[#This Row],[Проценты на просроченный платеж по ОД за период]]</f>
        <v>73.87</v>
      </c>
      <c r="I904" s="55">
        <f t="shared" ca="1" si="164"/>
        <v>7.71</v>
      </c>
      <c r="J904" s="55">
        <v>0</v>
      </c>
      <c r="K904" s="55">
        <f t="shared" ca="1" si="167"/>
        <v>391.02850327868845</v>
      </c>
      <c r="L904" s="55">
        <v>0</v>
      </c>
      <c r="M904" s="113">
        <f>SUMIFS(График[Возврат основной суммы долга],График[Дата с учетом нерабочих дней],$A904)</f>
        <v>0</v>
      </c>
      <c r="N904" s="56">
        <f>SUMIFS(График[Возврат начисленных %],График[Дата с учетом нерабочих дней],$A904)</f>
        <v>0</v>
      </c>
      <c r="O904" s="101">
        <v>0</v>
      </c>
      <c r="P904" s="100" cm="1">
        <f t="array" aca="1" ref="P904" ca="1">MAX(IF(AA903="Да",0,SUM(INDIRECT("M"&amp;(MAX(("Да"=AA$12:AA903)*ROW(AA$12:AA903)+1,ROW($P$12))&amp;":M"&amp;(ROW()))))-SUM(INDIRECT("W"&amp;(MAX(("Да"=AA$12:AA903)*ROW(AA$12:AA903)+1,ROW($P$12))&amp;":W"&amp;(ROW()))))),0)</f>
        <v>14143.740000000002</v>
      </c>
      <c r="Q904" s="99">
        <f ca="1">MAX(SUM($N$13:N904)-SUM($T$13:T904),0)</f>
        <v>64061.960655737683</v>
      </c>
      <c r="R904" s="99">
        <f ca="1">Первоначальный[[#This Row],[Просроченный платеж по ОД]]+Первоначальный[[#This Row],[Просроченный платеж по процентам]]</f>
        <v>78205.700655737688</v>
      </c>
      <c r="S904" s="120">
        <f ca="1">IF(Первоначальный[[#This Row],[Просроченный платеж]]&lt;1,0,S903+1)</f>
        <v>800</v>
      </c>
      <c r="T904" s="100" cm="1">
        <f t="array" aca="1" ref="T904" ca="1">IF(Первоначальный[[#This Row],[Итого остаток на начало периода]]&lt;1,0,
IF(
AND(TYPE(VLOOKUP(1,$Z$12:Z904,1,0))=16,Первоначальный[[#This Row],[Досрочное погашение (да/"")]]=""),0,
_xlfn.IFS(AND(S903=0,Первоначальный[[#This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платеж]]&lt;&gt;0),MIN(LOOKUP(,-1/($Z$12:Z904=1),$C$12:C904)+LOOKUP(,-1/($Z$12:Z904=1),$H$12:H904),Первоначальный[[#This Row],[Полученный платеж]]+Y903),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платеж]]+Y903,SUM(Первоначальный[[#This Row],[Остаток процентов на начало периода]],Первоначальный[[#This Row],[Проценты за период]])),
AND(S903=0,Первоначальный[[#This Row],[Дата платежа из графика]]=""),0,
AND(S903=0,Первоначальный[[#This Row],[Дата платежа из графика]]=1,MAX((0&lt;&gt;S$12:S903)*ROW(S$12:S903),ROW($S$12))&gt;=MAX((1=Z$12:Z903)*ROW(Z$12:Z903),ROW($T$12)),TYPE(VLOOKUP("Да",(INDIRECT("AA"&amp;(MAX((1=Z$12:Z903)*ROW(Z$12:Z903),ROW($T$12))&amp;":AA"&amp;(ROW()-1)))),1,0))=16),MIN(LOOKUP(,-1/($Z$12:Z904=1),$C$12:C904)+LOOKUP(,-1/($Z$12:Z904=1),$H$12:H904),Первоначальный[[#This Row],[Полученный платеж]]+Y903),
AND(S903=0,TYPE(VLOOKUP("Да",(INDIRECT("AA"&amp;(MAX((1=Z$12:Z903)*ROW(Z$12:Z903),ROW($T$12))&amp;":AA"&amp;(ROW()-1)))),1,0))&lt;&gt;16),MIN(LOOKUP(,-1/($Z$12:Z904=1),$C$12:C904)+LOOKUP(,-1/($Z$12:Z904=1),$H$12:H904)-IF(AA903="Да",0,SUM(INDIRECT("T"&amp;(MAX(("Да"=AA$12:AA903)*ROW(AA$12:AA903)+1,ROW($T$12))&amp;":T"&amp;(ROW()-1))))),Первоначальный[[#This Row],[Полученный платеж]]+Y903),
AND(S903=0,MAX((0&lt;&gt;N$12:N903)*ROW(N$12:N903),ROW($S$12))&gt;=MAX((1=Z$12:Z903)*ROW(Z$12:Z903),ROW($T$12))),MIN(LOOKUP(,-1/($Z$12:Z904=1),$C$12:C904)+LOOKUP(,-1/($Z$12:Z904=1),$H$12:H904)-IF(N903&lt;&gt;0,0,SUM(INDIRECT("T"&amp;(MAX((0&lt;&gt;N$12:N903)*ROW(N$12:N903)+1,ROW($T$12))&amp;":T"&amp;(ROW()-1))))),Первоначальный[[#This Row],[Полученный платеж]]+Y903),
AND(S903=0,Первоначальный[[#This Row],[Дата платежа из графика]]=1),MIN(LOOKUP(,-1/($Z$12:Z904=1),$C$12:C904)+LOOKUP(,-1/($Z$12:Z904=1),$H$12:H904)-IF(Z903=1,0,SUM(INDIRECT("T"&amp;(MAX((1=Z$12:Z903)*ROW(Z$12:Z903)+1,ROW($T$12))&amp;":T"&amp;(ROW()-1))))),Первоначальный[[#This Row],[Полученный платеж]]+Y903),
AND(Z903&gt;0,Первоначальный[[#This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платеж]]+Y903),
AND(S903&gt;0,MAX((0&lt;&gt;S$12:S903)*ROW(S$12:S903),ROW($S$12))&gt;=MAX((1=Z$12:Z903)*ROW(Z$12:Z903),ROW($T$12)),TYPE(VLOOKUP("Да",(INDIRECT("AA"&amp;(MAX((1=Z$12:Z903)*ROW(Z$12:Z903),ROW($T$12))&amp;":AA"&amp;(ROW()-1)))),1,0))=16),MIN(LOOKUP(,-1/($Z$12:Z904=1),$C$12:C904)+LOOKUP(,-1/($Z$12:Z904=1),$H$12:H904)-SUM(INDIRECT("T"&amp;(MAX((1=Z$12:Z903)*ROW(Z$12:Z903),ROW($T$12))&amp;":T"&amp;(ROW()-1)))),Первоначальный[[#This Row],[Полученный платеж]]+Y903),
S903&gt;0,MIN(LOOKUP(,-1/($Z$12:Z904=1),$C$12:C904)+LOOKUP(,-1/($Z$12:Z904=1),$H$12:H904)-IF(Z903=1,0,SUM(INDIRECT("T"&amp;(MAX((1=Z$12:Z903)*ROW(Z$12:Z903)+1,ROW($T$12))&amp;":T"&amp;(ROW()-1))))),Первоначальный[[#This Row],[Полученный платеж]]+Y903)
)
)
)</f>
        <v>0</v>
      </c>
      <c r="U90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платеж]]+Y903-Первоначальный[[#This Row],[Полученный платёж по процентам]])</f>
        <v>0</v>
      </c>
      <c r="V904" s="55">
        <f t="shared" ca="1" si="157"/>
        <v>0</v>
      </c>
      <c r="W904" s="55" cm="1">
        <f t="array" aca="1" ref="W904" ca="1">IF(Первоначальный[[#This Row],[Итого остаток на начало периода]]&lt;1,0,
_xlfn.IFS(
AND(TYPE(VLOOKUP(1,$Z$12:Z904,1,0))=16,Первоначальный[[#This Row],[Досрочное погашение (да/"")]]=""),0,
AND(S903=0,Первоначальный[[#This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платеж]]+Y903-SUM(Первоначальный[[#This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комиссиям]]),VLOOKUP(LOOKUP(,-1/($Z$12:Z904=1),$A$12:A904),График[[Срок конец]:[Возврат основной суммы долга]],3,0)),
AND(S903=0,Первоначальный[[#This Row],[Дата платежа из графика]]="",Первоначальный[[#This Row],[Досрочное погашение (да/"")]]&lt;&gt;"Да"),0,
AND(S903=0,Первоначальный[[#This Row],[Досрочное погашение (да/"")]]=""),MIN(Первоначальный[[#This Row],[Полученный платеж]]+Y903-SUM(Первоначальный[[#This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комиссиям]]),VLOOKUP(LOOKUP(,-1/($Z$12:Z904=1),$A$12:A904),График[[Срок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платеж]]+Y903-SUM(Первоначальный[[#This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S903&gt;0,MIN(Первоначальный[[#This Row],[Полученный платеж]]+Y903-SUM(Первоначальный[[#This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комиссиям]]),SUM(INDIRECT("M"&amp;(MAX((1=S$12:S903)*ROW(S$12:S903),ROW($W$12))&amp;":M"&amp;(ROW()))))-SUM(INDIRECT("W"&amp;(MAX((1=S$12:S903)*ROW(S$12:S903),ROW($W$12))&amp;":W"&amp;(ROW()-1)))))
)
)</f>
        <v>0</v>
      </c>
      <c r="X904" s="55">
        <f t="shared" ca="1" si="158"/>
        <v>0</v>
      </c>
      <c r="Y904" s="101">
        <f t="shared" ca="1" si="165"/>
        <v>0</v>
      </c>
      <c r="Z904" s="133" t="str">
        <f>IF(TYPE((VLOOKUP(Первоначальный[[#This Row],[Дата платежа]],График[Срок конец],1,0)))=16,"",1)</f>
        <v/>
      </c>
      <c r="AA904" s="57"/>
      <c r="AB904" s="134"/>
      <c r="AC90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0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64802.949999999946</v>
      </c>
      <c r="AE90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2895.6299999999919</v>
      </c>
      <c r="AF90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0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158572.03762295062</v>
      </c>
      <c r="AH904" s="55"/>
      <c r="AI904" s="55"/>
      <c r="AJ904" s="55"/>
      <c r="AK904" s="101">
        <f t="shared" ca="1" si="166"/>
        <v>375903.95762295055</v>
      </c>
      <c r="AL904" s="129">
        <f t="array" ref="AL904">MAX((УслРестрактов[Характеристика]="Дата реструктуризации")*(УслРестрактов[Значение]=Первоначальный!$A904),0)</f>
        <v>0</v>
      </c>
    </row>
    <row r="905" spans="1:38" x14ac:dyDescent="0.25">
      <c r="A905" s="97">
        <f t="shared" si="159"/>
        <v>45036</v>
      </c>
      <c r="B905" s="100">
        <f t="shared" ca="1" si="160"/>
        <v>149633.34</v>
      </c>
      <c r="C905" s="55">
        <f t="shared" ca="1" si="170"/>
        <v>64802.949999999946</v>
      </c>
      <c r="D905" s="55">
        <f t="shared" ca="1" si="170"/>
        <v>2895.6299999999919</v>
      </c>
      <c r="E905" s="55">
        <f t="shared" ca="1" si="161"/>
        <v>0</v>
      </c>
      <c r="F905" s="55">
        <f t="shared" ca="1" si="162"/>
        <v>158572.03762295062</v>
      </c>
      <c r="G905" s="101">
        <f t="shared" ca="1" si="163"/>
        <v>375903.95762295055</v>
      </c>
      <c r="H905" s="100">
        <f ca="1">ROUND($B905*VLOOKUP($A905,$A$1:$B$10,2,1)/(365+IF(MOD(YEAR($A905),4),0,1)*($A905-$A904)),2)-Первоначальный[[#This Row],[Проценты на просроченный платеж по ОД за период]]</f>
        <v>73.87</v>
      </c>
      <c r="I905" s="55">
        <f t="shared" ca="1" si="164"/>
        <v>7.71</v>
      </c>
      <c r="J905" s="55">
        <v>0</v>
      </c>
      <c r="K905" s="55">
        <f t="shared" ca="1" si="167"/>
        <v>391.02850327868845</v>
      </c>
      <c r="L905" s="55">
        <v>0</v>
      </c>
      <c r="M905" s="113">
        <f>SUMIFS(График[Возврат основной суммы долга],График[Дата с учетом нерабочих дней],$A905)</f>
        <v>0</v>
      </c>
      <c r="N905" s="56">
        <f>SUMIFS(График[Возврат начисленных %],График[Дата с учетом нерабочих дней],$A905)</f>
        <v>0</v>
      </c>
      <c r="O905" s="101">
        <v>0</v>
      </c>
      <c r="P905" s="100" cm="1">
        <f t="array" aca="1" ref="P905" ca="1">MAX(IF(AA904="Да",0,SUM(INDIRECT("M"&amp;(MAX(("Да"=AA$12:AA904)*ROW(AA$12:AA904)+1,ROW($P$12))&amp;":M"&amp;(ROW()))))-SUM(INDIRECT("W"&amp;(MAX(("Да"=AA$12:AA904)*ROW(AA$12:AA904)+1,ROW($P$12))&amp;":W"&amp;(ROW()))))),0)</f>
        <v>14143.740000000002</v>
      </c>
      <c r="Q905" s="99">
        <f ca="1">MAX(SUM($N$13:N905)-SUM($T$13:T905),0)</f>
        <v>64061.960655737683</v>
      </c>
      <c r="R905" s="99">
        <f ca="1">Первоначальный[[#This Row],[Просроченный платеж по ОД]]+Первоначальный[[#This Row],[Просроченный платеж по процентам]]</f>
        <v>78205.700655737688</v>
      </c>
      <c r="S905" s="120">
        <f ca="1">IF(Первоначальный[[#This Row],[Просроченный платеж]]&lt;1,0,S904+1)</f>
        <v>801</v>
      </c>
      <c r="T905" s="100" cm="1">
        <f t="array" aca="1" ref="T905" ca="1">IF(Первоначальный[[#This Row],[Итого остаток на начало периода]]&lt;1,0,
IF(
AND(TYPE(VLOOKUP(1,$Z$12:Z905,1,0))=16,Первоначальный[[#This Row],[Досрочное погашение (да/"")]]=""),0,
_xlfn.IFS(AND(S904=0,Первоначальный[[#This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платеж]]&lt;&gt;0),MIN(LOOKUP(,-1/($Z$12:Z905=1),$C$12:C905)+LOOKUP(,-1/($Z$12:Z905=1),$H$12:H905),Первоначальный[[#This Row],[Полученный платеж]]+Y904),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платеж]]+Y904,SUM(Первоначальный[[#This Row],[Остаток процентов на начало периода]],Первоначальный[[#This Row],[Проценты за период]])),
AND(S904=0,Первоначальный[[#This Row],[Дата платежа из графика]]=""),0,
AND(S904=0,Первоначальный[[#This Row],[Дата платежа из графика]]=1,MAX((0&lt;&gt;S$12:S904)*ROW(S$12:S904),ROW($S$12))&gt;=MAX((1=Z$12:Z904)*ROW(Z$12:Z904),ROW($T$12)),TYPE(VLOOKUP("Да",(INDIRECT("AA"&amp;(MAX((1=Z$12:Z904)*ROW(Z$12:Z904),ROW($T$12))&amp;":AA"&amp;(ROW()-1)))),1,0))=16),MIN(LOOKUP(,-1/($Z$12:Z905=1),$C$12:C905)+LOOKUP(,-1/($Z$12:Z905=1),$H$12:H905),Первоначальный[[#This Row],[Полученный платеж]]+Y904),
AND(S904=0,TYPE(VLOOKUP("Да",(INDIRECT("AA"&amp;(MAX((1=Z$12:Z904)*ROW(Z$12:Z904),ROW($T$12))&amp;":AA"&amp;(ROW()-1)))),1,0))&lt;&gt;16),MIN(LOOKUP(,-1/($Z$12:Z905=1),$C$12:C905)+LOOKUP(,-1/($Z$12:Z905=1),$H$12:H905)-IF(AA904="Да",0,SUM(INDIRECT("T"&amp;(MAX(("Да"=AA$12:AA904)*ROW(AA$12:AA904)+1,ROW($T$12))&amp;":T"&amp;(ROW()-1))))),Первоначальный[[#This Row],[Полученный платеж]]+Y904),
AND(S904=0,MAX((0&lt;&gt;N$12:N904)*ROW(N$12:N904),ROW($S$12))&gt;=MAX((1=Z$12:Z904)*ROW(Z$12:Z904),ROW($T$12))),MIN(LOOKUP(,-1/($Z$12:Z905=1),$C$12:C905)+LOOKUP(,-1/($Z$12:Z905=1),$H$12:H905)-IF(N904&lt;&gt;0,0,SUM(INDIRECT("T"&amp;(MAX((0&lt;&gt;N$12:N904)*ROW(N$12:N904)+1,ROW($T$12))&amp;":T"&amp;(ROW()-1))))),Первоначальный[[#This Row],[Полученный платеж]]+Y904),
AND(S904=0,Первоначальный[[#This Row],[Дата платежа из графика]]=1),MIN(LOOKUP(,-1/($Z$12:Z905=1),$C$12:C905)+LOOKUP(,-1/($Z$12:Z905=1),$H$12:H905)-IF(Z904=1,0,SUM(INDIRECT("T"&amp;(MAX((1=Z$12:Z904)*ROW(Z$12:Z904)+1,ROW($T$12))&amp;":T"&amp;(ROW()-1))))),Первоначальный[[#This Row],[Полученный платеж]]+Y904),
AND(Z904&gt;0,Первоначальный[[#This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платеж]]+Y904),
AND(S904&gt;0,MAX((0&lt;&gt;S$12:S904)*ROW(S$12:S904),ROW($S$12))&gt;=MAX((1=Z$12:Z904)*ROW(Z$12:Z904),ROW($T$12)),TYPE(VLOOKUP("Да",(INDIRECT("AA"&amp;(MAX((1=Z$12:Z904)*ROW(Z$12:Z904),ROW($T$12))&amp;":AA"&amp;(ROW()-1)))),1,0))=16),MIN(LOOKUP(,-1/($Z$12:Z905=1),$C$12:C905)+LOOKUP(,-1/($Z$12:Z905=1),$H$12:H905)-SUM(INDIRECT("T"&amp;(MAX((1=Z$12:Z904)*ROW(Z$12:Z904),ROW($T$12))&amp;":T"&amp;(ROW()-1)))),Первоначальный[[#This Row],[Полученный платеж]]+Y904),
S904&gt;0,MIN(LOOKUP(,-1/($Z$12:Z905=1),$C$12:C905)+LOOKUP(,-1/($Z$12:Z905=1),$H$12:H905)-IF(Z904=1,0,SUM(INDIRECT("T"&amp;(MAX((1=Z$12:Z904)*ROW(Z$12:Z904)+1,ROW($T$12))&amp;":T"&amp;(ROW()-1))))),Первоначальный[[#This Row],[Полученный платеж]]+Y904)
)
)
)</f>
        <v>0</v>
      </c>
      <c r="U90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платеж]]+Y904-Первоначальный[[#This Row],[Полученный платёж по процентам]])</f>
        <v>0</v>
      </c>
      <c r="V905" s="55">
        <f t="shared" ca="1" si="157"/>
        <v>0</v>
      </c>
      <c r="W905" s="55" cm="1">
        <f t="array" aca="1" ref="W905" ca="1">IF(Первоначальный[[#This Row],[Итого остаток на начало периода]]&lt;1,0,
_xlfn.IFS(
AND(TYPE(VLOOKUP(1,$Z$12:Z905,1,0))=16,Первоначальный[[#This Row],[Досрочное погашение (да/"")]]=""),0,
AND(S904=0,Первоначальный[[#This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платеж]]+Y904-SUM(Первоначальный[[#This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комиссиям]]),VLOOKUP(LOOKUP(,-1/($Z$12:Z905=1),$A$12:A905),График[[Срок конец]:[Возврат основной суммы долга]],3,0)),
AND(S904=0,Первоначальный[[#This Row],[Дата платежа из графика]]="",Первоначальный[[#This Row],[Досрочное погашение (да/"")]]&lt;&gt;"Да"),0,
AND(S904=0,Первоначальный[[#This Row],[Досрочное погашение (да/"")]]=""),MIN(Первоначальный[[#This Row],[Полученный платеж]]+Y904-SUM(Первоначальный[[#This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комиссиям]]),VLOOKUP(LOOKUP(,-1/($Z$12:Z905=1),$A$12:A905),График[[Срок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платеж]]+Y904-SUM(Первоначальный[[#This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S904&gt;0,MIN(Первоначальный[[#This Row],[Полученный платеж]]+Y904-SUM(Первоначальный[[#This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комиссиям]]),SUM(INDIRECT("M"&amp;(MAX((1=S$12:S904)*ROW(S$12:S904),ROW($W$12))&amp;":M"&amp;(ROW()))))-SUM(INDIRECT("W"&amp;(MAX((1=S$12:S904)*ROW(S$12:S904),ROW($W$12))&amp;":W"&amp;(ROW()-1)))))
)
)</f>
        <v>0</v>
      </c>
      <c r="X905" s="55">
        <f t="shared" ca="1" si="158"/>
        <v>0</v>
      </c>
      <c r="Y905" s="101">
        <f t="shared" ca="1" si="165"/>
        <v>0</v>
      </c>
      <c r="Z905" s="133" t="str">
        <f>IF(TYPE((VLOOKUP(Первоначальный[[#This Row],[Дата платежа]],График[Срок конец],1,0)))=16,"",1)</f>
        <v/>
      </c>
      <c r="AA905" s="57"/>
      <c r="AB905" s="134"/>
      <c r="AC90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0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64876.819999999949</v>
      </c>
      <c r="AE90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2903.339999999992</v>
      </c>
      <c r="AF90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0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158963.0661262293</v>
      </c>
      <c r="AH905" s="55"/>
      <c r="AI905" s="55"/>
      <c r="AJ905" s="55"/>
      <c r="AK905" s="101">
        <f t="shared" ca="1" si="166"/>
        <v>376376.56612622924</v>
      </c>
      <c r="AL905" s="129">
        <f t="array" ref="AL905">MAX((УслРестрактов[Характеристика]="Дата реструктуризации")*(УслРестрактов[Значение]=Первоначальный!$A905),0)</f>
        <v>0</v>
      </c>
    </row>
    <row r="906" spans="1:38" x14ac:dyDescent="0.25">
      <c r="A906" s="97">
        <f t="shared" si="159"/>
        <v>45037</v>
      </c>
      <c r="B906" s="100">
        <f t="shared" ca="1" si="160"/>
        <v>149633.34</v>
      </c>
      <c r="C906" s="55">
        <f t="shared" ca="1" si="170"/>
        <v>64876.819999999949</v>
      </c>
      <c r="D906" s="55">
        <f t="shared" ca="1" si="170"/>
        <v>2903.339999999992</v>
      </c>
      <c r="E906" s="55">
        <f t="shared" ca="1" si="161"/>
        <v>0</v>
      </c>
      <c r="F906" s="55">
        <f t="shared" ca="1" si="162"/>
        <v>158963.0661262293</v>
      </c>
      <c r="G906" s="101">
        <f t="shared" ca="1" si="163"/>
        <v>376376.56612622924</v>
      </c>
      <c r="H906" s="100">
        <f ca="1">ROUND($B906*VLOOKUP($A906,$A$1:$B$10,2,1)/(365+IF(MOD(YEAR($A906),4),0,1)*($A906-$A905)),2)-Первоначальный[[#This Row],[Проценты на просроченный платеж по ОД за период]]</f>
        <v>73.87</v>
      </c>
      <c r="I906" s="55">
        <f t="shared" ca="1" si="164"/>
        <v>7.71</v>
      </c>
      <c r="J906" s="55">
        <v>0</v>
      </c>
      <c r="K906" s="55">
        <f t="shared" ca="1" si="167"/>
        <v>391.02850327868845</v>
      </c>
      <c r="L906" s="55">
        <v>0</v>
      </c>
      <c r="M906" s="113">
        <f>SUMIFS(График[Возврат основной суммы долга],График[Дата с учетом нерабочих дней],$A906)</f>
        <v>0</v>
      </c>
      <c r="N906" s="56">
        <f>SUMIFS(График[Возврат начисленных %],График[Дата с учетом нерабочих дней],$A906)</f>
        <v>0</v>
      </c>
      <c r="O906" s="101">
        <v>0</v>
      </c>
      <c r="P906" s="100" cm="1">
        <f t="array" aca="1" ref="P906" ca="1">MAX(IF(AA905="Да",0,SUM(INDIRECT("M"&amp;(MAX(("Да"=AA$12:AA905)*ROW(AA$12:AA905)+1,ROW($P$12))&amp;":M"&amp;(ROW()))))-SUM(INDIRECT("W"&amp;(MAX(("Да"=AA$12:AA905)*ROW(AA$12:AA905)+1,ROW($P$12))&amp;":W"&amp;(ROW()))))),0)</f>
        <v>14143.740000000002</v>
      </c>
      <c r="Q906" s="99">
        <f ca="1">MAX(SUM($N$13:N906)-SUM($T$13:T906),0)</f>
        <v>64061.960655737683</v>
      </c>
      <c r="R906" s="99">
        <f ca="1">Первоначальный[[#This Row],[Просроченный платеж по ОД]]+Первоначальный[[#This Row],[Просроченный платеж по процентам]]</f>
        <v>78205.700655737688</v>
      </c>
      <c r="S906" s="120">
        <f ca="1">IF(Первоначальный[[#This Row],[Просроченный платеж]]&lt;1,0,S905+1)</f>
        <v>802</v>
      </c>
      <c r="T906" s="100" cm="1">
        <f t="array" aca="1" ref="T906" ca="1">IF(Первоначальный[[#This Row],[Итого остаток на начало периода]]&lt;1,0,
IF(
AND(TYPE(VLOOKUP(1,$Z$12:Z906,1,0))=16,Первоначальный[[#This Row],[Досрочное погашение (да/"")]]=""),0,
_xlfn.IFS(AND(S905=0,Первоначальный[[#This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платеж]]&lt;&gt;0),MIN(LOOKUP(,-1/($Z$12:Z906=1),$C$12:C906)+LOOKUP(,-1/($Z$12:Z906=1),$H$12:H906),Первоначальный[[#This Row],[Полученный платеж]]+Y905),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платеж]]+Y905,SUM(Первоначальный[[#This Row],[Остаток процентов на начало периода]],Первоначальный[[#This Row],[Проценты за период]])),
AND(S905=0,Первоначальный[[#This Row],[Дата платежа из графика]]=""),0,
AND(S905=0,Первоначальный[[#This Row],[Дата платежа из графика]]=1,MAX((0&lt;&gt;S$12:S905)*ROW(S$12:S905),ROW($S$12))&gt;=MAX((1=Z$12:Z905)*ROW(Z$12:Z905),ROW($T$12)),TYPE(VLOOKUP("Да",(INDIRECT("AA"&amp;(MAX((1=Z$12:Z905)*ROW(Z$12:Z905),ROW($T$12))&amp;":AA"&amp;(ROW()-1)))),1,0))=16),MIN(LOOKUP(,-1/($Z$12:Z906=1),$C$12:C906)+LOOKUP(,-1/($Z$12:Z906=1),$H$12:H906),Первоначальный[[#This Row],[Полученный платеж]]+Y905),
AND(S905=0,TYPE(VLOOKUP("Да",(INDIRECT("AA"&amp;(MAX((1=Z$12:Z905)*ROW(Z$12:Z905),ROW($T$12))&amp;":AA"&amp;(ROW()-1)))),1,0))&lt;&gt;16),MIN(LOOKUP(,-1/($Z$12:Z906=1),$C$12:C906)+LOOKUP(,-1/($Z$12:Z906=1),$H$12:H906)-IF(AA905="Да",0,SUM(INDIRECT("T"&amp;(MAX(("Да"=AA$12:AA905)*ROW(AA$12:AA905)+1,ROW($T$12))&amp;":T"&amp;(ROW()-1))))),Первоначальный[[#This Row],[Полученный платеж]]+Y905),
AND(S905=0,MAX((0&lt;&gt;N$12:N905)*ROW(N$12:N905),ROW($S$12))&gt;=MAX((1=Z$12:Z905)*ROW(Z$12:Z905),ROW($T$12))),MIN(LOOKUP(,-1/($Z$12:Z906=1),$C$12:C906)+LOOKUP(,-1/($Z$12:Z906=1),$H$12:H906)-IF(N905&lt;&gt;0,0,SUM(INDIRECT("T"&amp;(MAX((0&lt;&gt;N$12:N905)*ROW(N$12:N905)+1,ROW($T$12))&amp;":T"&amp;(ROW()-1))))),Первоначальный[[#This Row],[Полученный платеж]]+Y905),
AND(S905=0,Первоначальный[[#This Row],[Дата платежа из графика]]=1),MIN(LOOKUP(,-1/($Z$12:Z906=1),$C$12:C906)+LOOKUP(,-1/($Z$12:Z906=1),$H$12:H906)-IF(Z905=1,0,SUM(INDIRECT("T"&amp;(MAX((1=Z$12:Z905)*ROW(Z$12:Z905)+1,ROW($T$12))&amp;":T"&amp;(ROW()-1))))),Первоначальный[[#This Row],[Полученный платеж]]+Y905),
AND(Z905&gt;0,Первоначальный[[#This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платеж]]+Y905),
AND(S905&gt;0,MAX((0&lt;&gt;S$12:S905)*ROW(S$12:S905),ROW($S$12))&gt;=MAX((1=Z$12:Z905)*ROW(Z$12:Z905),ROW($T$12)),TYPE(VLOOKUP("Да",(INDIRECT("AA"&amp;(MAX((1=Z$12:Z905)*ROW(Z$12:Z905),ROW($T$12))&amp;":AA"&amp;(ROW()-1)))),1,0))=16),MIN(LOOKUP(,-1/($Z$12:Z906=1),$C$12:C906)+LOOKUP(,-1/($Z$12:Z906=1),$H$12:H906)-SUM(INDIRECT("T"&amp;(MAX((1=Z$12:Z905)*ROW(Z$12:Z905),ROW($T$12))&amp;":T"&amp;(ROW()-1)))),Первоначальный[[#This Row],[Полученный платеж]]+Y905),
S905&gt;0,MIN(LOOKUP(,-1/($Z$12:Z906=1),$C$12:C906)+LOOKUP(,-1/($Z$12:Z906=1),$H$12:H906)-IF(Z905=1,0,SUM(INDIRECT("T"&amp;(MAX((1=Z$12:Z905)*ROW(Z$12:Z905)+1,ROW($T$12))&amp;":T"&amp;(ROW()-1))))),Первоначальный[[#This Row],[Полученный платеж]]+Y905)
)
)
)</f>
        <v>0</v>
      </c>
      <c r="U90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платеж]]+Y905-Первоначальный[[#This Row],[Полученный платёж по процентам]])</f>
        <v>0</v>
      </c>
      <c r="V906" s="55">
        <f t="shared" ca="1" si="157"/>
        <v>0</v>
      </c>
      <c r="W906" s="55" cm="1">
        <f t="array" aca="1" ref="W906" ca="1">IF(Первоначальный[[#This Row],[Итого остаток на начало периода]]&lt;1,0,
_xlfn.IFS(
AND(TYPE(VLOOKUP(1,$Z$12:Z906,1,0))=16,Первоначальный[[#This Row],[Досрочное погашение (да/"")]]=""),0,
AND(S905=0,Первоначальный[[#This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платеж]]+Y905-SUM(Первоначальный[[#This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комиссиям]]),VLOOKUP(LOOKUP(,-1/($Z$12:Z906=1),$A$12:A906),График[[Срок конец]:[Возврат основной суммы долга]],3,0)),
AND(S905=0,Первоначальный[[#This Row],[Дата платежа из графика]]="",Первоначальный[[#This Row],[Досрочное погашение (да/"")]]&lt;&gt;"Да"),0,
AND(S905=0,Первоначальный[[#This Row],[Досрочное погашение (да/"")]]=""),MIN(Первоначальный[[#This Row],[Полученный платеж]]+Y905-SUM(Первоначальный[[#This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комиссиям]]),VLOOKUP(LOOKUP(,-1/($Z$12:Z906=1),$A$12:A906),График[[Срок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платеж]]+Y905-SUM(Первоначальный[[#This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S905&gt;0,MIN(Первоначальный[[#This Row],[Полученный платеж]]+Y905-SUM(Первоначальный[[#This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комиссиям]]),SUM(INDIRECT("M"&amp;(MAX((1=S$12:S905)*ROW(S$12:S905),ROW($W$12))&amp;":M"&amp;(ROW()))))-SUM(INDIRECT("W"&amp;(MAX((1=S$12:S905)*ROW(S$12:S905),ROW($W$12))&amp;":W"&amp;(ROW()-1)))))
)
)</f>
        <v>0</v>
      </c>
      <c r="X906" s="55">
        <f t="shared" ca="1" si="158"/>
        <v>0</v>
      </c>
      <c r="Y906" s="101">
        <f t="shared" ca="1" si="165"/>
        <v>0</v>
      </c>
      <c r="Z906" s="133" t="str">
        <f>IF(TYPE((VLOOKUP(Первоначальный[[#This Row],[Дата платежа]],График[Срок конец],1,0)))=16,"",1)</f>
        <v/>
      </c>
      <c r="AA906" s="57"/>
      <c r="AB906" s="134"/>
      <c r="AC90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0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64950.689999999951</v>
      </c>
      <c r="AE90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2911.049999999992</v>
      </c>
      <c r="AF90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0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159354.09462950798</v>
      </c>
      <c r="AH906" s="55"/>
      <c r="AI906" s="55"/>
      <c r="AJ906" s="55"/>
      <c r="AK906" s="101">
        <f t="shared" ca="1" si="166"/>
        <v>376849.17462950794</v>
      </c>
      <c r="AL906" s="129">
        <f t="array" ref="AL906">MAX((УслРестрактов[Характеристика]="Дата реструктуризации")*(УслРестрактов[Значение]=Первоначальный!$A906),0)</f>
        <v>0</v>
      </c>
    </row>
    <row r="907" spans="1:38" x14ac:dyDescent="0.25">
      <c r="A907" s="97">
        <f t="shared" si="159"/>
        <v>45038</v>
      </c>
      <c r="B907" s="100">
        <f t="shared" ca="1" si="160"/>
        <v>149633.34</v>
      </c>
      <c r="C907" s="55">
        <f t="shared" ca="1" si="170"/>
        <v>64950.689999999951</v>
      </c>
      <c r="D907" s="55">
        <f t="shared" ca="1" si="170"/>
        <v>2911.049999999992</v>
      </c>
      <c r="E907" s="55">
        <f t="shared" ca="1" si="161"/>
        <v>0</v>
      </c>
      <c r="F907" s="55">
        <f t="shared" ca="1" si="162"/>
        <v>159354.09462950798</v>
      </c>
      <c r="G907" s="101">
        <f t="shared" ca="1" si="163"/>
        <v>376849.17462950794</v>
      </c>
      <c r="H907" s="100">
        <f ca="1">ROUND($B907*VLOOKUP($A907,$A$1:$B$10,2,1)/(365+IF(MOD(YEAR($A907),4),0,1)*($A907-$A906)),2)-Первоначальный[[#This Row],[Проценты на просроченный платеж по ОД за период]]</f>
        <v>73.87</v>
      </c>
      <c r="I907" s="55">
        <f t="shared" ca="1" si="164"/>
        <v>7.71</v>
      </c>
      <c r="J907" s="55">
        <v>0</v>
      </c>
      <c r="K907" s="55">
        <f t="shared" ca="1" si="167"/>
        <v>391.02850327868845</v>
      </c>
      <c r="L907" s="55">
        <v>0</v>
      </c>
      <c r="M907" s="113">
        <f>SUMIFS(График[Возврат основной суммы долга],График[Дата с учетом нерабочих дней],$A907)</f>
        <v>0</v>
      </c>
      <c r="N907" s="56">
        <f>SUMIFS(График[Возврат начисленных %],График[Дата с учетом нерабочих дней],$A907)</f>
        <v>0</v>
      </c>
      <c r="O907" s="101">
        <v>0</v>
      </c>
      <c r="P907" s="100" cm="1">
        <f t="array" aca="1" ref="P907" ca="1">MAX(IF(AA906="Да",0,SUM(INDIRECT("M"&amp;(MAX(("Да"=AA$12:AA906)*ROW(AA$12:AA906)+1,ROW($P$12))&amp;":M"&amp;(ROW()))))-SUM(INDIRECT("W"&amp;(MAX(("Да"=AA$12:AA906)*ROW(AA$12:AA906)+1,ROW($P$12))&amp;":W"&amp;(ROW()))))),0)</f>
        <v>14143.740000000002</v>
      </c>
      <c r="Q907" s="99">
        <f ca="1">MAX(SUM($N$13:N907)-SUM($T$13:T907),0)</f>
        <v>64061.960655737683</v>
      </c>
      <c r="R907" s="99">
        <f ca="1">Первоначальный[[#This Row],[Просроченный платеж по ОД]]+Первоначальный[[#This Row],[Просроченный платеж по процентам]]</f>
        <v>78205.700655737688</v>
      </c>
      <c r="S907" s="120">
        <f ca="1">IF(Первоначальный[[#This Row],[Просроченный платеж]]&lt;1,0,S906+1)</f>
        <v>803</v>
      </c>
      <c r="T907" s="100" cm="1">
        <f t="array" aca="1" ref="T907" ca="1">IF(Первоначальный[[#This Row],[Итого остаток на начало периода]]&lt;1,0,
IF(
AND(TYPE(VLOOKUP(1,$Z$12:Z907,1,0))=16,Первоначальный[[#This Row],[Досрочное погашение (да/"")]]=""),0,
_xlfn.IFS(AND(S906=0,Первоначальный[[#This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платеж]]&lt;&gt;0),MIN(LOOKUP(,-1/($Z$12:Z907=1),$C$12:C907)+LOOKUP(,-1/($Z$12:Z907=1),$H$12:H907),Первоначальный[[#This Row],[Полученный платеж]]+Y906),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платеж]]+Y906,SUM(Первоначальный[[#This Row],[Остаток процентов на начало периода]],Первоначальный[[#This Row],[Проценты за период]])),
AND(S906=0,Первоначальный[[#This Row],[Дата платежа из графика]]=""),0,
AND(S906=0,Первоначальный[[#This Row],[Дата платежа из графика]]=1,MAX((0&lt;&gt;S$12:S906)*ROW(S$12:S906),ROW($S$12))&gt;=MAX((1=Z$12:Z906)*ROW(Z$12:Z906),ROW($T$12)),TYPE(VLOOKUP("Да",(INDIRECT("AA"&amp;(MAX((1=Z$12:Z906)*ROW(Z$12:Z906),ROW($T$12))&amp;":AA"&amp;(ROW()-1)))),1,0))=16),MIN(LOOKUP(,-1/($Z$12:Z907=1),$C$12:C907)+LOOKUP(,-1/($Z$12:Z907=1),$H$12:H907),Первоначальный[[#This Row],[Полученный платеж]]+Y906),
AND(S906=0,TYPE(VLOOKUP("Да",(INDIRECT("AA"&amp;(MAX((1=Z$12:Z906)*ROW(Z$12:Z906),ROW($T$12))&amp;":AA"&amp;(ROW()-1)))),1,0))&lt;&gt;16),MIN(LOOKUP(,-1/($Z$12:Z907=1),$C$12:C907)+LOOKUP(,-1/($Z$12:Z907=1),$H$12:H907)-IF(AA906="Да",0,SUM(INDIRECT("T"&amp;(MAX(("Да"=AA$12:AA906)*ROW(AA$12:AA906)+1,ROW($T$12))&amp;":T"&amp;(ROW()-1))))),Первоначальный[[#This Row],[Полученный платеж]]+Y906),
AND(S906=0,MAX((0&lt;&gt;N$12:N906)*ROW(N$12:N906),ROW($S$12))&gt;=MAX((1=Z$12:Z906)*ROW(Z$12:Z906),ROW($T$12))),MIN(LOOKUP(,-1/($Z$12:Z907=1),$C$12:C907)+LOOKUP(,-1/($Z$12:Z907=1),$H$12:H907)-IF(N906&lt;&gt;0,0,SUM(INDIRECT("T"&amp;(MAX((0&lt;&gt;N$12:N906)*ROW(N$12:N906)+1,ROW($T$12))&amp;":T"&amp;(ROW()-1))))),Первоначальный[[#This Row],[Полученный платеж]]+Y906),
AND(S906=0,Первоначальный[[#This Row],[Дата платежа из графика]]=1),MIN(LOOKUP(,-1/($Z$12:Z907=1),$C$12:C907)+LOOKUP(,-1/($Z$12:Z907=1),$H$12:H907)-IF(Z906=1,0,SUM(INDIRECT("T"&amp;(MAX((1=Z$12:Z906)*ROW(Z$12:Z906)+1,ROW($T$12))&amp;":T"&amp;(ROW()-1))))),Первоначальный[[#This Row],[Полученный платеж]]+Y906),
AND(Z906&gt;0,Первоначальный[[#This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платеж]]+Y906),
AND(S906&gt;0,MAX((0&lt;&gt;S$12:S906)*ROW(S$12:S906),ROW($S$12))&gt;=MAX((1=Z$12:Z906)*ROW(Z$12:Z906),ROW($T$12)),TYPE(VLOOKUP("Да",(INDIRECT("AA"&amp;(MAX((1=Z$12:Z906)*ROW(Z$12:Z906),ROW($T$12))&amp;":AA"&amp;(ROW()-1)))),1,0))=16),MIN(LOOKUP(,-1/($Z$12:Z907=1),$C$12:C907)+LOOKUP(,-1/($Z$12:Z907=1),$H$12:H907)-SUM(INDIRECT("T"&amp;(MAX((1=Z$12:Z906)*ROW(Z$12:Z906),ROW($T$12))&amp;":T"&amp;(ROW()-1)))),Первоначальный[[#This Row],[Полученный платеж]]+Y906),
S906&gt;0,MIN(LOOKUP(,-1/($Z$12:Z907=1),$C$12:C907)+LOOKUP(,-1/($Z$12:Z907=1),$H$12:H907)-IF(Z906=1,0,SUM(INDIRECT("T"&amp;(MAX((1=Z$12:Z906)*ROW(Z$12:Z906)+1,ROW($T$12))&amp;":T"&amp;(ROW()-1))))),Первоначальный[[#This Row],[Полученный платеж]]+Y906)
)
)
)</f>
        <v>0</v>
      </c>
      <c r="U90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платеж]]+Y906-Первоначальный[[#This Row],[Полученный платёж по процентам]])</f>
        <v>0</v>
      </c>
      <c r="V907" s="55">
        <f t="shared" ca="1" si="157"/>
        <v>0</v>
      </c>
      <c r="W907" s="55" cm="1">
        <f t="array" aca="1" ref="W907" ca="1">IF(Первоначальный[[#This Row],[Итого остаток на начало периода]]&lt;1,0,
_xlfn.IFS(
AND(TYPE(VLOOKUP(1,$Z$12:Z907,1,0))=16,Первоначальный[[#This Row],[Досрочное погашение (да/"")]]=""),0,
AND(S906=0,Первоначальный[[#This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платеж]]+Y906-SUM(Первоначальный[[#This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комиссиям]]),VLOOKUP(LOOKUP(,-1/($Z$12:Z907=1),$A$12:A907),График[[Срок конец]:[Возврат основной суммы долга]],3,0)),
AND(S906=0,Первоначальный[[#This Row],[Дата платежа из графика]]="",Первоначальный[[#This Row],[Досрочное погашение (да/"")]]&lt;&gt;"Да"),0,
AND(S906=0,Первоначальный[[#This Row],[Досрочное погашение (да/"")]]=""),MIN(Первоначальный[[#This Row],[Полученный платеж]]+Y906-SUM(Первоначальный[[#This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комиссиям]]),VLOOKUP(LOOKUP(,-1/($Z$12:Z907=1),$A$12:A907),График[[Срок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платеж]]+Y906-SUM(Первоначальный[[#This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S906&gt;0,MIN(Первоначальный[[#This Row],[Полученный платеж]]+Y906-SUM(Первоначальный[[#This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комиссиям]]),SUM(INDIRECT("M"&amp;(MAX((1=S$12:S906)*ROW(S$12:S906),ROW($W$12))&amp;":M"&amp;(ROW()))))-SUM(INDIRECT("W"&amp;(MAX((1=S$12:S906)*ROW(S$12:S906),ROW($W$12))&amp;":W"&amp;(ROW()-1)))))
)
)</f>
        <v>0</v>
      </c>
      <c r="X907" s="55">
        <f t="shared" ca="1" si="158"/>
        <v>0</v>
      </c>
      <c r="Y907" s="101">
        <f t="shared" ca="1" si="165"/>
        <v>0</v>
      </c>
      <c r="Z907" s="133" t="str">
        <f>IF(TYPE((VLOOKUP(Первоначальный[[#This Row],[Дата платежа]],График[Срок конец],1,0)))=16,"",1)</f>
        <v/>
      </c>
      <c r="AA907" s="57"/>
      <c r="AB907" s="134"/>
      <c r="AC90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0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65024.559999999954</v>
      </c>
      <c r="AE90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2918.759999999992</v>
      </c>
      <c r="AF90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0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159745.12313278666</v>
      </c>
      <c r="AH907" s="55"/>
      <c r="AI907" s="55"/>
      <c r="AJ907" s="55"/>
      <c r="AK907" s="101">
        <f t="shared" ca="1" si="166"/>
        <v>377321.78313278663</v>
      </c>
      <c r="AL907" s="129">
        <f t="array" ref="AL907">MAX((УслРестрактов[Характеристика]="Дата реструктуризации")*(УслРестрактов[Значение]=Первоначальный!$A907),0)</f>
        <v>0</v>
      </c>
    </row>
    <row r="908" spans="1:38" x14ac:dyDescent="0.25">
      <c r="A908" s="97">
        <f t="shared" si="159"/>
        <v>45039</v>
      </c>
      <c r="B908" s="100">
        <f t="shared" ca="1" si="160"/>
        <v>149633.34</v>
      </c>
      <c r="C908" s="55">
        <f t="shared" ca="1" si="170"/>
        <v>65024.559999999954</v>
      </c>
      <c r="D908" s="55">
        <f t="shared" ca="1" si="170"/>
        <v>2918.759999999992</v>
      </c>
      <c r="E908" s="55">
        <f t="shared" ca="1" si="161"/>
        <v>0</v>
      </c>
      <c r="F908" s="55">
        <f t="shared" ca="1" si="162"/>
        <v>159745.12313278666</v>
      </c>
      <c r="G908" s="101">
        <f t="shared" ca="1" si="163"/>
        <v>377321.78313278663</v>
      </c>
      <c r="H908" s="100">
        <f ca="1">ROUND($B908*VLOOKUP($A908,$A$1:$B$10,2,1)/(365+IF(MOD(YEAR($A908),4),0,1)*($A908-$A907)),2)-Первоначальный[[#This Row],[Проценты на просроченный платеж по ОД за период]]</f>
        <v>73.87</v>
      </c>
      <c r="I908" s="55">
        <f t="shared" ca="1" si="164"/>
        <v>7.71</v>
      </c>
      <c r="J908" s="55">
        <v>0</v>
      </c>
      <c r="K908" s="55">
        <f t="shared" ca="1" si="167"/>
        <v>391.02850327868845</v>
      </c>
      <c r="L908" s="55">
        <v>0</v>
      </c>
      <c r="M908" s="113">
        <f>SUMIFS(График[Возврат основной суммы долга],График[Дата с учетом нерабочих дней],$A908)</f>
        <v>0</v>
      </c>
      <c r="N908" s="56">
        <f>SUMIFS(График[Возврат начисленных %],График[Дата с учетом нерабочих дней],$A908)</f>
        <v>0</v>
      </c>
      <c r="O908" s="101">
        <v>0</v>
      </c>
      <c r="P908" s="100" cm="1">
        <f t="array" aca="1" ref="P908" ca="1">MAX(IF(AA907="Да",0,SUM(INDIRECT("M"&amp;(MAX(("Да"=AA$12:AA907)*ROW(AA$12:AA907)+1,ROW($P$12))&amp;":M"&amp;(ROW()))))-SUM(INDIRECT("W"&amp;(MAX(("Да"=AA$12:AA907)*ROW(AA$12:AA907)+1,ROW($P$12))&amp;":W"&amp;(ROW()))))),0)</f>
        <v>14143.740000000002</v>
      </c>
      <c r="Q908" s="99">
        <f ca="1">MAX(SUM($N$13:N908)-SUM($T$13:T908),0)</f>
        <v>64061.960655737683</v>
      </c>
      <c r="R908" s="99">
        <f ca="1">Первоначальный[[#This Row],[Просроченный платеж по ОД]]+Первоначальный[[#This Row],[Просроченный платеж по процентам]]</f>
        <v>78205.700655737688</v>
      </c>
      <c r="S908" s="120">
        <f ca="1">IF(Первоначальный[[#This Row],[Просроченный платеж]]&lt;1,0,S907+1)</f>
        <v>804</v>
      </c>
      <c r="T908" s="100" cm="1">
        <f t="array" aca="1" ref="T908" ca="1">IF(Первоначальный[[#This Row],[Итого остаток на начало периода]]&lt;1,0,
IF(
AND(TYPE(VLOOKUP(1,$Z$12:Z908,1,0))=16,Первоначальный[[#This Row],[Досрочное погашение (да/"")]]=""),0,
_xlfn.IFS(AND(S907=0,Первоначальный[[#This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платеж]]&lt;&gt;0),MIN(LOOKUP(,-1/($Z$12:Z908=1),$C$12:C908)+LOOKUP(,-1/($Z$12:Z908=1),$H$12:H908),Первоначальный[[#This Row],[Полученный платеж]]+Y907),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платеж]]+Y907,SUM(Первоначальный[[#This Row],[Остаток процентов на начало периода]],Первоначальный[[#This Row],[Проценты за период]])),
AND(S907=0,Первоначальный[[#This Row],[Дата платежа из графика]]=""),0,
AND(S907=0,Первоначальный[[#This Row],[Дата платежа из графика]]=1,MAX((0&lt;&gt;S$12:S907)*ROW(S$12:S907),ROW($S$12))&gt;=MAX((1=Z$12:Z907)*ROW(Z$12:Z907),ROW($T$12)),TYPE(VLOOKUP("Да",(INDIRECT("AA"&amp;(MAX((1=Z$12:Z907)*ROW(Z$12:Z907),ROW($T$12))&amp;":AA"&amp;(ROW()-1)))),1,0))=16),MIN(LOOKUP(,-1/($Z$12:Z908=1),$C$12:C908)+LOOKUP(,-1/($Z$12:Z908=1),$H$12:H908),Первоначальный[[#This Row],[Полученный платеж]]+Y907),
AND(S907=0,TYPE(VLOOKUP("Да",(INDIRECT("AA"&amp;(MAX((1=Z$12:Z907)*ROW(Z$12:Z907),ROW($T$12))&amp;":AA"&amp;(ROW()-1)))),1,0))&lt;&gt;16),MIN(LOOKUP(,-1/($Z$12:Z908=1),$C$12:C908)+LOOKUP(,-1/($Z$12:Z908=1),$H$12:H908)-IF(AA907="Да",0,SUM(INDIRECT("T"&amp;(MAX(("Да"=AA$12:AA907)*ROW(AA$12:AA907)+1,ROW($T$12))&amp;":T"&amp;(ROW()-1))))),Первоначальный[[#This Row],[Полученный платеж]]+Y907),
AND(S907=0,MAX((0&lt;&gt;N$12:N907)*ROW(N$12:N907),ROW($S$12))&gt;=MAX((1=Z$12:Z907)*ROW(Z$12:Z907),ROW($T$12))),MIN(LOOKUP(,-1/($Z$12:Z908=1),$C$12:C908)+LOOKUP(,-1/($Z$12:Z908=1),$H$12:H908)-IF(N907&lt;&gt;0,0,SUM(INDIRECT("T"&amp;(MAX((0&lt;&gt;N$12:N907)*ROW(N$12:N907)+1,ROW($T$12))&amp;":T"&amp;(ROW()-1))))),Первоначальный[[#This Row],[Полученный платеж]]+Y907),
AND(S907=0,Первоначальный[[#This Row],[Дата платежа из графика]]=1),MIN(LOOKUP(,-1/($Z$12:Z908=1),$C$12:C908)+LOOKUP(,-1/($Z$12:Z908=1),$H$12:H908)-IF(Z907=1,0,SUM(INDIRECT("T"&amp;(MAX((1=Z$12:Z907)*ROW(Z$12:Z907)+1,ROW($T$12))&amp;":T"&amp;(ROW()-1))))),Первоначальный[[#This Row],[Полученный платеж]]+Y907),
AND(Z907&gt;0,Первоначальный[[#This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платеж]]+Y907),
AND(S907&gt;0,MAX((0&lt;&gt;S$12:S907)*ROW(S$12:S907),ROW($S$12))&gt;=MAX((1=Z$12:Z907)*ROW(Z$12:Z907),ROW($T$12)),TYPE(VLOOKUP("Да",(INDIRECT("AA"&amp;(MAX((1=Z$12:Z907)*ROW(Z$12:Z907),ROW($T$12))&amp;":AA"&amp;(ROW()-1)))),1,0))=16),MIN(LOOKUP(,-1/($Z$12:Z908=1),$C$12:C908)+LOOKUP(,-1/($Z$12:Z908=1),$H$12:H908)-SUM(INDIRECT("T"&amp;(MAX((1=Z$12:Z907)*ROW(Z$12:Z907),ROW($T$12))&amp;":T"&amp;(ROW()-1)))),Первоначальный[[#This Row],[Полученный платеж]]+Y907),
S907&gt;0,MIN(LOOKUP(,-1/($Z$12:Z908=1),$C$12:C908)+LOOKUP(,-1/($Z$12:Z908=1),$H$12:H908)-IF(Z907=1,0,SUM(INDIRECT("T"&amp;(MAX((1=Z$12:Z907)*ROW(Z$12:Z907)+1,ROW($T$12))&amp;":T"&amp;(ROW()-1))))),Первоначальный[[#This Row],[Полученный платеж]]+Y907)
)
)
)</f>
        <v>0</v>
      </c>
      <c r="U90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платеж]]+Y907-Первоначальный[[#This Row],[Полученный платёж по процентам]])</f>
        <v>0</v>
      </c>
      <c r="V908" s="55">
        <f t="shared" ca="1" si="157"/>
        <v>0</v>
      </c>
      <c r="W908" s="55" cm="1">
        <f t="array" aca="1" ref="W908" ca="1">IF(Первоначальный[[#This Row],[Итого остаток на начало периода]]&lt;1,0,
_xlfn.IFS(
AND(TYPE(VLOOKUP(1,$Z$12:Z908,1,0))=16,Первоначальный[[#This Row],[Досрочное погашение (да/"")]]=""),0,
AND(S907=0,Первоначальный[[#This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платеж]]+Y907-SUM(Первоначальный[[#This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комиссиям]]),VLOOKUP(LOOKUP(,-1/($Z$12:Z908=1),$A$12:A908),График[[Срок конец]:[Возврат основной суммы долга]],3,0)),
AND(S907=0,Первоначальный[[#This Row],[Дата платежа из графика]]="",Первоначальный[[#This Row],[Досрочное погашение (да/"")]]&lt;&gt;"Да"),0,
AND(S907=0,Первоначальный[[#This Row],[Досрочное погашение (да/"")]]=""),MIN(Первоначальный[[#This Row],[Полученный платеж]]+Y907-SUM(Первоначальный[[#This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комиссиям]]),VLOOKUP(LOOKUP(,-1/($Z$12:Z908=1),$A$12:A908),График[[Срок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платеж]]+Y907-SUM(Первоначальный[[#This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S907&gt;0,MIN(Первоначальный[[#This Row],[Полученный платеж]]+Y907-SUM(Первоначальный[[#This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комиссиям]]),SUM(INDIRECT("M"&amp;(MAX((1=S$12:S907)*ROW(S$12:S907),ROW($W$12))&amp;":M"&amp;(ROW()))))-SUM(INDIRECT("W"&amp;(MAX((1=S$12:S907)*ROW(S$12:S907),ROW($W$12))&amp;":W"&amp;(ROW()-1)))))
)
)</f>
        <v>0</v>
      </c>
      <c r="X908" s="55">
        <f t="shared" ca="1" si="158"/>
        <v>0</v>
      </c>
      <c r="Y908" s="101">
        <f t="shared" ca="1" si="165"/>
        <v>0</v>
      </c>
      <c r="Z908" s="133" t="str">
        <f>IF(TYPE((VLOOKUP(Первоначальный[[#This Row],[Дата платежа]],График[Срок конец],1,0)))=16,"",1)</f>
        <v/>
      </c>
      <c r="AA908" s="57"/>
      <c r="AB908" s="134"/>
      <c r="AC90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0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65098.429999999957</v>
      </c>
      <c r="AE90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2926.4699999999921</v>
      </c>
      <c r="AF90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0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160136.15163606533</v>
      </c>
      <c r="AH908" s="55"/>
      <c r="AI908" s="55"/>
      <c r="AJ908" s="55"/>
      <c r="AK908" s="101">
        <f t="shared" ca="1" si="166"/>
        <v>377794.39163606532</v>
      </c>
      <c r="AL908" s="129">
        <f t="array" ref="AL908">MAX((УслРестрактов[Характеристика]="Дата реструктуризации")*(УслРестрактов[Значение]=Первоначальный!$A908),0)</f>
        <v>0</v>
      </c>
    </row>
    <row r="909" spans="1:38" x14ac:dyDescent="0.25">
      <c r="A909" s="97">
        <f t="shared" si="159"/>
        <v>45040</v>
      </c>
      <c r="B909" s="100">
        <f t="shared" ca="1" si="160"/>
        <v>149633.34</v>
      </c>
      <c r="C909" s="55">
        <f t="shared" ca="1" si="170"/>
        <v>65098.429999999957</v>
      </c>
      <c r="D909" s="55">
        <f t="shared" ca="1" si="170"/>
        <v>2926.4699999999921</v>
      </c>
      <c r="E909" s="55">
        <f t="shared" ca="1" si="161"/>
        <v>0</v>
      </c>
      <c r="F909" s="55">
        <f t="shared" ca="1" si="162"/>
        <v>160136.15163606533</v>
      </c>
      <c r="G909" s="101">
        <f t="shared" ca="1" si="163"/>
        <v>377794.39163606532</v>
      </c>
      <c r="H909" s="100">
        <f ca="1">ROUND($B909*VLOOKUP($A909,$A$1:$B$10,2,1)/(365+IF(MOD(YEAR($A909),4),0,1)*($A909-$A908)),2)-Первоначальный[[#This Row],[Проценты на просроченный платеж по ОД за период]]</f>
        <v>73.87</v>
      </c>
      <c r="I909" s="55">
        <f t="shared" ca="1" si="164"/>
        <v>7.71</v>
      </c>
      <c r="J909" s="55">
        <v>0</v>
      </c>
      <c r="K909" s="55">
        <f t="shared" ca="1" si="167"/>
        <v>391.02850327868845</v>
      </c>
      <c r="L909" s="55">
        <v>0</v>
      </c>
      <c r="M909" s="113">
        <f>SUMIFS(График[Возврат основной суммы долга],График[Дата с учетом нерабочих дней],$A909)</f>
        <v>0</v>
      </c>
      <c r="N909" s="56">
        <f>SUMIFS(График[Возврат начисленных %],График[Дата с учетом нерабочих дней],$A909)</f>
        <v>0</v>
      </c>
      <c r="O909" s="101">
        <v>0</v>
      </c>
      <c r="P909" s="100" cm="1">
        <f t="array" aca="1" ref="P909" ca="1">MAX(IF(AA908="Да",0,SUM(INDIRECT("M"&amp;(MAX(("Да"=AA$12:AA908)*ROW(AA$12:AA908)+1,ROW($P$12))&amp;":M"&amp;(ROW()))))-SUM(INDIRECT("W"&amp;(MAX(("Да"=AA$12:AA908)*ROW(AA$12:AA908)+1,ROW($P$12))&amp;":W"&amp;(ROW()))))),0)</f>
        <v>14143.740000000002</v>
      </c>
      <c r="Q909" s="99">
        <f ca="1">MAX(SUM($N$13:N909)-SUM($T$13:T909),0)</f>
        <v>64061.960655737683</v>
      </c>
      <c r="R909" s="99">
        <f ca="1">Первоначальный[[#This Row],[Просроченный платеж по ОД]]+Первоначальный[[#This Row],[Просроченный платеж по процентам]]</f>
        <v>78205.700655737688</v>
      </c>
      <c r="S909" s="120">
        <f ca="1">IF(Первоначальный[[#This Row],[Просроченный платеж]]&lt;1,0,S908+1)</f>
        <v>805</v>
      </c>
      <c r="T909" s="100" cm="1">
        <f t="array" aca="1" ref="T909" ca="1">IF(Первоначальный[[#This Row],[Итого остаток на начало периода]]&lt;1,0,
IF(
AND(TYPE(VLOOKUP(1,$Z$12:Z909,1,0))=16,Первоначальный[[#This Row],[Досрочное погашение (да/"")]]=""),0,
_xlfn.IFS(AND(S908=0,Первоначальный[[#This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платеж]]&lt;&gt;0),MIN(LOOKUP(,-1/($Z$12:Z909=1),$C$12:C909)+LOOKUP(,-1/($Z$12:Z909=1),$H$12:H909),Первоначальный[[#This Row],[Полученный платеж]]+Y908),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платеж]]+Y908,SUM(Первоначальный[[#This Row],[Остаток процентов на начало периода]],Первоначальный[[#This Row],[Проценты за период]])),
AND(S908=0,Первоначальный[[#This Row],[Дата платежа из графика]]=""),0,
AND(S908=0,Первоначальный[[#This Row],[Дата платежа из графика]]=1,MAX((0&lt;&gt;S$12:S908)*ROW(S$12:S908),ROW($S$12))&gt;=MAX((1=Z$12:Z908)*ROW(Z$12:Z908),ROW($T$12)),TYPE(VLOOKUP("Да",(INDIRECT("AA"&amp;(MAX((1=Z$12:Z908)*ROW(Z$12:Z908),ROW($T$12))&amp;":AA"&amp;(ROW()-1)))),1,0))=16),MIN(LOOKUP(,-1/($Z$12:Z909=1),$C$12:C909)+LOOKUP(,-1/($Z$12:Z909=1),$H$12:H909),Первоначальный[[#This Row],[Полученный платеж]]+Y908),
AND(S908=0,TYPE(VLOOKUP("Да",(INDIRECT("AA"&amp;(MAX((1=Z$12:Z908)*ROW(Z$12:Z908),ROW($T$12))&amp;":AA"&amp;(ROW()-1)))),1,0))&lt;&gt;16),MIN(LOOKUP(,-1/($Z$12:Z909=1),$C$12:C909)+LOOKUP(,-1/($Z$12:Z909=1),$H$12:H909)-IF(AA908="Да",0,SUM(INDIRECT("T"&amp;(MAX(("Да"=AA$12:AA908)*ROW(AA$12:AA908)+1,ROW($T$12))&amp;":T"&amp;(ROW()-1))))),Первоначальный[[#This Row],[Полученный платеж]]+Y908),
AND(S908=0,MAX((0&lt;&gt;N$12:N908)*ROW(N$12:N908),ROW($S$12))&gt;=MAX((1=Z$12:Z908)*ROW(Z$12:Z908),ROW($T$12))),MIN(LOOKUP(,-1/($Z$12:Z909=1),$C$12:C909)+LOOKUP(,-1/($Z$12:Z909=1),$H$12:H909)-IF(N908&lt;&gt;0,0,SUM(INDIRECT("T"&amp;(MAX((0&lt;&gt;N$12:N908)*ROW(N$12:N908)+1,ROW($T$12))&amp;":T"&amp;(ROW()-1))))),Первоначальный[[#This Row],[Полученный платеж]]+Y908),
AND(S908=0,Первоначальный[[#This Row],[Дата платежа из графика]]=1),MIN(LOOKUP(,-1/($Z$12:Z909=1),$C$12:C909)+LOOKUP(,-1/($Z$12:Z909=1),$H$12:H909)-IF(Z908=1,0,SUM(INDIRECT("T"&amp;(MAX((1=Z$12:Z908)*ROW(Z$12:Z908)+1,ROW($T$12))&amp;":T"&amp;(ROW()-1))))),Первоначальный[[#This Row],[Полученный платеж]]+Y908),
AND(Z908&gt;0,Первоначальный[[#This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платеж]]+Y908),
AND(S908&gt;0,MAX((0&lt;&gt;S$12:S908)*ROW(S$12:S908),ROW($S$12))&gt;=MAX((1=Z$12:Z908)*ROW(Z$12:Z908),ROW($T$12)),TYPE(VLOOKUP("Да",(INDIRECT("AA"&amp;(MAX((1=Z$12:Z908)*ROW(Z$12:Z908),ROW($T$12))&amp;":AA"&amp;(ROW()-1)))),1,0))=16),MIN(LOOKUP(,-1/($Z$12:Z909=1),$C$12:C909)+LOOKUP(,-1/($Z$12:Z909=1),$H$12:H909)-SUM(INDIRECT("T"&amp;(MAX((1=Z$12:Z908)*ROW(Z$12:Z908),ROW($T$12))&amp;":T"&amp;(ROW()-1)))),Первоначальный[[#This Row],[Полученный платеж]]+Y908),
S908&gt;0,MIN(LOOKUP(,-1/($Z$12:Z909=1),$C$12:C909)+LOOKUP(,-1/($Z$12:Z909=1),$H$12:H909)-IF(Z908=1,0,SUM(INDIRECT("T"&amp;(MAX((1=Z$12:Z908)*ROW(Z$12:Z908)+1,ROW($T$12))&amp;":T"&amp;(ROW()-1))))),Первоначальный[[#This Row],[Полученный платеж]]+Y908)
)
)
)</f>
        <v>0</v>
      </c>
      <c r="U90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платеж]]+Y908-Первоначальный[[#This Row],[Полученный платёж по процентам]])</f>
        <v>0</v>
      </c>
      <c r="V909" s="55">
        <f t="shared" ref="V909:V972" ca="1" si="171">MAX(MIN(SUM(O909,Y908)-SUM(T909:T909),SUM(E909,J909)),0)</f>
        <v>0</v>
      </c>
      <c r="W909" s="55" cm="1">
        <f t="array" aca="1" ref="W909" ca="1">IF(Первоначальный[[#This Row],[Итого остаток на начало периода]]&lt;1,0,
_xlfn.IFS(
AND(TYPE(VLOOKUP(1,$Z$12:Z909,1,0))=16,Первоначальный[[#This Row],[Досрочное погашение (да/"")]]=""),0,
AND(S908=0,Первоначальный[[#This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платеж]]+Y908-SUM(Первоначальный[[#This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комиссиям]]),VLOOKUP(LOOKUP(,-1/($Z$12:Z909=1),$A$12:A909),График[[Срок конец]:[Возврат основной суммы долга]],3,0)),
AND(S908=0,Первоначальный[[#This Row],[Дата платежа из графика]]="",Первоначальный[[#This Row],[Досрочное погашение (да/"")]]&lt;&gt;"Да"),0,
AND(S908=0,Первоначальный[[#This Row],[Досрочное погашение (да/"")]]=""),MIN(Первоначальный[[#This Row],[Полученный платеж]]+Y908-SUM(Первоначальный[[#This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комиссиям]]),VLOOKUP(LOOKUP(,-1/($Z$12:Z909=1),$A$12:A909),График[[Срок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платеж]]+Y908-SUM(Первоначальный[[#This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S908&gt;0,MIN(Первоначальный[[#This Row],[Полученный платеж]]+Y908-SUM(Первоначальный[[#This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комиссиям]]),SUM(INDIRECT("M"&amp;(MAX((1=S$12:S908)*ROW(S$12:S908),ROW($W$12))&amp;":M"&amp;(ROW()))))-SUM(INDIRECT("W"&amp;(MAX((1=S$12:S908)*ROW(S$12:S908),ROW($W$12))&amp;":W"&amp;(ROW()-1)))))
)
)</f>
        <v>0</v>
      </c>
      <c r="X909" s="55">
        <f t="shared" ref="X909:X972" ca="1" si="172">MAX(MIN(SUM(O909,Y908)-SUM(T909:W909),SUM(F909,K909)),0)</f>
        <v>0</v>
      </c>
      <c r="Y909" s="101">
        <f t="shared" ca="1" si="165"/>
        <v>0</v>
      </c>
      <c r="Z909" s="133" t="str">
        <f>IF(TYPE((VLOOKUP(Первоначальный[[#This Row],[Дата платежа]],График[Срок конец],1,0)))=16,"",1)</f>
        <v/>
      </c>
      <c r="AA909" s="57"/>
      <c r="AB909" s="134"/>
      <c r="AC90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0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65172.299999999959</v>
      </c>
      <c r="AE90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2934.1799999999921</v>
      </c>
      <c r="AF90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0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160527.18013934401</v>
      </c>
      <c r="AH909" s="55"/>
      <c r="AI909" s="55"/>
      <c r="AJ909" s="55"/>
      <c r="AK909" s="101">
        <f t="shared" ca="1" si="166"/>
        <v>378267.00013934396</v>
      </c>
      <c r="AL909" s="129">
        <f t="array" ref="AL909">MAX((УслРестрактов[Характеристика]="Дата реструктуризации")*(УслРестрактов[Значение]=Первоначальный!$A909),0)</f>
        <v>0</v>
      </c>
    </row>
    <row r="910" spans="1:38" x14ac:dyDescent="0.25">
      <c r="A910" s="97">
        <f t="shared" ref="A910:A973" si="173">A909+1</f>
        <v>45041</v>
      </c>
      <c r="B910" s="100">
        <f t="shared" ref="B910:B973" ca="1" si="174">AC909</f>
        <v>149633.34</v>
      </c>
      <c r="C910" s="55">
        <f t="shared" ca="1" si="170"/>
        <v>65172.299999999959</v>
      </c>
      <c r="D910" s="55">
        <f t="shared" ca="1" si="170"/>
        <v>2934.1799999999921</v>
      </c>
      <c r="E910" s="55">
        <f t="shared" ref="E910:E973" ca="1" si="175">AF909</f>
        <v>0</v>
      </c>
      <c r="F910" s="55">
        <f t="shared" ref="F910:F973" ca="1" si="176">AG909+AH909</f>
        <v>160527.18013934401</v>
      </c>
      <c r="G910" s="101">
        <f t="shared" ref="G910:G973" ca="1" si="177">AK909</f>
        <v>378267.00013934396</v>
      </c>
      <c r="H910" s="100">
        <f ca="1">ROUND($B910*VLOOKUP($A910,$A$1:$B$10,2,1)/(365+IF(MOD(YEAR($A910),4),0,1)*($A910-$A909)),2)-Первоначальный[[#This Row],[Проценты на просроченный платеж по ОД за период]]</f>
        <v>73.87</v>
      </c>
      <c r="I910" s="55">
        <f t="shared" ref="I910:I973" ca="1" si="178">ROUND(P909*VLOOKUP($A910,$A$1:$B$10,2,1)/(365+IF(MOD(YEAR($A910),4),0,1)*($A910-$A909)),2)</f>
        <v>7.71</v>
      </c>
      <c r="J910" s="55">
        <v>0</v>
      </c>
      <c r="K910" s="55">
        <f t="shared" ca="1" si="167"/>
        <v>391.02850327868845</v>
      </c>
      <c r="L910" s="55">
        <v>0</v>
      </c>
      <c r="M910" s="113">
        <f>SUMIFS(График[Возврат основной суммы долга],График[Дата с учетом нерабочих дней],$A910)</f>
        <v>0</v>
      </c>
      <c r="N910" s="56">
        <f>SUMIFS(График[Возврат начисленных %],График[Дата с учетом нерабочих дней],$A910)</f>
        <v>0</v>
      </c>
      <c r="O910" s="101">
        <v>0</v>
      </c>
      <c r="P910" s="100" cm="1">
        <f t="array" aca="1" ref="P910" ca="1">MAX(IF(AA909="Да",0,SUM(INDIRECT("M"&amp;(MAX(("Да"=AA$12:AA909)*ROW(AA$12:AA909)+1,ROW($P$12))&amp;":M"&amp;(ROW()))))-SUM(INDIRECT("W"&amp;(MAX(("Да"=AA$12:AA909)*ROW(AA$12:AA909)+1,ROW($P$12))&amp;":W"&amp;(ROW()))))),0)</f>
        <v>14143.740000000002</v>
      </c>
      <c r="Q910" s="99">
        <f ca="1">MAX(SUM($N$13:N910)-SUM($T$13:T910),0)</f>
        <v>64061.960655737683</v>
      </c>
      <c r="R910" s="99">
        <f ca="1">Первоначальный[[#This Row],[Просроченный платеж по ОД]]+Первоначальный[[#This Row],[Просроченный платеж по процентам]]</f>
        <v>78205.700655737688</v>
      </c>
      <c r="S910" s="120">
        <f ca="1">IF(Первоначальный[[#This Row],[Просроченный платеж]]&lt;1,0,S909+1)</f>
        <v>806</v>
      </c>
      <c r="T910" s="100" cm="1">
        <f t="array" aca="1" ref="T910" ca="1">IF(Первоначальный[[#This Row],[Итого остаток на начало периода]]&lt;1,0,
IF(
AND(TYPE(VLOOKUP(1,$Z$12:Z910,1,0))=16,Первоначальный[[#This Row],[Досрочное погашение (да/"")]]=""),0,
_xlfn.IFS(AND(S909=0,Первоначальный[[#This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платеж]]&lt;&gt;0),MIN(LOOKUP(,-1/($Z$12:Z910=1),$C$12:C910)+LOOKUP(,-1/($Z$12:Z910=1),$H$12:H910),Первоначальный[[#This Row],[Полученный платеж]]+Y909),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платеж]]+Y909,SUM(Первоначальный[[#This Row],[Остаток процентов на начало периода]],Первоначальный[[#This Row],[Проценты за период]])),
AND(S909=0,Первоначальный[[#This Row],[Дата платежа из графика]]=""),0,
AND(S909=0,Первоначальный[[#This Row],[Дата платежа из графика]]=1,MAX((0&lt;&gt;S$12:S909)*ROW(S$12:S909),ROW($S$12))&gt;=MAX((1=Z$12:Z909)*ROW(Z$12:Z909),ROW($T$12)),TYPE(VLOOKUP("Да",(INDIRECT("AA"&amp;(MAX((1=Z$12:Z909)*ROW(Z$12:Z909),ROW($T$12))&amp;":AA"&amp;(ROW()-1)))),1,0))=16),MIN(LOOKUP(,-1/($Z$12:Z910=1),$C$12:C910)+LOOKUP(,-1/($Z$12:Z910=1),$H$12:H910),Первоначальный[[#This Row],[Полученный платеж]]+Y909),
AND(S909=0,TYPE(VLOOKUP("Да",(INDIRECT("AA"&amp;(MAX((1=Z$12:Z909)*ROW(Z$12:Z909),ROW($T$12))&amp;":AA"&amp;(ROW()-1)))),1,0))&lt;&gt;16),MIN(LOOKUP(,-1/($Z$12:Z910=1),$C$12:C910)+LOOKUP(,-1/($Z$12:Z910=1),$H$12:H910)-IF(AA909="Да",0,SUM(INDIRECT("T"&amp;(MAX(("Да"=AA$12:AA909)*ROW(AA$12:AA909)+1,ROW($T$12))&amp;":T"&amp;(ROW()-1))))),Первоначальный[[#This Row],[Полученный платеж]]+Y909),
AND(S909=0,MAX((0&lt;&gt;N$12:N909)*ROW(N$12:N909),ROW($S$12))&gt;=MAX((1=Z$12:Z909)*ROW(Z$12:Z909),ROW($T$12))),MIN(LOOKUP(,-1/($Z$12:Z910=1),$C$12:C910)+LOOKUP(,-1/($Z$12:Z910=1),$H$12:H910)-IF(N909&lt;&gt;0,0,SUM(INDIRECT("T"&amp;(MAX((0&lt;&gt;N$12:N909)*ROW(N$12:N909)+1,ROW($T$12))&amp;":T"&amp;(ROW()-1))))),Первоначальный[[#This Row],[Полученный платеж]]+Y909),
AND(S909=0,Первоначальный[[#This Row],[Дата платежа из графика]]=1),MIN(LOOKUP(,-1/($Z$12:Z910=1),$C$12:C910)+LOOKUP(,-1/($Z$12:Z910=1),$H$12:H910)-IF(Z909=1,0,SUM(INDIRECT("T"&amp;(MAX((1=Z$12:Z909)*ROW(Z$12:Z909)+1,ROW($T$12))&amp;":T"&amp;(ROW()-1))))),Первоначальный[[#This Row],[Полученный платеж]]+Y909),
AND(Z909&gt;0,Первоначальный[[#This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платеж]]+Y909),
AND(S909&gt;0,MAX((0&lt;&gt;S$12:S909)*ROW(S$12:S909),ROW($S$12))&gt;=MAX((1=Z$12:Z909)*ROW(Z$12:Z909),ROW($T$12)),TYPE(VLOOKUP("Да",(INDIRECT("AA"&amp;(MAX((1=Z$12:Z909)*ROW(Z$12:Z909),ROW($T$12))&amp;":AA"&amp;(ROW()-1)))),1,0))=16),MIN(LOOKUP(,-1/($Z$12:Z910=1),$C$12:C910)+LOOKUP(,-1/($Z$12:Z910=1),$H$12:H910)-SUM(INDIRECT("T"&amp;(MAX((1=Z$12:Z909)*ROW(Z$12:Z909),ROW($T$12))&amp;":T"&amp;(ROW()-1)))),Первоначальный[[#This Row],[Полученный платеж]]+Y909),
S909&gt;0,MIN(LOOKUP(,-1/($Z$12:Z910=1),$C$12:C910)+LOOKUP(,-1/($Z$12:Z910=1),$H$12:H910)-IF(Z909=1,0,SUM(INDIRECT("T"&amp;(MAX((1=Z$12:Z909)*ROW(Z$12:Z909)+1,ROW($T$12))&amp;":T"&amp;(ROW()-1))))),Первоначальный[[#This Row],[Полученный платеж]]+Y909)
)
)
)</f>
        <v>0</v>
      </c>
      <c r="U91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платеж]]+Y909-Первоначальный[[#This Row],[Полученный платёж по процентам]])</f>
        <v>0</v>
      </c>
      <c r="V910" s="55">
        <f t="shared" ca="1" si="171"/>
        <v>0</v>
      </c>
      <c r="W910" s="55" cm="1">
        <f t="array" aca="1" ref="W910" ca="1">IF(Первоначальный[[#This Row],[Итого остаток на начало периода]]&lt;1,0,
_xlfn.IFS(
AND(TYPE(VLOOKUP(1,$Z$12:Z910,1,0))=16,Первоначальный[[#This Row],[Досрочное погашение (да/"")]]=""),0,
AND(S909=0,Первоначальный[[#This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платеж]]+Y909-SUM(Первоначальный[[#This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комиссиям]]),VLOOKUP(LOOKUP(,-1/($Z$12:Z910=1),$A$12:A910),График[[Срок конец]:[Возврат основной суммы долга]],3,0)),
AND(S909=0,Первоначальный[[#This Row],[Дата платежа из графика]]="",Первоначальный[[#This Row],[Досрочное погашение (да/"")]]&lt;&gt;"Да"),0,
AND(S909=0,Первоначальный[[#This Row],[Досрочное погашение (да/"")]]=""),MIN(Первоначальный[[#This Row],[Полученный платеж]]+Y909-SUM(Первоначальный[[#This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комиссиям]]),VLOOKUP(LOOKUP(,-1/($Z$12:Z910=1),$A$12:A910),График[[Срок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платеж]]+Y909-SUM(Первоначальный[[#This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S909&gt;0,MIN(Первоначальный[[#This Row],[Полученный платеж]]+Y909-SUM(Первоначальный[[#This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комиссиям]]),SUM(INDIRECT("M"&amp;(MAX((1=S$12:S909)*ROW(S$12:S909),ROW($W$12))&amp;":M"&amp;(ROW()))))-SUM(INDIRECT("W"&amp;(MAX((1=S$12:S909)*ROW(S$12:S909),ROW($W$12))&amp;":W"&amp;(ROW()-1)))))
)
)</f>
        <v>0</v>
      </c>
      <c r="X910" s="55">
        <f t="shared" ca="1" si="172"/>
        <v>0</v>
      </c>
      <c r="Y910" s="101">
        <f t="shared" ref="Y910:Y973" ca="1" si="179">ROUND(Y909+O910-SUM(T910:X910),2)</f>
        <v>0</v>
      </c>
      <c r="Z910" s="133" t="str">
        <f>IF(TYPE((VLOOKUP(Первоначальный[[#This Row],[Дата платежа]],График[Срок конец],1,0)))=16,"",1)</f>
        <v/>
      </c>
      <c r="AA910" s="57"/>
      <c r="AB910" s="134"/>
      <c r="AC91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1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65246.169999999962</v>
      </c>
      <c r="AE91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2941.8899999999921</v>
      </c>
      <c r="AF91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1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160918.20864262269</v>
      </c>
      <c r="AH910" s="55"/>
      <c r="AI910" s="55"/>
      <c r="AJ910" s="55"/>
      <c r="AK910" s="101">
        <f t="shared" ref="AK910:AK973" ca="1" si="180">SUM(AC910:AJ910)</f>
        <v>378739.6086426226</v>
      </c>
      <c r="AL910" s="129">
        <f t="array" ref="AL910">MAX((УслРестрактов[Характеристика]="Дата реструктуризации")*(УслРестрактов[Значение]=Первоначальный!$A910),0)</f>
        <v>0</v>
      </c>
    </row>
    <row r="911" spans="1:38" x14ac:dyDescent="0.25">
      <c r="A911" s="97">
        <f t="shared" si="173"/>
        <v>45042</v>
      </c>
      <c r="B911" s="100">
        <f t="shared" ca="1" si="174"/>
        <v>149633.34</v>
      </c>
      <c r="C911" s="55">
        <f t="shared" ca="1" si="170"/>
        <v>65246.169999999962</v>
      </c>
      <c r="D911" s="55">
        <f t="shared" ca="1" si="170"/>
        <v>2941.8899999999921</v>
      </c>
      <c r="E911" s="55">
        <f t="shared" ca="1" si="175"/>
        <v>0</v>
      </c>
      <c r="F911" s="55">
        <f t="shared" ca="1" si="176"/>
        <v>160918.20864262269</v>
      </c>
      <c r="G911" s="101">
        <f t="shared" ca="1" si="177"/>
        <v>378739.6086426226</v>
      </c>
      <c r="H911" s="100">
        <f ca="1">ROUND($B911*VLOOKUP($A911,$A$1:$B$10,2,1)/(365+IF(MOD(YEAR($A911),4),0,1)*($A911-$A910)),2)-Первоначальный[[#This Row],[Проценты на просроченный платеж по ОД за период]]</f>
        <v>73.87</v>
      </c>
      <c r="I911" s="55">
        <f t="shared" ca="1" si="178"/>
        <v>7.71</v>
      </c>
      <c r="J911" s="55">
        <v>0</v>
      </c>
      <c r="K911" s="55">
        <f t="shared" ref="K911:K974" ca="1" si="181">IF(S911&lt;&gt;0,R911*$B$7,0)</f>
        <v>391.02850327868845</v>
      </c>
      <c r="L911" s="55">
        <v>0</v>
      </c>
      <c r="M911" s="113">
        <f>SUMIFS(График[Возврат основной суммы долга],График[Дата с учетом нерабочих дней],$A911)</f>
        <v>0</v>
      </c>
      <c r="N911" s="56">
        <f>SUMIFS(График[Возврат начисленных %],График[Дата с учетом нерабочих дней],$A911)</f>
        <v>0</v>
      </c>
      <c r="O911" s="101">
        <v>0</v>
      </c>
      <c r="P911" s="100" cm="1">
        <f t="array" aca="1" ref="P911" ca="1">MAX(IF(AA910="Да",0,SUM(INDIRECT("M"&amp;(MAX(("Да"=AA$12:AA910)*ROW(AA$12:AA910)+1,ROW($P$12))&amp;":M"&amp;(ROW()))))-SUM(INDIRECT("W"&amp;(MAX(("Да"=AA$12:AA910)*ROW(AA$12:AA910)+1,ROW($P$12))&amp;":W"&amp;(ROW()))))),0)</f>
        <v>14143.740000000002</v>
      </c>
      <c r="Q911" s="99">
        <f ca="1">MAX(SUM($N$13:N911)-SUM($T$13:T911),0)</f>
        <v>64061.960655737683</v>
      </c>
      <c r="R911" s="99">
        <f ca="1">Первоначальный[[#This Row],[Просроченный платеж по ОД]]+Первоначальный[[#This Row],[Просроченный платеж по процентам]]</f>
        <v>78205.700655737688</v>
      </c>
      <c r="S911" s="120">
        <f ca="1">IF(Первоначальный[[#This Row],[Просроченный платеж]]&lt;1,0,S910+1)</f>
        <v>807</v>
      </c>
      <c r="T911" s="100" cm="1">
        <f t="array" aca="1" ref="T911" ca="1">IF(Первоначальный[[#This Row],[Итого остаток на начало периода]]&lt;1,0,
IF(
AND(TYPE(VLOOKUP(1,$Z$12:Z911,1,0))=16,Первоначальный[[#This Row],[Досрочное погашение (да/"")]]=""),0,
_xlfn.IFS(AND(S910=0,Первоначальный[[#This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платеж]]&lt;&gt;0),MIN(LOOKUP(,-1/($Z$12:Z911=1),$C$12:C911)+LOOKUP(,-1/($Z$12:Z911=1),$H$12:H911),Первоначальный[[#This Row],[Полученный платеж]]+Y910),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платеж]]+Y910,SUM(Первоначальный[[#This Row],[Остаток процентов на начало периода]],Первоначальный[[#This Row],[Проценты за период]])),
AND(S910=0,Первоначальный[[#This Row],[Дата платежа из графика]]=""),0,
AND(S910=0,Первоначальный[[#This Row],[Дата платежа из графика]]=1,MAX((0&lt;&gt;S$12:S910)*ROW(S$12:S910),ROW($S$12))&gt;=MAX((1=Z$12:Z910)*ROW(Z$12:Z910),ROW($T$12)),TYPE(VLOOKUP("Да",(INDIRECT("AA"&amp;(MAX((1=Z$12:Z910)*ROW(Z$12:Z910),ROW($T$12))&amp;":AA"&amp;(ROW()-1)))),1,0))=16),MIN(LOOKUP(,-1/($Z$12:Z911=1),$C$12:C911)+LOOKUP(,-1/($Z$12:Z911=1),$H$12:H911),Первоначальный[[#This Row],[Полученный платеж]]+Y910),
AND(S910=0,TYPE(VLOOKUP("Да",(INDIRECT("AA"&amp;(MAX((1=Z$12:Z910)*ROW(Z$12:Z910),ROW($T$12))&amp;":AA"&amp;(ROW()-1)))),1,0))&lt;&gt;16),MIN(LOOKUP(,-1/($Z$12:Z911=1),$C$12:C911)+LOOKUP(,-1/($Z$12:Z911=1),$H$12:H911)-IF(AA910="Да",0,SUM(INDIRECT("T"&amp;(MAX(("Да"=AA$12:AA910)*ROW(AA$12:AA910)+1,ROW($T$12))&amp;":T"&amp;(ROW()-1))))),Первоначальный[[#This Row],[Полученный платеж]]+Y910),
AND(S910=0,MAX((0&lt;&gt;N$12:N910)*ROW(N$12:N910),ROW($S$12))&gt;=MAX((1=Z$12:Z910)*ROW(Z$12:Z910),ROW($T$12))),MIN(LOOKUP(,-1/($Z$12:Z911=1),$C$12:C911)+LOOKUP(,-1/($Z$12:Z911=1),$H$12:H911)-IF(N910&lt;&gt;0,0,SUM(INDIRECT("T"&amp;(MAX((0&lt;&gt;N$12:N910)*ROW(N$12:N910)+1,ROW($T$12))&amp;":T"&amp;(ROW()-1))))),Первоначальный[[#This Row],[Полученный платеж]]+Y910),
AND(S910=0,Первоначальный[[#This Row],[Дата платежа из графика]]=1),MIN(LOOKUP(,-1/($Z$12:Z911=1),$C$12:C911)+LOOKUP(,-1/($Z$12:Z911=1),$H$12:H911)-IF(Z910=1,0,SUM(INDIRECT("T"&amp;(MAX((1=Z$12:Z910)*ROW(Z$12:Z910)+1,ROW($T$12))&amp;":T"&amp;(ROW()-1))))),Первоначальный[[#This Row],[Полученный платеж]]+Y910),
AND(Z910&gt;0,Первоначальный[[#This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платеж]]+Y910),
AND(S910&gt;0,MAX((0&lt;&gt;S$12:S910)*ROW(S$12:S910),ROW($S$12))&gt;=MAX((1=Z$12:Z910)*ROW(Z$12:Z910),ROW($T$12)),TYPE(VLOOKUP("Да",(INDIRECT("AA"&amp;(MAX((1=Z$12:Z910)*ROW(Z$12:Z910),ROW($T$12))&amp;":AA"&amp;(ROW()-1)))),1,0))=16),MIN(LOOKUP(,-1/($Z$12:Z911=1),$C$12:C911)+LOOKUP(,-1/($Z$12:Z911=1),$H$12:H911)-SUM(INDIRECT("T"&amp;(MAX((1=Z$12:Z910)*ROW(Z$12:Z910),ROW($T$12))&amp;":T"&amp;(ROW()-1)))),Первоначальный[[#This Row],[Полученный платеж]]+Y910),
S910&gt;0,MIN(LOOKUP(,-1/($Z$12:Z911=1),$C$12:C911)+LOOKUP(,-1/($Z$12:Z911=1),$H$12:H911)-IF(Z910=1,0,SUM(INDIRECT("T"&amp;(MAX((1=Z$12:Z910)*ROW(Z$12:Z910)+1,ROW($T$12))&amp;":T"&amp;(ROW()-1))))),Первоначальный[[#This Row],[Полученный платеж]]+Y910)
)
)
)</f>
        <v>0</v>
      </c>
      <c r="U91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платеж]]+Y910-Первоначальный[[#This Row],[Полученный платёж по процентам]])</f>
        <v>0</v>
      </c>
      <c r="V911" s="55">
        <f t="shared" ca="1" si="171"/>
        <v>0</v>
      </c>
      <c r="W911" s="55" cm="1">
        <f t="array" aca="1" ref="W911" ca="1">IF(Первоначальный[[#This Row],[Итого остаток на начало периода]]&lt;1,0,
_xlfn.IFS(
AND(TYPE(VLOOKUP(1,$Z$12:Z911,1,0))=16,Первоначальный[[#This Row],[Досрочное погашение (да/"")]]=""),0,
AND(S910=0,Первоначальный[[#This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платеж]]+Y910-SUM(Первоначальный[[#This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комиссиям]]),VLOOKUP(LOOKUP(,-1/($Z$12:Z911=1),$A$12:A911),График[[Срок конец]:[Возврат основной суммы долга]],3,0)),
AND(S910=0,Первоначальный[[#This Row],[Дата платежа из графика]]="",Первоначальный[[#This Row],[Досрочное погашение (да/"")]]&lt;&gt;"Да"),0,
AND(S910=0,Первоначальный[[#This Row],[Досрочное погашение (да/"")]]=""),MIN(Первоначальный[[#This Row],[Полученный платеж]]+Y910-SUM(Первоначальный[[#This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комиссиям]]),VLOOKUP(LOOKUP(,-1/($Z$12:Z911=1),$A$12:A911),График[[Срок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платеж]]+Y910-SUM(Первоначальный[[#This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S910&gt;0,MIN(Первоначальный[[#This Row],[Полученный платеж]]+Y910-SUM(Первоначальный[[#This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комиссиям]]),SUM(INDIRECT("M"&amp;(MAX((1=S$12:S910)*ROW(S$12:S910),ROW($W$12))&amp;":M"&amp;(ROW()))))-SUM(INDIRECT("W"&amp;(MAX((1=S$12:S910)*ROW(S$12:S910),ROW($W$12))&amp;":W"&amp;(ROW()-1)))))
)
)</f>
        <v>0</v>
      </c>
      <c r="X911" s="55">
        <f t="shared" ca="1" si="172"/>
        <v>0</v>
      </c>
      <c r="Y911" s="101">
        <f t="shared" ca="1" si="179"/>
        <v>0</v>
      </c>
      <c r="Z911" s="133" t="str">
        <f>IF(TYPE((VLOOKUP(Первоначальный[[#This Row],[Дата платежа]],График[Срок конец],1,0)))=16,"",1)</f>
        <v/>
      </c>
      <c r="AA911" s="57"/>
      <c r="AB911" s="134"/>
      <c r="AC91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1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65320.039999999964</v>
      </c>
      <c r="AE91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2949.5999999999922</v>
      </c>
      <c r="AF91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1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161309.23714590137</v>
      </c>
      <c r="AH911" s="55"/>
      <c r="AI911" s="55"/>
      <c r="AJ911" s="55"/>
      <c r="AK911" s="101">
        <f t="shared" ca="1" si="180"/>
        <v>379212.21714590129</v>
      </c>
      <c r="AL911" s="129">
        <f t="array" ref="AL911">MAX((УслРестрактов[Характеристика]="Дата реструктуризации")*(УслРестрактов[Значение]=Первоначальный!$A911),0)</f>
        <v>0</v>
      </c>
    </row>
    <row r="912" spans="1:38" x14ac:dyDescent="0.25">
      <c r="A912" s="97">
        <f t="shared" si="173"/>
        <v>45043</v>
      </c>
      <c r="B912" s="100">
        <f t="shared" ca="1" si="174"/>
        <v>149633.34</v>
      </c>
      <c r="C912" s="55">
        <f t="shared" ca="1" si="170"/>
        <v>65320.039999999964</v>
      </c>
      <c r="D912" s="55">
        <f t="shared" ca="1" si="170"/>
        <v>2949.5999999999922</v>
      </c>
      <c r="E912" s="55">
        <f t="shared" ca="1" si="175"/>
        <v>0</v>
      </c>
      <c r="F912" s="55">
        <f t="shared" ca="1" si="176"/>
        <v>161309.23714590137</v>
      </c>
      <c r="G912" s="101">
        <f t="shared" ca="1" si="177"/>
        <v>379212.21714590129</v>
      </c>
      <c r="H912" s="100">
        <f ca="1">ROUND($B912*VLOOKUP($A912,$A$1:$B$10,2,1)/(365+IF(MOD(YEAR($A912),4),0,1)*($A912-$A911)),2)-Первоначальный[[#This Row],[Проценты на просроченный платеж по ОД за период]]</f>
        <v>73.87</v>
      </c>
      <c r="I912" s="55">
        <f t="shared" ca="1" si="178"/>
        <v>7.71</v>
      </c>
      <c r="J912" s="55">
        <v>0</v>
      </c>
      <c r="K912" s="55">
        <f t="shared" ca="1" si="181"/>
        <v>391.02850327868845</v>
      </c>
      <c r="L912" s="55">
        <v>0</v>
      </c>
      <c r="M912" s="113">
        <f>SUMIFS(График[Возврат основной суммы долга],График[Дата с учетом нерабочих дней],$A912)</f>
        <v>0</v>
      </c>
      <c r="N912" s="56">
        <f>SUMIFS(График[Возврат начисленных %],График[Дата с учетом нерабочих дней],$A912)</f>
        <v>0</v>
      </c>
      <c r="O912" s="101">
        <v>0</v>
      </c>
      <c r="P912" s="100" cm="1">
        <f t="array" aca="1" ref="P912" ca="1">MAX(IF(AA911="Да",0,SUM(INDIRECT("M"&amp;(MAX(("Да"=AA$12:AA911)*ROW(AA$12:AA911)+1,ROW($P$12))&amp;":M"&amp;(ROW()))))-SUM(INDIRECT("W"&amp;(MAX(("Да"=AA$12:AA911)*ROW(AA$12:AA911)+1,ROW($P$12))&amp;":W"&amp;(ROW()))))),0)</f>
        <v>14143.740000000002</v>
      </c>
      <c r="Q912" s="99">
        <f ca="1">MAX(SUM($N$13:N912)-SUM($T$13:T912),0)</f>
        <v>64061.960655737683</v>
      </c>
      <c r="R912" s="99">
        <f ca="1">Первоначальный[[#This Row],[Просроченный платеж по ОД]]+Первоначальный[[#This Row],[Просроченный платеж по процентам]]</f>
        <v>78205.700655737688</v>
      </c>
      <c r="S912" s="120">
        <f ca="1">IF(Первоначальный[[#This Row],[Просроченный платеж]]&lt;1,0,S911+1)</f>
        <v>808</v>
      </c>
      <c r="T912" s="100" cm="1">
        <f t="array" aca="1" ref="T912" ca="1">IF(Первоначальный[[#This Row],[Итого остаток на начало периода]]&lt;1,0,
IF(
AND(TYPE(VLOOKUP(1,$Z$12:Z912,1,0))=16,Первоначальный[[#This Row],[Досрочное погашение (да/"")]]=""),0,
_xlfn.IFS(AND(S911=0,Первоначальный[[#This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платеж]]&lt;&gt;0),MIN(LOOKUP(,-1/($Z$12:Z912=1),$C$12:C912)+LOOKUP(,-1/($Z$12:Z912=1),$H$12:H912),Первоначальный[[#This Row],[Полученный платеж]]+Y911),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платеж]]+Y911,SUM(Первоначальный[[#This Row],[Остаток процентов на начало периода]],Первоначальный[[#This Row],[Проценты за период]])),
AND(S911=0,Первоначальный[[#This Row],[Дата платежа из графика]]=""),0,
AND(S911=0,Первоначальный[[#This Row],[Дата платежа из графика]]=1,MAX((0&lt;&gt;S$12:S911)*ROW(S$12:S911),ROW($S$12))&gt;=MAX((1=Z$12:Z911)*ROW(Z$12:Z911),ROW($T$12)),TYPE(VLOOKUP("Да",(INDIRECT("AA"&amp;(MAX((1=Z$12:Z911)*ROW(Z$12:Z911),ROW($T$12))&amp;":AA"&amp;(ROW()-1)))),1,0))=16),MIN(LOOKUP(,-1/($Z$12:Z912=1),$C$12:C912)+LOOKUP(,-1/($Z$12:Z912=1),$H$12:H912),Первоначальный[[#This Row],[Полученный платеж]]+Y911),
AND(S911=0,TYPE(VLOOKUP("Да",(INDIRECT("AA"&amp;(MAX((1=Z$12:Z911)*ROW(Z$12:Z911),ROW($T$12))&amp;":AA"&amp;(ROW()-1)))),1,0))&lt;&gt;16),MIN(LOOKUP(,-1/($Z$12:Z912=1),$C$12:C912)+LOOKUP(,-1/($Z$12:Z912=1),$H$12:H912)-IF(AA911="Да",0,SUM(INDIRECT("T"&amp;(MAX(("Да"=AA$12:AA911)*ROW(AA$12:AA911)+1,ROW($T$12))&amp;":T"&amp;(ROW()-1))))),Первоначальный[[#This Row],[Полученный платеж]]+Y911),
AND(S911=0,MAX((0&lt;&gt;N$12:N911)*ROW(N$12:N911),ROW($S$12))&gt;=MAX((1=Z$12:Z911)*ROW(Z$12:Z911),ROW($T$12))),MIN(LOOKUP(,-1/($Z$12:Z912=1),$C$12:C912)+LOOKUP(,-1/($Z$12:Z912=1),$H$12:H912)-IF(N911&lt;&gt;0,0,SUM(INDIRECT("T"&amp;(MAX((0&lt;&gt;N$12:N911)*ROW(N$12:N911)+1,ROW($T$12))&amp;":T"&amp;(ROW()-1))))),Первоначальный[[#This Row],[Полученный платеж]]+Y911),
AND(S911=0,Первоначальный[[#This Row],[Дата платежа из графика]]=1),MIN(LOOKUP(,-1/($Z$12:Z912=1),$C$12:C912)+LOOKUP(,-1/($Z$12:Z912=1),$H$12:H912)-IF(Z911=1,0,SUM(INDIRECT("T"&amp;(MAX((1=Z$12:Z911)*ROW(Z$12:Z911)+1,ROW($T$12))&amp;":T"&amp;(ROW()-1))))),Первоначальный[[#This Row],[Полученный платеж]]+Y911),
AND(Z911&gt;0,Первоначальный[[#This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платеж]]+Y911),
AND(S911&gt;0,MAX((0&lt;&gt;S$12:S911)*ROW(S$12:S911),ROW($S$12))&gt;=MAX((1=Z$12:Z911)*ROW(Z$12:Z911),ROW($T$12)),TYPE(VLOOKUP("Да",(INDIRECT("AA"&amp;(MAX((1=Z$12:Z911)*ROW(Z$12:Z911),ROW($T$12))&amp;":AA"&amp;(ROW()-1)))),1,0))=16),MIN(LOOKUP(,-1/($Z$12:Z912=1),$C$12:C912)+LOOKUP(,-1/($Z$12:Z912=1),$H$12:H912)-SUM(INDIRECT("T"&amp;(MAX((1=Z$12:Z911)*ROW(Z$12:Z911),ROW($T$12))&amp;":T"&amp;(ROW()-1)))),Первоначальный[[#This Row],[Полученный платеж]]+Y911),
S911&gt;0,MIN(LOOKUP(,-1/($Z$12:Z912=1),$C$12:C912)+LOOKUP(,-1/($Z$12:Z912=1),$H$12:H912)-IF(Z911=1,0,SUM(INDIRECT("T"&amp;(MAX((1=Z$12:Z911)*ROW(Z$12:Z911)+1,ROW($T$12))&amp;":T"&amp;(ROW()-1))))),Первоначальный[[#This Row],[Полученный платеж]]+Y911)
)
)
)</f>
        <v>0</v>
      </c>
      <c r="U91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платеж]]+Y911-Первоначальный[[#This Row],[Полученный платёж по процентам]])</f>
        <v>0</v>
      </c>
      <c r="V912" s="55">
        <f t="shared" ca="1" si="171"/>
        <v>0</v>
      </c>
      <c r="W912" s="55" cm="1">
        <f t="array" aca="1" ref="W912" ca="1">IF(Первоначальный[[#This Row],[Итого остаток на начало периода]]&lt;1,0,
_xlfn.IFS(
AND(TYPE(VLOOKUP(1,$Z$12:Z912,1,0))=16,Первоначальный[[#This Row],[Досрочное погашение (да/"")]]=""),0,
AND(S911=0,Первоначальный[[#This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платеж]]+Y911-SUM(Первоначальный[[#This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комиссиям]]),VLOOKUP(LOOKUP(,-1/($Z$12:Z912=1),$A$12:A912),График[[Срок конец]:[Возврат основной суммы долга]],3,0)),
AND(S911=0,Первоначальный[[#This Row],[Дата платежа из графика]]="",Первоначальный[[#This Row],[Досрочное погашение (да/"")]]&lt;&gt;"Да"),0,
AND(S911=0,Первоначальный[[#This Row],[Досрочное погашение (да/"")]]=""),MIN(Первоначальный[[#This Row],[Полученный платеж]]+Y911-SUM(Первоначальный[[#This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комиссиям]]),VLOOKUP(LOOKUP(,-1/($Z$12:Z912=1),$A$12:A912),График[[Срок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платеж]]+Y911-SUM(Первоначальный[[#This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S911&gt;0,MIN(Первоначальный[[#This Row],[Полученный платеж]]+Y911-SUM(Первоначальный[[#This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комиссиям]]),SUM(INDIRECT("M"&amp;(MAX((1=S$12:S911)*ROW(S$12:S911),ROW($W$12))&amp;":M"&amp;(ROW()))))-SUM(INDIRECT("W"&amp;(MAX((1=S$12:S911)*ROW(S$12:S911),ROW($W$12))&amp;":W"&amp;(ROW()-1)))))
)
)</f>
        <v>0</v>
      </c>
      <c r="X912" s="55">
        <f t="shared" ca="1" si="172"/>
        <v>0</v>
      </c>
      <c r="Y912" s="101">
        <f t="shared" ca="1" si="179"/>
        <v>0</v>
      </c>
      <c r="Z912" s="133" t="str">
        <f>IF(TYPE((VLOOKUP(Первоначальный[[#This Row],[Дата платежа]],График[Срок конец],1,0)))=16,"",1)</f>
        <v/>
      </c>
      <c r="AA912" s="57"/>
      <c r="AB912" s="134"/>
      <c r="AC91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1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65393.909999999967</v>
      </c>
      <c r="AE91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2957.3099999999922</v>
      </c>
      <c r="AF91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1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161700.26564918004</v>
      </c>
      <c r="AH912" s="55"/>
      <c r="AI912" s="55"/>
      <c r="AJ912" s="55"/>
      <c r="AK912" s="101">
        <f t="shared" ca="1" si="180"/>
        <v>379684.82564917998</v>
      </c>
      <c r="AL912" s="129">
        <f t="array" ref="AL912">MAX((УслРестрактов[Характеристика]="Дата реструктуризации")*(УслРестрактов[Значение]=Первоначальный!$A912),0)</f>
        <v>0</v>
      </c>
    </row>
    <row r="913" spans="1:38" x14ac:dyDescent="0.25">
      <c r="A913" s="97">
        <f t="shared" si="173"/>
        <v>45044</v>
      </c>
      <c r="B913" s="100">
        <f t="shared" ca="1" si="174"/>
        <v>149633.34</v>
      </c>
      <c r="C913" s="55">
        <f t="shared" ca="1" si="170"/>
        <v>65393.909999999967</v>
      </c>
      <c r="D913" s="55">
        <f t="shared" ca="1" si="170"/>
        <v>2957.3099999999922</v>
      </c>
      <c r="E913" s="55">
        <f t="shared" ca="1" si="175"/>
        <v>0</v>
      </c>
      <c r="F913" s="55">
        <f t="shared" ca="1" si="176"/>
        <v>161700.26564918004</v>
      </c>
      <c r="G913" s="101">
        <f t="shared" ca="1" si="177"/>
        <v>379684.82564917998</v>
      </c>
      <c r="H913" s="100">
        <f ca="1">ROUND($B913*VLOOKUP($A913,$A$1:$B$10,2,1)/(365+IF(MOD(YEAR($A913),4),0,1)*($A913-$A912)),2)-Первоначальный[[#This Row],[Проценты на просроченный платеж по ОД за период]]</f>
        <v>73.87</v>
      </c>
      <c r="I913" s="55">
        <f t="shared" ca="1" si="178"/>
        <v>7.71</v>
      </c>
      <c r="J913" s="55">
        <v>0</v>
      </c>
      <c r="K913" s="55">
        <f t="shared" ca="1" si="181"/>
        <v>391.02850327868845</v>
      </c>
      <c r="L913" s="55">
        <v>0</v>
      </c>
      <c r="M913" s="113">
        <f>SUMIFS(График[Возврат основной суммы долга],График[Дата с учетом нерабочих дней],$A913)</f>
        <v>0</v>
      </c>
      <c r="N913" s="56">
        <f>SUMIFS(График[Возврат начисленных %],График[Дата с учетом нерабочих дней],$A913)</f>
        <v>0</v>
      </c>
      <c r="O913" s="101">
        <v>0</v>
      </c>
      <c r="P913" s="100" cm="1">
        <f t="array" aca="1" ref="P913" ca="1">MAX(IF(AA912="Да",0,SUM(INDIRECT("M"&amp;(MAX(("Да"=AA$12:AA912)*ROW(AA$12:AA912)+1,ROW($P$12))&amp;":M"&amp;(ROW()))))-SUM(INDIRECT("W"&amp;(MAX(("Да"=AA$12:AA912)*ROW(AA$12:AA912)+1,ROW($P$12))&amp;":W"&amp;(ROW()))))),0)</f>
        <v>14143.740000000002</v>
      </c>
      <c r="Q913" s="99">
        <f ca="1">MAX(SUM($N$13:N913)-SUM($T$13:T913),0)</f>
        <v>64061.960655737683</v>
      </c>
      <c r="R913" s="99">
        <f ca="1">Первоначальный[[#This Row],[Просроченный платеж по ОД]]+Первоначальный[[#This Row],[Просроченный платеж по процентам]]</f>
        <v>78205.700655737688</v>
      </c>
      <c r="S913" s="120">
        <f ca="1">IF(Первоначальный[[#This Row],[Просроченный платеж]]&lt;1,0,S912+1)</f>
        <v>809</v>
      </c>
      <c r="T913" s="100" cm="1">
        <f t="array" aca="1" ref="T913" ca="1">IF(Первоначальный[[#This Row],[Итого остаток на начало периода]]&lt;1,0,
IF(
AND(TYPE(VLOOKUP(1,$Z$12:Z913,1,0))=16,Первоначальный[[#This Row],[Досрочное погашение (да/"")]]=""),0,
_xlfn.IFS(AND(S912=0,Первоначальный[[#This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платеж]]&lt;&gt;0),MIN(LOOKUP(,-1/($Z$12:Z913=1),$C$12:C913)+LOOKUP(,-1/($Z$12:Z913=1),$H$12:H913),Первоначальный[[#This Row],[Полученный платеж]]+Y912),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платеж]]+Y912,SUM(Первоначальный[[#This Row],[Остаток процентов на начало периода]],Первоначальный[[#This Row],[Проценты за период]])),
AND(S912=0,Первоначальный[[#This Row],[Дата платежа из графика]]=""),0,
AND(S912=0,Первоначальный[[#This Row],[Дата платежа из графика]]=1,MAX((0&lt;&gt;S$12:S912)*ROW(S$12:S912),ROW($S$12))&gt;=MAX((1=Z$12:Z912)*ROW(Z$12:Z912),ROW($T$12)),TYPE(VLOOKUP("Да",(INDIRECT("AA"&amp;(MAX((1=Z$12:Z912)*ROW(Z$12:Z912),ROW($T$12))&amp;":AA"&amp;(ROW()-1)))),1,0))=16),MIN(LOOKUP(,-1/($Z$12:Z913=1),$C$12:C913)+LOOKUP(,-1/($Z$12:Z913=1),$H$12:H913),Первоначальный[[#This Row],[Полученный платеж]]+Y912),
AND(S912=0,TYPE(VLOOKUP("Да",(INDIRECT("AA"&amp;(MAX((1=Z$12:Z912)*ROW(Z$12:Z912),ROW($T$12))&amp;":AA"&amp;(ROW()-1)))),1,0))&lt;&gt;16),MIN(LOOKUP(,-1/($Z$12:Z913=1),$C$12:C913)+LOOKUP(,-1/($Z$12:Z913=1),$H$12:H913)-IF(AA912="Да",0,SUM(INDIRECT("T"&amp;(MAX(("Да"=AA$12:AA912)*ROW(AA$12:AA912)+1,ROW($T$12))&amp;":T"&amp;(ROW()-1))))),Первоначальный[[#This Row],[Полученный платеж]]+Y912),
AND(S912=0,MAX((0&lt;&gt;N$12:N912)*ROW(N$12:N912),ROW($S$12))&gt;=MAX((1=Z$12:Z912)*ROW(Z$12:Z912),ROW($T$12))),MIN(LOOKUP(,-1/($Z$12:Z913=1),$C$12:C913)+LOOKUP(,-1/($Z$12:Z913=1),$H$12:H913)-IF(N912&lt;&gt;0,0,SUM(INDIRECT("T"&amp;(MAX((0&lt;&gt;N$12:N912)*ROW(N$12:N912)+1,ROW($T$12))&amp;":T"&amp;(ROW()-1))))),Первоначальный[[#This Row],[Полученный платеж]]+Y912),
AND(S912=0,Первоначальный[[#This Row],[Дата платежа из графика]]=1),MIN(LOOKUP(,-1/($Z$12:Z913=1),$C$12:C913)+LOOKUP(,-1/($Z$12:Z913=1),$H$12:H913)-IF(Z912=1,0,SUM(INDIRECT("T"&amp;(MAX((1=Z$12:Z912)*ROW(Z$12:Z912)+1,ROW($T$12))&amp;":T"&amp;(ROW()-1))))),Первоначальный[[#This Row],[Полученный платеж]]+Y912),
AND(Z912&gt;0,Первоначальный[[#This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платеж]]+Y912),
AND(S912&gt;0,MAX((0&lt;&gt;S$12:S912)*ROW(S$12:S912),ROW($S$12))&gt;=MAX((1=Z$12:Z912)*ROW(Z$12:Z912),ROW($T$12)),TYPE(VLOOKUP("Да",(INDIRECT("AA"&amp;(MAX((1=Z$12:Z912)*ROW(Z$12:Z912),ROW($T$12))&amp;":AA"&amp;(ROW()-1)))),1,0))=16),MIN(LOOKUP(,-1/($Z$12:Z913=1),$C$12:C913)+LOOKUP(,-1/($Z$12:Z913=1),$H$12:H913)-SUM(INDIRECT("T"&amp;(MAX((1=Z$12:Z912)*ROW(Z$12:Z912),ROW($T$12))&amp;":T"&amp;(ROW()-1)))),Первоначальный[[#This Row],[Полученный платеж]]+Y912),
S912&gt;0,MIN(LOOKUP(,-1/($Z$12:Z913=1),$C$12:C913)+LOOKUP(,-1/($Z$12:Z913=1),$H$12:H913)-IF(Z912=1,0,SUM(INDIRECT("T"&amp;(MAX((1=Z$12:Z912)*ROW(Z$12:Z912)+1,ROW($T$12))&amp;":T"&amp;(ROW()-1))))),Первоначальный[[#This Row],[Полученный платеж]]+Y912)
)
)
)</f>
        <v>0</v>
      </c>
      <c r="U91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платеж]]+Y912-Первоначальный[[#This Row],[Полученный платёж по процентам]])</f>
        <v>0</v>
      </c>
      <c r="V913" s="55">
        <f t="shared" ca="1" si="171"/>
        <v>0</v>
      </c>
      <c r="W913" s="55" cm="1">
        <f t="array" aca="1" ref="W913" ca="1">IF(Первоначальный[[#This Row],[Итого остаток на начало периода]]&lt;1,0,
_xlfn.IFS(
AND(TYPE(VLOOKUP(1,$Z$12:Z913,1,0))=16,Первоначальный[[#This Row],[Досрочное погашение (да/"")]]=""),0,
AND(S912=0,Первоначальный[[#This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платеж]]+Y912-SUM(Первоначальный[[#This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комиссиям]]),VLOOKUP(LOOKUP(,-1/($Z$12:Z913=1),$A$12:A913),График[[Срок конец]:[Возврат основной суммы долга]],3,0)),
AND(S912=0,Первоначальный[[#This Row],[Дата платежа из графика]]="",Первоначальный[[#This Row],[Досрочное погашение (да/"")]]&lt;&gt;"Да"),0,
AND(S912=0,Первоначальный[[#This Row],[Досрочное погашение (да/"")]]=""),MIN(Первоначальный[[#This Row],[Полученный платеж]]+Y912-SUM(Первоначальный[[#This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комиссиям]]),VLOOKUP(LOOKUP(,-1/($Z$12:Z913=1),$A$12:A913),График[[Срок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платеж]]+Y912-SUM(Первоначальный[[#This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S912&gt;0,MIN(Первоначальный[[#This Row],[Полученный платеж]]+Y912-SUM(Первоначальный[[#This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комиссиям]]),SUM(INDIRECT("M"&amp;(MAX((1=S$12:S912)*ROW(S$12:S912),ROW($W$12))&amp;":M"&amp;(ROW()))))-SUM(INDIRECT("W"&amp;(MAX((1=S$12:S912)*ROW(S$12:S912),ROW($W$12))&amp;":W"&amp;(ROW()-1)))))
)
)</f>
        <v>0</v>
      </c>
      <c r="X913" s="55">
        <f t="shared" ca="1" si="172"/>
        <v>0</v>
      </c>
      <c r="Y913" s="101">
        <f t="shared" ca="1" si="179"/>
        <v>0</v>
      </c>
      <c r="Z913" s="133" t="str">
        <f>IF(TYPE((VLOOKUP(Первоначальный[[#This Row],[Дата платежа]],График[Срок конец],1,0)))=16,"",1)</f>
        <v/>
      </c>
      <c r="AA913" s="57"/>
      <c r="AB913" s="134"/>
      <c r="AC91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1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65467.77999999997</v>
      </c>
      <c r="AE91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2965.0199999999923</v>
      </c>
      <c r="AF91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1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162091.29415245872</v>
      </c>
      <c r="AH913" s="55"/>
      <c r="AI913" s="55"/>
      <c r="AJ913" s="55"/>
      <c r="AK913" s="101">
        <f t="shared" ca="1" si="180"/>
        <v>380157.43415245868</v>
      </c>
      <c r="AL913" s="129">
        <f t="array" ref="AL913">MAX((УслРестрактов[Характеристика]="Дата реструктуризации")*(УслРестрактов[Значение]=Первоначальный!$A913),0)</f>
        <v>0</v>
      </c>
    </row>
    <row r="914" spans="1:38" x14ac:dyDescent="0.25">
      <c r="A914" s="97">
        <f t="shared" si="173"/>
        <v>45045</v>
      </c>
      <c r="B914" s="100">
        <f t="shared" ca="1" si="174"/>
        <v>149633.34</v>
      </c>
      <c r="C914" s="55">
        <f t="shared" ca="1" si="170"/>
        <v>65467.77999999997</v>
      </c>
      <c r="D914" s="55">
        <f t="shared" ca="1" si="170"/>
        <v>2965.0199999999923</v>
      </c>
      <c r="E914" s="55">
        <f t="shared" ca="1" si="175"/>
        <v>0</v>
      </c>
      <c r="F914" s="55">
        <f t="shared" ca="1" si="176"/>
        <v>162091.29415245872</v>
      </c>
      <c r="G914" s="101">
        <f t="shared" ca="1" si="177"/>
        <v>380157.43415245868</v>
      </c>
      <c r="H914" s="100">
        <f ca="1">ROUND($B914*VLOOKUP($A914,$A$1:$B$10,2,1)/(365+IF(MOD(YEAR($A914),4),0,1)*($A914-$A913)),2)-Первоначальный[[#This Row],[Проценты на просроченный платеж по ОД за период]]</f>
        <v>73.87</v>
      </c>
      <c r="I914" s="55">
        <f t="shared" ca="1" si="178"/>
        <v>7.71</v>
      </c>
      <c r="J914" s="55">
        <v>0</v>
      </c>
      <c r="K914" s="55">
        <f t="shared" ca="1" si="181"/>
        <v>391.02850327868845</v>
      </c>
      <c r="L914" s="55">
        <v>0</v>
      </c>
      <c r="M914" s="113">
        <f>SUMIFS(График[Возврат основной суммы долга],График[Дата с учетом нерабочих дней],$A914)</f>
        <v>0</v>
      </c>
      <c r="N914" s="56">
        <f>SUMIFS(График[Возврат начисленных %],График[Дата с учетом нерабочих дней],$A914)</f>
        <v>0</v>
      </c>
      <c r="O914" s="101">
        <v>0</v>
      </c>
      <c r="P914" s="100" cm="1">
        <f t="array" aca="1" ref="P914" ca="1">MAX(IF(AA913="Да",0,SUM(INDIRECT("M"&amp;(MAX(("Да"=AA$12:AA913)*ROW(AA$12:AA913)+1,ROW($P$12))&amp;":M"&amp;(ROW()))))-SUM(INDIRECT("W"&amp;(MAX(("Да"=AA$12:AA913)*ROW(AA$12:AA913)+1,ROW($P$12))&amp;":W"&amp;(ROW()))))),0)</f>
        <v>14143.740000000002</v>
      </c>
      <c r="Q914" s="99">
        <f ca="1">MAX(SUM($N$13:N914)-SUM($T$13:T914),0)</f>
        <v>64061.960655737683</v>
      </c>
      <c r="R914" s="99">
        <f ca="1">Первоначальный[[#This Row],[Просроченный платеж по ОД]]+Первоначальный[[#This Row],[Просроченный платеж по процентам]]</f>
        <v>78205.700655737688</v>
      </c>
      <c r="S914" s="120">
        <f ca="1">IF(Первоначальный[[#This Row],[Просроченный платеж]]&lt;1,0,S913+1)</f>
        <v>810</v>
      </c>
      <c r="T914" s="100" cm="1">
        <f t="array" aca="1" ref="T914" ca="1">IF(Первоначальный[[#This Row],[Итого остаток на начало периода]]&lt;1,0,
IF(
AND(TYPE(VLOOKUP(1,$Z$12:Z914,1,0))=16,Первоначальный[[#This Row],[Досрочное погашение (да/"")]]=""),0,
_xlfn.IFS(AND(S913=0,Первоначальный[[#This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платеж]]&lt;&gt;0),MIN(LOOKUP(,-1/($Z$12:Z914=1),$C$12:C914)+LOOKUP(,-1/($Z$12:Z914=1),$H$12:H914),Первоначальный[[#This Row],[Полученный платеж]]+Y913),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платеж]]+Y913,SUM(Первоначальный[[#This Row],[Остаток процентов на начало периода]],Первоначальный[[#This Row],[Проценты за период]])),
AND(S913=0,Первоначальный[[#This Row],[Дата платежа из графика]]=""),0,
AND(S913=0,Первоначальный[[#This Row],[Дата платежа из графика]]=1,MAX((0&lt;&gt;S$12:S913)*ROW(S$12:S913),ROW($S$12))&gt;=MAX((1=Z$12:Z913)*ROW(Z$12:Z913),ROW($T$12)),TYPE(VLOOKUP("Да",(INDIRECT("AA"&amp;(MAX((1=Z$12:Z913)*ROW(Z$12:Z913),ROW($T$12))&amp;":AA"&amp;(ROW()-1)))),1,0))=16),MIN(LOOKUP(,-1/($Z$12:Z914=1),$C$12:C914)+LOOKUP(,-1/($Z$12:Z914=1),$H$12:H914),Первоначальный[[#This Row],[Полученный платеж]]+Y913),
AND(S913=0,TYPE(VLOOKUP("Да",(INDIRECT("AA"&amp;(MAX((1=Z$12:Z913)*ROW(Z$12:Z913),ROW($T$12))&amp;":AA"&amp;(ROW()-1)))),1,0))&lt;&gt;16),MIN(LOOKUP(,-1/($Z$12:Z914=1),$C$12:C914)+LOOKUP(,-1/($Z$12:Z914=1),$H$12:H914)-IF(AA913="Да",0,SUM(INDIRECT("T"&amp;(MAX(("Да"=AA$12:AA913)*ROW(AA$12:AA913)+1,ROW($T$12))&amp;":T"&amp;(ROW()-1))))),Первоначальный[[#This Row],[Полученный платеж]]+Y913),
AND(S913=0,MAX((0&lt;&gt;N$12:N913)*ROW(N$12:N913),ROW($S$12))&gt;=MAX((1=Z$12:Z913)*ROW(Z$12:Z913),ROW($T$12))),MIN(LOOKUP(,-1/($Z$12:Z914=1),$C$12:C914)+LOOKUP(,-1/($Z$12:Z914=1),$H$12:H914)-IF(N913&lt;&gt;0,0,SUM(INDIRECT("T"&amp;(MAX((0&lt;&gt;N$12:N913)*ROW(N$12:N913)+1,ROW($T$12))&amp;":T"&amp;(ROW()-1))))),Первоначальный[[#This Row],[Полученный платеж]]+Y913),
AND(S913=0,Первоначальный[[#This Row],[Дата платежа из графика]]=1),MIN(LOOKUP(,-1/($Z$12:Z914=1),$C$12:C914)+LOOKUP(,-1/($Z$12:Z914=1),$H$12:H914)-IF(Z913=1,0,SUM(INDIRECT("T"&amp;(MAX((1=Z$12:Z913)*ROW(Z$12:Z913)+1,ROW($T$12))&amp;":T"&amp;(ROW()-1))))),Первоначальный[[#This Row],[Полученный платеж]]+Y913),
AND(Z913&gt;0,Первоначальный[[#This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платеж]]+Y913),
AND(S913&gt;0,MAX((0&lt;&gt;S$12:S913)*ROW(S$12:S913),ROW($S$12))&gt;=MAX((1=Z$12:Z913)*ROW(Z$12:Z913),ROW($T$12)),TYPE(VLOOKUP("Да",(INDIRECT("AA"&amp;(MAX((1=Z$12:Z913)*ROW(Z$12:Z913),ROW($T$12))&amp;":AA"&amp;(ROW()-1)))),1,0))=16),MIN(LOOKUP(,-1/($Z$12:Z914=1),$C$12:C914)+LOOKUP(,-1/($Z$12:Z914=1),$H$12:H914)-SUM(INDIRECT("T"&amp;(MAX((1=Z$12:Z913)*ROW(Z$12:Z913),ROW($T$12))&amp;":T"&amp;(ROW()-1)))),Первоначальный[[#This Row],[Полученный платеж]]+Y913),
S913&gt;0,MIN(LOOKUP(,-1/($Z$12:Z914=1),$C$12:C914)+LOOKUP(,-1/($Z$12:Z914=1),$H$12:H914)-IF(Z913=1,0,SUM(INDIRECT("T"&amp;(MAX((1=Z$12:Z913)*ROW(Z$12:Z913)+1,ROW($T$12))&amp;":T"&amp;(ROW()-1))))),Первоначальный[[#This Row],[Полученный платеж]]+Y913)
)
)
)</f>
        <v>0</v>
      </c>
      <c r="U91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платеж]]+Y913-Первоначальный[[#This Row],[Полученный платёж по процентам]])</f>
        <v>0</v>
      </c>
      <c r="V914" s="55">
        <f t="shared" ca="1" si="171"/>
        <v>0</v>
      </c>
      <c r="W914" s="55" cm="1">
        <f t="array" aca="1" ref="W914" ca="1">IF(Первоначальный[[#This Row],[Итого остаток на начало периода]]&lt;1,0,
_xlfn.IFS(
AND(TYPE(VLOOKUP(1,$Z$12:Z914,1,0))=16,Первоначальный[[#This Row],[Досрочное погашение (да/"")]]=""),0,
AND(S913=0,Первоначальный[[#This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платеж]]+Y913-SUM(Первоначальный[[#This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комиссиям]]),VLOOKUP(LOOKUP(,-1/($Z$12:Z914=1),$A$12:A914),График[[Срок конец]:[Возврат основной суммы долга]],3,0)),
AND(S913=0,Первоначальный[[#This Row],[Дата платежа из графика]]="",Первоначальный[[#This Row],[Досрочное погашение (да/"")]]&lt;&gt;"Да"),0,
AND(S913=0,Первоначальный[[#This Row],[Досрочное погашение (да/"")]]=""),MIN(Первоначальный[[#This Row],[Полученный платеж]]+Y913-SUM(Первоначальный[[#This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комиссиям]]),VLOOKUP(LOOKUP(,-1/($Z$12:Z914=1),$A$12:A914),График[[Срок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платеж]]+Y913-SUM(Первоначальный[[#This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S913&gt;0,MIN(Первоначальный[[#This Row],[Полученный платеж]]+Y913-SUM(Первоначальный[[#This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комиссиям]]),SUM(INDIRECT("M"&amp;(MAX((1=S$12:S913)*ROW(S$12:S913),ROW($W$12))&amp;":M"&amp;(ROW()))))-SUM(INDIRECT("W"&amp;(MAX((1=S$12:S913)*ROW(S$12:S913),ROW($W$12))&amp;":W"&amp;(ROW()-1)))))
)
)</f>
        <v>0</v>
      </c>
      <c r="X914" s="55">
        <f t="shared" ca="1" si="172"/>
        <v>0</v>
      </c>
      <c r="Y914" s="101">
        <f t="shared" ca="1" si="179"/>
        <v>0</v>
      </c>
      <c r="Z914" s="133" t="str">
        <f>IF(TYPE((VLOOKUP(Первоначальный[[#This Row],[Дата платежа]],График[Срок конец],1,0)))=16,"",1)</f>
        <v/>
      </c>
      <c r="AA914" s="57"/>
      <c r="AB914" s="134"/>
      <c r="AC91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1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65541.649999999965</v>
      </c>
      <c r="AE91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2972.7299999999923</v>
      </c>
      <c r="AF91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1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162482.3226557374</v>
      </c>
      <c r="AH914" s="55"/>
      <c r="AI914" s="55"/>
      <c r="AJ914" s="55"/>
      <c r="AK914" s="101">
        <f t="shared" ca="1" si="180"/>
        <v>380630.04265573737</v>
      </c>
      <c r="AL914" s="129">
        <f t="array" ref="AL914">MAX((УслРестрактов[Характеристика]="Дата реструктуризации")*(УслРестрактов[Значение]=Первоначальный!$A914),0)</f>
        <v>0</v>
      </c>
    </row>
    <row r="915" spans="1:38" x14ac:dyDescent="0.25">
      <c r="A915" s="97">
        <f t="shared" si="173"/>
        <v>45046</v>
      </c>
      <c r="B915" s="100">
        <f t="shared" ca="1" si="174"/>
        <v>149633.34</v>
      </c>
      <c r="C915" s="55">
        <f t="shared" ca="1" si="170"/>
        <v>65541.649999999965</v>
      </c>
      <c r="D915" s="55">
        <f t="shared" ca="1" si="170"/>
        <v>2972.7299999999923</v>
      </c>
      <c r="E915" s="55">
        <f t="shared" ca="1" si="175"/>
        <v>0</v>
      </c>
      <c r="F915" s="55">
        <f t="shared" ca="1" si="176"/>
        <v>162482.3226557374</v>
      </c>
      <c r="G915" s="101">
        <f t="shared" ca="1" si="177"/>
        <v>380630.04265573737</v>
      </c>
      <c r="H915" s="100">
        <f ca="1">ROUND($B915*VLOOKUP($A915,$A$1:$B$10,2,1)/(365+IF(MOD(YEAR($A915),4),0,1)*($A915-$A914)),2)-Первоначальный[[#This Row],[Проценты на просроченный платеж по ОД за период]]</f>
        <v>73.87</v>
      </c>
      <c r="I915" s="55">
        <f t="shared" ca="1" si="178"/>
        <v>7.71</v>
      </c>
      <c r="J915" s="55">
        <v>0</v>
      </c>
      <c r="K915" s="55">
        <f t="shared" ca="1" si="181"/>
        <v>391.02850327868845</v>
      </c>
      <c r="L915" s="55">
        <v>0</v>
      </c>
      <c r="M915" s="113">
        <f>SUMIFS(График[Возврат основной суммы долга],График[Дата с учетом нерабочих дней],$A915)</f>
        <v>0</v>
      </c>
      <c r="N915" s="56">
        <f>SUMIFS(График[Возврат начисленных %],График[Дата с учетом нерабочих дней],$A915)</f>
        <v>0</v>
      </c>
      <c r="O915" s="101">
        <v>0</v>
      </c>
      <c r="P915" s="100" cm="1">
        <f t="array" aca="1" ref="P915" ca="1">MAX(IF(AA914="Да",0,SUM(INDIRECT("M"&amp;(MAX(("Да"=AA$12:AA914)*ROW(AA$12:AA914)+1,ROW($P$12))&amp;":M"&amp;(ROW()))))-SUM(INDIRECT("W"&amp;(MAX(("Да"=AA$12:AA914)*ROW(AA$12:AA914)+1,ROW($P$12))&amp;":W"&amp;(ROW()))))),0)</f>
        <v>14143.740000000002</v>
      </c>
      <c r="Q915" s="99">
        <f ca="1">MAX(SUM($N$13:N915)-SUM($T$13:T915),0)</f>
        <v>64061.960655737683</v>
      </c>
      <c r="R915" s="99">
        <f ca="1">Первоначальный[[#This Row],[Просроченный платеж по ОД]]+Первоначальный[[#This Row],[Просроченный платеж по процентам]]</f>
        <v>78205.700655737688</v>
      </c>
      <c r="S915" s="120">
        <f ca="1">IF(Первоначальный[[#This Row],[Просроченный платеж]]&lt;1,0,S914+1)</f>
        <v>811</v>
      </c>
      <c r="T915" s="100" cm="1">
        <f t="array" aca="1" ref="T915" ca="1">IF(Первоначальный[[#This Row],[Итого остаток на начало периода]]&lt;1,0,
IF(
AND(TYPE(VLOOKUP(1,$Z$12:Z915,1,0))=16,Первоначальный[[#This Row],[Досрочное погашение (да/"")]]=""),0,
_xlfn.IFS(AND(S914=0,Первоначальный[[#This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платеж]]&lt;&gt;0),MIN(LOOKUP(,-1/($Z$12:Z915=1),$C$12:C915)+LOOKUP(,-1/($Z$12:Z915=1),$H$12:H915),Первоначальный[[#This Row],[Полученный платеж]]+Y914),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платеж]]+Y914,SUM(Первоначальный[[#This Row],[Остаток процентов на начало периода]],Первоначальный[[#This Row],[Проценты за период]])),
AND(S914=0,Первоначальный[[#This Row],[Дата платежа из графика]]=""),0,
AND(S914=0,Первоначальный[[#This Row],[Дата платежа из графика]]=1,MAX((0&lt;&gt;S$12:S914)*ROW(S$12:S914),ROW($S$12))&gt;=MAX((1=Z$12:Z914)*ROW(Z$12:Z914),ROW($T$12)),TYPE(VLOOKUP("Да",(INDIRECT("AA"&amp;(MAX((1=Z$12:Z914)*ROW(Z$12:Z914),ROW($T$12))&amp;":AA"&amp;(ROW()-1)))),1,0))=16),MIN(LOOKUP(,-1/($Z$12:Z915=1),$C$12:C915)+LOOKUP(,-1/($Z$12:Z915=1),$H$12:H915),Первоначальный[[#This Row],[Полученный платеж]]+Y914),
AND(S914=0,TYPE(VLOOKUP("Да",(INDIRECT("AA"&amp;(MAX((1=Z$12:Z914)*ROW(Z$12:Z914),ROW($T$12))&amp;":AA"&amp;(ROW()-1)))),1,0))&lt;&gt;16),MIN(LOOKUP(,-1/($Z$12:Z915=1),$C$12:C915)+LOOKUP(,-1/($Z$12:Z915=1),$H$12:H915)-IF(AA914="Да",0,SUM(INDIRECT("T"&amp;(MAX(("Да"=AA$12:AA914)*ROW(AA$12:AA914)+1,ROW($T$12))&amp;":T"&amp;(ROW()-1))))),Первоначальный[[#This Row],[Полученный платеж]]+Y914),
AND(S914=0,MAX((0&lt;&gt;N$12:N914)*ROW(N$12:N914),ROW($S$12))&gt;=MAX((1=Z$12:Z914)*ROW(Z$12:Z914),ROW($T$12))),MIN(LOOKUP(,-1/($Z$12:Z915=1),$C$12:C915)+LOOKUP(,-1/($Z$12:Z915=1),$H$12:H915)-IF(N914&lt;&gt;0,0,SUM(INDIRECT("T"&amp;(MAX((0&lt;&gt;N$12:N914)*ROW(N$12:N914)+1,ROW($T$12))&amp;":T"&amp;(ROW()-1))))),Первоначальный[[#This Row],[Полученный платеж]]+Y914),
AND(S914=0,Первоначальный[[#This Row],[Дата платежа из графика]]=1),MIN(LOOKUP(,-1/($Z$12:Z915=1),$C$12:C915)+LOOKUP(,-1/($Z$12:Z915=1),$H$12:H915)-IF(Z914=1,0,SUM(INDIRECT("T"&amp;(MAX((1=Z$12:Z914)*ROW(Z$12:Z914)+1,ROW($T$12))&amp;":T"&amp;(ROW()-1))))),Первоначальный[[#This Row],[Полученный платеж]]+Y914),
AND(Z914&gt;0,Первоначальный[[#This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платеж]]+Y914),
AND(S914&gt;0,MAX((0&lt;&gt;S$12:S914)*ROW(S$12:S914),ROW($S$12))&gt;=MAX((1=Z$12:Z914)*ROW(Z$12:Z914),ROW($T$12)),TYPE(VLOOKUP("Да",(INDIRECT("AA"&amp;(MAX((1=Z$12:Z914)*ROW(Z$12:Z914),ROW($T$12))&amp;":AA"&amp;(ROW()-1)))),1,0))=16),MIN(LOOKUP(,-1/($Z$12:Z915=1),$C$12:C915)+LOOKUP(,-1/($Z$12:Z915=1),$H$12:H915)-SUM(INDIRECT("T"&amp;(MAX((1=Z$12:Z914)*ROW(Z$12:Z914),ROW($T$12))&amp;":T"&amp;(ROW()-1)))),Первоначальный[[#This Row],[Полученный платеж]]+Y914),
S914&gt;0,MIN(LOOKUP(,-1/($Z$12:Z915=1),$C$12:C915)+LOOKUP(,-1/($Z$12:Z915=1),$H$12:H915)-IF(Z914=1,0,SUM(INDIRECT("T"&amp;(MAX((1=Z$12:Z914)*ROW(Z$12:Z914)+1,ROW($T$12))&amp;":T"&amp;(ROW()-1))))),Первоначальный[[#This Row],[Полученный платеж]]+Y914)
)
)
)</f>
        <v>0</v>
      </c>
      <c r="U91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платеж]]+Y914-Первоначальный[[#This Row],[Полученный платёж по процентам]])</f>
        <v>0</v>
      </c>
      <c r="V915" s="55">
        <f t="shared" ca="1" si="171"/>
        <v>0</v>
      </c>
      <c r="W915" s="55" cm="1">
        <f t="array" aca="1" ref="W915" ca="1">IF(Первоначальный[[#This Row],[Итого остаток на начало периода]]&lt;1,0,
_xlfn.IFS(
AND(TYPE(VLOOKUP(1,$Z$12:Z915,1,0))=16,Первоначальный[[#This Row],[Досрочное погашение (да/"")]]=""),0,
AND(S914=0,Первоначальный[[#This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платеж]]+Y914-SUM(Первоначальный[[#This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комиссиям]]),VLOOKUP(LOOKUP(,-1/($Z$12:Z915=1),$A$12:A915),График[[Срок конец]:[Возврат основной суммы долга]],3,0)),
AND(S914=0,Первоначальный[[#This Row],[Дата платежа из графика]]="",Первоначальный[[#This Row],[Досрочное погашение (да/"")]]&lt;&gt;"Да"),0,
AND(S914=0,Первоначальный[[#This Row],[Досрочное погашение (да/"")]]=""),MIN(Первоначальный[[#This Row],[Полученный платеж]]+Y914-SUM(Первоначальный[[#This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комиссиям]]),VLOOKUP(LOOKUP(,-1/($Z$12:Z915=1),$A$12:A915),График[[Срок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платеж]]+Y914-SUM(Первоначальный[[#This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S914&gt;0,MIN(Первоначальный[[#This Row],[Полученный платеж]]+Y914-SUM(Первоначальный[[#This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комиссиям]]),SUM(INDIRECT("M"&amp;(MAX((1=S$12:S914)*ROW(S$12:S914),ROW($W$12))&amp;":M"&amp;(ROW()))))-SUM(INDIRECT("W"&amp;(MAX((1=S$12:S914)*ROW(S$12:S914),ROW($W$12))&amp;":W"&amp;(ROW()-1)))))
)
)</f>
        <v>0</v>
      </c>
      <c r="X915" s="55">
        <f t="shared" ca="1" si="172"/>
        <v>0</v>
      </c>
      <c r="Y915" s="101">
        <f t="shared" ca="1" si="179"/>
        <v>0</v>
      </c>
      <c r="Z915" s="133" t="str">
        <f>IF(TYPE((VLOOKUP(Первоначальный[[#This Row],[Дата платежа]],График[Срок конец],1,0)))=16,"",1)</f>
        <v/>
      </c>
      <c r="AA915" s="57"/>
      <c r="AB915" s="134"/>
      <c r="AC91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1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65615.51999999996</v>
      </c>
      <c r="AE91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2980.4399999999923</v>
      </c>
      <c r="AF91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1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162873.35115901608</v>
      </c>
      <c r="AH915" s="55"/>
      <c r="AI915" s="55"/>
      <c r="AJ915" s="55"/>
      <c r="AK915" s="101">
        <f t="shared" ca="1" si="180"/>
        <v>381102.65115901607</v>
      </c>
      <c r="AL915" s="129">
        <f t="array" ref="AL915">MAX((УслРестрактов[Характеристика]="Дата реструктуризации")*(УслРестрактов[Значение]=Первоначальный!$A915),0)</f>
        <v>0</v>
      </c>
    </row>
    <row r="916" spans="1:38" x14ac:dyDescent="0.25">
      <c r="A916" s="97">
        <f t="shared" si="173"/>
        <v>45047</v>
      </c>
      <c r="B916" s="100">
        <f t="shared" ca="1" si="174"/>
        <v>149633.34</v>
      </c>
      <c r="C916" s="55">
        <f t="shared" ca="1" si="170"/>
        <v>65615.51999999996</v>
      </c>
      <c r="D916" s="55">
        <f t="shared" ca="1" si="170"/>
        <v>2980.4399999999923</v>
      </c>
      <c r="E916" s="55">
        <f t="shared" ca="1" si="175"/>
        <v>0</v>
      </c>
      <c r="F916" s="55">
        <f t="shared" ca="1" si="176"/>
        <v>162873.35115901608</v>
      </c>
      <c r="G916" s="101">
        <f t="shared" ca="1" si="177"/>
        <v>381102.65115901607</v>
      </c>
      <c r="H916" s="100">
        <f ca="1">ROUND($B916*VLOOKUP($A916,$A$1:$B$10,2,1)/(365+IF(MOD(YEAR($A916),4),0,1)*($A916-$A915)),2)-Первоначальный[[#This Row],[Проценты на просроченный платеж по ОД за период]]</f>
        <v>73.87</v>
      </c>
      <c r="I916" s="55">
        <f t="shared" ca="1" si="178"/>
        <v>7.71</v>
      </c>
      <c r="J916" s="55">
        <v>0</v>
      </c>
      <c r="K916" s="55">
        <f t="shared" ca="1" si="181"/>
        <v>391.02850327868845</v>
      </c>
      <c r="L916" s="55">
        <v>0</v>
      </c>
      <c r="M916" s="113">
        <f>SUMIFS(График[Возврат основной суммы долга],График[Дата с учетом нерабочих дней],$A916)</f>
        <v>0</v>
      </c>
      <c r="N916" s="56">
        <f>SUMIFS(График[Возврат начисленных %],График[Дата с учетом нерабочих дней],$A916)</f>
        <v>0</v>
      </c>
      <c r="O916" s="101">
        <v>0</v>
      </c>
      <c r="P916" s="100" cm="1">
        <f t="array" aca="1" ref="P916" ca="1">MAX(IF(AA915="Да",0,SUM(INDIRECT("M"&amp;(MAX(("Да"=AA$12:AA915)*ROW(AA$12:AA915)+1,ROW($P$12))&amp;":M"&amp;(ROW()))))-SUM(INDIRECT("W"&amp;(MAX(("Да"=AA$12:AA915)*ROW(AA$12:AA915)+1,ROW($P$12))&amp;":W"&amp;(ROW()))))),0)</f>
        <v>14143.740000000002</v>
      </c>
      <c r="Q916" s="99">
        <f ca="1">MAX(SUM($N$13:N916)-SUM($T$13:T916),0)</f>
        <v>64061.960655737683</v>
      </c>
      <c r="R916" s="99">
        <f ca="1">Первоначальный[[#This Row],[Просроченный платеж по ОД]]+Первоначальный[[#This Row],[Просроченный платеж по процентам]]</f>
        <v>78205.700655737688</v>
      </c>
      <c r="S916" s="120">
        <f ca="1">IF(Первоначальный[[#This Row],[Просроченный платеж]]&lt;1,0,S915+1)</f>
        <v>812</v>
      </c>
      <c r="T916" s="100" cm="1">
        <f t="array" aca="1" ref="T916" ca="1">IF(Первоначальный[[#This Row],[Итого остаток на начало периода]]&lt;1,0,
IF(
AND(TYPE(VLOOKUP(1,$Z$12:Z916,1,0))=16,Первоначальный[[#This Row],[Досрочное погашение (да/"")]]=""),0,
_xlfn.IFS(AND(S915=0,Первоначальный[[#This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платеж]]&lt;&gt;0),MIN(LOOKUP(,-1/($Z$12:Z916=1),$C$12:C916)+LOOKUP(,-1/($Z$12:Z916=1),$H$12:H916),Первоначальный[[#This Row],[Полученный платеж]]+Y915),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платеж]]+Y915,SUM(Первоначальный[[#This Row],[Остаток процентов на начало периода]],Первоначальный[[#This Row],[Проценты за период]])),
AND(S915=0,Первоначальный[[#This Row],[Дата платежа из графика]]=""),0,
AND(S915=0,Первоначальный[[#This Row],[Дата платежа из графика]]=1,MAX((0&lt;&gt;S$12:S915)*ROW(S$12:S915),ROW($S$12))&gt;=MAX((1=Z$12:Z915)*ROW(Z$12:Z915),ROW($T$12)),TYPE(VLOOKUP("Да",(INDIRECT("AA"&amp;(MAX((1=Z$12:Z915)*ROW(Z$12:Z915),ROW($T$12))&amp;":AA"&amp;(ROW()-1)))),1,0))=16),MIN(LOOKUP(,-1/($Z$12:Z916=1),$C$12:C916)+LOOKUP(,-1/($Z$12:Z916=1),$H$12:H916),Первоначальный[[#This Row],[Полученный платеж]]+Y915),
AND(S915=0,TYPE(VLOOKUP("Да",(INDIRECT("AA"&amp;(MAX((1=Z$12:Z915)*ROW(Z$12:Z915),ROW($T$12))&amp;":AA"&amp;(ROW()-1)))),1,0))&lt;&gt;16),MIN(LOOKUP(,-1/($Z$12:Z916=1),$C$12:C916)+LOOKUP(,-1/($Z$12:Z916=1),$H$12:H916)-IF(AA915="Да",0,SUM(INDIRECT("T"&amp;(MAX(("Да"=AA$12:AA915)*ROW(AA$12:AA915)+1,ROW($T$12))&amp;":T"&amp;(ROW()-1))))),Первоначальный[[#This Row],[Полученный платеж]]+Y915),
AND(S915=0,MAX((0&lt;&gt;N$12:N915)*ROW(N$12:N915),ROW($S$12))&gt;=MAX((1=Z$12:Z915)*ROW(Z$12:Z915),ROW($T$12))),MIN(LOOKUP(,-1/($Z$12:Z916=1),$C$12:C916)+LOOKUP(,-1/($Z$12:Z916=1),$H$12:H916)-IF(N915&lt;&gt;0,0,SUM(INDIRECT("T"&amp;(MAX((0&lt;&gt;N$12:N915)*ROW(N$12:N915)+1,ROW($T$12))&amp;":T"&amp;(ROW()-1))))),Первоначальный[[#This Row],[Полученный платеж]]+Y915),
AND(S915=0,Первоначальный[[#This Row],[Дата платежа из графика]]=1),MIN(LOOKUP(,-1/($Z$12:Z916=1),$C$12:C916)+LOOKUP(,-1/($Z$12:Z916=1),$H$12:H916)-IF(Z915=1,0,SUM(INDIRECT("T"&amp;(MAX((1=Z$12:Z915)*ROW(Z$12:Z915)+1,ROW($T$12))&amp;":T"&amp;(ROW()-1))))),Первоначальный[[#This Row],[Полученный платеж]]+Y915),
AND(Z915&gt;0,Первоначальный[[#This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платеж]]+Y915),
AND(S915&gt;0,MAX((0&lt;&gt;S$12:S915)*ROW(S$12:S915),ROW($S$12))&gt;=MAX((1=Z$12:Z915)*ROW(Z$12:Z915),ROW($T$12)),TYPE(VLOOKUP("Да",(INDIRECT("AA"&amp;(MAX((1=Z$12:Z915)*ROW(Z$12:Z915),ROW($T$12))&amp;":AA"&amp;(ROW()-1)))),1,0))=16),MIN(LOOKUP(,-1/($Z$12:Z916=1),$C$12:C916)+LOOKUP(,-1/($Z$12:Z916=1),$H$12:H916)-SUM(INDIRECT("T"&amp;(MAX((1=Z$12:Z915)*ROW(Z$12:Z915),ROW($T$12))&amp;":T"&amp;(ROW()-1)))),Первоначальный[[#This Row],[Полученный платеж]]+Y915),
S915&gt;0,MIN(LOOKUP(,-1/($Z$12:Z916=1),$C$12:C916)+LOOKUP(,-1/($Z$12:Z916=1),$H$12:H916)-IF(Z915=1,0,SUM(INDIRECT("T"&amp;(MAX((1=Z$12:Z915)*ROW(Z$12:Z915)+1,ROW($T$12))&amp;":T"&amp;(ROW()-1))))),Первоначальный[[#This Row],[Полученный платеж]]+Y915)
)
)
)</f>
        <v>0</v>
      </c>
      <c r="U91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платеж]]+Y915-Первоначальный[[#This Row],[Полученный платёж по процентам]])</f>
        <v>0</v>
      </c>
      <c r="V916" s="55">
        <f t="shared" ca="1" si="171"/>
        <v>0</v>
      </c>
      <c r="W916" s="55" cm="1">
        <f t="array" aca="1" ref="W916" ca="1">IF(Первоначальный[[#This Row],[Итого остаток на начало периода]]&lt;1,0,
_xlfn.IFS(
AND(TYPE(VLOOKUP(1,$Z$12:Z916,1,0))=16,Первоначальный[[#This Row],[Досрочное погашение (да/"")]]=""),0,
AND(S915=0,Первоначальный[[#This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платеж]]+Y915-SUM(Первоначальный[[#This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комиссиям]]),VLOOKUP(LOOKUP(,-1/($Z$12:Z916=1),$A$12:A916),График[[Срок конец]:[Возврат основной суммы долга]],3,0)),
AND(S915=0,Первоначальный[[#This Row],[Дата платежа из графика]]="",Первоначальный[[#This Row],[Досрочное погашение (да/"")]]&lt;&gt;"Да"),0,
AND(S915=0,Первоначальный[[#This Row],[Досрочное погашение (да/"")]]=""),MIN(Первоначальный[[#This Row],[Полученный платеж]]+Y915-SUM(Первоначальный[[#This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комиссиям]]),VLOOKUP(LOOKUP(,-1/($Z$12:Z916=1),$A$12:A916),График[[Срок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платеж]]+Y915-SUM(Первоначальный[[#This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S915&gt;0,MIN(Первоначальный[[#This Row],[Полученный платеж]]+Y915-SUM(Первоначальный[[#This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комиссиям]]),SUM(INDIRECT("M"&amp;(MAX((1=S$12:S915)*ROW(S$12:S915),ROW($W$12))&amp;":M"&amp;(ROW()))))-SUM(INDIRECT("W"&amp;(MAX((1=S$12:S915)*ROW(S$12:S915),ROW($W$12))&amp;":W"&amp;(ROW()-1)))))
)
)</f>
        <v>0</v>
      </c>
      <c r="X916" s="55">
        <f t="shared" ca="1" si="172"/>
        <v>0</v>
      </c>
      <c r="Y916" s="101">
        <f t="shared" ca="1" si="179"/>
        <v>0</v>
      </c>
      <c r="Z916" s="133" t="str">
        <f>IF(TYPE((VLOOKUP(Первоначальный[[#This Row],[Дата платежа]],График[Срок конец],1,0)))=16,"",1)</f>
        <v/>
      </c>
      <c r="AA916" s="57"/>
      <c r="AB916" s="134"/>
      <c r="AC91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1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65689.389999999956</v>
      </c>
      <c r="AE91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2988.1499999999924</v>
      </c>
      <c r="AF91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1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163264.37966229476</v>
      </c>
      <c r="AH916" s="55"/>
      <c r="AI916" s="55"/>
      <c r="AJ916" s="55"/>
      <c r="AK916" s="101">
        <f t="shared" ca="1" si="180"/>
        <v>381575.2596622947</v>
      </c>
      <c r="AL916" s="129">
        <f t="array" ref="AL916">MAX((УслРестрактов[Характеристика]="Дата реструктуризации")*(УслРестрактов[Значение]=Первоначальный!$A916),0)</f>
        <v>0</v>
      </c>
    </row>
    <row r="917" spans="1:38" x14ac:dyDescent="0.25">
      <c r="A917" s="97">
        <f t="shared" si="173"/>
        <v>45048</v>
      </c>
      <c r="B917" s="100">
        <f t="shared" ca="1" si="174"/>
        <v>149633.34</v>
      </c>
      <c r="C917" s="55">
        <f t="shared" ca="1" si="170"/>
        <v>65689.389999999956</v>
      </c>
      <c r="D917" s="55">
        <f t="shared" ca="1" si="170"/>
        <v>2988.1499999999924</v>
      </c>
      <c r="E917" s="55">
        <f t="shared" ca="1" si="175"/>
        <v>0</v>
      </c>
      <c r="F917" s="55">
        <f t="shared" ca="1" si="176"/>
        <v>163264.37966229476</v>
      </c>
      <c r="G917" s="101">
        <f t="shared" ca="1" si="177"/>
        <v>381575.2596622947</v>
      </c>
      <c r="H917" s="100">
        <f ca="1">ROUND($B917*VLOOKUP($A917,$A$1:$B$10,2,1)/(365+IF(MOD(YEAR($A917),4),0,1)*($A917-$A916)),2)-Первоначальный[[#This Row],[Проценты на просроченный платеж по ОД за период]]</f>
        <v>73.87</v>
      </c>
      <c r="I917" s="55">
        <f t="shared" ca="1" si="178"/>
        <v>7.71</v>
      </c>
      <c r="J917" s="55">
        <v>0</v>
      </c>
      <c r="K917" s="55">
        <f t="shared" ca="1" si="181"/>
        <v>391.02850327868845</v>
      </c>
      <c r="L917" s="55">
        <v>0</v>
      </c>
      <c r="M917" s="113">
        <f>SUMIFS(График[Возврат основной суммы долга],График[Дата с учетом нерабочих дней],$A917)</f>
        <v>0</v>
      </c>
      <c r="N917" s="56">
        <f>SUMIFS(График[Возврат начисленных %],График[Дата с учетом нерабочих дней],$A917)</f>
        <v>0</v>
      </c>
      <c r="O917" s="101">
        <v>0</v>
      </c>
      <c r="P917" s="100" cm="1">
        <f t="array" aca="1" ref="P917" ca="1">MAX(IF(AA916="Да",0,SUM(INDIRECT("M"&amp;(MAX(("Да"=AA$12:AA916)*ROW(AA$12:AA916)+1,ROW($P$12))&amp;":M"&amp;(ROW()))))-SUM(INDIRECT("W"&amp;(MAX(("Да"=AA$12:AA916)*ROW(AA$12:AA916)+1,ROW($P$12))&amp;":W"&amp;(ROW()))))),0)</f>
        <v>14143.740000000002</v>
      </c>
      <c r="Q917" s="99">
        <f ca="1">MAX(SUM($N$13:N917)-SUM($T$13:T917),0)</f>
        <v>64061.960655737683</v>
      </c>
      <c r="R917" s="99">
        <f ca="1">Первоначальный[[#This Row],[Просроченный платеж по ОД]]+Первоначальный[[#This Row],[Просроченный платеж по процентам]]</f>
        <v>78205.700655737688</v>
      </c>
      <c r="S917" s="120">
        <f ca="1">IF(Первоначальный[[#This Row],[Просроченный платеж]]&lt;1,0,S916+1)</f>
        <v>813</v>
      </c>
      <c r="T917" s="100" cm="1">
        <f t="array" aca="1" ref="T917" ca="1">IF(Первоначальный[[#This Row],[Итого остаток на начало периода]]&lt;1,0,
IF(
AND(TYPE(VLOOKUP(1,$Z$12:Z917,1,0))=16,Первоначальный[[#This Row],[Досрочное погашение (да/"")]]=""),0,
_xlfn.IFS(AND(S916=0,Первоначальный[[#This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платеж]]&lt;&gt;0),MIN(LOOKUP(,-1/($Z$12:Z917=1),$C$12:C917)+LOOKUP(,-1/($Z$12:Z917=1),$H$12:H917),Первоначальный[[#This Row],[Полученный платеж]]+Y916),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платеж]]+Y916,SUM(Первоначальный[[#This Row],[Остаток процентов на начало периода]],Первоначальный[[#This Row],[Проценты за период]])),
AND(S916=0,Первоначальный[[#This Row],[Дата платежа из графика]]=""),0,
AND(S916=0,Первоначальный[[#This Row],[Дата платежа из графика]]=1,MAX((0&lt;&gt;S$12:S916)*ROW(S$12:S916),ROW($S$12))&gt;=MAX((1=Z$12:Z916)*ROW(Z$12:Z916),ROW($T$12)),TYPE(VLOOKUP("Да",(INDIRECT("AA"&amp;(MAX((1=Z$12:Z916)*ROW(Z$12:Z916),ROW($T$12))&amp;":AA"&amp;(ROW()-1)))),1,0))=16),MIN(LOOKUP(,-1/($Z$12:Z917=1),$C$12:C917)+LOOKUP(,-1/($Z$12:Z917=1),$H$12:H917),Первоначальный[[#This Row],[Полученный платеж]]+Y916),
AND(S916=0,TYPE(VLOOKUP("Да",(INDIRECT("AA"&amp;(MAX((1=Z$12:Z916)*ROW(Z$12:Z916),ROW($T$12))&amp;":AA"&amp;(ROW()-1)))),1,0))&lt;&gt;16),MIN(LOOKUP(,-1/($Z$12:Z917=1),$C$12:C917)+LOOKUP(,-1/($Z$12:Z917=1),$H$12:H917)-IF(AA916="Да",0,SUM(INDIRECT("T"&amp;(MAX(("Да"=AA$12:AA916)*ROW(AA$12:AA916)+1,ROW($T$12))&amp;":T"&amp;(ROW()-1))))),Первоначальный[[#This Row],[Полученный платеж]]+Y916),
AND(S916=0,MAX((0&lt;&gt;N$12:N916)*ROW(N$12:N916),ROW($S$12))&gt;=MAX((1=Z$12:Z916)*ROW(Z$12:Z916),ROW($T$12))),MIN(LOOKUP(,-1/($Z$12:Z917=1),$C$12:C917)+LOOKUP(,-1/($Z$12:Z917=1),$H$12:H917)-IF(N916&lt;&gt;0,0,SUM(INDIRECT("T"&amp;(MAX((0&lt;&gt;N$12:N916)*ROW(N$12:N916)+1,ROW($T$12))&amp;":T"&amp;(ROW()-1))))),Первоначальный[[#This Row],[Полученный платеж]]+Y916),
AND(S916=0,Первоначальный[[#This Row],[Дата платежа из графика]]=1),MIN(LOOKUP(,-1/($Z$12:Z917=1),$C$12:C917)+LOOKUP(,-1/($Z$12:Z917=1),$H$12:H917)-IF(Z916=1,0,SUM(INDIRECT("T"&amp;(MAX((1=Z$12:Z916)*ROW(Z$12:Z916)+1,ROW($T$12))&amp;":T"&amp;(ROW()-1))))),Первоначальный[[#This Row],[Полученный платеж]]+Y916),
AND(Z916&gt;0,Первоначальный[[#This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платеж]]+Y916),
AND(S916&gt;0,MAX((0&lt;&gt;S$12:S916)*ROW(S$12:S916),ROW($S$12))&gt;=MAX((1=Z$12:Z916)*ROW(Z$12:Z916),ROW($T$12)),TYPE(VLOOKUP("Да",(INDIRECT("AA"&amp;(MAX((1=Z$12:Z916)*ROW(Z$12:Z916),ROW($T$12))&amp;":AA"&amp;(ROW()-1)))),1,0))=16),MIN(LOOKUP(,-1/($Z$12:Z917=1),$C$12:C917)+LOOKUP(,-1/($Z$12:Z917=1),$H$12:H917)-SUM(INDIRECT("T"&amp;(MAX((1=Z$12:Z916)*ROW(Z$12:Z916),ROW($T$12))&amp;":T"&amp;(ROW()-1)))),Первоначальный[[#This Row],[Полученный платеж]]+Y916),
S916&gt;0,MIN(LOOKUP(,-1/($Z$12:Z917=1),$C$12:C917)+LOOKUP(,-1/($Z$12:Z917=1),$H$12:H917)-IF(Z916=1,0,SUM(INDIRECT("T"&amp;(MAX((1=Z$12:Z916)*ROW(Z$12:Z916)+1,ROW($T$12))&amp;":T"&amp;(ROW()-1))))),Первоначальный[[#This Row],[Полученный платеж]]+Y916)
)
)
)</f>
        <v>0</v>
      </c>
      <c r="U91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платеж]]+Y916-Первоначальный[[#This Row],[Полученный платёж по процентам]])</f>
        <v>0</v>
      </c>
      <c r="V917" s="55">
        <f t="shared" ca="1" si="171"/>
        <v>0</v>
      </c>
      <c r="W917" s="55" cm="1">
        <f t="array" aca="1" ref="W917" ca="1">IF(Первоначальный[[#This Row],[Итого остаток на начало периода]]&lt;1,0,
_xlfn.IFS(
AND(TYPE(VLOOKUP(1,$Z$12:Z917,1,0))=16,Первоначальный[[#This Row],[Досрочное погашение (да/"")]]=""),0,
AND(S916=0,Первоначальный[[#This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платеж]]+Y916-SUM(Первоначальный[[#This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комиссиям]]),VLOOKUP(LOOKUP(,-1/($Z$12:Z917=1),$A$12:A917),График[[Срок конец]:[Возврат основной суммы долга]],3,0)),
AND(S916=0,Первоначальный[[#This Row],[Дата платежа из графика]]="",Первоначальный[[#This Row],[Досрочное погашение (да/"")]]&lt;&gt;"Да"),0,
AND(S916=0,Первоначальный[[#This Row],[Досрочное погашение (да/"")]]=""),MIN(Первоначальный[[#This Row],[Полученный платеж]]+Y916-SUM(Первоначальный[[#This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комиссиям]]),VLOOKUP(LOOKUP(,-1/($Z$12:Z917=1),$A$12:A917),График[[Срок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платеж]]+Y916-SUM(Первоначальный[[#This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S916&gt;0,MIN(Первоначальный[[#This Row],[Полученный платеж]]+Y916-SUM(Первоначальный[[#This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комиссиям]]),SUM(INDIRECT("M"&amp;(MAX((1=S$12:S916)*ROW(S$12:S916),ROW($W$12))&amp;":M"&amp;(ROW()))))-SUM(INDIRECT("W"&amp;(MAX((1=S$12:S916)*ROW(S$12:S916),ROW($W$12))&amp;":W"&amp;(ROW()-1)))))
)
)</f>
        <v>0</v>
      </c>
      <c r="X917" s="55">
        <f t="shared" ca="1" si="172"/>
        <v>0</v>
      </c>
      <c r="Y917" s="101">
        <f t="shared" ca="1" si="179"/>
        <v>0</v>
      </c>
      <c r="Z917" s="133" t="str">
        <f>IF(TYPE((VLOOKUP(Первоначальный[[#This Row],[Дата платежа]],График[Срок конец],1,0)))=16,"",1)</f>
        <v/>
      </c>
      <c r="AA917" s="57"/>
      <c r="AB917" s="134"/>
      <c r="AC91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1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65763.259999999951</v>
      </c>
      <c r="AE91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2995.8599999999924</v>
      </c>
      <c r="AF91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1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163655.40816557343</v>
      </c>
      <c r="AH917" s="55"/>
      <c r="AI917" s="55"/>
      <c r="AJ917" s="55"/>
      <c r="AK917" s="101">
        <f t="shared" ca="1" si="180"/>
        <v>382047.86816557334</v>
      </c>
      <c r="AL917" s="129">
        <f t="array" ref="AL917">MAX((УслРестрактов[Характеристика]="Дата реструктуризации")*(УслРестрактов[Значение]=Первоначальный!$A917),0)</f>
        <v>0</v>
      </c>
    </row>
    <row r="918" spans="1:38" x14ac:dyDescent="0.25">
      <c r="A918" s="97">
        <f t="shared" si="173"/>
        <v>45049</v>
      </c>
      <c r="B918" s="100">
        <f t="shared" ca="1" si="174"/>
        <v>149633.34</v>
      </c>
      <c r="C918" s="55">
        <f t="shared" ca="1" si="170"/>
        <v>65763.259999999951</v>
      </c>
      <c r="D918" s="55">
        <f t="shared" ca="1" si="170"/>
        <v>2995.8599999999924</v>
      </c>
      <c r="E918" s="55">
        <f t="shared" ca="1" si="175"/>
        <v>0</v>
      </c>
      <c r="F918" s="55">
        <f t="shared" ca="1" si="176"/>
        <v>163655.40816557343</v>
      </c>
      <c r="G918" s="101">
        <f t="shared" ca="1" si="177"/>
        <v>382047.86816557334</v>
      </c>
      <c r="H918" s="100">
        <f ca="1">ROUND($B918*VLOOKUP($A918,$A$1:$B$10,2,1)/(365+IF(MOD(YEAR($A918),4),0,1)*($A918-$A917)),2)-Первоначальный[[#This Row],[Проценты на просроченный платеж по ОД за период]]</f>
        <v>73.87</v>
      </c>
      <c r="I918" s="55">
        <f t="shared" ca="1" si="178"/>
        <v>7.71</v>
      </c>
      <c r="J918" s="55">
        <v>0</v>
      </c>
      <c r="K918" s="55">
        <f t="shared" ca="1" si="181"/>
        <v>391.02850327868845</v>
      </c>
      <c r="L918" s="55">
        <v>0</v>
      </c>
      <c r="M918" s="113">
        <f>SUMIFS(График[Возврат основной суммы долга],График[Дата с учетом нерабочих дней],$A918)</f>
        <v>0</v>
      </c>
      <c r="N918" s="56">
        <f>SUMIFS(График[Возврат начисленных %],График[Дата с учетом нерабочих дней],$A918)</f>
        <v>0</v>
      </c>
      <c r="O918" s="101">
        <v>0</v>
      </c>
      <c r="P918" s="100" cm="1">
        <f t="array" aca="1" ref="P918" ca="1">MAX(IF(AA917="Да",0,SUM(INDIRECT("M"&amp;(MAX(("Да"=AA$12:AA917)*ROW(AA$12:AA917)+1,ROW($P$12))&amp;":M"&amp;(ROW()))))-SUM(INDIRECT("W"&amp;(MAX(("Да"=AA$12:AA917)*ROW(AA$12:AA917)+1,ROW($P$12))&amp;":W"&amp;(ROW()))))),0)</f>
        <v>14143.740000000002</v>
      </c>
      <c r="Q918" s="99">
        <f ca="1">MAX(SUM($N$13:N918)-SUM($T$13:T918),0)</f>
        <v>64061.960655737683</v>
      </c>
      <c r="R918" s="99">
        <f ca="1">Первоначальный[[#This Row],[Просроченный платеж по ОД]]+Первоначальный[[#This Row],[Просроченный платеж по процентам]]</f>
        <v>78205.700655737688</v>
      </c>
      <c r="S918" s="120">
        <f ca="1">IF(Первоначальный[[#This Row],[Просроченный платеж]]&lt;1,0,S917+1)</f>
        <v>814</v>
      </c>
      <c r="T918" s="100" cm="1">
        <f t="array" aca="1" ref="T918" ca="1">IF(Первоначальный[[#This Row],[Итого остаток на начало периода]]&lt;1,0,
IF(
AND(TYPE(VLOOKUP(1,$Z$12:Z918,1,0))=16,Первоначальный[[#This Row],[Досрочное погашение (да/"")]]=""),0,
_xlfn.IFS(AND(S917=0,Первоначальный[[#This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платеж]]&lt;&gt;0),MIN(LOOKUP(,-1/($Z$12:Z918=1),$C$12:C918)+LOOKUP(,-1/($Z$12:Z918=1),$H$12:H918),Первоначальный[[#This Row],[Полученный платеж]]+Y917),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платеж]]+Y917,SUM(Первоначальный[[#This Row],[Остаток процентов на начало периода]],Первоначальный[[#This Row],[Проценты за период]])),
AND(S917=0,Первоначальный[[#This Row],[Дата платежа из графика]]=""),0,
AND(S917=0,Первоначальный[[#This Row],[Дата платежа из графика]]=1,MAX((0&lt;&gt;S$12:S917)*ROW(S$12:S917),ROW($S$12))&gt;=MAX((1=Z$12:Z917)*ROW(Z$12:Z917),ROW($T$12)),TYPE(VLOOKUP("Да",(INDIRECT("AA"&amp;(MAX((1=Z$12:Z917)*ROW(Z$12:Z917),ROW($T$12))&amp;":AA"&amp;(ROW()-1)))),1,0))=16),MIN(LOOKUP(,-1/($Z$12:Z918=1),$C$12:C918)+LOOKUP(,-1/($Z$12:Z918=1),$H$12:H918),Первоначальный[[#This Row],[Полученный платеж]]+Y917),
AND(S917=0,TYPE(VLOOKUP("Да",(INDIRECT("AA"&amp;(MAX((1=Z$12:Z917)*ROW(Z$12:Z917),ROW($T$12))&amp;":AA"&amp;(ROW()-1)))),1,0))&lt;&gt;16),MIN(LOOKUP(,-1/($Z$12:Z918=1),$C$12:C918)+LOOKUP(,-1/($Z$12:Z918=1),$H$12:H918)-IF(AA917="Да",0,SUM(INDIRECT("T"&amp;(MAX(("Да"=AA$12:AA917)*ROW(AA$12:AA917)+1,ROW($T$12))&amp;":T"&amp;(ROW()-1))))),Первоначальный[[#This Row],[Полученный платеж]]+Y917),
AND(S917=0,MAX((0&lt;&gt;N$12:N917)*ROW(N$12:N917),ROW($S$12))&gt;=MAX((1=Z$12:Z917)*ROW(Z$12:Z917),ROW($T$12))),MIN(LOOKUP(,-1/($Z$12:Z918=1),$C$12:C918)+LOOKUP(,-1/($Z$12:Z918=1),$H$12:H918)-IF(N917&lt;&gt;0,0,SUM(INDIRECT("T"&amp;(MAX((0&lt;&gt;N$12:N917)*ROW(N$12:N917)+1,ROW($T$12))&amp;":T"&amp;(ROW()-1))))),Первоначальный[[#This Row],[Полученный платеж]]+Y917),
AND(S917=0,Первоначальный[[#This Row],[Дата платежа из графика]]=1),MIN(LOOKUP(,-1/($Z$12:Z918=1),$C$12:C918)+LOOKUP(,-1/($Z$12:Z918=1),$H$12:H918)-IF(Z917=1,0,SUM(INDIRECT("T"&amp;(MAX((1=Z$12:Z917)*ROW(Z$12:Z917)+1,ROW($T$12))&amp;":T"&amp;(ROW()-1))))),Первоначальный[[#This Row],[Полученный платеж]]+Y917),
AND(Z917&gt;0,Первоначальный[[#This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платеж]]+Y917),
AND(S917&gt;0,MAX((0&lt;&gt;S$12:S917)*ROW(S$12:S917),ROW($S$12))&gt;=MAX((1=Z$12:Z917)*ROW(Z$12:Z917),ROW($T$12)),TYPE(VLOOKUP("Да",(INDIRECT("AA"&amp;(MAX((1=Z$12:Z917)*ROW(Z$12:Z917),ROW($T$12))&amp;":AA"&amp;(ROW()-1)))),1,0))=16),MIN(LOOKUP(,-1/($Z$12:Z918=1),$C$12:C918)+LOOKUP(,-1/($Z$12:Z918=1),$H$12:H918)-SUM(INDIRECT("T"&amp;(MAX((1=Z$12:Z917)*ROW(Z$12:Z917),ROW($T$12))&amp;":T"&amp;(ROW()-1)))),Первоначальный[[#This Row],[Полученный платеж]]+Y917),
S917&gt;0,MIN(LOOKUP(,-1/($Z$12:Z918=1),$C$12:C918)+LOOKUP(,-1/($Z$12:Z918=1),$H$12:H918)-IF(Z917=1,0,SUM(INDIRECT("T"&amp;(MAX((1=Z$12:Z917)*ROW(Z$12:Z917)+1,ROW($T$12))&amp;":T"&amp;(ROW()-1))))),Первоначальный[[#This Row],[Полученный платеж]]+Y917)
)
)
)</f>
        <v>0</v>
      </c>
      <c r="U91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платеж]]+Y917-Первоначальный[[#This Row],[Полученный платёж по процентам]])</f>
        <v>0</v>
      </c>
      <c r="V918" s="55">
        <f t="shared" ca="1" si="171"/>
        <v>0</v>
      </c>
      <c r="W918" s="55" cm="1">
        <f t="array" aca="1" ref="W918" ca="1">IF(Первоначальный[[#This Row],[Итого остаток на начало периода]]&lt;1,0,
_xlfn.IFS(
AND(TYPE(VLOOKUP(1,$Z$12:Z918,1,0))=16,Первоначальный[[#This Row],[Досрочное погашение (да/"")]]=""),0,
AND(S917=0,Первоначальный[[#This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платеж]]+Y917-SUM(Первоначальный[[#This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комиссиям]]),VLOOKUP(LOOKUP(,-1/($Z$12:Z918=1),$A$12:A918),График[[Срок конец]:[Возврат основной суммы долга]],3,0)),
AND(S917=0,Первоначальный[[#This Row],[Дата платежа из графика]]="",Первоначальный[[#This Row],[Досрочное погашение (да/"")]]&lt;&gt;"Да"),0,
AND(S917=0,Первоначальный[[#This Row],[Досрочное погашение (да/"")]]=""),MIN(Первоначальный[[#This Row],[Полученный платеж]]+Y917-SUM(Первоначальный[[#This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комиссиям]]),VLOOKUP(LOOKUP(,-1/($Z$12:Z918=1),$A$12:A918),График[[Срок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платеж]]+Y917-SUM(Первоначальный[[#This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S917&gt;0,MIN(Первоначальный[[#This Row],[Полученный платеж]]+Y917-SUM(Первоначальный[[#This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комиссиям]]),SUM(INDIRECT("M"&amp;(MAX((1=S$12:S917)*ROW(S$12:S917),ROW($W$12))&amp;":M"&amp;(ROW()))))-SUM(INDIRECT("W"&amp;(MAX((1=S$12:S917)*ROW(S$12:S917),ROW($W$12))&amp;":W"&amp;(ROW()-1)))))
)
)</f>
        <v>0</v>
      </c>
      <c r="X918" s="55">
        <f t="shared" ca="1" si="172"/>
        <v>0</v>
      </c>
      <c r="Y918" s="101">
        <f t="shared" ca="1" si="179"/>
        <v>0</v>
      </c>
      <c r="Z918" s="133" t="str">
        <f>IF(TYPE((VLOOKUP(Первоначальный[[#This Row],[Дата платежа]],График[Срок конец],1,0)))=16,"",1)</f>
        <v/>
      </c>
      <c r="AA918" s="57"/>
      <c r="AB918" s="134"/>
      <c r="AC91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1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65837.129999999946</v>
      </c>
      <c r="AE91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3003.5699999999924</v>
      </c>
      <c r="AF91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1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164046.43666885211</v>
      </c>
      <c r="AH918" s="55"/>
      <c r="AI918" s="55"/>
      <c r="AJ918" s="55"/>
      <c r="AK918" s="101">
        <f t="shared" ca="1" si="180"/>
        <v>382520.47666885203</v>
      </c>
      <c r="AL918" s="129">
        <f t="array" ref="AL918">MAX((УслРестрактов[Характеристика]="Дата реструктуризации")*(УслРестрактов[Значение]=Первоначальный!$A918),0)</f>
        <v>0</v>
      </c>
    </row>
    <row r="919" spans="1:38" x14ac:dyDescent="0.25">
      <c r="A919" s="97">
        <f t="shared" si="173"/>
        <v>45050</v>
      </c>
      <c r="B919" s="100">
        <f t="shared" ca="1" si="174"/>
        <v>149633.34</v>
      </c>
      <c r="C919" s="55">
        <f t="shared" ca="1" si="170"/>
        <v>65837.129999999946</v>
      </c>
      <c r="D919" s="55">
        <f t="shared" ca="1" si="170"/>
        <v>3003.5699999999924</v>
      </c>
      <c r="E919" s="55">
        <f t="shared" ca="1" si="175"/>
        <v>0</v>
      </c>
      <c r="F919" s="55">
        <f t="shared" ca="1" si="176"/>
        <v>164046.43666885211</v>
      </c>
      <c r="G919" s="101">
        <f t="shared" ca="1" si="177"/>
        <v>382520.47666885203</v>
      </c>
      <c r="H919" s="100">
        <f ca="1">ROUND($B919*VLOOKUP($A919,$A$1:$B$10,2,1)/(365+IF(MOD(YEAR($A919),4),0,1)*($A919-$A918)),2)-Первоначальный[[#This Row],[Проценты на просроченный платеж по ОД за период]]</f>
        <v>73.87</v>
      </c>
      <c r="I919" s="55">
        <f t="shared" ca="1" si="178"/>
        <v>7.71</v>
      </c>
      <c r="J919" s="55">
        <v>0</v>
      </c>
      <c r="K919" s="55">
        <f t="shared" ca="1" si="181"/>
        <v>391.02850327868845</v>
      </c>
      <c r="L919" s="55">
        <v>0</v>
      </c>
      <c r="M919" s="113">
        <f>SUMIFS(График[Возврат основной суммы долга],График[Дата с учетом нерабочих дней],$A919)</f>
        <v>0</v>
      </c>
      <c r="N919" s="56">
        <f>SUMIFS(График[Возврат начисленных %],График[Дата с учетом нерабочих дней],$A919)</f>
        <v>0</v>
      </c>
      <c r="O919" s="101">
        <v>0</v>
      </c>
      <c r="P919" s="100" cm="1">
        <f t="array" aca="1" ref="P919" ca="1">MAX(IF(AA918="Да",0,SUM(INDIRECT("M"&amp;(MAX(("Да"=AA$12:AA918)*ROW(AA$12:AA918)+1,ROW($P$12))&amp;":M"&amp;(ROW()))))-SUM(INDIRECT("W"&amp;(MAX(("Да"=AA$12:AA918)*ROW(AA$12:AA918)+1,ROW($P$12))&amp;":W"&amp;(ROW()))))),0)</f>
        <v>14143.740000000002</v>
      </c>
      <c r="Q919" s="99">
        <f ca="1">MAX(SUM($N$13:N919)-SUM($T$13:T919),0)</f>
        <v>64061.960655737683</v>
      </c>
      <c r="R919" s="99">
        <f ca="1">Первоначальный[[#This Row],[Просроченный платеж по ОД]]+Первоначальный[[#This Row],[Просроченный платеж по процентам]]</f>
        <v>78205.700655737688</v>
      </c>
      <c r="S919" s="120">
        <f ca="1">IF(Первоначальный[[#This Row],[Просроченный платеж]]&lt;1,0,S918+1)</f>
        <v>815</v>
      </c>
      <c r="T919" s="100" cm="1">
        <f t="array" aca="1" ref="T919" ca="1">IF(Первоначальный[[#This Row],[Итого остаток на начало периода]]&lt;1,0,
IF(
AND(TYPE(VLOOKUP(1,$Z$12:Z919,1,0))=16,Первоначальный[[#This Row],[Досрочное погашение (да/"")]]=""),0,
_xlfn.IFS(AND(S918=0,Первоначальный[[#This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платеж]]&lt;&gt;0),MIN(LOOKUP(,-1/($Z$12:Z919=1),$C$12:C919)+LOOKUP(,-1/($Z$12:Z919=1),$H$12:H919),Первоначальный[[#This Row],[Полученный платеж]]+Y918),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платеж]]+Y918,SUM(Первоначальный[[#This Row],[Остаток процентов на начало периода]],Первоначальный[[#This Row],[Проценты за период]])),
AND(S918=0,Первоначальный[[#This Row],[Дата платежа из графика]]=""),0,
AND(S918=0,Первоначальный[[#This Row],[Дата платежа из графика]]=1,MAX((0&lt;&gt;S$12:S918)*ROW(S$12:S918),ROW($S$12))&gt;=MAX((1=Z$12:Z918)*ROW(Z$12:Z918),ROW($T$12)),TYPE(VLOOKUP("Да",(INDIRECT("AA"&amp;(MAX((1=Z$12:Z918)*ROW(Z$12:Z918),ROW($T$12))&amp;":AA"&amp;(ROW()-1)))),1,0))=16),MIN(LOOKUP(,-1/($Z$12:Z919=1),$C$12:C919)+LOOKUP(,-1/($Z$12:Z919=1),$H$12:H919),Первоначальный[[#This Row],[Полученный платеж]]+Y918),
AND(S918=0,TYPE(VLOOKUP("Да",(INDIRECT("AA"&amp;(MAX((1=Z$12:Z918)*ROW(Z$12:Z918),ROW($T$12))&amp;":AA"&amp;(ROW()-1)))),1,0))&lt;&gt;16),MIN(LOOKUP(,-1/($Z$12:Z919=1),$C$12:C919)+LOOKUP(,-1/($Z$12:Z919=1),$H$12:H919)-IF(AA918="Да",0,SUM(INDIRECT("T"&amp;(MAX(("Да"=AA$12:AA918)*ROW(AA$12:AA918)+1,ROW($T$12))&amp;":T"&amp;(ROW()-1))))),Первоначальный[[#This Row],[Полученный платеж]]+Y918),
AND(S918=0,MAX((0&lt;&gt;N$12:N918)*ROW(N$12:N918),ROW($S$12))&gt;=MAX((1=Z$12:Z918)*ROW(Z$12:Z918),ROW($T$12))),MIN(LOOKUP(,-1/($Z$12:Z919=1),$C$12:C919)+LOOKUP(,-1/($Z$12:Z919=1),$H$12:H919)-IF(N918&lt;&gt;0,0,SUM(INDIRECT("T"&amp;(MAX((0&lt;&gt;N$12:N918)*ROW(N$12:N918)+1,ROW($T$12))&amp;":T"&amp;(ROW()-1))))),Первоначальный[[#This Row],[Полученный платеж]]+Y918),
AND(S918=0,Первоначальный[[#This Row],[Дата платежа из графика]]=1),MIN(LOOKUP(,-1/($Z$12:Z919=1),$C$12:C919)+LOOKUP(,-1/($Z$12:Z919=1),$H$12:H919)-IF(Z918=1,0,SUM(INDIRECT("T"&amp;(MAX((1=Z$12:Z918)*ROW(Z$12:Z918)+1,ROW($T$12))&amp;":T"&amp;(ROW()-1))))),Первоначальный[[#This Row],[Полученный платеж]]+Y918),
AND(Z918&gt;0,Первоначальный[[#This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платеж]]+Y918),
AND(S918&gt;0,MAX((0&lt;&gt;S$12:S918)*ROW(S$12:S918),ROW($S$12))&gt;=MAX((1=Z$12:Z918)*ROW(Z$12:Z918),ROW($T$12)),TYPE(VLOOKUP("Да",(INDIRECT("AA"&amp;(MAX((1=Z$12:Z918)*ROW(Z$12:Z918),ROW($T$12))&amp;":AA"&amp;(ROW()-1)))),1,0))=16),MIN(LOOKUP(,-1/($Z$12:Z919=1),$C$12:C919)+LOOKUP(,-1/($Z$12:Z919=1),$H$12:H919)-SUM(INDIRECT("T"&amp;(MAX((1=Z$12:Z918)*ROW(Z$12:Z918),ROW($T$12))&amp;":T"&amp;(ROW()-1)))),Первоначальный[[#This Row],[Полученный платеж]]+Y918),
S918&gt;0,MIN(LOOKUP(,-1/($Z$12:Z919=1),$C$12:C919)+LOOKUP(,-1/($Z$12:Z919=1),$H$12:H919)-IF(Z918=1,0,SUM(INDIRECT("T"&amp;(MAX((1=Z$12:Z918)*ROW(Z$12:Z918)+1,ROW($T$12))&amp;":T"&amp;(ROW()-1))))),Первоначальный[[#This Row],[Полученный платеж]]+Y918)
)
)
)</f>
        <v>0</v>
      </c>
      <c r="U91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платеж]]+Y918-Первоначальный[[#This Row],[Полученный платёж по процентам]])</f>
        <v>0</v>
      </c>
      <c r="V919" s="55">
        <f t="shared" ca="1" si="171"/>
        <v>0</v>
      </c>
      <c r="W919" s="55" cm="1">
        <f t="array" aca="1" ref="W919" ca="1">IF(Первоначальный[[#This Row],[Итого остаток на начало периода]]&lt;1,0,
_xlfn.IFS(
AND(TYPE(VLOOKUP(1,$Z$12:Z919,1,0))=16,Первоначальный[[#This Row],[Досрочное погашение (да/"")]]=""),0,
AND(S918=0,Первоначальный[[#This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платеж]]+Y918-SUM(Первоначальный[[#This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комиссиям]]),VLOOKUP(LOOKUP(,-1/($Z$12:Z919=1),$A$12:A919),График[[Срок конец]:[Возврат основной суммы долга]],3,0)),
AND(S918=0,Первоначальный[[#This Row],[Дата платежа из графика]]="",Первоначальный[[#This Row],[Досрочное погашение (да/"")]]&lt;&gt;"Да"),0,
AND(S918=0,Первоначальный[[#This Row],[Досрочное погашение (да/"")]]=""),MIN(Первоначальный[[#This Row],[Полученный платеж]]+Y918-SUM(Первоначальный[[#This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комиссиям]]),VLOOKUP(LOOKUP(,-1/($Z$12:Z919=1),$A$12:A919),График[[Срок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платеж]]+Y918-SUM(Первоначальный[[#This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S918&gt;0,MIN(Первоначальный[[#This Row],[Полученный платеж]]+Y918-SUM(Первоначальный[[#This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комиссиям]]),SUM(INDIRECT("M"&amp;(MAX((1=S$12:S918)*ROW(S$12:S918),ROW($W$12))&amp;":M"&amp;(ROW()))))-SUM(INDIRECT("W"&amp;(MAX((1=S$12:S918)*ROW(S$12:S918),ROW($W$12))&amp;":W"&amp;(ROW()-1)))))
)
)</f>
        <v>0</v>
      </c>
      <c r="X919" s="55">
        <f t="shared" ca="1" si="172"/>
        <v>0</v>
      </c>
      <c r="Y919" s="101">
        <f t="shared" ca="1" si="179"/>
        <v>0</v>
      </c>
      <c r="Z919" s="133" t="str">
        <f>IF(TYPE((VLOOKUP(Первоначальный[[#This Row],[Дата платежа]],График[Срок конец],1,0)))=16,"",1)</f>
        <v/>
      </c>
      <c r="AA919" s="57"/>
      <c r="AB919" s="134"/>
      <c r="AC91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1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65910.999999999942</v>
      </c>
      <c r="AE91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3011.2799999999925</v>
      </c>
      <c r="AF91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1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164437.46517213079</v>
      </c>
      <c r="AH919" s="55"/>
      <c r="AI919" s="55"/>
      <c r="AJ919" s="55"/>
      <c r="AK919" s="101">
        <f t="shared" ca="1" si="180"/>
        <v>382993.08517213073</v>
      </c>
      <c r="AL919" s="129">
        <f t="array" ref="AL919">MAX((УслРестрактов[Характеристика]="Дата реструктуризации")*(УслРестрактов[Значение]=Первоначальный!$A919),0)</f>
        <v>0</v>
      </c>
    </row>
    <row r="920" spans="1:38" x14ac:dyDescent="0.25">
      <c r="A920" s="97">
        <f t="shared" si="173"/>
        <v>45051</v>
      </c>
      <c r="B920" s="100">
        <f t="shared" ca="1" si="174"/>
        <v>149633.34</v>
      </c>
      <c r="C920" s="55">
        <f t="shared" ca="1" si="170"/>
        <v>65910.999999999942</v>
      </c>
      <c r="D920" s="55">
        <f t="shared" ca="1" si="170"/>
        <v>3011.2799999999925</v>
      </c>
      <c r="E920" s="55">
        <f t="shared" ca="1" si="175"/>
        <v>0</v>
      </c>
      <c r="F920" s="55">
        <f t="shared" ca="1" si="176"/>
        <v>164437.46517213079</v>
      </c>
      <c r="G920" s="101">
        <f t="shared" ca="1" si="177"/>
        <v>382993.08517213073</v>
      </c>
      <c r="H920" s="100">
        <f ca="1">ROUND($B920*VLOOKUP($A920,$A$1:$B$10,2,1)/(365+IF(MOD(YEAR($A920),4),0,1)*($A920-$A919)),2)-Первоначальный[[#This Row],[Проценты на просроченный платеж по ОД за период]]</f>
        <v>73.87</v>
      </c>
      <c r="I920" s="55">
        <f t="shared" ca="1" si="178"/>
        <v>7.71</v>
      </c>
      <c r="J920" s="55">
        <v>0</v>
      </c>
      <c r="K920" s="55">
        <f t="shared" ca="1" si="181"/>
        <v>391.02850327868845</v>
      </c>
      <c r="L920" s="55">
        <v>0</v>
      </c>
      <c r="M920" s="113">
        <f>SUMIFS(График[Возврат основной суммы долга],График[Дата с учетом нерабочих дней],$A920)</f>
        <v>0</v>
      </c>
      <c r="N920" s="56">
        <f>SUMIFS(График[Возврат начисленных %],График[Дата с учетом нерабочих дней],$A920)</f>
        <v>0</v>
      </c>
      <c r="O920" s="101">
        <v>0</v>
      </c>
      <c r="P920" s="100" cm="1">
        <f t="array" aca="1" ref="P920" ca="1">MAX(IF(AA919="Да",0,SUM(INDIRECT("M"&amp;(MAX(("Да"=AA$12:AA919)*ROW(AA$12:AA919)+1,ROW($P$12))&amp;":M"&amp;(ROW()))))-SUM(INDIRECT("W"&amp;(MAX(("Да"=AA$12:AA919)*ROW(AA$12:AA919)+1,ROW($P$12))&amp;":W"&amp;(ROW()))))),0)</f>
        <v>14143.740000000002</v>
      </c>
      <c r="Q920" s="99">
        <f ca="1">MAX(SUM($N$13:N920)-SUM($T$13:T920),0)</f>
        <v>64061.960655737683</v>
      </c>
      <c r="R920" s="99">
        <f ca="1">Первоначальный[[#This Row],[Просроченный платеж по ОД]]+Первоначальный[[#This Row],[Просроченный платеж по процентам]]</f>
        <v>78205.700655737688</v>
      </c>
      <c r="S920" s="120">
        <f ca="1">IF(Первоначальный[[#This Row],[Просроченный платеж]]&lt;1,0,S919+1)</f>
        <v>816</v>
      </c>
      <c r="T920" s="100" cm="1">
        <f t="array" aca="1" ref="T920" ca="1">IF(Первоначальный[[#This Row],[Итого остаток на начало периода]]&lt;1,0,
IF(
AND(TYPE(VLOOKUP(1,$Z$12:Z920,1,0))=16,Первоначальный[[#This Row],[Досрочное погашение (да/"")]]=""),0,
_xlfn.IFS(AND(S919=0,Первоначальный[[#This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платеж]]&lt;&gt;0),MIN(LOOKUP(,-1/($Z$12:Z920=1),$C$12:C920)+LOOKUP(,-1/($Z$12:Z920=1),$H$12:H920),Первоначальный[[#This Row],[Полученный платеж]]+Y919),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платеж]]+Y919,SUM(Первоначальный[[#This Row],[Остаток процентов на начало периода]],Первоначальный[[#This Row],[Проценты за период]])),
AND(S919=0,Первоначальный[[#This Row],[Дата платежа из графика]]=""),0,
AND(S919=0,Первоначальный[[#This Row],[Дата платежа из графика]]=1,MAX((0&lt;&gt;S$12:S919)*ROW(S$12:S919),ROW($S$12))&gt;=MAX((1=Z$12:Z919)*ROW(Z$12:Z919),ROW($T$12)),TYPE(VLOOKUP("Да",(INDIRECT("AA"&amp;(MAX((1=Z$12:Z919)*ROW(Z$12:Z919),ROW($T$12))&amp;":AA"&amp;(ROW()-1)))),1,0))=16),MIN(LOOKUP(,-1/($Z$12:Z920=1),$C$12:C920)+LOOKUP(,-1/($Z$12:Z920=1),$H$12:H920),Первоначальный[[#This Row],[Полученный платеж]]+Y919),
AND(S919=0,TYPE(VLOOKUP("Да",(INDIRECT("AA"&amp;(MAX((1=Z$12:Z919)*ROW(Z$12:Z919),ROW($T$12))&amp;":AA"&amp;(ROW()-1)))),1,0))&lt;&gt;16),MIN(LOOKUP(,-1/($Z$12:Z920=1),$C$12:C920)+LOOKUP(,-1/($Z$12:Z920=1),$H$12:H920)-IF(AA919="Да",0,SUM(INDIRECT("T"&amp;(MAX(("Да"=AA$12:AA919)*ROW(AA$12:AA919)+1,ROW($T$12))&amp;":T"&amp;(ROW()-1))))),Первоначальный[[#This Row],[Полученный платеж]]+Y919),
AND(S919=0,MAX((0&lt;&gt;N$12:N919)*ROW(N$12:N919),ROW($S$12))&gt;=MAX((1=Z$12:Z919)*ROW(Z$12:Z919),ROW($T$12))),MIN(LOOKUP(,-1/($Z$12:Z920=1),$C$12:C920)+LOOKUP(,-1/($Z$12:Z920=1),$H$12:H920)-IF(N919&lt;&gt;0,0,SUM(INDIRECT("T"&amp;(MAX((0&lt;&gt;N$12:N919)*ROW(N$12:N919)+1,ROW($T$12))&amp;":T"&amp;(ROW()-1))))),Первоначальный[[#This Row],[Полученный платеж]]+Y919),
AND(S919=0,Первоначальный[[#This Row],[Дата платежа из графика]]=1),MIN(LOOKUP(,-1/($Z$12:Z920=1),$C$12:C920)+LOOKUP(,-1/($Z$12:Z920=1),$H$12:H920)-IF(Z919=1,0,SUM(INDIRECT("T"&amp;(MAX((1=Z$12:Z919)*ROW(Z$12:Z919)+1,ROW($T$12))&amp;":T"&amp;(ROW()-1))))),Первоначальный[[#This Row],[Полученный платеж]]+Y919),
AND(Z919&gt;0,Первоначальный[[#This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платеж]]+Y919),
AND(S919&gt;0,MAX((0&lt;&gt;S$12:S919)*ROW(S$12:S919),ROW($S$12))&gt;=MAX((1=Z$12:Z919)*ROW(Z$12:Z919),ROW($T$12)),TYPE(VLOOKUP("Да",(INDIRECT("AA"&amp;(MAX((1=Z$12:Z919)*ROW(Z$12:Z919),ROW($T$12))&amp;":AA"&amp;(ROW()-1)))),1,0))=16),MIN(LOOKUP(,-1/($Z$12:Z920=1),$C$12:C920)+LOOKUP(,-1/($Z$12:Z920=1),$H$12:H920)-SUM(INDIRECT("T"&amp;(MAX((1=Z$12:Z919)*ROW(Z$12:Z919),ROW($T$12))&amp;":T"&amp;(ROW()-1)))),Первоначальный[[#This Row],[Полученный платеж]]+Y919),
S919&gt;0,MIN(LOOKUP(,-1/($Z$12:Z920=1),$C$12:C920)+LOOKUP(,-1/($Z$12:Z920=1),$H$12:H920)-IF(Z919=1,0,SUM(INDIRECT("T"&amp;(MAX((1=Z$12:Z919)*ROW(Z$12:Z919)+1,ROW($T$12))&amp;":T"&amp;(ROW()-1))))),Первоначальный[[#This Row],[Полученный платеж]]+Y919)
)
)
)</f>
        <v>0</v>
      </c>
      <c r="U92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платеж]]+Y919-Первоначальный[[#This Row],[Полученный платёж по процентам]])</f>
        <v>0</v>
      </c>
      <c r="V920" s="55">
        <f t="shared" ca="1" si="171"/>
        <v>0</v>
      </c>
      <c r="W920" s="55" cm="1">
        <f t="array" aca="1" ref="W920" ca="1">IF(Первоначальный[[#This Row],[Итого остаток на начало периода]]&lt;1,0,
_xlfn.IFS(
AND(TYPE(VLOOKUP(1,$Z$12:Z920,1,0))=16,Первоначальный[[#This Row],[Досрочное погашение (да/"")]]=""),0,
AND(S919=0,Первоначальный[[#This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платеж]]+Y919-SUM(Первоначальный[[#This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комиссиям]]),VLOOKUP(LOOKUP(,-1/($Z$12:Z920=1),$A$12:A920),График[[Срок конец]:[Возврат основной суммы долга]],3,0)),
AND(S919=0,Первоначальный[[#This Row],[Дата платежа из графика]]="",Первоначальный[[#This Row],[Досрочное погашение (да/"")]]&lt;&gt;"Да"),0,
AND(S919=0,Первоначальный[[#This Row],[Досрочное погашение (да/"")]]=""),MIN(Первоначальный[[#This Row],[Полученный платеж]]+Y919-SUM(Первоначальный[[#This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комиссиям]]),VLOOKUP(LOOKUP(,-1/($Z$12:Z920=1),$A$12:A920),График[[Срок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платеж]]+Y919-SUM(Первоначальный[[#This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S919&gt;0,MIN(Первоначальный[[#This Row],[Полученный платеж]]+Y919-SUM(Первоначальный[[#This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комиссиям]]),SUM(INDIRECT("M"&amp;(MAX((1=S$12:S919)*ROW(S$12:S919),ROW($W$12))&amp;":M"&amp;(ROW()))))-SUM(INDIRECT("W"&amp;(MAX((1=S$12:S919)*ROW(S$12:S919),ROW($W$12))&amp;":W"&amp;(ROW()-1)))))
)
)</f>
        <v>0</v>
      </c>
      <c r="X920" s="55">
        <f t="shared" ca="1" si="172"/>
        <v>0</v>
      </c>
      <c r="Y920" s="101">
        <f t="shared" ca="1" si="179"/>
        <v>0</v>
      </c>
      <c r="Z920" s="133" t="str">
        <f>IF(TYPE((VLOOKUP(Первоначальный[[#This Row],[Дата платежа]],График[Срок конец],1,0)))=16,"",1)</f>
        <v/>
      </c>
      <c r="AA920" s="57"/>
      <c r="AB920" s="134"/>
      <c r="AC92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2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65984.869999999937</v>
      </c>
      <c r="AE92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3018.9899999999925</v>
      </c>
      <c r="AF92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2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164828.49367540947</v>
      </c>
      <c r="AH920" s="55"/>
      <c r="AI920" s="55"/>
      <c r="AJ920" s="55"/>
      <c r="AK920" s="101">
        <f t="shared" ca="1" si="180"/>
        <v>383465.69367540942</v>
      </c>
      <c r="AL920" s="129">
        <f t="array" ref="AL920">MAX((УслРестрактов[Характеристика]="Дата реструктуризации")*(УслРестрактов[Значение]=Первоначальный!$A920),0)</f>
        <v>0</v>
      </c>
    </row>
    <row r="921" spans="1:38" x14ac:dyDescent="0.25">
      <c r="A921" s="97">
        <f t="shared" si="173"/>
        <v>45052</v>
      </c>
      <c r="B921" s="100">
        <f t="shared" ca="1" si="174"/>
        <v>149633.34</v>
      </c>
      <c r="C921" s="55">
        <f t="shared" ca="1" si="170"/>
        <v>65984.869999999937</v>
      </c>
      <c r="D921" s="55">
        <f t="shared" ca="1" si="170"/>
        <v>3018.9899999999925</v>
      </c>
      <c r="E921" s="55">
        <f t="shared" ca="1" si="175"/>
        <v>0</v>
      </c>
      <c r="F921" s="55">
        <f t="shared" ca="1" si="176"/>
        <v>164828.49367540947</v>
      </c>
      <c r="G921" s="101">
        <f t="shared" ca="1" si="177"/>
        <v>383465.69367540942</v>
      </c>
      <c r="H921" s="100">
        <f ca="1">ROUND($B921*VLOOKUP($A921,$A$1:$B$10,2,1)/(365+IF(MOD(YEAR($A921),4),0,1)*($A921-$A920)),2)-Первоначальный[[#This Row],[Проценты на просроченный платеж по ОД за период]]</f>
        <v>73.87</v>
      </c>
      <c r="I921" s="55">
        <f t="shared" ca="1" si="178"/>
        <v>7.71</v>
      </c>
      <c r="J921" s="55">
        <v>0</v>
      </c>
      <c r="K921" s="55">
        <f t="shared" ca="1" si="181"/>
        <v>391.02850327868845</v>
      </c>
      <c r="L921" s="55">
        <v>0</v>
      </c>
      <c r="M921" s="113">
        <f>SUMIFS(График[Возврат основной суммы долга],График[Дата с учетом нерабочих дней],$A921)</f>
        <v>0</v>
      </c>
      <c r="N921" s="56">
        <f>SUMIFS(График[Возврат начисленных %],График[Дата с учетом нерабочих дней],$A921)</f>
        <v>0</v>
      </c>
      <c r="O921" s="101">
        <v>0</v>
      </c>
      <c r="P921" s="100" cm="1">
        <f t="array" aca="1" ref="P921" ca="1">MAX(IF(AA920="Да",0,SUM(INDIRECT("M"&amp;(MAX(("Да"=AA$12:AA920)*ROW(AA$12:AA920)+1,ROW($P$12))&amp;":M"&amp;(ROW()))))-SUM(INDIRECT("W"&amp;(MAX(("Да"=AA$12:AA920)*ROW(AA$12:AA920)+1,ROW($P$12))&amp;":W"&amp;(ROW()))))),0)</f>
        <v>14143.740000000002</v>
      </c>
      <c r="Q921" s="99">
        <f ca="1">MAX(SUM($N$13:N921)-SUM($T$13:T921),0)</f>
        <v>64061.960655737683</v>
      </c>
      <c r="R921" s="99">
        <f ca="1">Первоначальный[[#This Row],[Просроченный платеж по ОД]]+Первоначальный[[#This Row],[Просроченный платеж по процентам]]</f>
        <v>78205.700655737688</v>
      </c>
      <c r="S921" s="120">
        <f ca="1">IF(Первоначальный[[#This Row],[Просроченный платеж]]&lt;1,0,S920+1)</f>
        <v>817</v>
      </c>
      <c r="T921" s="100" cm="1">
        <f t="array" aca="1" ref="T921" ca="1">IF(Первоначальный[[#This Row],[Итого остаток на начало периода]]&lt;1,0,
IF(
AND(TYPE(VLOOKUP(1,$Z$12:Z921,1,0))=16,Первоначальный[[#This Row],[Досрочное погашение (да/"")]]=""),0,
_xlfn.IFS(AND(S920=0,Первоначальный[[#This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платеж]]&lt;&gt;0),MIN(LOOKUP(,-1/($Z$12:Z921=1),$C$12:C921)+LOOKUP(,-1/($Z$12:Z921=1),$H$12:H921),Первоначальный[[#This Row],[Полученный платеж]]+Y920),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платеж]]+Y920,SUM(Первоначальный[[#This Row],[Остаток процентов на начало периода]],Первоначальный[[#This Row],[Проценты за период]])),
AND(S920=0,Первоначальный[[#This Row],[Дата платежа из графика]]=""),0,
AND(S920=0,Первоначальный[[#This Row],[Дата платежа из графика]]=1,MAX((0&lt;&gt;S$12:S920)*ROW(S$12:S920),ROW($S$12))&gt;=MAX((1=Z$12:Z920)*ROW(Z$12:Z920),ROW($T$12)),TYPE(VLOOKUP("Да",(INDIRECT("AA"&amp;(MAX((1=Z$12:Z920)*ROW(Z$12:Z920),ROW($T$12))&amp;":AA"&amp;(ROW()-1)))),1,0))=16),MIN(LOOKUP(,-1/($Z$12:Z921=1),$C$12:C921)+LOOKUP(,-1/($Z$12:Z921=1),$H$12:H921),Первоначальный[[#This Row],[Полученный платеж]]+Y920),
AND(S920=0,TYPE(VLOOKUP("Да",(INDIRECT("AA"&amp;(MAX((1=Z$12:Z920)*ROW(Z$12:Z920),ROW($T$12))&amp;":AA"&amp;(ROW()-1)))),1,0))&lt;&gt;16),MIN(LOOKUP(,-1/($Z$12:Z921=1),$C$12:C921)+LOOKUP(,-1/($Z$12:Z921=1),$H$12:H921)-IF(AA920="Да",0,SUM(INDIRECT("T"&amp;(MAX(("Да"=AA$12:AA920)*ROW(AA$12:AA920)+1,ROW($T$12))&amp;":T"&amp;(ROW()-1))))),Первоначальный[[#This Row],[Полученный платеж]]+Y920),
AND(S920=0,MAX((0&lt;&gt;N$12:N920)*ROW(N$12:N920),ROW($S$12))&gt;=MAX((1=Z$12:Z920)*ROW(Z$12:Z920),ROW($T$12))),MIN(LOOKUP(,-1/($Z$12:Z921=1),$C$12:C921)+LOOKUP(,-1/($Z$12:Z921=1),$H$12:H921)-IF(N920&lt;&gt;0,0,SUM(INDIRECT("T"&amp;(MAX((0&lt;&gt;N$12:N920)*ROW(N$12:N920)+1,ROW($T$12))&amp;":T"&amp;(ROW()-1))))),Первоначальный[[#This Row],[Полученный платеж]]+Y920),
AND(S920=0,Первоначальный[[#This Row],[Дата платежа из графика]]=1),MIN(LOOKUP(,-1/($Z$12:Z921=1),$C$12:C921)+LOOKUP(,-1/($Z$12:Z921=1),$H$12:H921)-IF(Z920=1,0,SUM(INDIRECT("T"&amp;(MAX((1=Z$12:Z920)*ROW(Z$12:Z920)+1,ROW($T$12))&amp;":T"&amp;(ROW()-1))))),Первоначальный[[#This Row],[Полученный платеж]]+Y920),
AND(Z920&gt;0,Первоначальный[[#This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платеж]]+Y920),
AND(S920&gt;0,MAX((0&lt;&gt;S$12:S920)*ROW(S$12:S920),ROW($S$12))&gt;=MAX((1=Z$12:Z920)*ROW(Z$12:Z920),ROW($T$12)),TYPE(VLOOKUP("Да",(INDIRECT("AA"&amp;(MAX((1=Z$12:Z920)*ROW(Z$12:Z920),ROW($T$12))&amp;":AA"&amp;(ROW()-1)))),1,0))=16),MIN(LOOKUP(,-1/($Z$12:Z921=1),$C$12:C921)+LOOKUP(,-1/($Z$12:Z921=1),$H$12:H921)-SUM(INDIRECT("T"&amp;(MAX((1=Z$12:Z920)*ROW(Z$12:Z920),ROW($T$12))&amp;":T"&amp;(ROW()-1)))),Первоначальный[[#This Row],[Полученный платеж]]+Y920),
S920&gt;0,MIN(LOOKUP(,-1/($Z$12:Z921=1),$C$12:C921)+LOOKUP(,-1/($Z$12:Z921=1),$H$12:H921)-IF(Z920=1,0,SUM(INDIRECT("T"&amp;(MAX((1=Z$12:Z920)*ROW(Z$12:Z920)+1,ROW($T$12))&amp;":T"&amp;(ROW()-1))))),Первоначальный[[#This Row],[Полученный платеж]]+Y920)
)
)
)</f>
        <v>0</v>
      </c>
      <c r="U92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платеж]]+Y920-Первоначальный[[#This Row],[Полученный платёж по процентам]])</f>
        <v>0</v>
      </c>
      <c r="V921" s="55">
        <f t="shared" ca="1" si="171"/>
        <v>0</v>
      </c>
      <c r="W921" s="55" cm="1">
        <f t="array" aca="1" ref="W921" ca="1">IF(Первоначальный[[#This Row],[Итого остаток на начало периода]]&lt;1,0,
_xlfn.IFS(
AND(TYPE(VLOOKUP(1,$Z$12:Z921,1,0))=16,Первоначальный[[#This Row],[Досрочное погашение (да/"")]]=""),0,
AND(S920=0,Первоначальный[[#This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платеж]]+Y920-SUM(Первоначальный[[#This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комиссиям]]),VLOOKUP(LOOKUP(,-1/($Z$12:Z921=1),$A$12:A921),График[[Срок конец]:[Возврат основной суммы долга]],3,0)),
AND(S920=0,Первоначальный[[#This Row],[Дата платежа из графика]]="",Первоначальный[[#This Row],[Досрочное погашение (да/"")]]&lt;&gt;"Да"),0,
AND(S920=0,Первоначальный[[#This Row],[Досрочное погашение (да/"")]]=""),MIN(Первоначальный[[#This Row],[Полученный платеж]]+Y920-SUM(Первоначальный[[#This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комиссиям]]),VLOOKUP(LOOKUP(,-1/($Z$12:Z921=1),$A$12:A921),График[[Срок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платеж]]+Y920-SUM(Первоначальный[[#This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S920&gt;0,MIN(Первоначальный[[#This Row],[Полученный платеж]]+Y920-SUM(Первоначальный[[#This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комиссиям]]),SUM(INDIRECT("M"&amp;(MAX((1=S$12:S920)*ROW(S$12:S920),ROW($W$12))&amp;":M"&amp;(ROW()))))-SUM(INDIRECT("W"&amp;(MAX((1=S$12:S920)*ROW(S$12:S920),ROW($W$12))&amp;":W"&amp;(ROW()-1)))))
)
)</f>
        <v>0</v>
      </c>
      <c r="X921" s="55">
        <f t="shared" ca="1" si="172"/>
        <v>0</v>
      </c>
      <c r="Y921" s="101">
        <f t="shared" ca="1" si="179"/>
        <v>0</v>
      </c>
      <c r="Z921" s="133" t="str">
        <f>IF(TYPE((VLOOKUP(Первоначальный[[#This Row],[Дата платежа]],График[Срок конец],1,0)))=16,"",1)</f>
        <v/>
      </c>
      <c r="AA921" s="57"/>
      <c r="AB921" s="134"/>
      <c r="AC92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2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66058.739999999932</v>
      </c>
      <c r="AE92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3026.6999999999925</v>
      </c>
      <c r="AF92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2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165219.52217868814</v>
      </c>
      <c r="AH921" s="55"/>
      <c r="AI921" s="55"/>
      <c r="AJ921" s="55"/>
      <c r="AK921" s="101">
        <f t="shared" ca="1" si="180"/>
        <v>383938.30217868806</v>
      </c>
      <c r="AL921" s="129">
        <f t="array" ref="AL921">MAX((УслРестрактов[Характеристика]="Дата реструктуризации")*(УслРестрактов[Значение]=Первоначальный!$A921),0)</f>
        <v>0</v>
      </c>
    </row>
    <row r="922" spans="1:38" x14ac:dyDescent="0.25">
      <c r="A922" s="97">
        <f t="shared" si="173"/>
        <v>45053</v>
      </c>
      <c r="B922" s="100">
        <f t="shared" ca="1" si="174"/>
        <v>149633.34</v>
      </c>
      <c r="C922" s="55">
        <f t="shared" ca="1" si="170"/>
        <v>66058.739999999932</v>
      </c>
      <c r="D922" s="55">
        <f t="shared" ca="1" si="170"/>
        <v>3026.6999999999925</v>
      </c>
      <c r="E922" s="55">
        <f t="shared" ca="1" si="175"/>
        <v>0</v>
      </c>
      <c r="F922" s="55">
        <f t="shared" ca="1" si="176"/>
        <v>165219.52217868814</v>
      </c>
      <c r="G922" s="101">
        <f t="shared" ca="1" si="177"/>
        <v>383938.30217868806</v>
      </c>
      <c r="H922" s="100">
        <f ca="1">ROUND($B922*VLOOKUP($A922,$A$1:$B$10,2,1)/(365+IF(MOD(YEAR($A922),4),0,1)*($A922-$A921)),2)-Первоначальный[[#This Row],[Проценты на просроченный платеж по ОД за период]]</f>
        <v>73.87</v>
      </c>
      <c r="I922" s="55">
        <f t="shared" ca="1" si="178"/>
        <v>7.71</v>
      </c>
      <c r="J922" s="55">
        <v>0</v>
      </c>
      <c r="K922" s="55">
        <f t="shared" ca="1" si="181"/>
        <v>391.02850327868845</v>
      </c>
      <c r="L922" s="55">
        <v>0</v>
      </c>
      <c r="M922" s="113">
        <f>SUMIFS(График[Возврат основной суммы долга],График[Дата с учетом нерабочих дней],$A922)</f>
        <v>0</v>
      </c>
      <c r="N922" s="56">
        <f>SUMIFS(График[Возврат начисленных %],График[Дата с учетом нерабочих дней],$A922)</f>
        <v>0</v>
      </c>
      <c r="O922" s="101">
        <v>0</v>
      </c>
      <c r="P922" s="100" cm="1">
        <f t="array" aca="1" ref="P922" ca="1">MAX(IF(AA921="Да",0,SUM(INDIRECT("M"&amp;(MAX(("Да"=AA$12:AA921)*ROW(AA$12:AA921)+1,ROW($P$12))&amp;":M"&amp;(ROW()))))-SUM(INDIRECT("W"&amp;(MAX(("Да"=AA$12:AA921)*ROW(AA$12:AA921)+1,ROW($P$12))&amp;":W"&amp;(ROW()))))),0)</f>
        <v>14143.740000000002</v>
      </c>
      <c r="Q922" s="99">
        <f ca="1">MAX(SUM($N$13:N922)-SUM($T$13:T922),0)</f>
        <v>64061.960655737683</v>
      </c>
      <c r="R922" s="99">
        <f ca="1">Первоначальный[[#This Row],[Просроченный платеж по ОД]]+Первоначальный[[#This Row],[Просроченный платеж по процентам]]</f>
        <v>78205.700655737688</v>
      </c>
      <c r="S922" s="120">
        <f ca="1">IF(Первоначальный[[#This Row],[Просроченный платеж]]&lt;1,0,S921+1)</f>
        <v>818</v>
      </c>
      <c r="T922" s="100" cm="1">
        <f t="array" aca="1" ref="T922" ca="1">IF(Первоначальный[[#This Row],[Итого остаток на начало периода]]&lt;1,0,
IF(
AND(TYPE(VLOOKUP(1,$Z$12:Z922,1,0))=16,Первоначальный[[#This Row],[Досрочное погашение (да/"")]]=""),0,
_xlfn.IFS(AND(S921=0,Первоначальный[[#This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платеж]]&lt;&gt;0),MIN(LOOKUP(,-1/($Z$12:Z922=1),$C$12:C922)+LOOKUP(,-1/($Z$12:Z922=1),$H$12:H922),Первоначальный[[#This Row],[Полученный платеж]]+Y921),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платеж]]+Y921,SUM(Первоначальный[[#This Row],[Остаток процентов на начало периода]],Первоначальный[[#This Row],[Проценты за период]])),
AND(S921=0,Первоначальный[[#This Row],[Дата платежа из графика]]=""),0,
AND(S921=0,Первоначальный[[#This Row],[Дата платежа из графика]]=1,MAX((0&lt;&gt;S$12:S921)*ROW(S$12:S921),ROW($S$12))&gt;=MAX((1=Z$12:Z921)*ROW(Z$12:Z921),ROW($T$12)),TYPE(VLOOKUP("Да",(INDIRECT("AA"&amp;(MAX((1=Z$12:Z921)*ROW(Z$12:Z921),ROW($T$12))&amp;":AA"&amp;(ROW()-1)))),1,0))=16),MIN(LOOKUP(,-1/($Z$12:Z922=1),$C$12:C922)+LOOKUP(,-1/($Z$12:Z922=1),$H$12:H922),Первоначальный[[#This Row],[Полученный платеж]]+Y921),
AND(S921=0,TYPE(VLOOKUP("Да",(INDIRECT("AA"&amp;(MAX((1=Z$12:Z921)*ROW(Z$12:Z921),ROW($T$12))&amp;":AA"&amp;(ROW()-1)))),1,0))&lt;&gt;16),MIN(LOOKUP(,-1/($Z$12:Z922=1),$C$12:C922)+LOOKUP(,-1/($Z$12:Z922=1),$H$12:H922)-IF(AA921="Да",0,SUM(INDIRECT("T"&amp;(MAX(("Да"=AA$12:AA921)*ROW(AA$12:AA921)+1,ROW($T$12))&amp;":T"&amp;(ROW()-1))))),Первоначальный[[#This Row],[Полученный платеж]]+Y921),
AND(S921=0,MAX((0&lt;&gt;N$12:N921)*ROW(N$12:N921),ROW($S$12))&gt;=MAX((1=Z$12:Z921)*ROW(Z$12:Z921),ROW($T$12))),MIN(LOOKUP(,-1/($Z$12:Z922=1),$C$12:C922)+LOOKUP(,-1/($Z$12:Z922=1),$H$12:H922)-IF(N921&lt;&gt;0,0,SUM(INDIRECT("T"&amp;(MAX((0&lt;&gt;N$12:N921)*ROW(N$12:N921)+1,ROW($T$12))&amp;":T"&amp;(ROW()-1))))),Первоначальный[[#This Row],[Полученный платеж]]+Y921),
AND(S921=0,Первоначальный[[#This Row],[Дата платежа из графика]]=1),MIN(LOOKUP(,-1/($Z$12:Z922=1),$C$12:C922)+LOOKUP(,-1/($Z$12:Z922=1),$H$12:H922)-IF(Z921=1,0,SUM(INDIRECT("T"&amp;(MAX((1=Z$12:Z921)*ROW(Z$12:Z921)+1,ROW($T$12))&amp;":T"&amp;(ROW()-1))))),Первоначальный[[#This Row],[Полученный платеж]]+Y921),
AND(Z921&gt;0,Первоначальный[[#This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платеж]]+Y921),
AND(S921&gt;0,MAX((0&lt;&gt;S$12:S921)*ROW(S$12:S921),ROW($S$12))&gt;=MAX((1=Z$12:Z921)*ROW(Z$12:Z921),ROW($T$12)),TYPE(VLOOKUP("Да",(INDIRECT("AA"&amp;(MAX((1=Z$12:Z921)*ROW(Z$12:Z921),ROW($T$12))&amp;":AA"&amp;(ROW()-1)))),1,0))=16),MIN(LOOKUP(,-1/($Z$12:Z922=1),$C$12:C922)+LOOKUP(,-1/($Z$12:Z922=1),$H$12:H922)-SUM(INDIRECT("T"&amp;(MAX((1=Z$12:Z921)*ROW(Z$12:Z921),ROW($T$12))&amp;":T"&amp;(ROW()-1)))),Первоначальный[[#This Row],[Полученный платеж]]+Y921),
S921&gt;0,MIN(LOOKUP(,-1/($Z$12:Z922=1),$C$12:C922)+LOOKUP(,-1/($Z$12:Z922=1),$H$12:H922)-IF(Z921=1,0,SUM(INDIRECT("T"&amp;(MAX((1=Z$12:Z921)*ROW(Z$12:Z921)+1,ROW($T$12))&amp;":T"&amp;(ROW()-1))))),Первоначальный[[#This Row],[Полученный платеж]]+Y921)
)
)
)</f>
        <v>0</v>
      </c>
      <c r="U92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платеж]]+Y921-Первоначальный[[#This Row],[Полученный платёж по процентам]])</f>
        <v>0</v>
      </c>
      <c r="V922" s="55">
        <f t="shared" ca="1" si="171"/>
        <v>0</v>
      </c>
      <c r="W922" s="55" cm="1">
        <f t="array" aca="1" ref="W922" ca="1">IF(Первоначальный[[#This Row],[Итого остаток на начало периода]]&lt;1,0,
_xlfn.IFS(
AND(TYPE(VLOOKUP(1,$Z$12:Z922,1,0))=16,Первоначальный[[#This Row],[Досрочное погашение (да/"")]]=""),0,
AND(S921=0,Первоначальный[[#This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платеж]]+Y921-SUM(Первоначальный[[#This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комиссиям]]),VLOOKUP(LOOKUP(,-1/($Z$12:Z922=1),$A$12:A922),График[[Срок конец]:[Возврат основной суммы долга]],3,0)),
AND(S921=0,Первоначальный[[#This Row],[Дата платежа из графика]]="",Первоначальный[[#This Row],[Досрочное погашение (да/"")]]&lt;&gt;"Да"),0,
AND(S921=0,Первоначальный[[#This Row],[Досрочное погашение (да/"")]]=""),MIN(Первоначальный[[#This Row],[Полученный платеж]]+Y921-SUM(Первоначальный[[#This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комиссиям]]),VLOOKUP(LOOKUP(,-1/($Z$12:Z922=1),$A$12:A922),График[[Срок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платеж]]+Y921-SUM(Первоначальный[[#This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S921&gt;0,MIN(Первоначальный[[#This Row],[Полученный платеж]]+Y921-SUM(Первоначальный[[#This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комиссиям]]),SUM(INDIRECT("M"&amp;(MAX((1=S$12:S921)*ROW(S$12:S921),ROW($W$12))&amp;":M"&amp;(ROW()))))-SUM(INDIRECT("W"&amp;(MAX((1=S$12:S921)*ROW(S$12:S921),ROW($W$12))&amp;":W"&amp;(ROW()-1)))))
)
)</f>
        <v>0</v>
      </c>
      <c r="X922" s="55">
        <f t="shared" ca="1" si="172"/>
        <v>0</v>
      </c>
      <c r="Y922" s="101">
        <f t="shared" ca="1" si="179"/>
        <v>0</v>
      </c>
      <c r="Z922" s="133" t="str">
        <f>IF(TYPE((VLOOKUP(Первоначальный[[#This Row],[Дата платежа]],График[Срок конец],1,0)))=16,"",1)</f>
        <v/>
      </c>
      <c r="AA922" s="57"/>
      <c r="AB922" s="134"/>
      <c r="AC92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2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66132.609999999928</v>
      </c>
      <c r="AE92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3034.4099999999926</v>
      </c>
      <c r="AF92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2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165610.55068196682</v>
      </c>
      <c r="AH922" s="55"/>
      <c r="AI922" s="55"/>
      <c r="AJ922" s="55"/>
      <c r="AK922" s="101">
        <f t="shared" ca="1" si="180"/>
        <v>384410.91068196675</v>
      </c>
      <c r="AL922" s="129">
        <f t="array" ref="AL922">MAX((УслРестрактов[Характеристика]="Дата реструктуризации")*(УслРестрактов[Значение]=Первоначальный!$A922),0)</f>
        <v>0</v>
      </c>
    </row>
    <row r="923" spans="1:38" x14ac:dyDescent="0.25">
      <c r="A923" s="97">
        <f t="shared" si="173"/>
        <v>45054</v>
      </c>
      <c r="B923" s="100">
        <f t="shared" ca="1" si="174"/>
        <v>149633.34</v>
      </c>
      <c r="C923" s="55">
        <f t="shared" ca="1" si="170"/>
        <v>66132.609999999928</v>
      </c>
      <c r="D923" s="55">
        <f t="shared" ca="1" si="170"/>
        <v>3034.4099999999926</v>
      </c>
      <c r="E923" s="55">
        <f t="shared" ca="1" si="175"/>
        <v>0</v>
      </c>
      <c r="F923" s="55">
        <f t="shared" ca="1" si="176"/>
        <v>165610.55068196682</v>
      </c>
      <c r="G923" s="101">
        <f t="shared" ca="1" si="177"/>
        <v>384410.91068196675</v>
      </c>
      <c r="H923" s="100">
        <f ca="1">ROUND($B923*VLOOKUP($A923,$A$1:$B$10,2,1)/(365+IF(MOD(YEAR($A923),4),0,1)*($A923-$A922)),2)-Первоначальный[[#This Row],[Проценты на просроченный платеж по ОД за период]]</f>
        <v>73.87</v>
      </c>
      <c r="I923" s="55">
        <f t="shared" ca="1" si="178"/>
        <v>7.71</v>
      </c>
      <c r="J923" s="55">
        <v>0</v>
      </c>
      <c r="K923" s="55">
        <f t="shared" ca="1" si="181"/>
        <v>391.02850327868845</v>
      </c>
      <c r="L923" s="55">
        <v>0</v>
      </c>
      <c r="M923" s="113">
        <f>SUMIFS(График[Возврат основной суммы долга],График[Дата с учетом нерабочих дней],$A923)</f>
        <v>0</v>
      </c>
      <c r="N923" s="56">
        <f>SUMIFS(График[Возврат начисленных %],График[Дата с учетом нерабочих дней],$A923)</f>
        <v>0</v>
      </c>
      <c r="O923" s="101">
        <v>0</v>
      </c>
      <c r="P923" s="100" cm="1">
        <f t="array" aca="1" ref="P923" ca="1">MAX(IF(AA922="Да",0,SUM(INDIRECT("M"&amp;(MAX(("Да"=AA$12:AA922)*ROW(AA$12:AA922)+1,ROW($P$12))&amp;":M"&amp;(ROW()))))-SUM(INDIRECT("W"&amp;(MAX(("Да"=AA$12:AA922)*ROW(AA$12:AA922)+1,ROW($P$12))&amp;":W"&amp;(ROW()))))),0)</f>
        <v>14143.740000000002</v>
      </c>
      <c r="Q923" s="99">
        <f ca="1">MAX(SUM($N$13:N923)-SUM($T$13:T923),0)</f>
        <v>64061.960655737683</v>
      </c>
      <c r="R923" s="99">
        <f ca="1">Первоначальный[[#This Row],[Просроченный платеж по ОД]]+Первоначальный[[#This Row],[Просроченный платеж по процентам]]</f>
        <v>78205.700655737688</v>
      </c>
      <c r="S923" s="120">
        <f ca="1">IF(Первоначальный[[#This Row],[Просроченный платеж]]&lt;1,0,S922+1)</f>
        <v>819</v>
      </c>
      <c r="T923" s="100" cm="1">
        <f t="array" aca="1" ref="T923" ca="1">IF(Первоначальный[[#This Row],[Итого остаток на начало периода]]&lt;1,0,
IF(
AND(TYPE(VLOOKUP(1,$Z$12:Z923,1,0))=16,Первоначальный[[#This Row],[Досрочное погашение (да/"")]]=""),0,
_xlfn.IFS(AND(S922=0,Первоначальный[[#This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платеж]]&lt;&gt;0),MIN(LOOKUP(,-1/($Z$12:Z923=1),$C$12:C923)+LOOKUP(,-1/($Z$12:Z923=1),$H$12:H923),Первоначальный[[#This Row],[Полученный платеж]]+Y922),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платеж]]+Y922,SUM(Первоначальный[[#This Row],[Остаток процентов на начало периода]],Первоначальный[[#This Row],[Проценты за период]])),
AND(S922=0,Первоначальный[[#This Row],[Дата платежа из графика]]=""),0,
AND(S922=0,Первоначальный[[#This Row],[Дата платежа из графика]]=1,MAX((0&lt;&gt;S$12:S922)*ROW(S$12:S922),ROW($S$12))&gt;=MAX((1=Z$12:Z922)*ROW(Z$12:Z922),ROW($T$12)),TYPE(VLOOKUP("Да",(INDIRECT("AA"&amp;(MAX((1=Z$12:Z922)*ROW(Z$12:Z922),ROW($T$12))&amp;":AA"&amp;(ROW()-1)))),1,0))=16),MIN(LOOKUP(,-1/($Z$12:Z923=1),$C$12:C923)+LOOKUP(,-1/($Z$12:Z923=1),$H$12:H923),Первоначальный[[#This Row],[Полученный платеж]]+Y922),
AND(S922=0,TYPE(VLOOKUP("Да",(INDIRECT("AA"&amp;(MAX((1=Z$12:Z922)*ROW(Z$12:Z922),ROW($T$12))&amp;":AA"&amp;(ROW()-1)))),1,0))&lt;&gt;16),MIN(LOOKUP(,-1/($Z$12:Z923=1),$C$12:C923)+LOOKUP(,-1/($Z$12:Z923=1),$H$12:H923)-IF(AA922="Да",0,SUM(INDIRECT("T"&amp;(MAX(("Да"=AA$12:AA922)*ROW(AA$12:AA922)+1,ROW($T$12))&amp;":T"&amp;(ROW()-1))))),Первоначальный[[#This Row],[Полученный платеж]]+Y922),
AND(S922=0,MAX((0&lt;&gt;N$12:N922)*ROW(N$12:N922),ROW($S$12))&gt;=MAX((1=Z$12:Z922)*ROW(Z$12:Z922),ROW($T$12))),MIN(LOOKUP(,-1/($Z$12:Z923=1),$C$12:C923)+LOOKUP(,-1/($Z$12:Z923=1),$H$12:H923)-IF(N922&lt;&gt;0,0,SUM(INDIRECT("T"&amp;(MAX((0&lt;&gt;N$12:N922)*ROW(N$12:N922)+1,ROW($T$12))&amp;":T"&amp;(ROW()-1))))),Первоначальный[[#This Row],[Полученный платеж]]+Y922),
AND(S922=0,Первоначальный[[#This Row],[Дата платежа из графика]]=1),MIN(LOOKUP(,-1/($Z$12:Z923=1),$C$12:C923)+LOOKUP(,-1/($Z$12:Z923=1),$H$12:H923)-IF(Z922=1,0,SUM(INDIRECT("T"&amp;(MAX((1=Z$12:Z922)*ROW(Z$12:Z922)+1,ROW($T$12))&amp;":T"&amp;(ROW()-1))))),Первоначальный[[#This Row],[Полученный платеж]]+Y922),
AND(Z922&gt;0,Первоначальный[[#This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платеж]]+Y922),
AND(S922&gt;0,MAX((0&lt;&gt;S$12:S922)*ROW(S$12:S922),ROW($S$12))&gt;=MAX((1=Z$12:Z922)*ROW(Z$12:Z922),ROW($T$12)),TYPE(VLOOKUP("Да",(INDIRECT("AA"&amp;(MAX((1=Z$12:Z922)*ROW(Z$12:Z922),ROW($T$12))&amp;":AA"&amp;(ROW()-1)))),1,0))=16),MIN(LOOKUP(,-1/($Z$12:Z923=1),$C$12:C923)+LOOKUP(,-1/($Z$12:Z923=1),$H$12:H923)-SUM(INDIRECT("T"&amp;(MAX((1=Z$12:Z922)*ROW(Z$12:Z922),ROW($T$12))&amp;":T"&amp;(ROW()-1)))),Первоначальный[[#This Row],[Полученный платеж]]+Y922),
S922&gt;0,MIN(LOOKUP(,-1/($Z$12:Z923=1),$C$12:C923)+LOOKUP(,-1/($Z$12:Z923=1),$H$12:H923)-IF(Z922=1,0,SUM(INDIRECT("T"&amp;(MAX((1=Z$12:Z922)*ROW(Z$12:Z922)+1,ROW($T$12))&amp;":T"&amp;(ROW()-1))))),Первоначальный[[#This Row],[Полученный платеж]]+Y922)
)
)
)</f>
        <v>0</v>
      </c>
      <c r="U92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платеж]]+Y922-Первоначальный[[#This Row],[Полученный платёж по процентам]])</f>
        <v>0</v>
      </c>
      <c r="V923" s="55">
        <f t="shared" ca="1" si="171"/>
        <v>0</v>
      </c>
      <c r="W923" s="55" cm="1">
        <f t="array" aca="1" ref="W923" ca="1">IF(Первоначальный[[#This Row],[Итого остаток на начало периода]]&lt;1,0,
_xlfn.IFS(
AND(TYPE(VLOOKUP(1,$Z$12:Z923,1,0))=16,Первоначальный[[#This Row],[Досрочное погашение (да/"")]]=""),0,
AND(S922=0,Первоначальный[[#This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платеж]]+Y922-SUM(Первоначальный[[#This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комиссиям]]),VLOOKUP(LOOKUP(,-1/($Z$12:Z923=1),$A$12:A923),График[[Срок конец]:[Возврат основной суммы долга]],3,0)),
AND(S922=0,Первоначальный[[#This Row],[Дата платежа из графика]]="",Первоначальный[[#This Row],[Досрочное погашение (да/"")]]&lt;&gt;"Да"),0,
AND(S922=0,Первоначальный[[#This Row],[Досрочное погашение (да/"")]]=""),MIN(Первоначальный[[#This Row],[Полученный платеж]]+Y922-SUM(Первоначальный[[#This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комиссиям]]),VLOOKUP(LOOKUP(,-1/($Z$12:Z923=1),$A$12:A923),График[[Срок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платеж]]+Y922-SUM(Первоначальный[[#This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S922&gt;0,MIN(Первоначальный[[#This Row],[Полученный платеж]]+Y922-SUM(Первоначальный[[#This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комиссиям]]),SUM(INDIRECT("M"&amp;(MAX((1=S$12:S922)*ROW(S$12:S922),ROW($W$12))&amp;":M"&amp;(ROW()))))-SUM(INDIRECT("W"&amp;(MAX((1=S$12:S922)*ROW(S$12:S922),ROW($W$12))&amp;":W"&amp;(ROW()-1)))))
)
)</f>
        <v>0</v>
      </c>
      <c r="X923" s="55">
        <f t="shared" ca="1" si="172"/>
        <v>0</v>
      </c>
      <c r="Y923" s="101">
        <f t="shared" ca="1" si="179"/>
        <v>0</v>
      </c>
      <c r="Z923" s="133" t="str">
        <f>IF(TYPE((VLOOKUP(Первоначальный[[#This Row],[Дата платежа]],График[Срок конец],1,0)))=16,"",1)</f>
        <v/>
      </c>
      <c r="AA923" s="57"/>
      <c r="AB923" s="134"/>
      <c r="AC92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2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66206.479999999923</v>
      </c>
      <c r="AE92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3042.1199999999926</v>
      </c>
      <c r="AF92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2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166001.5791852455</v>
      </c>
      <c r="AH923" s="55"/>
      <c r="AI923" s="55"/>
      <c r="AJ923" s="55"/>
      <c r="AK923" s="101">
        <f t="shared" ca="1" si="180"/>
        <v>384883.51918524539</v>
      </c>
      <c r="AL923" s="129">
        <f t="array" ref="AL923">MAX((УслРестрактов[Характеристика]="Дата реструктуризации")*(УслРестрактов[Значение]=Первоначальный!$A923),0)</f>
        <v>0</v>
      </c>
    </row>
    <row r="924" spans="1:38" x14ac:dyDescent="0.25">
      <c r="A924" s="97">
        <f t="shared" si="173"/>
        <v>45055</v>
      </c>
      <c r="B924" s="100">
        <f t="shared" ca="1" si="174"/>
        <v>149633.34</v>
      </c>
      <c r="C924" s="55">
        <f t="shared" ca="1" si="170"/>
        <v>66206.479999999923</v>
      </c>
      <c r="D924" s="55">
        <f t="shared" ca="1" si="170"/>
        <v>3042.1199999999926</v>
      </c>
      <c r="E924" s="55">
        <f t="shared" ca="1" si="175"/>
        <v>0</v>
      </c>
      <c r="F924" s="55">
        <f t="shared" ca="1" si="176"/>
        <v>166001.5791852455</v>
      </c>
      <c r="G924" s="101">
        <f t="shared" ca="1" si="177"/>
        <v>384883.51918524539</v>
      </c>
      <c r="H924" s="100">
        <f ca="1">ROUND($B924*VLOOKUP($A924,$A$1:$B$10,2,1)/(365+IF(MOD(YEAR($A924),4),0,1)*($A924-$A923)),2)-Первоначальный[[#This Row],[Проценты на просроченный платеж по ОД за период]]</f>
        <v>73.87</v>
      </c>
      <c r="I924" s="55">
        <f t="shared" ca="1" si="178"/>
        <v>7.71</v>
      </c>
      <c r="J924" s="55">
        <v>0</v>
      </c>
      <c r="K924" s="55">
        <f t="shared" ca="1" si="181"/>
        <v>405.51350327868846</v>
      </c>
      <c r="L924" s="55">
        <v>0</v>
      </c>
      <c r="M924" s="113">
        <f>SUMIFS(График[Возврат основной суммы долга],График[Дата с учетом нерабочих дней],$A924)</f>
        <v>680.90999999999985</v>
      </c>
      <c r="N924" s="56">
        <f>SUMIFS(График[Возврат начисленных %],График[Дата с учетом нерабочих дней],$A924)</f>
        <v>2216.09</v>
      </c>
      <c r="O924" s="101">
        <v>0</v>
      </c>
      <c r="P924" s="100" cm="1">
        <f t="array" aca="1" ref="P924" ca="1">MAX(IF(AA923="Да",0,SUM(INDIRECT("M"&amp;(MAX(("Да"=AA$12:AA923)*ROW(AA$12:AA923)+1,ROW($P$12))&amp;":M"&amp;(ROW()))))-SUM(INDIRECT("W"&amp;(MAX(("Да"=AA$12:AA923)*ROW(AA$12:AA923)+1,ROW($P$12))&amp;":W"&amp;(ROW()))))),0)</f>
        <v>14824.650000000001</v>
      </c>
      <c r="Q924" s="99">
        <f ca="1">MAX(SUM($N$13:N924)-SUM($T$13:T924),0)</f>
        <v>66278.050655737679</v>
      </c>
      <c r="R924" s="99">
        <f ca="1">Первоначальный[[#This Row],[Просроченный платеж по ОД]]+Первоначальный[[#This Row],[Просроченный платеж по процентам]]</f>
        <v>81102.700655737688</v>
      </c>
      <c r="S924" s="120">
        <f ca="1">IF(Первоначальный[[#This Row],[Просроченный платеж]]&lt;1,0,S923+1)</f>
        <v>820</v>
      </c>
      <c r="T924" s="100" cm="1">
        <f t="array" aca="1" ref="T924" ca="1">IF(Первоначальный[[#This Row],[Итого остаток на начало периода]]&lt;1,0,
IF(
AND(TYPE(VLOOKUP(1,$Z$12:Z924,1,0))=16,Первоначальный[[#This Row],[Досрочное погашение (да/"")]]=""),0,
_xlfn.IFS(AND(S923=0,Первоначальный[[#This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платеж]]&lt;&gt;0),MIN(LOOKUP(,-1/($Z$12:Z924=1),$C$12:C924)+LOOKUP(,-1/($Z$12:Z924=1),$H$12:H924),Первоначальный[[#This Row],[Полученный платеж]]+Y923),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платеж]]+Y923,SUM(Первоначальный[[#This Row],[Остаток процентов на начало периода]],Первоначальный[[#This Row],[Проценты за период]])),
AND(S923=0,Первоначальный[[#This Row],[Дата платежа из графика]]=""),0,
AND(S923=0,Первоначальный[[#This Row],[Дата платежа из графика]]=1,MAX((0&lt;&gt;S$12:S923)*ROW(S$12:S923),ROW($S$12))&gt;=MAX((1=Z$12:Z923)*ROW(Z$12:Z923),ROW($T$12)),TYPE(VLOOKUP("Да",(INDIRECT("AA"&amp;(MAX((1=Z$12:Z923)*ROW(Z$12:Z923),ROW($T$12))&amp;":AA"&amp;(ROW()-1)))),1,0))=16),MIN(LOOKUP(,-1/($Z$12:Z924=1),$C$12:C924)+LOOKUP(,-1/($Z$12:Z924=1),$H$12:H924),Первоначальный[[#This Row],[Полученный платеж]]+Y923),
AND(S923=0,TYPE(VLOOKUP("Да",(INDIRECT("AA"&amp;(MAX((1=Z$12:Z923)*ROW(Z$12:Z923),ROW($T$12))&amp;":AA"&amp;(ROW()-1)))),1,0))&lt;&gt;16),MIN(LOOKUP(,-1/($Z$12:Z924=1),$C$12:C924)+LOOKUP(,-1/($Z$12:Z924=1),$H$12:H924)-IF(AA923="Да",0,SUM(INDIRECT("T"&amp;(MAX(("Да"=AA$12:AA923)*ROW(AA$12:AA923)+1,ROW($T$12))&amp;":T"&amp;(ROW()-1))))),Первоначальный[[#This Row],[Полученный платеж]]+Y923),
AND(S923=0,MAX((0&lt;&gt;N$12:N923)*ROW(N$12:N923),ROW($S$12))&gt;=MAX((1=Z$12:Z923)*ROW(Z$12:Z923),ROW($T$12))),MIN(LOOKUP(,-1/($Z$12:Z924=1),$C$12:C924)+LOOKUP(,-1/($Z$12:Z924=1),$H$12:H924)-IF(N923&lt;&gt;0,0,SUM(INDIRECT("T"&amp;(MAX((0&lt;&gt;N$12:N923)*ROW(N$12:N923)+1,ROW($T$12))&amp;":T"&amp;(ROW()-1))))),Первоначальный[[#This Row],[Полученный платеж]]+Y923),
AND(S923=0,Первоначальный[[#This Row],[Дата платежа из графика]]=1),MIN(LOOKUP(,-1/($Z$12:Z924=1),$C$12:C924)+LOOKUP(,-1/($Z$12:Z924=1),$H$12:H924)-IF(Z923=1,0,SUM(INDIRECT("T"&amp;(MAX((1=Z$12:Z923)*ROW(Z$12:Z923)+1,ROW($T$12))&amp;":T"&amp;(ROW()-1))))),Первоначальный[[#This Row],[Полученный платеж]]+Y923),
AND(Z923&gt;0,Первоначальный[[#This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платеж]]+Y923),
AND(S923&gt;0,MAX((0&lt;&gt;S$12:S923)*ROW(S$12:S923),ROW($S$12))&gt;=MAX((1=Z$12:Z923)*ROW(Z$12:Z923),ROW($T$12)),TYPE(VLOOKUP("Да",(INDIRECT("AA"&amp;(MAX((1=Z$12:Z923)*ROW(Z$12:Z923),ROW($T$12))&amp;":AA"&amp;(ROW()-1)))),1,0))=16),MIN(LOOKUP(,-1/($Z$12:Z924=1),$C$12:C924)+LOOKUP(,-1/($Z$12:Z924=1),$H$12:H924)-SUM(INDIRECT("T"&amp;(MAX((1=Z$12:Z923)*ROW(Z$12:Z923),ROW($T$12))&amp;":T"&amp;(ROW()-1)))),Первоначальный[[#This Row],[Полученный платеж]]+Y923),
S923&gt;0,MIN(LOOKUP(,-1/($Z$12:Z924=1),$C$12:C924)+LOOKUP(,-1/($Z$12:Z924=1),$H$12:H924)-IF(Z923=1,0,SUM(INDIRECT("T"&amp;(MAX((1=Z$12:Z923)*ROW(Z$12:Z923)+1,ROW($T$12))&amp;":T"&amp;(ROW()-1))))),Первоначальный[[#This Row],[Полученный платеж]]+Y923)
)
)
)</f>
        <v>0</v>
      </c>
      <c r="U92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платеж]]+Y923-Первоначальный[[#This Row],[Полученный платёж по процентам]])</f>
        <v>0</v>
      </c>
      <c r="V924" s="55">
        <f t="shared" ca="1" si="171"/>
        <v>0</v>
      </c>
      <c r="W924" s="55" cm="1">
        <f t="array" aca="1" ref="W924" ca="1">IF(Первоначальный[[#This Row],[Итого остаток на начало периода]]&lt;1,0,
_xlfn.IFS(
AND(TYPE(VLOOKUP(1,$Z$12:Z924,1,0))=16,Первоначальный[[#This Row],[Досрочное погашение (да/"")]]=""),0,
AND(S923=0,Первоначальный[[#This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платеж]]+Y923-SUM(Первоначальный[[#This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комиссиям]]),VLOOKUP(LOOKUP(,-1/($Z$12:Z924=1),$A$12:A924),График[[Срок конец]:[Возврат основной суммы долга]],3,0)),
AND(S923=0,Первоначальный[[#This Row],[Дата платежа из графика]]="",Первоначальный[[#This Row],[Досрочное погашение (да/"")]]&lt;&gt;"Да"),0,
AND(S923=0,Первоначальный[[#This Row],[Досрочное погашение (да/"")]]=""),MIN(Первоначальный[[#This Row],[Полученный платеж]]+Y923-SUM(Первоначальный[[#This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комиссиям]]),VLOOKUP(LOOKUP(,-1/($Z$12:Z924=1),$A$12:A924),График[[Срок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платеж]]+Y923-SUM(Первоначальный[[#This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S923&gt;0,MIN(Первоначальный[[#This Row],[Полученный платеж]]+Y923-SUM(Первоначальный[[#This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комиссиям]]),SUM(INDIRECT("M"&amp;(MAX((1=S$12:S923)*ROW(S$12:S923),ROW($W$12))&amp;":M"&amp;(ROW()))))-SUM(INDIRECT("W"&amp;(MAX((1=S$12:S923)*ROW(S$12:S923),ROW($W$12))&amp;":W"&amp;(ROW()-1)))))
)
)</f>
        <v>0</v>
      </c>
      <c r="X924" s="55">
        <f t="shared" ca="1" si="172"/>
        <v>0</v>
      </c>
      <c r="Y924" s="101">
        <f t="shared" ca="1" si="179"/>
        <v>0</v>
      </c>
      <c r="Z924" s="133">
        <f>IF(TYPE((VLOOKUP(Первоначальный[[#This Row],[Дата платежа]],График[Срок конец],1,0)))=16,"",1)</f>
        <v>1</v>
      </c>
      <c r="AA924" s="57"/>
      <c r="AB924" s="134"/>
      <c r="AC92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2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66280.349999999919</v>
      </c>
      <c r="AE92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3049.8299999999927</v>
      </c>
      <c r="AF92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2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166407.09268852419</v>
      </c>
      <c r="AH924" s="55"/>
      <c r="AI924" s="55"/>
      <c r="AJ924" s="55"/>
      <c r="AK924" s="101">
        <f t="shared" ca="1" si="180"/>
        <v>385370.61268852407</v>
      </c>
      <c r="AL924" s="129">
        <f t="array" ref="AL924">MAX((УслРестрактов[Характеристика]="Дата реструктуризации")*(УслРестрактов[Значение]=Первоначальный!$A924),0)</f>
        <v>0</v>
      </c>
    </row>
    <row r="925" spans="1:38" x14ac:dyDescent="0.25">
      <c r="A925" s="97">
        <f t="shared" si="173"/>
        <v>45056</v>
      </c>
      <c r="B925" s="100">
        <f t="shared" ca="1" si="174"/>
        <v>149633.34</v>
      </c>
      <c r="C925" s="55">
        <f t="shared" ca="1" si="170"/>
        <v>66280.349999999919</v>
      </c>
      <c r="D925" s="55">
        <f t="shared" ca="1" si="170"/>
        <v>3049.8299999999927</v>
      </c>
      <c r="E925" s="55">
        <f t="shared" ca="1" si="175"/>
        <v>0</v>
      </c>
      <c r="F925" s="55">
        <f t="shared" ca="1" si="176"/>
        <v>166407.09268852419</v>
      </c>
      <c r="G925" s="101">
        <f t="shared" ca="1" si="177"/>
        <v>385370.61268852407</v>
      </c>
      <c r="H925" s="100">
        <f ca="1">ROUND($B925*VLOOKUP($A925,$A$1:$B$10,2,1)/(365+IF(MOD(YEAR($A925),4),0,1)*($A925-$A924)),2)-Первоначальный[[#This Row],[Проценты на просроченный платеж по ОД за период]]</f>
        <v>73.5</v>
      </c>
      <c r="I925" s="55">
        <f t="shared" ca="1" si="178"/>
        <v>8.08</v>
      </c>
      <c r="J925" s="55">
        <v>0</v>
      </c>
      <c r="K925" s="55">
        <f t="shared" ca="1" si="181"/>
        <v>405.51350327868846</v>
      </c>
      <c r="L925" s="55">
        <v>0</v>
      </c>
      <c r="M925" s="113">
        <f>SUMIFS(График[Возврат основной суммы долга],График[Дата с учетом нерабочих дней],$A925)</f>
        <v>0</v>
      </c>
      <c r="N925" s="56">
        <f>SUMIFS(График[Возврат начисленных %],График[Дата с учетом нерабочих дней],$A925)</f>
        <v>0</v>
      </c>
      <c r="O925" s="101">
        <v>0</v>
      </c>
      <c r="P925" s="100" cm="1">
        <f t="array" aca="1" ref="P925" ca="1">MAX(IF(AA924="Да",0,SUM(INDIRECT("M"&amp;(MAX(("Да"=AA$12:AA924)*ROW(AA$12:AA924)+1,ROW($P$12))&amp;":M"&amp;(ROW()))))-SUM(INDIRECT("W"&amp;(MAX(("Да"=AA$12:AA924)*ROW(AA$12:AA924)+1,ROW($P$12))&amp;":W"&amp;(ROW()))))),0)</f>
        <v>14824.650000000001</v>
      </c>
      <c r="Q925" s="99">
        <f ca="1">MAX(SUM($N$13:N925)-SUM($T$13:T925),0)</f>
        <v>66278.050655737679</v>
      </c>
      <c r="R925" s="99">
        <f ca="1">Первоначальный[[#This Row],[Просроченный платеж по ОД]]+Первоначальный[[#This Row],[Просроченный платеж по процентам]]</f>
        <v>81102.700655737688</v>
      </c>
      <c r="S925" s="120">
        <f ca="1">IF(Первоначальный[[#This Row],[Просроченный платеж]]&lt;1,0,S924+1)</f>
        <v>821</v>
      </c>
      <c r="T925" s="100" cm="1">
        <f t="array" aca="1" ref="T925" ca="1">IF(Первоначальный[[#This Row],[Итого остаток на начало периода]]&lt;1,0,
IF(
AND(TYPE(VLOOKUP(1,$Z$12:Z925,1,0))=16,Первоначальный[[#This Row],[Досрочное погашение (да/"")]]=""),0,
_xlfn.IFS(AND(S924=0,Первоначальный[[#This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платеж]]&lt;&gt;0),MIN(LOOKUP(,-1/($Z$12:Z925=1),$C$12:C925)+LOOKUP(,-1/($Z$12:Z925=1),$H$12:H925),Первоначальный[[#This Row],[Полученный платеж]]+Y924),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платеж]]+Y924,SUM(Первоначальный[[#This Row],[Остаток процентов на начало периода]],Первоначальный[[#This Row],[Проценты за период]])),
AND(S924=0,Первоначальный[[#This Row],[Дата платежа из графика]]=""),0,
AND(S924=0,Первоначальный[[#This Row],[Дата платежа из графика]]=1,MAX((0&lt;&gt;S$12:S924)*ROW(S$12:S924),ROW($S$12))&gt;=MAX((1=Z$12:Z924)*ROW(Z$12:Z924),ROW($T$12)),TYPE(VLOOKUP("Да",(INDIRECT("AA"&amp;(MAX((1=Z$12:Z924)*ROW(Z$12:Z924),ROW($T$12))&amp;":AA"&amp;(ROW()-1)))),1,0))=16),MIN(LOOKUP(,-1/($Z$12:Z925=1),$C$12:C925)+LOOKUP(,-1/($Z$12:Z925=1),$H$12:H925),Первоначальный[[#This Row],[Полученный платеж]]+Y924),
AND(S924=0,TYPE(VLOOKUP("Да",(INDIRECT("AA"&amp;(MAX((1=Z$12:Z924)*ROW(Z$12:Z924),ROW($T$12))&amp;":AA"&amp;(ROW()-1)))),1,0))&lt;&gt;16),MIN(LOOKUP(,-1/($Z$12:Z925=1),$C$12:C925)+LOOKUP(,-1/($Z$12:Z925=1),$H$12:H925)-IF(AA924="Да",0,SUM(INDIRECT("T"&amp;(MAX(("Да"=AA$12:AA924)*ROW(AA$12:AA924)+1,ROW($T$12))&amp;":T"&amp;(ROW()-1))))),Первоначальный[[#This Row],[Полученный платеж]]+Y924),
AND(S924=0,MAX((0&lt;&gt;N$12:N924)*ROW(N$12:N924),ROW($S$12))&gt;=MAX((1=Z$12:Z924)*ROW(Z$12:Z924),ROW($T$12))),MIN(LOOKUP(,-1/($Z$12:Z925=1),$C$12:C925)+LOOKUP(,-1/($Z$12:Z925=1),$H$12:H925)-IF(N924&lt;&gt;0,0,SUM(INDIRECT("T"&amp;(MAX((0&lt;&gt;N$12:N924)*ROW(N$12:N924)+1,ROW($T$12))&amp;":T"&amp;(ROW()-1))))),Первоначальный[[#This Row],[Полученный платеж]]+Y924),
AND(S924=0,Первоначальный[[#This Row],[Дата платежа из графика]]=1),MIN(LOOKUP(,-1/($Z$12:Z925=1),$C$12:C925)+LOOKUP(,-1/($Z$12:Z925=1),$H$12:H925)-IF(Z924=1,0,SUM(INDIRECT("T"&amp;(MAX((1=Z$12:Z924)*ROW(Z$12:Z924)+1,ROW($T$12))&amp;":T"&amp;(ROW()-1))))),Первоначальный[[#This Row],[Полученный платеж]]+Y924),
AND(Z924&gt;0,Первоначальный[[#This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платеж]]+Y924),
AND(S924&gt;0,MAX((0&lt;&gt;S$12:S924)*ROW(S$12:S924),ROW($S$12))&gt;=MAX((1=Z$12:Z924)*ROW(Z$12:Z924),ROW($T$12)),TYPE(VLOOKUP("Да",(INDIRECT("AA"&amp;(MAX((1=Z$12:Z924)*ROW(Z$12:Z924),ROW($T$12))&amp;":AA"&amp;(ROW()-1)))),1,0))=16),MIN(LOOKUP(,-1/($Z$12:Z925=1),$C$12:C925)+LOOKUP(,-1/($Z$12:Z925=1),$H$12:H925)-SUM(INDIRECT("T"&amp;(MAX((1=Z$12:Z924)*ROW(Z$12:Z924),ROW($T$12))&amp;":T"&amp;(ROW()-1)))),Первоначальный[[#This Row],[Полученный платеж]]+Y924),
S924&gt;0,MIN(LOOKUP(,-1/($Z$12:Z925=1),$C$12:C925)+LOOKUP(,-1/($Z$12:Z925=1),$H$12:H925)-IF(Z924=1,0,SUM(INDIRECT("T"&amp;(MAX((1=Z$12:Z924)*ROW(Z$12:Z924)+1,ROW($T$12))&amp;":T"&amp;(ROW()-1))))),Первоначальный[[#This Row],[Полученный платеж]]+Y924)
)
)
)</f>
        <v>0</v>
      </c>
      <c r="U92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платеж]]+Y924-Первоначальный[[#This Row],[Полученный платёж по процентам]])</f>
        <v>0</v>
      </c>
      <c r="V925" s="55">
        <f t="shared" ca="1" si="171"/>
        <v>0</v>
      </c>
      <c r="W925" s="55" cm="1">
        <f t="array" aca="1" ref="W925" ca="1">IF(Первоначальный[[#This Row],[Итого остаток на начало периода]]&lt;1,0,
_xlfn.IFS(
AND(TYPE(VLOOKUP(1,$Z$12:Z925,1,0))=16,Первоначальный[[#This Row],[Досрочное погашение (да/"")]]=""),0,
AND(S924=0,Первоначальный[[#This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платеж]]+Y924-SUM(Первоначальный[[#This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комиссиям]]),VLOOKUP(LOOKUP(,-1/($Z$12:Z925=1),$A$12:A925),График[[Срок конец]:[Возврат основной суммы долга]],3,0)),
AND(S924=0,Первоначальный[[#This Row],[Дата платежа из графика]]="",Первоначальный[[#This Row],[Досрочное погашение (да/"")]]&lt;&gt;"Да"),0,
AND(S924=0,Первоначальный[[#This Row],[Досрочное погашение (да/"")]]=""),MIN(Первоначальный[[#This Row],[Полученный платеж]]+Y924-SUM(Первоначальный[[#This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комиссиям]]),VLOOKUP(LOOKUP(,-1/($Z$12:Z925=1),$A$12:A925),График[[Срок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платеж]]+Y924-SUM(Первоначальный[[#This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S924&gt;0,MIN(Первоначальный[[#This Row],[Полученный платеж]]+Y924-SUM(Первоначальный[[#This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комиссиям]]),SUM(INDIRECT("M"&amp;(MAX((1=S$12:S924)*ROW(S$12:S924),ROW($W$12))&amp;":M"&amp;(ROW()))))-SUM(INDIRECT("W"&amp;(MAX((1=S$12:S924)*ROW(S$12:S924),ROW($W$12))&amp;":W"&amp;(ROW()-1)))))
)
)</f>
        <v>0</v>
      </c>
      <c r="X925" s="55">
        <f t="shared" ca="1" si="172"/>
        <v>0</v>
      </c>
      <c r="Y925" s="101">
        <f t="shared" ca="1" si="179"/>
        <v>0</v>
      </c>
      <c r="Z925" s="133" t="str">
        <f>IF(TYPE((VLOOKUP(Первоначальный[[#This Row],[Дата платежа]],График[Срок конец],1,0)))=16,"",1)</f>
        <v/>
      </c>
      <c r="AA925" s="57"/>
      <c r="AB925" s="134"/>
      <c r="AC92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2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66353.849999999919</v>
      </c>
      <c r="AE92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3057.9099999999926</v>
      </c>
      <c r="AF92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2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166812.60619180289</v>
      </c>
      <c r="AH925" s="55"/>
      <c r="AI925" s="55"/>
      <c r="AJ925" s="55"/>
      <c r="AK925" s="101">
        <f t="shared" ca="1" si="180"/>
        <v>385857.7061918028</v>
      </c>
      <c r="AL925" s="129">
        <f t="array" ref="AL925">MAX((УслРестрактов[Характеристика]="Дата реструктуризации")*(УслРестрактов[Значение]=Первоначальный!$A925),0)</f>
        <v>0</v>
      </c>
    </row>
    <row r="926" spans="1:38" x14ac:dyDescent="0.25">
      <c r="A926" s="97">
        <f t="shared" si="173"/>
        <v>45057</v>
      </c>
      <c r="B926" s="100">
        <f t="shared" ca="1" si="174"/>
        <v>149633.34</v>
      </c>
      <c r="C926" s="55">
        <f t="shared" ca="1" si="170"/>
        <v>66353.849999999919</v>
      </c>
      <c r="D926" s="55">
        <f t="shared" ca="1" si="170"/>
        <v>3057.9099999999926</v>
      </c>
      <c r="E926" s="55">
        <f t="shared" ca="1" si="175"/>
        <v>0</v>
      </c>
      <c r="F926" s="55">
        <f t="shared" ca="1" si="176"/>
        <v>166812.60619180289</v>
      </c>
      <c r="G926" s="101">
        <f t="shared" ca="1" si="177"/>
        <v>385857.7061918028</v>
      </c>
      <c r="H926" s="100">
        <f ca="1">ROUND($B926*VLOOKUP($A926,$A$1:$B$10,2,1)/(365+IF(MOD(YEAR($A926),4),0,1)*($A926-$A925)),2)-Первоначальный[[#This Row],[Проценты на просроченный платеж по ОД за период]]</f>
        <v>73.5</v>
      </c>
      <c r="I926" s="55">
        <f t="shared" ca="1" si="178"/>
        <v>8.08</v>
      </c>
      <c r="J926" s="55">
        <v>0</v>
      </c>
      <c r="K926" s="55">
        <f t="shared" ca="1" si="181"/>
        <v>405.51350327868846</v>
      </c>
      <c r="L926" s="55">
        <v>0</v>
      </c>
      <c r="M926" s="113">
        <f>SUMIFS(График[Возврат основной суммы долга],График[Дата с учетом нерабочих дней],$A926)</f>
        <v>0</v>
      </c>
      <c r="N926" s="56">
        <f>SUMIFS(График[Возврат начисленных %],График[Дата с учетом нерабочих дней],$A926)</f>
        <v>0</v>
      </c>
      <c r="O926" s="101">
        <v>0</v>
      </c>
      <c r="P926" s="100" cm="1">
        <f t="array" aca="1" ref="P926" ca="1">MAX(IF(AA925="Да",0,SUM(INDIRECT("M"&amp;(MAX(("Да"=AA$12:AA925)*ROW(AA$12:AA925)+1,ROW($P$12))&amp;":M"&amp;(ROW()))))-SUM(INDIRECT("W"&amp;(MAX(("Да"=AA$12:AA925)*ROW(AA$12:AA925)+1,ROW($P$12))&amp;":W"&amp;(ROW()))))),0)</f>
        <v>14824.650000000001</v>
      </c>
      <c r="Q926" s="99">
        <f ca="1">MAX(SUM($N$13:N926)-SUM($T$13:T926),0)</f>
        <v>66278.050655737679</v>
      </c>
      <c r="R926" s="99">
        <f ca="1">Первоначальный[[#This Row],[Просроченный платеж по ОД]]+Первоначальный[[#This Row],[Просроченный платеж по процентам]]</f>
        <v>81102.700655737688</v>
      </c>
      <c r="S926" s="120">
        <f ca="1">IF(Первоначальный[[#This Row],[Просроченный платеж]]&lt;1,0,S925+1)</f>
        <v>822</v>
      </c>
      <c r="T926" s="100" cm="1">
        <f t="array" aca="1" ref="T926" ca="1">IF(Первоначальный[[#This Row],[Итого остаток на начало периода]]&lt;1,0,
IF(
AND(TYPE(VLOOKUP(1,$Z$12:Z926,1,0))=16,Первоначальный[[#This Row],[Досрочное погашение (да/"")]]=""),0,
_xlfn.IFS(AND(S925=0,Первоначальный[[#This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платеж]]&lt;&gt;0),MIN(LOOKUP(,-1/($Z$12:Z926=1),$C$12:C926)+LOOKUP(,-1/($Z$12:Z926=1),$H$12:H926),Первоначальный[[#This Row],[Полученный платеж]]+Y925),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платеж]]+Y925,SUM(Первоначальный[[#This Row],[Остаток процентов на начало периода]],Первоначальный[[#This Row],[Проценты за период]])),
AND(S925=0,Первоначальный[[#This Row],[Дата платежа из графика]]=""),0,
AND(S925=0,Первоначальный[[#This Row],[Дата платежа из графика]]=1,MAX((0&lt;&gt;S$12:S925)*ROW(S$12:S925),ROW($S$12))&gt;=MAX((1=Z$12:Z925)*ROW(Z$12:Z925),ROW($T$12)),TYPE(VLOOKUP("Да",(INDIRECT("AA"&amp;(MAX((1=Z$12:Z925)*ROW(Z$12:Z925),ROW($T$12))&amp;":AA"&amp;(ROW()-1)))),1,0))=16),MIN(LOOKUP(,-1/($Z$12:Z926=1),$C$12:C926)+LOOKUP(,-1/($Z$12:Z926=1),$H$12:H926),Первоначальный[[#This Row],[Полученный платеж]]+Y925),
AND(S925=0,TYPE(VLOOKUP("Да",(INDIRECT("AA"&amp;(MAX((1=Z$12:Z925)*ROW(Z$12:Z925),ROW($T$12))&amp;":AA"&amp;(ROW()-1)))),1,0))&lt;&gt;16),MIN(LOOKUP(,-1/($Z$12:Z926=1),$C$12:C926)+LOOKUP(,-1/($Z$12:Z926=1),$H$12:H926)-IF(AA925="Да",0,SUM(INDIRECT("T"&amp;(MAX(("Да"=AA$12:AA925)*ROW(AA$12:AA925)+1,ROW($T$12))&amp;":T"&amp;(ROW()-1))))),Первоначальный[[#This Row],[Полученный платеж]]+Y925),
AND(S925=0,MAX((0&lt;&gt;N$12:N925)*ROW(N$12:N925),ROW($S$12))&gt;=MAX((1=Z$12:Z925)*ROW(Z$12:Z925),ROW($T$12))),MIN(LOOKUP(,-1/($Z$12:Z926=1),$C$12:C926)+LOOKUP(,-1/($Z$12:Z926=1),$H$12:H926)-IF(N925&lt;&gt;0,0,SUM(INDIRECT("T"&amp;(MAX((0&lt;&gt;N$12:N925)*ROW(N$12:N925)+1,ROW($T$12))&amp;":T"&amp;(ROW()-1))))),Первоначальный[[#This Row],[Полученный платеж]]+Y925),
AND(S925=0,Первоначальный[[#This Row],[Дата платежа из графика]]=1),MIN(LOOKUP(,-1/($Z$12:Z926=1),$C$12:C926)+LOOKUP(,-1/($Z$12:Z926=1),$H$12:H926)-IF(Z925=1,0,SUM(INDIRECT("T"&amp;(MAX((1=Z$12:Z925)*ROW(Z$12:Z925)+1,ROW($T$12))&amp;":T"&amp;(ROW()-1))))),Первоначальный[[#This Row],[Полученный платеж]]+Y925),
AND(Z925&gt;0,Первоначальный[[#This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платеж]]+Y925),
AND(S925&gt;0,MAX((0&lt;&gt;S$12:S925)*ROW(S$12:S925),ROW($S$12))&gt;=MAX((1=Z$12:Z925)*ROW(Z$12:Z925),ROW($T$12)),TYPE(VLOOKUP("Да",(INDIRECT("AA"&amp;(MAX((1=Z$12:Z925)*ROW(Z$12:Z925),ROW($T$12))&amp;":AA"&amp;(ROW()-1)))),1,0))=16),MIN(LOOKUP(,-1/($Z$12:Z926=1),$C$12:C926)+LOOKUP(,-1/($Z$12:Z926=1),$H$12:H926)-SUM(INDIRECT("T"&amp;(MAX((1=Z$12:Z925)*ROW(Z$12:Z925),ROW($T$12))&amp;":T"&amp;(ROW()-1)))),Первоначальный[[#This Row],[Полученный платеж]]+Y925),
S925&gt;0,MIN(LOOKUP(,-1/($Z$12:Z926=1),$C$12:C926)+LOOKUP(,-1/($Z$12:Z926=1),$H$12:H926)-IF(Z925=1,0,SUM(INDIRECT("T"&amp;(MAX((1=Z$12:Z925)*ROW(Z$12:Z925)+1,ROW($T$12))&amp;":T"&amp;(ROW()-1))))),Первоначальный[[#This Row],[Полученный платеж]]+Y925)
)
)
)</f>
        <v>0</v>
      </c>
      <c r="U92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платеж]]+Y925-Первоначальный[[#This Row],[Полученный платёж по процентам]])</f>
        <v>0</v>
      </c>
      <c r="V926" s="55">
        <f t="shared" ca="1" si="171"/>
        <v>0</v>
      </c>
      <c r="W926" s="55" cm="1">
        <f t="array" aca="1" ref="W926" ca="1">IF(Первоначальный[[#This Row],[Итого остаток на начало периода]]&lt;1,0,
_xlfn.IFS(
AND(TYPE(VLOOKUP(1,$Z$12:Z926,1,0))=16,Первоначальный[[#This Row],[Досрочное погашение (да/"")]]=""),0,
AND(S925=0,Первоначальный[[#This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платеж]]+Y925-SUM(Первоначальный[[#This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комиссиям]]),VLOOKUP(LOOKUP(,-1/($Z$12:Z926=1),$A$12:A926),График[[Срок конец]:[Возврат основной суммы долга]],3,0)),
AND(S925=0,Первоначальный[[#This Row],[Дата платежа из графика]]="",Первоначальный[[#This Row],[Досрочное погашение (да/"")]]&lt;&gt;"Да"),0,
AND(S925=0,Первоначальный[[#This Row],[Досрочное погашение (да/"")]]=""),MIN(Первоначальный[[#This Row],[Полученный платеж]]+Y925-SUM(Первоначальный[[#This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комиссиям]]),VLOOKUP(LOOKUP(,-1/($Z$12:Z926=1),$A$12:A926),График[[Срок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платеж]]+Y925-SUM(Первоначальный[[#This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S925&gt;0,MIN(Первоначальный[[#This Row],[Полученный платеж]]+Y925-SUM(Первоначальный[[#This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комиссиям]]),SUM(INDIRECT("M"&amp;(MAX((1=S$12:S925)*ROW(S$12:S925),ROW($W$12))&amp;":M"&amp;(ROW()))))-SUM(INDIRECT("W"&amp;(MAX((1=S$12:S925)*ROW(S$12:S925),ROW($W$12))&amp;":W"&amp;(ROW()-1)))))
)
)</f>
        <v>0</v>
      </c>
      <c r="X926" s="55">
        <f t="shared" ca="1" si="172"/>
        <v>0</v>
      </c>
      <c r="Y926" s="101">
        <f t="shared" ca="1" si="179"/>
        <v>0</v>
      </c>
      <c r="Z926" s="133" t="str">
        <f>IF(TYPE((VLOOKUP(Первоначальный[[#This Row],[Дата платежа]],График[Срок конец],1,0)))=16,"",1)</f>
        <v/>
      </c>
      <c r="AA926" s="57"/>
      <c r="AB926" s="134"/>
      <c r="AC92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2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66427.349999999919</v>
      </c>
      <c r="AE92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3065.9899999999925</v>
      </c>
      <c r="AF92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2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167218.11969508158</v>
      </c>
      <c r="AH926" s="55"/>
      <c r="AI926" s="55"/>
      <c r="AJ926" s="55"/>
      <c r="AK926" s="101">
        <f t="shared" ca="1" si="180"/>
        <v>386344.79969508148</v>
      </c>
      <c r="AL926" s="129">
        <f t="array" ref="AL926">MAX((УслРестрактов[Характеристика]="Дата реструктуризации")*(УслРестрактов[Значение]=Первоначальный!$A926),0)</f>
        <v>0</v>
      </c>
    </row>
    <row r="927" spans="1:38" x14ac:dyDescent="0.25">
      <c r="A927" s="97">
        <f t="shared" si="173"/>
        <v>45058</v>
      </c>
      <c r="B927" s="100">
        <f t="shared" ca="1" si="174"/>
        <v>149633.34</v>
      </c>
      <c r="C927" s="55">
        <f t="shared" ca="1" si="170"/>
        <v>66427.349999999919</v>
      </c>
      <c r="D927" s="55">
        <f t="shared" ca="1" si="170"/>
        <v>3065.9899999999925</v>
      </c>
      <c r="E927" s="55">
        <f t="shared" ca="1" si="175"/>
        <v>0</v>
      </c>
      <c r="F927" s="55">
        <f t="shared" ca="1" si="176"/>
        <v>167218.11969508158</v>
      </c>
      <c r="G927" s="101">
        <f t="shared" ca="1" si="177"/>
        <v>386344.79969508148</v>
      </c>
      <c r="H927" s="100">
        <f ca="1">ROUND($B927*VLOOKUP($A927,$A$1:$B$10,2,1)/(365+IF(MOD(YEAR($A927),4),0,1)*($A927-$A926)),2)-Первоначальный[[#This Row],[Проценты на просроченный платеж по ОД за период]]</f>
        <v>73.5</v>
      </c>
      <c r="I927" s="55">
        <f t="shared" ca="1" si="178"/>
        <v>8.08</v>
      </c>
      <c r="J927" s="55">
        <v>0</v>
      </c>
      <c r="K927" s="55">
        <f t="shared" ca="1" si="181"/>
        <v>405.51350327868846</v>
      </c>
      <c r="L927" s="55">
        <v>0</v>
      </c>
      <c r="M927" s="113">
        <f>SUMIFS(График[Возврат основной суммы долга],График[Дата с учетом нерабочих дней],$A927)</f>
        <v>0</v>
      </c>
      <c r="N927" s="56">
        <f>SUMIFS(График[Возврат начисленных %],График[Дата с учетом нерабочих дней],$A927)</f>
        <v>0</v>
      </c>
      <c r="O927" s="101">
        <v>0</v>
      </c>
      <c r="P927" s="100" cm="1">
        <f t="array" aca="1" ref="P927" ca="1">MAX(IF(AA926="Да",0,SUM(INDIRECT("M"&amp;(MAX(("Да"=AA$12:AA926)*ROW(AA$12:AA926)+1,ROW($P$12))&amp;":M"&amp;(ROW()))))-SUM(INDIRECT("W"&amp;(MAX(("Да"=AA$12:AA926)*ROW(AA$12:AA926)+1,ROW($P$12))&amp;":W"&amp;(ROW()))))),0)</f>
        <v>14824.650000000001</v>
      </c>
      <c r="Q927" s="99">
        <f ca="1">MAX(SUM($N$13:N927)-SUM($T$13:T927),0)</f>
        <v>66278.050655737679</v>
      </c>
      <c r="R927" s="99">
        <f ca="1">Первоначальный[[#This Row],[Просроченный платеж по ОД]]+Первоначальный[[#This Row],[Просроченный платеж по процентам]]</f>
        <v>81102.700655737688</v>
      </c>
      <c r="S927" s="120">
        <f ca="1">IF(Первоначальный[[#This Row],[Просроченный платеж]]&lt;1,0,S926+1)</f>
        <v>823</v>
      </c>
      <c r="T927" s="100" cm="1">
        <f t="array" aca="1" ref="T927" ca="1">IF(Первоначальный[[#This Row],[Итого остаток на начало периода]]&lt;1,0,
IF(
AND(TYPE(VLOOKUP(1,$Z$12:Z927,1,0))=16,Первоначальный[[#This Row],[Досрочное погашение (да/"")]]=""),0,
_xlfn.IFS(AND(S926=0,Первоначальный[[#This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платеж]]&lt;&gt;0),MIN(LOOKUP(,-1/($Z$12:Z927=1),$C$12:C927)+LOOKUP(,-1/($Z$12:Z927=1),$H$12:H927),Первоначальный[[#This Row],[Полученный платеж]]+Y926),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платеж]]+Y926,SUM(Первоначальный[[#This Row],[Остаток процентов на начало периода]],Первоначальный[[#This Row],[Проценты за период]])),
AND(S926=0,Первоначальный[[#This Row],[Дата платежа из графика]]=""),0,
AND(S926=0,Первоначальный[[#This Row],[Дата платежа из графика]]=1,MAX((0&lt;&gt;S$12:S926)*ROW(S$12:S926),ROW($S$12))&gt;=MAX((1=Z$12:Z926)*ROW(Z$12:Z926),ROW($T$12)),TYPE(VLOOKUP("Да",(INDIRECT("AA"&amp;(MAX((1=Z$12:Z926)*ROW(Z$12:Z926),ROW($T$12))&amp;":AA"&amp;(ROW()-1)))),1,0))=16),MIN(LOOKUP(,-1/($Z$12:Z927=1),$C$12:C927)+LOOKUP(,-1/($Z$12:Z927=1),$H$12:H927),Первоначальный[[#This Row],[Полученный платеж]]+Y926),
AND(S926=0,TYPE(VLOOKUP("Да",(INDIRECT("AA"&amp;(MAX((1=Z$12:Z926)*ROW(Z$12:Z926),ROW($T$12))&amp;":AA"&amp;(ROW()-1)))),1,0))&lt;&gt;16),MIN(LOOKUP(,-1/($Z$12:Z927=1),$C$12:C927)+LOOKUP(,-1/($Z$12:Z927=1),$H$12:H927)-IF(AA926="Да",0,SUM(INDIRECT("T"&amp;(MAX(("Да"=AA$12:AA926)*ROW(AA$12:AA926)+1,ROW($T$12))&amp;":T"&amp;(ROW()-1))))),Первоначальный[[#This Row],[Полученный платеж]]+Y926),
AND(S926=0,MAX((0&lt;&gt;N$12:N926)*ROW(N$12:N926),ROW($S$12))&gt;=MAX((1=Z$12:Z926)*ROW(Z$12:Z926),ROW($T$12))),MIN(LOOKUP(,-1/($Z$12:Z927=1),$C$12:C927)+LOOKUP(,-1/($Z$12:Z927=1),$H$12:H927)-IF(N926&lt;&gt;0,0,SUM(INDIRECT("T"&amp;(MAX((0&lt;&gt;N$12:N926)*ROW(N$12:N926)+1,ROW($T$12))&amp;":T"&amp;(ROW()-1))))),Первоначальный[[#This Row],[Полученный платеж]]+Y926),
AND(S926=0,Первоначальный[[#This Row],[Дата платежа из графика]]=1),MIN(LOOKUP(,-1/($Z$12:Z927=1),$C$12:C927)+LOOKUP(,-1/($Z$12:Z927=1),$H$12:H927)-IF(Z926=1,0,SUM(INDIRECT("T"&amp;(MAX((1=Z$12:Z926)*ROW(Z$12:Z926)+1,ROW($T$12))&amp;":T"&amp;(ROW()-1))))),Первоначальный[[#This Row],[Полученный платеж]]+Y926),
AND(Z926&gt;0,Первоначальный[[#This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платеж]]+Y926),
AND(S926&gt;0,MAX((0&lt;&gt;S$12:S926)*ROW(S$12:S926),ROW($S$12))&gt;=MAX((1=Z$12:Z926)*ROW(Z$12:Z926),ROW($T$12)),TYPE(VLOOKUP("Да",(INDIRECT("AA"&amp;(MAX((1=Z$12:Z926)*ROW(Z$12:Z926),ROW($T$12))&amp;":AA"&amp;(ROW()-1)))),1,0))=16),MIN(LOOKUP(,-1/($Z$12:Z927=1),$C$12:C927)+LOOKUP(,-1/($Z$12:Z927=1),$H$12:H927)-SUM(INDIRECT("T"&amp;(MAX((1=Z$12:Z926)*ROW(Z$12:Z926),ROW($T$12))&amp;":T"&amp;(ROW()-1)))),Первоначальный[[#This Row],[Полученный платеж]]+Y926),
S926&gt;0,MIN(LOOKUP(,-1/($Z$12:Z927=1),$C$12:C927)+LOOKUP(,-1/($Z$12:Z927=1),$H$12:H927)-IF(Z926=1,0,SUM(INDIRECT("T"&amp;(MAX((1=Z$12:Z926)*ROW(Z$12:Z926)+1,ROW($T$12))&amp;":T"&amp;(ROW()-1))))),Первоначальный[[#This Row],[Полученный платеж]]+Y926)
)
)
)</f>
        <v>0</v>
      </c>
      <c r="U92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платеж]]+Y926-Первоначальный[[#This Row],[Полученный платёж по процентам]])</f>
        <v>0</v>
      </c>
      <c r="V927" s="55">
        <f t="shared" ca="1" si="171"/>
        <v>0</v>
      </c>
      <c r="W927" s="55" cm="1">
        <f t="array" aca="1" ref="W927" ca="1">IF(Первоначальный[[#This Row],[Итого остаток на начало периода]]&lt;1,0,
_xlfn.IFS(
AND(TYPE(VLOOKUP(1,$Z$12:Z927,1,0))=16,Первоначальный[[#This Row],[Досрочное погашение (да/"")]]=""),0,
AND(S926=0,Первоначальный[[#This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платеж]]+Y926-SUM(Первоначальный[[#This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комиссиям]]),VLOOKUP(LOOKUP(,-1/($Z$12:Z927=1),$A$12:A927),График[[Срок конец]:[Возврат основной суммы долга]],3,0)),
AND(S926=0,Первоначальный[[#This Row],[Дата платежа из графика]]="",Первоначальный[[#This Row],[Досрочное погашение (да/"")]]&lt;&gt;"Да"),0,
AND(S926=0,Первоначальный[[#This Row],[Досрочное погашение (да/"")]]=""),MIN(Первоначальный[[#This Row],[Полученный платеж]]+Y926-SUM(Первоначальный[[#This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комиссиям]]),VLOOKUP(LOOKUP(,-1/($Z$12:Z927=1),$A$12:A927),График[[Срок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платеж]]+Y926-SUM(Первоначальный[[#This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S926&gt;0,MIN(Первоначальный[[#This Row],[Полученный платеж]]+Y926-SUM(Первоначальный[[#This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комиссиям]]),SUM(INDIRECT("M"&amp;(MAX((1=S$12:S926)*ROW(S$12:S926),ROW($W$12))&amp;":M"&amp;(ROW()))))-SUM(INDIRECT("W"&amp;(MAX((1=S$12:S926)*ROW(S$12:S926),ROW($W$12))&amp;":W"&amp;(ROW()-1)))))
)
)</f>
        <v>0</v>
      </c>
      <c r="X927" s="55">
        <f t="shared" ca="1" si="172"/>
        <v>0</v>
      </c>
      <c r="Y927" s="101">
        <f t="shared" ca="1" si="179"/>
        <v>0</v>
      </c>
      <c r="Z927" s="133" t="str">
        <f>IF(TYPE((VLOOKUP(Первоначальный[[#This Row],[Дата платежа]],График[Срок конец],1,0)))=16,"",1)</f>
        <v/>
      </c>
      <c r="AA927" s="57"/>
      <c r="AB927" s="134"/>
      <c r="AC92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2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66500.849999999919</v>
      </c>
      <c r="AE92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3074.0699999999924</v>
      </c>
      <c r="AF92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2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167623.63319836027</v>
      </c>
      <c r="AH927" s="55"/>
      <c r="AI927" s="55"/>
      <c r="AJ927" s="55"/>
      <c r="AK927" s="101">
        <f t="shared" ca="1" si="180"/>
        <v>386831.89319836017</v>
      </c>
      <c r="AL927" s="129">
        <f t="array" ref="AL927">MAX((УслРестрактов[Характеристика]="Дата реструктуризации")*(УслРестрактов[Значение]=Первоначальный!$A927),0)</f>
        <v>0</v>
      </c>
    </row>
    <row r="928" spans="1:38" x14ac:dyDescent="0.25">
      <c r="A928" s="97">
        <f t="shared" si="173"/>
        <v>45059</v>
      </c>
      <c r="B928" s="100">
        <f t="shared" ca="1" si="174"/>
        <v>149633.34</v>
      </c>
      <c r="C928" s="55">
        <f t="shared" ca="1" si="170"/>
        <v>66500.849999999919</v>
      </c>
      <c r="D928" s="55">
        <f t="shared" ca="1" si="170"/>
        <v>3074.0699999999924</v>
      </c>
      <c r="E928" s="55">
        <f t="shared" ca="1" si="175"/>
        <v>0</v>
      </c>
      <c r="F928" s="55">
        <f t="shared" ca="1" si="176"/>
        <v>167623.63319836027</v>
      </c>
      <c r="G928" s="101">
        <f t="shared" ca="1" si="177"/>
        <v>386831.89319836017</v>
      </c>
      <c r="H928" s="100">
        <f ca="1">ROUND($B928*VLOOKUP($A928,$A$1:$B$10,2,1)/(365+IF(MOD(YEAR($A928),4),0,1)*($A928-$A927)),2)-Первоначальный[[#This Row],[Проценты на просроченный платеж по ОД за период]]</f>
        <v>73.5</v>
      </c>
      <c r="I928" s="55">
        <f t="shared" ca="1" si="178"/>
        <v>8.08</v>
      </c>
      <c r="J928" s="55">
        <v>0</v>
      </c>
      <c r="K928" s="55">
        <f t="shared" ca="1" si="181"/>
        <v>405.51350327868846</v>
      </c>
      <c r="L928" s="55">
        <v>0</v>
      </c>
      <c r="M928" s="113">
        <f>SUMIFS(График[Возврат основной суммы долга],График[Дата с учетом нерабочих дней],$A928)</f>
        <v>0</v>
      </c>
      <c r="N928" s="56">
        <f>SUMIFS(График[Возврат начисленных %],График[Дата с учетом нерабочих дней],$A928)</f>
        <v>0</v>
      </c>
      <c r="O928" s="101">
        <v>0</v>
      </c>
      <c r="P928" s="100" cm="1">
        <f t="array" aca="1" ref="P928" ca="1">MAX(IF(AA927="Да",0,SUM(INDIRECT("M"&amp;(MAX(("Да"=AA$12:AA927)*ROW(AA$12:AA927)+1,ROW($P$12))&amp;":M"&amp;(ROW()))))-SUM(INDIRECT("W"&amp;(MAX(("Да"=AA$12:AA927)*ROW(AA$12:AA927)+1,ROW($P$12))&amp;":W"&amp;(ROW()))))),0)</f>
        <v>14824.650000000001</v>
      </c>
      <c r="Q928" s="99">
        <f ca="1">MAX(SUM($N$13:N928)-SUM($T$13:T928),0)</f>
        <v>66278.050655737679</v>
      </c>
      <c r="R928" s="99">
        <f ca="1">Первоначальный[[#This Row],[Просроченный платеж по ОД]]+Первоначальный[[#This Row],[Просроченный платеж по процентам]]</f>
        <v>81102.700655737688</v>
      </c>
      <c r="S928" s="120">
        <f ca="1">IF(Первоначальный[[#This Row],[Просроченный платеж]]&lt;1,0,S927+1)</f>
        <v>824</v>
      </c>
      <c r="T928" s="100" cm="1">
        <f t="array" aca="1" ref="T928" ca="1">IF(Первоначальный[[#This Row],[Итого остаток на начало периода]]&lt;1,0,
IF(
AND(TYPE(VLOOKUP(1,$Z$12:Z928,1,0))=16,Первоначальный[[#This Row],[Досрочное погашение (да/"")]]=""),0,
_xlfn.IFS(AND(S927=0,Первоначальный[[#This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платеж]]&lt;&gt;0),MIN(LOOKUP(,-1/($Z$12:Z928=1),$C$12:C928)+LOOKUP(,-1/($Z$12:Z928=1),$H$12:H928),Первоначальный[[#This Row],[Полученный платеж]]+Y927),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платеж]]+Y927,SUM(Первоначальный[[#This Row],[Остаток процентов на начало периода]],Первоначальный[[#This Row],[Проценты за период]])),
AND(S927=0,Первоначальный[[#This Row],[Дата платежа из графика]]=""),0,
AND(S927=0,Первоначальный[[#This Row],[Дата платежа из графика]]=1,MAX((0&lt;&gt;S$12:S927)*ROW(S$12:S927),ROW($S$12))&gt;=MAX((1=Z$12:Z927)*ROW(Z$12:Z927),ROW($T$12)),TYPE(VLOOKUP("Да",(INDIRECT("AA"&amp;(MAX((1=Z$12:Z927)*ROW(Z$12:Z927),ROW($T$12))&amp;":AA"&amp;(ROW()-1)))),1,0))=16),MIN(LOOKUP(,-1/($Z$12:Z928=1),$C$12:C928)+LOOKUP(,-1/($Z$12:Z928=1),$H$12:H928),Первоначальный[[#This Row],[Полученный платеж]]+Y927),
AND(S927=0,TYPE(VLOOKUP("Да",(INDIRECT("AA"&amp;(MAX((1=Z$12:Z927)*ROW(Z$12:Z927),ROW($T$12))&amp;":AA"&amp;(ROW()-1)))),1,0))&lt;&gt;16),MIN(LOOKUP(,-1/($Z$12:Z928=1),$C$12:C928)+LOOKUP(,-1/($Z$12:Z928=1),$H$12:H928)-IF(AA927="Да",0,SUM(INDIRECT("T"&amp;(MAX(("Да"=AA$12:AA927)*ROW(AA$12:AA927)+1,ROW($T$12))&amp;":T"&amp;(ROW()-1))))),Первоначальный[[#This Row],[Полученный платеж]]+Y927),
AND(S927=0,MAX((0&lt;&gt;N$12:N927)*ROW(N$12:N927),ROW($S$12))&gt;=MAX((1=Z$12:Z927)*ROW(Z$12:Z927),ROW($T$12))),MIN(LOOKUP(,-1/($Z$12:Z928=1),$C$12:C928)+LOOKUP(,-1/($Z$12:Z928=1),$H$12:H928)-IF(N927&lt;&gt;0,0,SUM(INDIRECT("T"&amp;(MAX((0&lt;&gt;N$12:N927)*ROW(N$12:N927)+1,ROW($T$12))&amp;":T"&amp;(ROW()-1))))),Первоначальный[[#This Row],[Полученный платеж]]+Y927),
AND(S927=0,Первоначальный[[#This Row],[Дата платежа из графика]]=1),MIN(LOOKUP(,-1/($Z$12:Z928=1),$C$12:C928)+LOOKUP(,-1/($Z$12:Z928=1),$H$12:H928)-IF(Z927=1,0,SUM(INDIRECT("T"&amp;(MAX((1=Z$12:Z927)*ROW(Z$12:Z927)+1,ROW($T$12))&amp;":T"&amp;(ROW()-1))))),Первоначальный[[#This Row],[Полученный платеж]]+Y927),
AND(Z927&gt;0,Первоначальный[[#This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платеж]]+Y927),
AND(S927&gt;0,MAX((0&lt;&gt;S$12:S927)*ROW(S$12:S927),ROW($S$12))&gt;=MAX((1=Z$12:Z927)*ROW(Z$12:Z927),ROW($T$12)),TYPE(VLOOKUP("Да",(INDIRECT("AA"&amp;(MAX((1=Z$12:Z927)*ROW(Z$12:Z927),ROW($T$12))&amp;":AA"&amp;(ROW()-1)))),1,0))=16),MIN(LOOKUP(,-1/($Z$12:Z928=1),$C$12:C928)+LOOKUP(,-1/($Z$12:Z928=1),$H$12:H928)-SUM(INDIRECT("T"&amp;(MAX((1=Z$12:Z927)*ROW(Z$12:Z927),ROW($T$12))&amp;":T"&amp;(ROW()-1)))),Первоначальный[[#This Row],[Полученный платеж]]+Y927),
S927&gt;0,MIN(LOOKUP(,-1/($Z$12:Z928=1),$C$12:C928)+LOOKUP(,-1/($Z$12:Z928=1),$H$12:H928)-IF(Z927=1,0,SUM(INDIRECT("T"&amp;(MAX((1=Z$12:Z927)*ROW(Z$12:Z927)+1,ROW($T$12))&amp;":T"&amp;(ROW()-1))))),Первоначальный[[#This Row],[Полученный платеж]]+Y927)
)
)
)</f>
        <v>0</v>
      </c>
      <c r="U92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платеж]]+Y927-Первоначальный[[#This Row],[Полученный платёж по процентам]])</f>
        <v>0</v>
      </c>
      <c r="V928" s="55">
        <f t="shared" ca="1" si="171"/>
        <v>0</v>
      </c>
      <c r="W928" s="55" cm="1">
        <f t="array" aca="1" ref="W928" ca="1">IF(Первоначальный[[#This Row],[Итого остаток на начало периода]]&lt;1,0,
_xlfn.IFS(
AND(TYPE(VLOOKUP(1,$Z$12:Z928,1,0))=16,Первоначальный[[#This Row],[Досрочное погашение (да/"")]]=""),0,
AND(S927=0,Первоначальный[[#This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платеж]]+Y927-SUM(Первоначальный[[#This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комиссиям]]),VLOOKUP(LOOKUP(,-1/($Z$12:Z928=1),$A$12:A928),График[[Срок конец]:[Возврат основной суммы долга]],3,0)),
AND(S927=0,Первоначальный[[#This Row],[Дата платежа из графика]]="",Первоначальный[[#This Row],[Досрочное погашение (да/"")]]&lt;&gt;"Да"),0,
AND(S927=0,Первоначальный[[#This Row],[Досрочное погашение (да/"")]]=""),MIN(Первоначальный[[#This Row],[Полученный платеж]]+Y927-SUM(Первоначальный[[#This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комиссиям]]),VLOOKUP(LOOKUP(,-1/($Z$12:Z928=1),$A$12:A928),График[[Срок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платеж]]+Y927-SUM(Первоначальный[[#This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S927&gt;0,MIN(Первоначальный[[#This Row],[Полученный платеж]]+Y927-SUM(Первоначальный[[#This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комиссиям]]),SUM(INDIRECT("M"&amp;(MAX((1=S$12:S927)*ROW(S$12:S927),ROW($W$12))&amp;":M"&amp;(ROW()))))-SUM(INDIRECT("W"&amp;(MAX((1=S$12:S927)*ROW(S$12:S927),ROW($W$12))&amp;":W"&amp;(ROW()-1)))))
)
)</f>
        <v>0</v>
      </c>
      <c r="X928" s="55">
        <f t="shared" ca="1" si="172"/>
        <v>0</v>
      </c>
      <c r="Y928" s="101">
        <f t="shared" ca="1" si="179"/>
        <v>0</v>
      </c>
      <c r="Z928" s="133" t="str">
        <f>IF(TYPE((VLOOKUP(Первоначальный[[#This Row],[Дата платежа]],График[Срок конец],1,0)))=16,"",1)</f>
        <v/>
      </c>
      <c r="AA928" s="57"/>
      <c r="AB928" s="134"/>
      <c r="AC92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2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66574.349999999919</v>
      </c>
      <c r="AE92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3082.1499999999924</v>
      </c>
      <c r="AF92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2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168029.14670163897</v>
      </c>
      <c r="AH928" s="55"/>
      <c r="AI928" s="55"/>
      <c r="AJ928" s="55"/>
      <c r="AK928" s="101">
        <f t="shared" ca="1" si="180"/>
        <v>387318.9867016389</v>
      </c>
      <c r="AL928" s="129">
        <f t="array" ref="AL928">MAX((УслРестрактов[Характеристика]="Дата реструктуризации")*(УслРестрактов[Значение]=Первоначальный!$A928),0)</f>
        <v>0</v>
      </c>
    </row>
    <row r="929" spans="1:38" x14ac:dyDescent="0.25">
      <c r="A929" s="97">
        <f t="shared" si="173"/>
        <v>45060</v>
      </c>
      <c r="B929" s="100">
        <f t="shared" ca="1" si="174"/>
        <v>149633.34</v>
      </c>
      <c r="C929" s="55">
        <f t="shared" ca="1" si="170"/>
        <v>66574.349999999919</v>
      </c>
      <c r="D929" s="55">
        <f t="shared" ca="1" si="170"/>
        <v>3082.1499999999924</v>
      </c>
      <c r="E929" s="55">
        <f t="shared" ca="1" si="175"/>
        <v>0</v>
      </c>
      <c r="F929" s="55">
        <f t="shared" ca="1" si="176"/>
        <v>168029.14670163897</v>
      </c>
      <c r="G929" s="101">
        <f t="shared" ca="1" si="177"/>
        <v>387318.9867016389</v>
      </c>
      <c r="H929" s="100">
        <f ca="1">ROUND($B929*VLOOKUP($A929,$A$1:$B$10,2,1)/(365+IF(MOD(YEAR($A929),4),0,1)*($A929-$A928)),2)-Первоначальный[[#This Row],[Проценты на просроченный платеж по ОД за период]]</f>
        <v>73.5</v>
      </c>
      <c r="I929" s="55">
        <f t="shared" ca="1" si="178"/>
        <v>8.08</v>
      </c>
      <c r="J929" s="55">
        <v>0</v>
      </c>
      <c r="K929" s="55">
        <f t="shared" ca="1" si="181"/>
        <v>405.51350327868846</v>
      </c>
      <c r="L929" s="55">
        <v>0</v>
      </c>
      <c r="M929" s="113">
        <f>SUMIFS(График[Возврат основной суммы долга],График[Дата с учетом нерабочих дней],$A929)</f>
        <v>0</v>
      </c>
      <c r="N929" s="56">
        <f>SUMIFS(График[Возврат начисленных %],График[Дата с учетом нерабочих дней],$A929)</f>
        <v>0</v>
      </c>
      <c r="O929" s="101">
        <v>0</v>
      </c>
      <c r="P929" s="100" cm="1">
        <f t="array" aca="1" ref="P929" ca="1">MAX(IF(AA928="Да",0,SUM(INDIRECT("M"&amp;(MAX(("Да"=AA$12:AA928)*ROW(AA$12:AA928)+1,ROW($P$12))&amp;":M"&amp;(ROW()))))-SUM(INDIRECT("W"&amp;(MAX(("Да"=AA$12:AA928)*ROW(AA$12:AA928)+1,ROW($P$12))&amp;":W"&amp;(ROW()))))),0)</f>
        <v>14824.650000000001</v>
      </c>
      <c r="Q929" s="99">
        <f ca="1">MAX(SUM($N$13:N929)-SUM($T$13:T929),0)</f>
        <v>66278.050655737679</v>
      </c>
      <c r="R929" s="99">
        <f ca="1">Первоначальный[[#This Row],[Просроченный платеж по ОД]]+Первоначальный[[#This Row],[Просроченный платеж по процентам]]</f>
        <v>81102.700655737688</v>
      </c>
      <c r="S929" s="120">
        <f ca="1">IF(Первоначальный[[#This Row],[Просроченный платеж]]&lt;1,0,S928+1)</f>
        <v>825</v>
      </c>
      <c r="T929" s="100" cm="1">
        <f t="array" aca="1" ref="T929" ca="1">IF(Первоначальный[[#This Row],[Итого остаток на начало периода]]&lt;1,0,
IF(
AND(TYPE(VLOOKUP(1,$Z$12:Z929,1,0))=16,Первоначальный[[#This Row],[Досрочное погашение (да/"")]]=""),0,
_xlfn.IFS(AND(S928=0,Первоначальный[[#This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платеж]]&lt;&gt;0),MIN(LOOKUP(,-1/($Z$12:Z929=1),$C$12:C929)+LOOKUP(,-1/($Z$12:Z929=1),$H$12:H929),Первоначальный[[#This Row],[Полученный платеж]]+Y928),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платеж]]+Y928,SUM(Первоначальный[[#This Row],[Остаток процентов на начало периода]],Первоначальный[[#This Row],[Проценты за период]])),
AND(S928=0,Первоначальный[[#This Row],[Дата платежа из графика]]=""),0,
AND(S928=0,Первоначальный[[#This Row],[Дата платежа из графика]]=1,MAX((0&lt;&gt;S$12:S928)*ROW(S$12:S928),ROW($S$12))&gt;=MAX((1=Z$12:Z928)*ROW(Z$12:Z928),ROW($T$12)),TYPE(VLOOKUP("Да",(INDIRECT("AA"&amp;(MAX((1=Z$12:Z928)*ROW(Z$12:Z928),ROW($T$12))&amp;":AA"&amp;(ROW()-1)))),1,0))=16),MIN(LOOKUP(,-1/($Z$12:Z929=1),$C$12:C929)+LOOKUP(,-1/($Z$12:Z929=1),$H$12:H929),Первоначальный[[#This Row],[Полученный платеж]]+Y928),
AND(S928=0,TYPE(VLOOKUP("Да",(INDIRECT("AA"&amp;(MAX((1=Z$12:Z928)*ROW(Z$12:Z928),ROW($T$12))&amp;":AA"&amp;(ROW()-1)))),1,0))&lt;&gt;16),MIN(LOOKUP(,-1/($Z$12:Z929=1),$C$12:C929)+LOOKUP(,-1/($Z$12:Z929=1),$H$12:H929)-IF(AA928="Да",0,SUM(INDIRECT("T"&amp;(MAX(("Да"=AA$12:AA928)*ROW(AA$12:AA928)+1,ROW($T$12))&amp;":T"&amp;(ROW()-1))))),Первоначальный[[#This Row],[Полученный платеж]]+Y928),
AND(S928=0,MAX((0&lt;&gt;N$12:N928)*ROW(N$12:N928),ROW($S$12))&gt;=MAX((1=Z$12:Z928)*ROW(Z$12:Z928),ROW($T$12))),MIN(LOOKUP(,-1/($Z$12:Z929=1),$C$12:C929)+LOOKUP(,-1/($Z$12:Z929=1),$H$12:H929)-IF(N928&lt;&gt;0,0,SUM(INDIRECT("T"&amp;(MAX((0&lt;&gt;N$12:N928)*ROW(N$12:N928)+1,ROW($T$12))&amp;":T"&amp;(ROW()-1))))),Первоначальный[[#This Row],[Полученный платеж]]+Y928),
AND(S928=0,Первоначальный[[#This Row],[Дата платежа из графика]]=1),MIN(LOOKUP(,-1/($Z$12:Z929=1),$C$12:C929)+LOOKUP(,-1/($Z$12:Z929=1),$H$12:H929)-IF(Z928=1,0,SUM(INDIRECT("T"&amp;(MAX((1=Z$12:Z928)*ROW(Z$12:Z928)+1,ROW($T$12))&amp;":T"&amp;(ROW()-1))))),Первоначальный[[#This Row],[Полученный платеж]]+Y928),
AND(Z928&gt;0,Первоначальный[[#This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платеж]]+Y928),
AND(S928&gt;0,MAX((0&lt;&gt;S$12:S928)*ROW(S$12:S928),ROW($S$12))&gt;=MAX((1=Z$12:Z928)*ROW(Z$12:Z928),ROW($T$12)),TYPE(VLOOKUP("Да",(INDIRECT("AA"&amp;(MAX((1=Z$12:Z928)*ROW(Z$12:Z928),ROW($T$12))&amp;":AA"&amp;(ROW()-1)))),1,0))=16),MIN(LOOKUP(,-1/($Z$12:Z929=1),$C$12:C929)+LOOKUP(,-1/($Z$12:Z929=1),$H$12:H929)-SUM(INDIRECT("T"&amp;(MAX((1=Z$12:Z928)*ROW(Z$12:Z928),ROW($T$12))&amp;":T"&amp;(ROW()-1)))),Первоначальный[[#This Row],[Полученный платеж]]+Y928),
S928&gt;0,MIN(LOOKUP(,-1/($Z$12:Z929=1),$C$12:C929)+LOOKUP(,-1/($Z$12:Z929=1),$H$12:H929)-IF(Z928=1,0,SUM(INDIRECT("T"&amp;(MAX((1=Z$12:Z928)*ROW(Z$12:Z928)+1,ROW($T$12))&amp;":T"&amp;(ROW()-1))))),Первоначальный[[#This Row],[Полученный платеж]]+Y928)
)
)
)</f>
        <v>0</v>
      </c>
      <c r="U92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платеж]]+Y928-Первоначальный[[#This Row],[Полученный платёж по процентам]])</f>
        <v>0</v>
      </c>
      <c r="V929" s="55">
        <f t="shared" ca="1" si="171"/>
        <v>0</v>
      </c>
      <c r="W929" s="55" cm="1">
        <f t="array" aca="1" ref="W929" ca="1">IF(Первоначальный[[#This Row],[Итого остаток на начало периода]]&lt;1,0,
_xlfn.IFS(
AND(TYPE(VLOOKUP(1,$Z$12:Z929,1,0))=16,Первоначальный[[#This Row],[Досрочное погашение (да/"")]]=""),0,
AND(S928=0,Первоначальный[[#This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платеж]]+Y928-SUM(Первоначальный[[#This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комиссиям]]),VLOOKUP(LOOKUP(,-1/($Z$12:Z929=1),$A$12:A929),График[[Срок конец]:[Возврат основной суммы долга]],3,0)),
AND(S928=0,Первоначальный[[#This Row],[Дата платежа из графика]]="",Первоначальный[[#This Row],[Досрочное погашение (да/"")]]&lt;&gt;"Да"),0,
AND(S928=0,Первоначальный[[#This Row],[Досрочное погашение (да/"")]]=""),MIN(Первоначальный[[#This Row],[Полученный платеж]]+Y928-SUM(Первоначальный[[#This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комиссиям]]),VLOOKUP(LOOKUP(,-1/($Z$12:Z929=1),$A$12:A929),График[[Срок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платеж]]+Y928-SUM(Первоначальный[[#This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S928&gt;0,MIN(Первоначальный[[#This Row],[Полученный платеж]]+Y928-SUM(Первоначальный[[#This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комиссиям]]),SUM(INDIRECT("M"&amp;(MAX((1=S$12:S928)*ROW(S$12:S928),ROW($W$12))&amp;":M"&amp;(ROW()))))-SUM(INDIRECT("W"&amp;(MAX((1=S$12:S928)*ROW(S$12:S928),ROW($W$12))&amp;":W"&amp;(ROW()-1)))))
)
)</f>
        <v>0</v>
      </c>
      <c r="X929" s="55">
        <f t="shared" ca="1" si="172"/>
        <v>0</v>
      </c>
      <c r="Y929" s="101">
        <f t="shared" ca="1" si="179"/>
        <v>0</v>
      </c>
      <c r="Z929" s="133" t="str">
        <f>IF(TYPE((VLOOKUP(Первоначальный[[#This Row],[Дата платежа]],График[Срок конец],1,0)))=16,"",1)</f>
        <v/>
      </c>
      <c r="AA929" s="57"/>
      <c r="AB929" s="134"/>
      <c r="AC92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2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66647.849999999919</v>
      </c>
      <c r="AE92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3090.2299999999923</v>
      </c>
      <c r="AF92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2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168434.66020491766</v>
      </c>
      <c r="AH929" s="55"/>
      <c r="AI929" s="55"/>
      <c r="AJ929" s="55"/>
      <c r="AK929" s="101">
        <f t="shared" ca="1" si="180"/>
        <v>387806.08020491758</v>
      </c>
      <c r="AL929" s="129">
        <f t="array" ref="AL929">MAX((УслРестрактов[Характеристика]="Дата реструктуризации")*(УслРестрактов[Значение]=Первоначальный!$A929),0)</f>
        <v>0</v>
      </c>
    </row>
    <row r="930" spans="1:38" x14ac:dyDescent="0.25">
      <c r="A930" s="97">
        <f t="shared" si="173"/>
        <v>45061</v>
      </c>
      <c r="B930" s="100">
        <f t="shared" ca="1" si="174"/>
        <v>149633.34</v>
      </c>
      <c r="C930" s="55">
        <f t="shared" ca="1" si="170"/>
        <v>66647.849999999919</v>
      </c>
      <c r="D930" s="55">
        <f t="shared" ca="1" si="170"/>
        <v>3090.2299999999923</v>
      </c>
      <c r="E930" s="55">
        <f t="shared" ca="1" si="175"/>
        <v>0</v>
      </c>
      <c r="F930" s="55">
        <f t="shared" ca="1" si="176"/>
        <v>168434.66020491766</v>
      </c>
      <c r="G930" s="101">
        <f t="shared" ca="1" si="177"/>
        <v>387806.08020491758</v>
      </c>
      <c r="H930" s="100">
        <f ca="1">ROUND($B930*VLOOKUP($A930,$A$1:$B$10,2,1)/(365+IF(MOD(YEAR($A930),4),0,1)*($A930-$A929)),2)-Первоначальный[[#This Row],[Проценты на просроченный платеж по ОД за период]]</f>
        <v>73.5</v>
      </c>
      <c r="I930" s="55">
        <f t="shared" ca="1" si="178"/>
        <v>8.08</v>
      </c>
      <c r="J930" s="55">
        <v>0</v>
      </c>
      <c r="K930" s="55">
        <f t="shared" ca="1" si="181"/>
        <v>405.51350327868846</v>
      </c>
      <c r="L930" s="55">
        <v>0</v>
      </c>
      <c r="M930" s="113">
        <f>SUMIFS(График[Возврат основной суммы долга],График[Дата с учетом нерабочих дней],$A930)</f>
        <v>0</v>
      </c>
      <c r="N930" s="56">
        <f>SUMIFS(График[Возврат начисленных %],График[Дата с учетом нерабочих дней],$A930)</f>
        <v>0</v>
      </c>
      <c r="O930" s="101">
        <v>0</v>
      </c>
      <c r="P930" s="100" cm="1">
        <f t="array" aca="1" ref="P930" ca="1">MAX(IF(AA929="Да",0,SUM(INDIRECT("M"&amp;(MAX(("Да"=AA$12:AA929)*ROW(AA$12:AA929)+1,ROW($P$12))&amp;":M"&amp;(ROW()))))-SUM(INDIRECT("W"&amp;(MAX(("Да"=AA$12:AA929)*ROW(AA$12:AA929)+1,ROW($P$12))&amp;":W"&amp;(ROW()))))),0)</f>
        <v>14824.650000000001</v>
      </c>
      <c r="Q930" s="99">
        <f ca="1">MAX(SUM($N$13:N930)-SUM($T$13:T930),0)</f>
        <v>66278.050655737679</v>
      </c>
      <c r="R930" s="99">
        <f ca="1">Первоначальный[[#This Row],[Просроченный платеж по ОД]]+Первоначальный[[#This Row],[Просроченный платеж по процентам]]</f>
        <v>81102.700655737688</v>
      </c>
      <c r="S930" s="120">
        <f ca="1">IF(Первоначальный[[#This Row],[Просроченный платеж]]&lt;1,0,S929+1)</f>
        <v>826</v>
      </c>
      <c r="T930" s="100" cm="1">
        <f t="array" aca="1" ref="T930" ca="1">IF(Первоначальный[[#This Row],[Итого остаток на начало периода]]&lt;1,0,
IF(
AND(TYPE(VLOOKUP(1,$Z$12:Z930,1,0))=16,Первоначальный[[#This Row],[Досрочное погашение (да/"")]]=""),0,
_xlfn.IFS(AND(S929=0,Первоначальный[[#This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платеж]]&lt;&gt;0),MIN(LOOKUP(,-1/($Z$12:Z930=1),$C$12:C930)+LOOKUP(,-1/($Z$12:Z930=1),$H$12:H930),Первоначальный[[#This Row],[Полученный платеж]]+Y929),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платеж]]+Y929,SUM(Первоначальный[[#This Row],[Остаток процентов на начало периода]],Первоначальный[[#This Row],[Проценты за период]])),
AND(S929=0,Первоначальный[[#This Row],[Дата платежа из графика]]=""),0,
AND(S929=0,Первоначальный[[#This Row],[Дата платежа из графика]]=1,MAX((0&lt;&gt;S$12:S929)*ROW(S$12:S929),ROW($S$12))&gt;=MAX((1=Z$12:Z929)*ROW(Z$12:Z929),ROW($T$12)),TYPE(VLOOKUP("Да",(INDIRECT("AA"&amp;(MAX((1=Z$12:Z929)*ROW(Z$12:Z929),ROW($T$12))&amp;":AA"&amp;(ROW()-1)))),1,0))=16),MIN(LOOKUP(,-1/($Z$12:Z930=1),$C$12:C930)+LOOKUP(,-1/($Z$12:Z930=1),$H$12:H930),Первоначальный[[#This Row],[Полученный платеж]]+Y929),
AND(S929=0,TYPE(VLOOKUP("Да",(INDIRECT("AA"&amp;(MAX((1=Z$12:Z929)*ROW(Z$12:Z929),ROW($T$12))&amp;":AA"&amp;(ROW()-1)))),1,0))&lt;&gt;16),MIN(LOOKUP(,-1/($Z$12:Z930=1),$C$12:C930)+LOOKUP(,-1/($Z$12:Z930=1),$H$12:H930)-IF(AA929="Да",0,SUM(INDIRECT("T"&amp;(MAX(("Да"=AA$12:AA929)*ROW(AA$12:AA929)+1,ROW($T$12))&amp;":T"&amp;(ROW()-1))))),Первоначальный[[#This Row],[Полученный платеж]]+Y929),
AND(S929=0,MAX((0&lt;&gt;N$12:N929)*ROW(N$12:N929),ROW($S$12))&gt;=MAX((1=Z$12:Z929)*ROW(Z$12:Z929),ROW($T$12))),MIN(LOOKUP(,-1/($Z$12:Z930=1),$C$12:C930)+LOOKUP(,-1/($Z$12:Z930=1),$H$12:H930)-IF(N929&lt;&gt;0,0,SUM(INDIRECT("T"&amp;(MAX((0&lt;&gt;N$12:N929)*ROW(N$12:N929)+1,ROW($T$12))&amp;":T"&amp;(ROW()-1))))),Первоначальный[[#This Row],[Полученный платеж]]+Y929),
AND(S929=0,Первоначальный[[#This Row],[Дата платежа из графика]]=1),MIN(LOOKUP(,-1/($Z$12:Z930=1),$C$12:C930)+LOOKUP(,-1/($Z$12:Z930=1),$H$12:H930)-IF(Z929=1,0,SUM(INDIRECT("T"&amp;(MAX((1=Z$12:Z929)*ROW(Z$12:Z929)+1,ROW($T$12))&amp;":T"&amp;(ROW()-1))))),Первоначальный[[#This Row],[Полученный платеж]]+Y929),
AND(Z929&gt;0,Первоначальный[[#This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платеж]]+Y929),
AND(S929&gt;0,MAX((0&lt;&gt;S$12:S929)*ROW(S$12:S929),ROW($S$12))&gt;=MAX((1=Z$12:Z929)*ROW(Z$12:Z929),ROW($T$12)),TYPE(VLOOKUP("Да",(INDIRECT("AA"&amp;(MAX((1=Z$12:Z929)*ROW(Z$12:Z929),ROW($T$12))&amp;":AA"&amp;(ROW()-1)))),1,0))=16),MIN(LOOKUP(,-1/($Z$12:Z930=1),$C$12:C930)+LOOKUP(,-1/($Z$12:Z930=1),$H$12:H930)-SUM(INDIRECT("T"&amp;(MAX((1=Z$12:Z929)*ROW(Z$12:Z929),ROW($T$12))&amp;":T"&amp;(ROW()-1)))),Первоначальный[[#This Row],[Полученный платеж]]+Y929),
S929&gt;0,MIN(LOOKUP(,-1/($Z$12:Z930=1),$C$12:C930)+LOOKUP(,-1/($Z$12:Z930=1),$H$12:H930)-IF(Z929=1,0,SUM(INDIRECT("T"&amp;(MAX((1=Z$12:Z929)*ROW(Z$12:Z929)+1,ROW($T$12))&amp;":T"&amp;(ROW()-1))))),Первоначальный[[#This Row],[Полученный платеж]]+Y929)
)
)
)</f>
        <v>0</v>
      </c>
      <c r="U93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платеж]]+Y929-Первоначальный[[#This Row],[Полученный платёж по процентам]])</f>
        <v>0</v>
      </c>
      <c r="V930" s="55">
        <f t="shared" ca="1" si="171"/>
        <v>0</v>
      </c>
      <c r="W930" s="55" cm="1">
        <f t="array" aca="1" ref="W930" ca="1">IF(Первоначальный[[#This Row],[Итого остаток на начало периода]]&lt;1,0,
_xlfn.IFS(
AND(TYPE(VLOOKUP(1,$Z$12:Z930,1,0))=16,Первоначальный[[#This Row],[Досрочное погашение (да/"")]]=""),0,
AND(S929=0,Первоначальный[[#This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платеж]]+Y929-SUM(Первоначальный[[#This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комиссиям]]),VLOOKUP(LOOKUP(,-1/($Z$12:Z930=1),$A$12:A930),График[[Срок конец]:[Возврат основной суммы долга]],3,0)),
AND(S929=0,Первоначальный[[#This Row],[Дата платежа из графика]]="",Первоначальный[[#This Row],[Досрочное погашение (да/"")]]&lt;&gt;"Да"),0,
AND(S929=0,Первоначальный[[#This Row],[Досрочное погашение (да/"")]]=""),MIN(Первоначальный[[#This Row],[Полученный платеж]]+Y929-SUM(Первоначальный[[#This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комиссиям]]),VLOOKUP(LOOKUP(,-1/($Z$12:Z930=1),$A$12:A930),График[[Срок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платеж]]+Y929-SUM(Первоначальный[[#This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S929&gt;0,MIN(Первоначальный[[#This Row],[Полученный платеж]]+Y929-SUM(Первоначальный[[#This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комиссиям]]),SUM(INDIRECT("M"&amp;(MAX((1=S$12:S929)*ROW(S$12:S929),ROW($W$12))&amp;":M"&amp;(ROW()))))-SUM(INDIRECT("W"&amp;(MAX((1=S$12:S929)*ROW(S$12:S929),ROW($W$12))&amp;":W"&amp;(ROW()-1)))))
)
)</f>
        <v>0</v>
      </c>
      <c r="X930" s="55">
        <f t="shared" ca="1" si="172"/>
        <v>0</v>
      </c>
      <c r="Y930" s="101">
        <f t="shared" ca="1" si="179"/>
        <v>0</v>
      </c>
      <c r="Z930" s="133" t="str">
        <f>IF(TYPE((VLOOKUP(Первоначальный[[#This Row],[Дата платежа]],График[Срок конец],1,0)))=16,"",1)</f>
        <v/>
      </c>
      <c r="AA930" s="57"/>
      <c r="AB930" s="134"/>
      <c r="AC93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3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66721.349999999919</v>
      </c>
      <c r="AE93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3098.3099999999922</v>
      </c>
      <c r="AF93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3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168840.17370819635</v>
      </c>
      <c r="AH930" s="55"/>
      <c r="AI930" s="55"/>
      <c r="AJ930" s="55"/>
      <c r="AK930" s="101">
        <f t="shared" ca="1" si="180"/>
        <v>388293.17370819626</v>
      </c>
      <c r="AL930" s="129">
        <f t="array" ref="AL930">MAX((УслРестрактов[Характеристика]="Дата реструктуризации")*(УслРестрактов[Значение]=Первоначальный!$A930),0)</f>
        <v>0</v>
      </c>
    </row>
    <row r="931" spans="1:38" x14ac:dyDescent="0.25">
      <c r="A931" s="97">
        <f t="shared" si="173"/>
        <v>45062</v>
      </c>
      <c r="B931" s="100">
        <f t="shared" ca="1" si="174"/>
        <v>149633.34</v>
      </c>
      <c r="C931" s="55">
        <f t="shared" ca="1" si="170"/>
        <v>66721.349999999919</v>
      </c>
      <c r="D931" s="55">
        <f t="shared" ca="1" si="170"/>
        <v>3098.3099999999922</v>
      </c>
      <c r="E931" s="55">
        <f t="shared" ca="1" si="175"/>
        <v>0</v>
      </c>
      <c r="F931" s="55">
        <f t="shared" ca="1" si="176"/>
        <v>168840.17370819635</v>
      </c>
      <c r="G931" s="101">
        <f t="shared" ca="1" si="177"/>
        <v>388293.17370819626</v>
      </c>
      <c r="H931" s="100">
        <f ca="1">ROUND($B931*VLOOKUP($A931,$A$1:$B$10,2,1)/(365+IF(MOD(YEAR($A931),4),0,1)*($A931-$A930)),2)-Первоначальный[[#This Row],[Проценты на просроченный платеж по ОД за период]]</f>
        <v>73.5</v>
      </c>
      <c r="I931" s="55">
        <f t="shared" ca="1" si="178"/>
        <v>8.08</v>
      </c>
      <c r="J931" s="55">
        <v>0</v>
      </c>
      <c r="K931" s="55">
        <f t="shared" ca="1" si="181"/>
        <v>405.51350327868846</v>
      </c>
      <c r="L931" s="55">
        <v>0</v>
      </c>
      <c r="M931" s="113">
        <f>SUMIFS(График[Возврат основной суммы долга],График[Дата с учетом нерабочих дней],$A931)</f>
        <v>0</v>
      </c>
      <c r="N931" s="56">
        <f>SUMIFS(График[Возврат начисленных %],График[Дата с учетом нерабочих дней],$A931)</f>
        <v>0</v>
      </c>
      <c r="O931" s="101">
        <v>0</v>
      </c>
      <c r="P931" s="100" cm="1">
        <f t="array" aca="1" ref="P931" ca="1">MAX(IF(AA930="Да",0,SUM(INDIRECT("M"&amp;(MAX(("Да"=AA$12:AA930)*ROW(AA$12:AA930)+1,ROW($P$12))&amp;":M"&amp;(ROW()))))-SUM(INDIRECT("W"&amp;(MAX(("Да"=AA$12:AA930)*ROW(AA$12:AA930)+1,ROW($P$12))&amp;":W"&amp;(ROW()))))),0)</f>
        <v>14824.650000000001</v>
      </c>
      <c r="Q931" s="99">
        <f ca="1">MAX(SUM($N$13:N931)-SUM($T$13:T931),0)</f>
        <v>66278.050655737679</v>
      </c>
      <c r="R931" s="99">
        <f ca="1">Первоначальный[[#This Row],[Просроченный платеж по ОД]]+Первоначальный[[#This Row],[Просроченный платеж по процентам]]</f>
        <v>81102.700655737688</v>
      </c>
      <c r="S931" s="120">
        <f ca="1">IF(Первоначальный[[#This Row],[Просроченный платеж]]&lt;1,0,S930+1)</f>
        <v>827</v>
      </c>
      <c r="T931" s="100" cm="1">
        <f t="array" aca="1" ref="T931" ca="1">IF(Первоначальный[[#This Row],[Итого остаток на начало периода]]&lt;1,0,
IF(
AND(TYPE(VLOOKUP(1,$Z$12:Z931,1,0))=16,Первоначальный[[#This Row],[Досрочное погашение (да/"")]]=""),0,
_xlfn.IFS(AND(S930=0,Первоначальный[[#This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платеж]]&lt;&gt;0),MIN(LOOKUP(,-1/($Z$12:Z931=1),$C$12:C931)+LOOKUP(,-1/($Z$12:Z931=1),$H$12:H931),Первоначальный[[#This Row],[Полученный платеж]]+Y930),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платеж]]+Y930,SUM(Первоначальный[[#This Row],[Остаток процентов на начало периода]],Первоначальный[[#This Row],[Проценты за период]])),
AND(S930=0,Первоначальный[[#This Row],[Дата платежа из графика]]=""),0,
AND(S930=0,Первоначальный[[#This Row],[Дата платежа из графика]]=1,MAX((0&lt;&gt;S$12:S930)*ROW(S$12:S930),ROW($S$12))&gt;=MAX((1=Z$12:Z930)*ROW(Z$12:Z930),ROW($T$12)),TYPE(VLOOKUP("Да",(INDIRECT("AA"&amp;(MAX((1=Z$12:Z930)*ROW(Z$12:Z930),ROW($T$12))&amp;":AA"&amp;(ROW()-1)))),1,0))=16),MIN(LOOKUP(,-1/($Z$12:Z931=1),$C$12:C931)+LOOKUP(,-1/($Z$12:Z931=1),$H$12:H931),Первоначальный[[#This Row],[Полученный платеж]]+Y930),
AND(S930=0,TYPE(VLOOKUP("Да",(INDIRECT("AA"&amp;(MAX((1=Z$12:Z930)*ROW(Z$12:Z930),ROW($T$12))&amp;":AA"&amp;(ROW()-1)))),1,0))&lt;&gt;16),MIN(LOOKUP(,-1/($Z$12:Z931=1),$C$12:C931)+LOOKUP(,-1/($Z$12:Z931=1),$H$12:H931)-IF(AA930="Да",0,SUM(INDIRECT("T"&amp;(MAX(("Да"=AA$12:AA930)*ROW(AA$12:AA930)+1,ROW($T$12))&amp;":T"&amp;(ROW()-1))))),Первоначальный[[#This Row],[Полученный платеж]]+Y930),
AND(S930=0,MAX((0&lt;&gt;N$12:N930)*ROW(N$12:N930),ROW($S$12))&gt;=MAX((1=Z$12:Z930)*ROW(Z$12:Z930),ROW($T$12))),MIN(LOOKUP(,-1/($Z$12:Z931=1),$C$12:C931)+LOOKUP(,-1/($Z$12:Z931=1),$H$12:H931)-IF(N930&lt;&gt;0,0,SUM(INDIRECT("T"&amp;(MAX((0&lt;&gt;N$12:N930)*ROW(N$12:N930)+1,ROW($T$12))&amp;":T"&amp;(ROW()-1))))),Первоначальный[[#This Row],[Полученный платеж]]+Y930),
AND(S930=0,Первоначальный[[#This Row],[Дата платежа из графика]]=1),MIN(LOOKUP(,-1/($Z$12:Z931=1),$C$12:C931)+LOOKUP(,-1/($Z$12:Z931=1),$H$12:H931)-IF(Z930=1,0,SUM(INDIRECT("T"&amp;(MAX((1=Z$12:Z930)*ROW(Z$12:Z930)+1,ROW($T$12))&amp;":T"&amp;(ROW()-1))))),Первоначальный[[#This Row],[Полученный платеж]]+Y930),
AND(Z930&gt;0,Первоначальный[[#This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платеж]]+Y930),
AND(S930&gt;0,MAX((0&lt;&gt;S$12:S930)*ROW(S$12:S930),ROW($S$12))&gt;=MAX((1=Z$12:Z930)*ROW(Z$12:Z930),ROW($T$12)),TYPE(VLOOKUP("Да",(INDIRECT("AA"&amp;(MAX((1=Z$12:Z930)*ROW(Z$12:Z930),ROW($T$12))&amp;":AA"&amp;(ROW()-1)))),1,0))=16),MIN(LOOKUP(,-1/($Z$12:Z931=1),$C$12:C931)+LOOKUP(,-1/($Z$12:Z931=1),$H$12:H931)-SUM(INDIRECT("T"&amp;(MAX((1=Z$12:Z930)*ROW(Z$12:Z930),ROW($T$12))&amp;":T"&amp;(ROW()-1)))),Первоначальный[[#This Row],[Полученный платеж]]+Y930),
S930&gt;0,MIN(LOOKUP(,-1/($Z$12:Z931=1),$C$12:C931)+LOOKUP(,-1/($Z$12:Z931=1),$H$12:H931)-IF(Z930=1,0,SUM(INDIRECT("T"&amp;(MAX((1=Z$12:Z930)*ROW(Z$12:Z930)+1,ROW($T$12))&amp;":T"&amp;(ROW()-1))))),Первоначальный[[#This Row],[Полученный платеж]]+Y930)
)
)
)</f>
        <v>0</v>
      </c>
      <c r="U93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платеж]]+Y930-Первоначальный[[#This Row],[Полученный платёж по процентам]])</f>
        <v>0</v>
      </c>
      <c r="V931" s="55">
        <f t="shared" ca="1" si="171"/>
        <v>0</v>
      </c>
      <c r="W931" s="55" cm="1">
        <f t="array" aca="1" ref="W931" ca="1">IF(Первоначальный[[#This Row],[Итого остаток на начало периода]]&lt;1,0,
_xlfn.IFS(
AND(TYPE(VLOOKUP(1,$Z$12:Z931,1,0))=16,Первоначальный[[#This Row],[Досрочное погашение (да/"")]]=""),0,
AND(S930=0,Первоначальный[[#This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платеж]]+Y930-SUM(Первоначальный[[#This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комиссиям]]),VLOOKUP(LOOKUP(,-1/($Z$12:Z931=1),$A$12:A931),График[[Срок конец]:[Возврат основной суммы долга]],3,0)),
AND(S930=0,Первоначальный[[#This Row],[Дата платежа из графика]]="",Первоначальный[[#This Row],[Досрочное погашение (да/"")]]&lt;&gt;"Да"),0,
AND(S930=0,Первоначальный[[#This Row],[Досрочное погашение (да/"")]]=""),MIN(Первоначальный[[#This Row],[Полученный платеж]]+Y930-SUM(Первоначальный[[#This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комиссиям]]),VLOOKUP(LOOKUP(,-1/($Z$12:Z931=1),$A$12:A931),График[[Срок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платеж]]+Y930-SUM(Первоначальный[[#This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S930&gt;0,MIN(Первоначальный[[#This Row],[Полученный платеж]]+Y930-SUM(Первоначальный[[#This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комиссиям]]),SUM(INDIRECT("M"&amp;(MAX((1=S$12:S930)*ROW(S$12:S930),ROW($W$12))&amp;":M"&amp;(ROW()))))-SUM(INDIRECT("W"&amp;(MAX((1=S$12:S930)*ROW(S$12:S930),ROW($W$12))&amp;":W"&amp;(ROW()-1)))))
)
)</f>
        <v>0</v>
      </c>
      <c r="X931" s="55">
        <f t="shared" ca="1" si="172"/>
        <v>0</v>
      </c>
      <c r="Y931" s="101">
        <f t="shared" ca="1" si="179"/>
        <v>0</v>
      </c>
      <c r="Z931" s="133" t="str">
        <f>IF(TYPE((VLOOKUP(Первоначальный[[#This Row],[Дата платежа]],График[Срок конец],1,0)))=16,"",1)</f>
        <v/>
      </c>
      <c r="AA931" s="57"/>
      <c r="AB931" s="134"/>
      <c r="AC93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3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66794.849999999919</v>
      </c>
      <c r="AE93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3106.3899999999921</v>
      </c>
      <c r="AF93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3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169245.68721147504</v>
      </c>
      <c r="AH931" s="55"/>
      <c r="AI931" s="55"/>
      <c r="AJ931" s="55"/>
      <c r="AK931" s="101">
        <f t="shared" ca="1" si="180"/>
        <v>388780.26721147494</v>
      </c>
      <c r="AL931" s="129">
        <f t="array" ref="AL931">MAX((УслРестрактов[Характеристика]="Дата реструктуризации")*(УслРестрактов[Значение]=Первоначальный!$A931),0)</f>
        <v>0</v>
      </c>
    </row>
    <row r="932" spans="1:38" x14ac:dyDescent="0.25">
      <c r="A932" s="97">
        <f t="shared" si="173"/>
        <v>45063</v>
      </c>
      <c r="B932" s="100">
        <f t="shared" ca="1" si="174"/>
        <v>149633.34</v>
      </c>
      <c r="C932" s="55">
        <f t="shared" ca="1" si="170"/>
        <v>66794.849999999919</v>
      </c>
      <c r="D932" s="55">
        <f t="shared" ca="1" si="170"/>
        <v>3106.3899999999921</v>
      </c>
      <c r="E932" s="55">
        <f t="shared" ca="1" si="175"/>
        <v>0</v>
      </c>
      <c r="F932" s="55">
        <f t="shared" ca="1" si="176"/>
        <v>169245.68721147504</v>
      </c>
      <c r="G932" s="101">
        <f t="shared" ca="1" si="177"/>
        <v>388780.26721147494</v>
      </c>
      <c r="H932" s="100">
        <f ca="1">ROUND($B932*VLOOKUP($A932,$A$1:$B$10,2,1)/(365+IF(MOD(YEAR($A932),4),0,1)*($A932-$A931)),2)-Первоначальный[[#This Row],[Проценты на просроченный платеж по ОД за период]]</f>
        <v>73.5</v>
      </c>
      <c r="I932" s="55">
        <f t="shared" ca="1" si="178"/>
        <v>8.08</v>
      </c>
      <c r="J932" s="55">
        <v>0</v>
      </c>
      <c r="K932" s="55">
        <f t="shared" ca="1" si="181"/>
        <v>405.51350327868846</v>
      </c>
      <c r="L932" s="55">
        <v>0</v>
      </c>
      <c r="M932" s="113">
        <f>SUMIFS(График[Возврат основной суммы долга],График[Дата с учетом нерабочих дней],$A932)</f>
        <v>0</v>
      </c>
      <c r="N932" s="56">
        <f>SUMIFS(График[Возврат начисленных %],График[Дата с учетом нерабочих дней],$A932)</f>
        <v>0</v>
      </c>
      <c r="O932" s="101">
        <v>0</v>
      </c>
      <c r="P932" s="100" cm="1">
        <f t="array" aca="1" ref="P932" ca="1">MAX(IF(AA931="Да",0,SUM(INDIRECT("M"&amp;(MAX(("Да"=AA$12:AA931)*ROW(AA$12:AA931)+1,ROW($P$12))&amp;":M"&amp;(ROW()))))-SUM(INDIRECT("W"&amp;(MAX(("Да"=AA$12:AA931)*ROW(AA$12:AA931)+1,ROW($P$12))&amp;":W"&amp;(ROW()))))),0)</f>
        <v>14824.650000000001</v>
      </c>
      <c r="Q932" s="99">
        <f ca="1">MAX(SUM($N$13:N932)-SUM($T$13:T932),0)</f>
        <v>66278.050655737679</v>
      </c>
      <c r="R932" s="99">
        <f ca="1">Первоначальный[[#This Row],[Просроченный платеж по ОД]]+Первоначальный[[#This Row],[Просроченный платеж по процентам]]</f>
        <v>81102.700655737688</v>
      </c>
      <c r="S932" s="120">
        <f ca="1">IF(Первоначальный[[#This Row],[Просроченный платеж]]&lt;1,0,S931+1)</f>
        <v>828</v>
      </c>
      <c r="T932" s="100" cm="1">
        <f t="array" aca="1" ref="T932" ca="1">IF(Первоначальный[[#This Row],[Итого остаток на начало периода]]&lt;1,0,
IF(
AND(TYPE(VLOOKUP(1,$Z$12:Z932,1,0))=16,Первоначальный[[#This Row],[Досрочное погашение (да/"")]]=""),0,
_xlfn.IFS(AND(S931=0,Первоначальный[[#This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платеж]]&lt;&gt;0),MIN(LOOKUP(,-1/($Z$12:Z932=1),$C$12:C932)+LOOKUP(,-1/($Z$12:Z932=1),$H$12:H932),Первоначальный[[#This Row],[Полученный платеж]]+Y931),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платеж]]+Y931,SUM(Первоначальный[[#This Row],[Остаток процентов на начало периода]],Первоначальный[[#This Row],[Проценты за период]])),
AND(S931=0,Первоначальный[[#This Row],[Дата платежа из графика]]=""),0,
AND(S931=0,Первоначальный[[#This Row],[Дата платежа из графика]]=1,MAX((0&lt;&gt;S$12:S931)*ROW(S$12:S931),ROW($S$12))&gt;=MAX((1=Z$12:Z931)*ROW(Z$12:Z931),ROW($T$12)),TYPE(VLOOKUP("Да",(INDIRECT("AA"&amp;(MAX((1=Z$12:Z931)*ROW(Z$12:Z931),ROW($T$12))&amp;":AA"&amp;(ROW()-1)))),1,0))=16),MIN(LOOKUP(,-1/($Z$12:Z932=1),$C$12:C932)+LOOKUP(,-1/($Z$12:Z932=1),$H$12:H932),Первоначальный[[#This Row],[Полученный платеж]]+Y931),
AND(S931=0,TYPE(VLOOKUP("Да",(INDIRECT("AA"&amp;(MAX((1=Z$12:Z931)*ROW(Z$12:Z931),ROW($T$12))&amp;":AA"&amp;(ROW()-1)))),1,0))&lt;&gt;16),MIN(LOOKUP(,-1/($Z$12:Z932=1),$C$12:C932)+LOOKUP(,-1/($Z$12:Z932=1),$H$12:H932)-IF(AA931="Да",0,SUM(INDIRECT("T"&amp;(MAX(("Да"=AA$12:AA931)*ROW(AA$12:AA931)+1,ROW($T$12))&amp;":T"&amp;(ROW()-1))))),Первоначальный[[#This Row],[Полученный платеж]]+Y931),
AND(S931=0,MAX((0&lt;&gt;N$12:N931)*ROW(N$12:N931),ROW($S$12))&gt;=MAX((1=Z$12:Z931)*ROW(Z$12:Z931),ROW($T$12))),MIN(LOOKUP(,-1/($Z$12:Z932=1),$C$12:C932)+LOOKUP(,-1/($Z$12:Z932=1),$H$12:H932)-IF(N931&lt;&gt;0,0,SUM(INDIRECT("T"&amp;(MAX((0&lt;&gt;N$12:N931)*ROW(N$12:N931)+1,ROW($T$12))&amp;":T"&amp;(ROW()-1))))),Первоначальный[[#This Row],[Полученный платеж]]+Y931),
AND(S931=0,Первоначальный[[#This Row],[Дата платежа из графика]]=1),MIN(LOOKUP(,-1/($Z$12:Z932=1),$C$12:C932)+LOOKUP(,-1/($Z$12:Z932=1),$H$12:H932)-IF(Z931=1,0,SUM(INDIRECT("T"&amp;(MAX((1=Z$12:Z931)*ROW(Z$12:Z931)+1,ROW($T$12))&amp;":T"&amp;(ROW()-1))))),Первоначальный[[#This Row],[Полученный платеж]]+Y931),
AND(Z931&gt;0,Первоначальный[[#This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платеж]]+Y931),
AND(S931&gt;0,MAX((0&lt;&gt;S$12:S931)*ROW(S$12:S931),ROW($S$12))&gt;=MAX((1=Z$12:Z931)*ROW(Z$12:Z931),ROW($T$12)),TYPE(VLOOKUP("Да",(INDIRECT("AA"&amp;(MAX((1=Z$12:Z931)*ROW(Z$12:Z931),ROW($T$12))&amp;":AA"&amp;(ROW()-1)))),1,0))=16),MIN(LOOKUP(,-1/($Z$12:Z932=1),$C$12:C932)+LOOKUP(,-1/($Z$12:Z932=1),$H$12:H932)-SUM(INDIRECT("T"&amp;(MAX((1=Z$12:Z931)*ROW(Z$12:Z931),ROW($T$12))&amp;":T"&amp;(ROW()-1)))),Первоначальный[[#This Row],[Полученный платеж]]+Y931),
S931&gt;0,MIN(LOOKUP(,-1/($Z$12:Z932=1),$C$12:C932)+LOOKUP(,-1/($Z$12:Z932=1),$H$12:H932)-IF(Z931=1,0,SUM(INDIRECT("T"&amp;(MAX((1=Z$12:Z931)*ROW(Z$12:Z931)+1,ROW($T$12))&amp;":T"&amp;(ROW()-1))))),Первоначальный[[#This Row],[Полученный платеж]]+Y931)
)
)
)</f>
        <v>0</v>
      </c>
      <c r="U93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платеж]]+Y931-Первоначальный[[#This Row],[Полученный платёж по процентам]])</f>
        <v>0</v>
      </c>
      <c r="V932" s="55">
        <f t="shared" ca="1" si="171"/>
        <v>0</v>
      </c>
      <c r="W932" s="55" cm="1">
        <f t="array" aca="1" ref="W932" ca="1">IF(Первоначальный[[#This Row],[Итого остаток на начало периода]]&lt;1,0,
_xlfn.IFS(
AND(TYPE(VLOOKUP(1,$Z$12:Z932,1,0))=16,Первоначальный[[#This Row],[Досрочное погашение (да/"")]]=""),0,
AND(S931=0,Первоначальный[[#This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платеж]]+Y931-SUM(Первоначальный[[#This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комиссиям]]),VLOOKUP(LOOKUP(,-1/($Z$12:Z932=1),$A$12:A932),График[[Срок конец]:[Возврат основной суммы долга]],3,0)),
AND(S931=0,Первоначальный[[#This Row],[Дата платежа из графика]]="",Первоначальный[[#This Row],[Досрочное погашение (да/"")]]&lt;&gt;"Да"),0,
AND(S931=0,Первоначальный[[#This Row],[Досрочное погашение (да/"")]]=""),MIN(Первоначальный[[#This Row],[Полученный платеж]]+Y931-SUM(Первоначальный[[#This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комиссиям]]),VLOOKUP(LOOKUP(,-1/($Z$12:Z932=1),$A$12:A932),График[[Срок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платеж]]+Y931-SUM(Первоначальный[[#This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S931&gt;0,MIN(Первоначальный[[#This Row],[Полученный платеж]]+Y931-SUM(Первоначальный[[#This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комиссиям]]),SUM(INDIRECT("M"&amp;(MAX((1=S$12:S931)*ROW(S$12:S931),ROW($W$12))&amp;":M"&amp;(ROW()))))-SUM(INDIRECT("W"&amp;(MAX((1=S$12:S931)*ROW(S$12:S931),ROW($W$12))&amp;":W"&amp;(ROW()-1)))))
)
)</f>
        <v>0</v>
      </c>
      <c r="X932" s="55">
        <f t="shared" ca="1" si="172"/>
        <v>0</v>
      </c>
      <c r="Y932" s="101">
        <f t="shared" ca="1" si="179"/>
        <v>0</v>
      </c>
      <c r="Z932" s="133" t="str">
        <f>IF(TYPE((VLOOKUP(Первоначальный[[#This Row],[Дата платежа]],График[Срок конец],1,0)))=16,"",1)</f>
        <v/>
      </c>
      <c r="AA932" s="57"/>
      <c r="AB932" s="134"/>
      <c r="AC93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3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66868.349999999919</v>
      </c>
      <c r="AE93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3114.4699999999921</v>
      </c>
      <c r="AF93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3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169651.20071475374</v>
      </c>
      <c r="AH932" s="55"/>
      <c r="AI932" s="55"/>
      <c r="AJ932" s="55"/>
      <c r="AK932" s="101">
        <f t="shared" ca="1" si="180"/>
        <v>389267.36071475362</v>
      </c>
      <c r="AL932" s="129">
        <f t="array" ref="AL932">MAX((УслРестрактов[Характеристика]="Дата реструктуризации")*(УслРестрактов[Значение]=Первоначальный!$A932),0)</f>
        <v>0</v>
      </c>
    </row>
    <row r="933" spans="1:38" x14ac:dyDescent="0.25">
      <c r="A933" s="97">
        <f t="shared" si="173"/>
        <v>45064</v>
      </c>
      <c r="B933" s="100">
        <f t="shared" ca="1" si="174"/>
        <v>149633.34</v>
      </c>
      <c r="C933" s="55">
        <f t="shared" ca="1" si="170"/>
        <v>66868.349999999919</v>
      </c>
      <c r="D933" s="55">
        <f t="shared" ca="1" si="170"/>
        <v>3114.4699999999921</v>
      </c>
      <c r="E933" s="55">
        <f t="shared" ca="1" si="175"/>
        <v>0</v>
      </c>
      <c r="F933" s="55">
        <f t="shared" ca="1" si="176"/>
        <v>169651.20071475374</v>
      </c>
      <c r="G933" s="101">
        <f t="shared" ca="1" si="177"/>
        <v>389267.36071475362</v>
      </c>
      <c r="H933" s="100">
        <f ca="1">ROUND($B933*VLOOKUP($A933,$A$1:$B$10,2,1)/(365+IF(MOD(YEAR($A933),4),0,1)*($A933-$A932)),2)-Первоначальный[[#This Row],[Проценты на просроченный платеж по ОД за период]]</f>
        <v>73.5</v>
      </c>
      <c r="I933" s="55">
        <f t="shared" ca="1" si="178"/>
        <v>8.08</v>
      </c>
      <c r="J933" s="55">
        <v>0</v>
      </c>
      <c r="K933" s="55">
        <f t="shared" ca="1" si="181"/>
        <v>405.51350327868846</v>
      </c>
      <c r="L933" s="55">
        <v>0</v>
      </c>
      <c r="M933" s="113">
        <f>SUMIFS(График[Возврат основной суммы долга],График[Дата с учетом нерабочих дней],$A933)</f>
        <v>0</v>
      </c>
      <c r="N933" s="56">
        <f>SUMIFS(График[Возврат начисленных %],График[Дата с учетом нерабочих дней],$A933)</f>
        <v>0</v>
      </c>
      <c r="O933" s="101">
        <v>0</v>
      </c>
      <c r="P933" s="100" cm="1">
        <f t="array" aca="1" ref="P933" ca="1">MAX(IF(AA932="Да",0,SUM(INDIRECT("M"&amp;(MAX(("Да"=AA$12:AA932)*ROW(AA$12:AA932)+1,ROW($P$12))&amp;":M"&amp;(ROW()))))-SUM(INDIRECT("W"&amp;(MAX(("Да"=AA$12:AA932)*ROW(AA$12:AA932)+1,ROW($P$12))&amp;":W"&amp;(ROW()))))),0)</f>
        <v>14824.650000000001</v>
      </c>
      <c r="Q933" s="99">
        <f ca="1">MAX(SUM($N$13:N933)-SUM($T$13:T933),0)</f>
        <v>66278.050655737679</v>
      </c>
      <c r="R933" s="99">
        <f ca="1">Первоначальный[[#This Row],[Просроченный платеж по ОД]]+Первоначальный[[#This Row],[Просроченный платеж по процентам]]</f>
        <v>81102.700655737688</v>
      </c>
      <c r="S933" s="120">
        <f ca="1">IF(Первоначальный[[#This Row],[Просроченный платеж]]&lt;1,0,S932+1)</f>
        <v>829</v>
      </c>
      <c r="T933" s="100" cm="1">
        <f t="array" aca="1" ref="T933" ca="1">IF(Первоначальный[[#This Row],[Итого остаток на начало периода]]&lt;1,0,
IF(
AND(TYPE(VLOOKUP(1,$Z$12:Z933,1,0))=16,Первоначальный[[#This Row],[Досрочное погашение (да/"")]]=""),0,
_xlfn.IFS(AND(S932=0,Первоначальный[[#This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платеж]]&lt;&gt;0),MIN(LOOKUP(,-1/($Z$12:Z933=1),$C$12:C933)+LOOKUP(,-1/($Z$12:Z933=1),$H$12:H933),Первоначальный[[#This Row],[Полученный платеж]]+Y932),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платеж]]+Y932,SUM(Первоначальный[[#This Row],[Остаток процентов на начало периода]],Первоначальный[[#This Row],[Проценты за период]])),
AND(S932=0,Первоначальный[[#This Row],[Дата платежа из графика]]=""),0,
AND(S932=0,Первоначальный[[#This Row],[Дата платежа из графика]]=1,MAX((0&lt;&gt;S$12:S932)*ROW(S$12:S932),ROW($S$12))&gt;=MAX((1=Z$12:Z932)*ROW(Z$12:Z932),ROW($T$12)),TYPE(VLOOKUP("Да",(INDIRECT("AA"&amp;(MAX((1=Z$12:Z932)*ROW(Z$12:Z932),ROW($T$12))&amp;":AA"&amp;(ROW()-1)))),1,0))=16),MIN(LOOKUP(,-1/($Z$12:Z933=1),$C$12:C933)+LOOKUP(,-1/($Z$12:Z933=1),$H$12:H933),Первоначальный[[#This Row],[Полученный платеж]]+Y932),
AND(S932=0,TYPE(VLOOKUP("Да",(INDIRECT("AA"&amp;(MAX((1=Z$12:Z932)*ROW(Z$12:Z932),ROW($T$12))&amp;":AA"&amp;(ROW()-1)))),1,0))&lt;&gt;16),MIN(LOOKUP(,-1/($Z$12:Z933=1),$C$12:C933)+LOOKUP(,-1/($Z$12:Z933=1),$H$12:H933)-IF(AA932="Да",0,SUM(INDIRECT("T"&amp;(MAX(("Да"=AA$12:AA932)*ROW(AA$12:AA932)+1,ROW($T$12))&amp;":T"&amp;(ROW()-1))))),Первоначальный[[#This Row],[Полученный платеж]]+Y932),
AND(S932=0,MAX((0&lt;&gt;N$12:N932)*ROW(N$12:N932),ROW($S$12))&gt;=MAX((1=Z$12:Z932)*ROW(Z$12:Z932),ROW($T$12))),MIN(LOOKUP(,-1/($Z$12:Z933=1),$C$12:C933)+LOOKUP(,-1/($Z$12:Z933=1),$H$12:H933)-IF(N932&lt;&gt;0,0,SUM(INDIRECT("T"&amp;(MAX((0&lt;&gt;N$12:N932)*ROW(N$12:N932)+1,ROW($T$12))&amp;":T"&amp;(ROW()-1))))),Первоначальный[[#This Row],[Полученный платеж]]+Y932),
AND(S932=0,Первоначальный[[#This Row],[Дата платежа из графика]]=1),MIN(LOOKUP(,-1/($Z$12:Z933=1),$C$12:C933)+LOOKUP(,-1/($Z$12:Z933=1),$H$12:H933)-IF(Z932=1,0,SUM(INDIRECT("T"&amp;(MAX((1=Z$12:Z932)*ROW(Z$12:Z932)+1,ROW($T$12))&amp;":T"&amp;(ROW()-1))))),Первоначальный[[#This Row],[Полученный платеж]]+Y932),
AND(Z932&gt;0,Первоначальный[[#This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платеж]]+Y932),
AND(S932&gt;0,MAX((0&lt;&gt;S$12:S932)*ROW(S$12:S932),ROW($S$12))&gt;=MAX((1=Z$12:Z932)*ROW(Z$12:Z932),ROW($T$12)),TYPE(VLOOKUP("Да",(INDIRECT("AA"&amp;(MAX((1=Z$12:Z932)*ROW(Z$12:Z932),ROW($T$12))&amp;":AA"&amp;(ROW()-1)))),1,0))=16),MIN(LOOKUP(,-1/($Z$12:Z933=1),$C$12:C933)+LOOKUP(,-1/($Z$12:Z933=1),$H$12:H933)-SUM(INDIRECT("T"&amp;(MAX((1=Z$12:Z932)*ROW(Z$12:Z932),ROW($T$12))&amp;":T"&amp;(ROW()-1)))),Первоначальный[[#This Row],[Полученный платеж]]+Y932),
S932&gt;0,MIN(LOOKUP(,-1/($Z$12:Z933=1),$C$12:C933)+LOOKUP(,-1/($Z$12:Z933=1),$H$12:H933)-IF(Z932=1,0,SUM(INDIRECT("T"&amp;(MAX((1=Z$12:Z932)*ROW(Z$12:Z932)+1,ROW($T$12))&amp;":T"&amp;(ROW()-1))))),Первоначальный[[#This Row],[Полученный платеж]]+Y932)
)
)
)</f>
        <v>0</v>
      </c>
      <c r="U93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платеж]]+Y932-Первоначальный[[#This Row],[Полученный платёж по процентам]])</f>
        <v>0</v>
      </c>
      <c r="V933" s="55">
        <f t="shared" ca="1" si="171"/>
        <v>0</v>
      </c>
      <c r="W933" s="55" cm="1">
        <f t="array" aca="1" ref="W933" ca="1">IF(Первоначальный[[#This Row],[Итого остаток на начало периода]]&lt;1,0,
_xlfn.IFS(
AND(TYPE(VLOOKUP(1,$Z$12:Z933,1,0))=16,Первоначальный[[#This Row],[Досрочное погашение (да/"")]]=""),0,
AND(S932=0,Первоначальный[[#This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платеж]]+Y932-SUM(Первоначальный[[#This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комиссиям]]),VLOOKUP(LOOKUP(,-1/($Z$12:Z933=1),$A$12:A933),График[[Срок конец]:[Возврат основной суммы долга]],3,0)),
AND(S932=0,Первоначальный[[#This Row],[Дата платежа из графика]]="",Первоначальный[[#This Row],[Досрочное погашение (да/"")]]&lt;&gt;"Да"),0,
AND(S932=0,Первоначальный[[#This Row],[Досрочное погашение (да/"")]]=""),MIN(Первоначальный[[#This Row],[Полученный платеж]]+Y932-SUM(Первоначальный[[#This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комиссиям]]),VLOOKUP(LOOKUP(,-1/($Z$12:Z933=1),$A$12:A933),График[[Срок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платеж]]+Y932-SUM(Первоначальный[[#This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S932&gt;0,MIN(Первоначальный[[#This Row],[Полученный платеж]]+Y932-SUM(Первоначальный[[#This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комиссиям]]),SUM(INDIRECT("M"&amp;(MAX((1=S$12:S932)*ROW(S$12:S932),ROW($W$12))&amp;":M"&amp;(ROW()))))-SUM(INDIRECT("W"&amp;(MAX((1=S$12:S932)*ROW(S$12:S932),ROW($W$12))&amp;":W"&amp;(ROW()-1)))))
)
)</f>
        <v>0</v>
      </c>
      <c r="X933" s="55">
        <f t="shared" ca="1" si="172"/>
        <v>0</v>
      </c>
      <c r="Y933" s="101">
        <f t="shared" ca="1" si="179"/>
        <v>0</v>
      </c>
      <c r="Z933" s="133" t="str">
        <f>IF(TYPE((VLOOKUP(Первоначальный[[#This Row],[Дата платежа]],График[Срок конец],1,0)))=16,"",1)</f>
        <v/>
      </c>
      <c r="AA933" s="57"/>
      <c r="AB933" s="134"/>
      <c r="AC93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3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66941.849999999919</v>
      </c>
      <c r="AE93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3122.549999999992</v>
      </c>
      <c r="AF93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3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170056.71421803243</v>
      </c>
      <c r="AH933" s="55"/>
      <c r="AI933" s="55"/>
      <c r="AJ933" s="55"/>
      <c r="AK933" s="101">
        <f t="shared" ca="1" si="180"/>
        <v>389754.4542180323</v>
      </c>
      <c r="AL933" s="129">
        <f t="array" ref="AL933">MAX((УслРестрактов[Характеристика]="Дата реструктуризации")*(УслРестрактов[Значение]=Первоначальный!$A933),0)</f>
        <v>0</v>
      </c>
    </row>
    <row r="934" spans="1:38" x14ac:dyDescent="0.25">
      <c r="A934" s="97">
        <f t="shared" si="173"/>
        <v>45065</v>
      </c>
      <c r="B934" s="100">
        <f t="shared" ca="1" si="174"/>
        <v>149633.34</v>
      </c>
      <c r="C934" s="55">
        <f t="shared" ca="1" si="170"/>
        <v>66941.849999999919</v>
      </c>
      <c r="D934" s="55">
        <f t="shared" ca="1" si="170"/>
        <v>3122.549999999992</v>
      </c>
      <c r="E934" s="55">
        <f t="shared" ca="1" si="175"/>
        <v>0</v>
      </c>
      <c r="F934" s="55">
        <f t="shared" ca="1" si="176"/>
        <v>170056.71421803243</v>
      </c>
      <c r="G934" s="101">
        <f t="shared" ca="1" si="177"/>
        <v>389754.4542180323</v>
      </c>
      <c r="H934" s="100">
        <f ca="1">ROUND($B934*VLOOKUP($A934,$A$1:$B$10,2,1)/(365+IF(MOD(YEAR($A934),4),0,1)*($A934-$A933)),2)-Первоначальный[[#This Row],[Проценты на просроченный платеж по ОД за период]]</f>
        <v>73.5</v>
      </c>
      <c r="I934" s="55">
        <f t="shared" ca="1" si="178"/>
        <v>8.08</v>
      </c>
      <c r="J934" s="55">
        <v>0</v>
      </c>
      <c r="K934" s="55">
        <f t="shared" ca="1" si="181"/>
        <v>405.51350327868846</v>
      </c>
      <c r="L934" s="55">
        <v>0</v>
      </c>
      <c r="M934" s="113">
        <f>SUMIFS(График[Возврат основной суммы долга],График[Дата с учетом нерабочих дней],$A934)</f>
        <v>0</v>
      </c>
      <c r="N934" s="56">
        <f>SUMIFS(График[Возврат начисленных %],График[Дата с учетом нерабочих дней],$A934)</f>
        <v>0</v>
      </c>
      <c r="O934" s="101">
        <v>0</v>
      </c>
      <c r="P934" s="100" cm="1">
        <f t="array" aca="1" ref="P934" ca="1">MAX(IF(AA933="Да",0,SUM(INDIRECT("M"&amp;(MAX(("Да"=AA$12:AA933)*ROW(AA$12:AA933)+1,ROW($P$12))&amp;":M"&amp;(ROW()))))-SUM(INDIRECT("W"&amp;(MAX(("Да"=AA$12:AA933)*ROW(AA$12:AA933)+1,ROW($P$12))&amp;":W"&amp;(ROW()))))),0)</f>
        <v>14824.650000000001</v>
      </c>
      <c r="Q934" s="99">
        <f ca="1">MAX(SUM($N$13:N934)-SUM($T$13:T934),0)</f>
        <v>66278.050655737679</v>
      </c>
      <c r="R934" s="99">
        <f ca="1">Первоначальный[[#This Row],[Просроченный платеж по ОД]]+Первоначальный[[#This Row],[Просроченный платеж по процентам]]</f>
        <v>81102.700655737688</v>
      </c>
      <c r="S934" s="120">
        <f ca="1">IF(Первоначальный[[#This Row],[Просроченный платеж]]&lt;1,0,S933+1)</f>
        <v>830</v>
      </c>
      <c r="T934" s="100" cm="1">
        <f t="array" aca="1" ref="T934" ca="1">IF(Первоначальный[[#This Row],[Итого остаток на начало периода]]&lt;1,0,
IF(
AND(TYPE(VLOOKUP(1,$Z$12:Z934,1,0))=16,Первоначальный[[#This Row],[Досрочное погашение (да/"")]]=""),0,
_xlfn.IFS(AND(S933=0,Первоначальный[[#This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платеж]]&lt;&gt;0),MIN(LOOKUP(,-1/($Z$12:Z934=1),$C$12:C934)+LOOKUP(,-1/($Z$12:Z934=1),$H$12:H934),Первоначальный[[#This Row],[Полученный платеж]]+Y933),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платеж]]+Y933,SUM(Первоначальный[[#This Row],[Остаток процентов на начало периода]],Первоначальный[[#This Row],[Проценты за период]])),
AND(S933=0,Первоначальный[[#This Row],[Дата платежа из графика]]=""),0,
AND(S933=0,Первоначальный[[#This Row],[Дата платежа из графика]]=1,MAX((0&lt;&gt;S$12:S933)*ROW(S$12:S933),ROW($S$12))&gt;=MAX((1=Z$12:Z933)*ROW(Z$12:Z933),ROW($T$12)),TYPE(VLOOKUP("Да",(INDIRECT("AA"&amp;(MAX((1=Z$12:Z933)*ROW(Z$12:Z933),ROW($T$12))&amp;":AA"&amp;(ROW()-1)))),1,0))=16),MIN(LOOKUP(,-1/($Z$12:Z934=1),$C$12:C934)+LOOKUP(,-1/($Z$12:Z934=1),$H$12:H934),Первоначальный[[#This Row],[Полученный платеж]]+Y933),
AND(S933=0,TYPE(VLOOKUP("Да",(INDIRECT("AA"&amp;(MAX((1=Z$12:Z933)*ROW(Z$12:Z933),ROW($T$12))&amp;":AA"&amp;(ROW()-1)))),1,0))&lt;&gt;16),MIN(LOOKUP(,-1/($Z$12:Z934=1),$C$12:C934)+LOOKUP(,-1/($Z$12:Z934=1),$H$12:H934)-IF(AA933="Да",0,SUM(INDIRECT("T"&amp;(MAX(("Да"=AA$12:AA933)*ROW(AA$12:AA933)+1,ROW($T$12))&amp;":T"&amp;(ROW()-1))))),Первоначальный[[#This Row],[Полученный платеж]]+Y933),
AND(S933=0,MAX((0&lt;&gt;N$12:N933)*ROW(N$12:N933),ROW($S$12))&gt;=MAX((1=Z$12:Z933)*ROW(Z$12:Z933),ROW($T$12))),MIN(LOOKUP(,-1/($Z$12:Z934=1),$C$12:C934)+LOOKUP(,-1/($Z$12:Z934=1),$H$12:H934)-IF(N933&lt;&gt;0,0,SUM(INDIRECT("T"&amp;(MAX((0&lt;&gt;N$12:N933)*ROW(N$12:N933)+1,ROW($T$12))&amp;":T"&amp;(ROW()-1))))),Первоначальный[[#This Row],[Полученный платеж]]+Y933),
AND(S933=0,Первоначальный[[#This Row],[Дата платежа из графика]]=1),MIN(LOOKUP(,-1/($Z$12:Z934=1),$C$12:C934)+LOOKUP(,-1/($Z$12:Z934=1),$H$12:H934)-IF(Z933=1,0,SUM(INDIRECT("T"&amp;(MAX((1=Z$12:Z933)*ROW(Z$12:Z933)+1,ROW($T$12))&amp;":T"&amp;(ROW()-1))))),Первоначальный[[#This Row],[Полученный платеж]]+Y933),
AND(Z933&gt;0,Первоначальный[[#This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платеж]]+Y933),
AND(S933&gt;0,MAX((0&lt;&gt;S$12:S933)*ROW(S$12:S933),ROW($S$12))&gt;=MAX((1=Z$12:Z933)*ROW(Z$12:Z933),ROW($T$12)),TYPE(VLOOKUP("Да",(INDIRECT("AA"&amp;(MAX((1=Z$12:Z933)*ROW(Z$12:Z933),ROW($T$12))&amp;":AA"&amp;(ROW()-1)))),1,0))=16),MIN(LOOKUP(,-1/($Z$12:Z934=1),$C$12:C934)+LOOKUP(,-1/($Z$12:Z934=1),$H$12:H934)-SUM(INDIRECT("T"&amp;(MAX((1=Z$12:Z933)*ROW(Z$12:Z933),ROW($T$12))&amp;":T"&amp;(ROW()-1)))),Первоначальный[[#This Row],[Полученный платеж]]+Y933),
S933&gt;0,MIN(LOOKUP(,-1/($Z$12:Z934=1),$C$12:C934)+LOOKUP(,-1/($Z$12:Z934=1),$H$12:H934)-IF(Z933=1,0,SUM(INDIRECT("T"&amp;(MAX((1=Z$12:Z933)*ROW(Z$12:Z933)+1,ROW($T$12))&amp;":T"&amp;(ROW()-1))))),Первоначальный[[#This Row],[Полученный платеж]]+Y933)
)
)
)</f>
        <v>0</v>
      </c>
      <c r="U93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платеж]]+Y933-Первоначальный[[#This Row],[Полученный платёж по процентам]])</f>
        <v>0</v>
      </c>
      <c r="V934" s="55">
        <f t="shared" ca="1" si="171"/>
        <v>0</v>
      </c>
      <c r="W934" s="55" cm="1">
        <f t="array" aca="1" ref="W934" ca="1">IF(Первоначальный[[#This Row],[Итого остаток на начало периода]]&lt;1,0,
_xlfn.IFS(
AND(TYPE(VLOOKUP(1,$Z$12:Z934,1,0))=16,Первоначальный[[#This Row],[Досрочное погашение (да/"")]]=""),0,
AND(S933=0,Первоначальный[[#This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платеж]]+Y933-SUM(Первоначальный[[#This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комиссиям]]),VLOOKUP(LOOKUP(,-1/($Z$12:Z934=1),$A$12:A934),График[[Срок конец]:[Возврат основной суммы долга]],3,0)),
AND(S933=0,Первоначальный[[#This Row],[Дата платежа из графика]]="",Первоначальный[[#This Row],[Досрочное погашение (да/"")]]&lt;&gt;"Да"),0,
AND(S933=0,Первоначальный[[#This Row],[Досрочное погашение (да/"")]]=""),MIN(Первоначальный[[#This Row],[Полученный платеж]]+Y933-SUM(Первоначальный[[#This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комиссиям]]),VLOOKUP(LOOKUP(,-1/($Z$12:Z934=1),$A$12:A934),График[[Срок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платеж]]+Y933-SUM(Первоначальный[[#This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S933&gt;0,MIN(Первоначальный[[#This Row],[Полученный платеж]]+Y933-SUM(Первоначальный[[#This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комиссиям]]),SUM(INDIRECT("M"&amp;(MAX((1=S$12:S933)*ROW(S$12:S933),ROW($W$12))&amp;":M"&amp;(ROW()))))-SUM(INDIRECT("W"&amp;(MAX((1=S$12:S933)*ROW(S$12:S933),ROW($W$12))&amp;":W"&amp;(ROW()-1)))))
)
)</f>
        <v>0</v>
      </c>
      <c r="X934" s="55">
        <f t="shared" ca="1" si="172"/>
        <v>0</v>
      </c>
      <c r="Y934" s="101">
        <f t="shared" ca="1" si="179"/>
        <v>0</v>
      </c>
      <c r="Z934" s="133" t="str">
        <f>IF(TYPE((VLOOKUP(Первоначальный[[#This Row],[Дата платежа]],График[Срок конец],1,0)))=16,"",1)</f>
        <v/>
      </c>
      <c r="AA934" s="57"/>
      <c r="AB934" s="134"/>
      <c r="AC93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3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67015.349999999919</v>
      </c>
      <c r="AE93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3130.6299999999919</v>
      </c>
      <c r="AF93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3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170462.22772131112</v>
      </c>
      <c r="AH934" s="55"/>
      <c r="AI934" s="55"/>
      <c r="AJ934" s="55"/>
      <c r="AK934" s="101">
        <f t="shared" ca="1" si="180"/>
        <v>390241.54772131104</v>
      </c>
      <c r="AL934" s="129">
        <f t="array" ref="AL934">MAX((УслРестрактов[Характеристика]="Дата реструктуризации")*(УслРестрактов[Значение]=Первоначальный!$A934),0)</f>
        <v>0</v>
      </c>
    </row>
    <row r="935" spans="1:38" x14ac:dyDescent="0.25">
      <c r="A935" s="97">
        <f t="shared" si="173"/>
        <v>45066</v>
      </c>
      <c r="B935" s="100">
        <f t="shared" ca="1" si="174"/>
        <v>149633.34</v>
      </c>
      <c r="C935" s="55">
        <f t="shared" ca="1" si="170"/>
        <v>67015.349999999919</v>
      </c>
      <c r="D935" s="55">
        <f t="shared" ca="1" si="170"/>
        <v>3130.6299999999919</v>
      </c>
      <c r="E935" s="55">
        <f t="shared" ca="1" si="175"/>
        <v>0</v>
      </c>
      <c r="F935" s="55">
        <f t="shared" ca="1" si="176"/>
        <v>170462.22772131112</v>
      </c>
      <c r="G935" s="101">
        <f t="shared" ca="1" si="177"/>
        <v>390241.54772131104</v>
      </c>
      <c r="H935" s="100">
        <f ca="1">ROUND($B935*VLOOKUP($A935,$A$1:$B$10,2,1)/(365+IF(MOD(YEAR($A935),4),0,1)*($A935-$A934)),2)-Первоначальный[[#This Row],[Проценты на просроченный платеж по ОД за период]]</f>
        <v>73.5</v>
      </c>
      <c r="I935" s="55">
        <f t="shared" ca="1" si="178"/>
        <v>8.08</v>
      </c>
      <c r="J935" s="55">
        <v>0</v>
      </c>
      <c r="K935" s="55">
        <f t="shared" ca="1" si="181"/>
        <v>405.51350327868846</v>
      </c>
      <c r="L935" s="55">
        <v>0</v>
      </c>
      <c r="M935" s="113">
        <f>SUMIFS(График[Возврат основной суммы долга],График[Дата с учетом нерабочих дней],$A935)</f>
        <v>0</v>
      </c>
      <c r="N935" s="56">
        <f>SUMIFS(График[Возврат начисленных %],График[Дата с учетом нерабочих дней],$A935)</f>
        <v>0</v>
      </c>
      <c r="O935" s="101">
        <v>0</v>
      </c>
      <c r="P935" s="100" cm="1">
        <f t="array" aca="1" ref="P935" ca="1">MAX(IF(AA934="Да",0,SUM(INDIRECT("M"&amp;(MAX(("Да"=AA$12:AA934)*ROW(AA$12:AA934)+1,ROW($P$12))&amp;":M"&amp;(ROW()))))-SUM(INDIRECT("W"&amp;(MAX(("Да"=AA$12:AA934)*ROW(AA$12:AA934)+1,ROW($P$12))&amp;":W"&amp;(ROW()))))),0)</f>
        <v>14824.650000000001</v>
      </c>
      <c r="Q935" s="99">
        <f ca="1">MAX(SUM($N$13:N935)-SUM($T$13:T935),0)</f>
        <v>66278.050655737679</v>
      </c>
      <c r="R935" s="99">
        <f ca="1">Первоначальный[[#This Row],[Просроченный платеж по ОД]]+Первоначальный[[#This Row],[Просроченный платеж по процентам]]</f>
        <v>81102.700655737688</v>
      </c>
      <c r="S935" s="120">
        <f ca="1">IF(Первоначальный[[#This Row],[Просроченный платеж]]&lt;1,0,S934+1)</f>
        <v>831</v>
      </c>
      <c r="T935" s="100" cm="1">
        <f t="array" aca="1" ref="T935" ca="1">IF(Первоначальный[[#This Row],[Итого остаток на начало периода]]&lt;1,0,
IF(
AND(TYPE(VLOOKUP(1,$Z$12:Z935,1,0))=16,Первоначальный[[#This Row],[Досрочное погашение (да/"")]]=""),0,
_xlfn.IFS(AND(S934=0,Первоначальный[[#This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платеж]]&lt;&gt;0),MIN(LOOKUP(,-1/($Z$12:Z935=1),$C$12:C935)+LOOKUP(,-1/($Z$12:Z935=1),$H$12:H935),Первоначальный[[#This Row],[Полученный платеж]]+Y934),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платеж]]+Y934,SUM(Первоначальный[[#This Row],[Остаток процентов на начало периода]],Первоначальный[[#This Row],[Проценты за период]])),
AND(S934=0,Первоначальный[[#This Row],[Дата платежа из графика]]=""),0,
AND(S934=0,Первоначальный[[#This Row],[Дата платежа из графика]]=1,MAX((0&lt;&gt;S$12:S934)*ROW(S$12:S934),ROW($S$12))&gt;=MAX((1=Z$12:Z934)*ROW(Z$12:Z934),ROW($T$12)),TYPE(VLOOKUP("Да",(INDIRECT("AA"&amp;(MAX((1=Z$12:Z934)*ROW(Z$12:Z934),ROW($T$12))&amp;":AA"&amp;(ROW()-1)))),1,0))=16),MIN(LOOKUP(,-1/($Z$12:Z935=1),$C$12:C935)+LOOKUP(,-1/($Z$12:Z935=1),$H$12:H935),Первоначальный[[#This Row],[Полученный платеж]]+Y934),
AND(S934=0,TYPE(VLOOKUP("Да",(INDIRECT("AA"&amp;(MAX((1=Z$12:Z934)*ROW(Z$12:Z934),ROW($T$12))&amp;":AA"&amp;(ROW()-1)))),1,0))&lt;&gt;16),MIN(LOOKUP(,-1/($Z$12:Z935=1),$C$12:C935)+LOOKUP(,-1/($Z$12:Z935=1),$H$12:H935)-IF(AA934="Да",0,SUM(INDIRECT("T"&amp;(MAX(("Да"=AA$12:AA934)*ROW(AA$12:AA934)+1,ROW($T$12))&amp;":T"&amp;(ROW()-1))))),Первоначальный[[#This Row],[Полученный платеж]]+Y934),
AND(S934=0,MAX((0&lt;&gt;N$12:N934)*ROW(N$12:N934),ROW($S$12))&gt;=MAX((1=Z$12:Z934)*ROW(Z$12:Z934),ROW($T$12))),MIN(LOOKUP(,-1/($Z$12:Z935=1),$C$12:C935)+LOOKUP(,-1/($Z$12:Z935=1),$H$12:H935)-IF(N934&lt;&gt;0,0,SUM(INDIRECT("T"&amp;(MAX((0&lt;&gt;N$12:N934)*ROW(N$12:N934)+1,ROW($T$12))&amp;":T"&amp;(ROW()-1))))),Первоначальный[[#This Row],[Полученный платеж]]+Y934),
AND(S934=0,Первоначальный[[#This Row],[Дата платежа из графика]]=1),MIN(LOOKUP(,-1/($Z$12:Z935=1),$C$12:C935)+LOOKUP(,-1/($Z$12:Z935=1),$H$12:H935)-IF(Z934=1,0,SUM(INDIRECT("T"&amp;(MAX((1=Z$12:Z934)*ROW(Z$12:Z934)+1,ROW($T$12))&amp;":T"&amp;(ROW()-1))))),Первоначальный[[#This Row],[Полученный платеж]]+Y934),
AND(Z934&gt;0,Первоначальный[[#This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платеж]]+Y934),
AND(S934&gt;0,MAX((0&lt;&gt;S$12:S934)*ROW(S$12:S934),ROW($S$12))&gt;=MAX((1=Z$12:Z934)*ROW(Z$12:Z934),ROW($T$12)),TYPE(VLOOKUP("Да",(INDIRECT("AA"&amp;(MAX((1=Z$12:Z934)*ROW(Z$12:Z934),ROW($T$12))&amp;":AA"&amp;(ROW()-1)))),1,0))=16),MIN(LOOKUP(,-1/($Z$12:Z935=1),$C$12:C935)+LOOKUP(,-1/($Z$12:Z935=1),$H$12:H935)-SUM(INDIRECT("T"&amp;(MAX((1=Z$12:Z934)*ROW(Z$12:Z934),ROW($T$12))&amp;":T"&amp;(ROW()-1)))),Первоначальный[[#This Row],[Полученный платеж]]+Y934),
S934&gt;0,MIN(LOOKUP(,-1/($Z$12:Z935=1),$C$12:C935)+LOOKUP(,-1/($Z$12:Z935=1),$H$12:H935)-IF(Z934=1,0,SUM(INDIRECT("T"&amp;(MAX((1=Z$12:Z934)*ROW(Z$12:Z934)+1,ROW($T$12))&amp;":T"&amp;(ROW()-1))))),Первоначальный[[#This Row],[Полученный платеж]]+Y934)
)
)
)</f>
        <v>0</v>
      </c>
      <c r="U93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платеж]]+Y934-Первоначальный[[#This Row],[Полученный платёж по процентам]])</f>
        <v>0</v>
      </c>
      <c r="V935" s="55">
        <f t="shared" ca="1" si="171"/>
        <v>0</v>
      </c>
      <c r="W935" s="55" cm="1">
        <f t="array" aca="1" ref="W935" ca="1">IF(Первоначальный[[#This Row],[Итого остаток на начало периода]]&lt;1,0,
_xlfn.IFS(
AND(TYPE(VLOOKUP(1,$Z$12:Z935,1,0))=16,Первоначальный[[#This Row],[Досрочное погашение (да/"")]]=""),0,
AND(S934=0,Первоначальный[[#This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платеж]]+Y934-SUM(Первоначальный[[#This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комиссиям]]),VLOOKUP(LOOKUP(,-1/($Z$12:Z935=1),$A$12:A935),График[[Срок конец]:[Возврат основной суммы долга]],3,0)),
AND(S934=0,Первоначальный[[#This Row],[Дата платежа из графика]]="",Первоначальный[[#This Row],[Досрочное погашение (да/"")]]&lt;&gt;"Да"),0,
AND(S934=0,Первоначальный[[#This Row],[Досрочное погашение (да/"")]]=""),MIN(Первоначальный[[#This Row],[Полученный платеж]]+Y934-SUM(Первоначальный[[#This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комиссиям]]),VLOOKUP(LOOKUP(,-1/($Z$12:Z935=1),$A$12:A935),График[[Срок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платеж]]+Y934-SUM(Первоначальный[[#This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S934&gt;0,MIN(Первоначальный[[#This Row],[Полученный платеж]]+Y934-SUM(Первоначальный[[#This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комиссиям]]),SUM(INDIRECT("M"&amp;(MAX((1=S$12:S934)*ROW(S$12:S934),ROW($W$12))&amp;":M"&amp;(ROW()))))-SUM(INDIRECT("W"&amp;(MAX((1=S$12:S934)*ROW(S$12:S934),ROW($W$12))&amp;":W"&amp;(ROW()-1)))))
)
)</f>
        <v>0</v>
      </c>
      <c r="X935" s="55">
        <f t="shared" ca="1" si="172"/>
        <v>0</v>
      </c>
      <c r="Y935" s="101">
        <f t="shared" ca="1" si="179"/>
        <v>0</v>
      </c>
      <c r="Z935" s="133" t="str">
        <f>IF(TYPE((VLOOKUP(Первоначальный[[#This Row],[Дата платежа]],График[Срок конец],1,0)))=16,"",1)</f>
        <v/>
      </c>
      <c r="AA935" s="57"/>
      <c r="AB935" s="134"/>
      <c r="AC93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3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67088.849999999919</v>
      </c>
      <c r="AE93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3138.7099999999919</v>
      </c>
      <c r="AF93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3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170867.74122458982</v>
      </c>
      <c r="AH935" s="55"/>
      <c r="AI935" s="55"/>
      <c r="AJ935" s="55"/>
      <c r="AK935" s="101">
        <f t="shared" ca="1" si="180"/>
        <v>390728.64122458972</v>
      </c>
      <c r="AL935" s="129">
        <f t="array" ref="AL935">MAX((УслРестрактов[Характеристика]="Дата реструктуризации")*(УслРестрактов[Значение]=Первоначальный!$A935),0)</f>
        <v>0</v>
      </c>
    </row>
    <row r="936" spans="1:38" x14ac:dyDescent="0.25">
      <c r="A936" s="97">
        <f t="shared" si="173"/>
        <v>45067</v>
      </c>
      <c r="B936" s="100">
        <f t="shared" ca="1" si="174"/>
        <v>149633.34</v>
      </c>
      <c r="C936" s="55">
        <f t="shared" ca="1" si="170"/>
        <v>67088.849999999919</v>
      </c>
      <c r="D936" s="55">
        <f t="shared" ca="1" si="170"/>
        <v>3138.7099999999919</v>
      </c>
      <c r="E936" s="55">
        <f t="shared" ca="1" si="175"/>
        <v>0</v>
      </c>
      <c r="F936" s="55">
        <f t="shared" ca="1" si="176"/>
        <v>170867.74122458982</v>
      </c>
      <c r="G936" s="101">
        <f t="shared" ca="1" si="177"/>
        <v>390728.64122458972</v>
      </c>
      <c r="H936" s="100">
        <f ca="1">ROUND($B936*VLOOKUP($A936,$A$1:$B$10,2,1)/(365+IF(MOD(YEAR($A936),4),0,1)*($A936-$A935)),2)-Первоначальный[[#This Row],[Проценты на просроченный платеж по ОД за период]]</f>
        <v>73.5</v>
      </c>
      <c r="I936" s="55">
        <f t="shared" ca="1" si="178"/>
        <v>8.08</v>
      </c>
      <c r="J936" s="55">
        <v>0</v>
      </c>
      <c r="K936" s="55">
        <f t="shared" ca="1" si="181"/>
        <v>405.51350327868846</v>
      </c>
      <c r="L936" s="55">
        <v>0</v>
      </c>
      <c r="M936" s="113">
        <f>SUMIFS(График[Возврат основной суммы долга],График[Дата с учетом нерабочих дней],$A936)</f>
        <v>0</v>
      </c>
      <c r="N936" s="56">
        <f>SUMIFS(График[Возврат начисленных %],График[Дата с учетом нерабочих дней],$A936)</f>
        <v>0</v>
      </c>
      <c r="O936" s="101">
        <v>0</v>
      </c>
      <c r="P936" s="100" cm="1">
        <f t="array" aca="1" ref="P936" ca="1">MAX(IF(AA935="Да",0,SUM(INDIRECT("M"&amp;(MAX(("Да"=AA$12:AA935)*ROW(AA$12:AA935)+1,ROW($P$12))&amp;":M"&amp;(ROW()))))-SUM(INDIRECT("W"&amp;(MAX(("Да"=AA$12:AA935)*ROW(AA$12:AA935)+1,ROW($P$12))&amp;":W"&amp;(ROW()))))),0)</f>
        <v>14824.650000000001</v>
      </c>
      <c r="Q936" s="99">
        <f ca="1">MAX(SUM($N$13:N936)-SUM($T$13:T936),0)</f>
        <v>66278.050655737679</v>
      </c>
      <c r="R936" s="99">
        <f ca="1">Первоначальный[[#This Row],[Просроченный платеж по ОД]]+Первоначальный[[#This Row],[Просроченный платеж по процентам]]</f>
        <v>81102.700655737688</v>
      </c>
      <c r="S936" s="120">
        <f ca="1">IF(Первоначальный[[#This Row],[Просроченный платеж]]&lt;1,0,S935+1)</f>
        <v>832</v>
      </c>
      <c r="T936" s="100" cm="1">
        <f t="array" aca="1" ref="T936" ca="1">IF(Первоначальный[[#This Row],[Итого остаток на начало периода]]&lt;1,0,
IF(
AND(TYPE(VLOOKUP(1,$Z$12:Z936,1,0))=16,Первоначальный[[#This Row],[Досрочное погашение (да/"")]]=""),0,
_xlfn.IFS(AND(S935=0,Первоначальный[[#This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платеж]]&lt;&gt;0),MIN(LOOKUP(,-1/($Z$12:Z936=1),$C$12:C936)+LOOKUP(,-1/($Z$12:Z936=1),$H$12:H936),Первоначальный[[#This Row],[Полученный платеж]]+Y935),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платеж]]+Y935,SUM(Первоначальный[[#This Row],[Остаток процентов на начало периода]],Первоначальный[[#This Row],[Проценты за период]])),
AND(S935=0,Первоначальный[[#This Row],[Дата платежа из графика]]=""),0,
AND(S935=0,Первоначальный[[#This Row],[Дата платежа из графика]]=1,MAX((0&lt;&gt;S$12:S935)*ROW(S$12:S935),ROW($S$12))&gt;=MAX((1=Z$12:Z935)*ROW(Z$12:Z935),ROW($T$12)),TYPE(VLOOKUP("Да",(INDIRECT("AA"&amp;(MAX((1=Z$12:Z935)*ROW(Z$12:Z935),ROW($T$12))&amp;":AA"&amp;(ROW()-1)))),1,0))=16),MIN(LOOKUP(,-1/($Z$12:Z936=1),$C$12:C936)+LOOKUP(,-1/($Z$12:Z936=1),$H$12:H936),Первоначальный[[#This Row],[Полученный платеж]]+Y935),
AND(S935=0,TYPE(VLOOKUP("Да",(INDIRECT("AA"&amp;(MAX((1=Z$12:Z935)*ROW(Z$12:Z935),ROW($T$12))&amp;":AA"&amp;(ROW()-1)))),1,0))&lt;&gt;16),MIN(LOOKUP(,-1/($Z$12:Z936=1),$C$12:C936)+LOOKUP(,-1/($Z$12:Z936=1),$H$12:H936)-IF(AA935="Да",0,SUM(INDIRECT("T"&amp;(MAX(("Да"=AA$12:AA935)*ROW(AA$12:AA935)+1,ROW($T$12))&amp;":T"&amp;(ROW()-1))))),Первоначальный[[#This Row],[Полученный платеж]]+Y935),
AND(S935=0,MAX((0&lt;&gt;N$12:N935)*ROW(N$12:N935),ROW($S$12))&gt;=MAX((1=Z$12:Z935)*ROW(Z$12:Z935),ROW($T$12))),MIN(LOOKUP(,-1/($Z$12:Z936=1),$C$12:C936)+LOOKUP(,-1/($Z$12:Z936=1),$H$12:H936)-IF(N935&lt;&gt;0,0,SUM(INDIRECT("T"&amp;(MAX((0&lt;&gt;N$12:N935)*ROW(N$12:N935)+1,ROW($T$12))&amp;":T"&amp;(ROW()-1))))),Первоначальный[[#This Row],[Полученный платеж]]+Y935),
AND(S935=0,Первоначальный[[#This Row],[Дата платежа из графика]]=1),MIN(LOOKUP(,-1/($Z$12:Z936=1),$C$12:C936)+LOOKUP(,-1/($Z$12:Z936=1),$H$12:H936)-IF(Z935=1,0,SUM(INDIRECT("T"&amp;(MAX((1=Z$12:Z935)*ROW(Z$12:Z935)+1,ROW($T$12))&amp;":T"&amp;(ROW()-1))))),Первоначальный[[#This Row],[Полученный платеж]]+Y935),
AND(Z935&gt;0,Первоначальный[[#This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платеж]]+Y935),
AND(S935&gt;0,MAX((0&lt;&gt;S$12:S935)*ROW(S$12:S935),ROW($S$12))&gt;=MAX((1=Z$12:Z935)*ROW(Z$12:Z935),ROW($T$12)),TYPE(VLOOKUP("Да",(INDIRECT("AA"&amp;(MAX((1=Z$12:Z935)*ROW(Z$12:Z935),ROW($T$12))&amp;":AA"&amp;(ROW()-1)))),1,0))=16),MIN(LOOKUP(,-1/($Z$12:Z936=1),$C$12:C936)+LOOKUP(,-1/($Z$12:Z936=1),$H$12:H936)-SUM(INDIRECT("T"&amp;(MAX((1=Z$12:Z935)*ROW(Z$12:Z935),ROW($T$12))&amp;":T"&amp;(ROW()-1)))),Первоначальный[[#This Row],[Полученный платеж]]+Y935),
S935&gt;0,MIN(LOOKUP(,-1/($Z$12:Z936=1),$C$12:C936)+LOOKUP(,-1/($Z$12:Z936=1),$H$12:H936)-IF(Z935=1,0,SUM(INDIRECT("T"&amp;(MAX((1=Z$12:Z935)*ROW(Z$12:Z935)+1,ROW($T$12))&amp;":T"&amp;(ROW()-1))))),Первоначальный[[#This Row],[Полученный платеж]]+Y935)
)
)
)</f>
        <v>0</v>
      </c>
      <c r="U93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платеж]]+Y935-Первоначальный[[#This Row],[Полученный платёж по процентам]])</f>
        <v>0</v>
      </c>
      <c r="V936" s="55">
        <f t="shared" ca="1" si="171"/>
        <v>0</v>
      </c>
      <c r="W936" s="55" cm="1">
        <f t="array" aca="1" ref="W936" ca="1">IF(Первоначальный[[#This Row],[Итого остаток на начало периода]]&lt;1,0,
_xlfn.IFS(
AND(TYPE(VLOOKUP(1,$Z$12:Z936,1,0))=16,Первоначальный[[#This Row],[Досрочное погашение (да/"")]]=""),0,
AND(S935=0,Первоначальный[[#This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платеж]]+Y935-SUM(Первоначальный[[#This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комиссиям]]),VLOOKUP(LOOKUP(,-1/($Z$12:Z936=1),$A$12:A936),График[[Срок конец]:[Возврат основной суммы долга]],3,0)),
AND(S935=0,Первоначальный[[#This Row],[Дата платежа из графика]]="",Первоначальный[[#This Row],[Досрочное погашение (да/"")]]&lt;&gt;"Да"),0,
AND(S935=0,Первоначальный[[#This Row],[Досрочное погашение (да/"")]]=""),MIN(Первоначальный[[#This Row],[Полученный платеж]]+Y935-SUM(Первоначальный[[#This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комиссиям]]),VLOOKUP(LOOKUP(,-1/($Z$12:Z936=1),$A$12:A936),График[[Срок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платеж]]+Y935-SUM(Первоначальный[[#This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S935&gt;0,MIN(Первоначальный[[#This Row],[Полученный платеж]]+Y935-SUM(Первоначальный[[#This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комиссиям]]),SUM(INDIRECT("M"&amp;(MAX((1=S$12:S935)*ROW(S$12:S935),ROW($W$12))&amp;":M"&amp;(ROW()))))-SUM(INDIRECT("W"&amp;(MAX((1=S$12:S935)*ROW(S$12:S935),ROW($W$12))&amp;":W"&amp;(ROW()-1)))))
)
)</f>
        <v>0</v>
      </c>
      <c r="X936" s="55">
        <f t="shared" ca="1" si="172"/>
        <v>0</v>
      </c>
      <c r="Y936" s="101">
        <f t="shared" ca="1" si="179"/>
        <v>0</v>
      </c>
      <c r="Z936" s="133" t="str">
        <f>IF(TYPE((VLOOKUP(Первоначальный[[#This Row],[Дата платежа]],График[Срок конец],1,0)))=16,"",1)</f>
        <v/>
      </c>
      <c r="AA936" s="57"/>
      <c r="AB936" s="134"/>
      <c r="AC93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3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67162.349999999919</v>
      </c>
      <c r="AE93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3146.7899999999918</v>
      </c>
      <c r="AF93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3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171273.25472786851</v>
      </c>
      <c r="AH936" s="55"/>
      <c r="AI936" s="55"/>
      <c r="AJ936" s="55"/>
      <c r="AK936" s="101">
        <f t="shared" ca="1" si="180"/>
        <v>391215.7347278684</v>
      </c>
      <c r="AL936" s="129">
        <f t="array" ref="AL936">MAX((УслРестрактов[Характеристика]="Дата реструктуризации")*(УслРестрактов[Значение]=Первоначальный!$A936),0)</f>
        <v>0</v>
      </c>
    </row>
    <row r="937" spans="1:38" x14ac:dyDescent="0.25">
      <c r="A937" s="97">
        <f t="shared" si="173"/>
        <v>45068</v>
      </c>
      <c r="B937" s="100">
        <f t="shared" ca="1" si="174"/>
        <v>149633.34</v>
      </c>
      <c r="C937" s="55">
        <f t="shared" ca="1" si="170"/>
        <v>67162.349999999919</v>
      </c>
      <c r="D937" s="55">
        <f t="shared" ca="1" si="170"/>
        <v>3146.7899999999918</v>
      </c>
      <c r="E937" s="55">
        <f t="shared" ca="1" si="175"/>
        <v>0</v>
      </c>
      <c r="F937" s="55">
        <f t="shared" ca="1" si="176"/>
        <v>171273.25472786851</v>
      </c>
      <c r="G937" s="101">
        <f t="shared" ca="1" si="177"/>
        <v>391215.7347278684</v>
      </c>
      <c r="H937" s="100">
        <f ca="1">ROUND($B937*VLOOKUP($A937,$A$1:$B$10,2,1)/(365+IF(MOD(YEAR($A937),4),0,1)*($A937-$A936)),2)-Первоначальный[[#This Row],[Проценты на просроченный платеж по ОД за период]]</f>
        <v>73.5</v>
      </c>
      <c r="I937" s="55">
        <f t="shared" ca="1" si="178"/>
        <v>8.08</v>
      </c>
      <c r="J937" s="55">
        <v>0</v>
      </c>
      <c r="K937" s="55">
        <f t="shared" ca="1" si="181"/>
        <v>405.51350327868846</v>
      </c>
      <c r="L937" s="55">
        <v>0</v>
      </c>
      <c r="M937" s="113">
        <f>SUMIFS(График[Возврат основной суммы долга],График[Дата с учетом нерабочих дней],$A937)</f>
        <v>0</v>
      </c>
      <c r="N937" s="56">
        <f>SUMIFS(График[Возврат начисленных %],График[Дата с учетом нерабочих дней],$A937)</f>
        <v>0</v>
      </c>
      <c r="O937" s="101">
        <v>0</v>
      </c>
      <c r="P937" s="100" cm="1">
        <f t="array" aca="1" ref="P937" ca="1">MAX(IF(AA936="Да",0,SUM(INDIRECT("M"&amp;(MAX(("Да"=AA$12:AA936)*ROW(AA$12:AA936)+1,ROW($P$12))&amp;":M"&amp;(ROW()))))-SUM(INDIRECT("W"&amp;(MAX(("Да"=AA$12:AA936)*ROW(AA$12:AA936)+1,ROW($P$12))&amp;":W"&amp;(ROW()))))),0)</f>
        <v>14824.650000000001</v>
      </c>
      <c r="Q937" s="99">
        <f ca="1">MAX(SUM($N$13:N937)-SUM($T$13:T937),0)</f>
        <v>66278.050655737679</v>
      </c>
      <c r="R937" s="99">
        <f ca="1">Первоначальный[[#This Row],[Просроченный платеж по ОД]]+Первоначальный[[#This Row],[Просроченный платеж по процентам]]</f>
        <v>81102.700655737688</v>
      </c>
      <c r="S937" s="120">
        <f ca="1">IF(Первоначальный[[#This Row],[Просроченный платеж]]&lt;1,0,S936+1)</f>
        <v>833</v>
      </c>
      <c r="T937" s="100" cm="1">
        <f t="array" aca="1" ref="T937" ca="1">IF(Первоначальный[[#This Row],[Итого остаток на начало периода]]&lt;1,0,
IF(
AND(TYPE(VLOOKUP(1,$Z$12:Z937,1,0))=16,Первоначальный[[#This Row],[Досрочное погашение (да/"")]]=""),0,
_xlfn.IFS(AND(S936=0,Первоначальный[[#This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платеж]]&lt;&gt;0),MIN(LOOKUP(,-1/($Z$12:Z937=1),$C$12:C937)+LOOKUP(,-1/($Z$12:Z937=1),$H$12:H937),Первоначальный[[#This Row],[Полученный платеж]]+Y936),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платеж]]+Y936,SUM(Первоначальный[[#This Row],[Остаток процентов на начало периода]],Первоначальный[[#This Row],[Проценты за период]])),
AND(S936=0,Первоначальный[[#This Row],[Дата платежа из графика]]=""),0,
AND(S936=0,Первоначальный[[#This Row],[Дата платежа из графика]]=1,MAX((0&lt;&gt;S$12:S936)*ROW(S$12:S936),ROW($S$12))&gt;=MAX((1=Z$12:Z936)*ROW(Z$12:Z936),ROW($T$12)),TYPE(VLOOKUP("Да",(INDIRECT("AA"&amp;(MAX((1=Z$12:Z936)*ROW(Z$12:Z936),ROW($T$12))&amp;":AA"&amp;(ROW()-1)))),1,0))=16),MIN(LOOKUP(,-1/($Z$12:Z937=1),$C$12:C937)+LOOKUP(,-1/($Z$12:Z937=1),$H$12:H937),Первоначальный[[#This Row],[Полученный платеж]]+Y936),
AND(S936=0,TYPE(VLOOKUP("Да",(INDIRECT("AA"&amp;(MAX((1=Z$12:Z936)*ROW(Z$12:Z936),ROW($T$12))&amp;":AA"&amp;(ROW()-1)))),1,0))&lt;&gt;16),MIN(LOOKUP(,-1/($Z$12:Z937=1),$C$12:C937)+LOOKUP(,-1/($Z$12:Z937=1),$H$12:H937)-IF(AA936="Да",0,SUM(INDIRECT("T"&amp;(MAX(("Да"=AA$12:AA936)*ROW(AA$12:AA936)+1,ROW($T$12))&amp;":T"&amp;(ROW()-1))))),Первоначальный[[#This Row],[Полученный платеж]]+Y936),
AND(S936=0,MAX((0&lt;&gt;N$12:N936)*ROW(N$12:N936),ROW($S$12))&gt;=MAX((1=Z$12:Z936)*ROW(Z$12:Z936),ROW($T$12))),MIN(LOOKUP(,-1/($Z$12:Z937=1),$C$12:C937)+LOOKUP(,-1/($Z$12:Z937=1),$H$12:H937)-IF(N936&lt;&gt;0,0,SUM(INDIRECT("T"&amp;(MAX((0&lt;&gt;N$12:N936)*ROW(N$12:N936)+1,ROW($T$12))&amp;":T"&amp;(ROW()-1))))),Первоначальный[[#This Row],[Полученный платеж]]+Y936),
AND(S936=0,Первоначальный[[#This Row],[Дата платежа из графика]]=1),MIN(LOOKUP(,-1/($Z$12:Z937=1),$C$12:C937)+LOOKUP(,-1/($Z$12:Z937=1),$H$12:H937)-IF(Z936=1,0,SUM(INDIRECT("T"&amp;(MAX((1=Z$12:Z936)*ROW(Z$12:Z936)+1,ROW($T$12))&amp;":T"&amp;(ROW()-1))))),Первоначальный[[#This Row],[Полученный платеж]]+Y936),
AND(Z936&gt;0,Первоначальный[[#This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платеж]]+Y936),
AND(S936&gt;0,MAX((0&lt;&gt;S$12:S936)*ROW(S$12:S936),ROW($S$12))&gt;=MAX((1=Z$12:Z936)*ROW(Z$12:Z936),ROW($T$12)),TYPE(VLOOKUP("Да",(INDIRECT("AA"&amp;(MAX((1=Z$12:Z936)*ROW(Z$12:Z936),ROW($T$12))&amp;":AA"&amp;(ROW()-1)))),1,0))=16),MIN(LOOKUP(,-1/($Z$12:Z937=1),$C$12:C937)+LOOKUP(,-1/($Z$12:Z937=1),$H$12:H937)-SUM(INDIRECT("T"&amp;(MAX((1=Z$12:Z936)*ROW(Z$12:Z936),ROW($T$12))&amp;":T"&amp;(ROW()-1)))),Первоначальный[[#This Row],[Полученный платеж]]+Y936),
S936&gt;0,MIN(LOOKUP(,-1/($Z$12:Z937=1),$C$12:C937)+LOOKUP(,-1/($Z$12:Z937=1),$H$12:H937)-IF(Z936=1,0,SUM(INDIRECT("T"&amp;(MAX((1=Z$12:Z936)*ROW(Z$12:Z936)+1,ROW($T$12))&amp;":T"&amp;(ROW()-1))))),Первоначальный[[#This Row],[Полученный платеж]]+Y936)
)
)
)</f>
        <v>0</v>
      </c>
      <c r="U93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платеж]]+Y936-Первоначальный[[#This Row],[Полученный платёж по процентам]])</f>
        <v>0</v>
      </c>
      <c r="V937" s="55">
        <f t="shared" ca="1" si="171"/>
        <v>0</v>
      </c>
      <c r="W937" s="55" cm="1">
        <f t="array" aca="1" ref="W937" ca="1">IF(Первоначальный[[#This Row],[Итого остаток на начало периода]]&lt;1,0,
_xlfn.IFS(
AND(TYPE(VLOOKUP(1,$Z$12:Z937,1,0))=16,Первоначальный[[#This Row],[Досрочное погашение (да/"")]]=""),0,
AND(S936=0,Первоначальный[[#This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платеж]]+Y936-SUM(Первоначальный[[#This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комиссиям]]),VLOOKUP(LOOKUP(,-1/($Z$12:Z937=1),$A$12:A937),График[[Срок конец]:[Возврат основной суммы долга]],3,0)),
AND(S936=0,Первоначальный[[#This Row],[Дата платежа из графика]]="",Первоначальный[[#This Row],[Досрочное погашение (да/"")]]&lt;&gt;"Да"),0,
AND(S936=0,Первоначальный[[#This Row],[Досрочное погашение (да/"")]]=""),MIN(Первоначальный[[#This Row],[Полученный платеж]]+Y936-SUM(Первоначальный[[#This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комиссиям]]),VLOOKUP(LOOKUP(,-1/($Z$12:Z937=1),$A$12:A937),График[[Срок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платеж]]+Y936-SUM(Первоначальный[[#This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S936&gt;0,MIN(Первоначальный[[#This Row],[Полученный платеж]]+Y936-SUM(Первоначальный[[#This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комиссиям]]),SUM(INDIRECT("M"&amp;(MAX((1=S$12:S936)*ROW(S$12:S936),ROW($W$12))&amp;":M"&amp;(ROW()))))-SUM(INDIRECT("W"&amp;(MAX((1=S$12:S936)*ROW(S$12:S936),ROW($W$12))&amp;":W"&amp;(ROW()-1)))))
)
)</f>
        <v>0</v>
      </c>
      <c r="X937" s="55">
        <f t="shared" ca="1" si="172"/>
        <v>0</v>
      </c>
      <c r="Y937" s="101">
        <f t="shared" ca="1" si="179"/>
        <v>0</v>
      </c>
      <c r="Z937" s="133" t="str">
        <f>IF(TYPE((VLOOKUP(Первоначальный[[#This Row],[Дата платежа]],График[Срок конец],1,0)))=16,"",1)</f>
        <v/>
      </c>
      <c r="AA937" s="57"/>
      <c r="AB937" s="134"/>
      <c r="AC93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3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67235.849999999919</v>
      </c>
      <c r="AE93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3154.8699999999917</v>
      </c>
      <c r="AF93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3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171678.7682311472</v>
      </c>
      <c r="AH937" s="55"/>
      <c r="AI937" s="55"/>
      <c r="AJ937" s="55"/>
      <c r="AK937" s="101">
        <f t="shared" ca="1" si="180"/>
        <v>391702.82823114714</v>
      </c>
      <c r="AL937" s="129">
        <f t="array" ref="AL937">MAX((УслРестрактов[Характеристика]="Дата реструктуризации")*(УслРестрактов[Значение]=Первоначальный!$A937),0)</f>
        <v>0</v>
      </c>
    </row>
    <row r="938" spans="1:38" x14ac:dyDescent="0.25">
      <c r="A938" s="97">
        <f t="shared" si="173"/>
        <v>45069</v>
      </c>
      <c r="B938" s="100">
        <f t="shared" ca="1" si="174"/>
        <v>149633.34</v>
      </c>
      <c r="C938" s="55">
        <f t="shared" ca="1" si="170"/>
        <v>67235.849999999919</v>
      </c>
      <c r="D938" s="55">
        <f t="shared" ca="1" si="170"/>
        <v>3154.8699999999917</v>
      </c>
      <c r="E938" s="55">
        <f t="shared" ca="1" si="175"/>
        <v>0</v>
      </c>
      <c r="F938" s="55">
        <f t="shared" ca="1" si="176"/>
        <v>171678.7682311472</v>
      </c>
      <c r="G938" s="101">
        <f t="shared" ca="1" si="177"/>
        <v>391702.82823114714</v>
      </c>
      <c r="H938" s="100">
        <f ca="1">ROUND($B938*VLOOKUP($A938,$A$1:$B$10,2,1)/(365+IF(MOD(YEAR($A938),4),0,1)*($A938-$A937)),2)-Первоначальный[[#This Row],[Проценты на просроченный платеж по ОД за период]]</f>
        <v>73.5</v>
      </c>
      <c r="I938" s="55">
        <f t="shared" ca="1" si="178"/>
        <v>8.08</v>
      </c>
      <c r="J938" s="55">
        <v>0</v>
      </c>
      <c r="K938" s="55">
        <f t="shared" ca="1" si="181"/>
        <v>405.51350327868846</v>
      </c>
      <c r="L938" s="55">
        <v>0</v>
      </c>
      <c r="M938" s="113">
        <f>SUMIFS(График[Возврат основной суммы долга],График[Дата с учетом нерабочих дней],$A938)</f>
        <v>0</v>
      </c>
      <c r="N938" s="56">
        <f>SUMIFS(График[Возврат начисленных %],График[Дата с учетом нерабочих дней],$A938)</f>
        <v>0</v>
      </c>
      <c r="O938" s="101">
        <v>0</v>
      </c>
      <c r="P938" s="100" cm="1">
        <f t="array" aca="1" ref="P938" ca="1">MAX(IF(AA937="Да",0,SUM(INDIRECT("M"&amp;(MAX(("Да"=AA$12:AA937)*ROW(AA$12:AA937)+1,ROW($P$12))&amp;":M"&amp;(ROW()))))-SUM(INDIRECT("W"&amp;(MAX(("Да"=AA$12:AA937)*ROW(AA$12:AA937)+1,ROW($P$12))&amp;":W"&amp;(ROW()))))),0)</f>
        <v>14824.650000000001</v>
      </c>
      <c r="Q938" s="99">
        <f ca="1">MAX(SUM($N$13:N938)-SUM($T$13:T938),0)</f>
        <v>66278.050655737679</v>
      </c>
      <c r="R938" s="99">
        <f ca="1">Первоначальный[[#This Row],[Просроченный платеж по ОД]]+Первоначальный[[#This Row],[Просроченный платеж по процентам]]</f>
        <v>81102.700655737688</v>
      </c>
      <c r="S938" s="120">
        <f ca="1">IF(Первоначальный[[#This Row],[Просроченный платеж]]&lt;1,0,S937+1)</f>
        <v>834</v>
      </c>
      <c r="T938" s="100" cm="1">
        <f t="array" aca="1" ref="T938" ca="1">IF(Первоначальный[[#This Row],[Итого остаток на начало периода]]&lt;1,0,
IF(
AND(TYPE(VLOOKUP(1,$Z$12:Z938,1,0))=16,Первоначальный[[#This Row],[Досрочное погашение (да/"")]]=""),0,
_xlfn.IFS(AND(S937=0,Первоначальный[[#This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платеж]]&lt;&gt;0),MIN(LOOKUP(,-1/($Z$12:Z938=1),$C$12:C938)+LOOKUP(,-1/($Z$12:Z938=1),$H$12:H938),Первоначальный[[#This Row],[Полученный платеж]]+Y937),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платеж]]+Y937,SUM(Первоначальный[[#This Row],[Остаток процентов на начало периода]],Первоначальный[[#This Row],[Проценты за период]])),
AND(S937=0,Первоначальный[[#This Row],[Дата платежа из графика]]=""),0,
AND(S937=0,Первоначальный[[#This Row],[Дата платежа из графика]]=1,MAX((0&lt;&gt;S$12:S937)*ROW(S$12:S937),ROW($S$12))&gt;=MAX((1=Z$12:Z937)*ROW(Z$12:Z937),ROW($T$12)),TYPE(VLOOKUP("Да",(INDIRECT("AA"&amp;(MAX((1=Z$12:Z937)*ROW(Z$12:Z937),ROW($T$12))&amp;":AA"&amp;(ROW()-1)))),1,0))=16),MIN(LOOKUP(,-1/($Z$12:Z938=1),$C$12:C938)+LOOKUP(,-1/($Z$12:Z938=1),$H$12:H938),Первоначальный[[#This Row],[Полученный платеж]]+Y937),
AND(S937=0,TYPE(VLOOKUP("Да",(INDIRECT("AA"&amp;(MAX((1=Z$12:Z937)*ROW(Z$12:Z937),ROW($T$12))&amp;":AA"&amp;(ROW()-1)))),1,0))&lt;&gt;16),MIN(LOOKUP(,-1/($Z$12:Z938=1),$C$12:C938)+LOOKUP(,-1/($Z$12:Z938=1),$H$12:H938)-IF(AA937="Да",0,SUM(INDIRECT("T"&amp;(MAX(("Да"=AA$12:AA937)*ROW(AA$12:AA937)+1,ROW($T$12))&amp;":T"&amp;(ROW()-1))))),Первоначальный[[#This Row],[Полученный платеж]]+Y937),
AND(S937=0,MAX((0&lt;&gt;N$12:N937)*ROW(N$12:N937),ROW($S$12))&gt;=MAX((1=Z$12:Z937)*ROW(Z$12:Z937),ROW($T$12))),MIN(LOOKUP(,-1/($Z$12:Z938=1),$C$12:C938)+LOOKUP(,-1/($Z$12:Z938=1),$H$12:H938)-IF(N937&lt;&gt;0,0,SUM(INDIRECT("T"&amp;(MAX((0&lt;&gt;N$12:N937)*ROW(N$12:N937)+1,ROW($T$12))&amp;":T"&amp;(ROW()-1))))),Первоначальный[[#This Row],[Полученный платеж]]+Y937),
AND(S937=0,Первоначальный[[#This Row],[Дата платежа из графика]]=1),MIN(LOOKUP(,-1/($Z$12:Z938=1),$C$12:C938)+LOOKUP(,-1/($Z$12:Z938=1),$H$12:H938)-IF(Z937=1,0,SUM(INDIRECT("T"&amp;(MAX((1=Z$12:Z937)*ROW(Z$12:Z937)+1,ROW($T$12))&amp;":T"&amp;(ROW()-1))))),Первоначальный[[#This Row],[Полученный платеж]]+Y937),
AND(Z937&gt;0,Первоначальный[[#This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платеж]]+Y937),
AND(S937&gt;0,MAX((0&lt;&gt;S$12:S937)*ROW(S$12:S937),ROW($S$12))&gt;=MAX((1=Z$12:Z937)*ROW(Z$12:Z937),ROW($T$12)),TYPE(VLOOKUP("Да",(INDIRECT("AA"&amp;(MAX((1=Z$12:Z937)*ROW(Z$12:Z937),ROW($T$12))&amp;":AA"&amp;(ROW()-1)))),1,0))=16),MIN(LOOKUP(,-1/($Z$12:Z938=1),$C$12:C938)+LOOKUP(,-1/($Z$12:Z938=1),$H$12:H938)-SUM(INDIRECT("T"&amp;(MAX((1=Z$12:Z937)*ROW(Z$12:Z937),ROW($T$12))&amp;":T"&amp;(ROW()-1)))),Первоначальный[[#This Row],[Полученный платеж]]+Y937),
S937&gt;0,MIN(LOOKUP(,-1/($Z$12:Z938=1),$C$12:C938)+LOOKUP(,-1/($Z$12:Z938=1),$H$12:H938)-IF(Z937=1,0,SUM(INDIRECT("T"&amp;(MAX((1=Z$12:Z937)*ROW(Z$12:Z937)+1,ROW($T$12))&amp;":T"&amp;(ROW()-1))))),Первоначальный[[#This Row],[Полученный платеж]]+Y937)
)
)
)</f>
        <v>0</v>
      </c>
      <c r="U93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платеж]]+Y937-Первоначальный[[#This Row],[Полученный платёж по процентам]])</f>
        <v>0</v>
      </c>
      <c r="V938" s="55">
        <f t="shared" ca="1" si="171"/>
        <v>0</v>
      </c>
      <c r="W938" s="55" cm="1">
        <f t="array" aca="1" ref="W938" ca="1">IF(Первоначальный[[#This Row],[Итого остаток на начало периода]]&lt;1,0,
_xlfn.IFS(
AND(TYPE(VLOOKUP(1,$Z$12:Z938,1,0))=16,Первоначальный[[#This Row],[Досрочное погашение (да/"")]]=""),0,
AND(S937=0,Первоначальный[[#This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платеж]]+Y937-SUM(Первоначальный[[#This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комиссиям]]),VLOOKUP(LOOKUP(,-1/($Z$12:Z938=1),$A$12:A938),График[[Срок конец]:[Возврат основной суммы долга]],3,0)),
AND(S937=0,Первоначальный[[#This Row],[Дата платежа из графика]]="",Первоначальный[[#This Row],[Досрочное погашение (да/"")]]&lt;&gt;"Да"),0,
AND(S937=0,Первоначальный[[#This Row],[Досрочное погашение (да/"")]]=""),MIN(Первоначальный[[#This Row],[Полученный платеж]]+Y937-SUM(Первоначальный[[#This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комиссиям]]),VLOOKUP(LOOKUP(,-1/($Z$12:Z938=1),$A$12:A938),График[[Срок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платеж]]+Y937-SUM(Первоначальный[[#This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S937&gt;0,MIN(Первоначальный[[#This Row],[Полученный платеж]]+Y937-SUM(Первоначальный[[#This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комиссиям]]),SUM(INDIRECT("M"&amp;(MAX((1=S$12:S937)*ROW(S$12:S937),ROW($W$12))&amp;":M"&amp;(ROW()))))-SUM(INDIRECT("W"&amp;(MAX((1=S$12:S937)*ROW(S$12:S937),ROW($W$12))&amp;":W"&amp;(ROW()-1)))))
)
)</f>
        <v>0</v>
      </c>
      <c r="X938" s="55">
        <f t="shared" ca="1" si="172"/>
        <v>0</v>
      </c>
      <c r="Y938" s="101">
        <f t="shared" ca="1" si="179"/>
        <v>0</v>
      </c>
      <c r="Z938" s="133" t="str">
        <f>IF(TYPE((VLOOKUP(Первоначальный[[#This Row],[Дата платежа]],График[Срок конец],1,0)))=16,"",1)</f>
        <v/>
      </c>
      <c r="AA938" s="57"/>
      <c r="AB938" s="134"/>
      <c r="AC93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3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67309.349999999919</v>
      </c>
      <c r="AE93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3162.9499999999916</v>
      </c>
      <c r="AF93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3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172084.28173442589</v>
      </c>
      <c r="AH938" s="55"/>
      <c r="AI938" s="55"/>
      <c r="AJ938" s="55"/>
      <c r="AK938" s="101">
        <f t="shared" ca="1" si="180"/>
        <v>392189.92173442582</v>
      </c>
      <c r="AL938" s="129">
        <f t="array" ref="AL938">MAX((УслРестрактов[Характеристика]="Дата реструктуризации")*(УслРестрактов[Значение]=Первоначальный!$A938),0)</f>
        <v>0</v>
      </c>
    </row>
    <row r="939" spans="1:38" x14ac:dyDescent="0.25">
      <c r="A939" s="97">
        <f t="shared" si="173"/>
        <v>45070</v>
      </c>
      <c r="B939" s="100">
        <f t="shared" ca="1" si="174"/>
        <v>149633.34</v>
      </c>
      <c r="C939" s="55">
        <f t="shared" ca="1" si="170"/>
        <v>67309.349999999919</v>
      </c>
      <c r="D939" s="55">
        <f t="shared" ca="1" si="170"/>
        <v>3162.9499999999916</v>
      </c>
      <c r="E939" s="55">
        <f t="shared" ca="1" si="175"/>
        <v>0</v>
      </c>
      <c r="F939" s="55">
        <f t="shared" ca="1" si="176"/>
        <v>172084.28173442589</v>
      </c>
      <c r="G939" s="101">
        <f t="shared" ca="1" si="177"/>
        <v>392189.92173442582</v>
      </c>
      <c r="H939" s="100">
        <f ca="1">ROUND($B939*VLOOKUP($A939,$A$1:$B$10,2,1)/(365+IF(MOD(YEAR($A939),4),0,1)*($A939-$A938)),2)-Первоначальный[[#This Row],[Проценты на просроченный платеж по ОД за период]]</f>
        <v>73.5</v>
      </c>
      <c r="I939" s="55">
        <f t="shared" ca="1" si="178"/>
        <v>8.08</v>
      </c>
      <c r="J939" s="55">
        <v>0</v>
      </c>
      <c r="K939" s="55">
        <f t="shared" ca="1" si="181"/>
        <v>405.51350327868846</v>
      </c>
      <c r="L939" s="55">
        <v>0</v>
      </c>
      <c r="M939" s="113">
        <f>SUMIFS(График[Возврат основной суммы долга],График[Дата с учетом нерабочих дней],$A939)</f>
        <v>0</v>
      </c>
      <c r="N939" s="56">
        <f>SUMIFS(График[Возврат начисленных %],График[Дата с учетом нерабочих дней],$A939)</f>
        <v>0</v>
      </c>
      <c r="O939" s="101">
        <v>0</v>
      </c>
      <c r="P939" s="100" cm="1">
        <f t="array" aca="1" ref="P939" ca="1">MAX(IF(AA938="Да",0,SUM(INDIRECT("M"&amp;(MAX(("Да"=AA$12:AA938)*ROW(AA$12:AA938)+1,ROW($P$12))&amp;":M"&amp;(ROW()))))-SUM(INDIRECT("W"&amp;(MAX(("Да"=AA$12:AA938)*ROW(AA$12:AA938)+1,ROW($P$12))&amp;":W"&amp;(ROW()))))),0)</f>
        <v>14824.650000000001</v>
      </c>
      <c r="Q939" s="99">
        <f ca="1">MAX(SUM($N$13:N939)-SUM($T$13:T939),0)</f>
        <v>66278.050655737679</v>
      </c>
      <c r="R939" s="99">
        <f ca="1">Первоначальный[[#This Row],[Просроченный платеж по ОД]]+Первоначальный[[#This Row],[Просроченный платеж по процентам]]</f>
        <v>81102.700655737688</v>
      </c>
      <c r="S939" s="120">
        <f ca="1">IF(Первоначальный[[#This Row],[Просроченный платеж]]&lt;1,0,S938+1)</f>
        <v>835</v>
      </c>
      <c r="T939" s="100" cm="1">
        <f t="array" aca="1" ref="T939" ca="1">IF(Первоначальный[[#This Row],[Итого остаток на начало периода]]&lt;1,0,
IF(
AND(TYPE(VLOOKUP(1,$Z$12:Z939,1,0))=16,Первоначальный[[#This Row],[Досрочное погашение (да/"")]]=""),0,
_xlfn.IFS(AND(S938=0,Первоначальный[[#This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платеж]]&lt;&gt;0),MIN(LOOKUP(,-1/($Z$12:Z939=1),$C$12:C939)+LOOKUP(,-1/($Z$12:Z939=1),$H$12:H939),Первоначальный[[#This Row],[Полученный платеж]]+Y938),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платеж]]+Y938,SUM(Первоначальный[[#This Row],[Остаток процентов на начало периода]],Первоначальный[[#This Row],[Проценты за период]])),
AND(S938=0,Первоначальный[[#This Row],[Дата платежа из графика]]=""),0,
AND(S938=0,Первоначальный[[#This Row],[Дата платежа из графика]]=1,MAX((0&lt;&gt;S$12:S938)*ROW(S$12:S938),ROW($S$12))&gt;=MAX((1=Z$12:Z938)*ROW(Z$12:Z938),ROW($T$12)),TYPE(VLOOKUP("Да",(INDIRECT("AA"&amp;(MAX((1=Z$12:Z938)*ROW(Z$12:Z938),ROW($T$12))&amp;":AA"&amp;(ROW()-1)))),1,0))=16),MIN(LOOKUP(,-1/($Z$12:Z939=1),$C$12:C939)+LOOKUP(,-1/($Z$12:Z939=1),$H$12:H939),Первоначальный[[#This Row],[Полученный платеж]]+Y938),
AND(S938=0,TYPE(VLOOKUP("Да",(INDIRECT("AA"&amp;(MAX((1=Z$12:Z938)*ROW(Z$12:Z938),ROW($T$12))&amp;":AA"&amp;(ROW()-1)))),1,0))&lt;&gt;16),MIN(LOOKUP(,-1/($Z$12:Z939=1),$C$12:C939)+LOOKUP(,-1/($Z$12:Z939=1),$H$12:H939)-IF(AA938="Да",0,SUM(INDIRECT("T"&amp;(MAX(("Да"=AA$12:AA938)*ROW(AA$12:AA938)+1,ROW($T$12))&amp;":T"&amp;(ROW()-1))))),Первоначальный[[#This Row],[Полученный платеж]]+Y938),
AND(S938=0,MAX((0&lt;&gt;N$12:N938)*ROW(N$12:N938),ROW($S$12))&gt;=MAX((1=Z$12:Z938)*ROW(Z$12:Z938),ROW($T$12))),MIN(LOOKUP(,-1/($Z$12:Z939=1),$C$12:C939)+LOOKUP(,-1/($Z$12:Z939=1),$H$12:H939)-IF(N938&lt;&gt;0,0,SUM(INDIRECT("T"&amp;(MAX((0&lt;&gt;N$12:N938)*ROW(N$12:N938)+1,ROW($T$12))&amp;":T"&amp;(ROW()-1))))),Первоначальный[[#This Row],[Полученный платеж]]+Y938),
AND(S938=0,Первоначальный[[#This Row],[Дата платежа из графика]]=1),MIN(LOOKUP(,-1/($Z$12:Z939=1),$C$12:C939)+LOOKUP(,-1/($Z$12:Z939=1),$H$12:H939)-IF(Z938=1,0,SUM(INDIRECT("T"&amp;(MAX((1=Z$12:Z938)*ROW(Z$12:Z938)+1,ROW($T$12))&amp;":T"&amp;(ROW()-1))))),Первоначальный[[#This Row],[Полученный платеж]]+Y938),
AND(Z938&gt;0,Первоначальный[[#This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платеж]]+Y938),
AND(S938&gt;0,MAX((0&lt;&gt;S$12:S938)*ROW(S$12:S938),ROW($S$12))&gt;=MAX((1=Z$12:Z938)*ROW(Z$12:Z938),ROW($T$12)),TYPE(VLOOKUP("Да",(INDIRECT("AA"&amp;(MAX((1=Z$12:Z938)*ROW(Z$12:Z938),ROW($T$12))&amp;":AA"&amp;(ROW()-1)))),1,0))=16),MIN(LOOKUP(,-1/($Z$12:Z939=1),$C$12:C939)+LOOKUP(,-1/($Z$12:Z939=1),$H$12:H939)-SUM(INDIRECT("T"&amp;(MAX((1=Z$12:Z938)*ROW(Z$12:Z938),ROW($T$12))&amp;":T"&amp;(ROW()-1)))),Первоначальный[[#This Row],[Полученный платеж]]+Y938),
S938&gt;0,MIN(LOOKUP(,-1/($Z$12:Z939=1),$C$12:C939)+LOOKUP(,-1/($Z$12:Z939=1),$H$12:H939)-IF(Z938=1,0,SUM(INDIRECT("T"&amp;(MAX((1=Z$12:Z938)*ROW(Z$12:Z938)+1,ROW($T$12))&amp;":T"&amp;(ROW()-1))))),Первоначальный[[#This Row],[Полученный платеж]]+Y938)
)
)
)</f>
        <v>0</v>
      </c>
      <c r="U93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платеж]]+Y938-Первоначальный[[#This Row],[Полученный платёж по процентам]])</f>
        <v>0</v>
      </c>
      <c r="V939" s="55">
        <f t="shared" ca="1" si="171"/>
        <v>0</v>
      </c>
      <c r="W939" s="55" cm="1">
        <f t="array" aca="1" ref="W939" ca="1">IF(Первоначальный[[#This Row],[Итого остаток на начало периода]]&lt;1,0,
_xlfn.IFS(
AND(TYPE(VLOOKUP(1,$Z$12:Z939,1,0))=16,Первоначальный[[#This Row],[Досрочное погашение (да/"")]]=""),0,
AND(S938=0,Первоначальный[[#This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платеж]]+Y938-SUM(Первоначальный[[#This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комиссиям]]),VLOOKUP(LOOKUP(,-1/($Z$12:Z939=1),$A$12:A939),График[[Срок конец]:[Возврат основной суммы долга]],3,0)),
AND(S938=0,Первоначальный[[#This Row],[Дата платежа из графика]]="",Первоначальный[[#This Row],[Досрочное погашение (да/"")]]&lt;&gt;"Да"),0,
AND(S938=0,Первоначальный[[#This Row],[Досрочное погашение (да/"")]]=""),MIN(Первоначальный[[#This Row],[Полученный платеж]]+Y938-SUM(Первоначальный[[#This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комиссиям]]),VLOOKUP(LOOKUP(,-1/($Z$12:Z939=1),$A$12:A939),График[[Срок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платеж]]+Y938-SUM(Первоначальный[[#This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S938&gt;0,MIN(Первоначальный[[#This Row],[Полученный платеж]]+Y938-SUM(Первоначальный[[#This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комиссиям]]),SUM(INDIRECT("M"&amp;(MAX((1=S$12:S938)*ROW(S$12:S938),ROW($W$12))&amp;":M"&amp;(ROW()))))-SUM(INDIRECT("W"&amp;(MAX((1=S$12:S938)*ROW(S$12:S938),ROW($W$12))&amp;":W"&amp;(ROW()-1)))))
)
)</f>
        <v>0</v>
      </c>
      <c r="X939" s="55">
        <f t="shared" ca="1" si="172"/>
        <v>0</v>
      </c>
      <c r="Y939" s="101">
        <f t="shared" ca="1" si="179"/>
        <v>0</v>
      </c>
      <c r="Z939" s="133" t="str">
        <f>IF(TYPE((VLOOKUP(Первоначальный[[#This Row],[Дата платежа]],График[Срок конец],1,0)))=16,"",1)</f>
        <v/>
      </c>
      <c r="AA939" s="57"/>
      <c r="AB939" s="134"/>
      <c r="AC93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3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67382.849999999919</v>
      </c>
      <c r="AE93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3171.0299999999916</v>
      </c>
      <c r="AF93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3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172489.79523770459</v>
      </c>
      <c r="AH939" s="55"/>
      <c r="AI939" s="55"/>
      <c r="AJ939" s="55"/>
      <c r="AK939" s="101">
        <f t="shared" ca="1" si="180"/>
        <v>392677.0152377045</v>
      </c>
      <c r="AL939" s="129">
        <f t="array" ref="AL939">MAX((УслРестрактов[Характеристика]="Дата реструктуризации")*(УслРестрактов[Значение]=Первоначальный!$A939),0)</f>
        <v>0</v>
      </c>
    </row>
    <row r="940" spans="1:38" x14ac:dyDescent="0.25">
      <c r="A940" s="97">
        <f t="shared" si="173"/>
        <v>45071</v>
      </c>
      <c r="B940" s="100">
        <f t="shared" ca="1" si="174"/>
        <v>149633.34</v>
      </c>
      <c r="C940" s="55">
        <f t="shared" ca="1" si="170"/>
        <v>67382.849999999919</v>
      </c>
      <c r="D940" s="55">
        <f t="shared" ca="1" si="170"/>
        <v>3171.0299999999916</v>
      </c>
      <c r="E940" s="55">
        <f t="shared" ca="1" si="175"/>
        <v>0</v>
      </c>
      <c r="F940" s="55">
        <f t="shared" ca="1" si="176"/>
        <v>172489.79523770459</v>
      </c>
      <c r="G940" s="101">
        <f t="shared" ca="1" si="177"/>
        <v>392677.0152377045</v>
      </c>
      <c r="H940" s="100">
        <f ca="1">ROUND($B940*VLOOKUP($A940,$A$1:$B$10,2,1)/(365+IF(MOD(YEAR($A940),4),0,1)*($A940-$A939)),2)-Первоначальный[[#This Row],[Проценты на просроченный платеж по ОД за период]]</f>
        <v>73.5</v>
      </c>
      <c r="I940" s="55">
        <f t="shared" ca="1" si="178"/>
        <v>8.08</v>
      </c>
      <c r="J940" s="55">
        <v>0</v>
      </c>
      <c r="K940" s="55">
        <f t="shared" ca="1" si="181"/>
        <v>405.51350327868846</v>
      </c>
      <c r="L940" s="55">
        <v>0</v>
      </c>
      <c r="M940" s="113">
        <f>SUMIFS(График[Возврат основной суммы долга],График[Дата с учетом нерабочих дней],$A940)</f>
        <v>0</v>
      </c>
      <c r="N940" s="56">
        <f>SUMIFS(График[Возврат начисленных %],График[Дата с учетом нерабочих дней],$A940)</f>
        <v>0</v>
      </c>
      <c r="O940" s="101">
        <v>0</v>
      </c>
      <c r="P940" s="100" cm="1">
        <f t="array" aca="1" ref="P940" ca="1">MAX(IF(AA939="Да",0,SUM(INDIRECT("M"&amp;(MAX(("Да"=AA$12:AA939)*ROW(AA$12:AA939)+1,ROW($P$12))&amp;":M"&amp;(ROW()))))-SUM(INDIRECT("W"&amp;(MAX(("Да"=AA$12:AA939)*ROW(AA$12:AA939)+1,ROW($P$12))&amp;":W"&amp;(ROW()))))),0)</f>
        <v>14824.650000000001</v>
      </c>
      <c r="Q940" s="99">
        <f ca="1">MAX(SUM($N$13:N940)-SUM($T$13:T940),0)</f>
        <v>66278.050655737679</v>
      </c>
      <c r="R940" s="99">
        <f ca="1">Первоначальный[[#This Row],[Просроченный платеж по ОД]]+Первоначальный[[#This Row],[Просроченный платеж по процентам]]</f>
        <v>81102.700655737688</v>
      </c>
      <c r="S940" s="120">
        <f ca="1">IF(Первоначальный[[#This Row],[Просроченный платеж]]&lt;1,0,S939+1)</f>
        <v>836</v>
      </c>
      <c r="T940" s="100" cm="1">
        <f t="array" aca="1" ref="T940" ca="1">IF(Первоначальный[[#This Row],[Итого остаток на начало периода]]&lt;1,0,
IF(
AND(TYPE(VLOOKUP(1,$Z$12:Z940,1,0))=16,Первоначальный[[#This Row],[Досрочное погашение (да/"")]]=""),0,
_xlfn.IFS(AND(S939=0,Первоначальный[[#This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платеж]]&lt;&gt;0),MIN(LOOKUP(,-1/($Z$12:Z940=1),$C$12:C940)+LOOKUP(,-1/($Z$12:Z940=1),$H$12:H940),Первоначальный[[#This Row],[Полученный платеж]]+Y939),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платеж]]+Y939,SUM(Первоначальный[[#This Row],[Остаток процентов на начало периода]],Первоначальный[[#This Row],[Проценты за период]])),
AND(S939=0,Первоначальный[[#This Row],[Дата платежа из графика]]=""),0,
AND(S939=0,Первоначальный[[#This Row],[Дата платежа из графика]]=1,MAX((0&lt;&gt;S$12:S939)*ROW(S$12:S939),ROW($S$12))&gt;=MAX((1=Z$12:Z939)*ROW(Z$12:Z939),ROW($T$12)),TYPE(VLOOKUP("Да",(INDIRECT("AA"&amp;(MAX((1=Z$12:Z939)*ROW(Z$12:Z939),ROW($T$12))&amp;":AA"&amp;(ROW()-1)))),1,0))=16),MIN(LOOKUP(,-1/($Z$12:Z940=1),$C$12:C940)+LOOKUP(,-1/($Z$12:Z940=1),$H$12:H940),Первоначальный[[#This Row],[Полученный платеж]]+Y939),
AND(S939=0,TYPE(VLOOKUP("Да",(INDIRECT("AA"&amp;(MAX((1=Z$12:Z939)*ROW(Z$12:Z939),ROW($T$12))&amp;":AA"&amp;(ROW()-1)))),1,0))&lt;&gt;16),MIN(LOOKUP(,-1/($Z$12:Z940=1),$C$12:C940)+LOOKUP(,-1/($Z$12:Z940=1),$H$12:H940)-IF(AA939="Да",0,SUM(INDIRECT("T"&amp;(MAX(("Да"=AA$12:AA939)*ROW(AA$12:AA939)+1,ROW($T$12))&amp;":T"&amp;(ROW()-1))))),Первоначальный[[#This Row],[Полученный платеж]]+Y939),
AND(S939=0,MAX((0&lt;&gt;N$12:N939)*ROW(N$12:N939),ROW($S$12))&gt;=MAX((1=Z$12:Z939)*ROW(Z$12:Z939),ROW($T$12))),MIN(LOOKUP(,-1/($Z$12:Z940=1),$C$12:C940)+LOOKUP(,-1/($Z$12:Z940=1),$H$12:H940)-IF(N939&lt;&gt;0,0,SUM(INDIRECT("T"&amp;(MAX((0&lt;&gt;N$12:N939)*ROW(N$12:N939)+1,ROW($T$12))&amp;":T"&amp;(ROW()-1))))),Первоначальный[[#This Row],[Полученный платеж]]+Y939),
AND(S939=0,Первоначальный[[#This Row],[Дата платежа из графика]]=1),MIN(LOOKUP(,-1/($Z$12:Z940=1),$C$12:C940)+LOOKUP(,-1/($Z$12:Z940=1),$H$12:H940)-IF(Z939=1,0,SUM(INDIRECT("T"&amp;(MAX((1=Z$12:Z939)*ROW(Z$12:Z939)+1,ROW($T$12))&amp;":T"&amp;(ROW()-1))))),Первоначальный[[#This Row],[Полученный платеж]]+Y939),
AND(Z939&gt;0,Первоначальный[[#This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платеж]]+Y939),
AND(S939&gt;0,MAX((0&lt;&gt;S$12:S939)*ROW(S$12:S939),ROW($S$12))&gt;=MAX((1=Z$12:Z939)*ROW(Z$12:Z939),ROW($T$12)),TYPE(VLOOKUP("Да",(INDIRECT("AA"&amp;(MAX((1=Z$12:Z939)*ROW(Z$12:Z939),ROW($T$12))&amp;":AA"&amp;(ROW()-1)))),1,0))=16),MIN(LOOKUP(,-1/($Z$12:Z940=1),$C$12:C940)+LOOKUP(,-1/($Z$12:Z940=1),$H$12:H940)-SUM(INDIRECT("T"&amp;(MAX((1=Z$12:Z939)*ROW(Z$12:Z939),ROW($T$12))&amp;":T"&amp;(ROW()-1)))),Первоначальный[[#This Row],[Полученный платеж]]+Y939),
S939&gt;0,MIN(LOOKUP(,-1/($Z$12:Z940=1),$C$12:C940)+LOOKUP(,-1/($Z$12:Z940=1),$H$12:H940)-IF(Z939=1,0,SUM(INDIRECT("T"&amp;(MAX((1=Z$12:Z939)*ROW(Z$12:Z939)+1,ROW($T$12))&amp;":T"&amp;(ROW()-1))))),Первоначальный[[#This Row],[Полученный платеж]]+Y939)
)
)
)</f>
        <v>0</v>
      </c>
      <c r="U94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платеж]]+Y939-Первоначальный[[#This Row],[Полученный платёж по процентам]])</f>
        <v>0</v>
      </c>
      <c r="V940" s="55">
        <f t="shared" ca="1" si="171"/>
        <v>0</v>
      </c>
      <c r="W940" s="55" cm="1">
        <f t="array" aca="1" ref="W940" ca="1">IF(Первоначальный[[#This Row],[Итого остаток на начало периода]]&lt;1,0,
_xlfn.IFS(
AND(TYPE(VLOOKUP(1,$Z$12:Z940,1,0))=16,Первоначальный[[#This Row],[Досрочное погашение (да/"")]]=""),0,
AND(S939=0,Первоначальный[[#This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платеж]]+Y939-SUM(Первоначальный[[#This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комиссиям]]),VLOOKUP(LOOKUP(,-1/($Z$12:Z940=1),$A$12:A940),График[[Срок конец]:[Возврат основной суммы долга]],3,0)),
AND(S939=0,Первоначальный[[#This Row],[Дата платежа из графика]]="",Первоначальный[[#This Row],[Досрочное погашение (да/"")]]&lt;&gt;"Да"),0,
AND(S939=0,Первоначальный[[#This Row],[Досрочное погашение (да/"")]]=""),MIN(Первоначальный[[#This Row],[Полученный платеж]]+Y939-SUM(Первоначальный[[#This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комиссиям]]),VLOOKUP(LOOKUP(,-1/($Z$12:Z940=1),$A$12:A940),График[[Срок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платеж]]+Y939-SUM(Первоначальный[[#This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S939&gt;0,MIN(Первоначальный[[#This Row],[Полученный платеж]]+Y939-SUM(Первоначальный[[#This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комиссиям]]),SUM(INDIRECT("M"&amp;(MAX((1=S$12:S939)*ROW(S$12:S939),ROW($W$12))&amp;":M"&amp;(ROW()))))-SUM(INDIRECT("W"&amp;(MAX((1=S$12:S939)*ROW(S$12:S939),ROW($W$12))&amp;":W"&amp;(ROW()-1)))))
)
)</f>
        <v>0</v>
      </c>
      <c r="X940" s="55">
        <f t="shared" ca="1" si="172"/>
        <v>0</v>
      </c>
      <c r="Y940" s="101">
        <f t="shared" ca="1" si="179"/>
        <v>0</v>
      </c>
      <c r="Z940" s="133" t="str">
        <f>IF(TYPE((VLOOKUP(Первоначальный[[#This Row],[Дата платежа]],График[Срок конец],1,0)))=16,"",1)</f>
        <v/>
      </c>
      <c r="AA940" s="57"/>
      <c r="AB940" s="134"/>
      <c r="AC94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4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67456.349999999919</v>
      </c>
      <c r="AE94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3179.1099999999915</v>
      </c>
      <c r="AF94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4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172895.30874098328</v>
      </c>
      <c r="AH940" s="55"/>
      <c r="AI940" s="55"/>
      <c r="AJ940" s="55"/>
      <c r="AK940" s="101">
        <f t="shared" ca="1" si="180"/>
        <v>393164.10874098318</v>
      </c>
      <c r="AL940" s="129">
        <f t="array" ref="AL940">MAX((УслРестрактов[Характеристика]="Дата реструктуризации")*(УслРестрактов[Значение]=Первоначальный!$A940),0)</f>
        <v>0</v>
      </c>
    </row>
    <row r="941" spans="1:38" x14ac:dyDescent="0.25">
      <c r="A941" s="97">
        <f t="shared" si="173"/>
        <v>45072</v>
      </c>
      <c r="B941" s="100">
        <f t="shared" ca="1" si="174"/>
        <v>149633.34</v>
      </c>
      <c r="C941" s="55">
        <f t="shared" ca="1" si="170"/>
        <v>67456.349999999919</v>
      </c>
      <c r="D941" s="55">
        <f t="shared" ca="1" si="170"/>
        <v>3179.1099999999915</v>
      </c>
      <c r="E941" s="55">
        <f t="shared" ca="1" si="175"/>
        <v>0</v>
      </c>
      <c r="F941" s="55">
        <f t="shared" ca="1" si="176"/>
        <v>172895.30874098328</v>
      </c>
      <c r="G941" s="101">
        <f t="shared" ca="1" si="177"/>
        <v>393164.10874098318</v>
      </c>
      <c r="H941" s="100">
        <f ca="1">ROUND($B941*VLOOKUP($A941,$A$1:$B$10,2,1)/(365+IF(MOD(YEAR($A941),4),0,1)*($A941-$A940)),2)-Первоначальный[[#This Row],[Проценты на просроченный платеж по ОД за период]]</f>
        <v>73.5</v>
      </c>
      <c r="I941" s="55">
        <f t="shared" ca="1" si="178"/>
        <v>8.08</v>
      </c>
      <c r="J941" s="55">
        <v>0</v>
      </c>
      <c r="K941" s="55">
        <f t="shared" ca="1" si="181"/>
        <v>405.51350327868846</v>
      </c>
      <c r="L941" s="55">
        <v>0</v>
      </c>
      <c r="M941" s="113">
        <f>SUMIFS(График[Возврат основной суммы долга],График[Дата с учетом нерабочих дней],$A941)</f>
        <v>0</v>
      </c>
      <c r="N941" s="56">
        <f>SUMIFS(График[Возврат начисленных %],График[Дата с учетом нерабочих дней],$A941)</f>
        <v>0</v>
      </c>
      <c r="O941" s="101">
        <v>0</v>
      </c>
      <c r="P941" s="100" cm="1">
        <f t="array" aca="1" ref="P941" ca="1">MAX(IF(AA940="Да",0,SUM(INDIRECT("M"&amp;(MAX(("Да"=AA$12:AA940)*ROW(AA$12:AA940)+1,ROW($P$12))&amp;":M"&amp;(ROW()))))-SUM(INDIRECT("W"&amp;(MAX(("Да"=AA$12:AA940)*ROW(AA$12:AA940)+1,ROW($P$12))&amp;":W"&amp;(ROW()))))),0)</f>
        <v>14824.650000000001</v>
      </c>
      <c r="Q941" s="99">
        <f ca="1">MAX(SUM($N$13:N941)-SUM($T$13:T941),0)</f>
        <v>66278.050655737679</v>
      </c>
      <c r="R941" s="99">
        <f ca="1">Первоначальный[[#This Row],[Просроченный платеж по ОД]]+Первоначальный[[#This Row],[Просроченный платеж по процентам]]</f>
        <v>81102.700655737688</v>
      </c>
      <c r="S941" s="120">
        <f ca="1">IF(Первоначальный[[#This Row],[Просроченный платеж]]&lt;1,0,S940+1)</f>
        <v>837</v>
      </c>
      <c r="T941" s="100" cm="1">
        <f t="array" aca="1" ref="T941" ca="1">IF(Первоначальный[[#This Row],[Итого остаток на начало периода]]&lt;1,0,
IF(
AND(TYPE(VLOOKUP(1,$Z$12:Z941,1,0))=16,Первоначальный[[#This Row],[Досрочное погашение (да/"")]]=""),0,
_xlfn.IFS(AND(S940=0,Первоначальный[[#This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платеж]]&lt;&gt;0),MIN(LOOKUP(,-1/($Z$12:Z941=1),$C$12:C941)+LOOKUP(,-1/($Z$12:Z941=1),$H$12:H941),Первоначальный[[#This Row],[Полученный платеж]]+Y940),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платеж]]+Y940,SUM(Первоначальный[[#This Row],[Остаток процентов на начало периода]],Первоначальный[[#This Row],[Проценты за период]])),
AND(S940=0,Первоначальный[[#This Row],[Дата платежа из графика]]=""),0,
AND(S940=0,Первоначальный[[#This Row],[Дата платежа из графика]]=1,MAX((0&lt;&gt;S$12:S940)*ROW(S$12:S940),ROW($S$12))&gt;=MAX((1=Z$12:Z940)*ROW(Z$12:Z940),ROW($T$12)),TYPE(VLOOKUP("Да",(INDIRECT("AA"&amp;(MAX((1=Z$12:Z940)*ROW(Z$12:Z940),ROW($T$12))&amp;":AA"&amp;(ROW()-1)))),1,0))=16),MIN(LOOKUP(,-1/($Z$12:Z941=1),$C$12:C941)+LOOKUP(,-1/($Z$12:Z941=1),$H$12:H941),Первоначальный[[#This Row],[Полученный платеж]]+Y940),
AND(S940=0,TYPE(VLOOKUP("Да",(INDIRECT("AA"&amp;(MAX((1=Z$12:Z940)*ROW(Z$12:Z940),ROW($T$12))&amp;":AA"&amp;(ROW()-1)))),1,0))&lt;&gt;16),MIN(LOOKUP(,-1/($Z$12:Z941=1),$C$12:C941)+LOOKUP(,-1/($Z$12:Z941=1),$H$12:H941)-IF(AA940="Да",0,SUM(INDIRECT("T"&amp;(MAX(("Да"=AA$12:AA940)*ROW(AA$12:AA940)+1,ROW($T$12))&amp;":T"&amp;(ROW()-1))))),Первоначальный[[#This Row],[Полученный платеж]]+Y940),
AND(S940=0,MAX((0&lt;&gt;N$12:N940)*ROW(N$12:N940),ROW($S$12))&gt;=MAX((1=Z$12:Z940)*ROW(Z$12:Z940),ROW($T$12))),MIN(LOOKUP(,-1/($Z$12:Z941=1),$C$12:C941)+LOOKUP(,-1/($Z$12:Z941=1),$H$12:H941)-IF(N940&lt;&gt;0,0,SUM(INDIRECT("T"&amp;(MAX((0&lt;&gt;N$12:N940)*ROW(N$12:N940)+1,ROW($T$12))&amp;":T"&amp;(ROW()-1))))),Первоначальный[[#This Row],[Полученный платеж]]+Y940),
AND(S940=0,Первоначальный[[#This Row],[Дата платежа из графика]]=1),MIN(LOOKUP(,-1/($Z$12:Z941=1),$C$12:C941)+LOOKUP(,-1/($Z$12:Z941=1),$H$12:H941)-IF(Z940=1,0,SUM(INDIRECT("T"&amp;(MAX((1=Z$12:Z940)*ROW(Z$12:Z940)+1,ROW($T$12))&amp;":T"&amp;(ROW()-1))))),Первоначальный[[#This Row],[Полученный платеж]]+Y940),
AND(Z940&gt;0,Первоначальный[[#This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платеж]]+Y940),
AND(S940&gt;0,MAX((0&lt;&gt;S$12:S940)*ROW(S$12:S940),ROW($S$12))&gt;=MAX((1=Z$12:Z940)*ROW(Z$12:Z940),ROW($T$12)),TYPE(VLOOKUP("Да",(INDIRECT("AA"&amp;(MAX((1=Z$12:Z940)*ROW(Z$12:Z940),ROW($T$12))&amp;":AA"&amp;(ROW()-1)))),1,0))=16),MIN(LOOKUP(,-1/($Z$12:Z941=1),$C$12:C941)+LOOKUP(,-1/($Z$12:Z941=1),$H$12:H941)-SUM(INDIRECT("T"&amp;(MAX((1=Z$12:Z940)*ROW(Z$12:Z940),ROW($T$12))&amp;":T"&amp;(ROW()-1)))),Первоначальный[[#This Row],[Полученный платеж]]+Y940),
S940&gt;0,MIN(LOOKUP(,-1/($Z$12:Z941=1),$C$12:C941)+LOOKUP(,-1/($Z$12:Z941=1),$H$12:H941)-IF(Z940=1,0,SUM(INDIRECT("T"&amp;(MAX((1=Z$12:Z940)*ROW(Z$12:Z940)+1,ROW($T$12))&amp;":T"&amp;(ROW()-1))))),Первоначальный[[#This Row],[Полученный платеж]]+Y940)
)
)
)</f>
        <v>0</v>
      </c>
      <c r="U94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платеж]]+Y940-Первоначальный[[#This Row],[Полученный платёж по процентам]])</f>
        <v>0</v>
      </c>
      <c r="V941" s="55">
        <f t="shared" ca="1" si="171"/>
        <v>0</v>
      </c>
      <c r="W941" s="55" cm="1">
        <f t="array" aca="1" ref="W941" ca="1">IF(Первоначальный[[#This Row],[Итого остаток на начало периода]]&lt;1,0,
_xlfn.IFS(
AND(TYPE(VLOOKUP(1,$Z$12:Z941,1,0))=16,Первоначальный[[#This Row],[Досрочное погашение (да/"")]]=""),0,
AND(S940=0,Первоначальный[[#This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платеж]]+Y940-SUM(Первоначальный[[#This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комиссиям]]),VLOOKUP(LOOKUP(,-1/($Z$12:Z941=1),$A$12:A941),График[[Срок конец]:[Возврат основной суммы долга]],3,0)),
AND(S940=0,Первоначальный[[#This Row],[Дата платежа из графика]]="",Первоначальный[[#This Row],[Досрочное погашение (да/"")]]&lt;&gt;"Да"),0,
AND(S940=0,Первоначальный[[#This Row],[Досрочное погашение (да/"")]]=""),MIN(Первоначальный[[#This Row],[Полученный платеж]]+Y940-SUM(Первоначальный[[#This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комиссиям]]),VLOOKUP(LOOKUP(,-1/($Z$12:Z941=1),$A$12:A941),График[[Срок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платеж]]+Y940-SUM(Первоначальный[[#This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S940&gt;0,MIN(Первоначальный[[#This Row],[Полученный платеж]]+Y940-SUM(Первоначальный[[#This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комиссиям]]),SUM(INDIRECT("M"&amp;(MAX((1=S$12:S940)*ROW(S$12:S940),ROW($W$12))&amp;":M"&amp;(ROW()))))-SUM(INDIRECT("W"&amp;(MAX((1=S$12:S940)*ROW(S$12:S940),ROW($W$12))&amp;":W"&amp;(ROW()-1)))))
)
)</f>
        <v>0</v>
      </c>
      <c r="X941" s="55">
        <f t="shared" ca="1" si="172"/>
        <v>0</v>
      </c>
      <c r="Y941" s="101">
        <f t="shared" ca="1" si="179"/>
        <v>0</v>
      </c>
      <c r="Z941" s="133" t="str">
        <f>IF(TYPE((VLOOKUP(Первоначальный[[#This Row],[Дата платежа]],График[Срок конец],1,0)))=16,"",1)</f>
        <v/>
      </c>
      <c r="AA941" s="57"/>
      <c r="AB941" s="134"/>
      <c r="AC94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4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67529.849999999919</v>
      </c>
      <c r="AE94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3187.1899999999914</v>
      </c>
      <c r="AF94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4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173300.82224426197</v>
      </c>
      <c r="AH941" s="55"/>
      <c r="AI941" s="55"/>
      <c r="AJ941" s="55"/>
      <c r="AK941" s="101">
        <f t="shared" ca="1" si="180"/>
        <v>393651.20224426186</v>
      </c>
      <c r="AL941" s="129">
        <f t="array" ref="AL941">MAX((УслРестрактов[Характеристика]="Дата реструктуризации")*(УслРестрактов[Значение]=Первоначальный!$A941),0)</f>
        <v>0</v>
      </c>
    </row>
    <row r="942" spans="1:38" x14ac:dyDescent="0.25">
      <c r="A942" s="97">
        <f t="shared" si="173"/>
        <v>45073</v>
      </c>
      <c r="B942" s="100">
        <f t="shared" ca="1" si="174"/>
        <v>149633.34</v>
      </c>
      <c r="C942" s="55">
        <f t="shared" ca="1" si="170"/>
        <v>67529.849999999919</v>
      </c>
      <c r="D942" s="55">
        <f t="shared" ca="1" si="170"/>
        <v>3187.1899999999914</v>
      </c>
      <c r="E942" s="55">
        <f t="shared" ca="1" si="175"/>
        <v>0</v>
      </c>
      <c r="F942" s="55">
        <f t="shared" ca="1" si="176"/>
        <v>173300.82224426197</v>
      </c>
      <c r="G942" s="101">
        <f t="shared" ca="1" si="177"/>
        <v>393651.20224426186</v>
      </c>
      <c r="H942" s="100">
        <f ca="1">ROUND($B942*VLOOKUP($A942,$A$1:$B$10,2,1)/(365+IF(MOD(YEAR($A942),4),0,1)*($A942-$A941)),2)-Первоначальный[[#This Row],[Проценты на просроченный платеж по ОД за период]]</f>
        <v>73.5</v>
      </c>
      <c r="I942" s="55">
        <f t="shared" ca="1" si="178"/>
        <v>8.08</v>
      </c>
      <c r="J942" s="55">
        <v>0</v>
      </c>
      <c r="K942" s="55">
        <f t="shared" ca="1" si="181"/>
        <v>405.51350327868846</v>
      </c>
      <c r="L942" s="55">
        <v>0</v>
      </c>
      <c r="M942" s="113">
        <f>SUMIFS(График[Возврат основной суммы долга],График[Дата с учетом нерабочих дней],$A942)</f>
        <v>0</v>
      </c>
      <c r="N942" s="56">
        <f>SUMIFS(График[Возврат начисленных %],График[Дата с учетом нерабочих дней],$A942)</f>
        <v>0</v>
      </c>
      <c r="O942" s="101">
        <v>0</v>
      </c>
      <c r="P942" s="100" cm="1">
        <f t="array" aca="1" ref="P942" ca="1">MAX(IF(AA941="Да",0,SUM(INDIRECT("M"&amp;(MAX(("Да"=AA$12:AA941)*ROW(AA$12:AA941)+1,ROW($P$12))&amp;":M"&amp;(ROW()))))-SUM(INDIRECT("W"&amp;(MAX(("Да"=AA$12:AA941)*ROW(AA$12:AA941)+1,ROW($P$12))&amp;":W"&amp;(ROW()))))),0)</f>
        <v>14824.650000000001</v>
      </c>
      <c r="Q942" s="99">
        <f ca="1">MAX(SUM($N$13:N942)-SUM($T$13:T942),0)</f>
        <v>66278.050655737679</v>
      </c>
      <c r="R942" s="99">
        <f ca="1">Первоначальный[[#This Row],[Просроченный платеж по ОД]]+Первоначальный[[#This Row],[Просроченный платеж по процентам]]</f>
        <v>81102.700655737688</v>
      </c>
      <c r="S942" s="120">
        <f ca="1">IF(Первоначальный[[#This Row],[Просроченный платеж]]&lt;1,0,S941+1)</f>
        <v>838</v>
      </c>
      <c r="T942" s="100" cm="1">
        <f t="array" aca="1" ref="T942" ca="1">IF(Первоначальный[[#This Row],[Итого остаток на начало периода]]&lt;1,0,
IF(
AND(TYPE(VLOOKUP(1,$Z$12:Z942,1,0))=16,Первоначальный[[#This Row],[Досрочное погашение (да/"")]]=""),0,
_xlfn.IFS(AND(S941=0,Первоначальный[[#This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платеж]]&lt;&gt;0),MIN(LOOKUP(,-1/($Z$12:Z942=1),$C$12:C942)+LOOKUP(,-1/($Z$12:Z942=1),$H$12:H942),Первоначальный[[#This Row],[Полученный платеж]]+Y941),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платеж]]+Y941,SUM(Первоначальный[[#This Row],[Остаток процентов на начало периода]],Первоначальный[[#This Row],[Проценты за период]])),
AND(S941=0,Первоначальный[[#This Row],[Дата платежа из графика]]=""),0,
AND(S941=0,Первоначальный[[#This Row],[Дата платежа из графика]]=1,MAX((0&lt;&gt;S$12:S941)*ROW(S$12:S941),ROW($S$12))&gt;=MAX((1=Z$12:Z941)*ROW(Z$12:Z941),ROW($T$12)),TYPE(VLOOKUP("Да",(INDIRECT("AA"&amp;(MAX((1=Z$12:Z941)*ROW(Z$12:Z941),ROW($T$12))&amp;":AA"&amp;(ROW()-1)))),1,0))=16),MIN(LOOKUP(,-1/($Z$12:Z942=1),$C$12:C942)+LOOKUP(,-1/($Z$12:Z942=1),$H$12:H942),Первоначальный[[#This Row],[Полученный платеж]]+Y941),
AND(S941=0,TYPE(VLOOKUP("Да",(INDIRECT("AA"&amp;(MAX((1=Z$12:Z941)*ROW(Z$12:Z941),ROW($T$12))&amp;":AA"&amp;(ROW()-1)))),1,0))&lt;&gt;16),MIN(LOOKUP(,-1/($Z$12:Z942=1),$C$12:C942)+LOOKUP(,-1/($Z$12:Z942=1),$H$12:H942)-IF(AA941="Да",0,SUM(INDIRECT("T"&amp;(MAX(("Да"=AA$12:AA941)*ROW(AA$12:AA941)+1,ROW($T$12))&amp;":T"&amp;(ROW()-1))))),Первоначальный[[#This Row],[Полученный платеж]]+Y941),
AND(S941=0,MAX((0&lt;&gt;N$12:N941)*ROW(N$12:N941),ROW($S$12))&gt;=MAX((1=Z$12:Z941)*ROW(Z$12:Z941),ROW($T$12))),MIN(LOOKUP(,-1/($Z$12:Z942=1),$C$12:C942)+LOOKUP(,-1/($Z$12:Z942=1),$H$12:H942)-IF(N941&lt;&gt;0,0,SUM(INDIRECT("T"&amp;(MAX((0&lt;&gt;N$12:N941)*ROW(N$12:N941)+1,ROW($T$12))&amp;":T"&amp;(ROW()-1))))),Первоначальный[[#This Row],[Полученный платеж]]+Y941),
AND(S941=0,Первоначальный[[#This Row],[Дата платежа из графика]]=1),MIN(LOOKUP(,-1/($Z$12:Z942=1),$C$12:C942)+LOOKUP(,-1/($Z$12:Z942=1),$H$12:H942)-IF(Z941=1,0,SUM(INDIRECT("T"&amp;(MAX((1=Z$12:Z941)*ROW(Z$12:Z941)+1,ROW($T$12))&amp;":T"&amp;(ROW()-1))))),Первоначальный[[#This Row],[Полученный платеж]]+Y941),
AND(Z941&gt;0,Первоначальный[[#This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платеж]]+Y941),
AND(S941&gt;0,MAX((0&lt;&gt;S$12:S941)*ROW(S$12:S941),ROW($S$12))&gt;=MAX((1=Z$12:Z941)*ROW(Z$12:Z941),ROW($T$12)),TYPE(VLOOKUP("Да",(INDIRECT("AA"&amp;(MAX((1=Z$12:Z941)*ROW(Z$12:Z941),ROW($T$12))&amp;":AA"&amp;(ROW()-1)))),1,0))=16),MIN(LOOKUP(,-1/($Z$12:Z942=1),$C$12:C942)+LOOKUP(,-1/($Z$12:Z942=1),$H$12:H942)-SUM(INDIRECT("T"&amp;(MAX((1=Z$12:Z941)*ROW(Z$12:Z941),ROW($T$12))&amp;":T"&amp;(ROW()-1)))),Первоначальный[[#This Row],[Полученный платеж]]+Y941),
S941&gt;0,MIN(LOOKUP(,-1/($Z$12:Z942=1),$C$12:C942)+LOOKUP(,-1/($Z$12:Z942=1),$H$12:H942)-IF(Z941=1,0,SUM(INDIRECT("T"&amp;(MAX((1=Z$12:Z941)*ROW(Z$12:Z941)+1,ROW($T$12))&amp;":T"&amp;(ROW()-1))))),Первоначальный[[#This Row],[Полученный платеж]]+Y941)
)
)
)</f>
        <v>0</v>
      </c>
      <c r="U94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платеж]]+Y941-Первоначальный[[#This Row],[Полученный платёж по процентам]])</f>
        <v>0</v>
      </c>
      <c r="V942" s="55">
        <f t="shared" ca="1" si="171"/>
        <v>0</v>
      </c>
      <c r="W942" s="55" cm="1">
        <f t="array" aca="1" ref="W942" ca="1">IF(Первоначальный[[#This Row],[Итого остаток на начало периода]]&lt;1,0,
_xlfn.IFS(
AND(TYPE(VLOOKUP(1,$Z$12:Z942,1,0))=16,Первоначальный[[#This Row],[Досрочное погашение (да/"")]]=""),0,
AND(S941=0,Первоначальный[[#This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платеж]]+Y941-SUM(Первоначальный[[#This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комиссиям]]),VLOOKUP(LOOKUP(,-1/($Z$12:Z942=1),$A$12:A942),График[[Срок конец]:[Возврат основной суммы долга]],3,0)),
AND(S941=0,Первоначальный[[#This Row],[Дата платежа из графика]]="",Первоначальный[[#This Row],[Досрочное погашение (да/"")]]&lt;&gt;"Да"),0,
AND(S941=0,Первоначальный[[#This Row],[Досрочное погашение (да/"")]]=""),MIN(Первоначальный[[#This Row],[Полученный платеж]]+Y941-SUM(Первоначальный[[#This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комиссиям]]),VLOOKUP(LOOKUP(,-1/($Z$12:Z942=1),$A$12:A942),График[[Срок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платеж]]+Y941-SUM(Первоначальный[[#This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S941&gt;0,MIN(Первоначальный[[#This Row],[Полученный платеж]]+Y941-SUM(Первоначальный[[#This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комиссиям]]),SUM(INDIRECT("M"&amp;(MAX((1=S$12:S941)*ROW(S$12:S941),ROW($W$12))&amp;":M"&amp;(ROW()))))-SUM(INDIRECT("W"&amp;(MAX((1=S$12:S941)*ROW(S$12:S941),ROW($W$12))&amp;":W"&amp;(ROW()-1)))))
)
)</f>
        <v>0</v>
      </c>
      <c r="X942" s="55">
        <f t="shared" ca="1" si="172"/>
        <v>0</v>
      </c>
      <c r="Y942" s="101">
        <f t="shared" ca="1" si="179"/>
        <v>0</v>
      </c>
      <c r="Z942" s="133" t="str">
        <f>IF(TYPE((VLOOKUP(Первоначальный[[#This Row],[Дата платежа]],График[Срок конец],1,0)))=16,"",1)</f>
        <v/>
      </c>
      <c r="AA942" s="57"/>
      <c r="AB942" s="134"/>
      <c r="AC94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4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67603.349999999919</v>
      </c>
      <c r="AE94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3195.2699999999913</v>
      </c>
      <c r="AF94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4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173706.33574754067</v>
      </c>
      <c r="AH942" s="55"/>
      <c r="AI942" s="55"/>
      <c r="AJ942" s="55"/>
      <c r="AK942" s="101">
        <f t="shared" ca="1" si="180"/>
        <v>394138.29574754054</v>
      </c>
      <c r="AL942" s="129">
        <f t="array" ref="AL942">MAX((УслРестрактов[Характеристика]="Дата реструктуризации")*(УслРестрактов[Значение]=Первоначальный!$A942),0)</f>
        <v>0</v>
      </c>
    </row>
    <row r="943" spans="1:38" x14ac:dyDescent="0.25">
      <c r="A943" s="97">
        <f t="shared" si="173"/>
        <v>45074</v>
      </c>
      <c r="B943" s="100">
        <f t="shared" ca="1" si="174"/>
        <v>149633.34</v>
      </c>
      <c r="C943" s="55">
        <f t="shared" ca="1" si="170"/>
        <v>67603.349999999919</v>
      </c>
      <c r="D943" s="55">
        <f t="shared" ca="1" si="170"/>
        <v>3195.2699999999913</v>
      </c>
      <c r="E943" s="55">
        <f t="shared" ca="1" si="175"/>
        <v>0</v>
      </c>
      <c r="F943" s="55">
        <f t="shared" ca="1" si="176"/>
        <v>173706.33574754067</v>
      </c>
      <c r="G943" s="101">
        <f t="shared" ca="1" si="177"/>
        <v>394138.29574754054</v>
      </c>
      <c r="H943" s="100">
        <f ca="1">ROUND($B943*VLOOKUP($A943,$A$1:$B$10,2,1)/(365+IF(MOD(YEAR($A943),4),0,1)*($A943-$A942)),2)-Первоначальный[[#This Row],[Проценты на просроченный платеж по ОД за период]]</f>
        <v>73.5</v>
      </c>
      <c r="I943" s="55">
        <f t="shared" ca="1" si="178"/>
        <v>8.08</v>
      </c>
      <c r="J943" s="55">
        <v>0</v>
      </c>
      <c r="K943" s="55">
        <f t="shared" ca="1" si="181"/>
        <v>405.51350327868846</v>
      </c>
      <c r="L943" s="55">
        <v>0</v>
      </c>
      <c r="M943" s="113">
        <f>SUMIFS(График[Возврат основной суммы долга],График[Дата с учетом нерабочих дней],$A943)</f>
        <v>0</v>
      </c>
      <c r="N943" s="56">
        <f>SUMIFS(График[Возврат начисленных %],График[Дата с учетом нерабочих дней],$A943)</f>
        <v>0</v>
      </c>
      <c r="O943" s="101">
        <v>0</v>
      </c>
      <c r="P943" s="100" cm="1">
        <f t="array" aca="1" ref="P943" ca="1">MAX(IF(AA942="Да",0,SUM(INDIRECT("M"&amp;(MAX(("Да"=AA$12:AA942)*ROW(AA$12:AA942)+1,ROW($P$12))&amp;":M"&amp;(ROW()))))-SUM(INDIRECT("W"&amp;(MAX(("Да"=AA$12:AA942)*ROW(AA$12:AA942)+1,ROW($P$12))&amp;":W"&amp;(ROW()))))),0)</f>
        <v>14824.650000000001</v>
      </c>
      <c r="Q943" s="99">
        <f ca="1">MAX(SUM($N$13:N943)-SUM($T$13:T943),0)</f>
        <v>66278.050655737679</v>
      </c>
      <c r="R943" s="99">
        <f ca="1">Первоначальный[[#This Row],[Просроченный платеж по ОД]]+Первоначальный[[#This Row],[Просроченный платеж по процентам]]</f>
        <v>81102.700655737688</v>
      </c>
      <c r="S943" s="120">
        <f ca="1">IF(Первоначальный[[#This Row],[Просроченный платеж]]&lt;1,0,S942+1)</f>
        <v>839</v>
      </c>
      <c r="T943" s="100" cm="1">
        <f t="array" aca="1" ref="T943" ca="1">IF(Первоначальный[[#This Row],[Итого остаток на начало периода]]&lt;1,0,
IF(
AND(TYPE(VLOOKUP(1,$Z$12:Z943,1,0))=16,Первоначальный[[#This Row],[Досрочное погашение (да/"")]]=""),0,
_xlfn.IFS(AND(S942=0,Первоначальный[[#This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платеж]]&lt;&gt;0),MIN(LOOKUP(,-1/($Z$12:Z943=1),$C$12:C943)+LOOKUP(,-1/($Z$12:Z943=1),$H$12:H943),Первоначальный[[#This Row],[Полученный платеж]]+Y942),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платеж]]+Y942,SUM(Первоначальный[[#This Row],[Остаток процентов на начало периода]],Первоначальный[[#This Row],[Проценты за период]])),
AND(S942=0,Первоначальный[[#This Row],[Дата платежа из графика]]=""),0,
AND(S942=0,Первоначальный[[#This Row],[Дата платежа из графика]]=1,MAX((0&lt;&gt;S$12:S942)*ROW(S$12:S942),ROW($S$12))&gt;=MAX((1=Z$12:Z942)*ROW(Z$12:Z942),ROW($T$12)),TYPE(VLOOKUP("Да",(INDIRECT("AA"&amp;(MAX((1=Z$12:Z942)*ROW(Z$12:Z942),ROW($T$12))&amp;":AA"&amp;(ROW()-1)))),1,0))=16),MIN(LOOKUP(,-1/($Z$12:Z943=1),$C$12:C943)+LOOKUP(,-1/($Z$12:Z943=1),$H$12:H943),Первоначальный[[#This Row],[Полученный платеж]]+Y942),
AND(S942=0,TYPE(VLOOKUP("Да",(INDIRECT("AA"&amp;(MAX((1=Z$12:Z942)*ROW(Z$12:Z942),ROW($T$12))&amp;":AA"&amp;(ROW()-1)))),1,0))&lt;&gt;16),MIN(LOOKUP(,-1/($Z$12:Z943=1),$C$12:C943)+LOOKUP(,-1/($Z$12:Z943=1),$H$12:H943)-IF(AA942="Да",0,SUM(INDIRECT("T"&amp;(MAX(("Да"=AA$12:AA942)*ROW(AA$12:AA942)+1,ROW($T$12))&amp;":T"&amp;(ROW()-1))))),Первоначальный[[#This Row],[Полученный платеж]]+Y942),
AND(S942=0,MAX((0&lt;&gt;N$12:N942)*ROW(N$12:N942),ROW($S$12))&gt;=MAX((1=Z$12:Z942)*ROW(Z$12:Z942),ROW($T$12))),MIN(LOOKUP(,-1/($Z$12:Z943=1),$C$12:C943)+LOOKUP(,-1/($Z$12:Z943=1),$H$12:H943)-IF(N942&lt;&gt;0,0,SUM(INDIRECT("T"&amp;(MAX((0&lt;&gt;N$12:N942)*ROW(N$12:N942)+1,ROW($T$12))&amp;":T"&amp;(ROW()-1))))),Первоначальный[[#This Row],[Полученный платеж]]+Y942),
AND(S942=0,Первоначальный[[#This Row],[Дата платежа из графика]]=1),MIN(LOOKUP(,-1/($Z$12:Z943=1),$C$12:C943)+LOOKUP(,-1/($Z$12:Z943=1),$H$12:H943)-IF(Z942=1,0,SUM(INDIRECT("T"&amp;(MAX((1=Z$12:Z942)*ROW(Z$12:Z942)+1,ROW($T$12))&amp;":T"&amp;(ROW()-1))))),Первоначальный[[#This Row],[Полученный платеж]]+Y942),
AND(Z942&gt;0,Первоначальный[[#This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платеж]]+Y942),
AND(S942&gt;0,MAX((0&lt;&gt;S$12:S942)*ROW(S$12:S942),ROW($S$12))&gt;=MAX((1=Z$12:Z942)*ROW(Z$12:Z942),ROW($T$12)),TYPE(VLOOKUP("Да",(INDIRECT("AA"&amp;(MAX((1=Z$12:Z942)*ROW(Z$12:Z942),ROW($T$12))&amp;":AA"&amp;(ROW()-1)))),1,0))=16),MIN(LOOKUP(,-1/($Z$12:Z943=1),$C$12:C943)+LOOKUP(,-1/($Z$12:Z943=1),$H$12:H943)-SUM(INDIRECT("T"&amp;(MAX((1=Z$12:Z942)*ROW(Z$12:Z942),ROW($T$12))&amp;":T"&amp;(ROW()-1)))),Первоначальный[[#This Row],[Полученный платеж]]+Y942),
S942&gt;0,MIN(LOOKUP(,-1/($Z$12:Z943=1),$C$12:C943)+LOOKUP(,-1/($Z$12:Z943=1),$H$12:H943)-IF(Z942=1,0,SUM(INDIRECT("T"&amp;(MAX((1=Z$12:Z942)*ROW(Z$12:Z942)+1,ROW($T$12))&amp;":T"&amp;(ROW()-1))))),Первоначальный[[#This Row],[Полученный платеж]]+Y942)
)
)
)</f>
        <v>0</v>
      </c>
      <c r="U94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платеж]]+Y942-Первоначальный[[#This Row],[Полученный платёж по процентам]])</f>
        <v>0</v>
      </c>
      <c r="V943" s="55">
        <f t="shared" ca="1" si="171"/>
        <v>0</v>
      </c>
      <c r="W943" s="55" cm="1">
        <f t="array" aca="1" ref="W943" ca="1">IF(Первоначальный[[#This Row],[Итого остаток на начало периода]]&lt;1,0,
_xlfn.IFS(
AND(TYPE(VLOOKUP(1,$Z$12:Z943,1,0))=16,Первоначальный[[#This Row],[Досрочное погашение (да/"")]]=""),0,
AND(S942=0,Первоначальный[[#This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платеж]]+Y942-SUM(Первоначальный[[#This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комиссиям]]),VLOOKUP(LOOKUP(,-1/($Z$12:Z943=1),$A$12:A943),График[[Срок конец]:[Возврат основной суммы долга]],3,0)),
AND(S942=0,Первоначальный[[#This Row],[Дата платежа из графика]]="",Первоначальный[[#This Row],[Досрочное погашение (да/"")]]&lt;&gt;"Да"),0,
AND(S942=0,Первоначальный[[#This Row],[Досрочное погашение (да/"")]]=""),MIN(Первоначальный[[#This Row],[Полученный платеж]]+Y942-SUM(Первоначальный[[#This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комиссиям]]),VLOOKUP(LOOKUP(,-1/($Z$12:Z943=1),$A$12:A943),График[[Срок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платеж]]+Y942-SUM(Первоначальный[[#This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S942&gt;0,MIN(Первоначальный[[#This Row],[Полученный платеж]]+Y942-SUM(Первоначальный[[#This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комиссиям]]),SUM(INDIRECT("M"&amp;(MAX((1=S$12:S942)*ROW(S$12:S942),ROW($W$12))&amp;":M"&amp;(ROW()))))-SUM(INDIRECT("W"&amp;(MAX((1=S$12:S942)*ROW(S$12:S942),ROW($W$12))&amp;":W"&amp;(ROW()-1)))))
)
)</f>
        <v>0</v>
      </c>
      <c r="X943" s="55">
        <f t="shared" ca="1" si="172"/>
        <v>0</v>
      </c>
      <c r="Y943" s="101">
        <f t="shared" ca="1" si="179"/>
        <v>0</v>
      </c>
      <c r="Z943" s="133" t="str">
        <f>IF(TYPE((VLOOKUP(Первоначальный[[#This Row],[Дата платежа]],График[Срок конец],1,0)))=16,"",1)</f>
        <v/>
      </c>
      <c r="AA943" s="57"/>
      <c r="AB943" s="134"/>
      <c r="AC94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4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67676.849999999919</v>
      </c>
      <c r="AE94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3203.3499999999913</v>
      </c>
      <c r="AF94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4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174111.84925081936</v>
      </c>
      <c r="AH943" s="55"/>
      <c r="AI943" s="55"/>
      <c r="AJ943" s="55"/>
      <c r="AK943" s="101">
        <f t="shared" ca="1" si="180"/>
        <v>394625.38925081928</v>
      </c>
      <c r="AL943" s="129">
        <f t="array" ref="AL943">MAX((УслРестрактов[Характеристика]="Дата реструктуризации")*(УслРестрактов[Значение]=Первоначальный!$A943),0)</f>
        <v>0</v>
      </c>
    </row>
    <row r="944" spans="1:38" x14ac:dyDescent="0.25">
      <c r="A944" s="97">
        <f t="shared" si="173"/>
        <v>45075</v>
      </c>
      <c r="B944" s="100">
        <f t="shared" ca="1" si="174"/>
        <v>149633.34</v>
      </c>
      <c r="C944" s="55">
        <f t="shared" ca="1" si="170"/>
        <v>67676.849999999919</v>
      </c>
      <c r="D944" s="55">
        <f t="shared" ca="1" si="170"/>
        <v>3203.3499999999913</v>
      </c>
      <c r="E944" s="55">
        <f t="shared" ca="1" si="175"/>
        <v>0</v>
      </c>
      <c r="F944" s="55">
        <f t="shared" ca="1" si="176"/>
        <v>174111.84925081936</v>
      </c>
      <c r="G944" s="101">
        <f t="shared" ca="1" si="177"/>
        <v>394625.38925081928</v>
      </c>
      <c r="H944" s="100">
        <f ca="1">ROUND($B944*VLOOKUP($A944,$A$1:$B$10,2,1)/(365+IF(MOD(YEAR($A944),4),0,1)*($A944-$A943)),2)-Первоначальный[[#This Row],[Проценты на просроченный платеж по ОД за период]]</f>
        <v>73.5</v>
      </c>
      <c r="I944" s="55">
        <f t="shared" ca="1" si="178"/>
        <v>8.08</v>
      </c>
      <c r="J944" s="55">
        <v>0</v>
      </c>
      <c r="K944" s="55">
        <f t="shared" ca="1" si="181"/>
        <v>405.51350327868846</v>
      </c>
      <c r="L944" s="55">
        <v>0</v>
      </c>
      <c r="M944" s="113">
        <f>SUMIFS(График[Возврат основной суммы долга],График[Дата с учетом нерабочих дней],$A944)</f>
        <v>0</v>
      </c>
      <c r="N944" s="56">
        <f>SUMIFS(График[Возврат начисленных %],График[Дата с учетом нерабочих дней],$A944)</f>
        <v>0</v>
      </c>
      <c r="O944" s="101">
        <v>0</v>
      </c>
      <c r="P944" s="100" cm="1">
        <f t="array" aca="1" ref="P944" ca="1">MAX(IF(AA943="Да",0,SUM(INDIRECT("M"&amp;(MAX(("Да"=AA$12:AA943)*ROW(AA$12:AA943)+1,ROW($P$12))&amp;":M"&amp;(ROW()))))-SUM(INDIRECT("W"&amp;(MAX(("Да"=AA$12:AA943)*ROW(AA$12:AA943)+1,ROW($P$12))&amp;":W"&amp;(ROW()))))),0)</f>
        <v>14824.650000000001</v>
      </c>
      <c r="Q944" s="99">
        <f ca="1">MAX(SUM($N$13:N944)-SUM($T$13:T944),0)</f>
        <v>66278.050655737679</v>
      </c>
      <c r="R944" s="99">
        <f ca="1">Первоначальный[[#This Row],[Просроченный платеж по ОД]]+Первоначальный[[#This Row],[Просроченный платеж по процентам]]</f>
        <v>81102.700655737688</v>
      </c>
      <c r="S944" s="120">
        <f ca="1">IF(Первоначальный[[#This Row],[Просроченный платеж]]&lt;1,0,S943+1)</f>
        <v>840</v>
      </c>
      <c r="T944" s="100" cm="1">
        <f t="array" aca="1" ref="T944" ca="1">IF(Первоначальный[[#This Row],[Итого остаток на начало периода]]&lt;1,0,
IF(
AND(TYPE(VLOOKUP(1,$Z$12:Z944,1,0))=16,Первоначальный[[#This Row],[Досрочное погашение (да/"")]]=""),0,
_xlfn.IFS(AND(S943=0,Первоначальный[[#This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платеж]]&lt;&gt;0),MIN(LOOKUP(,-1/($Z$12:Z944=1),$C$12:C944)+LOOKUP(,-1/($Z$12:Z944=1),$H$12:H944),Первоначальный[[#This Row],[Полученный платеж]]+Y943),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платеж]]+Y943,SUM(Первоначальный[[#This Row],[Остаток процентов на начало периода]],Первоначальный[[#This Row],[Проценты за период]])),
AND(S943=0,Первоначальный[[#This Row],[Дата платежа из графика]]=""),0,
AND(S943=0,Первоначальный[[#This Row],[Дата платежа из графика]]=1,MAX((0&lt;&gt;S$12:S943)*ROW(S$12:S943),ROW($S$12))&gt;=MAX((1=Z$12:Z943)*ROW(Z$12:Z943),ROW($T$12)),TYPE(VLOOKUP("Да",(INDIRECT("AA"&amp;(MAX((1=Z$12:Z943)*ROW(Z$12:Z943),ROW($T$12))&amp;":AA"&amp;(ROW()-1)))),1,0))=16),MIN(LOOKUP(,-1/($Z$12:Z944=1),$C$12:C944)+LOOKUP(,-1/($Z$12:Z944=1),$H$12:H944),Первоначальный[[#This Row],[Полученный платеж]]+Y943),
AND(S943=0,TYPE(VLOOKUP("Да",(INDIRECT("AA"&amp;(MAX((1=Z$12:Z943)*ROW(Z$12:Z943),ROW($T$12))&amp;":AA"&amp;(ROW()-1)))),1,0))&lt;&gt;16),MIN(LOOKUP(,-1/($Z$12:Z944=1),$C$12:C944)+LOOKUP(,-1/($Z$12:Z944=1),$H$12:H944)-IF(AA943="Да",0,SUM(INDIRECT("T"&amp;(MAX(("Да"=AA$12:AA943)*ROW(AA$12:AA943)+1,ROW($T$12))&amp;":T"&amp;(ROW()-1))))),Первоначальный[[#This Row],[Полученный платеж]]+Y943),
AND(S943=0,MAX((0&lt;&gt;N$12:N943)*ROW(N$12:N943),ROW($S$12))&gt;=MAX((1=Z$12:Z943)*ROW(Z$12:Z943),ROW($T$12))),MIN(LOOKUP(,-1/($Z$12:Z944=1),$C$12:C944)+LOOKUP(,-1/($Z$12:Z944=1),$H$12:H944)-IF(N943&lt;&gt;0,0,SUM(INDIRECT("T"&amp;(MAX((0&lt;&gt;N$12:N943)*ROW(N$12:N943)+1,ROW($T$12))&amp;":T"&amp;(ROW()-1))))),Первоначальный[[#This Row],[Полученный платеж]]+Y943),
AND(S943=0,Первоначальный[[#This Row],[Дата платежа из графика]]=1),MIN(LOOKUP(,-1/($Z$12:Z944=1),$C$12:C944)+LOOKUP(,-1/($Z$12:Z944=1),$H$12:H944)-IF(Z943=1,0,SUM(INDIRECT("T"&amp;(MAX((1=Z$12:Z943)*ROW(Z$12:Z943)+1,ROW($T$12))&amp;":T"&amp;(ROW()-1))))),Первоначальный[[#This Row],[Полученный платеж]]+Y943),
AND(Z943&gt;0,Первоначальный[[#This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платеж]]+Y943),
AND(S943&gt;0,MAX((0&lt;&gt;S$12:S943)*ROW(S$12:S943),ROW($S$12))&gt;=MAX((1=Z$12:Z943)*ROW(Z$12:Z943),ROW($T$12)),TYPE(VLOOKUP("Да",(INDIRECT("AA"&amp;(MAX((1=Z$12:Z943)*ROW(Z$12:Z943),ROW($T$12))&amp;":AA"&amp;(ROW()-1)))),1,0))=16),MIN(LOOKUP(,-1/($Z$12:Z944=1),$C$12:C944)+LOOKUP(,-1/($Z$12:Z944=1),$H$12:H944)-SUM(INDIRECT("T"&amp;(MAX((1=Z$12:Z943)*ROW(Z$12:Z943),ROW($T$12))&amp;":T"&amp;(ROW()-1)))),Первоначальный[[#This Row],[Полученный платеж]]+Y943),
S943&gt;0,MIN(LOOKUP(,-1/($Z$12:Z944=1),$C$12:C944)+LOOKUP(,-1/($Z$12:Z944=1),$H$12:H944)-IF(Z943=1,0,SUM(INDIRECT("T"&amp;(MAX((1=Z$12:Z943)*ROW(Z$12:Z943)+1,ROW($T$12))&amp;":T"&amp;(ROW()-1))))),Первоначальный[[#This Row],[Полученный платеж]]+Y943)
)
)
)</f>
        <v>0</v>
      </c>
      <c r="U94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платеж]]+Y943-Первоначальный[[#This Row],[Полученный платёж по процентам]])</f>
        <v>0</v>
      </c>
      <c r="V944" s="55">
        <f t="shared" ca="1" si="171"/>
        <v>0</v>
      </c>
      <c r="W944" s="55" cm="1">
        <f t="array" aca="1" ref="W944" ca="1">IF(Первоначальный[[#This Row],[Итого остаток на начало периода]]&lt;1,0,
_xlfn.IFS(
AND(TYPE(VLOOKUP(1,$Z$12:Z944,1,0))=16,Первоначальный[[#This Row],[Досрочное погашение (да/"")]]=""),0,
AND(S943=0,Первоначальный[[#This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платеж]]+Y943-SUM(Первоначальный[[#This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комиссиям]]),VLOOKUP(LOOKUP(,-1/($Z$12:Z944=1),$A$12:A944),График[[Срок конец]:[Возврат основной суммы долга]],3,0)),
AND(S943=0,Первоначальный[[#This Row],[Дата платежа из графика]]="",Первоначальный[[#This Row],[Досрочное погашение (да/"")]]&lt;&gt;"Да"),0,
AND(S943=0,Первоначальный[[#This Row],[Досрочное погашение (да/"")]]=""),MIN(Первоначальный[[#This Row],[Полученный платеж]]+Y943-SUM(Первоначальный[[#This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комиссиям]]),VLOOKUP(LOOKUP(,-1/($Z$12:Z944=1),$A$12:A944),График[[Срок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платеж]]+Y943-SUM(Первоначальный[[#This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S943&gt;0,MIN(Первоначальный[[#This Row],[Полученный платеж]]+Y943-SUM(Первоначальный[[#This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комиссиям]]),SUM(INDIRECT("M"&amp;(MAX((1=S$12:S943)*ROW(S$12:S943),ROW($W$12))&amp;":M"&amp;(ROW()))))-SUM(INDIRECT("W"&amp;(MAX((1=S$12:S943)*ROW(S$12:S943),ROW($W$12))&amp;":W"&amp;(ROW()-1)))))
)
)</f>
        <v>0</v>
      </c>
      <c r="X944" s="55">
        <f t="shared" ca="1" si="172"/>
        <v>0</v>
      </c>
      <c r="Y944" s="101">
        <f t="shared" ca="1" si="179"/>
        <v>0</v>
      </c>
      <c r="Z944" s="133" t="str">
        <f>IF(TYPE((VLOOKUP(Первоначальный[[#This Row],[Дата платежа]],График[Срок конец],1,0)))=16,"",1)</f>
        <v/>
      </c>
      <c r="AA944" s="57"/>
      <c r="AB944" s="134"/>
      <c r="AC94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4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67750.349999999919</v>
      </c>
      <c r="AE94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3211.4299999999912</v>
      </c>
      <c r="AF94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4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174517.36275409805</v>
      </c>
      <c r="AH944" s="55"/>
      <c r="AI944" s="55"/>
      <c r="AJ944" s="55"/>
      <c r="AK944" s="101">
        <f t="shared" ca="1" si="180"/>
        <v>395112.48275409796</v>
      </c>
      <c r="AL944" s="129">
        <f t="array" ref="AL944">MAX((УслРестрактов[Характеристика]="Дата реструктуризации")*(УслРестрактов[Значение]=Первоначальный!$A944),0)</f>
        <v>0</v>
      </c>
    </row>
    <row r="945" spans="1:38" x14ac:dyDescent="0.25">
      <c r="A945" s="97">
        <f t="shared" si="173"/>
        <v>45076</v>
      </c>
      <c r="B945" s="100">
        <f t="shared" ca="1" si="174"/>
        <v>149633.34</v>
      </c>
      <c r="C945" s="55">
        <f t="shared" ca="1" si="170"/>
        <v>67750.349999999919</v>
      </c>
      <c r="D945" s="55">
        <f t="shared" ca="1" si="170"/>
        <v>3211.4299999999912</v>
      </c>
      <c r="E945" s="55">
        <f t="shared" ca="1" si="175"/>
        <v>0</v>
      </c>
      <c r="F945" s="55">
        <f t="shared" ca="1" si="176"/>
        <v>174517.36275409805</v>
      </c>
      <c r="G945" s="101">
        <f t="shared" ca="1" si="177"/>
        <v>395112.48275409796</v>
      </c>
      <c r="H945" s="100">
        <f ca="1">ROUND($B945*VLOOKUP($A945,$A$1:$B$10,2,1)/(365+IF(MOD(YEAR($A945),4),0,1)*($A945-$A944)),2)-Первоначальный[[#This Row],[Проценты на просроченный платеж по ОД за период]]</f>
        <v>73.5</v>
      </c>
      <c r="I945" s="55">
        <f t="shared" ca="1" si="178"/>
        <v>8.08</v>
      </c>
      <c r="J945" s="55">
        <v>0</v>
      </c>
      <c r="K945" s="55">
        <f t="shared" ca="1" si="181"/>
        <v>405.51350327868846</v>
      </c>
      <c r="L945" s="55">
        <v>0</v>
      </c>
      <c r="M945" s="113">
        <f>SUMIFS(График[Возврат основной суммы долга],График[Дата с учетом нерабочих дней],$A945)</f>
        <v>0</v>
      </c>
      <c r="N945" s="56">
        <f>SUMIFS(График[Возврат начисленных %],График[Дата с учетом нерабочих дней],$A945)</f>
        <v>0</v>
      </c>
      <c r="O945" s="101">
        <v>0</v>
      </c>
      <c r="P945" s="100" cm="1">
        <f t="array" aca="1" ref="P945" ca="1">MAX(IF(AA944="Да",0,SUM(INDIRECT("M"&amp;(MAX(("Да"=AA$12:AA944)*ROW(AA$12:AA944)+1,ROW($P$12))&amp;":M"&amp;(ROW()))))-SUM(INDIRECT("W"&amp;(MAX(("Да"=AA$12:AA944)*ROW(AA$12:AA944)+1,ROW($P$12))&amp;":W"&amp;(ROW()))))),0)</f>
        <v>14824.650000000001</v>
      </c>
      <c r="Q945" s="99">
        <f ca="1">MAX(SUM($N$13:N945)-SUM($T$13:T945),0)</f>
        <v>66278.050655737679</v>
      </c>
      <c r="R945" s="99">
        <f ca="1">Первоначальный[[#This Row],[Просроченный платеж по ОД]]+Первоначальный[[#This Row],[Просроченный платеж по процентам]]</f>
        <v>81102.700655737688</v>
      </c>
      <c r="S945" s="120">
        <f ca="1">IF(Первоначальный[[#This Row],[Просроченный платеж]]&lt;1,0,S944+1)</f>
        <v>841</v>
      </c>
      <c r="T945" s="100" cm="1">
        <f t="array" aca="1" ref="T945" ca="1">IF(Первоначальный[[#This Row],[Итого остаток на начало периода]]&lt;1,0,
IF(
AND(TYPE(VLOOKUP(1,$Z$12:Z945,1,0))=16,Первоначальный[[#This Row],[Досрочное погашение (да/"")]]=""),0,
_xlfn.IFS(AND(S944=0,Первоначальный[[#This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платеж]]&lt;&gt;0),MIN(LOOKUP(,-1/($Z$12:Z945=1),$C$12:C945)+LOOKUP(,-1/($Z$12:Z945=1),$H$12:H945),Первоначальный[[#This Row],[Полученный платеж]]+Y944),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платеж]]+Y944,SUM(Первоначальный[[#This Row],[Остаток процентов на начало периода]],Первоначальный[[#This Row],[Проценты за период]])),
AND(S944=0,Первоначальный[[#This Row],[Дата платежа из графика]]=""),0,
AND(S944=0,Первоначальный[[#This Row],[Дата платежа из графика]]=1,MAX((0&lt;&gt;S$12:S944)*ROW(S$12:S944),ROW($S$12))&gt;=MAX((1=Z$12:Z944)*ROW(Z$12:Z944),ROW($T$12)),TYPE(VLOOKUP("Да",(INDIRECT("AA"&amp;(MAX((1=Z$12:Z944)*ROW(Z$12:Z944),ROW($T$12))&amp;":AA"&amp;(ROW()-1)))),1,0))=16),MIN(LOOKUP(,-1/($Z$12:Z945=1),$C$12:C945)+LOOKUP(,-1/($Z$12:Z945=1),$H$12:H945),Первоначальный[[#This Row],[Полученный платеж]]+Y944),
AND(S944=0,TYPE(VLOOKUP("Да",(INDIRECT("AA"&amp;(MAX((1=Z$12:Z944)*ROW(Z$12:Z944),ROW($T$12))&amp;":AA"&amp;(ROW()-1)))),1,0))&lt;&gt;16),MIN(LOOKUP(,-1/($Z$12:Z945=1),$C$12:C945)+LOOKUP(,-1/($Z$12:Z945=1),$H$12:H945)-IF(AA944="Да",0,SUM(INDIRECT("T"&amp;(MAX(("Да"=AA$12:AA944)*ROW(AA$12:AA944)+1,ROW($T$12))&amp;":T"&amp;(ROW()-1))))),Первоначальный[[#This Row],[Полученный платеж]]+Y944),
AND(S944=0,MAX((0&lt;&gt;N$12:N944)*ROW(N$12:N944),ROW($S$12))&gt;=MAX((1=Z$12:Z944)*ROW(Z$12:Z944),ROW($T$12))),MIN(LOOKUP(,-1/($Z$12:Z945=1),$C$12:C945)+LOOKUP(,-1/($Z$12:Z945=1),$H$12:H945)-IF(N944&lt;&gt;0,0,SUM(INDIRECT("T"&amp;(MAX((0&lt;&gt;N$12:N944)*ROW(N$12:N944)+1,ROW($T$12))&amp;":T"&amp;(ROW()-1))))),Первоначальный[[#This Row],[Полученный платеж]]+Y944),
AND(S944=0,Первоначальный[[#This Row],[Дата платежа из графика]]=1),MIN(LOOKUP(,-1/($Z$12:Z945=1),$C$12:C945)+LOOKUP(,-1/($Z$12:Z945=1),$H$12:H945)-IF(Z944=1,0,SUM(INDIRECT("T"&amp;(MAX((1=Z$12:Z944)*ROW(Z$12:Z944)+1,ROW($T$12))&amp;":T"&amp;(ROW()-1))))),Первоначальный[[#This Row],[Полученный платеж]]+Y944),
AND(Z944&gt;0,Первоначальный[[#This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платеж]]+Y944),
AND(S944&gt;0,MAX((0&lt;&gt;S$12:S944)*ROW(S$12:S944),ROW($S$12))&gt;=MAX((1=Z$12:Z944)*ROW(Z$12:Z944),ROW($T$12)),TYPE(VLOOKUP("Да",(INDIRECT("AA"&amp;(MAX((1=Z$12:Z944)*ROW(Z$12:Z944),ROW($T$12))&amp;":AA"&amp;(ROW()-1)))),1,0))=16),MIN(LOOKUP(,-1/($Z$12:Z945=1),$C$12:C945)+LOOKUP(,-1/($Z$12:Z945=1),$H$12:H945)-SUM(INDIRECT("T"&amp;(MAX((1=Z$12:Z944)*ROW(Z$12:Z944),ROW($T$12))&amp;":T"&amp;(ROW()-1)))),Первоначальный[[#This Row],[Полученный платеж]]+Y944),
S944&gt;0,MIN(LOOKUP(,-1/($Z$12:Z945=1),$C$12:C945)+LOOKUP(,-1/($Z$12:Z945=1),$H$12:H945)-IF(Z944=1,0,SUM(INDIRECT("T"&amp;(MAX((1=Z$12:Z944)*ROW(Z$12:Z944)+1,ROW($T$12))&amp;":T"&amp;(ROW()-1))))),Первоначальный[[#This Row],[Полученный платеж]]+Y944)
)
)
)</f>
        <v>0</v>
      </c>
      <c r="U94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платеж]]+Y944-Первоначальный[[#This Row],[Полученный платёж по процентам]])</f>
        <v>0</v>
      </c>
      <c r="V945" s="55">
        <f t="shared" ca="1" si="171"/>
        <v>0</v>
      </c>
      <c r="W945" s="55" cm="1">
        <f t="array" aca="1" ref="W945" ca="1">IF(Первоначальный[[#This Row],[Итого остаток на начало периода]]&lt;1,0,
_xlfn.IFS(
AND(TYPE(VLOOKUP(1,$Z$12:Z945,1,0))=16,Первоначальный[[#This Row],[Досрочное погашение (да/"")]]=""),0,
AND(S944=0,Первоначальный[[#This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платеж]]+Y944-SUM(Первоначальный[[#This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комиссиям]]),VLOOKUP(LOOKUP(,-1/($Z$12:Z945=1),$A$12:A945),График[[Срок конец]:[Возврат основной суммы долга]],3,0)),
AND(S944=0,Первоначальный[[#This Row],[Дата платежа из графика]]="",Первоначальный[[#This Row],[Досрочное погашение (да/"")]]&lt;&gt;"Да"),0,
AND(S944=0,Первоначальный[[#This Row],[Досрочное погашение (да/"")]]=""),MIN(Первоначальный[[#This Row],[Полученный платеж]]+Y944-SUM(Первоначальный[[#This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комиссиям]]),VLOOKUP(LOOKUP(,-1/($Z$12:Z945=1),$A$12:A945),График[[Срок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платеж]]+Y944-SUM(Первоначальный[[#This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S944&gt;0,MIN(Первоначальный[[#This Row],[Полученный платеж]]+Y944-SUM(Первоначальный[[#This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комиссиям]]),SUM(INDIRECT("M"&amp;(MAX((1=S$12:S944)*ROW(S$12:S944),ROW($W$12))&amp;":M"&amp;(ROW()))))-SUM(INDIRECT("W"&amp;(MAX((1=S$12:S944)*ROW(S$12:S944),ROW($W$12))&amp;":W"&amp;(ROW()-1)))))
)
)</f>
        <v>0</v>
      </c>
      <c r="X945" s="55">
        <f t="shared" ca="1" si="172"/>
        <v>0</v>
      </c>
      <c r="Y945" s="101">
        <f t="shared" ca="1" si="179"/>
        <v>0</v>
      </c>
      <c r="Z945" s="133" t="str">
        <f>IF(TYPE((VLOOKUP(Первоначальный[[#This Row],[Дата платежа]],График[Срок конец],1,0)))=16,"",1)</f>
        <v/>
      </c>
      <c r="AA945" s="57"/>
      <c r="AB945" s="134"/>
      <c r="AC94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4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67823.849999999919</v>
      </c>
      <c r="AE94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3219.5099999999911</v>
      </c>
      <c r="AF94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4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174922.87625737675</v>
      </c>
      <c r="AH945" s="55"/>
      <c r="AI945" s="55"/>
      <c r="AJ945" s="55"/>
      <c r="AK945" s="101">
        <f t="shared" ca="1" si="180"/>
        <v>395599.57625737664</v>
      </c>
      <c r="AL945" s="129">
        <f t="array" ref="AL945">MAX((УслРестрактов[Характеристика]="Дата реструктуризации")*(УслРестрактов[Значение]=Первоначальный!$A945),0)</f>
        <v>0</v>
      </c>
    </row>
    <row r="946" spans="1:38" x14ac:dyDescent="0.25">
      <c r="A946" s="97">
        <f t="shared" si="173"/>
        <v>45077</v>
      </c>
      <c r="B946" s="100">
        <f t="shared" ca="1" si="174"/>
        <v>149633.34</v>
      </c>
      <c r="C946" s="55">
        <f t="shared" ca="1" si="170"/>
        <v>67823.849999999919</v>
      </c>
      <c r="D946" s="55">
        <f t="shared" ca="1" si="170"/>
        <v>3219.5099999999911</v>
      </c>
      <c r="E946" s="55">
        <f t="shared" ca="1" si="175"/>
        <v>0</v>
      </c>
      <c r="F946" s="55">
        <f t="shared" ca="1" si="176"/>
        <v>174922.87625737675</v>
      </c>
      <c r="G946" s="101">
        <f t="shared" ca="1" si="177"/>
        <v>395599.57625737664</v>
      </c>
      <c r="H946" s="100">
        <f ca="1">ROUND($B946*VLOOKUP($A946,$A$1:$B$10,2,1)/(365+IF(MOD(YEAR($A946),4),0,1)*($A946-$A945)),2)-Первоначальный[[#This Row],[Проценты на просроченный платеж по ОД за период]]</f>
        <v>73.5</v>
      </c>
      <c r="I946" s="55">
        <f t="shared" ca="1" si="178"/>
        <v>8.08</v>
      </c>
      <c r="J946" s="55">
        <v>0</v>
      </c>
      <c r="K946" s="55">
        <f t="shared" ca="1" si="181"/>
        <v>405.51350327868846</v>
      </c>
      <c r="L946" s="55">
        <v>0</v>
      </c>
      <c r="M946" s="113">
        <f>SUMIFS(График[Возврат основной суммы долга],График[Дата с учетом нерабочих дней],$A946)</f>
        <v>0</v>
      </c>
      <c r="N946" s="56">
        <f>SUMIFS(График[Возврат начисленных %],График[Дата с учетом нерабочих дней],$A946)</f>
        <v>0</v>
      </c>
      <c r="O946" s="101">
        <v>0</v>
      </c>
      <c r="P946" s="100" cm="1">
        <f t="array" aca="1" ref="P946" ca="1">MAX(IF(AA945="Да",0,SUM(INDIRECT("M"&amp;(MAX(("Да"=AA$12:AA945)*ROW(AA$12:AA945)+1,ROW($P$12))&amp;":M"&amp;(ROW()))))-SUM(INDIRECT("W"&amp;(MAX(("Да"=AA$12:AA945)*ROW(AA$12:AA945)+1,ROW($P$12))&amp;":W"&amp;(ROW()))))),0)</f>
        <v>14824.650000000001</v>
      </c>
      <c r="Q946" s="99">
        <f ca="1">MAX(SUM($N$13:N946)-SUM($T$13:T946),0)</f>
        <v>66278.050655737679</v>
      </c>
      <c r="R946" s="99">
        <f ca="1">Первоначальный[[#This Row],[Просроченный платеж по ОД]]+Первоначальный[[#This Row],[Просроченный платеж по процентам]]</f>
        <v>81102.700655737688</v>
      </c>
      <c r="S946" s="120">
        <f ca="1">IF(Первоначальный[[#This Row],[Просроченный платеж]]&lt;1,0,S945+1)</f>
        <v>842</v>
      </c>
      <c r="T946" s="100" cm="1">
        <f t="array" aca="1" ref="T946" ca="1">IF(Первоначальный[[#This Row],[Итого остаток на начало периода]]&lt;1,0,
IF(
AND(TYPE(VLOOKUP(1,$Z$12:Z946,1,0))=16,Первоначальный[[#This Row],[Досрочное погашение (да/"")]]=""),0,
_xlfn.IFS(AND(S945=0,Первоначальный[[#This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платеж]]&lt;&gt;0),MIN(LOOKUP(,-1/($Z$12:Z946=1),$C$12:C946)+LOOKUP(,-1/($Z$12:Z946=1),$H$12:H946),Первоначальный[[#This Row],[Полученный платеж]]+Y945),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платеж]]+Y945,SUM(Первоначальный[[#This Row],[Остаток процентов на начало периода]],Первоначальный[[#This Row],[Проценты за период]])),
AND(S945=0,Первоначальный[[#This Row],[Дата платежа из графика]]=""),0,
AND(S945=0,Первоначальный[[#This Row],[Дата платежа из графика]]=1,MAX((0&lt;&gt;S$12:S945)*ROW(S$12:S945),ROW($S$12))&gt;=MAX((1=Z$12:Z945)*ROW(Z$12:Z945),ROW($T$12)),TYPE(VLOOKUP("Да",(INDIRECT("AA"&amp;(MAX((1=Z$12:Z945)*ROW(Z$12:Z945),ROW($T$12))&amp;":AA"&amp;(ROW()-1)))),1,0))=16),MIN(LOOKUP(,-1/($Z$12:Z946=1),$C$12:C946)+LOOKUP(,-1/($Z$12:Z946=1),$H$12:H946),Первоначальный[[#This Row],[Полученный платеж]]+Y945),
AND(S945=0,TYPE(VLOOKUP("Да",(INDIRECT("AA"&amp;(MAX((1=Z$12:Z945)*ROW(Z$12:Z945),ROW($T$12))&amp;":AA"&amp;(ROW()-1)))),1,0))&lt;&gt;16),MIN(LOOKUP(,-1/($Z$12:Z946=1),$C$12:C946)+LOOKUP(,-1/($Z$12:Z946=1),$H$12:H946)-IF(AA945="Да",0,SUM(INDIRECT("T"&amp;(MAX(("Да"=AA$12:AA945)*ROW(AA$12:AA945)+1,ROW($T$12))&amp;":T"&amp;(ROW()-1))))),Первоначальный[[#This Row],[Полученный платеж]]+Y945),
AND(S945=0,MAX((0&lt;&gt;N$12:N945)*ROW(N$12:N945),ROW($S$12))&gt;=MAX((1=Z$12:Z945)*ROW(Z$12:Z945),ROW($T$12))),MIN(LOOKUP(,-1/($Z$12:Z946=1),$C$12:C946)+LOOKUP(,-1/($Z$12:Z946=1),$H$12:H946)-IF(N945&lt;&gt;0,0,SUM(INDIRECT("T"&amp;(MAX((0&lt;&gt;N$12:N945)*ROW(N$12:N945)+1,ROW($T$12))&amp;":T"&amp;(ROW()-1))))),Первоначальный[[#This Row],[Полученный платеж]]+Y945),
AND(S945=0,Первоначальный[[#This Row],[Дата платежа из графика]]=1),MIN(LOOKUP(,-1/($Z$12:Z946=1),$C$12:C946)+LOOKUP(,-1/($Z$12:Z946=1),$H$12:H946)-IF(Z945=1,0,SUM(INDIRECT("T"&amp;(MAX((1=Z$12:Z945)*ROW(Z$12:Z945)+1,ROW($T$12))&amp;":T"&amp;(ROW()-1))))),Первоначальный[[#This Row],[Полученный платеж]]+Y945),
AND(Z945&gt;0,Первоначальный[[#This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платеж]]+Y945),
AND(S945&gt;0,MAX((0&lt;&gt;S$12:S945)*ROW(S$12:S945),ROW($S$12))&gt;=MAX((1=Z$12:Z945)*ROW(Z$12:Z945),ROW($T$12)),TYPE(VLOOKUP("Да",(INDIRECT("AA"&amp;(MAX((1=Z$12:Z945)*ROW(Z$12:Z945),ROW($T$12))&amp;":AA"&amp;(ROW()-1)))),1,0))=16),MIN(LOOKUP(,-1/($Z$12:Z946=1),$C$12:C946)+LOOKUP(,-1/($Z$12:Z946=1),$H$12:H946)-SUM(INDIRECT("T"&amp;(MAX((1=Z$12:Z945)*ROW(Z$12:Z945),ROW($T$12))&amp;":T"&amp;(ROW()-1)))),Первоначальный[[#This Row],[Полученный платеж]]+Y945),
S945&gt;0,MIN(LOOKUP(,-1/($Z$12:Z946=1),$C$12:C946)+LOOKUP(,-1/($Z$12:Z946=1),$H$12:H946)-IF(Z945=1,0,SUM(INDIRECT("T"&amp;(MAX((1=Z$12:Z945)*ROW(Z$12:Z945)+1,ROW($T$12))&amp;":T"&amp;(ROW()-1))))),Первоначальный[[#This Row],[Полученный платеж]]+Y945)
)
)
)</f>
        <v>0</v>
      </c>
      <c r="U94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платеж]]+Y945-Первоначальный[[#This Row],[Полученный платёж по процентам]])</f>
        <v>0</v>
      </c>
      <c r="V946" s="55">
        <f t="shared" ca="1" si="171"/>
        <v>0</v>
      </c>
      <c r="W946" s="55" cm="1">
        <f t="array" aca="1" ref="W946" ca="1">IF(Первоначальный[[#This Row],[Итого остаток на начало периода]]&lt;1,0,
_xlfn.IFS(
AND(TYPE(VLOOKUP(1,$Z$12:Z946,1,0))=16,Первоначальный[[#This Row],[Досрочное погашение (да/"")]]=""),0,
AND(S945=0,Первоначальный[[#This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платеж]]+Y945-SUM(Первоначальный[[#This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комиссиям]]),VLOOKUP(LOOKUP(,-1/($Z$12:Z946=1),$A$12:A946),График[[Срок конец]:[Возврат основной суммы долга]],3,0)),
AND(S945=0,Первоначальный[[#This Row],[Дата платежа из графика]]="",Первоначальный[[#This Row],[Досрочное погашение (да/"")]]&lt;&gt;"Да"),0,
AND(S945=0,Первоначальный[[#This Row],[Досрочное погашение (да/"")]]=""),MIN(Первоначальный[[#This Row],[Полученный платеж]]+Y945-SUM(Первоначальный[[#This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комиссиям]]),VLOOKUP(LOOKUP(,-1/($Z$12:Z946=1),$A$12:A946),График[[Срок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платеж]]+Y945-SUM(Первоначальный[[#This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S945&gt;0,MIN(Первоначальный[[#This Row],[Полученный платеж]]+Y945-SUM(Первоначальный[[#This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комиссиям]]),SUM(INDIRECT("M"&amp;(MAX((1=S$12:S945)*ROW(S$12:S945),ROW($W$12))&amp;":M"&amp;(ROW()))))-SUM(INDIRECT("W"&amp;(MAX((1=S$12:S945)*ROW(S$12:S945),ROW($W$12))&amp;":W"&amp;(ROW()-1)))))
)
)</f>
        <v>0</v>
      </c>
      <c r="X946" s="55">
        <f t="shared" ca="1" si="172"/>
        <v>0</v>
      </c>
      <c r="Y946" s="101">
        <f t="shared" ca="1" si="179"/>
        <v>0</v>
      </c>
      <c r="Z946" s="133" t="str">
        <f>IF(TYPE((VLOOKUP(Первоначальный[[#This Row],[Дата платежа]],График[Срок конец],1,0)))=16,"",1)</f>
        <v/>
      </c>
      <c r="AA946" s="57"/>
      <c r="AB946" s="134"/>
      <c r="AC94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4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67897.349999999919</v>
      </c>
      <c r="AE94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3227.5899999999911</v>
      </c>
      <c r="AF94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4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175328.38976065544</v>
      </c>
      <c r="AH946" s="55"/>
      <c r="AI946" s="55"/>
      <c r="AJ946" s="55"/>
      <c r="AK946" s="101">
        <f t="shared" ca="1" si="180"/>
        <v>396086.66976065538</v>
      </c>
      <c r="AL946" s="129">
        <f t="array" ref="AL946">MAX((УслРестрактов[Характеристика]="Дата реструктуризации")*(УслРестрактов[Значение]=Первоначальный!$A946),0)</f>
        <v>0</v>
      </c>
    </row>
    <row r="947" spans="1:38" x14ac:dyDescent="0.25">
      <c r="A947" s="97">
        <f t="shared" si="173"/>
        <v>45078</v>
      </c>
      <c r="B947" s="100">
        <f t="shared" ca="1" si="174"/>
        <v>149633.34</v>
      </c>
      <c r="C947" s="55">
        <f t="shared" ca="1" si="170"/>
        <v>67897.349999999919</v>
      </c>
      <c r="D947" s="55">
        <f t="shared" ca="1" si="170"/>
        <v>3227.5899999999911</v>
      </c>
      <c r="E947" s="55">
        <f t="shared" ca="1" si="175"/>
        <v>0</v>
      </c>
      <c r="F947" s="55">
        <f t="shared" ca="1" si="176"/>
        <v>175328.38976065544</v>
      </c>
      <c r="G947" s="101">
        <f t="shared" ca="1" si="177"/>
        <v>396086.66976065538</v>
      </c>
      <c r="H947" s="100">
        <f ca="1">ROUND($B947*VLOOKUP($A947,$A$1:$B$10,2,1)/(365+IF(MOD(YEAR($A947),4),0,1)*($A947-$A946)),2)-Первоначальный[[#This Row],[Проценты на просроченный платеж по ОД за период]]</f>
        <v>73.5</v>
      </c>
      <c r="I947" s="55">
        <f t="shared" ca="1" si="178"/>
        <v>8.08</v>
      </c>
      <c r="J947" s="55">
        <v>0</v>
      </c>
      <c r="K947" s="55">
        <f t="shared" ca="1" si="181"/>
        <v>405.51350327868846</v>
      </c>
      <c r="L947" s="55">
        <v>0</v>
      </c>
      <c r="M947" s="113">
        <f>SUMIFS(График[Возврат основной суммы долга],График[Дата с учетом нерабочих дней],$A947)</f>
        <v>0</v>
      </c>
      <c r="N947" s="56">
        <f>SUMIFS(График[Возврат начисленных %],График[Дата с учетом нерабочих дней],$A947)</f>
        <v>0</v>
      </c>
      <c r="O947" s="101">
        <v>0</v>
      </c>
      <c r="P947" s="100" cm="1">
        <f t="array" aca="1" ref="P947" ca="1">MAX(IF(AA946="Да",0,SUM(INDIRECT("M"&amp;(MAX(("Да"=AA$12:AA946)*ROW(AA$12:AA946)+1,ROW($P$12))&amp;":M"&amp;(ROW()))))-SUM(INDIRECT("W"&amp;(MAX(("Да"=AA$12:AA946)*ROW(AA$12:AA946)+1,ROW($P$12))&amp;":W"&amp;(ROW()))))),0)</f>
        <v>14824.650000000001</v>
      </c>
      <c r="Q947" s="99">
        <f ca="1">MAX(SUM($N$13:N947)-SUM($T$13:T947),0)</f>
        <v>66278.050655737679</v>
      </c>
      <c r="R947" s="99">
        <f ca="1">Первоначальный[[#This Row],[Просроченный платеж по ОД]]+Первоначальный[[#This Row],[Просроченный платеж по процентам]]</f>
        <v>81102.700655737688</v>
      </c>
      <c r="S947" s="120">
        <f ca="1">IF(Первоначальный[[#This Row],[Просроченный платеж]]&lt;1,0,S946+1)</f>
        <v>843</v>
      </c>
      <c r="T947" s="100" cm="1">
        <f t="array" aca="1" ref="T947" ca="1">IF(Первоначальный[[#This Row],[Итого остаток на начало периода]]&lt;1,0,
IF(
AND(TYPE(VLOOKUP(1,$Z$12:Z947,1,0))=16,Первоначальный[[#This Row],[Досрочное погашение (да/"")]]=""),0,
_xlfn.IFS(AND(S946=0,Первоначальный[[#This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платеж]]&lt;&gt;0),MIN(LOOKUP(,-1/($Z$12:Z947=1),$C$12:C947)+LOOKUP(,-1/($Z$12:Z947=1),$H$12:H947),Первоначальный[[#This Row],[Полученный платеж]]+Y946),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платеж]]+Y946,SUM(Первоначальный[[#This Row],[Остаток процентов на начало периода]],Первоначальный[[#This Row],[Проценты за период]])),
AND(S946=0,Первоначальный[[#This Row],[Дата платежа из графика]]=""),0,
AND(S946=0,Первоначальный[[#This Row],[Дата платежа из графика]]=1,MAX((0&lt;&gt;S$12:S946)*ROW(S$12:S946),ROW($S$12))&gt;=MAX((1=Z$12:Z946)*ROW(Z$12:Z946),ROW($T$12)),TYPE(VLOOKUP("Да",(INDIRECT("AA"&amp;(MAX((1=Z$12:Z946)*ROW(Z$12:Z946),ROW($T$12))&amp;":AA"&amp;(ROW()-1)))),1,0))=16),MIN(LOOKUP(,-1/($Z$12:Z947=1),$C$12:C947)+LOOKUP(,-1/($Z$12:Z947=1),$H$12:H947),Первоначальный[[#This Row],[Полученный платеж]]+Y946),
AND(S946=0,TYPE(VLOOKUP("Да",(INDIRECT("AA"&amp;(MAX((1=Z$12:Z946)*ROW(Z$12:Z946),ROW($T$12))&amp;":AA"&amp;(ROW()-1)))),1,0))&lt;&gt;16),MIN(LOOKUP(,-1/($Z$12:Z947=1),$C$12:C947)+LOOKUP(,-1/($Z$12:Z947=1),$H$12:H947)-IF(AA946="Да",0,SUM(INDIRECT("T"&amp;(MAX(("Да"=AA$12:AA946)*ROW(AA$12:AA946)+1,ROW($T$12))&amp;":T"&amp;(ROW()-1))))),Первоначальный[[#This Row],[Полученный платеж]]+Y946),
AND(S946=0,MAX((0&lt;&gt;N$12:N946)*ROW(N$12:N946),ROW($S$12))&gt;=MAX((1=Z$12:Z946)*ROW(Z$12:Z946),ROW($T$12))),MIN(LOOKUP(,-1/($Z$12:Z947=1),$C$12:C947)+LOOKUP(,-1/($Z$12:Z947=1),$H$12:H947)-IF(N946&lt;&gt;0,0,SUM(INDIRECT("T"&amp;(MAX((0&lt;&gt;N$12:N946)*ROW(N$12:N946)+1,ROW($T$12))&amp;":T"&amp;(ROW()-1))))),Первоначальный[[#This Row],[Полученный платеж]]+Y946),
AND(S946=0,Первоначальный[[#This Row],[Дата платежа из графика]]=1),MIN(LOOKUP(,-1/($Z$12:Z947=1),$C$12:C947)+LOOKUP(,-1/($Z$12:Z947=1),$H$12:H947)-IF(Z946=1,0,SUM(INDIRECT("T"&amp;(MAX((1=Z$12:Z946)*ROW(Z$12:Z946)+1,ROW($T$12))&amp;":T"&amp;(ROW()-1))))),Первоначальный[[#This Row],[Полученный платеж]]+Y946),
AND(Z946&gt;0,Первоначальный[[#This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платеж]]+Y946),
AND(S946&gt;0,MAX((0&lt;&gt;S$12:S946)*ROW(S$12:S946),ROW($S$12))&gt;=MAX((1=Z$12:Z946)*ROW(Z$12:Z946),ROW($T$12)),TYPE(VLOOKUP("Да",(INDIRECT("AA"&amp;(MAX((1=Z$12:Z946)*ROW(Z$12:Z946),ROW($T$12))&amp;":AA"&amp;(ROW()-1)))),1,0))=16),MIN(LOOKUP(,-1/($Z$12:Z947=1),$C$12:C947)+LOOKUP(,-1/($Z$12:Z947=1),$H$12:H947)-SUM(INDIRECT("T"&amp;(MAX((1=Z$12:Z946)*ROW(Z$12:Z946),ROW($T$12))&amp;":T"&amp;(ROW()-1)))),Первоначальный[[#This Row],[Полученный платеж]]+Y946),
S946&gt;0,MIN(LOOKUP(,-1/($Z$12:Z947=1),$C$12:C947)+LOOKUP(,-1/($Z$12:Z947=1),$H$12:H947)-IF(Z946=1,0,SUM(INDIRECT("T"&amp;(MAX((1=Z$12:Z946)*ROW(Z$12:Z946)+1,ROW($T$12))&amp;":T"&amp;(ROW()-1))))),Первоначальный[[#This Row],[Полученный платеж]]+Y946)
)
)
)</f>
        <v>0</v>
      </c>
      <c r="U94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платеж]]+Y946-Первоначальный[[#This Row],[Полученный платёж по процентам]])</f>
        <v>0</v>
      </c>
      <c r="V947" s="55">
        <f t="shared" ca="1" si="171"/>
        <v>0</v>
      </c>
      <c r="W947" s="55" cm="1">
        <f t="array" aca="1" ref="W947" ca="1">IF(Первоначальный[[#This Row],[Итого остаток на начало периода]]&lt;1,0,
_xlfn.IFS(
AND(TYPE(VLOOKUP(1,$Z$12:Z947,1,0))=16,Первоначальный[[#This Row],[Досрочное погашение (да/"")]]=""),0,
AND(S946=0,Первоначальный[[#This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платеж]]+Y946-SUM(Первоначальный[[#This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комиссиям]]),VLOOKUP(LOOKUP(,-1/($Z$12:Z947=1),$A$12:A947),График[[Срок конец]:[Возврат основной суммы долга]],3,0)),
AND(S946=0,Первоначальный[[#This Row],[Дата платежа из графика]]="",Первоначальный[[#This Row],[Досрочное погашение (да/"")]]&lt;&gt;"Да"),0,
AND(S946=0,Первоначальный[[#This Row],[Досрочное погашение (да/"")]]=""),MIN(Первоначальный[[#This Row],[Полученный платеж]]+Y946-SUM(Первоначальный[[#This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комиссиям]]),VLOOKUP(LOOKUP(,-1/($Z$12:Z947=1),$A$12:A947),График[[Срок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платеж]]+Y946-SUM(Первоначальный[[#This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S946&gt;0,MIN(Первоначальный[[#This Row],[Полученный платеж]]+Y946-SUM(Первоначальный[[#This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комиссиям]]),SUM(INDIRECT("M"&amp;(MAX((1=S$12:S946)*ROW(S$12:S946),ROW($W$12))&amp;":M"&amp;(ROW()))))-SUM(INDIRECT("W"&amp;(MAX((1=S$12:S946)*ROW(S$12:S946),ROW($W$12))&amp;":W"&amp;(ROW()-1)))))
)
)</f>
        <v>0</v>
      </c>
      <c r="X947" s="55">
        <f t="shared" ca="1" si="172"/>
        <v>0</v>
      </c>
      <c r="Y947" s="101">
        <f t="shared" ca="1" si="179"/>
        <v>0</v>
      </c>
      <c r="Z947" s="133" t="str">
        <f>IF(TYPE((VLOOKUP(Первоначальный[[#This Row],[Дата платежа]],График[Срок конец],1,0)))=16,"",1)</f>
        <v/>
      </c>
      <c r="AA947" s="57"/>
      <c r="AB947" s="134"/>
      <c r="AC94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4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67970.849999999919</v>
      </c>
      <c r="AE94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3235.669999999991</v>
      </c>
      <c r="AF94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4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175733.90326393413</v>
      </c>
      <c r="AH947" s="55"/>
      <c r="AI947" s="55"/>
      <c r="AJ947" s="55"/>
      <c r="AK947" s="101">
        <f t="shared" ca="1" si="180"/>
        <v>396573.76326393406</v>
      </c>
      <c r="AL947" s="129">
        <f t="array" ref="AL947">MAX((УслРестрактов[Характеристика]="Дата реструктуризации")*(УслРестрактов[Значение]=Первоначальный!$A947),0)</f>
        <v>0</v>
      </c>
    </row>
    <row r="948" spans="1:38" x14ac:dyDescent="0.25">
      <c r="A948" s="97">
        <f t="shared" si="173"/>
        <v>45079</v>
      </c>
      <c r="B948" s="100">
        <f t="shared" ca="1" si="174"/>
        <v>149633.34</v>
      </c>
      <c r="C948" s="55">
        <f t="shared" ca="1" si="170"/>
        <v>67970.849999999919</v>
      </c>
      <c r="D948" s="55">
        <f t="shared" ca="1" si="170"/>
        <v>3235.669999999991</v>
      </c>
      <c r="E948" s="55">
        <f t="shared" ca="1" si="175"/>
        <v>0</v>
      </c>
      <c r="F948" s="55">
        <f t="shared" ca="1" si="176"/>
        <v>175733.90326393413</v>
      </c>
      <c r="G948" s="101">
        <f t="shared" ca="1" si="177"/>
        <v>396573.76326393406</v>
      </c>
      <c r="H948" s="100">
        <f ca="1">ROUND($B948*VLOOKUP($A948,$A$1:$B$10,2,1)/(365+IF(MOD(YEAR($A948),4),0,1)*($A948-$A947)),2)-Первоначальный[[#This Row],[Проценты на просроченный платеж по ОД за период]]</f>
        <v>73.5</v>
      </c>
      <c r="I948" s="55">
        <f t="shared" ca="1" si="178"/>
        <v>8.08</v>
      </c>
      <c r="J948" s="55">
        <v>0</v>
      </c>
      <c r="K948" s="55">
        <f t="shared" ca="1" si="181"/>
        <v>405.51350327868846</v>
      </c>
      <c r="L948" s="55">
        <v>0</v>
      </c>
      <c r="M948" s="113">
        <f>SUMIFS(График[Возврат основной суммы долга],График[Дата с учетом нерабочих дней],$A948)</f>
        <v>0</v>
      </c>
      <c r="N948" s="56">
        <f>SUMIFS(График[Возврат начисленных %],График[Дата с учетом нерабочих дней],$A948)</f>
        <v>0</v>
      </c>
      <c r="O948" s="101">
        <v>0</v>
      </c>
      <c r="P948" s="100" cm="1">
        <f t="array" aca="1" ref="P948" ca="1">MAX(IF(AA947="Да",0,SUM(INDIRECT("M"&amp;(MAX(("Да"=AA$12:AA947)*ROW(AA$12:AA947)+1,ROW($P$12))&amp;":M"&amp;(ROW()))))-SUM(INDIRECT("W"&amp;(MAX(("Да"=AA$12:AA947)*ROW(AA$12:AA947)+1,ROW($P$12))&amp;":W"&amp;(ROW()))))),0)</f>
        <v>14824.650000000001</v>
      </c>
      <c r="Q948" s="99">
        <f ca="1">MAX(SUM($N$13:N948)-SUM($T$13:T948),0)</f>
        <v>66278.050655737679</v>
      </c>
      <c r="R948" s="99">
        <f ca="1">Первоначальный[[#This Row],[Просроченный платеж по ОД]]+Первоначальный[[#This Row],[Просроченный платеж по процентам]]</f>
        <v>81102.700655737688</v>
      </c>
      <c r="S948" s="120">
        <f ca="1">IF(Первоначальный[[#This Row],[Просроченный платеж]]&lt;1,0,S947+1)</f>
        <v>844</v>
      </c>
      <c r="T948" s="100" cm="1">
        <f t="array" aca="1" ref="T948" ca="1">IF(Первоначальный[[#This Row],[Итого остаток на начало периода]]&lt;1,0,
IF(
AND(TYPE(VLOOKUP(1,$Z$12:Z948,1,0))=16,Первоначальный[[#This Row],[Досрочное погашение (да/"")]]=""),0,
_xlfn.IFS(AND(S947=0,Первоначальный[[#This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платеж]]&lt;&gt;0),MIN(LOOKUP(,-1/($Z$12:Z948=1),$C$12:C948)+LOOKUP(,-1/($Z$12:Z948=1),$H$12:H948),Первоначальный[[#This Row],[Полученный платеж]]+Y947),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платеж]]+Y947,SUM(Первоначальный[[#This Row],[Остаток процентов на начало периода]],Первоначальный[[#This Row],[Проценты за период]])),
AND(S947=0,Первоначальный[[#This Row],[Дата платежа из графика]]=""),0,
AND(S947=0,Первоначальный[[#This Row],[Дата платежа из графика]]=1,MAX((0&lt;&gt;S$12:S947)*ROW(S$12:S947),ROW($S$12))&gt;=MAX((1=Z$12:Z947)*ROW(Z$12:Z947),ROW($T$12)),TYPE(VLOOKUP("Да",(INDIRECT("AA"&amp;(MAX((1=Z$12:Z947)*ROW(Z$12:Z947),ROW($T$12))&amp;":AA"&amp;(ROW()-1)))),1,0))=16),MIN(LOOKUP(,-1/($Z$12:Z948=1),$C$12:C948)+LOOKUP(,-1/($Z$12:Z948=1),$H$12:H948),Первоначальный[[#This Row],[Полученный платеж]]+Y947),
AND(S947=0,TYPE(VLOOKUP("Да",(INDIRECT("AA"&amp;(MAX((1=Z$12:Z947)*ROW(Z$12:Z947),ROW($T$12))&amp;":AA"&amp;(ROW()-1)))),1,0))&lt;&gt;16),MIN(LOOKUP(,-1/($Z$12:Z948=1),$C$12:C948)+LOOKUP(,-1/($Z$12:Z948=1),$H$12:H948)-IF(AA947="Да",0,SUM(INDIRECT("T"&amp;(MAX(("Да"=AA$12:AA947)*ROW(AA$12:AA947)+1,ROW($T$12))&amp;":T"&amp;(ROW()-1))))),Первоначальный[[#This Row],[Полученный платеж]]+Y947),
AND(S947=0,MAX((0&lt;&gt;N$12:N947)*ROW(N$12:N947),ROW($S$12))&gt;=MAX((1=Z$12:Z947)*ROW(Z$12:Z947),ROW($T$12))),MIN(LOOKUP(,-1/($Z$12:Z948=1),$C$12:C948)+LOOKUP(,-1/($Z$12:Z948=1),$H$12:H948)-IF(N947&lt;&gt;0,0,SUM(INDIRECT("T"&amp;(MAX((0&lt;&gt;N$12:N947)*ROW(N$12:N947)+1,ROW($T$12))&amp;":T"&amp;(ROW()-1))))),Первоначальный[[#This Row],[Полученный платеж]]+Y947),
AND(S947=0,Первоначальный[[#This Row],[Дата платежа из графика]]=1),MIN(LOOKUP(,-1/($Z$12:Z948=1),$C$12:C948)+LOOKUP(,-1/($Z$12:Z948=1),$H$12:H948)-IF(Z947=1,0,SUM(INDIRECT("T"&amp;(MAX((1=Z$12:Z947)*ROW(Z$12:Z947)+1,ROW($T$12))&amp;":T"&amp;(ROW()-1))))),Первоначальный[[#This Row],[Полученный платеж]]+Y947),
AND(Z947&gt;0,Первоначальный[[#This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платеж]]+Y947),
AND(S947&gt;0,MAX((0&lt;&gt;S$12:S947)*ROW(S$12:S947),ROW($S$12))&gt;=MAX((1=Z$12:Z947)*ROW(Z$12:Z947),ROW($T$12)),TYPE(VLOOKUP("Да",(INDIRECT("AA"&amp;(MAX((1=Z$12:Z947)*ROW(Z$12:Z947),ROW($T$12))&amp;":AA"&amp;(ROW()-1)))),1,0))=16),MIN(LOOKUP(,-1/($Z$12:Z948=1),$C$12:C948)+LOOKUP(,-1/($Z$12:Z948=1),$H$12:H948)-SUM(INDIRECT("T"&amp;(MAX((1=Z$12:Z947)*ROW(Z$12:Z947),ROW($T$12))&amp;":T"&amp;(ROW()-1)))),Первоначальный[[#This Row],[Полученный платеж]]+Y947),
S947&gt;0,MIN(LOOKUP(,-1/($Z$12:Z948=1),$C$12:C948)+LOOKUP(,-1/($Z$12:Z948=1),$H$12:H948)-IF(Z947=1,0,SUM(INDIRECT("T"&amp;(MAX((1=Z$12:Z947)*ROW(Z$12:Z947)+1,ROW($T$12))&amp;":T"&amp;(ROW()-1))))),Первоначальный[[#This Row],[Полученный платеж]]+Y947)
)
)
)</f>
        <v>0</v>
      </c>
      <c r="U94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платеж]]+Y947-Первоначальный[[#This Row],[Полученный платёж по процентам]])</f>
        <v>0</v>
      </c>
      <c r="V948" s="55">
        <f t="shared" ca="1" si="171"/>
        <v>0</v>
      </c>
      <c r="W948" s="55" cm="1">
        <f t="array" aca="1" ref="W948" ca="1">IF(Первоначальный[[#This Row],[Итого остаток на начало периода]]&lt;1,0,
_xlfn.IFS(
AND(TYPE(VLOOKUP(1,$Z$12:Z948,1,0))=16,Первоначальный[[#This Row],[Досрочное погашение (да/"")]]=""),0,
AND(S947=0,Первоначальный[[#This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платеж]]+Y947-SUM(Первоначальный[[#This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комиссиям]]),VLOOKUP(LOOKUP(,-1/($Z$12:Z948=1),$A$12:A948),График[[Срок конец]:[Возврат основной суммы долга]],3,0)),
AND(S947=0,Первоначальный[[#This Row],[Дата платежа из графика]]="",Первоначальный[[#This Row],[Досрочное погашение (да/"")]]&lt;&gt;"Да"),0,
AND(S947=0,Первоначальный[[#This Row],[Досрочное погашение (да/"")]]=""),MIN(Первоначальный[[#This Row],[Полученный платеж]]+Y947-SUM(Первоначальный[[#This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комиссиям]]),VLOOKUP(LOOKUP(,-1/($Z$12:Z948=1),$A$12:A948),График[[Срок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платеж]]+Y947-SUM(Первоначальный[[#This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S947&gt;0,MIN(Первоначальный[[#This Row],[Полученный платеж]]+Y947-SUM(Первоначальный[[#This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комиссиям]]),SUM(INDIRECT("M"&amp;(MAX((1=S$12:S947)*ROW(S$12:S947),ROW($W$12))&amp;":M"&amp;(ROW()))))-SUM(INDIRECT("W"&amp;(MAX((1=S$12:S947)*ROW(S$12:S947),ROW($W$12))&amp;":W"&amp;(ROW()-1)))))
)
)</f>
        <v>0</v>
      </c>
      <c r="X948" s="55">
        <f t="shared" ca="1" si="172"/>
        <v>0</v>
      </c>
      <c r="Y948" s="101">
        <f t="shared" ca="1" si="179"/>
        <v>0</v>
      </c>
      <c r="Z948" s="133" t="str">
        <f>IF(TYPE((VLOOKUP(Первоначальный[[#This Row],[Дата платежа]],График[Срок конец],1,0)))=16,"",1)</f>
        <v/>
      </c>
      <c r="AA948" s="57"/>
      <c r="AB948" s="134"/>
      <c r="AC94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4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68044.349999999919</v>
      </c>
      <c r="AE94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3243.7499999999909</v>
      </c>
      <c r="AF94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4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176139.41676721282</v>
      </c>
      <c r="AH948" s="55"/>
      <c r="AI948" s="55"/>
      <c r="AJ948" s="55"/>
      <c r="AK948" s="101">
        <f t="shared" ca="1" si="180"/>
        <v>397060.85676721274</v>
      </c>
      <c r="AL948" s="129">
        <f t="array" ref="AL948">MAX((УслРестрактов[Характеристика]="Дата реструктуризации")*(УслРестрактов[Значение]=Первоначальный!$A948),0)</f>
        <v>0</v>
      </c>
    </row>
    <row r="949" spans="1:38" x14ac:dyDescent="0.25">
      <c r="A949" s="97">
        <f t="shared" si="173"/>
        <v>45080</v>
      </c>
      <c r="B949" s="100">
        <f t="shared" ca="1" si="174"/>
        <v>149633.34</v>
      </c>
      <c r="C949" s="55">
        <f t="shared" ca="1" si="170"/>
        <v>68044.349999999919</v>
      </c>
      <c r="D949" s="55">
        <f t="shared" ca="1" si="170"/>
        <v>3243.7499999999909</v>
      </c>
      <c r="E949" s="55">
        <f t="shared" ca="1" si="175"/>
        <v>0</v>
      </c>
      <c r="F949" s="55">
        <f t="shared" ca="1" si="176"/>
        <v>176139.41676721282</v>
      </c>
      <c r="G949" s="101">
        <f t="shared" ca="1" si="177"/>
        <v>397060.85676721274</v>
      </c>
      <c r="H949" s="100">
        <f ca="1">ROUND($B949*VLOOKUP($A949,$A$1:$B$10,2,1)/(365+IF(MOD(YEAR($A949),4),0,1)*($A949-$A948)),2)-Первоначальный[[#This Row],[Проценты на просроченный платеж по ОД за период]]</f>
        <v>73.5</v>
      </c>
      <c r="I949" s="55">
        <f t="shared" ca="1" si="178"/>
        <v>8.08</v>
      </c>
      <c r="J949" s="55">
        <v>0</v>
      </c>
      <c r="K949" s="55">
        <f t="shared" ca="1" si="181"/>
        <v>405.51350327868846</v>
      </c>
      <c r="L949" s="55">
        <v>0</v>
      </c>
      <c r="M949" s="113">
        <f>SUMIFS(График[Возврат основной суммы долга],График[Дата с учетом нерабочих дней],$A949)</f>
        <v>0</v>
      </c>
      <c r="N949" s="56">
        <f>SUMIFS(График[Возврат начисленных %],График[Дата с учетом нерабочих дней],$A949)</f>
        <v>0</v>
      </c>
      <c r="O949" s="101">
        <v>0</v>
      </c>
      <c r="P949" s="100" cm="1">
        <f t="array" aca="1" ref="P949" ca="1">MAX(IF(AA948="Да",0,SUM(INDIRECT("M"&amp;(MAX(("Да"=AA$12:AA948)*ROW(AA$12:AA948)+1,ROW($P$12))&amp;":M"&amp;(ROW()))))-SUM(INDIRECT("W"&amp;(MAX(("Да"=AA$12:AA948)*ROW(AA$12:AA948)+1,ROW($P$12))&amp;":W"&amp;(ROW()))))),0)</f>
        <v>14824.650000000001</v>
      </c>
      <c r="Q949" s="99">
        <f ca="1">MAX(SUM($N$13:N949)-SUM($T$13:T949),0)</f>
        <v>66278.050655737679</v>
      </c>
      <c r="R949" s="99">
        <f ca="1">Первоначальный[[#This Row],[Просроченный платеж по ОД]]+Первоначальный[[#This Row],[Просроченный платеж по процентам]]</f>
        <v>81102.700655737688</v>
      </c>
      <c r="S949" s="120">
        <f ca="1">IF(Первоначальный[[#This Row],[Просроченный платеж]]&lt;1,0,S948+1)</f>
        <v>845</v>
      </c>
      <c r="T949" s="100" cm="1">
        <f t="array" aca="1" ref="T949" ca="1">IF(Первоначальный[[#This Row],[Итого остаток на начало периода]]&lt;1,0,
IF(
AND(TYPE(VLOOKUP(1,$Z$12:Z949,1,0))=16,Первоначальный[[#This Row],[Досрочное погашение (да/"")]]=""),0,
_xlfn.IFS(AND(S948=0,Первоначальный[[#This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платеж]]&lt;&gt;0),MIN(LOOKUP(,-1/($Z$12:Z949=1),$C$12:C949)+LOOKUP(,-1/($Z$12:Z949=1),$H$12:H949),Первоначальный[[#This Row],[Полученный платеж]]+Y948),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платеж]]+Y948,SUM(Первоначальный[[#This Row],[Остаток процентов на начало периода]],Первоначальный[[#This Row],[Проценты за период]])),
AND(S948=0,Первоначальный[[#This Row],[Дата платежа из графика]]=""),0,
AND(S948=0,Первоначальный[[#This Row],[Дата платежа из графика]]=1,MAX((0&lt;&gt;S$12:S948)*ROW(S$12:S948),ROW($S$12))&gt;=MAX((1=Z$12:Z948)*ROW(Z$12:Z948),ROW($T$12)),TYPE(VLOOKUP("Да",(INDIRECT("AA"&amp;(MAX((1=Z$12:Z948)*ROW(Z$12:Z948),ROW($T$12))&amp;":AA"&amp;(ROW()-1)))),1,0))=16),MIN(LOOKUP(,-1/($Z$12:Z949=1),$C$12:C949)+LOOKUP(,-1/($Z$12:Z949=1),$H$12:H949),Первоначальный[[#This Row],[Полученный платеж]]+Y948),
AND(S948=0,TYPE(VLOOKUP("Да",(INDIRECT("AA"&amp;(MAX((1=Z$12:Z948)*ROW(Z$12:Z948),ROW($T$12))&amp;":AA"&amp;(ROW()-1)))),1,0))&lt;&gt;16),MIN(LOOKUP(,-1/($Z$12:Z949=1),$C$12:C949)+LOOKUP(,-1/($Z$12:Z949=1),$H$12:H949)-IF(AA948="Да",0,SUM(INDIRECT("T"&amp;(MAX(("Да"=AA$12:AA948)*ROW(AA$12:AA948)+1,ROW($T$12))&amp;":T"&amp;(ROW()-1))))),Первоначальный[[#This Row],[Полученный платеж]]+Y948),
AND(S948=0,MAX((0&lt;&gt;N$12:N948)*ROW(N$12:N948),ROW($S$12))&gt;=MAX((1=Z$12:Z948)*ROW(Z$12:Z948),ROW($T$12))),MIN(LOOKUP(,-1/($Z$12:Z949=1),$C$12:C949)+LOOKUP(,-1/($Z$12:Z949=1),$H$12:H949)-IF(N948&lt;&gt;0,0,SUM(INDIRECT("T"&amp;(MAX((0&lt;&gt;N$12:N948)*ROW(N$12:N948)+1,ROW($T$12))&amp;":T"&amp;(ROW()-1))))),Первоначальный[[#This Row],[Полученный платеж]]+Y948),
AND(S948=0,Первоначальный[[#This Row],[Дата платежа из графика]]=1),MIN(LOOKUP(,-1/($Z$12:Z949=1),$C$12:C949)+LOOKUP(,-1/($Z$12:Z949=1),$H$12:H949)-IF(Z948=1,0,SUM(INDIRECT("T"&amp;(MAX((1=Z$12:Z948)*ROW(Z$12:Z948)+1,ROW($T$12))&amp;":T"&amp;(ROW()-1))))),Первоначальный[[#This Row],[Полученный платеж]]+Y948),
AND(Z948&gt;0,Первоначальный[[#This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платеж]]+Y948),
AND(S948&gt;0,MAX((0&lt;&gt;S$12:S948)*ROW(S$12:S948),ROW($S$12))&gt;=MAX((1=Z$12:Z948)*ROW(Z$12:Z948),ROW($T$12)),TYPE(VLOOKUP("Да",(INDIRECT("AA"&amp;(MAX((1=Z$12:Z948)*ROW(Z$12:Z948),ROW($T$12))&amp;":AA"&amp;(ROW()-1)))),1,0))=16),MIN(LOOKUP(,-1/($Z$12:Z949=1),$C$12:C949)+LOOKUP(,-1/($Z$12:Z949=1),$H$12:H949)-SUM(INDIRECT("T"&amp;(MAX((1=Z$12:Z948)*ROW(Z$12:Z948),ROW($T$12))&amp;":T"&amp;(ROW()-1)))),Первоначальный[[#This Row],[Полученный платеж]]+Y948),
S948&gt;0,MIN(LOOKUP(,-1/($Z$12:Z949=1),$C$12:C949)+LOOKUP(,-1/($Z$12:Z949=1),$H$12:H949)-IF(Z948=1,0,SUM(INDIRECT("T"&amp;(MAX((1=Z$12:Z948)*ROW(Z$12:Z948)+1,ROW($T$12))&amp;":T"&amp;(ROW()-1))))),Первоначальный[[#This Row],[Полученный платеж]]+Y948)
)
)
)</f>
        <v>0</v>
      </c>
      <c r="U94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платеж]]+Y948-Первоначальный[[#This Row],[Полученный платёж по процентам]])</f>
        <v>0</v>
      </c>
      <c r="V949" s="55">
        <f t="shared" ca="1" si="171"/>
        <v>0</v>
      </c>
      <c r="W949" s="55" cm="1">
        <f t="array" aca="1" ref="W949" ca="1">IF(Первоначальный[[#This Row],[Итого остаток на начало периода]]&lt;1,0,
_xlfn.IFS(
AND(TYPE(VLOOKUP(1,$Z$12:Z949,1,0))=16,Первоначальный[[#This Row],[Досрочное погашение (да/"")]]=""),0,
AND(S948=0,Первоначальный[[#This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платеж]]+Y948-SUM(Первоначальный[[#This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комиссиям]]),VLOOKUP(LOOKUP(,-1/($Z$12:Z949=1),$A$12:A949),График[[Срок конец]:[Возврат основной суммы долга]],3,0)),
AND(S948=0,Первоначальный[[#This Row],[Дата платежа из графика]]="",Первоначальный[[#This Row],[Досрочное погашение (да/"")]]&lt;&gt;"Да"),0,
AND(S948=0,Первоначальный[[#This Row],[Досрочное погашение (да/"")]]=""),MIN(Первоначальный[[#This Row],[Полученный платеж]]+Y948-SUM(Первоначальный[[#This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комиссиям]]),VLOOKUP(LOOKUP(,-1/($Z$12:Z949=1),$A$12:A949),График[[Срок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платеж]]+Y948-SUM(Первоначальный[[#This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S948&gt;0,MIN(Первоначальный[[#This Row],[Полученный платеж]]+Y948-SUM(Первоначальный[[#This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комиссиям]]),SUM(INDIRECT("M"&amp;(MAX((1=S$12:S948)*ROW(S$12:S948),ROW($W$12))&amp;":M"&amp;(ROW()))))-SUM(INDIRECT("W"&amp;(MAX((1=S$12:S948)*ROW(S$12:S948),ROW($W$12))&amp;":W"&amp;(ROW()-1)))))
)
)</f>
        <v>0</v>
      </c>
      <c r="X949" s="55">
        <f t="shared" ca="1" si="172"/>
        <v>0</v>
      </c>
      <c r="Y949" s="101">
        <f t="shared" ca="1" si="179"/>
        <v>0</v>
      </c>
      <c r="Z949" s="133" t="str">
        <f>IF(TYPE((VLOOKUP(Первоначальный[[#This Row],[Дата платежа]],График[Срок конец],1,0)))=16,"",1)</f>
        <v/>
      </c>
      <c r="AA949" s="57"/>
      <c r="AB949" s="134"/>
      <c r="AC94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4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68117.849999999919</v>
      </c>
      <c r="AE94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3251.8299999999908</v>
      </c>
      <c r="AF94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4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176544.93027049152</v>
      </c>
      <c r="AH949" s="55"/>
      <c r="AI949" s="55"/>
      <c r="AJ949" s="55"/>
      <c r="AK949" s="101">
        <f t="shared" ca="1" si="180"/>
        <v>397547.95027049142</v>
      </c>
      <c r="AL949" s="129">
        <f t="array" ref="AL949">MAX((УслРестрактов[Характеристика]="Дата реструктуризации")*(УслРестрактов[Значение]=Первоначальный!$A949),0)</f>
        <v>0</v>
      </c>
    </row>
    <row r="950" spans="1:38" x14ac:dyDescent="0.25">
      <c r="A950" s="97">
        <f t="shared" si="173"/>
        <v>45081</v>
      </c>
      <c r="B950" s="100">
        <f t="shared" ca="1" si="174"/>
        <v>149633.34</v>
      </c>
      <c r="C950" s="55">
        <f t="shared" ca="1" si="170"/>
        <v>68117.849999999919</v>
      </c>
      <c r="D950" s="55">
        <f t="shared" ca="1" si="170"/>
        <v>3251.8299999999908</v>
      </c>
      <c r="E950" s="55">
        <f t="shared" ca="1" si="175"/>
        <v>0</v>
      </c>
      <c r="F950" s="55">
        <f t="shared" ca="1" si="176"/>
        <v>176544.93027049152</v>
      </c>
      <c r="G950" s="101">
        <f t="shared" ca="1" si="177"/>
        <v>397547.95027049142</v>
      </c>
      <c r="H950" s="100">
        <f ca="1">ROUND($B950*VLOOKUP($A950,$A$1:$B$10,2,1)/(365+IF(MOD(YEAR($A950),4),0,1)*($A950-$A949)),2)-Первоначальный[[#This Row],[Проценты на просроченный платеж по ОД за период]]</f>
        <v>73.5</v>
      </c>
      <c r="I950" s="55">
        <f t="shared" ca="1" si="178"/>
        <v>8.08</v>
      </c>
      <c r="J950" s="55">
        <v>0</v>
      </c>
      <c r="K950" s="55">
        <f t="shared" ca="1" si="181"/>
        <v>405.51350327868846</v>
      </c>
      <c r="L950" s="55">
        <v>0</v>
      </c>
      <c r="M950" s="113">
        <f>SUMIFS(График[Возврат основной суммы долга],График[Дата с учетом нерабочих дней],$A950)</f>
        <v>0</v>
      </c>
      <c r="N950" s="56">
        <f>SUMIFS(График[Возврат начисленных %],График[Дата с учетом нерабочих дней],$A950)</f>
        <v>0</v>
      </c>
      <c r="O950" s="101">
        <v>0</v>
      </c>
      <c r="P950" s="100" cm="1">
        <f t="array" aca="1" ref="P950" ca="1">MAX(IF(AA949="Да",0,SUM(INDIRECT("M"&amp;(MAX(("Да"=AA$12:AA949)*ROW(AA$12:AA949)+1,ROW($P$12))&amp;":M"&amp;(ROW()))))-SUM(INDIRECT("W"&amp;(MAX(("Да"=AA$12:AA949)*ROW(AA$12:AA949)+1,ROW($P$12))&amp;":W"&amp;(ROW()))))),0)</f>
        <v>14824.650000000001</v>
      </c>
      <c r="Q950" s="99">
        <f ca="1">MAX(SUM($N$13:N950)-SUM($T$13:T950),0)</f>
        <v>66278.050655737679</v>
      </c>
      <c r="R950" s="99">
        <f ca="1">Первоначальный[[#This Row],[Просроченный платеж по ОД]]+Первоначальный[[#This Row],[Просроченный платеж по процентам]]</f>
        <v>81102.700655737688</v>
      </c>
      <c r="S950" s="120">
        <f ca="1">IF(Первоначальный[[#This Row],[Просроченный платеж]]&lt;1,0,S949+1)</f>
        <v>846</v>
      </c>
      <c r="T950" s="100" cm="1">
        <f t="array" aca="1" ref="T950" ca="1">IF(Первоначальный[[#This Row],[Итого остаток на начало периода]]&lt;1,0,
IF(
AND(TYPE(VLOOKUP(1,$Z$12:Z950,1,0))=16,Первоначальный[[#This Row],[Досрочное погашение (да/"")]]=""),0,
_xlfn.IFS(AND(S949=0,Первоначальный[[#This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платеж]]&lt;&gt;0),MIN(LOOKUP(,-1/($Z$12:Z950=1),$C$12:C950)+LOOKUP(,-1/($Z$12:Z950=1),$H$12:H950),Первоначальный[[#This Row],[Полученный платеж]]+Y949),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платеж]]+Y949,SUM(Первоначальный[[#This Row],[Остаток процентов на начало периода]],Первоначальный[[#This Row],[Проценты за период]])),
AND(S949=0,Первоначальный[[#This Row],[Дата платежа из графика]]=""),0,
AND(S949=0,Первоначальный[[#This Row],[Дата платежа из графика]]=1,MAX((0&lt;&gt;S$12:S949)*ROW(S$12:S949),ROW($S$12))&gt;=MAX((1=Z$12:Z949)*ROW(Z$12:Z949),ROW($T$12)),TYPE(VLOOKUP("Да",(INDIRECT("AA"&amp;(MAX((1=Z$12:Z949)*ROW(Z$12:Z949),ROW($T$12))&amp;":AA"&amp;(ROW()-1)))),1,0))=16),MIN(LOOKUP(,-1/($Z$12:Z950=1),$C$12:C950)+LOOKUP(,-1/($Z$12:Z950=1),$H$12:H950),Первоначальный[[#This Row],[Полученный платеж]]+Y949),
AND(S949=0,TYPE(VLOOKUP("Да",(INDIRECT("AA"&amp;(MAX((1=Z$12:Z949)*ROW(Z$12:Z949),ROW($T$12))&amp;":AA"&amp;(ROW()-1)))),1,0))&lt;&gt;16),MIN(LOOKUP(,-1/($Z$12:Z950=1),$C$12:C950)+LOOKUP(,-1/($Z$12:Z950=1),$H$12:H950)-IF(AA949="Да",0,SUM(INDIRECT("T"&amp;(MAX(("Да"=AA$12:AA949)*ROW(AA$12:AA949)+1,ROW($T$12))&amp;":T"&amp;(ROW()-1))))),Первоначальный[[#This Row],[Полученный платеж]]+Y949),
AND(S949=0,MAX((0&lt;&gt;N$12:N949)*ROW(N$12:N949),ROW($S$12))&gt;=MAX((1=Z$12:Z949)*ROW(Z$12:Z949),ROW($T$12))),MIN(LOOKUP(,-1/($Z$12:Z950=1),$C$12:C950)+LOOKUP(,-1/($Z$12:Z950=1),$H$12:H950)-IF(N949&lt;&gt;0,0,SUM(INDIRECT("T"&amp;(MAX((0&lt;&gt;N$12:N949)*ROW(N$12:N949)+1,ROW($T$12))&amp;":T"&amp;(ROW()-1))))),Первоначальный[[#This Row],[Полученный платеж]]+Y949),
AND(S949=0,Первоначальный[[#This Row],[Дата платежа из графика]]=1),MIN(LOOKUP(,-1/($Z$12:Z950=1),$C$12:C950)+LOOKUP(,-1/($Z$12:Z950=1),$H$12:H950)-IF(Z949=1,0,SUM(INDIRECT("T"&amp;(MAX((1=Z$12:Z949)*ROW(Z$12:Z949)+1,ROW($T$12))&amp;":T"&amp;(ROW()-1))))),Первоначальный[[#This Row],[Полученный платеж]]+Y949),
AND(Z949&gt;0,Первоначальный[[#This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платеж]]+Y949),
AND(S949&gt;0,MAX((0&lt;&gt;S$12:S949)*ROW(S$12:S949),ROW($S$12))&gt;=MAX((1=Z$12:Z949)*ROW(Z$12:Z949),ROW($T$12)),TYPE(VLOOKUP("Да",(INDIRECT("AA"&amp;(MAX((1=Z$12:Z949)*ROW(Z$12:Z949),ROW($T$12))&amp;":AA"&amp;(ROW()-1)))),1,0))=16),MIN(LOOKUP(,-1/($Z$12:Z950=1),$C$12:C950)+LOOKUP(,-1/($Z$12:Z950=1),$H$12:H950)-SUM(INDIRECT("T"&amp;(MAX((1=Z$12:Z949)*ROW(Z$12:Z949),ROW($T$12))&amp;":T"&amp;(ROW()-1)))),Первоначальный[[#This Row],[Полученный платеж]]+Y949),
S949&gt;0,MIN(LOOKUP(,-1/($Z$12:Z950=1),$C$12:C950)+LOOKUP(,-1/($Z$12:Z950=1),$H$12:H950)-IF(Z949=1,0,SUM(INDIRECT("T"&amp;(MAX((1=Z$12:Z949)*ROW(Z$12:Z949)+1,ROW($T$12))&amp;":T"&amp;(ROW()-1))))),Первоначальный[[#This Row],[Полученный платеж]]+Y949)
)
)
)</f>
        <v>0</v>
      </c>
      <c r="U95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платеж]]+Y949-Первоначальный[[#This Row],[Полученный платёж по процентам]])</f>
        <v>0</v>
      </c>
      <c r="V950" s="55">
        <f t="shared" ca="1" si="171"/>
        <v>0</v>
      </c>
      <c r="W950" s="55" cm="1">
        <f t="array" aca="1" ref="W950" ca="1">IF(Первоначальный[[#This Row],[Итого остаток на начало периода]]&lt;1,0,
_xlfn.IFS(
AND(TYPE(VLOOKUP(1,$Z$12:Z950,1,0))=16,Первоначальный[[#This Row],[Досрочное погашение (да/"")]]=""),0,
AND(S949=0,Первоначальный[[#This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платеж]]+Y949-SUM(Первоначальный[[#This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комиссиям]]),VLOOKUP(LOOKUP(,-1/($Z$12:Z950=1),$A$12:A950),График[[Срок конец]:[Возврат основной суммы долга]],3,0)),
AND(S949=0,Первоначальный[[#This Row],[Дата платежа из графика]]="",Первоначальный[[#This Row],[Досрочное погашение (да/"")]]&lt;&gt;"Да"),0,
AND(S949=0,Первоначальный[[#This Row],[Досрочное погашение (да/"")]]=""),MIN(Первоначальный[[#This Row],[Полученный платеж]]+Y949-SUM(Первоначальный[[#This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комиссиям]]),VLOOKUP(LOOKUP(,-1/($Z$12:Z950=1),$A$12:A950),График[[Срок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платеж]]+Y949-SUM(Первоначальный[[#This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S949&gt;0,MIN(Первоначальный[[#This Row],[Полученный платеж]]+Y949-SUM(Первоначальный[[#This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комиссиям]]),SUM(INDIRECT("M"&amp;(MAX((1=S$12:S949)*ROW(S$12:S949),ROW($W$12))&amp;":M"&amp;(ROW()))))-SUM(INDIRECT("W"&amp;(MAX((1=S$12:S949)*ROW(S$12:S949),ROW($W$12))&amp;":W"&amp;(ROW()-1)))))
)
)</f>
        <v>0</v>
      </c>
      <c r="X950" s="55">
        <f t="shared" ca="1" si="172"/>
        <v>0</v>
      </c>
      <c r="Y950" s="101">
        <f t="shared" ca="1" si="179"/>
        <v>0</v>
      </c>
      <c r="Z950" s="133" t="str">
        <f>IF(TYPE((VLOOKUP(Первоначальный[[#This Row],[Дата платежа]],График[Срок конец],1,0)))=16,"",1)</f>
        <v/>
      </c>
      <c r="AA950" s="57"/>
      <c r="AB950" s="134"/>
      <c r="AC95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5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68191.349999999919</v>
      </c>
      <c r="AE95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3259.9099999999908</v>
      </c>
      <c r="AF95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5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176950.44377377021</v>
      </c>
      <c r="AH950" s="55"/>
      <c r="AI950" s="55"/>
      <c r="AJ950" s="55"/>
      <c r="AK950" s="101">
        <f t="shared" ca="1" si="180"/>
        <v>398035.0437737701</v>
      </c>
      <c r="AL950" s="129">
        <f t="array" ref="AL950">MAX((УслРестрактов[Характеристика]="Дата реструктуризации")*(УслРестрактов[Значение]=Первоначальный!$A950),0)</f>
        <v>0</v>
      </c>
    </row>
    <row r="951" spans="1:38" x14ac:dyDescent="0.25">
      <c r="A951" s="97">
        <f t="shared" si="173"/>
        <v>45082</v>
      </c>
      <c r="B951" s="100">
        <f t="shared" ca="1" si="174"/>
        <v>149633.34</v>
      </c>
      <c r="C951" s="55">
        <f t="shared" ca="1" si="170"/>
        <v>68191.349999999919</v>
      </c>
      <c r="D951" s="55">
        <f t="shared" ca="1" si="170"/>
        <v>3259.9099999999908</v>
      </c>
      <c r="E951" s="55">
        <f t="shared" ca="1" si="175"/>
        <v>0</v>
      </c>
      <c r="F951" s="55">
        <f t="shared" ca="1" si="176"/>
        <v>176950.44377377021</v>
      </c>
      <c r="G951" s="101">
        <f t="shared" ca="1" si="177"/>
        <v>398035.0437737701</v>
      </c>
      <c r="H951" s="100">
        <f ca="1">ROUND($B951*VLOOKUP($A951,$A$1:$B$10,2,1)/(365+IF(MOD(YEAR($A951),4),0,1)*($A951-$A950)),2)-Первоначальный[[#This Row],[Проценты на просроченный платеж по ОД за период]]</f>
        <v>73.5</v>
      </c>
      <c r="I951" s="55">
        <f t="shared" ca="1" si="178"/>
        <v>8.08</v>
      </c>
      <c r="J951" s="55">
        <v>0</v>
      </c>
      <c r="K951" s="55">
        <f t="shared" ca="1" si="181"/>
        <v>405.51350327868846</v>
      </c>
      <c r="L951" s="55">
        <v>0</v>
      </c>
      <c r="M951" s="113">
        <f>SUMIFS(График[Возврат основной суммы долга],График[Дата с учетом нерабочих дней],$A951)</f>
        <v>0</v>
      </c>
      <c r="N951" s="56">
        <f>SUMIFS(График[Возврат начисленных %],График[Дата с учетом нерабочих дней],$A951)</f>
        <v>0</v>
      </c>
      <c r="O951" s="101">
        <v>0</v>
      </c>
      <c r="P951" s="100" cm="1">
        <f t="array" aca="1" ref="P951" ca="1">MAX(IF(AA950="Да",0,SUM(INDIRECT("M"&amp;(MAX(("Да"=AA$12:AA950)*ROW(AA$12:AA950)+1,ROW($P$12))&amp;":M"&amp;(ROW()))))-SUM(INDIRECT("W"&amp;(MAX(("Да"=AA$12:AA950)*ROW(AA$12:AA950)+1,ROW($P$12))&amp;":W"&amp;(ROW()))))),0)</f>
        <v>14824.650000000001</v>
      </c>
      <c r="Q951" s="99">
        <f ca="1">MAX(SUM($N$13:N951)-SUM($T$13:T951),0)</f>
        <v>66278.050655737679</v>
      </c>
      <c r="R951" s="99">
        <f ca="1">Первоначальный[[#This Row],[Просроченный платеж по ОД]]+Первоначальный[[#This Row],[Просроченный платеж по процентам]]</f>
        <v>81102.700655737688</v>
      </c>
      <c r="S951" s="120">
        <f ca="1">IF(Первоначальный[[#This Row],[Просроченный платеж]]&lt;1,0,S950+1)</f>
        <v>847</v>
      </c>
      <c r="T951" s="100" cm="1">
        <f t="array" aca="1" ref="T951" ca="1">IF(Первоначальный[[#This Row],[Итого остаток на начало периода]]&lt;1,0,
IF(
AND(TYPE(VLOOKUP(1,$Z$12:Z951,1,0))=16,Первоначальный[[#This Row],[Досрочное погашение (да/"")]]=""),0,
_xlfn.IFS(AND(S950=0,Первоначальный[[#This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платеж]]&lt;&gt;0),MIN(LOOKUP(,-1/($Z$12:Z951=1),$C$12:C951)+LOOKUP(,-1/($Z$12:Z951=1),$H$12:H951),Первоначальный[[#This Row],[Полученный платеж]]+Y950),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платеж]]+Y950,SUM(Первоначальный[[#This Row],[Остаток процентов на начало периода]],Первоначальный[[#This Row],[Проценты за период]])),
AND(S950=0,Первоначальный[[#This Row],[Дата платежа из графика]]=""),0,
AND(S950=0,Первоначальный[[#This Row],[Дата платежа из графика]]=1,MAX((0&lt;&gt;S$12:S950)*ROW(S$12:S950),ROW($S$12))&gt;=MAX((1=Z$12:Z950)*ROW(Z$12:Z950),ROW($T$12)),TYPE(VLOOKUP("Да",(INDIRECT("AA"&amp;(MAX((1=Z$12:Z950)*ROW(Z$12:Z950),ROW($T$12))&amp;":AA"&amp;(ROW()-1)))),1,0))=16),MIN(LOOKUP(,-1/($Z$12:Z951=1),$C$12:C951)+LOOKUP(,-1/($Z$12:Z951=1),$H$12:H951),Первоначальный[[#This Row],[Полученный платеж]]+Y950),
AND(S950=0,TYPE(VLOOKUP("Да",(INDIRECT("AA"&amp;(MAX((1=Z$12:Z950)*ROW(Z$12:Z950),ROW($T$12))&amp;":AA"&amp;(ROW()-1)))),1,0))&lt;&gt;16),MIN(LOOKUP(,-1/($Z$12:Z951=1),$C$12:C951)+LOOKUP(,-1/($Z$12:Z951=1),$H$12:H951)-IF(AA950="Да",0,SUM(INDIRECT("T"&amp;(MAX(("Да"=AA$12:AA950)*ROW(AA$12:AA950)+1,ROW($T$12))&amp;":T"&amp;(ROW()-1))))),Первоначальный[[#This Row],[Полученный платеж]]+Y950),
AND(S950=0,MAX((0&lt;&gt;N$12:N950)*ROW(N$12:N950),ROW($S$12))&gt;=MAX((1=Z$12:Z950)*ROW(Z$12:Z950),ROW($T$12))),MIN(LOOKUP(,-1/($Z$12:Z951=1),$C$12:C951)+LOOKUP(,-1/($Z$12:Z951=1),$H$12:H951)-IF(N950&lt;&gt;0,0,SUM(INDIRECT("T"&amp;(MAX((0&lt;&gt;N$12:N950)*ROW(N$12:N950)+1,ROW($T$12))&amp;":T"&amp;(ROW()-1))))),Первоначальный[[#This Row],[Полученный платеж]]+Y950),
AND(S950=0,Первоначальный[[#This Row],[Дата платежа из графика]]=1),MIN(LOOKUP(,-1/($Z$12:Z951=1),$C$12:C951)+LOOKUP(,-1/($Z$12:Z951=1),$H$12:H951)-IF(Z950=1,0,SUM(INDIRECT("T"&amp;(MAX((1=Z$12:Z950)*ROW(Z$12:Z950)+1,ROW($T$12))&amp;":T"&amp;(ROW()-1))))),Первоначальный[[#This Row],[Полученный платеж]]+Y950),
AND(Z950&gt;0,Первоначальный[[#This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платеж]]+Y950),
AND(S950&gt;0,MAX((0&lt;&gt;S$12:S950)*ROW(S$12:S950),ROW($S$12))&gt;=MAX((1=Z$12:Z950)*ROW(Z$12:Z950),ROW($T$12)),TYPE(VLOOKUP("Да",(INDIRECT("AA"&amp;(MAX((1=Z$12:Z950)*ROW(Z$12:Z950),ROW($T$12))&amp;":AA"&amp;(ROW()-1)))),1,0))=16),MIN(LOOKUP(,-1/($Z$12:Z951=1),$C$12:C951)+LOOKUP(,-1/($Z$12:Z951=1),$H$12:H951)-SUM(INDIRECT("T"&amp;(MAX((1=Z$12:Z950)*ROW(Z$12:Z950),ROW($T$12))&amp;":T"&amp;(ROW()-1)))),Первоначальный[[#This Row],[Полученный платеж]]+Y950),
S950&gt;0,MIN(LOOKUP(,-1/($Z$12:Z951=1),$C$12:C951)+LOOKUP(,-1/($Z$12:Z951=1),$H$12:H951)-IF(Z950=1,0,SUM(INDIRECT("T"&amp;(MAX((1=Z$12:Z950)*ROW(Z$12:Z950)+1,ROW($T$12))&amp;":T"&amp;(ROW()-1))))),Первоначальный[[#This Row],[Полученный платеж]]+Y950)
)
)
)</f>
        <v>0</v>
      </c>
      <c r="U95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платеж]]+Y950-Первоначальный[[#This Row],[Полученный платёж по процентам]])</f>
        <v>0</v>
      </c>
      <c r="V951" s="55">
        <f t="shared" ca="1" si="171"/>
        <v>0</v>
      </c>
      <c r="W951" s="55" cm="1">
        <f t="array" aca="1" ref="W951" ca="1">IF(Первоначальный[[#This Row],[Итого остаток на начало периода]]&lt;1,0,
_xlfn.IFS(
AND(TYPE(VLOOKUP(1,$Z$12:Z951,1,0))=16,Первоначальный[[#This Row],[Досрочное погашение (да/"")]]=""),0,
AND(S950=0,Первоначальный[[#This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платеж]]+Y950-SUM(Первоначальный[[#This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комиссиям]]),VLOOKUP(LOOKUP(,-1/($Z$12:Z951=1),$A$12:A951),График[[Срок конец]:[Возврат основной суммы долга]],3,0)),
AND(S950=0,Первоначальный[[#This Row],[Дата платежа из графика]]="",Первоначальный[[#This Row],[Досрочное погашение (да/"")]]&lt;&gt;"Да"),0,
AND(S950=0,Первоначальный[[#This Row],[Досрочное погашение (да/"")]]=""),MIN(Первоначальный[[#This Row],[Полученный платеж]]+Y950-SUM(Первоначальный[[#This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комиссиям]]),VLOOKUP(LOOKUP(,-1/($Z$12:Z951=1),$A$12:A951),График[[Срок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платеж]]+Y950-SUM(Первоначальный[[#This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S950&gt;0,MIN(Первоначальный[[#This Row],[Полученный платеж]]+Y950-SUM(Первоначальный[[#This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комиссиям]]),SUM(INDIRECT("M"&amp;(MAX((1=S$12:S950)*ROW(S$12:S950),ROW($W$12))&amp;":M"&amp;(ROW()))))-SUM(INDIRECT("W"&amp;(MAX((1=S$12:S950)*ROW(S$12:S950),ROW($W$12))&amp;":W"&amp;(ROW()-1)))))
)
)</f>
        <v>0</v>
      </c>
      <c r="X951" s="55">
        <f t="shared" ca="1" si="172"/>
        <v>0</v>
      </c>
      <c r="Y951" s="101">
        <f t="shared" ca="1" si="179"/>
        <v>0</v>
      </c>
      <c r="Z951" s="133" t="str">
        <f>IF(TYPE((VLOOKUP(Первоначальный[[#This Row],[Дата платежа]],График[Срок конец],1,0)))=16,"",1)</f>
        <v/>
      </c>
      <c r="AA951" s="57"/>
      <c r="AB951" s="134"/>
      <c r="AC95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5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68264.849999999919</v>
      </c>
      <c r="AE95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3267.9899999999907</v>
      </c>
      <c r="AF95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5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177355.9572770489</v>
      </c>
      <c r="AH951" s="55"/>
      <c r="AI951" s="55"/>
      <c r="AJ951" s="55"/>
      <c r="AK951" s="101">
        <f t="shared" ca="1" si="180"/>
        <v>398522.13727704878</v>
      </c>
      <c r="AL951" s="129">
        <f t="array" ref="AL951">MAX((УслРестрактов[Характеристика]="Дата реструктуризации")*(УслРестрактов[Значение]=Первоначальный!$A951),0)</f>
        <v>0</v>
      </c>
    </row>
    <row r="952" spans="1:38" x14ac:dyDescent="0.25">
      <c r="A952" s="97">
        <f t="shared" si="173"/>
        <v>45083</v>
      </c>
      <c r="B952" s="100">
        <f t="shared" ca="1" si="174"/>
        <v>149633.34</v>
      </c>
      <c r="C952" s="55">
        <f t="shared" ca="1" si="170"/>
        <v>68264.849999999919</v>
      </c>
      <c r="D952" s="55">
        <f t="shared" ca="1" si="170"/>
        <v>3267.9899999999907</v>
      </c>
      <c r="E952" s="55">
        <f t="shared" ca="1" si="175"/>
        <v>0</v>
      </c>
      <c r="F952" s="55">
        <f t="shared" ca="1" si="176"/>
        <v>177355.9572770489</v>
      </c>
      <c r="G952" s="101">
        <f t="shared" ca="1" si="177"/>
        <v>398522.13727704878</v>
      </c>
      <c r="H952" s="100">
        <f ca="1">ROUND($B952*VLOOKUP($A952,$A$1:$B$10,2,1)/(365+IF(MOD(YEAR($A952),4),0,1)*($A952-$A951)),2)-Первоначальный[[#This Row],[Проценты на просроченный платеж по ОД за период]]</f>
        <v>73.5</v>
      </c>
      <c r="I952" s="55">
        <f t="shared" ca="1" si="178"/>
        <v>8.08</v>
      </c>
      <c r="J952" s="55">
        <v>0</v>
      </c>
      <c r="K952" s="55">
        <f t="shared" ca="1" si="181"/>
        <v>405.51350327868846</v>
      </c>
      <c r="L952" s="55">
        <v>0</v>
      </c>
      <c r="M952" s="113">
        <f>SUMIFS(График[Возврат основной суммы долга],График[Дата с учетом нерабочих дней],$A952)</f>
        <v>0</v>
      </c>
      <c r="N952" s="56">
        <f>SUMIFS(График[Возврат начисленных %],График[Дата с учетом нерабочих дней],$A952)</f>
        <v>0</v>
      </c>
      <c r="O952" s="101">
        <v>0</v>
      </c>
      <c r="P952" s="100" cm="1">
        <f t="array" aca="1" ref="P952" ca="1">MAX(IF(AA951="Да",0,SUM(INDIRECT("M"&amp;(MAX(("Да"=AA$12:AA951)*ROW(AA$12:AA951)+1,ROW($P$12))&amp;":M"&amp;(ROW()))))-SUM(INDIRECT("W"&amp;(MAX(("Да"=AA$12:AA951)*ROW(AA$12:AA951)+1,ROW($P$12))&amp;":W"&amp;(ROW()))))),0)</f>
        <v>14824.650000000001</v>
      </c>
      <c r="Q952" s="99">
        <f ca="1">MAX(SUM($N$13:N952)-SUM($T$13:T952),0)</f>
        <v>66278.050655737679</v>
      </c>
      <c r="R952" s="99">
        <f ca="1">Первоначальный[[#This Row],[Просроченный платеж по ОД]]+Первоначальный[[#This Row],[Просроченный платеж по процентам]]</f>
        <v>81102.700655737688</v>
      </c>
      <c r="S952" s="120">
        <f ca="1">IF(Первоначальный[[#This Row],[Просроченный платеж]]&lt;1,0,S951+1)</f>
        <v>848</v>
      </c>
      <c r="T952" s="100" cm="1">
        <f t="array" aca="1" ref="T952" ca="1">IF(Первоначальный[[#This Row],[Итого остаток на начало периода]]&lt;1,0,
IF(
AND(TYPE(VLOOKUP(1,$Z$12:Z952,1,0))=16,Первоначальный[[#This Row],[Досрочное погашение (да/"")]]=""),0,
_xlfn.IFS(AND(S951=0,Первоначальный[[#This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платеж]]&lt;&gt;0),MIN(LOOKUP(,-1/($Z$12:Z952=1),$C$12:C952)+LOOKUP(,-1/($Z$12:Z952=1),$H$12:H952),Первоначальный[[#This Row],[Полученный платеж]]+Y951),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платеж]]+Y951,SUM(Первоначальный[[#This Row],[Остаток процентов на начало периода]],Первоначальный[[#This Row],[Проценты за период]])),
AND(S951=0,Первоначальный[[#This Row],[Дата платежа из графика]]=""),0,
AND(S951=0,Первоначальный[[#This Row],[Дата платежа из графика]]=1,MAX((0&lt;&gt;S$12:S951)*ROW(S$12:S951),ROW($S$12))&gt;=MAX((1=Z$12:Z951)*ROW(Z$12:Z951),ROW($T$12)),TYPE(VLOOKUP("Да",(INDIRECT("AA"&amp;(MAX((1=Z$12:Z951)*ROW(Z$12:Z951),ROW($T$12))&amp;":AA"&amp;(ROW()-1)))),1,0))=16),MIN(LOOKUP(,-1/($Z$12:Z952=1),$C$12:C952)+LOOKUP(,-1/($Z$12:Z952=1),$H$12:H952),Первоначальный[[#This Row],[Полученный платеж]]+Y951),
AND(S951=0,TYPE(VLOOKUP("Да",(INDIRECT("AA"&amp;(MAX((1=Z$12:Z951)*ROW(Z$12:Z951),ROW($T$12))&amp;":AA"&amp;(ROW()-1)))),1,0))&lt;&gt;16),MIN(LOOKUP(,-1/($Z$12:Z952=1),$C$12:C952)+LOOKUP(,-1/($Z$12:Z952=1),$H$12:H952)-IF(AA951="Да",0,SUM(INDIRECT("T"&amp;(MAX(("Да"=AA$12:AA951)*ROW(AA$12:AA951)+1,ROW($T$12))&amp;":T"&amp;(ROW()-1))))),Первоначальный[[#This Row],[Полученный платеж]]+Y951),
AND(S951=0,MAX((0&lt;&gt;N$12:N951)*ROW(N$12:N951),ROW($S$12))&gt;=MAX((1=Z$12:Z951)*ROW(Z$12:Z951),ROW($T$12))),MIN(LOOKUP(,-1/($Z$12:Z952=1),$C$12:C952)+LOOKUP(,-1/($Z$12:Z952=1),$H$12:H952)-IF(N951&lt;&gt;0,0,SUM(INDIRECT("T"&amp;(MAX((0&lt;&gt;N$12:N951)*ROW(N$12:N951)+1,ROW($T$12))&amp;":T"&amp;(ROW()-1))))),Первоначальный[[#This Row],[Полученный платеж]]+Y951),
AND(S951=0,Первоначальный[[#This Row],[Дата платежа из графика]]=1),MIN(LOOKUP(,-1/($Z$12:Z952=1),$C$12:C952)+LOOKUP(,-1/($Z$12:Z952=1),$H$12:H952)-IF(Z951=1,0,SUM(INDIRECT("T"&amp;(MAX((1=Z$12:Z951)*ROW(Z$12:Z951)+1,ROW($T$12))&amp;":T"&amp;(ROW()-1))))),Первоначальный[[#This Row],[Полученный платеж]]+Y951),
AND(Z951&gt;0,Первоначальный[[#This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платеж]]+Y951),
AND(S951&gt;0,MAX((0&lt;&gt;S$12:S951)*ROW(S$12:S951),ROW($S$12))&gt;=MAX((1=Z$12:Z951)*ROW(Z$12:Z951),ROW($T$12)),TYPE(VLOOKUP("Да",(INDIRECT("AA"&amp;(MAX((1=Z$12:Z951)*ROW(Z$12:Z951),ROW($T$12))&amp;":AA"&amp;(ROW()-1)))),1,0))=16),MIN(LOOKUP(,-1/($Z$12:Z952=1),$C$12:C952)+LOOKUP(,-1/($Z$12:Z952=1),$H$12:H952)-SUM(INDIRECT("T"&amp;(MAX((1=Z$12:Z951)*ROW(Z$12:Z951),ROW($T$12))&amp;":T"&amp;(ROW()-1)))),Первоначальный[[#This Row],[Полученный платеж]]+Y951),
S951&gt;0,MIN(LOOKUP(,-1/($Z$12:Z952=1),$C$12:C952)+LOOKUP(,-1/($Z$12:Z952=1),$H$12:H952)-IF(Z951=1,0,SUM(INDIRECT("T"&amp;(MAX((1=Z$12:Z951)*ROW(Z$12:Z951)+1,ROW($T$12))&amp;":T"&amp;(ROW()-1))))),Первоначальный[[#This Row],[Полученный платеж]]+Y951)
)
)
)</f>
        <v>0</v>
      </c>
      <c r="U95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платеж]]+Y951-Первоначальный[[#This Row],[Полученный платёж по процентам]])</f>
        <v>0</v>
      </c>
      <c r="V952" s="55">
        <f t="shared" ca="1" si="171"/>
        <v>0</v>
      </c>
      <c r="W952" s="55" cm="1">
        <f t="array" aca="1" ref="W952" ca="1">IF(Первоначальный[[#This Row],[Итого остаток на начало периода]]&lt;1,0,
_xlfn.IFS(
AND(TYPE(VLOOKUP(1,$Z$12:Z952,1,0))=16,Первоначальный[[#This Row],[Досрочное погашение (да/"")]]=""),0,
AND(S951=0,Первоначальный[[#This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платеж]]+Y951-SUM(Первоначальный[[#This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комиссиям]]),VLOOKUP(LOOKUP(,-1/($Z$12:Z952=1),$A$12:A952),График[[Срок конец]:[Возврат основной суммы долга]],3,0)),
AND(S951=0,Первоначальный[[#This Row],[Дата платежа из графика]]="",Первоначальный[[#This Row],[Досрочное погашение (да/"")]]&lt;&gt;"Да"),0,
AND(S951=0,Первоначальный[[#This Row],[Досрочное погашение (да/"")]]=""),MIN(Первоначальный[[#This Row],[Полученный платеж]]+Y951-SUM(Первоначальный[[#This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комиссиям]]),VLOOKUP(LOOKUP(,-1/($Z$12:Z952=1),$A$12:A952),График[[Срок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платеж]]+Y951-SUM(Первоначальный[[#This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S951&gt;0,MIN(Первоначальный[[#This Row],[Полученный платеж]]+Y951-SUM(Первоначальный[[#This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комиссиям]]),SUM(INDIRECT("M"&amp;(MAX((1=S$12:S951)*ROW(S$12:S951),ROW($W$12))&amp;":M"&amp;(ROW()))))-SUM(INDIRECT("W"&amp;(MAX((1=S$12:S951)*ROW(S$12:S951),ROW($W$12))&amp;":W"&amp;(ROW()-1)))))
)
)</f>
        <v>0</v>
      </c>
      <c r="X952" s="55">
        <f t="shared" ca="1" si="172"/>
        <v>0</v>
      </c>
      <c r="Y952" s="101">
        <f t="shared" ca="1" si="179"/>
        <v>0</v>
      </c>
      <c r="Z952" s="133" t="str">
        <f>IF(TYPE((VLOOKUP(Первоначальный[[#This Row],[Дата платежа]],График[Срок конец],1,0)))=16,"",1)</f>
        <v/>
      </c>
      <c r="AA952" s="57"/>
      <c r="AB952" s="134"/>
      <c r="AC95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5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68338.349999999919</v>
      </c>
      <c r="AE95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3276.0699999999906</v>
      </c>
      <c r="AF95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5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177761.4707803276</v>
      </c>
      <c r="AH952" s="55"/>
      <c r="AI952" s="55"/>
      <c r="AJ952" s="55"/>
      <c r="AK952" s="101">
        <f t="shared" ca="1" si="180"/>
        <v>399009.23078032746</v>
      </c>
      <c r="AL952" s="129">
        <f t="array" ref="AL952">MAX((УслРестрактов[Характеристика]="Дата реструктуризации")*(УслРестрактов[Значение]=Первоначальный!$A952),0)</f>
        <v>0</v>
      </c>
    </row>
    <row r="953" spans="1:38" x14ac:dyDescent="0.25">
      <c r="A953" s="97">
        <f t="shared" si="173"/>
        <v>45084</v>
      </c>
      <c r="B953" s="100">
        <f t="shared" ca="1" si="174"/>
        <v>149633.34</v>
      </c>
      <c r="C953" s="55">
        <f t="shared" ca="1" si="170"/>
        <v>68338.349999999919</v>
      </c>
      <c r="D953" s="55">
        <f t="shared" ca="1" si="170"/>
        <v>3276.0699999999906</v>
      </c>
      <c r="E953" s="55">
        <f t="shared" ca="1" si="175"/>
        <v>0</v>
      </c>
      <c r="F953" s="55">
        <f t="shared" ca="1" si="176"/>
        <v>177761.4707803276</v>
      </c>
      <c r="G953" s="101">
        <f t="shared" ca="1" si="177"/>
        <v>399009.23078032746</v>
      </c>
      <c r="H953" s="100">
        <f ca="1">ROUND($B953*VLOOKUP($A953,$A$1:$B$10,2,1)/(365+IF(MOD(YEAR($A953),4),0,1)*($A953-$A952)),2)-Первоначальный[[#This Row],[Проценты на просроченный платеж по ОД за период]]</f>
        <v>73.5</v>
      </c>
      <c r="I953" s="55">
        <f t="shared" ca="1" si="178"/>
        <v>8.08</v>
      </c>
      <c r="J953" s="55">
        <v>0</v>
      </c>
      <c r="K953" s="55">
        <f t="shared" ca="1" si="181"/>
        <v>405.51350327868846</v>
      </c>
      <c r="L953" s="55">
        <v>0</v>
      </c>
      <c r="M953" s="113">
        <f>SUMIFS(График[Возврат основной суммы долга],График[Дата с учетом нерабочих дней],$A953)</f>
        <v>0</v>
      </c>
      <c r="N953" s="56">
        <f>SUMIFS(График[Возврат начисленных %],График[Дата с учетом нерабочих дней],$A953)</f>
        <v>0</v>
      </c>
      <c r="O953" s="101">
        <v>0</v>
      </c>
      <c r="P953" s="100" cm="1">
        <f t="array" aca="1" ref="P953" ca="1">MAX(IF(AA952="Да",0,SUM(INDIRECT("M"&amp;(MAX(("Да"=AA$12:AA952)*ROW(AA$12:AA952)+1,ROW($P$12))&amp;":M"&amp;(ROW()))))-SUM(INDIRECT("W"&amp;(MAX(("Да"=AA$12:AA952)*ROW(AA$12:AA952)+1,ROW($P$12))&amp;":W"&amp;(ROW()))))),0)</f>
        <v>14824.650000000001</v>
      </c>
      <c r="Q953" s="99">
        <f ca="1">MAX(SUM($N$13:N953)-SUM($T$13:T953),0)</f>
        <v>66278.050655737679</v>
      </c>
      <c r="R953" s="99">
        <f ca="1">Первоначальный[[#This Row],[Просроченный платеж по ОД]]+Первоначальный[[#This Row],[Просроченный платеж по процентам]]</f>
        <v>81102.700655737688</v>
      </c>
      <c r="S953" s="120">
        <f ca="1">IF(Первоначальный[[#This Row],[Просроченный платеж]]&lt;1,0,S952+1)</f>
        <v>849</v>
      </c>
      <c r="T953" s="100" cm="1">
        <f t="array" aca="1" ref="T953" ca="1">IF(Первоначальный[[#This Row],[Итого остаток на начало периода]]&lt;1,0,
IF(
AND(TYPE(VLOOKUP(1,$Z$12:Z953,1,0))=16,Первоначальный[[#This Row],[Досрочное погашение (да/"")]]=""),0,
_xlfn.IFS(AND(S952=0,Первоначальный[[#This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платеж]]&lt;&gt;0),MIN(LOOKUP(,-1/($Z$12:Z953=1),$C$12:C953)+LOOKUP(,-1/($Z$12:Z953=1),$H$12:H953),Первоначальный[[#This Row],[Полученный платеж]]+Y952),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платеж]]+Y952,SUM(Первоначальный[[#This Row],[Остаток процентов на начало периода]],Первоначальный[[#This Row],[Проценты за период]])),
AND(S952=0,Первоначальный[[#This Row],[Дата платежа из графика]]=""),0,
AND(S952=0,Первоначальный[[#This Row],[Дата платежа из графика]]=1,MAX((0&lt;&gt;S$12:S952)*ROW(S$12:S952),ROW($S$12))&gt;=MAX((1=Z$12:Z952)*ROW(Z$12:Z952),ROW($T$12)),TYPE(VLOOKUP("Да",(INDIRECT("AA"&amp;(MAX((1=Z$12:Z952)*ROW(Z$12:Z952),ROW($T$12))&amp;":AA"&amp;(ROW()-1)))),1,0))=16),MIN(LOOKUP(,-1/($Z$12:Z953=1),$C$12:C953)+LOOKUP(,-1/($Z$12:Z953=1),$H$12:H953),Первоначальный[[#This Row],[Полученный платеж]]+Y952),
AND(S952=0,TYPE(VLOOKUP("Да",(INDIRECT("AA"&amp;(MAX((1=Z$12:Z952)*ROW(Z$12:Z952),ROW($T$12))&amp;":AA"&amp;(ROW()-1)))),1,0))&lt;&gt;16),MIN(LOOKUP(,-1/($Z$12:Z953=1),$C$12:C953)+LOOKUP(,-1/($Z$12:Z953=1),$H$12:H953)-IF(AA952="Да",0,SUM(INDIRECT("T"&amp;(MAX(("Да"=AA$12:AA952)*ROW(AA$12:AA952)+1,ROW($T$12))&amp;":T"&amp;(ROW()-1))))),Первоначальный[[#This Row],[Полученный платеж]]+Y952),
AND(S952=0,MAX((0&lt;&gt;N$12:N952)*ROW(N$12:N952),ROW($S$12))&gt;=MAX((1=Z$12:Z952)*ROW(Z$12:Z952),ROW($T$12))),MIN(LOOKUP(,-1/($Z$12:Z953=1),$C$12:C953)+LOOKUP(,-1/($Z$12:Z953=1),$H$12:H953)-IF(N952&lt;&gt;0,0,SUM(INDIRECT("T"&amp;(MAX((0&lt;&gt;N$12:N952)*ROW(N$12:N952)+1,ROW($T$12))&amp;":T"&amp;(ROW()-1))))),Первоначальный[[#This Row],[Полученный платеж]]+Y952),
AND(S952=0,Первоначальный[[#This Row],[Дата платежа из графика]]=1),MIN(LOOKUP(,-1/($Z$12:Z953=1),$C$12:C953)+LOOKUP(,-1/($Z$12:Z953=1),$H$12:H953)-IF(Z952=1,0,SUM(INDIRECT("T"&amp;(MAX((1=Z$12:Z952)*ROW(Z$12:Z952)+1,ROW($T$12))&amp;":T"&amp;(ROW()-1))))),Первоначальный[[#This Row],[Полученный платеж]]+Y952),
AND(Z952&gt;0,Первоначальный[[#This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платеж]]+Y952),
AND(S952&gt;0,MAX((0&lt;&gt;S$12:S952)*ROW(S$12:S952),ROW($S$12))&gt;=MAX((1=Z$12:Z952)*ROW(Z$12:Z952),ROW($T$12)),TYPE(VLOOKUP("Да",(INDIRECT("AA"&amp;(MAX((1=Z$12:Z952)*ROW(Z$12:Z952),ROW($T$12))&amp;":AA"&amp;(ROW()-1)))),1,0))=16),MIN(LOOKUP(,-1/($Z$12:Z953=1),$C$12:C953)+LOOKUP(,-1/($Z$12:Z953=1),$H$12:H953)-SUM(INDIRECT("T"&amp;(MAX((1=Z$12:Z952)*ROW(Z$12:Z952),ROW($T$12))&amp;":T"&amp;(ROW()-1)))),Первоначальный[[#This Row],[Полученный платеж]]+Y952),
S952&gt;0,MIN(LOOKUP(,-1/($Z$12:Z953=1),$C$12:C953)+LOOKUP(,-1/($Z$12:Z953=1),$H$12:H953)-IF(Z952=1,0,SUM(INDIRECT("T"&amp;(MAX((1=Z$12:Z952)*ROW(Z$12:Z952)+1,ROW($T$12))&amp;":T"&amp;(ROW()-1))))),Первоначальный[[#This Row],[Полученный платеж]]+Y952)
)
)
)</f>
        <v>0</v>
      </c>
      <c r="U95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платеж]]+Y952-Первоначальный[[#This Row],[Полученный платёж по процентам]])</f>
        <v>0</v>
      </c>
      <c r="V953" s="55">
        <f t="shared" ca="1" si="171"/>
        <v>0</v>
      </c>
      <c r="W953" s="55" cm="1">
        <f t="array" aca="1" ref="W953" ca="1">IF(Первоначальный[[#This Row],[Итого остаток на начало периода]]&lt;1,0,
_xlfn.IFS(
AND(TYPE(VLOOKUP(1,$Z$12:Z953,1,0))=16,Первоначальный[[#This Row],[Досрочное погашение (да/"")]]=""),0,
AND(S952=0,Первоначальный[[#This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платеж]]+Y952-SUM(Первоначальный[[#This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комиссиям]]),VLOOKUP(LOOKUP(,-1/($Z$12:Z953=1),$A$12:A953),График[[Срок конец]:[Возврат основной суммы долга]],3,0)),
AND(S952=0,Первоначальный[[#This Row],[Дата платежа из графика]]="",Первоначальный[[#This Row],[Досрочное погашение (да/"")]]&lt;&gt;"Да"),0,
AND(S952=0,Первоначальный[[#This Row],[Досрочное погашение (да/"")]]=""),MIN(Первоначальный[[#This Row],[Полученный платеж]]+Y952-SUM(Первоначальный[[#This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комиссиям]]),VLOOKUP(LOOKUP(,-1/($Z$12:Z953=1),$A$12:A953),График[[Срок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платеж]]+Y952-SUM(Первоначальный[[#This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S952&gt;0,MIN(Первоначальный[[#This Row],[Полученный платеж]]+Y952-SUM(Первоначальный[[#This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комиссиям]]),SUM(INDIRECT("M"&amp;(MAX((1=S$12:S952)*ROW(S$12:S952),ROW($W$12))&amp;":M"&amp;(ROW()))))-SUM(INDIRECT("W"&amp;(MAX((1=S$12:S952)*ROW(S$12:S952),ROW($W$12))&amp;":W"&amp;(ROW()-1)))))
)
)</f>
        <v>0</v>
      </c>
      <c r="X953" s="55">
        <f t="shared" ca="1" si="172"/>
        <v>0</v>
      </c>
      <c r="Y953" s="101">
        <f t="shared" ca="1" si="179"/>
        <v>0</v>
      </c>
      <c r="Z953" s="133" t="str">
        <f>IF(TYPE((VLOOKUP(Первоначальный[[#This Row],[Дата платежа]],График[Срок конец],1,0)))=16,"",1)</f>
        <v/>
      </c>
      <c r="AA953" s="57"/>
      <c r="AB953" s="134"/>
      <c r="AC95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5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68411.849999999919</v>
      </c>
      <c r="AE95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3284.1499999999905</v>
      </c>
      <c r="AF95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5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178166.98428360629</v>
      </c>
      <c r="AH953" s="55"/>
      <c r="AI953" s="55"/>
      <c r="AJ953" s="55"/>
      <c r="AK953" s="101">
        <f t="shared" ca="1" si="180"/>
        <v>399496.3242836062</v>
      </c>
      <c r="AL953" s="129">
        <f t="array" ref="AL953">MAX((УслРестрактов[Характеристика]="Дата реструктуризации")*(УслРестрактов[Значение]=Первоначальный!$A953),0)</f>
        <v>0</v>
      </c>
    </row>
    <row r="954" spans="1:38" x14ac:dyDescent="0.25">
      <c r="A954" s="97">
        <f t="shared" si="173"/>
        <v>45085</v>
      </c>
      <c r="B954" s="100">
        <f t="shared" ca="1" si="174"/>
        <v>149633.34</v>
      </c>
      <c r="C954" s="55">
        <f t="shared" ca="1" si="170"/>
        <v>68411.849999999919</v>
      </c>
      <c r="D954" s="55">
        <f t="shared" ca="1" si="170"/>
        <v>3284.1499999999905</v>
      </c>
      <c r="E954" s="55">
        <f t="shared" ca="1" si="175"/>
        <v>0</v>
      </c>
      <c r="F954" s="55">
        <f t="shared" ca="1" si="176"/>
        <v>178166.98428360629</v>
      </c>
      <c r="G954" s="101">
        <f t="shared" ca="1" si="177"/>
        <v>399496.3242836062</v>
      </c>
      <c r="H954" s="100">
        <f ca="1">ROUND($B954*VLOOKUP($A954,$A$1:$B$10,2,1)/(365+IF(MOD(YEAR($A954),4),0,1)*($A954-$A953)),2)-Первоначальный[[#This Row],[Проценты на просроченный платеж по ОД за период]]</f>
        <v>73.5</v>
      </c>
      <c r="I954" s="55">
        <f t="shared" ca="1" si="178"/>
        <v>8.08</v>
      </c>
      <c r="J954" s="55">
        <v>0</v>
      </c>
      <c r="K954" s="55">
        <f t="shared" ca="1" si="181"/>
        <v>405.51350327868846</v>
      </c>
      <c r="L954" s="55">
        <v>0</v>
      </c>
      <c r="M954" s="113">
        <f>SUMIFS(График[Возврат основной суммы долга],График[Дата с учетом нерабочих дней],$A954)</f>
        <v>0</v>
      </c>
      <c r="N954" s="56">
        <f>SUMIFS(График[Возврат начисленных %],График[Дата с учетом нерабочих дней],$A954)</f>
        <v>0</v>
      </c>
      <c r="O954" s="101">
        <v>0</v>
      </c>
      <c r="P954" s="100" cm="1">
        <f t="array" aca="1" ref="P954" ca="1">MAX(IF(AA953="Да",0,SUM(INDIRECT("M"&amp;(MAX(("Да"=AA$12:AA953)*ROW(AA$12:AA953)+1,ROW($P$12))&amp;":M"&amp;(ROW()))))-SUM(INDIRECT("W"&amp;(MAX(("Да"=AA$12:AA953)*ROW(AA$12:AA953)+1,ROW($P$12))&amp;":W"&amp;(ROW()))))),0)</f>
        <v>14824.650000000001</v>
      </c>
      <c r="Q954" s="99">
        <f ca="1">MAX(SUM($N$13:N954)-SUM($T$13:T954),0)</f>
        <v>66278.050655737679</v>
      </c>
      <c r="R954" s="99">
        <f ca="1">Первоначальный[[#This Row],[Просроченный платеж по ОД]]+Первоначальный[[#This Row],[Просроченный платеж по процентам]]</f>
        <v>81102.700655737688</v>
      </c>
      <c r="S954" s="120">
        <f ca="1">IF(Первоначальный[[#This Row],[Просроченный платеж]]&lt;1,0,S953+1)</f>
        <v>850</v>
      </c>
      <c r="T954" s="100" cm="1">
        <f t="array" aca="1" ref="T954" ca="1">IF(Первоначальный[[#This Row],[Итого остаток на начало периода]]&lt;1,0,
IF(
AND(TYPE(VLOOKUP(1,$Z$12:Z954,1,0))=16,Первоначальный[[#This Row],[Досрочное погашение (да/"")]]=""),0,
_xlfn.IFS(AND(S953=0,Первоначальный[[#This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платеж]]&lt;&gt;0),MIN(LOOKUP(,-1/($Z$12:Z954=1),$C$12:C954)+LOOKUP(,-1/($Z$12:Z954=1),$H$12:H954),Первоначальный[[#This Row],[Полученный платеж]]+Y953),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платеж]]+Y953,SUM(Первоначальный[[#This Row],[Остаток процентов на начало периода]],Первоначальный[[#This Row],[Проценты за период]])),
AND(S953=0,Первоначальный[[#This Row],[Дата платежа из графика]]=""),0,
AND(S953=0,Первоначальный[[#This Row],[Дата платежа из графика]]=1,MAX((0&lt;&gt;S$12:S953)*ROW(S$12:S953),ROW($S$12))&gt;=MAX((1=Z$12:Z953)*ROW(Z$12:Z953),ROW($T$12)),TYPE(VLOOKUP("Да",(INDIRECT("AA"&amp;(MAX((1=Z$12:Z953)*ROW(Z$12:Z953),ROW($T$12))&amp;":AA"&amp;(ROW()-1)))),1,0))=16),MIN(LOOKUP(,-1/($Z$12:Z954=1),$C$12:C954)+LOOKUP(,-1/($Z$12:Z954=1),$H$12:H954),Первоначальный[[#This Row],[Полученный платеж]]+Y953),
AND(S953=0,TYPE(VLOOKUP("Да",(INDIRECT("AA"&amp;(MAX((1=Z$12:Z953)*ROW(Z$12:Z953),ROW($T$12))&amp;":AA"&amp;(ROW()-1)))),1,0))&lt;&gt;16),MIN(LOOKUP(,-1/($Z$12:Z954=1),$C$12:C954)+LOOKUP(,-1/($Z$12:Z954=1),$H$12:H954)-IF(AA953="Да",0,SUM(INDIRECT("T"&amp;(MAX(("Да"=AA$12:AA953)*ROW(AA$12:AA953)+1,ROW($T$12))&amp;":T"&amp;(ROW()-1))))),Первоначальный[[#This Row],[Полученный платеж]]+Y953),
AND(S953=0,MAX((0&lt;&gt;N$12:N953)*ROW(N$12:N953),ROW($S$12))&gt;=MAX((1=Z$12:Z953)*ROW(Z$12:Z953),ROW($T$12))),MIN(LOOKUP(,-1/($Z$12:Z954=1),$C$12:C954)+LOOKUP(,-1/($Z$12:Z954=1),$H$12:H954)-IF(N953&lt;&gt;0,0,SUM(INDIRECT("T"&amp;(MAX((0&lt;&gt;N$12:N953)*ROW(N$12:N953)+1,ROW($T$12))&amp;":T"&amp;(ROW()-1))))),Первоначальный[[#This Row],[Полученный платеж]]+Y953),
AND(S953=0,Первоначальный[[#This Row],[Дата платежа из графика]]=1),MIN(LOOKUP(,-1/($Z$12:Z954=1),$C$12:C954)+LOOKUP(,-1/($Z$12:Z954=1),$H$12:H954)-IF(Z953=1,0,SUM(INDIRECT("T"&amp;(MAX((1=Z$12:Z953)*ROW(Z$12:Z953)+1,ROW($T$12))&amp;":T"&amp;(ROW()-1))))),Первоначальный[[#This Row],[Полученный платеж]]+Y953),
AND(Z953&gt;0,Первоначальный[[#This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платеж]]+Y953),
AND(S953&gt;0,MAX((0&lt;&gt;S$12:S953)*ROW(S$12:S953),ROW($S$12))&gt;=MAX((1=Z$12:Z953)*ROW(Z$12:Z953),ROW($T$12)),TYPE(VLOOKUP("Да",(INDIRECT("AA"&amp;(MAX((1=Z$12:Z953)*ROW(Z$12:Z953),ROW($T$12))&amp;":AA"&amp;(ROW()-1)))),1,0))=16),MIN(LOOKUP(,-1/($Z$12:Z954=1),$C$12:C954)+LOOKUP(,-1/($Z$12:Z954=1),$H$12:H954)-SUM(INDIRECT("T"&amp;(MAX((1=Z$12:Z953)*ROW(Z$12:Z953),ROW($T$12))&amp;":T"&amp;(ROW()-1)))),Первоначальный[[#This Row],[Полученный платеж]]+Y953),
S953&gt;0,MIN(LOOKUP(,-1/($Z$12:Z954=1),$C$12:C954)+LOOKUP(,-1/($Z$12:Z954=1),$H$12:H954)-IF(Z953=1,0,SUM(INDIRECT("T"&amp;(MAX((1=Z$12:Z953)*ROW(Z$12:Z953)+1,ROW($T$12))&amp;":T"&amp;(ROW()-1))))),Первоначальный[[#This Row],[Полученный платеж]]+Y953)
)
)
)</f>
        <v>0</v>
      </c>
      <c r="U95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платеж]]+Y953-Первоначальный[[#This Row],[Полученный платёж по процентам]])</f>
        <v>0</v>
      </c>
      <c r="V954" s="55">
        <f t="shared" ca="1" si="171"/>
        <v>0</v>
      </c>
      <c r="W954" s="55" cm="1">
        <f t="array" aca="1" ref="W954" ca="1">IF(Первоначальный[[#This Row],[Итого остаток на начало периода]]&lt;1,0,
_xlfn.IFS(
AND(TYPE(VLOOKUP(1,$Z$12:Z954,1,0))=16,Первоначальный[[#This Row],[Досрочное погашение (да/"")]]=""),0,
AND(S953=0,Первоначальный[[#This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платеж]]+Y953-SUM(Первоначальный[[#This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комиссиям]]),VLOOKUP(LOOKUP(,-1/($Z$12:Z954=1),$A$12:A954),График[[Срок конец]:[Возврат основной суммы долга]],3,0)),
AND(S953=0,Первоначальный[[#This Row],[Дата платежа из графика]]="",Первоначальный[[#This Row],[Досрочное погашение (да/"")]]&lt;&gt;"Да"),0,
AND(S953=0,Первоначальный[[#This Row],[Досрочное погашение (да/"")]]=""),MIN(Первоначальный[[#This Row],[Полученный платеж]]+Y953-SUM(Первоначальный[[#This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комиссиям]]),VLOOKUP(LOOKUP(,-1/($Z$12:Z954=1),$A$12:A954),График[[Срок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платеж]]+Y953-SUM(Первоначальный[[#This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S953&gt;0,MIN(Первоначальный[[#This Row],[Полученный платеж]]+Y953-SUM(Первоначальный[[#This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комиссиям]]),SUM(INDIRECT("M"&amp;(MAX((1=S$12:S953)*ROW(S$12:S953),ROW($W$12))&amp;":M"&amp;(ROW()))))-SUM(INDIRECT("W"&amp;(MAX((1=S$12:S953)*ROW(S$12:S953),ROW($W$12))&amp;":W"&amp;(ROW()-1)))))
)
)</f>
        <v>0</v>
      </c>
      <c r="X954" s="55">
        <f t="shared" ca="1" si="172"/>
        <v>0</v>
      </c>
      <c r="Y954" s="101">
        <f t="shared" ca="1" si="179"/>
        <v>0</v>
      </c>
      <c r="Z954" s="133" t="str">
        <f>IF(TYPE((VLOOKUP(Первоначальный[[#This Row],[Дата платежа]],График[Срок конец],1,0)))=16,"",1)</f>
        <v/>
      </c>
      <c r="AA954" s="57"/>
      <c r="AB954" s="134"/>
      <c r="AC95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5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68485.349999999919</v>
      </c>
      <c r="AE95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3292.2299999999905</v>
      </c>
      <c r="AF95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5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178572.49778688498</v>
      </c>
      <c r="AH954" s="55"/>
      <c r="AI954" s="55"/>
      <c r="AJ954" s="55"/>
      <c r="AK954" s="101">
        <f t="shared" ca="1" si="180"/>
        <v>399983.41778688488</v>
      </c>
      <c r="AL954" s="129">
        <f t="array" ref="AL954">MAX((УслРестрактов[Характеристика]="Дата реструктуризации")*(УслРестрактов[Значение]=Первоначальный!$A954),0)</f>
        <v>0</v>
      </c>
    </row>
    <row r="955" spans="1:38" x14ac:dyDescent="0.25">
      <c r="A955" s="97">
        <f t="shared" si="173"/>
        <v>45086</v>
      </c>
      <c r="B955" s="100">
        <f t="shared" ca="1" si="174"/>
        <v>149633.34</v>
      </c>
      <c r="C955" s="55">
        <f t="shared" ca="1" si="170"/>
        <v>68485.349999999919</v>
      </c>
      <c r="D955" s="55">
        <f t="shared" ca="1" si="170"/>
        <v>3292.2299999999905</v>
      </c>
      <c r="E955" s="55">
        <f t="shared" ca="1" si="175"/>
        <v>0</v>
      </c>
      <c r="F955" s="55">
        <f t="shared" ca="1" si="176"/>
        <v>178572.49778688498</v>
      </c>
      <c r="G955" s="101">
        <f t="shared" ca="1" si="177"/>
        <v>399983.41778688488</v>
      </c>
      <c r="H955" s="100">
        <f ca="1">ROUND($B955*VLOOKUP($A955,$A$1:$B$10,2,1)/(365+IF(MOD(YEAR($A955),4),0,1)*($A955-$A954)),2)-Первоначальный[[#This Row],[Проценты на просроченный платеж по ОД за период]]</f>
        <v>73.5</v>
      </c>
      <c r="I955" s="55">
        <f t="shared" ca="1" si="178"/>
        <v>8.08</v>
      </c>
      <c r="J955" s="55">
        <v>0</v>
      </c>
      <c r="K955" s="55">
        <f t="shared" ca="1" si="181"/>
        <v>419.99850327868836</v>
      </c>
      <c r="L955" s="55">
        <v>0</v>
      </c>
      <c r="M955" s="113">
        <f>SUMIFS(График[Возврат основной суммы долга],График[Дата с учетом нерабочих дней],$A955)</f>
        <v>618.55000000000018</v>
      </c>
      <c r="N955" s="56">
        <f>SUMIFS(График[Возврат начисленных %],График[Дата с учетом нерабочих дней],$A955)</f>
        <v>2278.4499999999998</v>
      </c>
      <c r="O955" s="101">
        <v>0</v>
      </c>
      <c r="P955" s="100" cm="1">
        <f t="array" aca="1" ref="P955" ca="1">MAX(IF(AA954="Да",0,SUM(INDIRECT("M"&amp;(MAX(("Да"=AA$12:AA954)*ROW(AA$12:AA954)+1,ROW($P$12))&amp;":M"&amp;(ROW()))))-SUM(INDIRECT("W"&amp;(MAX(("Да"=AA$12:AA954)*ROW(AA$12:AA954)+1,ROW($P$12))&amp;":W"&amp;(ROW()))))),0)</f>
        <v>15443.2</v>
      </c>
      <c r="Q955" s="99">
        <f ca="1">MAX(SUM($N$13:N955)-SUM($T$13:T955),0)</f>
        <v>68556.500655737676</v>
      </c>
      <c r="R955" s="99">
        <f ca="1">Первоначальный[[#This Row],[Просроченный платеж по ОД]]+Первоначальный[[#This Row],[Просроченный платеж по процентам]]</f>
        <v>83999.700655737674</v>
      </c>
      <c r="S955" s="120">
        <f ca="1">IF(Первоначальный[[#This Row],[Просроченный платеж]]&lt;1,0,S954+1)</f>
        <v>851</v>
      </c>
      <c r="T955" s="100" cm="1">
        <f t="array" aca="1" ref="T955" ca="1">IF(Первоначальный[[#This Row],[Итого остаток на начало периода]]&lt;1,0,
IF(
AND(TYPE(VLOOKUP(1,$Z$12:Z955,1,0))=16,Первоначальный[[#This Row],[Досрочное погашение (да/"")]]=""),0,
_xlfn.IFS(AND(S954=0,Первоначальный[[#This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платеж]]&lt;&gt;0),MIN(LOOKUP(,-1/($Z$12:Z955=1),$C$12:C955)+LOOKUP(,-1/($Z$12:Z955=1),$H$12:H955),Первоначальный[[#This Row],[Полученный платеж]]+Y954),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платеж]]+Y954,SUM(Первоначальный[[#This Row],[Остаток процентов на начало периода]],Первоначальный[[#This Row],[Проценты за период]])),
AND(S954=0,Первоначальный[[#This Row],[Дата платежа из графика]]=""),0,
AND(S954=0,Первоначальный[[#This Row],[Дата платежа из графика]]=1,MAX((0&lt;&gt;S$12:S954)*ROW(S$12:S954),ROW($S$12))&gt;=MAX((1=Z$12:Z954)*ROW(Z$12:Z954),ROW($T$12)),TYPE(VLOOKUP("Да",(INDIRECT("AA"&amp;(MAX((1=Z$12:Z954)*ROW(Z$12:Z954),ROW($T$12))&amp;":AA"&amp;(ROW()-1)))),1,0))=16),MIN(LOOKUP(,-1/($Z$12:Z955=1),$C$12:C955)+LOOKUP(,-1/($Z$12:Z955=1),$H$12:H955),Первоначальный[[#This Row],[Полученный платеж]]+Y954),
AND(S954=0,TYPE(VLOOKUP("Да",(INDIRECT("AA"&amp;(MAX((1=Z$12:Z954)*ROW(Z$12:Z954),ROW($T$12))&amp;":AA"&amp;(ROW()-1)))),1,0))&lt;&gt;16),MIN(LOOKUP(,-1/($Z$12:Z955=1),$C$12:C955)+LOOKUP(,-1/($Z$12:Z955=1),$H$12:H955)-IF(AA954="Да",0,SUM(INDIRECT("T"&amp;(MAX(("Да"=AA$12:AA954)*ROW(AA$12:AA954)+1,ROW($T$12))&amp;":T"&amp;(ROW()-1))))),Первоначальный[[#This Row],[Полученный платеж]]+Y954),
AND(S954=0,MAX((0&lt;&gt;N$12:N954)*ROW(N$12:N954),ROW($S$12))&gt;=MAX((1=Z$12:Z954)*ROW(Z$12:Z954),ROW($T$12))),MIN(LOOKUP(,-1/($Z$12:Z955=1),$C$12:C955)+LOOKUP(,-1/($Z$12:Z955=1),$H$12:H955)-IF(N954&lt;&gt;0,0,SUM(INDIRECT("T"&amp;(MAX((0&lt;&gt;N$12:N954)*ROW(N$12:N954)+1,ROW($T$12))&amp;":T"&amp;(ROW()-1))))),Первоначальный[[#This Row],[Полученный платеж]]+Y954),
AND(S954=0,Первоначальный[[#This Row],[Дата платежа из графика]]=1),MIN(LOOKUP(,-1/($Z$12:Z955=1),$C$12:C955)+LOOKUP(,-1/($Z$12:Z955=1),$H$12:H955)-IF(Z954=1,0,SUM(INDIRECT("T"&amp;(MAX((1=Z$12:Z954)*ROW(Z$12:Z954)+1,ROW($T$12))&amp;":T"&amp;(ROW()-1))))),Первоначальный[[#This Row],[Полученный платеж]]+Y954),
AND(Z954&gt;0,Первоначальный[[#This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платеж]]+Y954),
AND(S954&gt;0,MAX((0&lt;&gt;S$12:S954)*ROW(S$12:S954),ROW($S$12))&gt;=MAX((1=Z$12:Z954)*ROW(Z$12:Z954),ROW($T$12)),TYPE(VLOOKUP("Да",(INDIRECT("AA"&amp;(MAX((1=Z$12:Z954)*ROW(Z$12:Z954),ROW($T$12))&amp;":AA"&amp;(ROW()-1)))),1,0))=16),MIN(LOOKUP(,-1/($Z$12:Z955=1),$C$12:C955)+LOOKUP(,-1/($Z$12:Z955=1),$H$12:H955)-SUM(INDIRECT("T"&amp;(MAX((1=Z$12:Z954)*ROW(Z$12:Z954),ROW($T$12))&amp;":T"&amp;(ROW()-1)))),Первоначальный[[#This Row],[Полученный платеж]]+Y954),
S954&gt;0,MIN(LOOKUP(,-1/($Z$12:Z955=1),$C$12:C955)+LOOKUP(,-1/($Z$12:Z955=1),$H$12:H955)-IF(Z954=1,0,SUM(INDIRECT("T"&amp;(MAX((1=Z$12:Z954)*ROW(Z$12:Z954)+1,ROW($T$12))&amp;":T"&amp;(ROW()-1))))),Первоначальный[[#This Row],[Полученный платеж]]+Y954)
)
)
)</f>
        <v>0</v>
      </c>
      <c r="U95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платеж]]+Y954-Первоначальный[[#This Row],[Полученный платёж по процентам]])</f>
        <v>0</v>
      </c>
      <c r="V955" s="55">
        <f t="shared" ca="1" si="171"/>
        <v>0</v>
      </c>
      <c r="W955" s="55" cm="1">
        <f t="array" aca="1" ref="W955" ca="1">IF(Первоначальный[[#This Row],[Итого остаток на начало периода]]&lt;1,0,
_xlfn.IFS(
AND(TYPE(VLOOKUP(1,$Z$12:Z955,1,0))=16,Первоначальный[[#This Row],[Досрочное погашение (да/"")]]=""),0,
AND(S954=0,Первоначальный[[#This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платеж]]+Y954-SUM(Первоначальный[[#This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комиссиям]]),VLOOKUP(LOOKUP(,-1/($Z$12:Z955=1),$A$12:A955),График[[Срок конец]:[Возврат основной суммы долга]],3,0)),
AND(S954=0,Первоначальный[[#This Row],[Дата платежа из графика]]="",Первоначальный[[#This Row],[Досрочное погашение (да/"")]]&lt;&gt;"Да"),0,
AND(S954=0,Первоначальный[[#This Row],[Досрочное погашение (да/"")]]=""),MIN(Первоначальный[[#This Row],[Полученный платеж]]+Y954-SUM(Первоначальный[[#This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комиссиям]]),VLOOKUP(LOOKUP(,-1/($Z$12:Z955=1),$A$12:A955),График[[Срок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платеж]]+Y954-SUM(Первоначальный[[#This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S954&gt;0,MIN(Первоначальный[[#This Row],[Полученный платеж]]+Y954-SUM(Первоначальный[[#This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комиссиям]]),SUM(INDIRECT("M"&amp;(MAX((1=S$12:S954)*ROW(S$12:S954),ROW($W$12))&amp;":M"&amp;(ROW()))))-SUM(INDIRECT("W"&amp;(MAX((1=S$12:S954)*ROW(S$12:S954),ROW($W$12))&amp;":W"&amp;(ROW()-1)))))
)
)</f>
        <v>0</v>
      </c>
      <c r="X955" s="55">
        <f t="shared" ca="1" si="172"/>
        <v>0</v>
      </c>
      <c r="Y955" s="101">
        <f t="shared" ca="1" si="179"/>
        <v>0</v>
      </c>
      <c r="Z955" s="133">
        <f>IF(TYPE((VLOOKUP(Первоначальный[[#This Row],[Дата платежа]],График[Срок конец],1,0)))=16,"",1)</f>
        <v>1</v>
      </c>
      <c r="AA955" s="57"/>
      <c r="AB955" s="134"/>
      <c r="AC95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5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68558.849999999919</v>
      </c>
      <c r="AE95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3300.3099999999904</v>
      </c>
      <c r="AF95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5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178992.49629016366</v>
      </c>
      <c r="AH955" s="55"/>
      <c r="AI955" s="55"/>
      <c r="AJ955" s="55"/>
      <c r="AK955" s="101">
        <f t="shared" ca="1" si="180"/>
        <v>400484.9962901636</v>
      </c>
      <c r="AL955" s="129">
        <f t="array" ref="AL955">MAX((УслРестрактов[Характеристика]="Дата реструктуризации")*(УслРестрактов[Значение]=Первоначальный!$A955),0)</f>
        <v>0</v>
      </c>
    </row>
    <row r="956" spans="1:38" x14ac:dyDescent="0.25">
      <c r="A956" s="97">
        <f t="shared" si="173"/>
        <v>45087</v>
      </c>
      <c r="B956" s="100">
        <f t="shared" ca="1" si="174"/>
        <v>149633.34</v>
      </c>
      <c r="C956" s="55">
        <f t="shared" ca="1" si="170"/>
        <v>68558.849999999919</v>
      </c>
      <c r="D956" s="55">
        <f t="shared" ca="1" si="170"/>
        <v>3300.3099999999904</v>
      </c>
      <c r="E956" s="55">
        <f t="shared" ca="1" si="175"/>
        <v>0</v>
      </c>
      <c r="F956" s="55">
        <f t="shared" ca="1" si="176"/>
        <v>178992.49629016366</v>
      </c>
      <c r="G956" s="101">
        <f t="shared" ca="1" si="177"/>
        <v>400484.9962901636</v>
      </c>
      <c r="H956" s="100">
        <f ca="1">ROUND($B956*VLOOKUP($A956,$A$1:$B$10,2,1)/(365+IF(MOD(YEAR($A956),4),0,1)*($A956-$A955)),2)-Первоначальный[[#This Row],[Проценты на просроченный платеж по ОД за период]]</f>
        <v>73.16</v>
      </c>
      <c r="I956" s="55">
        <f t="shared" ca="1" si="178"/>
        <v>8.42</v>
      </c>
      <c r="J956" s="55">
        <v>0</v>
      </c>
      <c r="K956" s="55">
        <f t="shared" ca="1" si="181"/>
        <v>419.99850327868836</v>
      </c>
      <c r="L956" s="55">
        <v>0</v>
      </c>
      <c r="M956" s="113">
        <f>SUMIFS(График[Возврат основной суммы долга],График[Дата с учетом нерабочих дней],$A956)</f>
        <v>0</v>
      </c>
      <c r="N956" s="56">
        <f>SUMIFS(График[Возврат начисленных %],График[Дата с учетом нерабочих дней],$A956)</f>
        <v>0</v>
      </c>
      <c r="O956" s="101">
        <v>0</v>
      </c>
      <c r="P956" s="100" cm="1">
        <f t="array" aca="1" ref="P956" ca="1">MAX(IF(AA955="Да",0,SUM(INDIRECT("M"&amp;(MAX(("Да"=AA$12:AA955)*ROW(AA$12:AA955)+1,ROW($P$12))&amp;":M"&amp;(ROW()))))-SUM(INDIRECT("W"&amp;(MAX(("Да"=AA$12:AA955)*ROW(AA$12:AA955)+1,ROW($P$12))&amp;":W"&amp;(ROW()))))),0)</f>
        <v>15443.2</v>
      </c>
      <c r="Q956" s="99">
        <f ca="1">MAX(SUM($N$13:N956)-SUM($T$13:T956),0)</f>
        <v>68556.500655737676</v>
      </c>
      <c r="R956" s="99">
        <f ca="1">Первоначальный[[#This Row],[Просроченный платеж по ОД]]+Первоначальный[[#This Row],[Просроченный платеж по процентам]]</f>
        <v>83999.700655737674</v>
      </c>
      <c r="S956" s="120">
        <f ca="1">IF(Первоначальный[[#This Row],[Просроченный платеж]]&lt;1,0,S955+1)</f>
        <v>852</v>
      </c>
      <c r="T956" s="100" cm="1">
        <f t="array" aca="1" ref="T956" ca="1">IF(Первоначальный[[#This Row],[Итого остаток на начало периода]]&lt;1,0,
IF(
AND(TYPE(VLOOKUP(1,$Z$12:Z956,1,0))=16,Первоначальный[[#This Row],[Досрочное погашение (да/"")]]=""),0,
_xlfn.IFS(AND(S955=0,Первоначальный[[#This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платеж]]&lt;&gt;0),MIN(LOOKUP(,-1/($Z$12:Z956=1),$C$12:C956)+LOOKUP(,-1/($Z$12:Z956=1),$H$12:H956),Первоначальный[[#This Row],[Полученный платеж]]+Y955),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платеж]]+Y955,SUM(Первоначальный[[#This Row],[Остаток процентов на начало периода]],Первоначальный[[#This Row],[Проценты за период]])),
AND(S955=0,Первоначальный[[#This Row],[Дата платежа из графика]]=""),0,
AND(S955=0,Первоначальный[[#This Row],[Дата платежа из графика]]=1,MAX((0&lt;&gt;S$12:S955)*ROW(S$12:S955),ROW($S$12))&gt;=MAX((1=Z$12:Z955)*ROW(Z$12:Z955),ROW($T$12)),TYPE(VLOOKUP("Да",(INDIRECT("AA"&amp;(MAX((1=Z$12:Z955)*ROW(Z$12:Z955),ROW($T$12))&amp;":AA"&amp;(ROW()-1)))),1,0))=16),MIN(LOOKUP(,-1/($Z$12:Z956=1),$C$12:C956)+LOOKUP(,-1/($Z$12:Z956=1),$H$12:H956),Первоначальный[[#This Row],[Полученный платеж]]+Y955),
AND(S955=0,TYPE(VLOOKUP("Да",(INDIRECT("AA"&amp;(MAX((1=Z$12:Z955)*ROW(Z$12:Z955),ROW($T$12))&amp;":AA"&amp;(ROW()-1)))),1,0))&lt;&gt;16),MIN(LOOKUP(,-1/($Z$12:Z956=1),$C$12:C956)+LOOKUP(,-1/($Z$12:Z956=1),$H$12:H956)-IF(AA955="Да",0,SUM(INDIRECT("T"&amp;(MAX(("Да"=AA$12:AA955)*ROW(AA$12:AA955)+1,ROW($T$12))&amp;":T"&amp;(ROW()-1))))),Первоначальный[[#This Row],[Полученный платеж]]+Y955),
AND(S955=0,MAX((0&lt;&gt;N$12:N955)*ROW(N$12:N955),ROW($S$12))&gt;=MAX((1=Z$12:Z955)*ROW(Z$12:Z955),ROW($T$12))),MIN(LOOKUP(,-1/($Z$12:Z956=1),$C$12:C956)+LOOKUP(,-1/($Z$12:Z956=1),$H$12:H956)-IF(N955&lt;&gt;0,0,SUM(INDIRECT("T"&amp;(MAX((0&lt;&gt;N$12:N955)*ROW(N$12:N955)+1,ROW($T$12))&amp;":T"&amp;(ROW()-1))))),Первоначальный[[#This Row],[Полученный платеж]]+Y955),
AND(S955=0,Первоначальный[[#This Row],[Дата платежа из графика]]=1),MIN(LOOKUP(,-1/($Z$12:Z956=1),$C$12:C956)+LOOKUP(,-1/($Z$12:Z956=1),$H$12:H956)-IF(Z955=1,0,SUM(INDIRECT("T"&amp;(MAX((1=Z$12:Z955)*ROW(Z$12:Z955)+1,ROW($T$12))&amp;":T"&amp;(ROW()-1))))),Первоначальный[[#This Row],[Полученный платеж]]+Y955),
AND(Z955&gt;0,Первоначальный[[#This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платеж]]+Y955),
AND(S955&gt;0,MAX((0&lt;&gt;S$12:S955)*ROW(S$12:S955),ROW($S$12))&gt;=MAX((1=Z$12:Z955)*ROW(Z$12:Z955),ROW($T$12)),TYPE(VLOOKUP("Да",(INDIRECT("AA"&amp;(MAX((1=Z$12:Z955)*ROW(Z$12:Z955),ROW($T$12))&amp;":AA"&amp;(ROW()-1)))),1,0))=16),MIN(LOOKUP(,-1/($Z$12:Z956=1),$C$12:C956)+LOOKUP(,-1/($Z$12:Z956=1),$H$12:H956)-SUM(INDIRECT("T"&amp;(MAX((1=Z$12:Z955)*ROW(Z$12:Z955),ROW($T$12))&amp;":T"&amp;(ROW()-1)))),Первоначальный[[#This Row],[Полученный платеж]]+Y955),
S955&gt;0,MIN(LOOKUP(,-1/($Z$12:Z956=1),$C$12:C956)+LOOKUP(,-1/($Z$12:Z956=1),$H$12:H956)-IF(Z955=1,0,SUM(INDIRECT("T"&amp;(MAX((1=Z$12:Z955)*ROW(Z$12:Z955)+1,ROW($T$12))&amp;":T"&amp;(ROW()-1))))),Первоначальный[[#This Row],[Полученный платеж]]+Y955)
)
)
)</f>
        <v>0</v>
      </c>
      <c r="U95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платеж]]+Y955-Первоначальный[[#This Row],[Полученный платёж по процентам]])</f>
        <v>0</v>
      </c>
      <c r="V956" s="55">
        <f t="shared" ca="1" si="171"/>
        <v>0</v>
      </c>
      <c r="W956" s="55" cm="1">
        <f t="array" aca="1" ref="W956" ca="1">IF(Первоначальный[[#This Row],[Итого остаток на начало периода]]&lt;1,0,
_xlfn.IFS(
AND(TYPE(VLOOKUP(1,$Z$12:Z956,1,0))=16,Первоначальный[[#This Row],[Досрочное погашение (да/"")]]=""),0,
AND(S955=0,Первоначальный[[#This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платеж]]+Y955-SUM(Первоначальный[[#This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комиссиям]]),VLOOKUP(LOOKUP(,-1/($Z$12:Z956=1),$A$12:A956),График[[Срок конец]:[Возврат основной суммы долга]],3,0)),
AND(S955=0,Первоначальный[[#This Row],[Дата платежа из графика]]="",Первоначальный[[#This Row],[Досрочное погашение (да/"")]]&lt;&gt;"Да"),0,
AND(S955=0,Первоначальный[[#This Row],[Досрочное погашение (да/"")]]=""),MIN(Первоначальный[[#This Row],[Полученный платеж]]+Y955-SUM(Первоначальный[[#This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комиссиям]]),VLOOKUP(LOOKUP(,-1/($Z$12:Z956=1),$A$12:A956),График[[Срок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платеж]]+Y955-SUM(Первоначальный[[#This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S955&gt;0,MIN(Первоначальный[[#This Row],[Полученный платеж]]+Y955-SUM(Первоначальный[[#This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комиссиям]]),SUM(INDIRECT("M"&amp;(MAX((1=S$12:S955)*ROW(S$12:S955),ROW($W$12))&amp;":M"&amp;(ROW()))))-SUM(INDIRECT("W"&amp;(MAX((1=S$12:S955)*ROW(S$12:S955),ROW($W$12))&amp;":W"&amp;(ROW()-1)))))
)
)</f>
        <v>0</v>
      </c>
      <c r="X956" s="55">
        <f t="shared" ca="1" si="172"/>
        <v>0</v>
      </c>
      <c r="Y956" s="101">
        <f t="shared" ca="1" si="179"/>
        <v>0</v>
      </c>
      <c r="Z956" s="133" t="str">
        <f>IF(TYPE((VLOOKUP(Первоначальный[[#This Row],[Дата платежа]],График[Срок конец],1,0)))=16,"",1)</f>
        <v/>
      </c>
      <c r="AA956" s="57"/>
      <c r="AB956" s="134"/>
      <c r="AC95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5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68632.009999999922</v>
      </c>
      <c r="AE95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3308.7299999999905</v>
      </c>
      <c r="AF95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5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179412.49479344234</v>
      </c>
      <c r="AH956" s="55"/>
      <c r="AI956" s="55"/>
      <c r="AJ956" s="55"/>
      <c r="AK956" s="101">
        <f t="shared" ca="1" si="180"/>
        <v>400986.57479344227</v>
      </c>
      <c r="AL956" s="129">
        <f t="array" ref="AL956">MAX((УслРестрактов[Характеристика]="Дата реструктуризации")*(УслРестрактов[Значение]=Первоначальный!$A956),0)</f>
        <v>0</v>
      </c>
    </row>
    <row r="957" spans="1:38" x14ac:dyDescent="0.25">
      <c r="A957" s="97">
        <f t="shared" si="173"/>
        <v>45088</v>
      </c>
      <c r="B957" s="100">
        <f t="shared" ca="1" si="174"/>
        <v>149633.34</v>
      </c>
      <c r="C957" s="55">
        <f t="shared" ca="1" si="170"/>
        <v>68632.009999999922</v>
      </c>
      <c r="D957" s="55">
        <f t="shared" ca="1" si="170"/>
        <v>3308.7299999999905</v>
      </c>
      <c r="E957" s="55">
        <f t="shared" ca="1" si="175"/>
        <v>0</v>
      </c>
      <c r="F957" s="55">
        <f t="shared" ca="1" si="176"/>
        <v>179412.49479344234</v>
      </c>
      <c r="G957" s="101">
        <f t="shared" ca="1" si="177"/>
        <v>400986.57479344227</v>
      </c>
      <c r="H957" s="100">
        <f ca="1">ROUND($B957*VLOOKUP($A957,$A$1:$B$10,2,1)/(365+IF(MOD(YEAR($A957),4),0,1)*($A957-$A956)),2)-Первоначальный[[#This Row],[Проценты на просроченный платеж по ОД за период]]</f>
        <v>73.16</v>
      </c>
      <c r="I957" s="55">
        <f t="shared" ca="1" si="178"/>
        <v>8.42</v>
      </c>
      <c r="J957" s="55">
        <v>0</v>
      </c>
      <c r="K957" s="55">
        <f t="shared" ca="1" si="181"/>
        <v>419.99850327868836</v>
      </c>
      <c r="L957" s="55">
        <v>0</v>
      </c>
      <c r="M957" s="113">
        <f>SUMIFS(График[Возврат основной суммы долга],График[Дата с учетом нерабочих дней],$A957)</f>
        <v>0</v>
      </c>
      <c r="N957" s="56">
        <f>SUMIFS(График[Возврат начисленных %],График[Дата с учетом нерабочих дней],$A957)</f>
        <v>0</v>
      </c>
      <c r="O957" s="101">
        <v>0</v>
      </c>
      <c r="P957" s="100" cm="1">
        <f t="array" aca="1" ref="P957" ca="1">MAX(IF(AA956="Да",0,SUM(INDIRECT("M"&amp;(MAX(("Да"=AA$12:AA956)*ROW(AA$12:AA956)+1,ROW($P$12))&amp;":M"&amp;(ROW()))))-SUM(INDIRECT("W"&amp;(MAX(("Да"=AA$12:AA956)*ROW(AA$12:AA956)+1,ROW($P$12))&amp;":W"&amp;(ROW()))))),0)</f>
        <v>15443.2</v>
      </c>
      <c r="Q957" s="99">
        <f ca="1">MAX(SUM($N$13:N957)-SUM($T$13:T957),0)</f>
        <v>68556.500655737676</v>
      </c>
      <c r="R957" s="99">
        <f ca="1">Первоначальный[[#This Row],[Просроченный платеж по ОД]]+Первоначальный[[#This Row],[Просроченный платеж по процентам]]</f>
        <v>83999.700655737674</v>
      </c>
      <c r="S957" s="120">
        <f ca="1">IF(Первоначальный[[#This Row],[Просроченный платеж]]&lt;1,0,S956+1)</f>
        <v>853</v>
      </c>
      <c r="T957" s="100" cm="1">
        <f t="array" aca="1" ref="T957" ca="1">IF(Первоначальный[[#This Row],[Итого остаток на начало периода]]&lt;1,0,
IF(
AND(TYPE(VLOOKUP(1,$Z$12:Z957,1,0))=16,Первоначальный[[#This Row],[Досрочное погашение (да/"")]]=""),0,
_xlfn.IFS(AND(S956=0,Первоначальный[[#This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платеж]]&lt;&gt;0),MIN(LOOKUP(,-1/($Z$12:Z957=1),$C$12:C957)+LOOKUP(,-1/($Z$12:Z957=1),$H$12:H957),Первоначальный[[#This Row],[Полученный платеж]]+Y956),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платеж]]+Y956,SUM(Первоначальный[[#This Row],[Остаток процентов на начало периода]],Первоначальный[[#This Row],[Проценты за период]])),
AND(S956=0,Первоначальный[[#This Row],[Дата платежа из графика]]=""),0,
AND(S956=0,Первоначальный[[#This Row],[Дата платежа из графика]]=1,MAX((0&lt;&gt;S$12:S956)*ROW(S$12:S956),ROW($S$12))&gt;=MAX((1=Z$12:Z956)*ROW(Z$12:Z956),ROW($T$12)),TYPE(VLOOKUP("Да",(INDIRECT("AA"&amp;(MAX((1=Z$12:Z956)*ROW(Z$12:Z956),ROW($T$12))&amp;":AA"&amp;(ROW()-1)))),1,0))=16),MIN(LOOKUP(,-1/($Z$12:Z957=1),$C$12:C957)+LOOKUP(,-1/($Z$12:Z957=1),$H$12:H957),Первоначальный[[#This Row],[Полученный платеж]]+Y956),
AND(S956=0,TYPE(VLOOKUP("Да",(INDIRECT("AA"&amp;(MAX((1=Z$12:Z956)*ROW(Z$12:Z956),ROW($T$12))&amp;":AA"&amp;(ROW()-1)))),1,0))&lt;&gt;16),MIN(LOOKUP(,-1/($Z$12:Z957=1),$C$12:C957)+LOOKUP(,-1/($Z$12:Z957=1),$H$12:H957)-IF(AA956="Да",0,SUM(INDIRECT("T"&amp;(MAX(("Да"=AA$12:AA956)*ROW(AA$12:AA956)+1,ROW($T$12))&amp;":T"&amp;(ROW()-1))))),Первоначальный[[#This Row],[Полученный платеж]]+Y956),
AND(S956=0,MAX((0&lt;&gt;N$12:N956)*ROW(N$12:N956),ROW($S$12))&gt;=MAX((1=Z$12:Z956)*ROW(Z$12:Z956),ROW($T$12))),MIN(LOOKUP(,-1/($Z$12:Z957=1),$C$12:C957)+LOOKUP(,-1/($Z$12:Z957=1),$H$12:H957)-IF(N956&lt;&gt;0,0,SUM(INDIRECT("T"&amp;(MAX((0&lt;&gt;N$12:N956)*ROW(N$12:N956)+1,ROW($T$12))&amp;":T"&amp;(ROW()-1))))),Первоначальный[[#This Row],[Полученный платеж]]+Y956),
AND(S956=0,Первоначальный[[#This Row],[Дата платежа из графика]]=1),MIN(LOOKUP(,-1/($Z$12:Z957=1),$C$12:C957)+LOOKUP(,-1/($Z$12:Z957=1),$H$12:H957)-IF(Z956=1,0,SUM(INDIRECT("T"&amp;(MAX((1=Z$12:Z956)*ROW(Z$12:Z956)+1,ROW($T$12))&amp;":T"&amp;(ROW()-1))))),Первоначальный[[#This Row],[Полученный платеж]]+Y956),
AND(Z956&gt;0,Первоначальный[[#This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платеж]]+Y956),
AND(S956&gt;0,MAX((0&lt;&gt;S$12:S956)*ROW(S$12:S956),ROW($S$12))&gt;=MAX((1=Z$12:Z956)*ROW(Z$12:Z956),ROW($T$12)),TYPE(VLOOKUP("Да",(INDIRECT("AA"&amp;(MAX((1=Z$12:Z956)*ROW(Z$12:Z956),ROW($T$12))&amp;":AA"&amp;(ROW()-1)))),1,0))=16),MIN(LOOKUP(,-1/($Z$12:Z957=1),$C$12:C957)+LOOKUP(,-1/($Z$12:Z957=1),$H$12:H957)-SUM(INDIRECT("T"&amp;(MAX((1=Z$12:Z956)*ROW(Z$12:Z956),ROW($T$12))&amp;":T"&amp;(ROW()-1)))),Первоначальный[[#This Row],[Полученный платеж]]+Y956),
S956&gt;0,MIN(LOOKUP(,-1/($Z$12:Z957=1),$C$12:C957)+LOOKUP(,-1/($Z$12:Z957=1),$H$12:H957)-IF(Z956=1,0,SUM(INDIRECT("T"&amp;(MAX((1=Z$12:Z956)*ROW(Z$12:Z956)+1,ROW($T$12))&amp;":T"&amp;(ROW()-1))))),Первоначальный[[#This Row],[Полученный платеж]]+Y956)
)
)
)</f>
        <v>0</v>
      </c>
      <c r="U95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платеж]]+Y956-Первоначальный[[#This Row],[Полученный платёж по процентам]])</f>
        <v>0</v>
      </c>
      <c r="V957" s="55">
        <f t="shared" ca="1" si="171"/>
        <v>0</v>
      </c>
      <c r="W957" s="55" cm="1">
        <f t="array" aca="1" ref="W957" ca="1">IF(Первоначальный[[#This Row],[Итого остаток на начало периода]]&lt;1,0,
_xlfn.IFS(
AND(TYPE(VLOOKUP(1,$Z$12:Z957,1,0))=16,Первоначальный[[#This Row],[Досрочное погашение (да/"")]]=""),0,
AND(S956=0,Первоначальный[[#This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платеж]]+Y956-SUM(Первоначальный[[#This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комиссиям]]),VLOOKUP(LOOKUP(,-1/($Z$12:Z957=1),$A$12:A957),График[[Срок конец]:[Возврат основной суммы долга]],3,0)),
AND(S956=0,Первоначальный[[#This Row],[Дата платежа из графика]]="",Первоначальный[[#This Row],[Досрочное погашение (да/"")]]&lt;&gt;"Да"),0,
AND(S956=0,Первоначальный[[#This Row],[Досрочное погашение (да/"")]]=""),MIN(Первоначальный[[#This Row],[Полученный платеж]]+Y956-SUM(Первоначальный[[#This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комиссиям]]),VLOOKUP(LOOKUP(,-1/($Z$12:Z957=1),$A$12:A957),График[[Срок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платеж]]+Y956-SUM(Первоначальный[[#This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S956&gt;0,MIN(Первоначальный[[#This Row],[Полученный платеж]]+Y956-SUM(Первоначальный[[#This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комиссиям]]),SUM(INDIRECT("M"&amp;(MAX((1=S$12:S956)*ROW(S$12:S956),ROW($W$12))&amp;":M"&amp;(ROW()))))-SUM(INDIRECT("W"&amp;(MAX((1=S$12:S956)*ROW(S$12:S956),ROW($W$12))&amp;":W"&amp;(ROW()-1)))))
)
)</f>
        <v>0</v>
      </c>
      <c r="X957" s="55">
        <f t="shared" ca="1" si="172"/>
        <v>0</v>
      </c>
      <c r="Y957" s="101">
        <f t="shared" ca="1" si="179"/>
        <v>0</v>
      </c>
      <c r="Z957" s="133" t="str">
        <f>IF(TYPE((VLOOKUP(Первоначальный[[#This Row],[Дата платежа]],График[Срок конец],1,0)))=16,"",1)</f>
        <v/>
      </c>
      <c r="AA957" s="57"/>
      <c r="AB957" s="134"/>
      <c r="AC95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5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68705.169999999925</v>
      </c>
      <c r="AE95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3317.1499999999905</v>
      </c>
      <c r="AF95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5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179832.49329672102</v>
      </c>
      <c r="AH957" s="55"/>
      <c r="AI957" s="55"/>
      <c r="AJ957" s="55"/>
      <c r="AK957" s="101">
        <f t="shared" ca="1" si="180"/>
        <v>401488.15329672094</v>
      </c>
      <c r="AL957" s="129">
        <f t="array" ref="AL957">MAX((УслРестрактов[Характеристика]="Дата реструктуризации")*(УслРестрактов[Значение]=Первоначальный!$A957),0)</f>
        <v>0</v>
      </c>
    </row>
    <row r="958" spans="1:38" x14ac:dyDescent="0.25">
      <c r="A958" s="97">
        <f t="shared" si="173"/>
        <v>45089</v>
      </c>
      <c r="B958" s="100">
        <f t="shared" ca="1" si="174"/>
        <v>149633.34</v>
      </c>
      <c r="C958" s="55">
        <f t="shared" ca="1" si="170"/>
        <v>68705.169999999925</v>
      </c>
      <c r="D958" s="55">
        <f t="shared" ca="1" si="170"/>
        <v>3317.1499999999905</v>
      </c>
      <c r="E958" s="55">
        <f t="shared" ca="1" si="175"/>
        <v>0</v>
      </c>
      <c r="F958" s="55">
        <f t="shared" ca="1" si="176"/>
        <v>179832.49329672102</v>
      </c>
      <c r="G958" s="101">
        <f t="shared" ca="1" si="177"/>
        <v>401488.15329672094</v>
      </c>
      <c r="H958" s="100">
        <f ca="1">ROUND($B958*VLOOKUP($A958,$A$1:$B$10,2,1)/(365+IF(MOD(YEAR($A958),4),0,1)*($A958-$A957)),2)-Первоначальный[[#This Row],[Проценты на просроченный платеж по ОД за период]]</f>
        <v>73.16</v>
      </c>
      <c r="I958" s="55">
        <f t="shared" ca="1" si="178"/>
        <v>8.42</v>
      </c>
      <c r="J958" s="55">
        <v>0</v>
      </c>
      <c r="K958" s="55">
        <f t="shared" ca="1" si="181"/>
        <v>419.99850327868836</v>
      </c>
      <c r="L958" s="55">
        <v>0</v>
      </c>
      <c r="M958" s="113">
        <f>SUMIFS(График[Возврат основной суммы долга],График[Дата с учетом нерабочих дней],$A958)</f>
        <v>0</v>
      </c>
      <c r="N958" s="56">
        <f>SUMIFS(График[Возврат начисленных %],График[Дата с учетом нерабочих дней],$A958)</f>
        <v>0</v>
      </c>
      <c r="O958" s="101">
        <v>0</v>
      </c>
      <c r="P958" s="100" cm="1">
        <f t="array" aca="1" ref="P958" ca="1">MAX(IF(AA957="Да",0,SUM(INDIRECT("M"&amp;(MAX(("Да"=AA$12:AA957)*ROW(AA$12:AA957)+1,ROW($P$12))&amp;":M"&amp;(ROW()))))-SUM(INDIRECT("W"&amp;(MAX(("Да"=AA$12:AA957)*ROW(AA$12:AA957)+1,ROW($P$12))&amp;":W"&amp;(ROW()))))),0)</f>
        <v>15443.2</v>
      </c>
      <c r="Q958" s="99">
        <f ca="1">MAX(SUM($N$13:N958)-SUM($T$13:T958),0)</f>
        <v>68556.500655737676</v>
      </c>
      <c r="R958" s="99">
        <f ca="1">Первоначальный[[#This Row],[Просроченный платеж по ОД]]+Первоначальный[[#This Row],[Просроченный платеж по процентам]]</f>
        <v>83999.700655737674</v>
      </c>
      <c r="S958" s="120">
        <f ca="1">IF(Первоначальный[[#This Row],[Просроченный платеж]]&lt;1,0,S957+1)</f>
        <v>854</v>
      </c>
      <c r="T958" s="100" cm="1">
        <f t="array" aca="1" ref="T958" ca="1">IF(Первоначальный[[#This Row],[Итого остаток на начало периода]]&lt;1,0,
IF(
AND(TYPE(VLOOKUP(1,$Z$12:Z958,1,0))=16,Первоначальный[[#This Row],[Досрочное погашение (да/"")]]=""),0,
_xlfn.IFS(AND(S957=0,Первоначальный[[#This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платеж]]&lt;&gt;0),MIN(LOOKUP(,-1/($Z$12:Z958=1),$C$12:C958)+LOOKUP(,-1/($Z$12:Z958=1),$H$12:H958),Первоначальный[[#This Row],[Полученный платеж]]+Y957),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платеж]]+Y957,SUM(Первоначальный[[#This Row],[Остаток процентов на начало периода]],Первоначальный[[#This Row],[Проценты за период]])),
AND(S957=0,Первоначальный[[#This Row],[Дата платежа из графика]]=""),0,
AND(S957=0,Первоначальный[[#This Row],[Дата платежа из графика]]=1,MAX((0&lt;&gt;S$12:S957)*ROW(S$12:S957),ROW($S$12))&gt;=MAX((1=Z$12:Z957)*ROW(Z$12:Z957),ROW($T$12)),TYPE(VLOOKUP("Да",(INDIRECT("AA"&amp;(MAX((1=Z$12:Z957)*ROW(Z$12:Z957),ROW($T$12))&amp;":AA"&amp;(ROW()-1)))),1,0))=16),MIN(LOOKUP(,-1/($Z$12:Z958=1),$C$12:C958)+LOOKUP(,-1/($Z$12:Z958=1),$H$12:H958),Первоначальный[[#This Row],[Полученный платеж]]+Y957),
AND(S957=0,TYPE(VLOOKUP("Да",(INDIRECT("AA"&amp;(MAX((1=Z$12:Z957)*ROW(Z$12:Z957),ROW($T$12))&amp;":AA"&amp;(ROW()-1)))),1,0))&lt;&gt;16),MIN(LOOKUP(,-1/($Z$12:Z958=1),$C$12:C958)+LOOKUP(,-1/($Z$12:Z958=1),$H$12:H958)-IF(AA957="Да",0,SUM(INDIRECT("T"&amp;(MAX(("Да"=AA$12:AA957)*ROW(AA$12:AA957)+1,ROW($T$12))&amp;":T"&amp;(ROW()-1))))),Первоначальный[[#This Row],[Полученный платеж]]+Y957),
AND(S957=0,MAX((0&lt;&gt;N$12:N957)*ROW(N$12:N957),ROW($S$12))&gt;=MAX((1=Z$12:Z957)*ROW(Z$12:Z957),ROW($T$12))),MIN(LOOKUP(,-1/($Z$12:Z958=1),$C$12:C958)+LOOKUP(,-1/($Z$12:Z958=1),$H$12:H958)-IF(N957&lt;&gt;0,0,SUM(INDIRECT("T"&amp;(MAX((0&lt;&gt;N$12:N957)*ROW(N$12:N957)+1,ROW($T$12))&amp;":T"&amp;(ROW()-1))))),Первоначальный[[#This Row],[Полученный платеж]]+Y957),
AND(S957=0,Первоначальный[[#This Row],[Дата платежа из графика]]=1),MIN(LOOKUP(,-1/($Z$12:Z958=1),$C$12:C958)+LOOKUP(,-1/($Z$12:Z958=1),$H$12:H958)-IF(Z957=1,0,SUM(INDIRECT("T"&amp;(MAX((1=Z$12:Z957)*ROW(Z$12:Z957)+1,ROW($T$12))&amp;":T"&amp;(ROW()-1))))),Первоначальный[[#This Row],[Полученный платеж]]+Y957),
AND(Z957&gt;0,Первоначальный[[#This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платеж]]+Y957),
AND(S957&gt;0,MAX((0&lt;&gt;S$12:S957)*ROW(S$12:S957),ROW($S$12))&gt;=MAX((1=Z$12:Z957)*ROW(Z$12:Z957),ROW($T$12)),TYPE(VLOOKUP("Да",(INDIRECT("AA"&amp;(MAX((1=Z$12:Z957)*ROW(Z$12:Z957),ROW($T$12))&amp;":AA"&amp;(ROW()-1)))),1,0))=16),MIN(LOOKUP(,-1/($Z$12:Z958=1),$C$12:C958)+LOOKUP(,-1/($Z$12:Z958=1),$H$12:H958)-SUM(INDIRECT("T"&amp;(MAX((1=Z$12:Z957)*ROW(Z$12:Z957),ROW($T$12))&amp;":T"&amp;(ROW()-1)))),Первоначальный[[#This Row],[Полученный платеж]]+Y957),
S957&gt;0,MIN(LOOKUP(,-1/($Z$12:Z958=1),$C$12:C958)+LOOKUP(,-1/($Z$12:Z958=1),$H$12:H958)-IF(Z957=1,0,SUM(INDIRECT("T"&amp;(MAX((1=Z$12:Z957)*ROW(Z$12:Z957)+1,ROW($T$12))&amp;":T"&amp;(ROW()-1))))),Первоначальный[[#This Row],[Полученный платеж]]+Y957)
)
)
)</f>
        <v>0</v>
      </c>
      <c r="U95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платеж]]+Y957-Первоначальный[[#This Row],[Полученный платёж по процентам]])</f>
        <v>0</v>
      </c>
      <c r="V958" s="55">
        <f t="shared" ca="1" si="171"/>
        <v>0</v>
      </c>
      <c r="W958" s="55" cm="1">
        <f t="array" aca="1" ref="W958" ca="1">IF(Первоначальный[[#This Row],[Итого остаток на начало периода]]&lt;1,0,
_xlfn.IFS(
AND(TYPE(VLOOKUP(1,$Z$12:Z958,1,0))=16,Первоначальный[[#This Row],[Досрочное погашение (да/"")]]=""),0,
AND(S957=0,Первоначальный[[#This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платеж]]+Y957-SUM(Первоначальный[[#This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комиссиям]]),VLOOKUP(LOOKUP(,-1/($Z$12:Z958=1),$A$12:A958),График[[Срок конец]:[Возврат основной суммы долга]],3,0)),
AND(S957=0,Первоначальный[[#This Row],[Дата платежа из графика]]="",Первоначальный[[#This Row],[Досрочное погашение (да/"")]]&lt;&gt;"Да"),0,
AND(S957=0,Первоначальный[[#This Row],[Досрочное погашение (да/"")]]=""),MIN(Первоначальный[[#This Row],[Полученный платеж]]+Y957-SUM(Первоначальный[[#This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комиссиям]]),VLOOKUP(LOOKUP(,-1/($Z$12:Z958=1),$A$12:A958),График[[Срок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платеж]]+Y957-SUM(Первоначальный[[#This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S957&gt;0,MIN(Первоначальный[[#This Row],[Полученный платеж]]+Y957-SUM(Первоначальный[[#This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комиссиям]]),SUM(INDIRECT("M"&amp;(MAX((1=S$12:S957)*ROW(S$12:S957),ROW($W$12))&amp;":M"&amp;(ROW()))))-SUM(INDIRECT("W"&amp;(MAX((1=S$12:S957)*ROW(S$12:S957),ROW($W$12))&amp;":W"&amp;(ROW()-1)))))
)
)</f>
        <v>0</v>
      </c>
      <c r="X958" s="55">
        <f t="shared" ca="1" si="172"/>
        <v>0</v>
      </c>
      <c r="Y958" s="101">
        <f t="shared" ca="1" si="179"/>
        <v>0</v>
      </c>
      <c r="Z958" s="133" t="str">
        <f>IF(TYPE((VLOOKUP(Первоначальный[[#This Row],[Дата платежа]],График[Срок конец],1,0)))=16,"",1)</f>
        <v/>
      </c>
      <c r="AA958" s="57"/>
      <c r="AB958" s="134"/>
      <c r="AC95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5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68778.329999999929</v>
      </c>
      <c r="AE95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3325.5699999999906</v>
      </c>
      <c r="AF95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5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180252.4917999997</v>
      </c>
      <c r="AH958" s="55"/>
      <c r="AI958" s="55"/>
      <c r="AJ958" s="55"/>
      <c r="AK958" s="101">
        <f t="shared" ca="1" si="180"/>
        <v>401989.7317999996</v>
      </c>
      <c r="AL958" s="129">
        <f t="array" ref="AL958">MAX((УслРестрактов[Характеристика]="Дата реструктуризации")*(УслРестрактов[Значение]=Первоначальный!$A958),0)</f>
        <v>0</v>
      </c>
    </row>
    <row r="959" spans="1:38" x14ac:dyDescent="0.25">
      <c r="A959" s="97">
        <f t="shared" si="173"/>
        <v>45090</v>
      </c>
      <c r="B959" s="100">
        <f t="shared" ca="1" si="174"/>
        <v>149633.34</v>
      </c>
      <c r="C959" s="55">
        <f t="shared" ca="1" si="170"/>
        <v>68778.329999999929</v>
      </c>
      <c r="D959" s="55">
        <f t="shared" ca="1" si="170"/>
        <v>3325.5699999999906</v>
      </c>
      <c r="E959" s="55">
        <f t="shared" ca="1" si="175"/>
        <v>0</v>
      </c>
      <c r="F959" s="55">
        <f t="shared" ca="1" si="176"/>
        <v>180252.4917999997</v>
      </c>
      <c r="G959" s="101">
        <f t="shared" ca="1" si="177"/>
        <v>401989.7317999996</v>
      </c>
      <c r="H959" s="100">
        <f ca="1">ROUND($B959*VLOOKUP($A959,$A$1:$B$10,2,1)/(365+IF(MOD(YEAR($A959),4),0,1)*($A959-$A958)),2)-Первоначальный[[#This Row],[Проценты на просроченный платеж по ОД за период]]</f>
        <v>73.16</v>
      </c>
      <c r="I959" s="55">
        <f t="shared" ca="1" si="178"/>
        <v>8.42</v>
      </c>
      <c r="J959" s="55">
        <v>0</v>
      </c>
      <c r="K959" s="55">
        <f t="shared" ca="1" si="181"/>
        <v>419.99850327868836</v>
      </c>
      <c r="L959" s="55">
        <v>0</v>
      </c>
      <c r="M959" s="113">
        <f>SUMIFS(График[Возврат основной суммы долга],График[Дата с учетом нерабочих дней],$A959)</f>
        <v>0</v>
      </c>
      <c r="N959" s="56">
        <f>SUMIFS(График[Возврат начисленных %],График[Дата с учетом нерабочих дней],$A959)</f>
        <v>0</v>
      </c>
      <c r="O959" s="101">
        <v>0</v>
      </c>
      <c r="P959" s="100" cm="1">
        <f t="array" aca="1" ref="P959" ca="1">MAX(IF(AA958="Да",0,SUM(INDIRECT("M"&amp;(MAX(("Да"=AA$12:AA958)*ROW(AA$12:AA958)+1,ROW($P$12))&amp;":M"&amp;(ROW()))))-SUM(INDIRECT("W"&amp;(MAX(("Да"=AA$12:AA958)*ROW(AA$12:AA958)+1,ROW($P$12))&amp;":W"&amp;(ROW()))))),0)</f>
        <v>15443.2</v>
      </c>
      <c r="Q959" s="99">
        <f ca="1">MAX(SUM($N$13:N959)-SUM($T$13:T959),0)</f>
        <v>68556.500655737676</v>
      </c>
      <c r="R959" s="99">
        <f ca="1">Первоначальный[[#This Row],[Просроченный платеж по ОД]]+Первоначальный[[#This Row],[Просроченный платеж по процентам]]</f>
        <v>83999.700655737674</v>
      </c>
      <c r="S959" s="120">
        <f ca="1">IF(Первоначальный[[#This Row],[Просроченный платеж]]&lt;1,0,S958+1)</f>
        <v>855</v>
      </c>
      <c r="T959" s="100" cm="1">
        <f t="array" aca="1" ref="T959" ca="1">IF(Первоначальный[[#This Row],[Итого остаток на начало периода]]&lt;1,0,
IF(
AND(TYPE(VLOOKUP(1,$Z$12:Z959,1,0))=16,Первоначальный[[#This Row],[Досрочное погашение (да/"")]]=""),0,
_xlfn.IFS(AND(S958=0,Первоначальный[[#This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платеж]]&lt;&gt;0),MIN(LOOKUP(,-1/($Z$12:Z959=1),$C$12:C959)+LOOKUP(,-1/($Z$12:Z959=1),$H$12:H959),Первоначальный[[#This Row],[Полученный платеж]]+Y958),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платеж]]+Y958,SUM(Первоначальный[[#This Row],[Остаток процентов на начало периода]],Первоначальный[[#This Row],[Проценты за период]])),
AND(S958=0,Первоначальный[[#This Row],[Дата платежа из графика]]=""),0,
AND(S958=0,Первоначальный[[#This Row],[Дата платежа из графика]]=1,MAX((0&lt;&gt;S$12:S958)*ROW(S$12:S958),ROW($S$12))&gt;=MAX((1=Z$12:Z958)*ROW(Z$12:Z958),ROW($T$12)),TYPE(VLOOKUP("Да",(INDIRECT("AA"&amp;(MAX((1=Z$12:Z958)*ROW(Z$12:Z958),ROW($T$12))&amp;":AA"&amp;(ROW()-1)))),1,0))=16),MIN(LOOKUP(,-1/($Z$12:Z959=1),$C$12:C959)+LOOKUP(,-1/($Z$12:Z959=1),$H$12:H959),Первоначальный[[#This Row],[Полученный платеж]]+Y958),
AND(S958=0,TYPE(VLOOKUP("Да",(INDIRECT("AA"&amp;(MAX((1=Z$12:Z958)*ROW(Z$12:Z958),ROW($T$12))&amp;":AA"&amp;(ROW()-1)))),1,0))&lt;&gt;16),MIN(LOOKUP(,-1/($Z$12:Z959=1),$C$12:C959)+LOOKUP(,-1/($Z$12:Z959=1),$H$12:H959)-IF(AA958="Да",0,SUM(INDIRECT("T"&amp;(MAX(("Да"=AA$12:AA958)*ROW(AA$12:AA958)+1,ROW($T$12))&amp;":T"&amp;(ROW()-1))))),Первоначальный[[#This Row],[Полученный платеж]]+Y958),
AND(S958=0,MAX((0&lt;&gt;N$12:N958)*ROW(N$12:N958),ROW($S$12))&gt;=MAX((1=Z$12:Z958)*ROW(Z$12:Z958),ROW($T$12))),MIN(LOOKUP(,-1/($Z$12:Z959=1),$C$12:C959)+LOOKUP(,-1/($Z$12:Z959=1),$H$12:H959)-IF(N958&lt;&gt;0,0,SUM(INDIRECT("T"&amp;(MAX((0&lt;&gt;N$12:N958)*ROW(N$12:N958)+1,ROW($T$12))&amp;":T"&amp;(ROW()-1))))),Первоначальный[[#This Row],[Полученный платеж]]+Y958),
AND(S958=0,Первоначальный[[#This Row],[Дата платежа из графика]]=1),MIN(LOOKUP(,-1/($Z$12:Z959=1),$C$12:C959)+LOOKUP(,-1/($Z$12:Z959=1),$H$12:H959)-IF(Z958=1,0,SUM(INDIRECT("T"&amp;(MAX((1=Z$12:Z958)*ROW(Z$12:Z958)+1,ROW($T$12))&amp;":T"&amp;(ROW()-1))))),Первоначальный[[#This Row],[Полученный платеж]]+Y958),
AND(Z958&gt;0,Первоначальный[[#This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платеж]]+Y958),
AND(S958&gt;0,MAX((0&lt;&gt;S$12:S958)*ROW(S$12:S958),ROW($S$12))&gt;=MAX((1=Z$12:Z958)*ROW(Z$12:Z958),ROW($T$12)),TYPE(VLOOKUP("Да",(INDIRECT("AA"&amp;(MAX((1=Z$12:Z958)*ROW(Z$12:Z958),ROW($T$12))&amp;":AA"&amp;(ROW()-1)))),1,0))=16),MIN(LOOKUP(,-1/($Z$12:Z959=1),$C$12:C959)+LOOKUP(,-1/($Z$12:Z959=1),$H$12:H959)-SUM(INDIRECT("T"&amp;(MAX((1=Z$12:Z958)*ROW(Z$12:Z958),ROW($T$12))&amp;":T"&amp;(ROW()-1)))),Первоначальный[[#This Row],[Полученный платеж]]+Y958),
S958&gt;0,MIN(LOOKUP(,-1/($Z$12:Z959=1),$C$12:C959)+LOOKUP(,-1/($Z$12:Z959=1),$H$12:H959)-IF(Z958=1,0,SUM(INDIRECT("T"&amp;(MAX((1=Z$12:Z958)*ROW(Z$12:Z958)+1,ROW($T$12))&amp;":T"&amp;(ROW()-1))))),Первоначальный[[#This Row],[Полученный платеж]]+Y958)
)
)
)</f>
        <v>0</v>
      </c>
      <c r="U95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платеж]]+Y958-Первоначальный[[#This Row],[Полученный платёж по процентам]])</f>
        <v>0</v>
      </c>
      <c r="V959" s="55">
        <f t="shared" ca="1" si="171"/>
        <v>0</v>
      </c>
      <c r="W959" s="55" cm="1">
        <f t="array" aca="1" ref="W959" ca="1">IF(Первоначальный[[#This Row],[Итого остаток на начало периода]]&lt;1,0,
_xlfn.IFS(
AND(TYPE(VLOOKUP(1,$Z$12:Z959,1,0))=16,Первоначальный[[#This Row],[Досрочное погашение (да/"")]]=""),0,
AND(S958=0,Первоначальный[[#This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платеж]]+Y958-SUM(Первоначальный[[#This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комиссиям]]),VLOOKUP(LOOKUP(,-1/($Z$12:Z959=1),$A$12:A959),График[[Срок конец]:[Возврат основной суммы долга]],3,0)),
AND(S958=0,Первоначальный[[#This Row],[Дата платежа из графика]]="",Первоначальный[[#This Row],[Досрочное погашение (да/"")]]&lt;&gt;"Да"),0,
AND(S958=0,Первоначальный[[#This Row],[Досрочное погашение (да/"")]]=""),MIN(Первоначальный[[#This Row],[Полученный платеж]]+Y958-SUM(Первоначальный[[#This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комиссиям]]),VLOOKUP(LOOKUP(,-1/($Z$12:Z959=1),$A$12:A959),График[[Срок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платеж]]+Y958-SUM(Первоначальный[[#This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S958&gt;0,MIN(Первоначальный[[#This Row],[Полученный платеж]]+Y958-SUM(Первоначальный[[#This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комиссиям]]),SUM(INDIRECT("M"&amp;(MAX((1=S$12:S958)*ROW(S$12:S958),ROW($W$12))&amp;":M"&amp;(ROW()))))-SUM(INDIRECT("W"&amp;(MAX((1=S$12:S958)*ROW(S$12:S958),ROW($W$12))&amp;":W"&amp;(ROW()-1)))))
)
)</f>
        <v>0</v>
      </c>
      <c r="X959" s="55">
        <f t="shared" ca="1" si="172"/>
        <v>0</v>
      </c>
      <c r="Y959" s="101">
        <f t="shared" ca="1" si="179"/>
        <v>0</v>
      </c>
      <c r="Z959" s="133" t="str">
        <f>IF(TYPE((VLOOKUP(Первоначальный[[#This Row],[Дата платежа]],График[Срок конец],1,0)))=16,"",1)</f>
        <v/>
      </c>
      <c r="AA959" s="57"/>
      <c r="AB959" s="134"/>
      <c r="AC95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5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68851.489999999932</v>
      </c>
      <c r="AE95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3333.9899999999907</v>
      </c>
      <c r="AF95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5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180672.49030327838</v>
      </c>
      <c r="AH959" s="55"/>
      <c r="AI959" s="55"/>
      <c r="AJ959" s="55"/>
      <c r="AK959" s="101">
        <f t="shared" ca="1" si="180"/>
        <v>402491.31030327827</v>
      </c>
      <c r="AL959" s="129">
        <f t="array" ref="AL959">MAX((УслРестрактов[Характеристика]="Дата реструктуризации")*(УслРестрактов[Значение]=Первоначальный!$A959),0)</f>
        <v>0</v>
      </c>
    </row>
    <row r="960" spans="1:38" x14ac:dyDescent="0.25">
      <c r="A960" s="97">
        <f t="shared" si="173"/>
        <v>45091</v>
      </c>
      <c r="B960" s="100">
        <f t="shared" ca="1" si="174"/>
        <v>149633.34</v>
      </c>
      <c r="C960" s="55">
        <f t="shared" ca="1" si="170"/>
        <v>68851.489999999932</v>
      </c>
      <c r="D960" s="55">
        <f t="shared" ca="1" si="170"/>
        <v>3333.9899999999907</v>
      </c>
      <c r="E960" s="55">
        <f t="shared" ca="1" si="175"/>
        <v>0</v>
      </c>
      <c r="F960" s="55">
        <f t="shared" ca="1" si="176"/>
        <v>180672.49030327838</v>
      </c>
      <c r="G960" s="101">
        <f t="shared" ca="1" si="177"/>
        <v>402491.31030327827</v>
      </c>
      <c r="H960" s="100">
        <f ca="1">ROUND($B960*VLOOKUP($A960,$A$1:$B$10,2,1)/(365+IF(MOD(YEAR($A960),4),0,1)*($A960-$A959)),2)-Первоначальный[[#This Row],[Проценты на просроченный платеж по ОД за период]]</f>
        <v>73.16</v>
      </c>
      <c r="I960" s="55">
        <f t="shared" ca="1" si="178"/>
        <v>8.42</v>
      </c>
      <c r="J960" s="55">
        <v>0</v>
      </c>
      <c r="K960" s="55">
        <f t="shared" ca="1" si="181"/>
        <v>419.99850327868836</v>
      </c>
      <c r="L960" s="55">
        <v>0</v>
      </c>
      <c r="M960" s="113">
        <f>SUMIFS(График[Возврат основной суммы долга],График[Дата с учетом нерабочих дней],$A960)</f>
        <v>0</v>
      </c>
      <c r="N960" s="56">
        <f>SUMIFS(График[Возврат начисленных %],График[Дата с учетом нерабочих дней],$A960)</f>
        <v>0</v>
      </c>
      <c r="O960" s="101">
        <v>0</v>
      </c>
      <c r="P960" s="100" cm="1">
        <f t="array" aca="1" ref="P960" ca="1">MAX(IF(AA959="Да",0,SUM(INDIRECT("M"&amp;(MAX(("Да"=AA$12:AA959)*ROW(AA$12:AA959)+1,ROW($P$12))&amp;":M"&amp;(ROW()))))-SUM(INDIRECT("W"&amp;(MAX(("Да"=AA$12:AA959)*ROW(AA$12:AA959)+1,ROW($P$12))&amp;":W"&amp;(ROW()))))),0)</f>
        <v>15443.2</v>
      </c>
      <c r="Q960" s="99">
        <f ca="1">MAX(SUM($N$13:N960)-SUM($T$13:T960),0)</f>
        <v>68556.500655737676</v>
      </c>
      <c r="R960" s="99">
        <f ca="1">Первоначальный[[#This Row],[Просроченный платеж по ОД]]+Первоначальный[[#This Row],[Просроченный платеж по процентам]]</f>
        <v>83999.700655737674</v>
      </c>
      <c r="S960" s="120">
        <f ca="1">IF(Первоначальный[[#This Row],[Просроченный платеж]]&lt;1,0,S959+1)</f>
        <v>856</v>
      </c>
      <c r="T960" s="100" cm="1">
        <f t="array" aca="1" ref="T960" ca="1">IF(Первоначальный[[#This Row],[Итого остаток на начало периода]]&lt;1,0,
IF(
AND(TYPE(VLOOKUP(1,$Z$12:Z960,1,0))=16,Первоначальный[[#This Row],[Досрочное погашение (да/"")]]=""),0,
_xlfn.IFS(AND(S959=0,Первоначальный[[#This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платеж]]&lt;&gt;0),MIN(LOOKUP(,-1/($Z$12:Z960=1),$C$12:C960)+LOOKUP(,-1/($Z$12:Z960=1),$H$12:H960),Первоначальный[[#This Row],[Полученный платеж]]+Y959),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платеж]]+Y959,SUM(Первоначальный[[#This Row],[Остаток процентов на начало периода]],Первоначальный[[#This Row],[Проценты за период]])),
AND(S959=0,Первоначальный[[#This Row],[Дата платежа из графика]]=""),0,
AND(S959=0,Первоначальный[[#This Row],[Дата платежа из графика]]=1,MAX((0&lt;&gt;S$12:S959)*ROW(S$12:S959),ROW($S$12))&gt;=MAX((1=Z$12:Z959)*ROW(Z$12:Z959),ROW($T$12)),TYPE(VLOOKUP("Да",(INDIRECT("AA"&amp;(MAX((1=Z$12:Z959)*ROW(Z$12:Z959),ROW($T$12))&amp;":AA"&amp;(ROW()-1)))),1,0))=16),MIN(LOOKUP(,-1/($Z$12:Z960=1),$C$12:C960)+LOOKUP(,-1/($Z$12:Z960=1),$H$12:H960),Первоначальный[[#This Row],[Полученный платеж]]+Y959),
AND(S959=0,TYPE(VLOOKUP("Да",(INDIRECT("AA"&amp;(MAX((1=Z$12:Z959)*ROW(Z$12:Z959),ROW($T$12))&amp;":AA"&amp;(ROW()-1)))),1,0))&lt;&gt;16),MIN(LOOKUP(,-1/($Z$12:Z960=1),$C$12:C960)+LOOKUP(,-1/($Z$12:Z960=1),$H$12:H960)-IF(AA959="Да",0,SUM(INDIRECT("T"&amp;(MAX(("Да"=AA$12:AA959)*ROW(AA$12:AA959)+1,ROW($T$12))&amp;":T"&amp;(ROW()-1))))),Первоначальный[[#This Row],[Полученный платеж]]+Y959),
AND(S959=0,MAX((0&lt;&gt;N$12:N959)*ROW(N$12:N959),ROW($S$12))&gt;=MAX((1=Z$12:Z959)*ROW(Z$12:Z959),ROW($T$12))),MIN(LOOKUP(,-1/($Z$12:Z960=1),$C$12:C960)+LOOKUP(,-1/($Z$12:Z960=1),$H$12:H960)-IF(N959&lt;&gt;0,0,SUM(INDIRECT("T"&amp;(MAX((0&lt;&gt;N$12:N959)*ROW(N$12:N959)+1,ROW($T$12))&amp;":T"&amp;(ROW()-1))))),Первоначальный[[#This Row],[Полученный платеж]]+Y959),
AND(S959=0,Первоначальный[[#This Row],[Дата платежа из графика]]=1),MIN(LOOKUP(,-1/($Z$12:Z960=1),$C$12:C960)+LOOKUP(,-1/($Z$12:Z960=1),$H$12:H960)-IF(Z959=1,0,SUM(INDIRECT("T"&amp;(MAX((1=Z$12:Z959)*ROW(Z$12:Z959)+1,ROW($T$12))&amp;":T"&amp;(ROW()-1))))),Первоначальный[[#This Row],[Полученный платеж]]+Y959),
AND(Z959&gt;0,Первоначальный[[#This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платеж]]+Y959),
AND(S959&gt;0,MAX((0&lt;&gt;S$12:S959)*ROW(S$12:S959),ROW($S$12))&gt;=MAX((1=Z$12:Z959)*ROW(Z$12:Z959),ROW($T$12)),TYPE(VLOOKUP("Да",(INDIRECT("AA"&amp;(MAX((1=Z$12:Z959)*ROW(Z$12:Z959),ROW($T$12))&amp;":AA"&amp;(ROW()-1)))),1,0))=16),MIN(LOOKUP(,-1/($Z$12:Z960=1),$C$12:C960)+LOOKUP(,-1/($Z$12:Z960=1),$H$12:H960)-SUM(INDIRECT("T"&amp;(MAX((1=Z$12:Z959)*ROW(Z$12:Z959),ROW($T$12))&amp;":T"&amp;(ROW()-1)))),Первоначальный[[#This Row],[Полученный платеж]]+Y959),
S959&gt;0,MIN(LOOKUP(,-1/($Z$12:Z960=1),$C$12:C960)+LOOKUP(,-1/($Z$12:Z960=1),$H$12:H960)-IF(Z959=1,0,SUM(INDIRECT("T"&amp;(MAX((1=Z$12:Z959)*ROW(Z$12:Z959)+1,ROW($T$12))&amp;":T"&amp;(ROW()-1))))),Первоначальный[[#This Row],[Полученный платеж]]+Y959)
)
)
)</f>
        <v>0</v>
      </c>
      <c r="U96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платеж]]+Y959-Первоначальный[[#This Row],[Полученный платёж по процентам]])</f>
        <v>0</v>
      </c>
      <c r="V960" s="55">
        <f t="shared" ca="1" si="171"/>
        <v>0</v>
      </c>
      <c r="W960" s="55" cm="1">
        <f t="array" aca="1" ref="W960" ca="1">IF(Первоначальный[[#This Row],[Итого остаток на начало периода]]&lt;1,0,
_xlfn.IFS(
AND(TYPE(VLOOKUP(1,$Z$12:Z960,1,0))=16,Первоначальный[[#This Row],[Досрочное погашение (да/"")]]=""),0,
AND(S959=0,Первоначальный[[#This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платеж]]+Y959-SUM(Первоначальный[[#This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комиссиям]]),VLOOKUP(LOOKUP(,-1/($Z$12:Z960=1),$A$12:A960),График[[Срок конец]:[Возврат основной суммы долга]],3,0)),
AND(S959=0,Первоначальный[[#This Row],[Дата платежа из графика]]="",Первоначальный[[#This Row],[Досрочное погашение (да/"")]]&lt;&gt;"Да"),0,
AND(S959=0,Первоначальный[[#This Row],[Досрочное погашение (да/"")]]=""),MIN(Первоначальный[[#This Row],[Полученный платеж]]+Y959-SUM(Первоначальный[[#This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комиссиям]]),VLOOKUP(LOOKUP(,-1/($Z$12:Z960=1),$A$12:A960),График[[Срок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платеж]]+Y959-SUM(Первоначальный[[#This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S959&gt;0,MIN(Первоначальный[[#This Row],[Полученный платеж]]+Y959-SUM(Первоначальный[[#This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комиссиям]]),SUM(INDIRECT("M"&amp;(MAX((1=S$12:S959)*ROW(S$12:S959),ROW($W$12))&amp;":M"&amp;(ROW()))))-SUM(INDIRECT("W"&amp;(MAX((1=S$12:S959)*ROW(S$12:S959),ROW($W$12))&amp;":W"&amp;(ROW()-1)))))
)
)</f>
        <v>0</v>
      </c>
      <c r="X960" s="55">
        <f t="shared" ca="1" si="172"/>
        <v>0</v>
      </c>
      <c r="Y960" s="101">
        <f t="shared" ca="1" si="179"/>
        <v>0</v>
      </c>
      <c r="Z960" s="133" t="str">
        <f>IF(TYPE((VLOOKUP(Первоначальный[[#This Row],[Дата платежа]],График[Срок конец],1,0)))=16,"",1)</f>
        <v/>
      </c>
      <c r="AA960" s="57"/>
      <c r="AB960" s="134"/>
      <c r="AC96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6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68924.649999999936</v>
      </c>
      <c r="AE96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3342.4099999999908</v>
      </c>
      <c r="AF96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6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181092.48880655706</v>
      </c>
      <c r="AH960" s="55"/>
      <c r="AI960" s="55"/>
      <c r="AJ960" s="55"/>
      <c r="AK960" s="101">
        <f t="shared" ca="1" si="180"/>
        <v>402992.88880655699</v>
      </c>
      <c r="AL960" s="129">
        <f t="array" ref="AL960">MAX((УслРестрактов[Характеристика]="Дата реструктуризации")*(УслРестрактов[Значение]=Первоначальный!$A960),0)</f>
        <v>0</v>
      </c>
    </row>
    <row r="961" spans="1:38" x14ac:dyDescent="0.25">
      <c r="A961" s="97">
        <f t="shared" si="173"/>
        <v>45092</v>
      </c>
      <c r="B961" s="100">
        <f t="shared" ca="1" si="174"/>
        <v>149633.34</v>
      </c>
      <c r="C961" s="55">
        <f t="shared" ref="C961:D1024" ca="1" si="182">AD960+AI960</f>
        <v>68924.649999999936</v>
      </c>
      <c r="D961" s="55">
        <f t="shared" ca="1" si="182"/>
        <v>3342.4099999999908</v>
      </c>
      <c r="E961" s="55">
        <f t="shared" ca="1" si="175"/>
        <v>0</v>
      </c>
      <c r="F961" s="55">
        <f t="shared" ca="1" si="176"/>
        <v>181092.48880655706</v>
      </c>
      <c r="G961" s="101">
        <f t="shared" ca="1" si="177"/>
        <v>402992.88880655699</v>
      </c>
      <c r="H961" s="100">
        <f ca="1">ROUND($B961*VLOOKUP($A961,$A$1:$B$10,2,1)/(365+IF(MOD(YEAR($A961),4),0,1)*($A961-$A960)),2)-Первоначальный[[#This Row],[Проценты на просроченный платеж по ОД за период]]</f>
        <v>73.16</v>
      </c>
      <c r="I961" s="55">
        <f t="shared" ca="1" si="178"/>
        <v>8.42</v>
      </c>
      <c r="J961" s="55">
        <v>0</v>
      </c>
      <c r="K961" s="55">
        <f t="shared" ca="1" si="181"/>
        <v>419.99850327868836</v>
      </c>
      <c r="L961" s="55">
        <v>0</v>
      </c>
      <c r="M961" s="113">
        <f>SUMIFS(График[Возврат основной суммы долга],График[Дата с учетом нерабочих дней],$A961)</f>
        <v>0</v>
      </c>
      <c r="N961" s="56">
        <f>SUMIFS(График[Возврат начисленных %],График[Дата с учетом нерабочих дней],$A961)</f>
        <v>0</v>
      </c>
      <c r="O961" s="101">
        <v>0</v>
      </c>
      <c r="P961" s="100" cm="1">
        <f t="array" aca="1" ref="P961" ca="1">MAX(IF(AA960="Да",0,SUM(INDIRECT("M"&amp;(MAX(("Да"=AA$12:AA960)*ROW(AA$12:AA960)+1,ROW($P$12))&amp;":M"&amp;(ROW()))))-SUM(INDIRECT("W"&amp;(MAX(("Да"=AA$12:AA960)*ROW(AA$12:AA960)+1,ROW($P$12))&amp;":W"&amp;(ROW()))))),0)</f>
        <v>15443.2</v>
      </c>
      <c r="Q961" s="99">
        <f ca="1">MAX(SUM($N$13:N961)-SUM($T$13:T961),0)</f>
        <v>68556.500655737676</v>
      </c>
      <c r="R961" s="99">
        <f ca="1">Первоначальный[[#This Row],[Просроченный платеж по ОД]]+Первоначальный[[#This Row],[Просроченный платеж по процентам]]</f>
        <v>83999.700655737674</v>
      </c>
      <c r="S961" s="120">
        <f ca="1">IF(Первоначальный[[#This Row],[Просроченный платеж]]&lt;1,0,S960+1)</f>
        <v>857</v>
      </c>
      <c r="T961" s="100" cm="1">
        <f t="array" aca="1" ref="T961" ca="1">IF(Первоначальный[[#This Row],[Итого остаток на начало периода]]&lt;1,0,
IF(
AND(TYPE(VLOOKUP(1,$Z$12:Z961,1,0))=16,Первоначальный[[#This Row],[Досрочное погашение (да/"")]]=""),0,
_xlfn.IFS(AND(S960=0,Первоначальный[[#This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платеж]]&lt;&gt;0),MIN(LOOKUP(,-1/($Z$12:Z961=1),$C$12:C961)+LOOKUP(,-1/($Z$12:Z961=1),$H$12:H961),Первоначальный[[#This Row],[Полученный платеж]]+Y960),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платеж]]+Y960,SUM(Первоначальный[[#This Row],[Остаток процентов на начало периода]],Первоначальный[[#This Row],[Проценты за период]])),
AND(S960=0,Первоначальный[[#This Row],[Дата платежа из графика]]=""),0,
AND(S960=0,Первоначальный[[#This Row],[Дата платежа из графика]]=1,MAX((0&lt;&gt;S$12:S960)*ROW(S$12:S960),ROW($S$12))&gt;=MAX((1=Z$12:Z960)*ROW(Z$12:Z960),ROW($T$12)),TYPE(VLOOKUP("Да",(INDIRECT("AA"&amp;(MAX((1=Z$12:Z960)*ROW(Z$12:Z960),ROW($T$12))&amp;":AA"&amp;(ROW()-1)))),1,0))=16),MIN(LOOKUP(,-1/($Z$12:Z961=1),$C$12:C961)+LOOKUP(,-1/($Z$12:Z961=1),$H$12:H961),Первоначальный[[#This Row],[Полученный платеж]]+Y960),
AND(S960=0,TYPE(VLOOKUP("Да",(INDIRECT("AA"&amp;(MAX((1=Z$12:Z960)*ROW(Z$12:Z960),ROW($T$12))&amp;":AA"&amp;(ROW()-1)))),1,0))&lt;&gt;16),MIN(LOOKUP(,-1/($Z$12:Z961=1),$C$12:C961)+LOOKUP(,-1/($Z$12:Z961=1),$H$12:H961)-IF(AA960="Да",0,SUM(INDIRECT("T"&amp;(MAX(("Да"=AA$12:AA960)*ROW(AA$12:AA960)+1,ROW($T$12))&amp;":T"&amp;(ROW()-1))))),Первоначальный[[#This Row],[Полученный платеж]]+Y960),
AND(S960=0,MAX((0&lt;&gt;N$12:N960)*ROW(N$12:N960),ROW($S$12))&gt;=MAX((1=Z$12:Z960)*ROW(Z$12:Z960),ROW($T$12))),MIN(LOOKUP(,-1/($Z$12:Z961=1),$C$12:C961)+LOOKUP(,-1/($Z$12:Z961=1),$H$12:H961)-IF(N960&lt;&gt;0,0,SUM(INDIRECT("T"&amp;(MAX((0&lt;&gt;N$12:N960)*ROW(N$12:N960)+1,ROW($T$12))&amp;":T"&amp;(ROW()-1))))),Первоначальный[[#This Row],[Полученный платеж]]+Y960),
AND(S960=0,Первоначальный[[#This Row],[Дата платежа из графика]]=1),MIN(LOOKUP(,-1/($Z$12:Z961=1),$C$12:C961)+LOOKUP(,-1/($Z$12:Z961=1),$H$12:H961)-IF(Z960=1,0,SUM(INDIRECT("T"&amp;(MAX((1=Z$12:Z960)*ROW(Z$12:Z960)+1,ROW($T$12))&amp;":T"&amp;(ROW()-1))))),Первоначальный[[#This Row],[Полученный платеж]]+Y960),
AND(Z960&gt;0,Первоначальный[[#This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платеж]]+Y960),
AND(S960&gt;0,MAX((0&lt;&gt;S$12:S960)*ROW(S$12:S960),ROW($S$12))&gt;=MAX((1=Z$12:Z960)*ROW(Z$12:Z960),ROW($T$12)),TYPE(VLOOKUP("Да",(INDIRECT("AA"&amp;(MAX((1=Z$12:Z960)*ROW(Z$12:Z960),ROW($T$12))&amp;":AA"&amp;(ROW()-1)))),1,0))=16),MIN(LOOKUP(,-1/($Z$12:Z961=1),$C$12:C961)+LOOKUP(,-1/($Z$12:Z961=1),$H$12:H961)-SUM(INDIRECT("T"&amp;(MAX((1=Z$12:Z960)*ROW(Z$12:Z960),ROW($T$12))&amp;":T"&amp;(ROW()-1)))),Первоначальный[[#This Row],[Полученный платеж]]+Y960),
S960&gt;0,MIN(LOOKUP(,-1/($Z$12:Z961=1),$C$12:C961)+LOOKUP(,-1/($Z$12:Z961=1),$H$12:H961)-IF(Z960=1,0,SUM(INDIRECT("T"&amp;(MAX((1=Z$12:Z960)*ROW(Z$12:Z960)+1,ROW($T$12))&amp;":T"&amp;(ROW()-1))))),Первоначальный[[#This Row],[Полученный платеж]]+Y960)
)
)
)</f>
        <v>0</v>
      </c>
      <c r="U96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платеж]]+Y960-Первоначальный[[#This Row],[Полученный платёж по процентам]])</f>
        <v>0</v>
      </c>
      <c r="V961" s="55">
        <f t="shared" ca="1" si="171"/>
        <v>0</v>
      </c>
      <c r="W961" s="55" cm="1">
        <f t="array" aca="1" ref="W961" ca="1">IF(Первоначальный[[#This Row],[Итого остаток на начало периода]]&lt;1,0,
_xlfn.IFS(
AND(TYPE(VLOOKUP(1,$Z$12:Z961,1,0))=16,Первоначальный[[#This Row],[Досрочное погашение (да/"")]]=""),0,
AND(S960=0,Первоначальный[[#This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платеж]]+Y960-SUM(Первоначальный[[#This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комиссиям]]),VLOOKUP(LOOKUP(,-1/($Z$12:Z961=1),$A$12:A961),График[[Срок конец]:[Возврат основной суммы долга]],3,0)),
AND(S960=0,Первоначальный[[#This Row],[Дата платежа из графика]]="",Первоначальный[[#This Row],[Досрочное погашение (да/"")]]&lt;&gt;"Да"),0,
AND(S960=0,Первоначальный[[#This Row],[Досрочное погашение (да/"")]]=""),MIN(Первоначальный[[#This Row],[Полученный платеж]]+Y960-SUM(Первоначальный[[#This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комиссиям]]),VLOOKUP(LOOKUP(,-1/($Z$12:Z961=1),$A$12:A961),График[[Срок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платеж]]+Y960-SUM(Первоначальный[[#This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S960&gt;0,MIN(Первоначальный[[#This Row],[Полученный платеж]]+Y960-SUM(Первоначальный[[#This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комиссиям]]),SUM(INDIRECT("M"&amp;(MAX((1=S$12:S960)*ROW(S$12:S960),ROW($W$12))&amp;":M"&amp;(ROW()))))-SUM(INDIRECT("W"&amp;(MAX((1=S$12:S960)*ROW(S$12:S960),ROW($W$12))&amp;":W"&amp;(ROW()-1)))))
)
)</f>
        <v>0</v>
      </c>
      <c r="X961" s="55">
        <f t="shared" ca="1" si="172"/>
        <v>0</v>
      </c>
      <c r="Y961" s="101">
        <f t="shared" ca="1" si="179"/>
        <v>0</v>
      </c>
      <c r="Z961" s="133" t="str">
        <f>IF(TYPE((VLOOKUP(Первоначальный[[#This Row],[Дата платежа]],График[Срок конец],1,0)))=16,"",1)</f>
        <v/>
      </c>
      <c r="AA961" s="57"/>
      <c r="AB961" s="134"/>
      <c r="AC96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6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68997.809999999939</v>
      </c>
      <c r="AE96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3350.8299999999908</v>
      </c>
      <c r="AF96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6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181512.48730983573</v>
      </c>
      <c r="AH961" s="55"/>
      <c r="AI961" s="55"/>
      <c r="AJ961" s="55"/>
      <c r="AK961" s="101">
        <f t="shared" ca="1" si="180"/>
        <v>403494.46730983566</v>
      </c>
      <c r="AL961" s="129">
        <f t="array" ref="AL961">MAX((УслРестрактов[Характеристика]="Дата реструктуризации")*(УслРестрактов[Значение]=Первоначальный!$A961),0)</f>
        <v>0</v>
      </c>
    </row>
    <row r="962" spans="1:38" x14ac:dyDescent="0.25">
      <c r="A962" s="97">
        <f t="shared" si="173"/>
        <v>45093</v>
      </c>
      <c r="B962" s="100">
        <f t="shared" ca="1" si="174"/>
        <v>149633.34</v>
      </c>
      <c r="C962" s="55">
        <f t="shared" ca="1" si="182"/>
        <v>68997.809999999939</v>
      </c>
      <c r="D962" s="55">
        <f t="shared" ca="1" si="182"/>
        <v>3350.8299999999908</v>
      </c>
      <c r="E962" s="55">
        <f t="shared" ca="1" si="175"/>
        <v>0</v>
      </c>
      <c r="F962" s="55">
        <f t="shared" ca="1" si="176"/>
        <v>181512.48730983573</v>
      </c>
      <c r="G962" s="101">
        <f t="shared" ca="1" si="177"/>
        <v>403494.46730983566</v>
      </c>
      <c r="H962" s="100">
        <f ca="1">ROUND($B962*VLOOKUP($A962,$A$1:$B$10,2,1)/(365+IF(MOD(YEAR($A962),4),0,1)*($A962-$A961)),2)-Первоначальный[[#This Row],[Проценты на просроченный платеж по ОД за период]]</f>
        <v>73.16</v>
      </c>
      <c r="I962" s="55">
        <f t="shared" ca="1" si="178"/>
        <v>8.42</v>
      </c>
      <c r="J962" s="55">
        <v>0</v>
      </c>
      <c r="K962" s="55">
        <f t="shared" ca="1" si="181"/>
        <v>419.99850327868836</v>
      </c>
      <c r="L962" s="55">
        <v>0</v>
      </c>
      <c r="M962" s="113">
        <f>SUMIFS(График[Возврат основной суммы долга],График[Дата с учетом нерабочих дней],$A962)</f>
        <v>0</v>
      </c>
      <c r="N962" s="56">
        <f>SUMIFS(График[Возврат начисленных %],График[Дата с учетом нерабочих дней],$A962)</f>
        <v>0</v>
      </c>
      <c r="O962" s="101">
        <v>0</v>
      </c>
      <c r="P962" s="100" cm="1">
        <f t="array" aca="1" ref="P962" ca="1">MAX(IF(AA961="Да",0,SUM(INDIRECT("M"&amp;(MAX(("Да"=AA$12:AA961)*ROW(AA$12:AA961)+1,ROW($P$12))&amp;":M"&amp;(ROW()))))-SUM(INDIRECT("W"&amp;(MAX(("Да"=AA$12:AA961)*ROW(AA$12:AA961)+1,ROW($P$12))&amp;":W"&amp;(ROW()))))),0)</f>
        <v>15443.2</v>
      </c>
      <c r="Q962" s="99">
        <f ca="1">MAX(SUM($N$13:N962)-SUM($T$13:T962),0)</f>
        <v>68556.500655737676</v>
      </c>
      <c r="R962" s="99">
        <f ca="1">Первоначальный[[#This Row],[Просроченный платеж по ОД]]+Первоначальный[[#This Row],[Просроченный платеж по процентам]]</f>
        <v>83999.700655737674</v>
      </c>
      <c r="S962" s="120">
        <f ca="1">IF(Первоначальный[[#This Row],[Просроченный платеж]]&lt;1,0,S961+1)</f>
        <v>858</v>
      </c>
      <c r="T962" s="100" cm="1">
        <f t="array" aca="1" ref="T962" ca="1">IF(Первоначальный[[#This Row],[Итого остаток на начало периода]]&lt;1,0,
IF(
AND(TYPE(VLOOKUP(1,$Z$12:Z962,1,0))=16,Первоначальный[[#This Row],[Досрочное погашение (да/"")]]=""),0,
_xlfn.IFS(AND(S961=0,Первоначальный[[#This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платеж]]&lt;&gt;0),MIN(LOOKUP(,-1/($Z$12:Z962=1),$C$12:C962)+LOOKUP(,-1/($Z$12:Z962=1),$H$12:H962),Первоначальный[[#This Row],[Полученный платеж]]+Y961),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платеж]]+Y961,SUM(Первоначальный[[#This Row],[Остаток процентов на начало периода]],Первоначальный[[#This Row],[Проценты за период]])),
AND(S961=0,Первоначальный[[#This Row],[Дата платежа из графика]]=""),0,
AND(S961=0,Первоначальный[[#This Row],[Дата платежа из графика]]=1,MAX((0&lt;&gt;S$12:S961)*ROW(S$12:S961),ROW($S$12))&gt;=MAX((1=Z$12:Z961)*ROW(Z$12:Z961),ROW($T$12)),TYPE(VLOOKUP("Да",(INDIRECT("AA"&amp;(MAX((1=Z$12:Z961)*ROW(Z$12:Z961),ROW($T$12))&amp;":AA"&amp;(ROW()-1)))),1,0))=16),MIN(LOOKUP(,-1/($Z$12:Z962=1),$C$12:C962)+LOOKUP(,-1/($Z$12:Z962=1),$H$12:H962),Первоначальный[[#This Row],[Полученный платеж]]+Y961),
AND(S961=0,TYPE(VLOOKUP("Да",(INDIRECT("AA"&amp;(MAX((1=Z$12:Z961)*ROW(Z$12:Z961),ROW($T$12))&amp;":AA"&amp;(ROW()-1)))),1,0))&lt;&gt;16),MIN(LOOKUP(,-1/($Z$12:Z962=1),$C$12:C962)+LOOKUP(,-1/($Z$12:Z962=1),$H$12:H962)-IF(AA961="Да",0,SUM(INDIRECT("T"&amp;(MAX(("Да"=AA$12:AA961)*ROW(AA$12:AA961)+1,ROW($T$12))&amp;":T"&amp;(ROW()-1))))),Первоначальный[[#This Row],[Полученный платеж]]+Y961),
AND(S961=0,MAX((0&lt;&gt;N$12:N961)*ROW(N$12:N961),ROW($S$12))&gt;=MAX((1=Z$12:Z961)*ROW(Z$12:Z961),ROW($T$12))),MIN(LOOKUP(,-1/($Z$12:Z962=1),$C$12:C962)+LOOKUP(,-1/($Z$12:Z962=1),$H$12:H962)-IF(N961&lt;&gt;0,0,SUM(INDIRECT("T"&amp;(MAX((0&lt;&gt;N$12:N961)*ROW(N$12:N961)+1,ROW($T$12))&amp;":T"&amp;(ROW()-1))))),Первоначальный[[#This Row],[Полученный платеж]]+Y961),
AND(S961=0,Первоначальный[[#This Row],[Дата платежа из графика]]=1),MIN(LOOKUP(,-1/($Z$12:Z962=1),$C$12:C962)+LOOKUP(,-1/($Z$12:Z962=1),$H$12:H962)-IF(Z961=1,0,SUM(INDIRECT("T"&amp;(MAX((1=Z$12:Z961)*ROW(Z$12:Z961)+1,ROW($T$12))&amp;":T"&amp;(ROW()-1))))),Первоначальный[[#This Row],[Полученный платеж]]+Y961),
AND(Z961&gt;0,Первоначальный[[#This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платеж]]+Y961),
AND(S961&gt;0,MAX((0&lt;&gt;S$12:S961)*ROW(S$12:S961),ROW($S$12))&gt;=MAX((1=Z$12:Z961)*ROW(Z$12:Z961),ROW($T$12)),TYPE(VLOOKUP("Да",(INDIRECT("AA"&amp;(MAX((1=Z$12:Z961)*ROW(Z$12:Z961),ROW($T$12))&amp;":AA"&amp;(ROW()-1)))),1,0))=16),MIN(LOOKUP(,-1/($Z$12:Z962=1),$C$12:C962)+LOOKUP(,-1/($Z$12:Z962=1),$H$12:H962)-SUM(INDIRECT("T"&amp;(MAX((1=Z$12:Z961)*ROW(Z$12:Z961),ROW($T$12))&amp;":T"&amp;(ROW()-1)))),Первоначальный[[#This Row],[Полученный платеж]]+Y961),
S961&gt;0,MIN(LOOKUP(,-1/($Z$12:Z962=1),$C$12:C962)+LOOKUP(,-1/($Z$12:Z962=1),$H$12:H962)-IF(Z961=1,0,SUM(INDIRECT("T"&amp;(MAX((1=Z$12:Z961)*ROW(Z$12:Z961)+1,ROW($T$12))&amp;":T"&amp;(ROW()-1))))),Первоначальный[[#This Row],[Полученный платеж]]+Y961)
)
)
)</f>
        <v>0</v>
      </c>
      <c r="U96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платеж]]+Y961-Первоначальный[[#This Row],[Полученный платёж по процентам]])</f>
        <v>0</v>
      </c>
      <c r="V962" s="55">
        <f t="shared" ca="1" si="171"/>
        <v>0</v>
      </c>
      <c r="W962" s="55" cm="1">
        <f t="array" aca="1" ref="W962" ca="1">IF(Первоначальный[[#This Row],[Итого остаток на начало периода]]&lt;1,0,
_xlfn.IFS(
AND(TYPE(VLOOKUP(1,$Z$12:Z962,1,0))=16,Первоначальный[[#This Row],[Досрочное погашение (да/"")]]=""),0,
AND(S961=0,Первоначальный[[#This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платеж]]+Y961-SUM(Первоначальный[[#This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комиссиям]]),VLOOKUP(LOOKUP(,-1/($Z$12:Z962=1),$A$12:A962),График[[Срок конец]:[Возврат основной суммы долга]],3,0)),
AND(S961=0,Первоначальный[[#This Row],[Дата платежа из графика]]="",Первоначальный[[#This Row],[Досрочное погашение (да/"")]]&lt;&gt;"Да"),0,
AND(S961=0,Первоначальный[[#This Row],[Досрочное погашение (да/"")]]=""),MIN(Первоначальный[[#This Row],[Полученный платеж]]+Y961-SUM(Первоначальный[[#This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комиссиям]]),VLOOKUP(LOOKUP(,-1/($Z$12:Z962=1),$A$12:A962),График[[Срок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платеж]]+Y961-SUM(Первоначальный[[#This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S961&gt;0,MIN(Первоначальный[[#This Row],[Полученный платеж]]+Y961-SUM(Первоначальный[[#This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комиссиям]]),SUM(INDIRECT("M"&amp;(MAX((1=S$12:S961)*ROW(S$12:S961),ROW($W$12))&amp;":M"&amp;(ROW()))))-SUM(INDIRECT("W"&amp;(MAX((1=S$12:S961)*ROW(S$12:S961),ROW($W$12))&amp;":W"&amp;(ROW()-1)))))
)
)</f>
        <v>0</v>
      </c>
      <c r="X962" s="55">
        <f t="shared" ca="1" si="172"/>
        <v>0</v>
      </c>
      <c r="Y962" s="101">
        <f t="shared" ca="1" si="179"/>
        <v>0</v>
      </c>
      <c r="Z962" s="133" t="str">
        <f>IF(TYPE((VLOOKUP(Первоначальный[[#This Row],[Дата платежа]],График[Срок конец],1,0)))=16,"",1)</f>
        <v/>
      </c>
      <c r="AA962" s="57"/>
      <c r="AB962" s="134"/>
      <c r="AC96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6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69070.969999999943</v>
      </c>
      <c r="AE96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3359.2499999999909</v>
      </c>
      <c r="AF96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6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181932.48581311441</v>
      </c>
      <c r="AH962" s="55"/>
      <c r="AI962" s="55"/>
      <c r="AJ962" s="55"/>
      <c r="AK962" s="101">
        <f t="shared" ca="1" si="180"/>
        <v>403996.04581311438</v>
      </c>
      <c r="AL962" s="129">
        <f t="array" ref="AL962">MAX((УслРестрактов[Характеристика]="Дата реструктуризации")*(УслРестрактов[Значение]=Первоначальный!$A962),0)</f>
        <v>0</v>
      </c>
    </row>
    <row r="963" spans="1:38" x14ac:dyDescent="0.25">
      <c r="A963" s="97">
        <f t="shared" si="173"/>
        <v>45094</v>
      </c>
      <c r="B963" s="100">
        <f t="shared" ca="1" si="174"/>
        <v>149633.34</v>
      </c>
      <c r="C963" s="55">
        <f t="shared" ca="1" si="182"/>
        <v>69070.969999999943</v>
      </c>
      <c r="D963" s="55">
        <f t="shared" ca="1" si="182"/>
        <v>3359.2499999999909</v>
      </c>
      <c r="E963" s="55">
        <f t="shared" ca="1" si="175"/>
        <v>0</v>
      </c>
      <c r="F963" s="55">
        <f t="shared" ca="1" si="176"/>
        <v>181932.48581311441</v>
      </c>
      <c r="G963" s="101">
        <f t="shared" ca="1" si="177"/>
        <v>403996.04581311438</v>
      </c>
      <c r="H963" s="100">
        <f ca="1">ROUND($B963*VLOOKUP($A963,$A$1:$B$10,2,1)/(365+IF(MOD(YEAR($A963),4),0,1)*($A963-$A962)),2)-Первоначальный[[#This Row],[Проценты на просроченный платеж по ОД за период]]</f>
        <v>73.16</v>
      </c>
      <c r="I963" s="55">
        <f t="shared" ca="1" si="178"/>
        <v>8.42</v>
      </c>
      <c r="J963" s="55">
        <v>0</v>
      </c>
      <c r="K963" s="55">
        <f t="shared" ca="1" si="181"/>
        <v>419.99850327868836</v>
      </c>
      <c r="L963" s="55">
        <v>0</v>
      </c>
      <c r="M963" s="113">
        <f>SUMIFS(График[Возврат основной суммы долга],График[Дата с учетом нерабочих дней],$A963)</f>
        <v>0</v>
      </c>
      <c r="N963" s="56">
        <f>SUMIFS(График[Возврат начисленных %],График[Дата с учетом нерабочих дней],$A963)</f>
        <v>0</v>
      </c>
      <c r="O963" s="101">
        <v>0</v>
      </c>
      <c r="P963" s="100" cm="1">
        <f t="array" aca="1" ref="P963" ca="1">MAX(IF(AA962="Да",0,SUM(INDIRECT("M"&amp;(MAX(("Да"=AA$12:AA962)*ROW(AA$12:AA962)+1,ROW($P$12))&amp;":M"&amp;(ROW()))))-SUM(INDIRECT("W"&amp;(MAX(("Да"=AA$12:AA962)*ROW(AA$12:AA962)+1,ROW($P$12))&amp;":W"&amp;(ROW()))))),0)</f>
        <v>15443.2</v>
      </c>
      <c r="Q963" s="99">
        <f ca="1">MAX(SUM($N$13:N963)-SUM($T$13:T963),0)</f>
        <v>68556.500655737676</v>
      </c>
      <c r="R963" s="99">
        <f ca="1">Первоначальный[[#This Row],[Просроченный платеж по ОД]]+Первоначальный[[#This Row],[Просроченный платеж по процентам]]</f>
        <v>83999.700655737674</v>
      </c>
      <c r="S963" s="120">
        <f ca="1">IF(Первоначальный[[#This Row],[Просроченный платеж]]&lt;1,0,S962+1)</f>
        <v>859</v>
      </c>
      <c r="T963" s="100" cm="1">
        <f t="array" aca="1" ref="T963" ca="1">IF(Первоначальный[[#This Row],[Итого остаток на начало периода]]&lt;1,0,
IF(
AND(TYPE(VLOOKUP(1,$Z$12:Z963,1,0))=16,Первоначальный[[#This Row],[Досрочное погашение (да/"")]]=""),0,
_xlfn.IFS(AND(S962=0,Первоначальный[[#This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платеж]]&lt;&gt;0),MIN(LOOKUP(,-1/($Z$12:Z963=1),$C$12:C963)+LOOKUP(,-1/($Z$12:Z963=1),$H$12:H963),Первоначальный[[#This Row],[Полученный платеж]]+Y962),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платеж]]+Y962,SUM(Первоначальный[[#This Row],[Остаток процентов на начало периода]],Первоначальный[[#This Row],[Проценты за период]])),
AND(S962=0,Первоначальный[[#This Row],[Дата платежа из графика]]=""),0,
AND(S962=0,Первоначальный[[#This Row],[Дата платежа из графика]]=1,MAX((0&lt;&gt;S$12:S962)*ROW(S$12:S962),ROW($S$12))&gt;=MAX((1=Z$12:Z962)*ROW(Z$12:Z962),ROW($T$12)),TYPE(VLOOKUP("Да",(INDIRECT("AA"&amp;(MAX((1=Z$12:Z962)*ROW(Z$12:Z962),ROW($T$12))&amp;":AA"&amp;(ROW()-1)))),1,0))=16),MIN(LOOKUP(,-1/($Z$12:Z963=1),$C$12:C963)+LOOKUP(,-1/($Z$12:Z963=1),$H$12:H963),Первоначальный[[#This Row],[Полученный платеж]]+Y962),
AND(S962=0,TYPE(VLOOKUP("Да",(INDIRECT("AA"&amp;(MAX((1=Z$12:Z962)*ROW(Z$12:Z962),ROW($T$12))&amp;":AA"&amp;(ROW()-1)))),1,0))&lt;&gt;16),MIN(LOOKUP(,-1/($Z$12:Z963=1),$C$12:C963)+LOOKUP(,-1/($Z$12:Z963=1),$H$12:H963)-IF(AA962="Да",0,SUM(INDIRECT("T"&amp;(MAX(("Да"=AA$12:AA962)*ROW(AA$12:AA962)+1,ROW($T$12))&amp;":T"&amp;(ROW()-1))))),Первоначальный[[#This Row],[Полученный платеж]]+Y962),
AND(S962=0,MAX((0&lt;&gt;N$12:N962)*ROW(N$12:N962),ROW($S$12))&gt;=MAX((1=Z$12:Z962)*ROW(Z$12:Z962),ROW($T$12))),MIN(LOOKUP(,-1/($Z$12:Z963=1),$C$12:C963)+LOOKUP(,-1/($Z$12:Z963=1),$H$12:H963)-IF(N962&lt;&gt;0,0,SUM(INDIRECT("T"&amp;(MAX((0&lt;&gt;N$12:N962)*ROW(N$12:N962)+1,ROW($T$12))&amp;":T"&amp;(ROW()-1))))),Первоначальный[[#This Row],[Полученный платеж]]+Y962),
AND(S962=0,Первоначальный[[#This Row],[Дата платежа из графика]]=1),MIN(LOOKUP(,-1/($Z$12:Z963=1),$C$12:C963)+LOOKUP(,-1/($Z$12:Z963=1),$H$12:H963)-IF(Z962=1,0,SUM(INDIRECT("T"&amp;(MAX((1=Z$12:Z962)*ROW(Z$12:Z962)+1,ROW($T$12))&amp;":T"&amp;(ROW()-1))))),Первоначальный[[#This Row],[Полученный платеж]]+Y962),
AND(Z962&gt;0,Первоначальный[[#This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платеж]]+Y962),
AND(S962&gt;0,MAX((0&lt;&gt;S$12:S962)*ROW(S$12:S962),ROW($S$12))&gt;=MAX((1=Z$12:Z962)*ROW(Z$12:Z962),ROW($T$12)),TYPE(VLOOKUP("Да",(INDIRECT("AA"&amp;(MAX((1=Z$12:Z962)*ROW(Z$12:Z962),ROW($T$12))&amp;":AA"&amp;(ROW()-1)))),1,0))=16),MIN(LOOKUP(,-1/($Z$12:Z963=1),$C$12:C963)+LOOKUP(,-1/($Z$12:Z963=1),$H$12:H963)-SUM(INDIRECT("T"&amp;(MAX((1=Z$12:Z962)*ROW(Z$12:Z962),ROW($T$12))&amp;":T"&amp;(ROW()-1)))),Первоначальный[[#This Row],[Полученный платеж]]+Y962),
S962&gt;0,MIN(LOOKUP(,-1/($Z$12:Z963=1),$C$12:C963)+LOOKUP(,-1/($Z$12:Z963=1),$H$12:H963)-IF(Z962=1,0,SUM(INDIRECT("T"&amp;(MAX((1=Z$12:Z962)*ROW(Z$12:Z962)+1,ROW($T$12))&amp;":T"&amp;(ROW()-1))))),Первоначальный[[#This Row],[Полученный платеж]]+Y962)
)
)
)</f>
        <v>0</v>
      </c>
      <c r="U96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платеж]]+Y962-Первоначальный[[#This Row],[Полученный платёж по процентам]])</f>
        <v>0</v>
      </c>
      <c r="V963" s="55">
        <f t="shared" ca="1" si="171"/>
        <v>0</v>
      </c>
      <c r="W963" s="55" cm="1">
        <f t="array" aca="1" ref="W963" ca="1">IF(Первоначальный[[#This Row],[Итого остаток на начало периода]]&lt;1,0,
_xlfn.IFS(
AND(TYPE(VLOOKUP(1,$Z$12:Z963,1,0))=16,Первоначальный[[#This Row],[Досрочное погашение (да/"")]]=""),0,
AND(S962=0,Первоначальный[[#This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платеж]]+Y962-SUM(Первоначальный[[#This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комиссиям]]),VLOOKUP(LOOKUP(,-1/($Z$12:Z963=1),$A$12:A963),График[[Срок конец]:[Возврат основной суммы долга]],3,0)),
AND(S962=0,Первоначальный[[#This Row],[Дата платежа из графика]]="",Первоначальный[[#This Row],[Досрочное погашение (да/"")]]&lt;&gt;"Да"),0,
AND(S962=0,Первоначальный[[#This Row],[Досрочное погашение (да/"")]]=""),MIN(Первоначальный[[#This Row],[Полученный платеж]]+Y962-SUM(Первоначальный[[#This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комиссиям]]),VLOOKUP(LOOKUP(,-1/($Z$12:Z963=1),$A$12:A963),График[[Срок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платеж]]+Y962-SUM(Первоначальный[[#This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S962&gt;0,MIN(Первоначальный[[#This Row],[Полученный платеж]]+Y962-SUM(Первоначальный[[#This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комиссиям]]),SUM(INDIRECT("M"&amp;(MAX((1=S$12:S962)*ROW(S$12:S962),ROW($W$12))&amp;":M"&amp;(ROW()))))-SUM(INDIRECT("W"&amp;(MAX((1=S$12:S962)*ROW(S$12:S962),ROW($W$12))&amp;":W"&amp;(ROW()-1)))))
)
)</f>
        <v>0</v>
      </c>
      <c r="X963" s="55">
        <f t="shared" ca="1" si="172"/>
        <v>0</v>
      </c>
      <c r="Y963" s="101">
        <f t="shared" ca="1" si="179"/>
        <v>0</v>
      </c>
      <c r="Z963" s="133" t="str">
        <f>IF(TYPE((VLOOKUP(Первоначальный[[#This Row],[Дата платежа]],График[Срок конец],1,0)))=16,"",1)</f>
        <v/>
      </c>
      <c r="AA963" s="57"/>
      <c r="AB963" s="134"/>
      <c r="AC96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6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69144.129999999946</v>
      </c>
      <c r="AE96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3367.669999999991</v>
      </c>
      <c r="AF96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6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182352.48431639309</v>
      </c>
      <c r="AH963" s="55"/>
      <c r="AI963" s="55"/>
      <c r="AJ963" s="55"/>
      <c r="AK963" s="101">
        <f t="shared" ca="1" si="180"/>
        <v>404497.62431639305</v>
      </c>
      <c r="AL963" s="129">
        <f t="array" ref="AL963">MAX((УслРестрактов[Характеристика]="Дата реструктуризации")*(УслРестрактов[Значение]=Первоначальный!$A963),0)</f>
        <v>0</v>
      </c>
    </row>
    <row r="964" spans="1:38" x14ac:dyDescent="0.25">
      <c r="A964" s="97">
        <f t="shared" si="173"/>
        <v>45095</v>
      </c>
      <c r="B964" s="100">
        <f t="shared" ca="1" si="174"/>
        <v>149633.34</v>
      </c>
      <c r="C964" s="55">
        <f t="shared" ca="1" si="182"/>
        <v>69144.129999999946</v>
      </c>
      <c r="D964" s="55">
        <f t="shared" ca="1" si="182"/>
        <v>3367.669999999991</v>
      </c>
      <c r="E964" s="55">
        <f t="shared" ca="1" si="175"/>
        <v>0</v>
      </c>
      <c r="F964" s="55">
        <f t="shared" ca="1" si="176"/>
        <v>182352.48431639309</v>
      </c>
      <c r="G964" s="101">
        <f t="shared" ca="1" si="177"/>
        <v>404497.62431639305</v>
      </c>
      <c r="H964" s="100">
        <f ca="1">ROUND($B964*VLOOKUP($A964,$A$1:$B$10,2,1)/(365+IF(MOD(YEAR($A964),4),0,1)*($A964-$A963)),2)-Первоначальный[[#This Row],[Проценты на просроченный платеж по ОД за период]]</f>
        <v>73.16</v>
      </c>
      <c r="I964" s="55">
        <f t="shared" ca="1" si="178"/>
        <v>8.42</v>
      </c>
      <c r="J964" s="55">
        <v>0</v>
      </c>
      <c r="K964" s="55">
        <f t="shared" ca="1" si="181"/>
        <v>419.99850327868836</v>
      </c>
      <c r="L964" s="55">
        <v>0</v>
      </c>
      <c r="M964" s="113">
        <f>SUMIFS(График[Возврат основной суммы долга],График[Дата с учетом нерабочих дней],$A964)</f>
        <v>0</v>
      </c>
      <c r="N964" s="56">
        <f>SUMIFS(График[Возврат начисленных %],График[Дата с учетом нерабочих дней],$A964)</f>
        <v>0</v>
      </c>
      <c r="O964" s="101">
        <v>0</v>
      </c>
      <c r="P964" s="100" cm="1">
        <f t="array" aca="1" ref="P964" ca="1">MAX(IF(AA963="Да",0,SUM(INDIRECT("M"&amp;(MAX(("Да"=AA$12:AA963)*ROW(AA$12:AA963)+1,ROW($P$12))&amp;":M"&amp;(ROW()))))-SUM(INDIRECT("W"&amp;(MAX(("Да"=AA$12:AA963)*ROW(AA$12:AA963)+1,ROW($P$12))&amp;":W"&amp;(ROW()))))),0)</f>
        <v>15443.2</v>
      </c>
      <c r="Q964" s="99">
        <f ca="1">MAX(SUM($N$13:N964)-SUM($T$13:T964),0)</f>
        <v>68556.500655737676</v>
      </c>
      <c r="R964" s="99">
        <f ca="1">Первоначальный[[#This Row],[Просроченный платеж по ОД]]+Первоначальный[[#This Row],[Просроченный платеж по процентам]]</f>
        <v>83999.700655737674</v>
      </c>
      <c r="S964" s="120">
        <f ca="1">IF(Первоначальный[[#This Row],[Просроченный платеж]]&lt;1,0,S963+1)</f>
        <v>860</v>
      </c>
      <c r="T964" s="100" cm="1">
        <f t="array" aca="1" ref="T964" ca="1">IF(Первоначальный[[#This Row],[Итого остаток на начало периода]]&lt;1,0,
IF(
AND(TYPE(VLOOKUP(1,$Z$12:Z964,1,0))=16,Первоначальный[[#This Row],[Досрочное погашение (да/"")]]=""),0,
_xlfn.IFS(AND(S963=0,Первоначальный[[#This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платеж]]&lt;&gt;0),MIN(LOOKUP(,-1/($Z$12:Z964=1),$C$12:C964)+LOOKUP(,-1/($Z$12:Z964=1),$H$12:H964),Первоначальный[[#This Row],[Полученный платеж]]+Y963),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платеж]]+Y963,SUM(Первоначальный[[#This Row],[Остаток процентов на начало периода]],Первоначальный[[#This Row],[Проценты за период]])),
AND(S963=0,Первоначальный[[#This Row],[Дата платежа из графика]]=""),0,
AND(S963=0,Первоначальный[[#This Row],[Дата платежа из графика]]=1,MAX((0&lt;&gt;S$12:S963)*ROW(S$12:S963),ROW($S$12))&gt;=MAX((1=Z$12:Z963)*ROW(Z$12:Z963),ROW($T$12)),TYPE(VLOOKUP("Да",(INDIRECT("AA"&amp;(MAX((1=Z$12:Z963)*ROW(Z$12:Z963),ROW($T$12))&amp;":AA"&amp;(ROW()-1)))),1,0))=16),MIN(LOOKUP(,-1/($Z$12:Z964=1),$C$12:C964)+LOOKUP(,-1/($Z$12:Z964=1),$H$12:H964),Первоначальный[[#This Row],[Полученный платеж]]+Y963),
AND(S963=0,TYPE(VLOOKUP("Да",(INDIRECT("AA"&amp;(MAX((1=Z$12:Z963)*ROW(Z$12:Z963),ROW($T$12))&amp;":AA"&amp;(ROW()-1)))),1,0))&lt;&gt;16),MIN(LOOKUP(,-1/($Z$12:Z964=1),$C$12:C964)+LOOKUP(,-1/($Z$12:Z964=1),$H$12:H964)-IF(AA963="Да",0,SUM(INDIRECT("T"&amp;(MAX(("Да"=AA$12:AA963)*ROW(AA$12:AA963)+1,ROW($T$12))&amp;":T"&amp;(ROW()-1))))),Первоначальный[[#This Row],[Полученный платеж]]+Y963),
AND(S963=0,MAX((0&lt;&gt;N$12:N963)*ROW(N$12:N963),ROW($S$12))&gt;=MAX((1=Z$12:Z963)*ROW(Z$12:Z963),ROW($T$12))),MIN(LOOKUP(,-1/($Z$12:Z964=1),$C$12:C964)+LOOKUP(,-1/($Z$12:Z964=1),$H$12:H964)-IF(N963&lt;&gt;0,0,SUM(INDIRECT("T"&amp;(MAX((0&lt;&gt;N$12:N963)*ROW(N$12:N963)+1,ROW($T$12))&amp;":T"&amp;(ROW()-1))))),Первоначальный[[#This Row],[Полученный платеж]]+Y963),
AND(S963=0,Первоначальный[[#This Row],[Дата платежа из графика]]=1),MIN(LOOKUP(,-1/($Z$12:Z964=1),$C$12:C964)+LOOKUP(,-1/($Z$12:Z964=1),$H$12:H964)-IF(Z963=1,0,SUM(INDIRECT("T"&amp;(MAX((1=Z$12:Z963)*ROW(Z$12:Z963)+1,ROW($T$12))&amp;":T"&amp;(ROW()-1))))),Первоначальный[[#This Row],[Полученный платеж]]+Y963),
AND(Z963&gt;0,Первоначальный[[#This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платеж]]+Y963),
AND(S963&gt;0,MAX((0&lt;&gt;S$12:S963)*ROW(S$12:S963),ROW($S$12))&gt;=MAX((1=Z$12:Z963)*ROW(Z$12:Z963),ROW($T$12)),TYPE(VLOOKUP("Да",(INDIRECT("AA"&amp;(MAX((1=Z$12:Z963)*ROW(Z$12:Z963),ROW($T$12))&amp;":AA"&amp;(ROW()-1)))),1,0))=16),MIN(LOOKUP(,-1/($Z$12:Z964=1),$C$12:C964)+LOOKUP(,-1/($Z$12:Z964=1),$H$12:H964)-SUM(INDIRECT("T"&amp;(MAX((1=Z$12:Z963)*ROW(Z$12:Z963),ROW($T$12))&amp;":T"&amp;(ROW()-1)))),Первоначальный[[#This Row],[Полученный платеж]]+Y963),
S963&gt;0,MIN(LOOKUP(,-1/($Z$12:Z964=1),$C$12:C964)+LOOKUP(,-1/($Z$12:Z964=1),$H$12:H964)-IF(Z963=1,0,SUM(INDIRECT("T"&amp;(MAX((1=Z$12:Z963)*ROW(Z$12:Z963)+1,ROW($T$12))&amp;":T"&amp;(ROW()-1))))),Первоначальный[[#This Row],[Полученный платеж]]+Y963)
)
)
)</f>
        <v>0</v>
      </c>
      <c r="U96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платеж]]+Y963-Первоначальный[[#This Row],[Полученный платёж по процентам]])</f>
        <v>0</v>
      </c>
      <c r="V964" s="55">
        <f t="shared" ca="1" si="171"/>
        <v>0</v>
      </c>
      <c r="W964" s="55" cm="1">
        <f t="array" aca="1" ref="W964" ca="1">IF(Первоначальный[[#This Row],[Итого остаток на начало периода]]&lt;1,0,
_xlfn.IFS(
AND(TYPE(VLOOKUP(1,$Z$12:Z964,1,0))=16,Первоначальный[[#This Row],[Досрочное погашение (да/"")]]=""),0,
AND(S963=0,Первоначальный[[#This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платеж]]+Y963-SUM(Первоначальный[[#This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комиссиям]]),VLOOKUP(LOOKUP(,-1/($Z$12:Z964=1),$A$12:A964),График[[Срок конец]:[Возврат основной суммы долга]],3,0)),
AND(S963=0,Первоначальный[[#This Row],[Дата платежа из графика]]="",Первоначальный[[#This Row],[Досрочное погашение (да/"")]]&lt;&gt;"Да"),0,
AND(S963=0,Первоначальный[[#This Row],[Досрочное погашение (да/"")]]=""),MIN(Первоначальный[[#This Row],[Полученный платеж]]+Y963-SUM(Первоначальный[[#This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комиссиям]]),VLOOKUP(LOOKUP(,-1/($Z$12:Z964=1),$A$12:A964),График[[Срок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платеж]]+Y963-SUM(Первоначальный[[#This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S963&gt;0,MIN(Первоначальный[[#This Row],[Полученный платеж]]+Y963-SUM(Первоначальный[[#This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комиссиям]]),SUM(INDIRECT("M"&amp;(MAX((1=S$12:S963)*ROW(S$12:S963),ROW($W$12))&amp;":M"&amp;(ROW()))))-SUM(INDIRECT("W"&amp;(MAX((1=S$12:S963)*ROW(S$12:S963),ROW($W$12))&amp;":W"&amp;(ROW()-1)))))
)
)</f>
        <v>0</v>
      </c>
      <c r="X964" s="55">
        <f t="shared" ca="1" si="172"/>
        <v>0</v>
      </c>
      <c r="Y964" s="101">
        <f t="shared" ca="1" si="179"/>
        <v>0</v>
      </c>
      <c r="Z964" s="133" t="str">
        <f>IF(TYPE((VLOOKUP(Первоначальный[[#This Row],[Дата платежа]],График[Срок конец],1,0)))=16,"",1)</f>
        <v/>
      </c>
      <c r="AA964" s="57"/>
      <c r="AB964" s="134"/>
      <c r="AC96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6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69217.28999999995</v>
      </c>
      <c r="AE96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3376.0899999999911</v>
      </c>
      <c r="AF96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6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182772.48281967177</v>
      </c>
      <c r="AH964" s="55"/>
      <c r="AI964" s="55"/>
      <c r="AJ964" s="55"/>
      <c r="AK964" s="101">
        <f t="shared" ca="1" si="180"/>
        <v>404999.20281967171</v>
      </c>
      <c r="AL964" s="129">
        <f t="array" ref="AL964">MAX((УслРестрактов[Характеристика]="Дата реструктуризации")*(УслРестрактов[Значение]=Первоначальный!$A964),0)</f>
        <v>0</v>
      </c>
    </row>
    <row r="965" spans="1:38" x14ac:dyDescent="0.25">
      <c r="A965" s="97">
        <f t="shared" si="173"/>
        <v>45096</v>
      </c>
      <c r="B965" s="100">
        <f t="shared" ca="1" si="174"/>
        <v>149633.34</v>
      </c>
      <c r="C965" s="55">
        <f t="shared" ca="1" si="182"/>
        <v>69217.28999999995</v>
      </c>
      <c r="D965" s="55">
        <f t="shared" ca="1" si="182"/>
        <v>3376.0899999999911</v>
      </c>
      <c r="E965" s="55">
        <f t="shared" ca="1" si="175"/>
        <v>0</v>
      </c>
      <c r="F965" s="55">
        <f t="shared" ca="1" si="176"/>
        <v>182772.48281967177</v>
      </c>
      <c r="G965" s="101">
        <f t="shared" ca="1" si="177"/>
        <v>404999.20281967171</v>
      </c>
      <c r="H965" s="100">
        <f ca="1">ROUND($B965*VLOOKUP($A965,$A$1:$B$10,2,1)/(365+IF(MOD(YEAR($A965),4),0,1)*($A965-$A964)),2)-Первоначальный[[#This Row],[Проценты на просроченный платеж по ОД за период]]</f>
        <v>73.16</v>
      </c>
      <c r="I965" s="55">
        <f t="shared" ca="1" si="178"/>
        <v>8.42</v>
      </c>
      <c r="J965" s="55">
        <v>0</v>
      </c>
      <c r="K965" s="55">
        <f t="shared" ca="1" si="181"/>
        <v>419.99850327868836</v>
      </c>
      <c r="L965" s="55">
        <v>0</v>
      </c>
      <c r="M965" s="113">
        <f>SUMIFS(График[Возврат основной суммы долга],График[Дата с учетом нерабочих дней],$A965)</f>
        <v>0</v>
      </c>
      <c r="N965" s="56">
        <f>SUMIFS(График[Возврат начисленных %],График[Дата с учетом нерабочих дней],$A965)</f>
        <v>0</v>
      </c>
      <c r="O965" s="101">
        <v>0</v>
      </c>
      <c r="P965" s="100" cm="1">
        <f t="array" aca="1" ref="P965" ca="1">MAX(IF(AA964="Да",0,SUM(INDIRECT("M"&amp;(MAX(("Да"=AA$12:AA964)*ROW(AA$12:AA964)+1,ROW($P$12))&amp;":M"&amp;(ROW()))))-SUM(INDIRECT("W"&amp;(MAX(("Да"=AA$12:AA964)*ROW(AA$12:AA964)+1,ROW($P$12))&amp;":W"&amp;(ROW()))))),0)</f>
        <v>15443.2</v>
      </c>
      <c r="Q965" s="99">
        <f ca="1">MAX(SUM($N$13:N965)-SUM($T$13:T965),0)</f>
        <v>68556.500655737676</v>
      </c>
      <c r="R965" s="99">
        <f ca="1">Первоначальный[[#This Row],[Просроченный платеж по ОД]]+Первоначальный[[#This Row],[Просроченный платеж по процентам]]</f>
        <v>83999.700655737674</v>
      </c>
      <c r="S965" s="120">
        <f ca="1">IF(Первоначальный[[#This Row],[Просроченный платеж]]&lt;1,0,S964+1)</f>
        <v>861</v>
      </c>
      <c r="T965" s="100" cm="1">
        <f t="array" aca="1" ref="T965" ca="1">IF(Первоначальный[[#This Row],[Итого остаток на начало периода]]&lt;1,0,
IF(
AND(TYPE(VLOOKUP(1,$Z$12:Z965,1,0))=16,Первоначальный[[#This Row],[Досрочное погашение (да/"")]]=""),0,
_xlfn.IFS(AND(S964=0,Первоначальный[[#This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платеж]]&lt;&gt;0),MIN(LOOKUP(,-1/($Z$12:Z965=1),$C$12:C965)+LOOKUP(,-1/($Z$12:Z965=1),$H$12:H965),Первоначальный[[#This Row],[Полученный платеж]]+Y964),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платеж]]+Y964,SUM(Первоначальный[[#This Row],[Остаток процентов на начало периода]],Первоначальный[[#This Row],[Проценты за период]])),
AND(S964=0,Первоначальный[[#This Row],[Дата платежа из графика]]=""),0,
AND(S964=0,Первоначальный[[#This Row],[Дата платежа из графика]]=1,MAX((0&lt;&gt;S$12:S964)*ROW(S$12:S964),ROW($S$12))&gt;=MAX((1=Z$12:Z964)*ROW(Z$12:Z964),ROW($T$12)),TYPE(VLOOKUP("Да",(INDIRECT("AA"&amp;(MAX((1=Z$12:Z964)*ROW(Z$12:Z964),ROW($T$12))&amp;":AA"&amp;(ROW()-1)))),1,0))=16),MIN(LOOKUP(,-1/($Z$12:Z965=1),$C$12:C965)+LOOKUP(,-1/($Z$12:Z965=1),$H$12:H965),Первоначальный[[#This Row],[Полученный платеж]]+Y964),
AND(S964=0,TYPE(VLOOKUP("Да",(INDIRECT("AA"&amp;(MAX((1=Z$12:Z964)*ROW(Z$12:Z964),ROW($T$12))&amp;":AA"&amp;(ROW()-1)))),1,0))&lt;&gt;16),MIN(LOOKUP(,-1/($Z$12:Z965=1),$C$12:C965)+LOOKUP(,-1/($Z$12:Z965=1),$H$12:H965)-IF(AA964="Да",0,SUM(INDIRECT("T"&amp;(MAX(("Да"=AA$12:AA964)*ROW(AA$12:AA964)+1,ROW($T$12))&amp;":T"&amp;(ROW()-1))))),Первоначальный[[#This Row],[Полученный платеж]]+Y964),
AND(S964=0,MAX((0&lt;&gt;N$12:N964)*ROW(N$12:N964),ROW($S$12))&gt;=MAX((1=Z$12:Z964)*ROW(Z$12:Z964),ROW($T$12))),MIN(LOOKUP(,-1/($Z$12:Z965=1),$C$12:C965)+LOOKUP(,-1/($Z$12:Z965=1),$H$12:H965)-IF(N964&lt;&gt;0,0,SUM(INDIRECT("T"&amp;(MAX((0&lt;&gt;N$12:N964)*ROW(N$12:N964)+1,ROW($T$12))&amp;":T"&amp;(ROW()-1))))),Первоначальный[[#This Row],[Полученный платеж]]+Y964),
AND(S964=0,Первоначальный[[#This Row],[Дата платежа из графика]]=1),MIN(LOOKUP(,-1/($Z$12:Z965=1),$C$12:C965)+LOOKUP(,-1/($Z$12:Z965=1),$H$12:H965)-IF(Z964=1,0,SUM(INDIRECT("T"&amp;(MAX((1=Z$12:Z964)*ROW(Z$12:Z964)+1,ROW($T$12))&amp;":T"&amp;(ROW()-1))))),Первоначальный[[#This Row],[Полученный платеж]]+Y964),
AND(Z964&gt;0,Первоначальный[[#This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платеж]]+Y964),
AND(S964&gt;0,MAX((0&lt;&gt;S$12:S964)*ROW(S$12:S964),ROW($S$12))&gt;=MAX((1=Z$12:Z964)*ROW(Z$12:Z964),ROW($T$12)),TYPE(VLOOKUP("Да",(INDIRECT("AA"&amp;(MAX((1=Z$12:Z964)*ROW(Z$12:Z964),ROW($T$12))&amp;":AA"&amp;(ROW()-1)))),1,0))=16),MIN(LOOKUP(,-1/($Z$12:Z965=1),$C$12:C965)+LOOKUP(,-1/($Z$12:Z965=1),$H$12:H965)-SUM(INDIRECT("T"&amp;(MAX((1=Z$12:Z964)*ROW(Z$12:Z964),ROW($T$12))&amp;":T"&amp;(ROW()-1)))),Первоначальный[[#This Row],[Полученный платеж]]+Y964),
S964&gt;0,MIN(LOOKUP(,-1/($Z$12:Z965=1),$C$12:C965)+LOOKUP(,-1/($Z$12:Z965=1),$H$12:H965)-IF(Z964=1,0,SUM(INDIRECT("T"&amp;(MAX((1=Z$12:Z964)*ROW(Z$12:Z964)+1,ROW($T$12))&amp;":T"&amp;(ROW()-1))))),Первоначальный[[#This Row],[Полученный платеж]]+Y964)
)
)
)</f>
        <v>0</v>
      </c>
      <c r="U96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платеж]]+Y964-Первоначальный[[#This Row],[Полученный платёж по процентам]])</f>
        <v>0</v>
      </c>
      <c r="V965" s="55">
        <f t="shared" ca="1" si="171"/>
        <v>0</v>
      </c>
      <c r="W965" s="55" cm="1">
        <f t="array" aca="1" ref="W965" ca="1">IF(Первоначальный[[#This Row],[Итого остаток на начало периода]]&lt;1,0,
_xlfn.IFS(
AND(TYPE(VLOOKUP(1,$Z$12:Z965,1,0))=16,Первоначальный[[#This Row],[Досрочное погашение (да/"")]]=""),0,
AND(S964=0,Первоначальный[[#This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платеж]]+Y964-SUM(Первоначальный[[#This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комиссиям]]),VLOOKUP(LOOKUP(,-1/($Z$12:Z965=1),$A$12:A965),График[[Срок конец]:[Возврат основной суммы долга]],3,0)),
AND(S964=0,Первоначальный[[#This Row],[Дата платежа из графика]]="",Первоначальный[[#This Row],[Досрочное погашение (да/"")]]&lt;&gt;"Да"),0,
AND(S964=0,Первоначальный[[#This Row],[Досрочное погашение (да/"")]]=""),MIN(Первоначальный[[#This Row],[Полученный платеж]]+Y964-SUM(Первоначальный[[#This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комиссиям]]),VLOOKUP(LOOKUP(,-1/($Z$12:Z965=1),$A$12:A965),График[[Срок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платеж]]+Y964-SUM(Первоначальный[[#This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S964&gt;0,MIN(Первоначальный[[#This Row],[Полученный платеж]]+Y964-SUM(Первоначальный[[#This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комиссиям]]),SUM(INDIRECT("M"&amp;(MAX((1=S$12:S964)*ROW(S$12:S964),ROW($W$12))&amp;":M"&amp;(ROW()))))-SUM(INDIRECT("W"&amp;(MAX((1=S$12:S964)*ROW(S$12:S964),ROW($W$12))&amp;":W"&amp;(ROW()-1)))))
)
)</f>
        <v>0</v>
      </c>
      <c r="X965" s="55">
        <f t="shared" ca="1" si="172"/>
        <v>0</v>
      </c>
      <c r="Y965" s="101">
        <f t="shared" ca="1" si="179"/>
        <v>0</v>
      </c>
      <c r="Z965" s="133" t="str">
        <f>IF(TYPE((VLOOKUP(Первоначальный[[#This Row],[Дата платежа]],График[Срок конец],1,0)))=16,"",1)</f>
        <v/>
      </c>
      <c r="AA965" s="57"/>
      <c r="AB965" s="134"/>
      <c r="AC96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6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69290.449999999953</v>
      </c>
      <c r="AE96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3384.5099999999911</v>
      </c>
      <c r="AF96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6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183192.48132295045</v>
      </c>
      <c r="AH965" s="55"/>
      <c r="AI965" s="55"/>
      <c r="AJ965" s="55"/>
      <c r="AK965" s="101">
        <f t="shared" ca="1" si="180"/>
        <v>405500.78132295038</v>
      </c>
      <c r="AL965" s="129">
        <f t="array" ref="AL965">MAX((УслРестрактов[Характеристика]="Дата реструктуризации")*(УслРестрактов[Значение]=Первоначальный!$A965),0)</f>
        <v>0</v>
      </c>
    </row>
    <row r="966" spans="1:38" x14ac:dyDescent="0.25">
      <c r="A966" s="97">
        <f t="shared" si="173"/>
        <v>45097</v>
      </c>
      <c r="B966" s="100">
        <f t="shared" ca="1" si="174"/>
        <v>149633.34</v>
      </c>
      <c r="C966" s="55">
        <f t="shared" ca="1" si="182"/>
        <v>69290.449999999953</v>
      </c>
      <c r="D966" s="55">
        <f t="shared" ca="1" si="182"/>
        <v>3384.5099999999911</v>
      </c>
      <c r="E966" s="55">
        <f t="shared" ca="1" si="175"/>
        <v>0</v>
      </c>
      <c r="F966" s="55">
        <f t="shared" ca="1" si="176"/>
        <v>183192.48132295045</v>
      </c>
      <c r="G966" s="101">
        <f t="shared" ca="1" si="177"/>
        <v>405500.78132295038</v>
      </c>
      <c r="H966" s="100">
        <f ca="1">ROUND($B966*VLOOKUP($A966,$A$1:$B$10,2,1)/(365+IF(MOD(YEAR($A966),4),0,1)*($A966-$A965)),2)-Первоначальный[[#This Row],[Проценты на просроченный платеж по ОД за период]]</f>
        <v>73.16</v>
      </c>
      <c r="I966" s="55">
        <f t="shared" ca="1" si="178"/>
        <v>8.42</v>
      </c>
      <c r="J966" s="55">
        <v>0</v>
      </c>
      <c r="K966" s="55">
        <f t="shared" ca="1" si="181"/>
        <v>419.99850327868836</v>
      </c>
      <c r="L966" s="55">
        <v>0</v>
      </c>
      <c r="M966" s="113">
        <f>SUMIFS(График[Возврат основной суммы долга],График[Дата с учетом нерабочих дней],$A966)</f>
        <v>0</v>
      </c>
      <c r="N966" s="56">
        <f>SUMIFS(График[Возврат начисленных %],График[Дата с учетом нерабочих дней],$A966)</f>
        <v>0</v>
      </c>
      <c r="O966" s="101">
        <v>0</v>
      </c>
      <c r="P966" s="100" cm="1">
        <f t="array" aca="1" ref="P966" ca="1">MAX(IF(AA965="Да",0,SUM(INDIRECT("M"&amp;(MAX(("Да"=AA$12:AA965)*ROW(AA$12:AA965)+1,ROW($P$12))&amp;":M"&amp;(ROW()))))-SUM(INDIRECT("W"&amp;(MAX(("Да"=AA$12:AA965)*ROW(AA$12:AA965)+1,ROW($P$12))&amp;":W"&amp;(ROW()))))),0)</f>
        <v>15443.2</v>
      </c>
      <c r="Q966" s="99">
        <f ca="1">MAX(SUM($N$13:N966)-SUM($T$13:T966),0)</f>
        <v>68556.500655737676</v>
      </c>
      <c r="R966" s="99">
        <f ca="1">Первоначальный[[#This Row],[Просроченный платеж по ОД]]+Первоначальный[[#This Row],[Просроченный платеж по процентам]]</f>
        <v>83999.700655737674</v>
      </c>
      <c r="S966" s="120">
        <f ca="1">IF(Первоначальный[[#This Row],[Просроченный платеж]]&lt;1,0,S965+1)</f>
        <v>862</v>
      </c>
      <c r="T966" s="100" cm="1">
        <f t="array" aca="1" ref="T966" ca="1">IF(Первоначальный[[#This Row],[Итого остаток на начало периода]]&lt;1,0,
IF(
AND(TYPE(VLOOKUP(1,$Z$12:Z966,1,0))=16,Первоначальный[[#This Row],[Досрочное погашение (да/"")]]=""),0,
_xlfn.IFS(AND(S965=0,Первоначальный[[#This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платеж]]&lt;&gt;0),MIN(LOOKUP(,-1/($Z$12:Z966=1),$C$12:C966)+LOOKUP(,-1/($Z$12:Z966=1),$H$12:H966),Первоначальный[[#This Row],[Полученный платеж]]+Y965),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платеж]]+Y965,SUM(Первоначальный[[#This Row],[Остаток процентов на начало периода]],Первоначальный[[#This Row],[Проценты за период]])),
AND(S965=0,Первоначальный[[#This Row],[Дата платежа из графика]]=""),0,
AND(S965=0,Первоначальный[[#This Row],[Дата платежа из графика]]=1,MAX((0&lt;&gt;S$12:S965)*ROW(S$12:S965),ROW($S$12))&gt;=MAX((1=Z$12:Z965)*ROW(Z$12:Z965),ROW($T$12)),TYPE(VLOOKUP("Да",(INDIRECT("AA"&amp;(MAX((1=Z$12:Z965)*ROW(Z$12:Z965),ROW($T$12))&amp;":AA"&amp;(ROW()-1)))),1,0))=16),MIN(LOOKUP(,-1/($Z$12:Z966=1),$C$12:C966)+LOOKUP(,-1/($Z$12:Z966=1),$H$12:H966),Первоначальный[[#This Row],[Полученный платеж]]+Y965),
AND(S965=0,TYPE(VLOOKUP("Да",(INDIRECT("AA"&amp;(MAX((1=Z$12:Z965)*ROW(Z$12:Z965),ROW($T$12))&amp;":AA"&amp;(ROW()-1)))),1,0))&lt;&gt;16),MIN(LOOKUP(,-1/($Z$12:Z966=1),$C$12:C966)+LOOKUP(,-1/($Z$12:Z966=1),$H$12:H966)-IF(AA965="Да",0,SUM(INDIRECT("T"&amp;(MAX(("Да"=AA$12:AA965)*ROW(AA$12:AA965)+1,ROW($T$12))&amp;":T"&amp;(ROW()-1))))),Первоначальный[[#This Row],[Полученный платеж]]+Y965),
AND(S965=0,MAX((0&lt;&gt;N$12:N965)*ROW(N$12:N965),ROW($S$12))&gt;=MAX((1=Z$12:Z965)*ROW(Z$12:Z965),ROW($T$12))),MIN(LOOKUP(,-1/($Z$12:Z966=1),$C$12:C966)+LOOKUP(,-1/($Z$12:Z966=1),$H$12:H966)-IF(N965&lt;&gt;0,0,SUM(INDIRECT("T"&amp;(MAX((0&lt;&gt;N$12:N965)*ROW(N$12:N965)+1,ROW($T$12))&amp;":T"&amp;(ROW()-1))))),Первоначальный[[#This Row],[Полученный платеж]]+Y965),
AND(S965=0,Первоначальный[[#This Row],[Дата платежа из графика]]=1),MIN(LOOKUP(,-1/($Z$12:Z966=1),$C$12:C966)+LOOKUP(,-1/($Z$12:Z966=1),$H$12:H966)-IF(Z965=1,0,SUM(INDIRECT("T"&amp;(MAX((1=Z$12:Z965)*ROW(Z$12:Z965)+1,ROW($T$12))&amp;":T"&amp;(ROW()-1))))),Первоначальный[[#This Row],[Полученный платеж]]+Y965),
AND(Z965&gt;0,Первоначальный[[#This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платеж]]+Y965),
AND(S965&gt;0,MAX((0&lt;&gt;S$12:S965)*ROW(S$12:S965),ROW($S$12))&gt;=MAX((1=Z$12:Z965)*ROW(Z$12:Z965),ROW($T$12)),TYPE(VLOOKUP("Да",(INDIRECT("AA"&amp;(MAX((1=Z$12:Z965)*ROW(Z$12:Z965),ROW($T$12))&amp;":AA"&amp;(ROW()-1)))),1,0))=16),MIN(LOOKUP(,-1/($Z$12:Z966=1),$C$12:C966)+LOOKUP(,-1/($Z$12:Z966=1),$H$12:H966)-SUM(INDIRECT("T"&amp;(MAX((1=Z$12:Z965)*ROW(Z$12:Z965),ROW($T$12))&amp;":T"&amp;(ROW()-1)))),Первоначальный[[#This Row],[Полученный платеж]]+Y965),
S965&gt;0,MIN(LOOKUP(,-1/($Z$12:Z966=1),$C$12:C966)+LOOKUP(,-1/($Z$12:Z966=1),$H$12:H966)-IF(Z965=1,0,SUM(INDIRECT("T"&amp;(MAX((1=Z$12:Z965)*ROW(Z$12:Z965)+1,ROW($T$12))&amp;":T"&amp;(ROW()-1))))),Первоначальный[[#This Row],[Полученный платеж]]+Y965)
)
)
)</f>
        <v>0</v>
      </c>
      <c r="U96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платеж]]+Y965-Первоначальный[[#This Row],[Полученный платёж по процентам]])</f>
        <v>0</v>
      </c>
      <c r="V966" s="55">
        <f t="shared" ca="1" si="171"/>
        <v>0</v>
      </c>
      <c r="W966" s="55" cm="1">
        <f t="array" aca="1" ref="W966" ca="1">IF(Первоначальный[[#This Row],[Итого остаток на начало периода]]&lt;1,0,
_xlfn.IFS(
AND(TYPE(VLOOKUP(1,$Z$12:Z966,1,0))=16,Первоначальный[[#This Row],[Досрочное погашение (да/"")]]=""),0,
AND(S965=0,Первоначальный[[#This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платеж]]+Y965-SUM(Первоначальный[[#This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комиссиям]]),VLOOKUP(LOOKUP(,-1/($Z$12:Z966=1),$A$12:A966),График[[Срок конец]:[Возврат основной суммы долга]],3,0)),
AND(S965=0,Первоначальный[[#This Row],[Дата платежа из графика]]="",Первоначальный[[#This Row],[Досрочное погашение (да/"")]]&lt;&gt;"Да"),0,
AND(S965=0,Первоначальный[[#This Row],[Досрочное погашение (да/"")]]=""),MIN(Первоначальный[[#This Row],[Полученный платеж]]+Y965-SUM(Первоначальный[[#This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комиссиям]]),VLOOKUP(LOOKUP(,-1/($Z$12:Z966=1),$A$12:A966),График[[Срок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платеж]]+Y965-SUM(Первоначальный[[#This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S965&gt;0,MIN(Первоначальный[[#This Row],[Полученный платеж]]+Y965-SUM(Первоначальный[[#This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комиссиям]]),SUM(INDIRECT("M"&amp;(MAX((1=S$12:S965)*ROW(S$12:S965),ROW($W$12))&amp;":M"&amp;(ROW()))))-SUM(INDIRECT("W"&amp;(MAX((1=S$12:S965)*ROW(S$12:S965),ROW($W$12))&amp;":W"&amp;(ROW()-1)))))
)
)</f>
        <v>0</v>
      </c>
      <c r="X966" s="55">
        <f t="shared" ca="1" si="172"/>
        <v>0</v>
      </c>
      <c r="Y966" s="101">
        <f t="shared" ca="1" si="179"/>
        <v>0</v>
      </c>
      <c r="Z966" s="133" t="str">
        <f>IF(TYPE((VLOOKUP(Первоначальный[[#This Row],[Дата платежа]],График[Срок конец],1,0)))=16,"",1)</f>
        <v/>
      </c>
      <c r="AA966" s="57"/>
      <c r="AB966" s="134"/>
      <c r="AC96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6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69363.609999999957</v>
      </c>
      <c r="AE96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3392.9299999999912</v>
      </c>
      <c r="AF96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6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183612.47982622913</v>
      </c>
      <c r="AH966" s="55"/>
      <c r="AI966" s="55"/>
      <c r="AJ966" s="55"/>
      <c r="AK966" s="101">
        <f t="shared" ca="1" si="180"/>
        <v>406002.35982622905</v>
      </c>
      <c r="AL966" s="129">
        <f t="array" ref="AL966">MAX((УслРестрактов[Характеристика]="Дата реструктуризации")*(УслРестрактов[Значение]=Первоначальный!$A966),0)</f>
        <v>0</v>
      </c>
    </row>
    <row r="967" spans="1:38" x14ac:dyDescent="0.25">
      <c r="A967" s="97">
        <f t="shared" si="173"/>
        <v>45098</v>
      </c>
      <c r="B967" s="100">
        <f t="shared" ca="1" si="174"/>
        <v>149633.34</v>
      </c>
      <c r="C967" s="55">
        <f t="shared" ca="1" si="182"/>
        <v>69363.609999999957</v>
      </c>
      <c r="D967" s="55">
        <f t="shared" ca="1" si="182"/>
        <v>3392.9299999999912</v>
      </c>
      <c r="E967" s="55">
        <f t="shared" ca="1" si="175"/>
        <v>0</v>
      </c>
      <c r="F967" s="55">
        <f t="shared" ca="1" si="176"/>
        <v>183612.47982622913</v>
      </c>
      <c r="G967" s="101">
        <f t="shared" ca="1" si="177"/>
        <v>406002.35982622905</v>
      </c>
      <c r="H967" s="100">
        <f ca="1">ROUND($B967*VLOOKUP($A967,$A$1:$B$10,2,1)/(365+IF(MOD(YEAR($A967),4),0,1)*($A967-$A966)),2)-Первоначальный[[#This Row],[Проценты на просроченный платеж по ОД за период]]</f>
        <v>73.16</v>
      </c>
      <c r="I967" s="55">
        <f t="shared" ca="1" si="178"/>
        <v>8.42</v>
      </c>
      <c r="J967" s="55">
        <v>0</v>
      </c>
      <c r="K967" s="55">
        <f t="shared" ca="1" si="181"/>
        <v>419.99850327868836</v>
      </c>
      <c r="L967" s="55">
        <v>0</v>
      </c>
      <c r="M967" s="113">
        <f>SUMIFS(График[Возврат основной суммы долга],График[Дата с учетом нерабочих дней],$A967)</f>
        <v>0</v>
      </c>
      <c r="N967" s="56">
        <f>SUMIFS(График[Возврат начисленных %],График[Дата с учетом нерабочих дней],$A967)</f>
        <v>0</v>
      </c>
      <c r="O967" s="101">
        <v>0</v>
      </c>
      <c r="P967" s="100" cm="1">
        <f t="array" aca="1" ref="P967" ca="1">MAX(IF(AA966="Да",0,SUM(INDIRECT("M"&amp;(MAX(("Да"=AA$12:AA966)*ROW(AA$12:AA966)+1,ROW($P$12))&amp;":M"&amp;(ROW()))))-SUM(INDIRECT("W"&amp;(MAX(("Да"=AA$12:AA966)*ROW(AA$12:AA966)+1,ROW($P$12))&amp;":W"&amp;(ROW()))))),0)</f>
        <v>15443.2</v>
      </c>
      <c r="Q967" s="99">
        <f ca="1">MAX(SUM($N$13:N967)-SUM($T$13:T967),0)</f>
        <v>68556.500655737676</v>
      </c>
      <c r="R967" s="99">
        <f ca="1">Первоначальный[[#This Row],[Просроченный платеж по ОД]]+Первоначальный[[#This Row],[Просроченный платеж по процентам]]</f>
        <v>83999.700655737674</v>
      </c>
      <c r="S967" s="120">
        <f ca="1">IF(Первоначальный[[#This Row],[Просроченный платеж]]&lt;1,0,S966+1)</f>
        <v>863</v>
      </c>
      <c r="T967" s="100" cm="1">
        <f t="array" aca="1" ref="T967" ca="1">IF(Первоначальный[[#This Row],[Итого остаток на начало периода]]&lt;1,0,
IF(
AND(TYPE(VLOOKUP(1,$Z$12:Z967,1,0))=16,Первоначальный[[#This Row],[Досрочное погашение (да/"")]]=""),0,
_xlfn.IFS(AND(S966=0,Первоначальный[[#This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платеж]]&lt;&gt;0),MIN(LOOKUP(,-1/($Z$12:Z967=1),$C$12:C967)+LOOKUP(,-1/($Z$12:Z967=1),$H$12:H967),Первоначальный[[#This Row],[Полученный платеж]]+Y966),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платеж]]+Y966,SUM(Первоначальный[[#This Row],[Остаток процентов на начало периода]],Первоначальный[[#This Row],[Проценты за период]])),
AND(S966=0,Первоначальный[[#This Row],[Дата платежа из графика]]=""),0,
AND(S966=0,Первоначальный[[#This Row],[Дата платежа из графика]]=1,MAX((0&lt;&gt;S$12:S966)*ROW(S$12:S966),ROW($S$12))&gt;=MAX((1=Z$12:Z966)*ROW(Z$12:Z966),ROW($T$12)),TYPE(VLOOKUP("Да",(INDIRECT("AA"&amp;(MAX((1=Z$12:Z966)*ROW(Z$12:Z966),ROW($T$12))&amp;":AA"&amp;(ROW()-1)))),1,0))=16),MIN(LOOKUP(,-1/($Z$12:Z967=1),$C$12:C967)+LOOKUP(,-1/($Z$12:Z967=1),$H$12:H967),Первоначальный[[#This Row],[Полученный платеж]]+Y966),
AND(S966=0,TYPE(VLOOKUP("Да",(INDIRECT("AA"&amp;(MAX((1=Z$12:Z966)*ROW(Z$12:Z966),ROW($T$12))&amp;":AA"&amp;(ROW()-1)))),1,0))&lt;&gt;16),MIN(LOOKUP(,-1/($Z$12:Z967=1),$C$12:C967)+LOOKUP(,-1/($Z$12:Z967=1),$H$12:H967)-IF(AA966="Да",0,SUM(INDIRECT("T"&amp;(MAX(("Да"=AA$12:AA966)*ROW(AA$12:AA966)+1,ROW($T$12))&amp;":T"&amp;(ROW()-1))))),Первоначальный[[#This Row],[Полученный платеж]]+Y966),
AND(S966=0,MAX((0&lt;&gt;N$12:N966)*ROW(N$12:N966),ROW($S$12))&gt;=MAX((1=Z$12:Z966)*ROW(Z$12:Z966),ROW($T$12))),MIN(LOOKUP(,-1/($Z$12:Z967=1),$C$12:C967)+LOOKUP(,-1/($Z$12:Z967=1),$H$12:H967)-IF(N966&lt;&gt;0,0,SUM(INDIRECT("T"&amp;(MAX((0&lt;&gt;N$12:N966)*ROW(N$12:N966)+1,ROW($T$12))&amp;":T"&amp;(ROW()-1))))),Первоначальный[[#This Row],[Полученный платеж]]+Y966),
AND(S966=0,Первоначальный[[#This Row],[Дата платежа из графика]]=1),MIN(LOOKUP(,-1/($Z$12:Z967=1),$C$12:C967)+LOOKUP(,-1/($Z$12:Z967=1),$H$12:H967)-IF(Z966=1,0,SUM(INDIRECT("T"&amp;(MAX((1=Z$12:Z966)*ROW(Z$12:Z966)+1,ROW($T$12))&amp;":T"&amp;(ROW()-1))))),Первоначальный[[#This Row],[Полученный платеж]]+Y966),
AND(Z966&gt;0,Первоначальный[[#This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платеж]]+Y966),
AND(S966&gt;0,MAX((0&lt;&gt;S$12:S966)*ROW(S$12:S966),ROW($S$12))&gt;=MAX((1=Z$12:Z966)*ROW(Z$12:Z966),ROW($T$12)),TYPE(VLOOKUP("Да",(INDIRECT("AA"&amp;(MAX((1=Z$12:Z966)*ROW(Z$12:Z966),ROW($T$12))&amp;":AA"&amp;(ROW()-1)))),1,0))=16),MIN(LOOKUP(,-1/($Z$12:Z967=1),$C$12:C967)+LOOKUP(,-1/($Z$12:Z967=1),$H$12:H967)-SUM(INDIRECT("T"&amp;(MAX((1=Z$12:Z966)*ROW(Z$12:Z966),ROW($T$12))&amp;":T"&amp;(ROW()-1)))),Первоначальный[[#This Row],[Полученный платеж]]+Y966),
S966&gt;0,MIN(LOOKUP(,-1/($Z$12:Z967=1),$C$12:C967)+LOOKUP(,-1/($Z$12:Z967=1),$H$12:H967)-IF(Z966=1,0,SUM(INDIRECT("T"&amp;(MAX((1=Z$12:Z966)*ROW(Z$12:Z966)+1,ROW($T$12))&amp;":T"&amp;(ROW()-1))))),Первоначальный[[#This Row],[Полученный платеж]]+Y966)
)
)
)</f>
        <v>0</v>
      </c>
      <c r="U96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платеж]]+Y966-Первоначальный[[#This Row],[Полученный платёж по процентам]])</f>
        <v>0</v>
      </c>
      <c r="V967" s="55">
        <f t="shared" ca="1" si="171"/>
        <v>0</v>
      </c>
      <c r="W967" s="55" cm="1">
        <f t="array" aca="1" ref="W967" ca="1">IF(Первоначальный[[#This Row],[Итого остаток на начало периода]]&lt;1,0,
_xlfn.IFS(
AND(TYPE(VLOOKUP(1,$Z$12:Z967,1,0))=16,Первоначальный[[#This Row],[Досрочное погашение (да/"")]]=""),0,
AND(S966=0,Первоначальный[[#This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платеж]]+Y966-SUM(Первоначальный[[#This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комиссиям]]),VLOOKUP(LOOKUP(,-1/($Z$12:Z967=1),$A$12:A967),График[[Срок конец]:[Возврат основной суммы долга]],3,0)),
AND(S966=0,Первоначальный[[#This Row],[Дата платежа из графика]]="",Первоначальный[[#This Row],[Досрочное погашение (да/"")]]&lt;&gt;"Да"),0,
AND(S966=0,Первоначальный[[#This Row],[Досрочное погашение (да/"")]]=""),MIN(Первоначальный[[#This Row],[Полученный платеж]]+Y966-SUM(Первоначальный[[#This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комиссиям]]),VLOOKUP(LOOKUP(,-1/($Z$12:Z967=1),$A$12:A967),График[[Срок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платеж]]+Y966-SUM(Первоначальный[[#This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S966&gt;0,MIN(Первоначальный[[#This Row],[Полученный платеж]]+Y966-SUM(Первоначальный[[#This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комиссиям]]),SUM(INDIRECT("M"&amp;(MAX((1=S$12:S966)*ROW(S$12:S966),ROW($W$12))&amp;":M"&amp;(ROW()))))-SUM(INDIRECT("W"&amp;(MAX((1=S$12:S966)*ROW(S$12:S966),ROW($W$12))&amp;":W"&amp;(ROW()-1)))))
)
)</f>
        <v>0</v>
      </c>
      <c r="X967" s="55">
        <f t="shared" ca="1" si="172"/>
        <v>0</v>
      </c>
      <c r="Y967" s="101">
        <f t="shared" ca="1" si="179"/>
        <v>0</v>
      </c>
      <c r="Z967" s="133" t="str">
        <f>IF(TYPE((VLOOKUP(Первоначальный[[#This Row],[Дата платежа]],График[Срок конец],1,0)))=16,"",1)</f>
        <v/>
      </c>
      <c r="AA967" s="57"/>
      <c r="AB967" s="134"/>
      <c r="AC96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6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69436.76999999996</v>
      </c>
      <c r="AE96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3401.3499999999913</v>
      </c>
      <c r="AF96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6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184032.47832950781</v>
      </c>
      <c r="AH967" s="55"/>
      <c r="AI967" s="55"/>
      <c r="AJ967" s="55"/>
      <c r="AK967" s="101">
        <f t="shared" ca="1" si="180"/>
        <v>406503.93832950777</v>
      </c>
      <c r="AL967" s="129">
        <f t="array" ref="AL967">MAX((УслРестрактов[Характеристика]="Дата реструктуризации")*(УслРестрактов[Значение]=Первоначальный!$A967),0)</f>
        <v>0</v>
      </c>
    </row>
    <row r="968" spans="1:38" x14ac:dyDescent="0.25">
      <c r="A968" s="97">
        <f t="shared" si="173"/>
        <v>45099</v>
      </c>
      <c r="B968" s="100">
        <f t="shared" ca="1" si="174"/>
        <v>149633.34</v>
      </c>
      <c r="C968" s="55">
        <f t="shared" ca="1" si="182"/>
        <v>69436.76999999996</v>
      </c>
      <c r="D968" s="55">
        <f t="shared" ca="1" si="182"/>
        <v>3401.3499999999913</v>
      </c>
      <c r="E968" s="55">
        <f t="shared" ca="1" si="175"/>
        <v>0</v>
      </c>
      <c r="F968" s="55">
        <f t="shared" ca="1" si="176"/>
        <v>184032.47832950781</v>
      </c>
      <c r="G968" s="101">
        <f t="shared" ca="1" si="177"/>
        <v>406503.93832950777</v>
      </c>
      <c r="H968" s="100">
        <f ca="1">ROUND($B968*VLOOKUP($A968,$A$1:$B$10,2,1)/(365+IF(MOD(YEAR($A968),4),0,1)*($A968-$A967)),2)-Первоначальный[[#This Row],[Проценты на просроченный платеж по ОД за период]]</f>
        <v>73.16</v>
      </c>
      <c r="I968" s="55">
        <f t="shared" ca="1" si="178"/>
        <v>8.42</v>
      </c>
      <c r="J968" s="55">
        <v>0</v>
      </c>
      <c r="K968" s="55">
        <f t="shared" ca="1" si="181"/>
        <v>419.99850327868836</v>
      </c>
      <c r="L968" s="55">
        <v>0</v>
      </c>
      <c r="M968" s="113">
        <f>SUMIFS(График[Возврат основной суммы долга],График[Дата с учетом нерабочих дней],$A968)</f>
        <v>0</v>
      </c>
      <c r="N968" s="56">
        <f>SUMIFS(График[Возврат начисленных %],График[Дата с учетом нерабочих дней],$A968)</f>
        <v>0</v>
      </c>
      <c r="O968" s="101">
        <v>0</v>
      </c>
      <c r="P968" s="100" cm="1">
        <f t="array" aca="1" ref="P968" ca="1">MAX(IF(AA967="Да",0,SUM(INDIRECT("M"&amp;(MAX(("Да"=AA$12:AA967)*ROW(AA$12:AA967)+1,ROW($P$12))&amp;":M"&amp;(ROW()))))-SUM(INDIRECT("W"&amp;(MAX(("Да"=AA$12:AA967)*ROW(AA$12:AA967)+1,ROW($P$12))&amp;":W"&amp;(ROW()))))),0)</f>
        <v>15443.2</v>
      </c>
      <c r="Q968" s="99">
        <f ca="1">MAX(SUM($N$13:N968)-SUM($T$13:T968),0)</f>
        <v>68556.500655737676</v>
      </c>
      <c r="R968" s="99">
        <f ca="1">Первоначальный[[#This Row],[Просроченный платеж по ОД]]+Первоначальный[[#This Row],[Просроченный платеж по процентам]]</f>
        <v>83999.700655737674</v>
      </c>
      <c r="S968" s="120">
        <f ca="1">IF(Первоначальный[[#This Row],[Просроченный платеж]]&lt;1,0,S967+1)</f>
        <v>864</v>
      </c>
      <c r="T968" s="100" cm="1">
        <f t="array" aca="1" ref="T968" ca="1">IF(Первоначальный[[#This Row],[Итого остаток на начало периода]]&lt;1,0,
IF(
AND(TYPE(VLOOKUP(1,$Z$12:Z968,1,0))=16,Первоначальный[[#This Row],[Досрочное погашение (да/"")]]=""),0,
_xlfn.IFS(AND(S967=0,Первоначальный[[#This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платеж]]&lt;&gt;0),MIN(LOOKUP(,-1/($Z$12:Z968=1),$C$12:C968)+LOOKUP(,-1/($Z$12:Z968=1),$H$12:H968),Первоначальный[[#This Row],[Полученный платеж]]+Y967),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платеж]]+Y967,SUM(Первоначальный[[#This Row],[Остаток процентов на начало периода]],Первоначальный[[#This Row],[Проценты за период]])),
AND(S967=0,Первоначальный[[#This Row],[Дата платежа из графика]]=""),0,
AND(S967=0,Первоначальный[[#This Row],[Дата платежа из графика]]=1,MAX((0&lt;&gt;S$12:S967)*ROW(S$12:S967),ROW($S$12))&gt;=MAX((1=Z$12:Z967)*ROW(Z$12:Z967),ROW($T$12)),TYPE(VLOOKUP("Да",(INDIRECT("AA"&amp;(MAX((1=Z$12:Z967)*ROW(Z$12:Z967),ROW($T$12))&amp;":AA"&amp;(ROW()-1)))),1,0))=16),MIN(LOOKUP(,-1/($Z$12:Z968=1),$C$12:C968)+LOOKUP(,-1/($Z$12:Z968=1),$H$12:H968),Первоначальный[[#This Row],[Полученный платеж]]+Y967),
AND(S967=0,TYPE(VLOOKUP("Да",(INDIRECT("AA"&amp;(MAX((1=Z$12:Z967)*ROW(Z$12:Z967),ROW($T$12))&amp;":AA"&amp;(ROW()-1)))),1,0))&lt;&gt;16),MIN(LOOKUP(,-1/($Z$12:Z968=1),$C$12:C968)+LOOKUP(,-1/($Z$12:Z968=1),$H$12:H968)-IF(AA967="Да",0,SUM(INDIRECT("T"&amp;(MAX(("Да"=AA$12:AA967)*ROW(AA$12:AA967)+1,ROW($T$12))&amp;":T"&amp;(ROW()-1))))),Первоначальный[[#This Row],[Полученный платеж]]+Y967),
AND(S967=0,MAX((0&lt;&gt;N$12:N967)*ROW(N$12:N967),ROW($S$12))&gt;=MAX((1=Z$12:Z967)*ROW(Z$12:Z967),ROW($T$12))),MIN(LOOKUP(,-1/($Z$12:Z968=1),$C$12:C968)+LOOKUP(,-1/($Z$12:Z968=1),$H$12:H968)-IF(N967&lt;&gt;0,0,SUM(INDIRECT("T"&amp;(MAX((0&lt;&gt;N$12:N967)*ROW(N$12:N967)+1,ROW($T$12))&amp;":T"&amp;(ROW()-1))))),Первоначальный[[#This Row],[Полученный платеж]]+Y967),
AND(S967=0,Первоначальный[[#This Row],[Дата платежа из графика]]=1),MIN(LOOKUP(,-1/($Z$12:Z968=1),$C$12:C968)+LOOKUP(,-1/($Z$12:Z968=1),$H$12:H968)-IF(Z967=1,0,SUM(INDIRECT("T"&amp;(MAX((1=Z$12:Z967)*ROW(Z$12:Z967)+1,ROW($T$12))&amp;":T"&amp;(ROW()-1))))),Первоначальный[[#This Row],[Полученный платеж]]+Y967),
AND(Z967&gt;0,Первоначальный[[#This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платеж]]+Y967),
AND(S967&gt;0,MAX((0&lt;&gt;S$12:S967)*ROW(S$12:S967),ROW($S$12))&gt;=MAX((1=Z$12:Z967)*ROW(Z$12:Z967),ROW($T$12)),TYPE(VLOOKUP("Да",(INDIRECT("AA"&amp;(MAX((1=Z$12:Z967)*ROW(Z$12:Z967),ROW($T$12))&amp;":AA"&amp;(ROW()-1)))),1,0))=16),MIN(LOOKUP(,-1/($Z$12:Z968=1),$C$12:C968)+LOOKUP(,-1/($Z$12:Z968=1),$H$12:H968)-SUM(INDIRECT("T"&amp;(MAX((1=Z$12:Z967)*ROW(Z$12:Z967),ROW($T$12))&amp;":T"&amp;(ROW()-1)))),Первоначальный[[#This Row],[Полученный платеж]]+Y967),
S967&gt;0,MIN(LOOKUP(,-1/($Z$12:Z968=1),$C$12:C968)+LOOKUP(,-1/($Z$12:Z968=1),$H$12:H968)-IF(Z967=1,0,SUM(INDIRECT("T"&amp;(MAX((1=Z$12:Z967)*ROW(Z$12:Z967)+1,ROW($T$12))&amp;":T"&amp;(ROW()-1))))),Первоначальный[[#This Row],[Полученный платеж]]+Y967)
)
)
)</f>
        <v>0</v>
      </c>
      <c r="U96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платеж]]+Y967-Первоначальный[[#This Row],[Полученный платёж по процентам]])</f>
        <v>0</v>
      </c>
      <c r="V968" s="55">
        <f t="shared" ca="1" si="171"/>
        <v>0</v>
      </c>
      <c r="W968" s="55" cm="1">
        <f t="array" aca="1" ref="W968" ca="1">IF(Первоначальный[[#This Row],[Итого остаток на начало периода]]&lt;1,0,
_xlfn.IFS(
AND(TYPE(VLOOKUP(1,$Z$12:Z968,1,0))=16,Первоначальный[[#This Row],[Досрочное погашение (да/"")]]=""),0,
AND(S967=0,Первоначальный[[#This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платеж]]+Y967-SUM(Первоначальный[[#This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комиссиям]]),VLOOKUP(LOOKUP(,-1/($Z$12:Z968=1),$A$12:A968),График[[Срок конец]:[Возврат основной суммы долга]],3,0)),
AND(S967=0,Первоначальный[[#This Row],[Дата платежа из графика]]="",Первоначальный[[#This Row],[Досрочное погашение (да/"")]]&lt;&gt;"Да"),0,
AND(S967=0,Первоначальный[[#This Row],[Досрочное погашение (да/"")]]=""),MIN(Первоначальный[[#This Row],[Полученный платеж]]+Y967-SUM(Первоначальный[[#This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комиссиям]]),VLOOKUP(LOOKUP(,-1/($Z$12:Z968=1),$A$12:A968),График[[Срок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платеж]]+Y967-SUM(Первоначальный[[#This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S967&gt;0,MIN(Первоначальный[[#This Row],[Полученный платеж]]+Y967-SUM(Первоначальный[[#This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комиссиям]]),SUM(INDIRECT("M"&amp;(MAX((1=S$12:S967)*ROW(S$12:S967),ROW($W$12))&amp;":M"&amp;(ROW()))))-SUM(INDIRECT("W"&amp;(MAX((1=S$12:S967)*ROW(S$12:S967),ROW($W$12))&amp;":W"&amp;(ROW()-1)))))
)
)</f>
        <v>0</v>
      </c>
      <c r="X968" s="55">
        <f t="shared" ca="1" si="172"/>
        <v>0</v>
      </c>
      <c r="Y968" s="101">
        <f t="shared" ca="1" si="179"/>
        <v>0</v>
      </c>
      <c r="Z968" s="133" t="str">
        <f>IF(TYPE((VLOOKUP(Первоначальный[[#This Row],[Дата платежа]],График[Срок конец],1,0)))=16,"",1)</f>
        <v/>
      </c>
      <c r="AA968" s="57"/>
      <c r="AB968" s="134"/>
      <c r="AC96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6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69509.929999999964</v>
      </c>
      <c r="AE96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3409.7699999999913</v>
      </c>
      <c r="AF96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6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184452.47683278649</v>
      </c>
      <c r="AH968" s="55"/>
      <c r="AI968" s="55"/>
      <c r="AJ968" s="55"/>
      <c r="AK968" s="101">
        <f t="shared" ca="1" si="180"/>
        <v>407005.51683278644</v>
      </c>
      <c r="AL968" s="129">
        <f t="array" ref="AL968">MAX((УслРестрактов[Характеристика]="Дата реструктуризации")*(УслРестрактов[Значение]=Первоначальный!$A968),0)</f>
        <v>0</v>
      </c>
    </row>
    <row r="969" spans="1:38" x14ac:dyDescent="0.25">
      <c r="A969" s="97">
        <f t="shared" si="173"/>
        <v>45100</v>
      </c>
      <c r="B969" s="100">
        <f t="shared" ca="1" si="174"/>
        <v>149633.34</v>
      </c>
      <c r="C969" s="55">
        <f t="shared" ca="1" si="182"/>
        <v>69509.929999999964</v>
      </c>
      <c r="D969" s="55">
        <f t="shared" ca="1" si="182"/>
        <v>3409.7699999999913</v>
      </c>
      <c r="E969" s="55">
        <f t="shared" ca="1" si="175"/>
        <v>0</v>
      </c>
      <c r="F969" s="55">
        <f t="shared" ca="1" si="176"/>
        <v>184452.47683278649</v>
      </c>
      <c r="G969" s="101">
        <f t="shared" ca="1" si="177"/>
        <v>407005.51683278644</v>
      </c>
      <c r="H969" s="100">
        <f ca="1">ROUND($B969*VLOOKUP($A969,$A$1:$B$10,2,1)/(365+IF(MOD(YEAR($A969),4),0,1)*($A969-$A968)),2)-Первоначальный[[#This Row],[Проценты на просроченный платеж по ОД за период]]</f>
        <v>73.16</v>
      </c>
      <c r="I969" s="55">
        <f t="shared" ca="1" si="178"/>
        <v>8.42</v>
      </c>
      <c r="J969" s="55">
        <v>0</v>
      </c>
      <c r="K969" s="55">
        <f t="shared" ca="1" si="181"/>
        <v>419.99850327868836</v>
      </c>
      <c r="L969" s="55">
        <v>0</v>
      </c>
      <c r="M969" s="113">
        <f>SUMIFS(График[Возврат основной суммы долга],График[Дата с учетом нерабочих дней],$A969)</f>
        <v>0</v>
      </c>
      <c r="N969" s="56">
        <f>SUMIFS(График[Возврат начисленных %],График[Дата с учетом нерабочих дней],$A969)</f>
        <v>0</v>
      </c>
      <c r="O969" s="101">
        <v>0</v>
      </c>
      <c r="P969" s="100" cm="1">
        <f t="array" aca="1" ref="P969" ca="1">MAX(IF(AA968="Да",0,SUM(INDIRECT("M"&amp;(MAX(("Да"=AA$12:AA968)*ROW(AA$12:AA968)+1,ROW($P$12))&amp;":M"&amp;(ROW()))))-SUM(INDIRECT("W"&amp;(MAX(("Да"=AA$12:AA968)*ROW(AA$12:AA968)+1,ROW($P$12))&amp;":W"&amp;(ROW()))))),0)</f>
        <v>15443.2</v>
      </c>
      <c r="Q969" s="99">
        <f ca="1">MAX(SUM($N$13:N969)-SUM($T$13:T969),0)</f>
        <v>68556.500655737676</v>
      </c>
      <c r="R969" s="99">
        <f ca="1">Первоначальный[[#This Row],[Просроченный платеж по ОД]]+Первоначальный[[#This Row],[Просроченный платеж по процентам]]</f>
        <v>83999.700655737674</v>
      </c>
      <c r="S969" s="120">
        <f ca="1">IF(Первоначальный[[#This Row],[Просроченный платеж]]&lt;1,0,S968+1)</f>
        <v>865</v>
      </c>
      <c r="T969" s="100" cm="1">
        <f t="array" aca="1" ref="T969" ca="1">IF(Первоначальный[[#This Row],[Итого остаток на начало периода]]&lt;1,0,
IF(
AND(TYPE(VLOOKUP(1,$Z$12:Z969,1,0))=16,Первоначальный[[#This Row],[Досрочное погашение (да/"")]]=""),0,
_xlfn.IFS(AND(S968=0,Первоначальный[[#This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платеж]]&lt;&gt;0),MIN(LOOKUP(,-1/($Z$12:Z969=1),$C$12:C969)+LOOKUP(,-1/($Z$12:Z969=1),$H$12:H969),Первоначальный[[#This Row],[Полученный платеж]]+Y968),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платеж]]+Y968,SUM(Первоначальный[[#This Row],[Остаток процентов на начало периода]],Первоначальный[[#This Row],[Проценты за период]])),
AND(S968=0,Первоначальный[[#This Row],[Дата платежа из графика]]=""),0,
AND(S968=0,Первоначальный[[#This Row],[Дата платежа из графика]]=1,MAX((0&lt;&gt;S$12:S968)*ROW(S$12:S968),ROW($S$12))&gt;=MAX((1=Z$12:Z968)*ROW(Z$12:Z968),ROW($T$12)),TYPE(VLOOKUP("Да",(INDIRECT("AA"&amp;(MAX((1=Z$12:Z968)*ROW(Z$12:Z968),ROW($T$12))&amp;":AA"&amp;(ROW()-1)))),1,0))=16),MIN(LOOKUP(,-1/($Z$12:Z969=1),$C$12:C969)+LOOKUP(,-1/($Z$12:Z969=1),$H$12:H969),Первоначальный[[#This Row],[Полученный платеж]]+Y968),
AND(S968=0,TYPE(VLOOKUP("Да",(INDIRECT("AA"&amp;(MAX((1=Z$12:Z968)*ROW(Z$12:Z968),ROW($T$12))&amp;":AA"&amp;(ROW()-1)))),1,0))&lt;&gt;16),MIN(LOOKUP(,-1/($Z$12:Z969=1),$C$12:C969)+LOOKUP(,-1/($Z$12:Z969=1),$H$12:H969)-IF(AA968="Да",0,SUM(INDIRECT("T"&amp;(MAX(("Да"=AA$12:AA968)*ROW(AA$12:AA968)+1,ROW($T$12))&amp;":T"&amp;(ROW()-1))))),Первоначальный[[#This Row],[Полученный платеж]]+Y968),
AND(S968=0,MAX((0&lt;&gt;N$12:N968)*ROW(N$12:N968),ROW($S$12))&gt;=MAX((1=Z$12:Z968)*ROW(Z$12:Z968),ROW($T$12))),MIN(LOOKUP(,-1/($Z$12:Z969=1),$C$12:C969)+LOOKUP(,-1/($Z$12:Z969=1),$H$12:H969)-IF(N968&lt;&gt;0,0,SUM(INDIRECT("T"&amp;(MAX((0&lt;&gt;N$12:N968)*ROW(N$12:N968)+1,ROW($T$12))&amp;":T"&amp;(ROW()-1))))),Первоначальный[[#This Row],[Полученный платеж]]+Y968),
AND(S968=0,Первоначальный[[#This Row],[Дата платежа из графика]]=1),MIN(LOOKUP(,-1/($Z$12:Z969=1),$C$12:C969)+LOOKUP(,-1/($Z$12:Z969=1),$H$12:H969)-IF(Z968=1,0,SUM(INDIRECT("T"&amp;(MAX((1=Z$12:Z968)*ROW(Z$12:Z968)+1,ROW($T$12))&amp;":T"&amp;(ROW()-1))))),Первоначальный[[#This Row],[Полученный платеж]]+Y968),
AND(Z968&gt;0,Первоначальный[[#This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платеж]]+Y968),
AND(S968&gt;0,MAX((0&lt;&gt;S$12:S968)*ROW(S$12:S968),ROW($S$12))&gt;=MAX((1=Z$12:Z968)*ROW(Z$12:Z968),ROW($T$12)),TYPE(VLOOKUP("Да",(INDIRECT("AA"&amp;(MAX((1=Z$12:Z968)*ROW(Z$12:Z968),ROW($T$12))&amp;":AA"&amp;(ROW()-1)))),1,0))=16),MIN(LOOKUP(,-1/($Z$12:Z969=1),$C$12:C969)+LOOKUP(,-1/($Z$12:Z969=1),$H$12:H969)-SUM(INDIRECT("T"&amp;(MAX((1=Z$12:Z968)*ROW(Z$12:Z968),ROW($T$12))&amp;":T"&amp;(ROW()-1)))),Первоначальный[[#This Row],[Полученный платеж]]+Y968),
S968&gt;0,MIN(LOOKUP(,-1/($Z$12:Z969=1),$C$12:C969)+LOOKUP(,-1/($Z$12:Z969=1),$H$12:H969)-IF(Z968=1,0,SUM(INDIRECT("T"&amp;(MAX((1=Z$12:Z968)*ROW(Z$12:Z968)+1,ROW($T$12))&amp;":T"&amp;(ROW()-1))))),Первоначальный[[#This Row],[Полученный платеж]]+Y968)
)
)
)</f>
        <v>0</v>
      </c>
      <c r="U96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платеж]]+Y968-Первоначальный[[#This Row],[Полученный платёж по процентам]])</f>
        <v>0</v>
      </c>
      <c r="V969" s="55">
        <f t="shared" ca="1" si="171"/>
        <v>0</v>
      </c>
      <c r="W969" s="55" cm="1">
        <f t="array" aca="1" ref="W969" ca="1">IF(Первоначальный[[#This Row],[Итого остаток на начало периода]]&lt;1,0,
_xlfn.IFS(
AND(TYPE(VLOOKUP(1,$Z$12:Z969,1,0))=16,Первоначальный[[#This Row],[Досрочное погашение (да/"")]]=""),0,
AND(S968=0,Первоначальный[[#This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платеж]]+Y968-SUM(Первоначальный[[#This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комиссиям]]),VLOOKUP(LOOKUP(,-1/($Z$12:Z969=1),$A$12:A969),График[[Срок конец]:[Возврат основной суммы долга]],3,0)),
AND(S968=0,Первоначальный[[#This Row],[Дата платежа из графика]]="",Первоначальный[[#This Row],[Досрочное погашение (да/"")]]&lt;&gt;"Да"),0,
AND(S968=0,Первоначальный[[#This Row],[Досрочное погашение (да/"")]]=""),MIN(Первоначальный[[#This Row],[Полученный платеж]]+Y968-SUM(Первоначальный[[#This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комиссиям]]),VLOOKUP(LOOKUP(,-1/($Z$12:Z969=1),$A$12:A969),График[[Срок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платеж]]+Y968-SUM(Первоначальный[[#This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S968&gt;0,MIN(Первоначальный[[#This Row],[Полученный платеж]]+Y968-SUM(Первоначальный[[#This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комиссиям]]),SUM(INDIRECT("M"&amp;(MAX((1=S$12:S968)*ROW(S$12:S968),ROW($W$12))&amp;":M"&amp;(ROW()))))-SUM(INDIRECT("W"&amp;(MAX((1=S$12:S968)*ROW(S$12:S968),ROW($W$12))&amp;":W"&amp;(ROW()-1)))))
)
)</f>
        <v>0</v>
      </c>
      <c r="X969" s="55">
        <f t="shared" ca="1" si="172"/>
        <v>0</v>
      </c>
      <c r="Y969" s="101">
        <f t="shared" ca="1" si="179"/>
        <v>0</v>
      </c>
      <c r="Z969" s="133" t="str">
        <f>IF(TYPE((VLOOKUP(Первоначальный[[#This Row],[Дата платежа]],График[Срок конец],1,0)))=16,"",1)</f>
        <v/>
      </c>
      <c r="AA969" s="57"/>
      <c r="AB969" s="134"/>
      <c r="AC96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6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69583.089999999967</v>
      </c>
      <c r="AE96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3418.1899999999914</v>
      </c>
      <c r="AF96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6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184872.47533606517</v>
      </c>
      <c r="AH969" s="55"/>
      <c r="AI969" s="55"/>
      <c r="AJ969" s="55"/>
      <c r="AK969" s="101">
        <f t="shared" ca="1" si="180"/>
        <v>407507.09533606516</v>
      </c>
      <c r="AL969" s="129">
        <f t="array" ref="AL969">MAX((УслРестрактов[Характеристика]="Дата реструктуризации")*(УслРестрактов[Значение]=Первоначальный!$A969),0)</f>
        <v>0</v>
      </c>
    </row>
    <row r="970" spans="1:38" x14ac:dyDescent="0.25">
      <c r="A970" s="97">
        <f t="shared" si="173"/>
        <v>45101</v>
      </c>
      <c r="B970" s="100">
        <f t="shared" ca="1" si="174"/>
        <v>149633.34</v>
      </c>
      <c r="C970" s="55">
        <f t="shared" ca="1" si="182"/>
        <v>69583.089999999967</v>
      </c>
      <c r="D970" s="55">
        <f t="shared" ca="1" si="182"/>
        <v>3418.1899999999914</v>
      </c>
      <c r="E970" s="55">
        <f t="shared" ca="1" si="175"/>
        <v>0</v>
      </c>
      <c r="F970" s="55">
        <f t="shared" ca="1" si="176"/>
        <v>184872.47533606517</v>
      </c>
      <c r="G970" s="101">
        <f t="shared" ca="1" si="177"/>
        <v>407507.09533606516</v>
      </c>
      <c r="H970" s="100">
        <f ca="1">ROUND($B970*VLOOKUP($A970,$A$1:$B$10,2,1)/(365+IF(MOD(YEAR($A970),4),0,1)*($A970-$A969)),2)-Первоначальный[[#This Row],[Проценты на просроченный платеж по ОД за период]]</f>
        <v>73.16</v>
      </c>
      <c r="I970" s="55">
        <f t="shared" ca="1" si="178"/>
        <v>8.42</v>
      </c>
      <c r="J970" s="55">
        <v>0</v>
      </c>
      <c r="K970" s="55">
        <f t="shared" ca="1" si="181"/>
        <v>419.99850327868836</v>
      </c>
      <c r="L970" s="55">
        <v>0</v>
      </c>
      <c r="M970" s="113">
        <f>SUMIFS(График[Возврат основной суммы долга],График[Дата с учетом нерабочих дней],$A970)</f>
        <v>0</v>
      </c>
      <c r="N970" s="56">
        <f>SUMIFS(График[Возврат начисленных %],График[Дата с учетом нерабочих дней],$A970)</f>
        <v>0</v>
      </c>
      <c r="O970" s="101">
        <v>0</v>
      </c>
      <c r="P970" s="100" cm="1">
        <f t="array" aca="1" ref="P970" ca="1">MAX(IF(AA969="Да",0,SUM(INDIRECT("M"&amp;(MAX(("Да"=AA$12:AA969)*ROW(AA$12:AA969)+1,ROW($P$12))&amp;":M"&amp;(ROW()))))-SUM(INDIRECT("W"&amp;(MAX(("Да"=AA$12:AA969)*ROW(AA$12:AA969)+1,ROW($P$12))&amp;":W"&amp;(ROW()))))),0)</f>
        <v>15443.2</v>
      </c>
      <c r="Q970" s="99">
        <f ca="1">MAX(SUM($N$13:N970)-SUM($T$13:T970),0)</f>
        <v>68556.500655737676</v>
      </c>
      <c r="R970" s="99">
        <f ca="1">Первоначальный[[#This Row],[Просроченный платеж по ОД]]+Первоначальный[[#This Row],[Просроченный платеж по процентам]]</f>
        <v>83999.700655737674</v>
      </c>
      <c r="S970" s="120">
        <f ca="1">IF(Первоначальный[[#This Row],[Просроченный платеж]]&lt;1,0,S969+1)</f>
        <v>866</v>
      </c>
      <c r="T970" s="100" cm="1">
        <f t="array" aca="1" ref="T970" ca="1">IF(Первоначальный[[#This Row],[Итого остаток на начало периода]]&lt;1,0,
IF(
AND(TYPE(VLOOKUP(1,$Z$12:Z970,1,0))=16,Первоначальный[[#This Row],[Досрочное погашение (да/"")]]=""),0,
_xlfn.IFS(AND(S969=0,Первоначальный[[#This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платеж]]&lt;&gt;0),MIN(LOOKUP(,-1/($Z$12:Z970=1),$C$12:C970)+LOOKUP(,-1/($Z$12:Z970=1),$H$12:H970),Первоначальный[[#This Row],[Полученный платеж]]+Y969),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платеж]]+Y969,SUM(Первоначальный[[#This Row],[Остаток процентов на начало периода]],Первоначальный[[#This Row],[Проценты за период]])),
AND(S969=0,Первоначальный[[#This Row],[Дата платежа из графика]]=""),0,
AND(S969=0,Первоначальный[[#This Row],[Дата платежа из графика]]=1,MAX((0&lt;&gt;S$12:S969)*ROW(S$12:S969),ROW($S$12))&gt;=MAX((1=Z$12:Z969)*ROW(Z$12:Z969),ROW($T$12)),TYPE(VLOOKUP("Да",(INDIRECT("AA"&amp;(MAX((1=Z$12:Z969)*ROW(Z$12:Z969),ROW($T$12))&amp;":AA"&amp;(ROW()-1)))),1,0))=16),MIN(LOOKUP(,-1/($Z$12:Z970=1),$C$12:C970)+LOOKUP(,-1/($Z$12:Z970=1),$H$12:H970),Первоначальный[[#This Row],[Полученный платеж]]+Y969),
AND(S969=0,TYPE(VLOOKUP("Да",(INDIRECT("AA"&amp;(MAX((1=Z$12:Z969)*ROW(Z$12:Z969),ROW($T$12))&amp;":AA"&amp;(ROW()-1)))),1,0))&lt;&gt;16),MIN(LOOKUP(,-1/($Z$12:Z970=1),$C$12:C970)+LOOKUP(,-1/($Z$12:Z970=1),$H$12:H970)-IF(AA969="Да",0,SUM(INDIRECT("T"&amp;(MAX(("Да"=AA$12:AA969)*ROW(AA$12:AA969)+1,ROW($T$12))&amp;":T"&amp;(ROW()-1))))),Первоначальный[[#This Row],[Полученный платеж]]+Y969),
AND(S969=0,MAX((0&lt;&gt;N$12:N969)*ROW(N$12:N969),ROW($S$12))&gt;=MAX((1=Z$12:Z969)*ROW(Z$12:Z969),ROW($T$12))),MIN(LOOKUP(,-1/($Z$12:Z970=1),$C$12:C970)+LOOKUP(,-1/($Z$12:Z970=1),$H$12:H970)-IF(N969&lt;&gt;0,0,SUM(INDIRECT("T"&amp;(MAX((0&lt;&gt;N$12:N969)*ROW(N$12:N969)+1,ROW($T$12))&amp;":T"&amp;(ROW()-1))))),Первоначальный[[#This Row],[Полученный платеж]]+Y969),
AND(S969=0,Первоначальный[[#This Row],[Дата платежа из графика]]=1),MIN(LOOKUP(,-1/($Z$12:Z970=1),$C$12:C970)+LOOKUP(,-1/($Z$12:Z970=1),$H$12:H970)-IF(Z969=1,0,SUM(INDIRECT("T"&amp;(MAX((1=Z$12:Z969)*ROW(Z$12:Z969)+1,ROW($T$12))&amp;":T"&amp;(ROW()-1))))),Первоначальный[[#This Row],[Полученный платеж]]+Y969),
AND(Z969&gt;0,Первоначальный[[#This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платеж]]+Y969),
AND(S969&gt;0,MAX((0&lt;&gt;S$12:S969)*ROW(S$12:S969),ROW($S$12))&gt;=MAX((1=Z$12:Z969)*ROW(Z$12:Z969),ROW($T$12)),TYPE(VLOOKUP("Да",(INDIRECT("AA"&amp;(MAX((1=Z$12:Z969)*ROW(Z$12:Z969),ROW($T$12))&amp;":AA"&amp;(ROW()-1)))),1,0))=16),MIN(LOOKUP(,-1/($Z$12:Z970=1),$C$12:C970)+LOOKUP(,-1/($Z$12:Z970=1),$H$12:H970)-SUM(INDIRECT("T"&amp;(MAX((1=Z$12:Z969)*ROW(Z$12:Z969),ROW($T$12))&amp;":T"&amp;(ROW()-1)))),Первоначальный[[#This Row],[Полученный платеж]]+Y969),
S969&gt;0,MIN(LOOKUP(,-1/($Z$12:Z970=1),$C$12:C970)+LOOKUP(,-1/($Z$12:Z970=1),$H$12:H970)-IF(Z969=1,0,SUM(INDIRECT("T"&amp;(MAX((1=Z$12:Z969)*ROW(Z$12:Z969)+1,ROW($T$12))&amp;":T"&amp;(ROW()-1))))),Первоначальный[[#This Row],[Полученный платеж]]+Y969)
)
)
)</f>
        <v>0</v>
      </c>
      <c r="U97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платеж]]+Y969-Первоначальный[[#This Row],[Полученный платёж по процентам]])</f>
        <v>0</v>
      </c>
      <c r="V970" s="55">
        <f t="shared" ca="1" si="171"/>
        <v>0</v>
      </c>
      <c r="W970" s="55" cm="1">
        <f t="array" aca="1" ref="W970" ca="1">IF(Первоначальный[[#This Row],[Итого остаток на начало периода]]&lt;1,0,
_xlfn.IFS(
AND(TYPE(VLOOKUP(1,$Z$12:Z970,1,0))=16,Первоначальный[[#This Row],[Досрочное погашение (да/"")]]=""),0,
AND(S969=0,Первоначальный[[#This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платеж]]+Y969-SUM(Первоначальный[[#This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комиссиям]]),VLOOKUP(LOOKUP(,-1/($Z$12:Z970=1),$A$12:A970),График[[Срок конец]:[Возврат основной суммы долга]],3,0)),
AND(S969=0,Первоначальный[[#This Row],[Дата платежа из графика]]="",Первоначальный[[#This Row],[Досрочное погашение (да/"")]]&lt;&gt;"Да"),0,
AND(S969=0,Первоначальный[[#This Row],[Досрочное погашение (да/"")]]=""),MIN(Первоначальный[[#This Row],[Полученный платеж]]+Y969-SUM(Первоначальный[[#This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комиссиям]]),VLOOKUP(LOOKUP(,-1/($Z$12:Z970=1),$A$12:A970),График[[Срок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платеж]]+Y969-SUM(Первоначальный[[#This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S969&gt;0,MIN(Первоначальный[[#This Row],[Полученный платеж]]+Y969-SUM(Первоначальный[[#This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комиссиям]]),SUM(INDIRECT("M"&amp;(MAX((1=S$12:S969)*ROW(S$12:S969),ROW($W$12))&amp;":M"&amp;(ROW()))))-SUM(INDIRECT("W"&amp;(MAX((1=S$12:S969)*ROW(S$12:S969),ROW($W$12))&amp;":W"&amp;(ROW()-1)))))
)
)</f>
        <v>0</v>
      </c>
      <c r="X970" s="55">
        <f t="shared" ca="1" si="172"/>
        <v>0</v>
      </c>
      <c r="Y970" s="101">
        <f t="shared" ca="1" si="179"/>
        <v>0</v>
      </c>
      <c r="Z970" s="133" t="str">
        <f>IF(TYPE((VLOOKUP(Первоначальный[[#This Row],[Дата платежа]],График[Срок конец],1,0)))=16,"",1)</f>
        <v/>
      </c>
      <c r="AA970" s="57"/>
      <c r="AB970" s="134"/>
      <c r="AC97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7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69656.249999999971</v>
      </c>
      <c r="AE97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3426.6099999999915</v>
      </c>
      <c r="AF97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7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185292.47383934385</v>
      </c>
      <c r="AH970" s="55"/>
      <c r="AI970" s="55"/>
      <c r="AJ970" s="55"/>
      <c r="AK970" s="101">
        <f t="shared" ca="1" si="180"/>
        <v>408008.67383934383</v>
      </c>
      <c r="AL970" s="129">
        <f t="array" ref="AL970">MAX((УслРестрактов[Характеристика]="Дата реструктуризации")*(УслРестрактов[Значение]=Первоначальный!$A970),0)</f>
        <v>0</v>
      </c>
    </row>
    <row r="971" spans="1:38" x14ac:dyDescent="0.25">
      <c r="A971" s="97">
        <f t="shared" si="173"/>
        <v>45102</v>
      </c>
      <c r="B971" s="100">
        <f t="shared" ca="1" si="174"/>
        <v>149633.34</v>
      </c>
      <c r="C971" s="55">
        <f t="shared" ca="1" si="182"/>
        <v>69656.249999999971</v>
      </c>
      <c r="D971" s="55">
        <f t="shared" ca="1" si="182"/>
        <v>3426.6099999999915</v>
      </c>
      <c r="E971" s="55">
        <f t="shared" ca="1" si="175"/>
        <v>0</v>
      </c>
      <c r="F971" s="55">
        <f t="shared" ca="1" si="176"/>
        <v>185292.47383934385</v>
      </c>
      <c r="G971" s="101">
        <f t="shared" ca="1" si="177"/>
        <v>408008.67383934383</v>
      </c>
      <c r="H971" s="100">
        <f ca="1">ROUND($B971*VLOOKUP($A971,$A$1:$B$10,2,1)/(365+IF(MOD(YEAR($A971),4),0,1)*($A971-$A970)),2)-Первоначальный[[#This Row],[Проценты на просроченный платеж по ОД за период]]</f>
        <v>73.16</v>
      </c>
      <c r="I971" s="55">
        <f t="shared" ca="1" si="178"/>
        <v>8.42</v>
      </c>
      <c r="J971" s="55">
        <v>0</v>
      </c>
      <c r="K971" s="55">
        <f t="shared" ca="1" si="181"/>
        <v>419.99850327868836</v>
      </c>
      <c r="L971" s="55">
        <v>0</v>
      </c>
      <c r="M971" s="113">
        <f>SUMIFS(График[Возврат основной суммы долга],График[Дата с учетом нерабочих дней],$A971)</f>
        <v>0</v>
      </c>
      <c r="N971" s="56">
        <f>SUMIFS(График[Возврат начисленных %],График[Дата с учетом нерабочих дней],$A971)</f>
        <v>0</v>
      </c>
      <c r="O971" s="101">
        <v>0</v>
      </c>
      <c r="P971" s="100" cm="1">
        <f t="array" aca="1" ref="P971" ca="1">MAX(IF(AA970="Да",0,SUM(INDIRECT("M"&amp;(MAX(("Да"=AA$12:AA970)*ROW(AA$12:AA970)+1,ROW($P$12))&amp;":M"&amp;(ROW()))))-SUM(INDIRECT("W"&amp;(MAX(("Да"=AA$12:AA970)*ROW(AA$12:AA970)+1,ROW($P$12))&amp;":W"&amp;(ROW()))))),0)</f>
        <v>15443.2</v>
      </c>
      <c r="Q971" s="99">
        <f ca="1">MAX(SUM($N$13:N971)-SUM($T$13:T971),0)</f>
        <v>68556.500655737676</v>
      </c>
      <c r="R971" s="99">
        <f ca="1">Первоначальный[[#This Row],[Просроченный платеж по ОД]]+Первоначальный[[#This Row],[Просроченный платеж по процентам]]</f>
        <v>83999.700655737674</v>
      </c>
      <c r="S971" s="120">
        <f ca="1">IF(Первоначальный[[#This Row],[Просроченный платеж]]&lt;1,0,S970+1)</f>
        <v>867</v>
      </c>
      <c r="T971" s="100" cm="1">
        <f t="array" aca="1" ref="T971" ca="1">IF(Первоначальный[[#This Row],[Итого остаток на начало периода]]&lt;1,0,
IF(
AND(TYPE(VLOOKUP(1,$Z$12:Z971,1,0))=16,Первоначальный[[#This Row],[Досрочное погашение (да/"")]]=""),0,
_xlfn.IFS(AND(S970=0,Первоначальный[[#This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платеж]]&lt;&gt;0),MIN(LOOKUP(,-1/($Z$12:Z971=1),$C$12:C971)+LOOKUP(,-1/($Z$12:Z971=1),$H$12:H971),Первоначальный[[#This Row],[Полученный платеж]]+Y970),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платеж]]+Y970,SUM(Первоначальный[[#This Row],[Остаток процентов на начало периода]],Первоначальный[[#This Row],[Проценты за период]])),
AND(S970=0,Первоначальный[[#This Row],[Дата платежа из графика]]=""),0,
AND(S970=0,Первоначальный[[#This Row],[Дата платежа из графика]]=1,MAX((0&lt;&gt;S$12:S970)*ROW(S$12:S970),ROW($S$12))&gt;=MAX((1=Z$12:Z970)*ROW(Z$12:Z970),ROW($T$12)),TYPE(VLOOKUP("Да",(INDIRECT("AA"&amp;(MAX((1=Z$12:Z970)*ROW(Z$12:Z970),ROW($T$12))&amp;":AA"&amp;(ROW()-1)))),1,0))=16),MIN(LOOKUP(,-1/($Z$12:Z971=1),$C$12:C971)+LOOKUP(,-1/($Z$12:Z971=1),$H$12:H971),Первоначальный[[#This Row],[Полученный платеж]]+Y970),
AND(S970=0,TYPE(VLOOKUP("Да",(INDIRECT("AA"&amp;(MAX((1=Z$12:Z970)*ROW(Z$12:Z970),ROW($T$12))&amp;":AA"&amp;(ROW()-1)))),1,0))&lt;&gt;16),MIN(LOOKUP(,-1/($Z$12:Z971=1),$C$12:C971)+LOOKUP(,-1/($Z$12:Z971=1),$H$12:H971)-IF(AA970="Да",0,SUM(INDIRECT("T"&amp;(MAX(("Да"=AA$12:AA970)*ROW(AA$12:AA970)+1,ROW($T$12))&amp;":T"&amp;(ROW()-1))))),Первоначальный[[#This Row],[Полученный платеж]]+Y970),
AND(S970=0,MAX((0&lt;&gt;N$12:N970)*ROW(N$12:N970),ROW($S$12))&gt;=MAX((1=Z$12:Z970)*ROW(Z$12:Z970),ROW($T$12))),MIN(LOOKUP(,-1/($Z$12:Z971=1),$C$12:C971)+LOOKUP(,-1/($Z$12:Z971=1),$H$12:H971)-IF(N970&lt;&gt;0,0,SUM(INDIRECT("T"&amp;(MAX((0&lt;&gt;N$12:N970)*ROW(N$12:N970)+1,ROW($T$12))&amp;":T"&amp;(ROW()-1))))),Первоначальный[[#This Row],[Полученный платеж]]+Y970),
AND(S970=0,Первоначальный[[#This Row],[Дата платежа из графика]]=1),MIN(LOOKUP(,-1/($Z$12:Z971=1),$C$12:C971)+LOOKUP(,-1/($Z$12:Z971=1),$H$12:H971)-IF(Z970=1,0,SUM(INDIRECT("T"&amp;(MAX((1=Z$12:Z970)*ROW(Z$12:Z970)+1,ROW($T$12))&amp;":T"&amp;(ROW()-1))))),Первоначальный[[#This Row],[Полученный платеж]]+Y970),
AND(Z970&gt;0,Первоначальный[[#This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платеж]]+Y970),
AND(S970&gt;0,MAX((0&lt;&gt;S$12:S970)*ROW(S$12:S970),ROW($S$12))&gt;=MAX((1=Z$12:Z970)*ROW(Z$12:Z970),ROW($T$12)),TYPE(VLOOKUP("Да",(INDIRECT("AA"&amp;(MAX((1=Z$12:Z970)*ROW(Z$12:Z970),ROW($T$12))&amp;":AA"&amp;(ROW()-1)))),1,0))=16),MIN(LOOKUP(,-1/($Z$12:Z971=1),$C$12:C971)+LOOKUP(,-1/($Z$12:Z971=1),$H$12:H971)-SUM(INDIRECT("T"&amp;(MAX((1=Z$12:Z970)*ROW(Z$12:Z970),ROW($T$12))&amp;":T"&amp;(ROW()-1)))),Первоначальный[[#This Row],[Полученный платеж]]+Y970),
S970&gt;0,MIN(LOOKUP(,-1/($Z$12:Z971=1),$C$12:C971)+LOOKUP(,-1/($Z$12:Z971=1),$H$12:H971)-IF(Z970=1,0,SUM(INDIRECT("T"&amp;(MAX((1=Z$12:Z970)*ROW(Z$12:Z970)+1,ROW($T$12))&amp;":T"&amp;(ROW()-1))))),Первоначальный[[#This Row],[Полученный платеж]]+Y970)
)
)
)</f>
        <v>0</v>
      </c>
      <c r="U97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платеж]]+Y970-Первоначальный[[#This Row],[Полученный платёж по процентам]])</f>
        <v>0</v>
      </c>
      <c r="V971" s="55">
        <f t="shared" ca="1" si="171"/>
        <v>0</v>
      </c>
      <c r="W971" s="55" cm="1">
        <f t="array" aca="1" ref="W971" ca="1">IF(Первоначальный[[#This Row],[Итого остаток на начало периода]]&lt;1,0,
_xlfn.IFS(
AND(TYPE(VLOOKUP(1,$Z$12:Z971,1,0))=16,Первоначальный[[#This Row],[Досрочное погашение (да/"")]]=""),0,
AND(S970=0,Первоначальный[[#This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платеж]]+Y970-SUM(Первоначальный[[#This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комиссиям]]),VLOOKUP(LOOKUP(,-1/($Z$12:Z971=1),$A$12:A971),График[[Срок конец]:[Возврат основной суммы долга]],3,0)),
AND(S970=0,Первоначальный[[#This Row],[Дата платежа из графика]]="",Первоначальный[[#This Row],[Досрочное погашение (да/"")]]&lt;&gt;"Да"),0,
AND(S970=0,Первоначальный[[#This Row],[Досрочное погашение (да/"")]]=""),MIN(Первоначальный[[#This Row],[Полученный платеж]]+Y970-SUM(Первоначальный[[#This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комиссиям]]),VLOOKUP(LOOKUP(,-1/($Z$12:Z971=1),$A$12:A971),График[[Срок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платеж]]+Y970-SUM(Первоначальный[[#This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S970&gt;0,MIN(Первоначальный[[#This Row],[Полученный платеж]]+Y970-SUM(Первоначальный[[#This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комиссиям]]),SUM(INDIRECT("M"&amp;(MAX((1=S$12:S970)*ROW(S$12:S970),ROW($W$12))&amp;":M"&amp;(ROW()))))-SUM(INDIRECT("W"&amp;(MAX((1=S$12:S970)*ROW(S$12:S970),ROW($W$12))&amp;":W"&amp;(ROW()-1)))))
)
)</f>
        <v>0</v>
      </c>
      <c r="X971" s="55">
        <f t="shared" ca="1" si="172"/>
        <v>0</v>
      </c>
      <c r="Y971" s="101">
        <f t="shared" ca="1" si="179"/>
        <v>0</v>
      </c>
      <c r="Z971" s="133" t="str">
        <f>IF(TYPE((VLOOKUP(Первоначальный[[#This Row],[Дата платежа]],График[Срок конец],1,0)))=16,"",1)</f>
        <v/>
      </c>
      <c r="AA971" s="57"/>
      <c r="AB971" s="134"/>
      <c r="AC97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7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69729.409999999974</v>
      </c>
      <c r="AE97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3435.0299999999916</v>
      </c>
      <c r="AF97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7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185712.47234262252</v>
      </c>
      <c r="AH971" s="55"/>
      <c r="AI971" s="55"/>
      <c r="AJ971" s="55"/>
      <c r="AK971" s="101">
        <f t="shared" ca="1" si="180"/>
        <v>408510.25234262249</v>
      </c>
      <c r="AL971" s="129">
        <f t="array" ref="AL971">MAX((УслРестрактов[Характеристика]="Дата реструктуризации")*(УслРестрактов[Значение]=Первоначальный!$A971),0)</f>
        <v>0</v>
      </c>
    </row>
    <row r="972" spans="1:38" x14ac:dyDescent="0.25">
      <c r="A972" s="97">
        <f t="shared" si="173"/>
        <v>45103</v>
      </c>
      <c r="B972" s="100">
        <f t="shared" ca="1" si="174"/>
        <v>149633.34</v>
      </c>
      <c r="C972" s="55">
        <f t="shared" ca="1" si="182"/>
        <v>69729.409999999974</v>
      </c>
      <c r="D972" s="55">
        <f t="shared" ca="1" si="182"/>
        <v>3435.0299999999916</v>
      </c>
      <c r="E972" s="55">
        <f t="shared" ca="1" si="175"/>
        <v>0</v>
      </c>
      <c r="F972" s="55">
        <f t="shared" ca="1" si="176"/>
        <v>185712.47234262252</v>
      </c>
      <c r="G972" s="101">
        <f t="shared" ca="1" si="177"/>
        <v>408510.25234262249</v>
      </c>
      <c r="H972" s="100">
        <f ca="1">ROUND($B972*VLOOKUP($A972,$A$1:$B$10,2,1)/(365+IF(MOD(YEAR($A972),4),0,1)*($A972-$A971)),2)-Первоначальный[[#This Row],[Проценты на просроченный платеж по ОД за период]]</f>
        <v>73.16</v>
      </c>
      <c r="I972" s="55">
        <f t="shared" ca="1" si="178"/>
        <v>8.42</v>
      </c>
      <c r="J972" s="55">
        <v>0</v>
      </c>
      <c r="K972" s="55">
        <f t="shared" ca="1" si="181"/>
        <v>419.99850327868836</v>
      </c>
      <c r="L972" s="55">
        <v>0</v>
      </c>
      <c r="M972" s="113">
        <f>SUMIFS(График[Возврат основной суммы долга],График[Дата с учетом нерабочих дней],$A972)</f>
        <v>0</v>
      </c>
      <c r="N972" s="56">
        <f>SUMIFS(График[Возврат начисленных %],График[Дата с учетом нерабочих дней],$A972)</f>
        <v>0</v>
      </c>
      <c r="O972" s="101">
        <v>0</v>
      </c>
      <c r="P972" s="100" cm="1">
        <f t="array" aca="1" ref="P972" ca="1">MAX(IF(AA971="Да",0,SUM(INDIRECT("M"&amp;(MAX(("Да"=AA$12:AA971)*ROW(AA$12:AA971)+1,ROW($P$12))&amp;":M"&amp;(ROW()))))-SUM(INDIRECT("W"&amp;(MAX(("Да"=AA$12:AA971)*ROW(AA$12:AA971)+1,ROW($P$12))&amp;":W"&amp;(ROW()))))),0)</f>
        <v>15443.2</v>
      </c>
      <c r="Q972" s="99">
        <f ca="1">MAX(SUM($N$13:N972)-SUM($T$13:T972),0)</f>
        <v>68556.500655737676</v>
      </c>
      <c r="R972" s="99">
        <f ca="1">Первоначальный[[#This Row],[Просроченный платеж по ОД]]+Первоначальный[[#This Row],[Просроченный платеж по процентам]]</f>
        <v>83999.700655737674</v>
      </c>
      <c r="S972" s="120">
        <f ca="1">IF(Первоначальный[[#This Row],[Просроченный платеж]]&lt;1,0,S971+1)</f>
        <v>868</v>
      </c>
      <c r="T972" s="100" cm="1">
        <f t="array" aca="1" ref="T972" ca="1">IF(Первоначальный[[#This Row],[Итого остаток на начало периода]]&lt;1,0,
IF(
AND(TYPE(VLOOKUP(1,$Z$12:Z972,1,0))=16,Первоначальный[[#This Row],[Досрочное погашение (да/"")]]=""),0,
_xlfn.IFS(AND(S971=0,Первоначальный[[#This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платеж]]&lt;&gt;0),MIN(LOOKUP(,-1/($Z$12:Z972=1),$C$12:C972)+LOOKUP(,-1/($Z$12:Z972=1),$H$12:H972),Первоначальный[[#This Row],[Полученный платеж]]+Y971),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платеж]]+Y971,SUM(Первоначальный[[#This Row],[Остаток процентов на начало периода]],Первоначальный[[#This Row],[Проценты за период]])),
AND(S971=0,Первоначальный[[#This Row],[Дата платежа из графика]]=""),0,
AND(S971=0,Первоначальный[[#This Row],[Дата платежа из графика]]=1,MAX((0&lt;&gt;S$12:S971)*ROW(S$12:S971),ROW($S$12))&gt;=MAX((1=Z$12:Z971)*ROW(Z$12:Z971),ROW($T$12)),TYPE(VLOOKUP("Да",(INDIRECT("AA"&amp;(MAX((1=Z$12:Z971)*ROW(Z$12:Z971),ROW($T$12))&amp;":AA"&amp;(ROW()-1)))),1,0))=16),MIN(LOOKUP(,-1/($Z$12:Z972=1),$C$12:C972)+LOOKUP(,-1/($Z$12:Z972=1),$H$12:H972),Первоначальный[[#This Row],[Полученный платеж]]+Y971),
AND(S971=0,TYPE(VLOOKUP("Да",(INDIRECT("AA"&amp;(MAX((1=Z$12:Z971)*ROW(Z$12:Z971),ROW($T$12))&amp;":AA"&amp;(ROW()-1)))),1,0))&lt;&gt;16),MIN(LOOKUP(,-1/($Z$12:Z972=1),$C$12:C972)+LOOKUP(,-1/($Z$12:Z972=1),$H$12:H972)-IF(AA971="Да",0,SUM(INDIRECT("T"&amp;(MAX(("Да"=AA$12:AA971)*ROW(AA$12:AA971)+1,ROW($T$12))&amp;":T"&amp;(ROW()-1))))),Первоначальный[[#This Row],[Полученный платеж]]+Y971),
AND(S971=0,MAX((0&lt;&gt;N$12:N971)*ROW(N$12:N971),ROW($S$12))&gt;=MAX((1=Z$12:Z971)*ROW(Z$12:Z971),ROW($T$12))),MIN(LOOKUP(,-1/($Z$12:Z972=1),$C$12:C972)+LOOKUP(,-1/($Z$12:Z972=1),$H$12:H972)-IF(N971&lt;&gt;0,0,SUM(INDIRECT("T"&amp;(MAX((0&lt;&gt;N$12:N971)*ROW(N$12:N971)+1,ROW($T$12))&amp;":T"&amp;(ROW()-1))))),Первоначальный[[#This Row],[Полученный платеж]]+Y971),
AND(S971=0,Первоначальный[[#This Row],[Дата платежа из графика]]=1),MIN(LOOKUP(,-1/($Z$12:Z972=1),$C$12:C972)+LOOKUP(,-1/($Z$12:Z972=1),$H$12:H972)-IF(Z971=1,0,SUM(INDIRECT("T"&amp;(MAX((1=Z$12:Z971)*ROW(Z$12:Z971)+1,ROW($T$12))&amp;":T"&amp;(ROW()-1))))),Первоначальный[[#This Row],[Полученный платеж]]+Y971),
AND(Z971&gt;0,Первоначальный[[#This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платеж]]+Y971),
AND(S971&gt;0,MAX((0&lt;&gt;S$12:S971)*ROW(S$12:S971),ROW($S$12))&gt;=MAX((1=Z$12:Z971)*ROW(Z$12:Z971),ROW($T$12)),TYPE(VLOOKUP("Да",(INDIRECT("AA"&amp;(MAX((1=Z$12:Z971)*ROW(Z$12:Z971),ROW($T$12))&amp;":AA"&amp;(ROW()-1)))),1,0))=16),MIN(LOOKUP(,-1/($Z$12:Z972=1),$C$12:C972)+LOOKUP(,-1/($Z$12:Z972=1),$H$12:H972)-SUM(INDIRECT("T"&amp;(MAX((1=Z$12:Z971)*ROW(Z$12:Z971),ROW($T$12))&amp;":T"&amp;(ROW()-1)))),Первоначальный[[#This Row],[Полученный платеж]]+Y971),
S971&gt;0,MIN(LOOKUP(,-1/($Z$12:Z972=1),$C$12:C972)+LOOKUP(,-1/($Z$12:Z972=1),$H$12:H972)-IF(Z971=1,0,SUM(INDIRECT("T"&amp;(MAX((1=Z$12:Z971)*ROW(Z$12:Z971)+1,ROW($T$12))&amp;":T"&amp;(ROW()-1))))),Первоначальный[[#This Row],[Полученный платеж]]+Y971)
)
)
)</f>
        <v>0</v>
      </c>
      <c r="U97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платеж]]+Y971-Первоначальный[[#This Row],[Полученный платёж по процентам]])</f>
        <v>0</v>
      </c>
      <c r="V972" s="55">
        <f t="shared" ca="1" si="171"/>
        <v>0</v>
      </c>
      <c r="W972" s="55" cm="1">
        <f t="array" aca="1" ref="W972" ca="1">IF(Первоначальный[[#This Row],[Итого остаток на начало периода]]&lt;1,0,
_xlfn.IFS(
AND(TYPE(VLOOKUP(1,$Z$12:Z972,1,0))=16,Первоначальный[[#This Row],[Досрочное погашение (да/"")]]=""),0,
AND(S971=0,Первоначальный[[#This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платеж]]+Y971-SUM(Первоначальный[[#This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комиссиям]]),VLOOKUP(LOOKUP(,-1/($Z$12:Z972=1),$A$12:A972),График[[Срок конец]:[Возврат основной суммы долга]],3,0)),
AND(S971=0,Первоначальный[[#This Row],[Дата платежа из графика]]="",Первоначальный[[#This Row],[Досрочное погашение (да/"")]]&lt;&gt;"Да"),0,
AND(S971=0,Первоначальный[[#This Row],[Досрочное погашение (да/"")]]=""),MIN(Первоначальный[[#This Row],[Полученный платеж]]+Y971-SUM(Первоначальный[[#This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комиссиям]]),VLOOKUP(LOOKUP(,-1/($Z$12:Z972=1),$A$12:A972),График[[Срок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платеж]]+Y971-SUM(Первоначальный[[#This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S971&gt;0,MIN(Первоначальный[[#This Row],[Полученный платеж]]+Y971-SUM(Первоначальный[[#This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комиссиям]]),SUM(INDIRECT("M"&amp;(MAX((1=S$12:S971)*ROW(S$12:S971),ROW($W$12))&amp;":M"&amp;(ROW()))))-SUM(INDIRECT("W"&amp;(MAX((1=S$12:S971)*ROW(S$12:S971),ROW($W$12))&amp;":W"&amp;(ROW()-1)))))
)
)</f>
        <v>0</v>
      </c>
      <c r="X972" s="55">
        <f t="shared" ca="1" si="172"/>
        <v>0</v>
      </c>
      <c r="Y972" s="101">
        <f t="shared" ca="1" si="179"/>
        <v>0</v>
      </c>
      <c r="Z972" s="133" t="str">
        <f>IF(TYPE((VLOOKUP(Первоначальный[[#This Row],[Дата платежа]],График[Срок конец],1,0)))=16,"",1)</f>
        <v/>
      </c>
      <c r="AA972" s="57"/>
      <c r="AB972" s="134"/>
      <c r="AC97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7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69802.569999999978</v>
      </c>
      <c r="AE97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3443.4499999999916</v>
      </c>
      <c r="AF97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7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186132.4708459012</v>
      </c>
      <c r="AH972" s="55"/>
      <c r="AI972" s="55"/>
      <c r="AJ972" s="55"/>
      <c r="AK972" s="101">
        <f t="shared" ca="1" si="180"/>
        <v>409011.83084590116</v>
      </c>
      <c r="AL972" s="129">
        <f t="array" ref="AL972">MAX((УслРестрактов[Характеристика]="Дата реструктуризации")*(УслРестрактов[Значение]=Первоначальный!$A972),0)</f>
        <v>0</v>
      </c>
    </row>
    <row r="973" spans="1:38" x14ac:dyDescent="0.25">
      <c r="A973" s="97">
        <f t="shared" si="173"/>
        <v>45104</v>
      </c>
      <c r="B973" s="100">
        <f t="shared" ca="1" si="174"/>
        <v>149633.34</v>
      </c>
      <c r="C973" s="55">
        <f t="shared" ca="1" si="182"/>
        <v>69802.569999999978</v>
      </c>
      <c r="D973" s="55">
        <f t="shared" ca="1" si="182"/>
        <v>3443.4499999999916</v>
      </c>
      <c r="E973" s="55">
        <f t="shared" ca="1" si="175"/>
        <v>0</v>
      </c>
      <c r="F973" s="55">
        <f t="shared" ca="1" si="176"/>
        <v>186132.4708459012</v>
      </c>
      <c r="G973" s="101">
        <f t="shared" ca="1" si="177"/>
        <v>409011.83084590116</v>
      </c>
      <c r="H973" s="100">
        <f ca="1">ROUND($B973*VLOOKUP($A973,$A$1:$B$10,2,1)/(365+IF(MOD(YEAR($A973),4),0,1)*($A973-$A972)),2)-Первоначальный[[#This Row],[Проценты на просроченный платеж по ОД за период]]</f>
        <v>73.16</v>
      </c>
      <c r="I973" s="55">
        <f t="shared" ca="1" si="178"/>
        <v>8.42</v>
      </c>
      <c r="J973" s="55">
        <v>0</v>
      </c>
      <c r="K973" s="55">
        <f t="shared" ca="1" si="181"/>
        <v>419.99850327868836</v>
      </c>
      <c r="L973" s="55">
        <v>0</v>
      </c>
      <c r="M973" s="113">
        <f>SUMIFS(График[Возврат основной суммы долга],График[Дата с учетом нерабочих дней],$A973)</f>
        <v>0</v>
      </c>
      <c r="N973" s="56">
        <f>SUMIFS(График[Возврат начисленных %],График[Дата с учетом нерабочих дней],$A973)</f>
        <v>0</v>
      </c>
      <c r="O973" s="101">
        <v>0</v>
      </c>
      <c r="P973" s="100" cm="1">
        <f t="array" aca="1" ref="P973" ca="1">MAX(IF(AA972="Да",0,SUM(INDIRECT("M"&amp;(MAX(("Да"=AA$12:AA972)*ROW(AA$12:AA972)+1,ROW($P$12))&amp;":M"&amp;(ROW()))))-SUM(INDIRECT("W"&amp;(MAX(("Да"=AA$12:AA972)*ROW(AA$12:AA972)+1,ROW($P$12))&amp;":W"&amp;(ROW()))))),0)</f>
        <v>15443.2</v>
      </c>
      <c r="Q973" s="99">
        <f ca="1">MAX(SUM($N$13:N973)-SUM($T$13:T973),0)</f>
        <v>68556.500655737676</v>
      </c>
      <c r="R973" s="99">
        <f ca="1">Первоначальный[[#This Row],[Просроченный платеж по ОД]]+Первоначальный[[#This Row],[Просроченный платеж по процентам]]</f>
        <v>83999.700655737674</v>
      </c>
      <c r="S973" s="120">
        <f ca="1">IF(Первоначальный[[#This Row],[Просроченный платеж]]&lt;1,0,S972+1)</f>
        <v>869</v>
      </c>
      <c r="T973" s="100" cm="1">
        <f t="array" aca="1" ref="T973" ca="1">IF(Первоначальный[[#This Row],[Итого остаток на начало периода]]&lt;1,0,
IF(
AND(TYPE(VLOOKUP(1,$Z$12:Z973,1,0))=16,Первоначальный[[#This Row],[Досрочное погашение (да/"")]]=""),0,
_xlfn.IFS(AND(S972=0,Первоначальный[[#This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платеж]]&lt;&gt;0),MIN(LOOKUP(,-1/($Z$12:Z973=1),$C$12:C973)+LOOKUP(,-1/($Z$12:Z973=1),$H$12:H973),Первоначальный[[#This Row],[Полученный платеж]]+Y972),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платеж]]+Y972,SUM(Первоначальный[[#This Row],[Остаток процентов на начало периода]],Первоначальный[[#This Row],[Проценты за период]])),
AND(S972=0,Первоначальный[[#This Row],[Дата платежа из графика]]=""),0,
AND(S972=0,Первоначальный[[#This Row],[Дата платежа из графика]]=1,MAX((0&lt;&gt;S$12:S972)*ROW(S$12:S972),ROW($S$12))&gt;=MAX((1=Z$12:Z972)*ROW(Z$12:Z972),ROW($T$12)),TYPE(VLOOKUP("Да",(INDIRECT("AA"&amp;(MAX((1=Z$12:Z972)*ROW(Z$12:Z972),ROW($T$12))&amp;":AA"&amp;(ROW()-1)))),1,0))=16),MIN(LOOKUP(,-1/($Z$12:Z973=1),$C$12:C973)+LOOKUP(,-1/($Z$12:Z973=1),$H$12:H973),Первоначальный[[#This Row],[Полученный платеж]]+Y972),
AND(S972=0,TYPE(VLOOKUP("Да",(INDIRECT("AA"&amp;(MAX((1=Z$12:Z972)*ROW(Z$12:Z972),ROW($T$12))&amp;":AA"&amp;(ROW()-1)))),1,0))&lt;&gt;16),MIN(LOOKUP(,-1/($Z$12:Z973=1),$C$12:C973)+LOOKUP(,-1/($Z$12:Z973=1),$H$12:H973)-IF(AA972="Да",0,SUM(INDIRECT("T"&amp;(MAX(("Да"=AA$12:AA972)*ROW(AA$12:AA972)+1,ROW($T$12))&amp;":T"&amp;(ROW()-1))))),Первоначальный[[#This Row],[Полученный платеж]]+Y972),
AND(S972=0,MAX((0&lt;&gt;N$12:N972)*ROW(N$12:N972),ROW($S$12))&gt;=MAX((1=Z$12:Z972)*ROW(Z$12:Z972),ROW($T$12))),MIN(LOOKUP(,-1/($Z$12:Z973=1),$C$12:C973)+LOOKUP(,-1/($Z$12:Z973=1),$H$12:H973)-IF(N972&lt;&gt;0,0,SUM(INDIRECT("T"&amp;(MAX((0&lt;&gt;N$12:N972)*ROW(N$12:N972)+1,ROW($T$12))&amp;":T"&amp;(ROW()-1))))),Первоначальный[[#This Row],[Полученный платеж]]+Y972),
AND(S972=0,Первоначальный[[#This Row],[Дата платежа из графика]]=1),MIN(LOOKUP(,-1/($Z$12:Z973=1),$C$12:C973)+LOOKUP(,-1/($Z$12:Z973=1),$H$12:H973)-IF(Z972=1,0,SUM(INDIRECT("T"&amp;(MAX((1=Z$12:Z972)*ROW(Z$12:Z972)+1,ROW($T$12))&amp;":T"&amp;(ROW()-1))))),Первоначальный[[#This Row],[Полученный платеж]]+Y972),
AND(Z972&gt;0,Первоначальный[[#This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платеж]]+Y972),
AND(S972&gt;0,MAX((0&lt;&gt;S$12:S972)*ROW(S$12:S972),ROW($S$12))&gt;=MAX((1=Z$12:Z972)*ROW(Z$12:Z972),ROW($T$12)),TYPE(VLOOKUP("Да",(INDIRECT("AA"&amp;(MAX((1=Z$12:Z972)*ROW(Z$12:Z972),ROW($T$12))&amp;":AA"&amp;(ROW()-1)))),1,0))=16),MIN(LOOKUP(,-1/($Z$12:Z973=1),$C$12:C973)+LOOKUP(,-1/($Z$12:Z973=1),$H$12:H973)-SUM(INDIRECT("T"&amp;(MAX((1=Z$12:Z972)*ROW(Z$12:Z972),ROW($T$12))&amp;":T"&amp;(ROW()-1)))),Первоначальный[[#This Row],[Полученный платеж]]+Y972),
S972&gt;0,MIN(LOOKUP(,-1/($Z$12:Z973=1),$C$12:C973)+LOOKUP(,-1/($Z$12:Z973=1),$H$12:H973)-IF(Z972=1,0,SUM(INDIRECT("T"&amp;(MAX((1=Z$12:Z972)*ROW(Z$12:Z972)+1,ROW($T$12))&amp;":T"&amp;(ROW()-1))))),Первоначальный[[#This Row],[Полученный платеж]]+Y972)
)
)
)</f>
        <v>0</v>
      </c>
      <c r="U97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платеж]]+Y972-Первоначальный[[#This Row],[Полученный платёж по процентам]])</f>
        <v>0</v>
      </c>
      <c r="V973" s="55">
        <f t="shared" ref="V973:V1036" ca="1" si="183">MAX(MIN(SUM(O973,Y972)-SUM(T973:T973),SUM(E973,J973)),0)</f>
        <v>0</v>
      </c>
      <c r="W973" s="55" cm="1">
        <f t="array" aca="1" ref="W973" ca="1">IF(Первоначальный[[#This Row],[Итого остаток на начало периода]]&lt;1,0,
_xlfn.IFS(
AND(TYPE(VLOOKUP(1,$Z$12:Z973,1,0))=16,Первоначальный[[#This Row],[Досрочное погашение (да/"")]]=""),0,
AND(S972=0,Первоначальный[[#This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платеж]]+Y972-SUM(Первоначальный[[#This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комиссиям]]),VLOOKUP(LOOKUP(,-1/($Z$12:Z973=1),$A$12:A973),График[[Срок конец]:[Возврат основной суммы долга]],3,0)),
AND(S972=0,Первоначальный[[#This Row],[Дата платежа из графика]]="",Первоначальный[[#This Row],[Досрочное погашение (да/"")]]&lt;&gt;"Да"),0,
AND(S972=0,Первоначальный[[#This Row],[Досрочное погашение (да/"")]]=""),MIN(Первоначальный[[#This Row],[Полученный платеж]]+Y972-SUM(Первоначальный[[#This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комиссиям]]),VLOOKUP(LOOKUP(,-1/($Z$12:Z973=1),$A$12:A973),График[[Срок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платеж]]+Y972-SUM(Первоначальный[[#This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S972&gt;0,MIN(Первоначальный[[#This Row],[Полученный платеж]]+Y972-SUM(Первоначальный[[#This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комиссиям]]),SUM(INDIRECT("M"&amp;(MAX((1=S$12:S972)*ROW(S$12:S972),ROW($W$12))&amp;":M"&amp;(ROW()))))-SUM(INDIRECT("W"&amp;(MAX((1=S$12:S972)*ROW(S$12:S972),ROW($W$12))&amp;":W"&amp;(ROW()-1)))))
)
)</f>
        <v>0</v>
      </c>
      <c r="X973" s="55">
        <f t="shared" ref="X973:X1036" ca="1" si="184">MAX(MIN(SUM(O973,Y972)-SUM(T973:W973),SUM(F973,K973)),0)</f>
        <v>0</v>
      </c>
      <c r="Y973" s="101">
        <f t="shared" ca="1" si="179"/>
        <v>0</v>
      </c>
      <c r="Z973" s="133" t="str">
        <f>IF(TYPE((VLOOKUP(Первоначальный[[#This Row],[Дата платежа]],График[Срок конец],1,0)))=16,"",1)</f>
        <v/>
      </c>
      <c r="AA973" s="57"/>
      <c r="AB973" s="134"/>
      <c r="AC97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7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69875.729999999981</v>
      </c>
      <c r="AE97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3451.8699999999917</v>
      </c>
      <c r="AF97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7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186552.46934917988</v>
      </c>
      <c r="AH973" s="55"/>
      <c r="AI973" s="55"/>
      <c r="AJ973" s="55"/>
      <c r="AK973" s="101">
        <f t="shared" ca="1" si="180"/>
        <v>409513.40934917983</v>
      </c>
      <c r="AL973" s="129">
        <f t="array" ref="AL973">MAX((УслРестрактов[Характеристика]="Дата реструктуризации")*(УслРестрактов[Значение]=Первоначальный!$A973),0)</f>
        <v>0</v>
      </c>
    </row>
    <row r="974" spans="1:38" x14ac:dyDescent="0.25">
      <c r="A974" s="97">
        <f t="shared" ref="A974:A1037" si="185">A973+1</f>
        <v>45105</v>
      </c>
      <c r="B974" s="100">
        <f t="shared" ref="B974:B1037" ca="1" si="186">AC973</f>
        <v>149633.34</v>
      </c>
      <c r="C974" s="55">
        <f t="shared" ca="1" si="182"/>
        <v>69875.729999999981</v>
      </c>
      <c r="D974" s="55">
        <f t="shared" ca="1" si="182"/>
        <v>3451.8699999999917</v>
      </c>
      <c r="E974" s="55">
        <f t="shared" ref="E974:E1037" ca="1" si="187">AF973</f>
        <v>0</v>
      </c>
      <c r="F974" s="55">
        <f t="shared" ref="F974:F1037" ca="1" si="188">AG973+AH973</f>
        <v>186552.46934917988</v>
      </c>
      <c r="G974" s="101">
        <f t="shared" ref="G974:G1037" ca="1" si="189">AK973</f>
        <v>409513.40934917983</v>
      </c>
      <c r="H974" s="100">
        <f ca="1">ROUND($B974*VLOOKUP($A974,$A$1:$B$10,2,1)/(365+IF(MOD(YEAR($A974),4),0,1)*($A974-$A973)),2)-Первоначальный[[#This Row],[Проценты на просроченный платеж по ОД за период]]</f>
        <v>73.16</v>
      </c>
      <c r="I974" s="55">
        <f t="shared" ref="I974:I1037" ca="1" si="190">ROUND(P973*VLOOKUP($A974,$A$1:$B$10,2,1)/(365+IF(MOD(YEAR($A974),4),0,1)*($A974-$A973)),2)</f>
        <v>8.42</v>
      </c>
      <c r="J974" s="55">
        <v>0</v>
      </c>
      <c r="K974" s="55">
        <f t="shared" ca="1" si="181"/>
        <v>419.99850327868836</v>
      </c>
      <c r="L974" s="55">
        <v>0</v>
      </c>
      <c r="M974" s="113">
        <f>SUMIFS(График[Возврат основной суммы долга],График[Дата с учетом нерабочих дней],$A974)</f>
        <v>0</v>
      </c>
      <c r="N974" s="56">
        <f>SUMIFS(График[Возврат начисленных %],График[Дата с учетом нерабочих дней],$A974)</f>
        <v>0</v>
      </c>
      <c r="O974" s="101">
        <v>0</v>
      </c>
      <c r="P974" s="100" cm="1">
        <f t="array" aca="1" ref="P974" ca="1">MAX(IF(AA973="Да",0,SUM(INDIRECT("M"&amp;(MAX(("Да"=AA$12:AA973)*ROW(AA$12:AA973)+1,ROW($P$12))&amp;":M"&amp;(ROW()))))-SUM(INDIRECT("W"&amp;(MAX(("Да"=AA$12:AA973)*ROW(AA$12:AA973)+1,ROW($P$12))&amp;":W"&amp;(ROW()))))),0)</f>
        <v>15443.2</v>
      </c>
      <c r="Q974" s="99">
        <f ca="1">MAX(SUM($N$13:N974)-SUM($T$13:T974),0)</f>
        <v>68556.500655737676</v>
      </c>
      <c r="R974" s="99">
        <f ca="1">Первоначальный[[#This Row],[Просроченный платеж по ОД]]+Первоначальный[[#This Row],[Просроченный платеж по процентам]]</f>
        <v>83999.700655737674</v>
      </c>
      <c r="S974" s="120">
        <f ca="1">IF(Первоначальный[[#This Row],[Просроченный платеж]]&lt;1,0,S973+1)</f>
        <v>870</v>
      </c>
      <c r="T974" s="100" cm="1">
        <f t="array" aca="1" ref="T974" ca="1">IF(Первоначальный[[#This Row],[Итого остаток на начало периода]]&lt;1,0,
IF(
AND(TYPE(VLOOKUP(1,$Z$12:Z974,1,0))=16,Первоначальный[[#This Row],[Досрочное погашение (да/"")]]=""),0,
_xlfn.IFS(AND(S973=0,Первоначальный[[#This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платеж]]&lt;&gt;0),MIN(LOOKUP(,-1/($Z$12:Z974=1),$C$12:C974)+LOOKUP(,-1/($Z$12:Z974=1),$H$12:H974),Первоначальный[[#This Row],[Полученный платеж]]+Y973),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платеж]]+Y973,SUM(Первоначальный[[#This Row],[Остаток процентов на начало периода]],Первоначальный[[#This Row],[Проценты за период]])),
AND(S973=0,Первоначальный[[#This Row],[Дата платежа из графика]]=""),0,
AND(S973=0,Первоначальный[[#This Row],[Дата платежа из графика]]=1,MAX((0&lt;&gt;S$12:S973)*ROW(S$12:S973),ROW($S$12))&gt;=MAX((1=Z$12:Z973)*ROW(Z$12:Z973),ROW($T$12)),TYPE(VLOOKUP("Да",(INDIRECT("AA"&amp;(MAX((1=Z$12:Z973)*ROW(Z$12:Z973),ROW($T$12))&amp;":AA"&amp;(ROW()-1)))),1,0))=16),MIN(LOOKUP(,-1/($Z$12:Z974=1),$C$12:C974)+LOOKUP(,-1/($Z$12:Z974=1),$H$12:H974),Первоначальный[[#This Row],[Полученный платеж]]+Y973),
AND(S973=0,TYPE(VLOOKUP("Да",(INDIRECT("AA"&amp;(MAX((1=Z$12:Z973)*ROW(Z$12:Z973),ROW($T$12))&amp;":AA"&amp;(ROW()-1)))),1,0))&lt;&gt;16),MIN(LOOKUP(,-1/($Z$12:Z974=1),$C$12:C974)+LOOKUP(,-1/($Z$12:Z974=1),$H$12:H974)-IF(AA973="Да",0,SUM(INDIRECT("T"&amp;(MAX(("Да"=AA$12:AA973)*ROW(AA$12:AA973)+1,ROW($T$12))&amp;":T"&amp;(ROW()-1))))),Первоначальный[[#This Row],[Полученный платеж]]+Y973),
AND(S973=0,MAX((0&lt;&gt;N$12:N973)*ROW(N$12:N973),ROW($S$12))&gt;=MAX((1=Z$12:Z973)*ROW(Z$12:Z973),ROW($T$12))),MIN(LOOKUP(,-1/($Z$12:Z974=1),$C$12:C974)+LOOKUP(,-1/($Z$12:Z974=1),$H$12:H974)-IF(N973&lt;&gt;0,0,SUM(INDIRECT("T"&amp;(MAX((0&lt;&gt;N$12:N973)*ROW(N$12:N973)+1,ROW($T$12))&amp;":T"&amp;(ROW()-1))))),Первоначальный[[#This Row],[Полученный платеж]]+Y973),
AND(S973=0,Первоначальный[[#This Row],[Дата платежа из графика]]=1),MIN(LOOKUP(,-1/($Z$12:Z974=1),$C$12:C974)+LOOKUP(,-1/($Z$12:Z974=1),$H$12:H974)-IF(Z973=1,0,SUM(INDIRECT("T"&amp;(MAX((1=Z$12:Z973)*ROW(Z$12:Z973)+1,ROW($T$12))&amp;":T"&amp;(ROW()-1))))),Первоначальный[[#This Row],[Полученный платеж]]+Y973),
AND(Z973&gt;0,Первоначальный[[#This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платеж]]+Y973),
AND(S973&gt;0,MAX((0&lt;&gt;S$12:S973)*ROW(S$12:S973),ROW($S$12))&gt;=MAX((1=Z$12:Z973)*ROW(Z$12:Z973),ROW($T$12)),TYPE(VLOOKUP("Да",(INDIRECT("AA"&amp;(MAX((1=Z$12:Z973)*ROW(Z$12:Z973),ROW($T$12))&amp;":AA"&amp;(ROW()-1)))),1,0))=16),MIN(LOOKUP(,-1/($Z$12:Z974=1),$C$12:C974)+LOOKUP(,-1/($Z$12:Z974=1),$H$12:H974)-SUM(INDIRECT("T"&amp;(MAX((1=Z$12:Z973)*ROW(Z$12:Z973),ROW($T$12))&amp;":T"&amp;(ROW()-1)))),Первоначальный[[#This Row],[Полученный платеж]]+Y973),
S973&gt;0,MIN(LOOKUP(,-1/($Z$12:Z974=1),$C$12:C974)+LOOKUP(,-1/($Z$12:Z974=1),$H$12:H974)-IF(Z973=1,0,SUM(INDIRECT("T"&amp;(MAX((1=Z$12:Z973)*ROW(Z$12:Z973)+1,ROW($T$12))&amp;":T"&amp;(ROW()-1))))),Первоначальный[[#This Row],[Полученный платеж]]+Y973)
)
)
)</f>
        <v>0</v>
      </c>
      <c r="U97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платеж]]+Y973-Первоначальный[[#This Row],[Полученный платёж по процентам]])</f>
        <v>0</v>
      </c>
      <c r="V974" s="55">
        <f t="shared" ca="1" si="183"/>
        <v>0</v>
      </c>
      <c r="W974" s="55" cm="1">
        <f t="array" aca="1" ref="W974" ca="1">IF(Первоначальный[[#This Row],[Итого остаток на начало периода]]&lt;1,0,
_xlfn.IFS(
AND(TYPE(VLOOKUP(1,$Z$12:Z974,1,0))=16,Первоначальный[[#This Row],[Досрочное погашение (да/"")]]=""),0,
AND(S973=0,Первоначальный[[#This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платеж]]+Y973-SUM(Первоначальный[[#This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комиссиям]]),VLOOKUP(LOOKUP(,-1/($Z$12:Z974=1),$A$12:A974),График[[Срок конец]:[Возврат основной суммы долга]],3,0)),
AND(S973=0,Первоначальный[[#This Row],[Дата платежа из графика]]="",Первоначальный[[#This Row],[Досрочное погашение (да/"")]]&lt;&gt;"Да"),0,
AND(S973=0,Первоначальный[[#This Row],[Досрочное погашение (да/"")]]=""),MIN(Первоначальный[[#This Row],[Полученный платеж]]+Y973-SUM(Первоначальный[[#This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комиссиям]]),VLOOKUP(LOOKUP(,-1/($Z$12:Z974=1),$A$12:A974),График[[Срок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платеж]]+Y973-SUM(Первоначальный[[#This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S973&gt;0,MIN(Первоначальный[[#This Row],[Полученный платеж]]+Y973-SUM(Первоначальный[[#This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комиссиям]]),SUM(INDIRECT("M"&amp;(MAX((1=S$12:S973)*ROW(S$12:S973),ROW($W$12))&amp;":M"&amp;(ROW()))))-SUM(INDIRECT("W"&amp;(MAX((1=S$12:S973)*ROW(S$12:S973),ROW($W$12))&amp;":W"&amp;(ROW()-1)))))
)
)</f>
        <v>0</v>
      </c>
      <c r="X974" s="55">
        <f t="shared" ca="1" si="184"/>
        <v>0</v>
      </c>
      <c r="Y974" s="101">
        <f t="shared" ref="Y974:Y1037" ca="1" si="191">ROUND(Y973+O974-SUM(T974:X974),2)</f>
        <v>0</v>
      </c>
      <c r="Z974" s="133" t="str">
        <f>IF(TYPE((VLOOKUP(Первоначальный[[#This Row],[Дата платежа]],График[Срок конец],1,0)))=16,"",1)</f>
        <v/>
      </c>
      <c r="AA974" s="57"/>
      <c r="AB974" s="134"/>
      <c r="AC97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7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69948.889999999985</v>
      </c>
      <c r="AE97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3460.2899999999918</v>
      </c>
      <c r="AF97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7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186972.46785245856</v>
      </c>
      <c r="AH974" s="55"/>
      <c r="AI974" s="55"/>
      <c r="AJ974" s="55"/>
      <c r="AK974" s="101">
        <f t="shared" ref="AK974:AK1037" ca="1" si="192">SUM(AC974:AJ974)</f>
        <v>410014.98785245849</v>
      </c>
      <c r="AL974" s="129">
        <f t="array" ref="AL974">MAX((УслРестрактов[Характеристика]="Дата реструктуризации")*(УслРестрактов[Значение]=Первоначальный!$A974),0)</f>
        <v>0</v>
      </c>
    </row>
    <row r="975" spans="1:38" x14ac:dyDescent="0.25">
      <c r="A975" s="97">
        <f t="shared" si="185"/>
        <v>45106</v>
      </c>
      <c r="B975" s="100">
        <f t="shared" ca="1" si="186"/>
        <v>149633.34</v>
      </c>
      <c r="C975" s="55">
        <f t="shared" ca="1" si="182"/>
        <v>69948.889999999985</v>
      </c>
      <c r="D975" s="55">
        <f t="shared" ca="1" si="182"/>
        <v>3460.2899999999918</v>
      </c>
      <c r="E975" s="55">
        <f t="shared" ca="1" si="187"/>
        <v>0</v>
      </c>
      <c r="F975" s="55">
        <f t="shared" ca="1" si="188"/>
        <v>186972.46785245856</v>
      </c>
      <c r="G975" s="101">
        <f t="shared" ca="1" si="189"/>
        <v>410014.98785245849</v>
      </c>
      <c r="H975" s="100">
        <f ca="1">ROUND($B975*VLOOKUP($A975,$A$1:$B$10,2,1)/(365+IF(MOD(YEAR($A975),4),0,1)*($A975-$A974)),2)-Первоначальный[[#This Row],[Проценты на просроченный платеж по ОД за период]]</f>
        <v>73.16</v>
      </c>
      <c r="I975" s="55">
        <f t="shared" ca="1" si="190"/>
        <v>8.42</v>
      </c>
      <c r="J975" s="55">
        <v>0</v>
      </c>
      <c r="K975" s="55">
        <f t="shared" ref="K975:K1038" ca="1" si="193">IF(S975&lt;&gt;0,R975*$B$7,0)</f>
        <v>419.99850327868836</v>
      </c>
      <c r="L975" s="55">
        <v>0</v>
      </c>
      <c r="M975" s="113">
        <f>SUMIFS(График[Возврат основной суммы долга],График[Дата с учетом нерабочих дней],$A975)</f>
        <v>0</v>
      </c>
      <c r="N975" s="56">
        <f>SUMIFS(График[Возврат начисленных %],График[Дата с учетом нерабочих дней],$A975)</f>
        <v>0</v>
      </c>
      <c r="O975" s="101">
        <v>0</v>
      </c>
      <c r="P975" s="100" cm="1">
        <f t="array" aca="1" ref="P975" ca="1">MAX(IF(AA974="Да",0,SUM(INDIRECT("M"&amp;(MAX(("Да"=AA$12:AA974)*ROW(AA$12:AA974)+1,ROW($P$12))&amp;":M"&amp;(ROW()))))-SUM(INDIRECT("W"&amp;(MAX(("Да"=AA$12:AA974)*ROW(AA$12:AA974)+1,ROW($P$12))&amp;":W"&amp;(ROW()))))),0)</f>
        <v>15443.2</v>
      </c>
      <c r="Q975" s="99">
        <f ca="1">MAX(SUM($N$13:N975)-SUM($T$13:T975),0)</f>
        <v>68556.500655737676</v>
      </c>
      <c r="R975" s="99">
        <f ca="1">Первоначальный[[#This Row],[Просроченный платеж по ОД]]+Первоначальный[[#This Row],[Просроченный платеж по процентам]]</f>
        <v>83999.700655737674</v>
      </c>
      <c r="S975" s="120">
        <f ca="1">IF(Первоначальный[[#This Row],[Просроченный платеж]]&lt;1,0,S974+1)</f>
        <v>871</v>
      </c>
      <c r="T975" s="100" cm="1">
        <f t="array" aca="1" ref="T975" ca="1">IF(Первоначальный[[#This Row],[Итого остаток на начало периода]]&lt;1,0,
IF(
AND(TYPE(VLOOKUP(1,$Z$12:Z975,1,0))=16,Первоначальный[[#This Row],[Досрочное погашение (да/"")]]=""),0,
_xlfn.IFS(AND(S974=0,Первоначальный[[#This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платеж]]&lt;&gt;0),MIN(LOOKUP(,-1/($Z$12:Z975=1),$C$12:C975)+LOOKUP(,-1/($Z$12:Z975=1),$H$12:H975),Первоначальный[[#This Row],[Полученный платеж]]+Y974),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платеж]]+Y974,SUM(Первоначальный[[#This Row],[Остаток процентов на начало периода]],Первоначальный[[#This Row],[Проценты за период]])),
AND(S974=0,Первоначальный[[#This Row],[Дата платежа из графика]]=""),0,
AND(S974=0,Первоначальный[[#This Row],[Дата платежа из графика]]=1,MAX((0&lt;&gt;S$12:S974)*ROW(S$12:S974),ROW($S$12))&gt;=MAX((1=Z$12:Z974)*ROW(Z$12:Z974),ROW($T$12)),TYPE(VLOOKUP("Да",(INDIRECT("AA"&amp;(MAX((1=Z$12:Z974)*ROW(Z$12:Z974),ROW($T$12))&amp;":AA"&amp;(ROW()-1)))),1,0))=16),MIN(LOOKUP(,-1/($Z$12:Z975=1),$C$12:C975)+LOOKUP(,-1/($Z$12:Z975=1),$H$12:H975),Первоначальный[[#This Row],[Полученный платеж]]+Y974),
AND(S974=0,TYPE(VLOOKUP("Да",(INDIRECT("AA"&amp;(MAX((1=Z$12:Z974)*ROW(Z$12:Z974),ROW($T$12))&amp;":AA"&amp;(ROW()-1)))),1,0))&lt;&gt;16),MIN(LOOKUP(,-1/($Z$12:Z975=1),$C$12:C975)+LOOKUP(,-1/($Z$12:Z975=1),$H$12:H975)-IF(AA974="Да",0,SUM(INDIRECT("T"&amp;(MAX(("Да"=AA$12:AA974)*ROW(AA$12:AA974)+1,ROW($T$12))&amp;":T"&amp;(ROW()-1))))),Первоначальный[[#This Row],[Полученный платеж]]+Y974),
AND(S974=0,MAX((0&lt;&gt;N$12:N974)*ROW(N$12:N974),ROW($S$12))&gt;=MAX((1=Z$12:Z974)*ROW(Z$12:Z974),ROW($T$12))),MIN(LOOKUP(,-1/($Z$12:Z975=1),$C$12:C975)+LOOKUP(,-1/($Z$12:Z975=1),$H$12:H975)-IF(N974&lt;&gt;0,0,SUM(INDIRECT("T"&amp;(MAX((0&lt;&gt;N$12:N974)*ROW(N$12:N974)+1,ROW($T$12))&amp;":T"&amp;(ROW()-1))))),Первоначальный[[#This Row],[Полученный платеж]]+Y974),
AND(S974=0,Первоначальный[[#This Row],[Дата платежа из графика]]=1),MIN(LOOKUP(,-1/($Z$12:Z975=1),$C$12:C975)+LOOKUP(,-1/($Z$12:Z975=1),$H$12:H975)-IF(Z974=1,0,SUM(INDIRECT("T"&amp;(MAX((1=Z$12:Z974)*ROW(Z$12:Z974)+1,ROW($T$12))&amp;":T"&amp;(ROW()-1))))),Первоначальный[[#This Row],[Полученный платеж]]+Y974),
AND(Z974&gt;0,Первоначальный[[#This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платеж]]+Y974),
AND(S974&gt;0,MAX((0&lt;&gt;S$12:S974)*ROW(S$12:S974),ROW($S$12))&gt;=MAX((1=Z$12:Z974)*ROW(Z$12:Z974),ROW($T$12)),TYPE(VLOOKUP("Да",(INDIRECT("AA"&amp;(MAX((1=Z$12:Z974)*ROW(Z$12:Z974),ROW($T$12))&amp;":AA"&amp;(ROW()-1)))),1,0))=16),MIN(LOOKUP(,-1/($Z$12:Z975=1),$C$12:C975)+LOOKUP(,-1/($Z$12:Z975=1),$H$12:H975)-SUM(INDIRECT("T"&amp;(MAX((1=Z$12:Z974)*ROW(Z$12:Z974),ROW($T$12))&amp;":T"&amp;(ROW()-1)))),Первоначальный[[#This Row],[Полученный платеж]]+Y974),
S974&gt;0,MIN(LOOKUP(,-1/($Z$12:Z975=1),$C$12:C975)+LOOKUP(,-1/($Z$12:Z975=1),$H$12:H975)-IF(Z974=1,0,SUM(INDIRECT("T"&amp;(MAX((1=Z$12:Z974)*ROW(Z$12:Z974)+1,ROW($T$12))&amp;":T"&amp;(ROW()-1))))),Первоначальный[[#This Row],[Полученный платеж]]+Y974)
)
)
)</f>
        <v>0</v>
      </c>
      <c r="U97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платеж]]+Y974-Первоначальный[[#This Row],[Полученный платёж по процентам]])</f>
        <v>0</v>
      </c>
      <c r="V975" s="55">
        <f t="shared" ca="1" si="183"/>
        <v>0</v>
      </c>
      <c r="W975" s="55" cm="1">
        <f t="array" aca="1" ref="W975" ca="1">IF(Первоначальный[[#This Row],[Итого остаток на начало периода]]&lt;1,0,
_xlfn.IFS(
AND(TYPE(VLOOKUP(1,$Z$12:Z975,1,0))=16,Первоначальный[[#This Row],[Досрочное погашение (да/"")]]=""),0,
AND(S974=0,Первоначальный[[#This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платеж]]+Y974-SUM(Первоначальный[[#This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комиссиям]]),VLOOKUP(LOOKUP(,-1/($Z$12:Z975=1),$A$12:A975),График[[Срок конец]:[Возврат основной суммы долга]],3,0)),
AND(S974=0,Первоначальный[[#This Row],[Дата платежа из графика]]="",Первоначальный[[#This Row],[Досрочное погашение (да/"")]]&lt;&gt;"Да"),0,
AND(S974=0,Первоначальный[[#This Row],[Досрочное погашение (да/"")]]=""),MIN(Первоначальный[[#This Row],[Полученный платеж]]+Y974-SUM(Первоначальный[[#This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комиссиям]]),VLOOKUP(LOOKUP(,-1/($Z$12:Z975=1),$A$12:A975),График[[Срок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платеж]]+Y974-SUM(Первоначальный[[#This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S974&gt;0,MIN(Первоначальный[[#This Row],[Полученный платеж]]+Y974-SUM(Первоначальный[[#This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комиссиям]]),SUM(INDIRECT("M"&amp;(MAX((1=S$12:S974)*ROW(S$12:S974),ROW($W$12))&amp;":M"&amp;(ROW()))))-SUM(INDIRECT("W"&amp;(MAX((1=S$12:S974)*ROW(S$12:S974),ROW($W$12))&amp;":W"&amp;(ROW()-1)))))
)
)</f>
        <v>0</v>
      </c>
      <c r="X975" s="55">
        <f t="shared" ca="1" si="184"/>
        <v>0</v>
      </c>
      <c r="Y975" s="101">
        <f t="shared" ca="1" si="191"/>
        <v>0</v>
      </c>
      <c r="Z975" s="133" t="str">
        <f>IF(TYPE((VLOOKUP(Первоначальный[[#This Row],[Дата платежа]],График[Срок конец],1,0)))=16,"",1)</f>
        <v/>
      </c>
      <c r="AA975" s="57"/>
      <c r="AB975" s="134"/>
      <c r="AC97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7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70022.049999999988</v>
      </c>
      <c r="AE97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3468.7099999999919</v>
      </c>
      <c r="AF97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7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187392.46635573724</v>
      </c>
      <c r="AH975" s="55"/>
      <c r="AI975" s="55"/>
      <c r="AJ975" s="55"/>
      <c r="AK975" s="101">
        <f t="shared" ca="1" si="192"/>
        <v>410516.56635573722</v>
      </c>
      <c r="AL975" s="129">
        <f t="array" ref="AL975">MAX((УслРестрактов[Характеристика]="Дата реструктуризации")*(УслРестрактов[Значение]=Первоначальный!$A975),0)</f>
        <v>0</v>
      </c>
    </row>
    <row r="976" spans="1:38" x14ac:dyDescent="0.25">
      <c r="A976" s="97">
        <f t="shared" si="185"/>
        <v>45107</v>
      </c>
      <c r="B976" s="100">
        <f t="shared" ca="1" si="186"/>
        <v>149633.34</v>
      </c>
      <c r="C976" s="55">
        <f t="shared" ca="1" si="182"/>
        <v>70022.049999999988</v>
      </c>
      <c r="D976" s="55">
        <f t="shared" ca="1" si="182"/>
        <v>3468.7099999999919</v>
      </c>
      <c r="E976" s="55">
        <f t="shared" ca="1" si="187"/>
        <v>0</v>
      </c>
      <c r="F976" s="55">
        <f t="shared" ca="1" si="188"/>
        <v>187392.46635573724</v>
      </c>
      <c r="G976" s="101">
        <f t="shared" ca="1" si="189"/>
        <v>410516.56635573722</v>
      </c>
      <c r="H976" s="100">
        <f ca="1">ROUND($B976*VLOOKUP($A976,$A$1:$B$10,2,1)/(365+IF(MOD(YEAR($A976),4),0,1)*($A976-$A975)),2)-Первоначальный[[#This Row],[Проценты на просроченный платеж по ОД за период]]</f>
        <v>73.16</v>
      </c>
      <c r="I976" s="55">
        <f t="shared" ca="1" si="190"/>
        <v>8.42</v>
      </c>
      <c r="J976" s="55">
        <v>0</v>
      </c>
      <c r="K976" s="55">
        <f t="shared" ca="1" si="193"/>
        <v>419.99850327868836</v>
      </c>
      <c r="L976" s="55">
        <v>0</v>
      </c>
      <c r="M976" s="113">
        <f>SUMIFS(График[Возврат основной суммы долга],График[Дата с учетом нерабочих дней],$A976)</f>
        <v>0</v>
      </c>
      <c r="N976" s="56">
        <f>SUMIFS(График[Возврат начисленных %],График[Дата с учетом нерабочих дней],$A976)</f>
        <v>0</v>
      </c>
      <c r="O976" s="101">
        <v>0</v>
      </c>
      <c r="P976" s="100" cm="1">
        <f t="array" aca="1" ref="P976" ca="1">MAX(IF(AA975="Да",0,SUM(INDIRECT("M"&amp;(MAX(("Да"=AA$12:AA975)*ROW(AA$12:AA975)+1,ROW($P$12))&amp;":M"&amp;(ROW()))))-SUM(INDIRECT("W"&amp;(MAX(("Да"=AA$12:AA975)*ROW(AA$12:AA975)+1,ROW($P$12))&amp;":W"&amp;(ROW()))))),0)</f>
        <v>15443.2</v>
      </c>
      <c r="Q976" s="99">
        <f ca="1">MAX(SUM($N$13:N976)-SUM($T$13:T976),0)</f>
        <v>68556.500655737676</v>
      </c>
      <c r="R976" s="99">
        <f ca="1">Первоначальный[[#This Row],[Просроченный платеж по ОД]]+Первоначальный[[#This Row],[Просроченный платеж по процентам]]</f>
        <v>83999.700655737674</v>
      </c>
      <c r="S976" s="120">
        <f ca="1">IF(Первоначальный[[#This Row],[Просроченный платеж]]&lt;1,0,S975+1)</f>
        <v>872</v>
      </c>
      <c r="T976" s="100" cm="1">
        <f t="array" aca="1" ref="T976" ca="1">IF(Первоначальный[[#This Row],[Итого остаток на начало периода]]&lt;1,0,
IF(
AND(TYPE(VLOOKUP(1,$Z$12:Z976,1,0))=16,Первоначальный[[#This Row],[Досрочное погашение (да/"")]]=""),0,
_xlfn.IFS(AND(S975=0,Первоначальный[[#This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платеж]]&lt;&gt;0),MIN(LOOKUP(,-1/($Z$12:Z976=1),$C$12:C976)+LOOKUP(,-1/($Z$12:Z976=1),$H$12:H976),Первоначальный[[#This Row],[Полученный платеж]]+Y975),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платеж]]+Y975,SUM(Первоначальный[[#This Row],[Остаток процентов на начало периода]],Первоначальный[[#This Row],[Проценты за период]])),
AND(S975=0,Первоначальный[[#This Row],[Дата платежа из графика]]=""),0,
AND(S975=0,Первоначальный[[#This Row],[Дата платежа из графика]]=1,MAX((0&lt;&gt;S$12:S975)*ROW(S$12:S975),ROW($S$12))&gt;=MAX((1=Z$12:Z975)*ROW(Z$12:Z975),ROW($T$12)),TYPE(VLOOKUP("Да",(INDIRECT("AA"&amp;(MAX((1=Z$12:Z975)*ROW(Z$12:Z975),ROW($T$12))&amp;":AA"&amp;(ROW()-1)))),1,0))=16),MIN(LOOKUP(,-1/($Z$12:Z976=1),$C$12:C976)+LOOKUP(,-1/($Z$12:Z976=1),$H$12:H976),Первоначальный[[#This Row],[Полученный платеж]]+Y975),
AND(S975=0,TYPE(VLOOKUP("Да",(INDIRECT("AA"&amp;(MAX((1=Z$12:Z975)*ROW(Z$12:Z975),ROW($T$12))&amp;":AA"&amp;(ROW()-1)))),1,0))&lt;&gt;16),MIN(LOOKUP(,-1/($Z$12:Z976=1),$C$12:C976)+LOOKUP(,-1/($Z$12:Z976=1),$H$12:H976)-IF(AA975="Да",0,SUM(INDIRECT("T"&amp;(MAX(("Да"=AA$12:AA975)*ROW(AA$12:AA975)+1,ROW($T$12))&amp;":T"&amp;(ROW()-1))))),Первоначальный[[#This Row],[Полученный платеж]]+Y975),
AND(S975=0,MAX((0&lt;&gt;N$12:N975)*ROW(N$12:N975),ROW($S$12))&gt;=MAX((1=Z$12:Z975)*ROW(Z$12:Z975),ROW($T$12))),MIN(LOOKUP(,-1/($Z$12:Z976=1),$C$12:C976)+LOOKUP(,-1/($Z$12:Z976=1),$H$12:H976)-IF(N975&lt;&gt;0,0,SUM(INDIRECT("T"&amp;(MAX((0&lt;&gt;N$12:N975)*ROW(N$12:N975)+1,ROW($T$12))&amp;":T"&amp;(ROW()-1))))),Первоначальный[[#This Row],[Полученный платеж]]+Y975),
AND(S975=0,Первоначальный[[#This Row],[Дата платежа из графика]]=1),MIN(LOOKUP(,-1/($Z$12:Z976=1),$C$12:C976)+LOOKUP(,-1/($Z$12:Z976=1),$H$12:H976)-IF(Z975=1,0,SUM(INDIRECT("T"&amp;(MAX((1=Z$12:Z975)*ROW(Z$12:Z975)+1,ROW($T$12))&amp;":T"&amp;(ROW()-1))))),Первоначальный[[#This Row],[Полученный платеж]]+Y975),
AND(Z975&gt;0,Первоначальный[[#This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платеж]]+Y975),
AND(S975&gt;0,MAX((0&lt;&gt;S$12:S975)*ROW(S$12:S975),ROW($S$12))&gt;=MAX((1=Z$12:Z975)*ROW(Z$12:Z975),ROW($T$12)),TYPE(VLOOKUP("Да",(INDIRECT("AA"&amp;(MAX((1=Z$12:Z975)*ROW(Z$12:Z975),ROW($T$12))&amp;":AA"&amp;(ROW()-1)))),1,0))=16),MIN(LOOKUP(,-1/($Z$12:Z976=1),$C$12:C976)+LOOKUP(,-1/($Z$12:Z976=1),$H$12:H976)-SUM(INDIRECT("T"&amp;(MAX((1=Z$12:Z975)*ROW(Z$12:Z975),ROW($T$12))&amp;":T"&amp;(ROW()-1)))),Первоначальный[[#This Row],[Полученный платеж]]+Y975),
S975&gt;0,MIN(LOOKUP(,-1/($Z$12:Z976=1),$C$12:C976)+LOOKUP(,-1/($Z$12:Z976=1),$H$12:H976)-IF(Z975=1,0,SUM(INDIRECT("T"&amp;(MAX((1=Z$12:Z975)*ROW(Z$12:Z975)+1,ROW($T$12))&amp;":T"&amp;(ROW()-1))))),Первоначальный[[#This Row],[Полученный платеж]]+Y975)
)
)
)</f>
        <v>0</v>
      </c>
      <c r="U97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платеж]]+Y975-Первоначальный[[#This Row],[Полученный платёж по процентам]])</f>
        <v>0</v>
      </c>
      <c r="V976" s="55">
        <f t="shared" ca="1" si="183"/>
        <v>0</v>
      </c>
      <c r="W976" s="55" cm="1">
        <f t="array" aca="1" ref="W976" ca="1">IF(Первоначальный[[#This Row],[Итого остаток на начало периода]]&lt;1,0,
_xlfn.IFS(
AND(TYPE(VLOOKUP(1,$Z$12:Z976,1,0))=16,Первоначальный[[#This Row],[Досрочное погашение (да/"")]]=""),0,
AND(S975=0,Первоначальный[[#This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платеж]]+Y975-SUM(Первоначальный[[#This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комиссиям]]),VLOOKUP(LOOKUP(,-1/($Z$12:Z976=1),$A$12:A976),График[[Срок конец]:[Возврат основной суммы долга]],3,0)),
AND(S975=0,Первоначальный[[#This Row],[Дата платежа из графика]]="",Первоначальный[[#This Row],[Досрочное погашение (да/"")]]&lt;&gt;"Да"),0,
AND(S975=0,Первоначальный[[#This Row],[Досрочное погашение (да/"")]]=""),MIN(Первоначальный[[#This Row],[Полученный платеж]]+Y975-SUM(Первоначальный[[#This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комиссиям]]),VLOOKUP(LOOKUP(,-1/($Z$12:Z976=1),$A$12:A976),График[[Срок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платеж]]+Y975-SUM(Первоначальный[[#This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S975&gt;0,MIN(Первоначальный[[#This Row],[Полученный платеж]]+Y975-SUM(Первоначальный[[#This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комиссиям]]),SUM(INDIRECT("M"&amp;(MAX((1=S$12:S975)*ROW(S$12:S975),ROW($W$12))&amp;":M"&amp;(ROW()))))-SUM(INDIRECT("W"&amp;(MAX((1=S$12:S975)*ROW(S$12:S975),ROW($W$12))&amp;":W"&amp;(ROW()-1)))))
)
)</f>
        <v>0</v>
      </c>
      <c r="X976" s="55">
        <f t="shared" ca="1" si="184"/>
        <v>0</v>
      </c>
      <c r="Y976" s="101">
        <f t="shared" ca="1" si="191"/>
        <v>0</v>
      </c>
      <c r="Z976" s="133" t="str">
        <f>IF(TYPE((VLOOKUP(Первоначальный[[#This Row],[Дата платежа]],График[Срок конец],1,0)))=16,"",1)</f>
        <v/>
      </c>
      <c r="AA976" s="57"/>
      <c r="AB976" s="134"/>
      <c r="AC97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7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70095.209999999992</v>
      </c>
      <c r="AE97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3477.1299999999919</v>
      </c>
      <c r="AF97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7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187812.46485901592</v>
      </c>
      <c r="AH976" s="55"/>
      <c r="AI976" s="55"/>
      <c r="AJ976" s="55"/>
      <c r="AK976" s="101">
        <f t="shared" ca="1" si="192"/>
        <v>411018.14485901594</v>
      </c>
      <c r="AL976" s="129">
        <f t="array" ref="AL976">MAX((УслРестрактов[Характеристика]="Дата реструктуризации")*(УслРестрактов[Значение]=Первоначальный!$A976),0)</f>
        <v>0</v>
      </c>
    </row>
    <row r="977" spans="1:38" x14ac:dyDescent="0.25">
      <c r="A977" s="97">
        <f t="shared" si="185"/>
        <v>45108</v>
      </c>
      <c r="B977" s="100">
        <f t="shared" ca="1" si="186"/>
        <v>149633.34</v>
      </c>
      <c r="C977" s="55">
        <f t="shared" ca="1" si="182"/>
        <v>70095.209999999992</v>
      </c>
      <c r="D977" s="55">
        <f t="shared" ca="1" si="182"/>
        <v>3477.1299999999919</v>
      </c>
      <c r="E977" s="55">
        <f t="shared" ca="1" si="187"/>
        <v>0</v>
      </c>
      <c r="F977" s="55">
        <f t="shared" ca="1" si="188"/>
        <v>187812.46485901592</v>
      </c>
      <c r="G977" s="101">
        <f t="shared" ca="1" si="189"/>
        <v>411018.14485901594</v>
      </c>
      <c r="H977" s="100">
        <f ca="1">ROUND($B977*VLOOKUP($A977,$A$1:$B$10,2,1)/(365+IF(MOD(YEAR($A977),4),0,1)*($A977-$A976)),2)-Первоначальный[[#This Row],[Проценты на просроченный платеж по ОД за период]]</f>
        <v>73.16</v>
      </c>
      <c r="I977" s="55">
        <f t="shared" ca="1" si="190"/>
        <v>8.42</v>
      </c>
      <c r="J977" s="55">
        <v>0</v>
      </c>
      <c r="K977" s="55">
        <f t="shared" ca="1" si="193"/>
        <v>419.99850327868836</v>
      </c>
      <c r="L977" s="55">
        <v>0</v>
      </c>
      <c r="M977" s="113">
        <f>SUMIFS(График[Возврат основной суммы долга],График[Дата с учетом нерабочих дней],$A977)</f>
        <v>0</v>
      </c>
      <c r="N977" s="56">
        <f>SUMIFS(График[Возврат начисленных %],График[Дата с учетом нерабочих дней],$A977)</f>
        <v>0</v>
      </c>
      <c r="O977" s="101">
        <v>0</v>
      </c>
      <c r="P977" s="100" cm="1">
        <f t="array" aca="1" ref="P977" ca="1">MAX(IF(AA976="Да",0,SUM(INDIRECT("M"&amp;(MAX(("Да"=AA$12:AA976)*ROW(AA$12:AA976)+1,ROW($P$12))&amp;":M"&amp;(ROW()))))-SUM(INDIRECT("W"&amp;(MAX(("Да"=AA$12:AA976)*ROW(AA$12:AA976)+1,ROW($P$12))&amp;":W"&amp;(ROW()))))),0)</f>
        <v>15443.2</v>
      </c>
      <c r="Q977" s="99">
        <f ca="1">MAX(SUM($N$13:N977)-SUM($T$13:T977),0)</f>
        <v>68556.500655737676</v>
      </c>
      <c r="R977" s="99">
        <f ca="1">Первоначальный[[#This Row],[Просроченный платеж по ОД]]+Первоначальный[[#This Row],[Просроченный платеж по процентам]]</f>
        <v>83999.700655737674</v>
      </c>
      <c r="S977" s="120">
        <f ca="1">IF(Первоначальный[[#This Row],[Просроченный платеж]]&lt;1,0,S976+1)</f>
        <v>873</v>
      </c>
      <c r="T977" s="100" cm="1">
        <f t="array" aca="1" ref="T977" ca="1">IF(Первоначальный[[#This Row],[Итого остаток на начало периода]]&lt;1,0,
IF(
AND(TYPE(VLOOKUP(1,$Z$12:Z977,1,0))=16,Первоначальный[[#This Row],[Досрочное погашение (да/"")]]=""),0,
_xlfn.IFS(AND(S976=0,Первоначальный[[#This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платеж]]&lt;&gt;0),MIN(LOOKUP(,-1/($Z$12:Z977=1),$C$12:C977)+LOOKUP(,-1/($Z$12:Z977=1),$H$12:H977),Первоначальный[[#This Row],[Полученный платеж]]+Y976),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платеж]]+Y976,SUM(Первоначальный[[#This Row],[Остаток процентов на начало периода]],Первоначальный[[#This Row],[Проценты за период]])),
AND(S976=0,Первоначальный[[#This Row],[Дата платежа из графика]]=""),0,
AND(S976=0,Первоначальный[[#This Row],[Дата платежа из графика]]=1,MAX((0&lt;&gt;S$12:S976)*ROW(S$12:S976),ROW($S$12))&gt;=MAX((1=Z$12:Z976)*ROW(Z$12:Z976),ROW($T$12)),TYPE(VLOOKUP("Да",(INDIRECT("AA"&amp;(MAX((1=Z$12:Z976)*ROW(Z$12:Z976),ROW($T$12))&amp;":AA"&amp;(ROW()-1)))),1,0))=16),MIN(LOOKUP(,-1/($Z$12:Z977=1),$C$12:C977)+LOOKUP(,-1/($Z$12:Z977=1),$H$12:H977),Первоначальный[[#This Row],[Полученный платеж]]+Y976),
AND(S976=0,TYPE(VLOOKUP("Да",(INDIRECT("AA"&amp;(MAX((1=Z$12:Z976)*ROW(Z$12:Z976),ROW($T$12))&amp;":AA"&amp;(ROW()-1)))),1,0))&lt;&gt;16),MIN(LOOKUP(,-1/($Z$12:Z977=1),$C$12:C977)+LOOKUP(,-1/($Z$12:Z977=1),$H$12:H977)-IF(AA976="Да",0,SUM(INDIRECT("T"&amp;(MAX(("Да"=AA$12:AA976)*ROW(AA$12:AA976)+1,ROW($T$12))&amp;":T"&amp;(ROW()-1))))),Первоначальный[[#This Row],[Полученный платеж]]+Y976),
AND(S976=0,MAX((0&lt;&gt;N$12:N976)*ROW(N$12:N976),ROW($S$12))&gt;=MAX((1=Z$12:Z976)*ROW(Z$12:Z976),ROW($T$12))),MIN(LOOKUP(,-1/($Z$12:Z977=1),$C$12:C977)+LOOKUP(,-1/($Z$12:Z977=1),$H$12:H977)-IF(N976&lt;&gt;0,0,SUM(INDIRECT("T"&amp;(MAX((0&lt;&gt;N$12:N976)*ROW(N$12:N976)+1,ROW($T$12))&amp;":T"&amp;(ROW()-1))))),Первоначальный[[#This Row],[Полученный платеж]]+Y976),
AND(S976=0,Первоначальный[[#This Row],[Дата платежа из графика]]=1),MIN(LOOKUP(,-1/($Z$12:Z977=1),$C$12:C977)+LOOKUP(,-1/($Z$12:Z977=1),$H$12:H977)-IF(Z976=1,0,SUM(INDIRECT("T"&amp;(MAX((1=Z$12:Z976)*ROW(Z$12:Z976)+1,ROW($T$12))&amp;":T"&amp;(ROW()-1))))),Первоначальный[[#This Row],[Полученный платеж]]+Y976),
AND(Z976&gt;0,Первоначальный[[#This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платеж]]+Y976),
AND(S976&gt;0,MAX((0&lt;&gt;S$12:S976)*ROW(S$12:S976),ROW($S$12))&gt;=MAX((1=Z$12:Z976)*ROW(Z$12:Z976),ROW($T$12)),TYPE(VLOOKUP("Да",(INDIRECT("AA"&amp;(MAX((1=Z$12:Z976)*ROW(Z$12:Z976),ROW($T$12))&amp;":AA"&amp;(ROW()-1)))),1,0))=16),MIN(LOOKUP(,-1/($Z$12:Z977=1),$C$12:C977)+LOOKUP(,-1/($Z$12:Z977=1),$H$12:H977)-SUM(INDIRECT("T"&amp;(MAX((1=Z$12:Z976)*ROW(Z$12:Z976),ROW($T$12))&amp;":T"&amp;(ROW()-1)))),Первоначальный[[#This Row],[Полученный платеж]]+Y976),
S976&gt;0,MIN(LOOKUP(,-1/($Z$12:Z977=1),$C$12:C977)+LOOKUP(,-1/($Z$12:Z977=1),$H$12:H977)-IF(Z976=1,0,SUM(INDIRECT("T"&amp;(MAX((1=Z$12:Z976)*ROW(Z$12:Z976)+1,ROW($T$12))&amp;":T"&amp;(ROW()-1))))),Первоначальный[[#This Row],[Полученный платеж]]+Y976)
)
)
)</f>
        <v>0</v>
      </c>
      <c r="U97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платеж]]+Y976-Первоначальный[[#This Row],[Полученный платёж по процентам]])</f>
        <v>0</v>
      </c>
      <c r="V977" s="55">
        <f t="shared" ca="1" si="183"/>
        <v>0</v>
      </c>
      <c r="W977" s="55" cm="1">
        <f t="array" aca="1" ref="W977" ca="1">IF(Первоначальный[[#This Row],[Итого остаток на начало периода]]&lt;1,0,
_xlfn.IFS(
AND(TYPE(VLOOKUP(1,$Z$12:Z977,1,0))=16,Первоначальный[[#This Row],[Досрочное погашение (да/"")]]=""),0,
AND(S976=0,Первоначальный[[#This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платеж]]+Y976-SUM(Первоначальный[[#This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комиссиям]]),VLOOKUP(LOOKUP(,-1/($Z$12:Z977=1),$A$12:A977),График[[Срок конец]:[Возврат основной суммы долга]],3,0)),
AND(S976=0,Первоначальный[[#This Row],[Дата платежа из графика]]="",Первоначальный[[#This Row],[Досрочное погашение (да/"")]]&lt;&gt;"Да"),0,
AND(S976=0,Первоначальный[[#This Row],[Досрочное погашение (да/"")]]=""),MIN(Первоначальный[[#This Row],[Полученный платеж]]+Y976-SUM(Первоначальный[[#This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комиссиям]]),VLOOKUP(LOOKUP(,-1/($Z$12:Z977=1),$A$12:A977),График[[Срок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платеж]]+Y976-SUM(Первоначальный[[#This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S976&gt;0,MIN(Первоначальный[[#This Row],[Полученный платеж]]+Y976-SUM(Первоначальный[[#This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комиссиям]]),SUM(INDIRECT("M"&amp;(MAX((1=S$12:S976)*ROW(S$12:S976),ROW($W$12))&amp;":M"&amp;(ROW()))))-SUM(INDIRECT("W"&amp;(MAX((1=S$12:S976)*ROW(S$12:S976),ROW($W$12))&amp;":W"&amp;(ROW()-1)))))
)
)</f>
        <v>0</v>
      </c>
      <c r="X977" s="55">
        <f t="shared" ca="1" si="184"/>
        <v>0</v>
      </c>
      <c r="Y977" s="101">
        <f t="shared" ca="1" si="191"/>
        <v>0</v>
      </c>
      <c r="Z977" s="133" t="str">
        <f>IF(TYPE((VLOOKUP(Первоначальный[[#This Row],[Дата платежа]],График[Срок конец],1,0)))=16,"",1)</f>
        <v/>
      </c>
      <c r="AA977" s="57"/>
      <c r="AB977" s="134"/>
      <c r="AC97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7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70168.37</v>
      </c>
      <c r="AE97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3485.549999999992</v>
      </c>
      <c r="AF97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7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188232.4633622946</v>
      </c>
      <c r="AH977" s="55"/>
      <c r="AI977" s="55"/>
      <c r="AJ977" s="55"/>
      <c r="AK977" s="101">
        <f t="shared" ca="1" si="192"/>
        <v>411519.72336229461</v>
      </c>
      <c r="AL977" s="129">
        <f t="array" ref="AL977">MAX((УслРестрактов[Характеристика]="Дата реструктуризации")*(УслРестрактов[Значение]=Первоначальный!$A977),0)</f>
        <v>0</v>
      </c>
    </row>
    <row r="978" spans="1:38" x14ac:dyDescent="0.25">
      <c r="A978" s="97">
        <f t="shared" si="185"/>
        <v>45109</v>
      </c>
      <c r="B978" s="100">
        <f t="shared" ca="1" si="186"/>
        <v>149633.34</v>
      </c>
      <c r="C978" s="55">
        <f t="shared" ca="1" si="182"/>
        <v>70168.37</v>
      </c>
      <c r="D978" s="55">
        <f t="shared" ca="1" si="182"/>
        <v>3485.549999999992</v>
      </c>
      <c r="E978" s="55">
        <f t="shared" ca="1" si="187"/>
        <v>0</v>
      </c>
      <c r="F978" s="55">
        <f t="shared" ca="1" si="188"/>
        <v>188232.4633622946</v>
      </c>
      <c r="G978" s="101">
        <f t="shared" ca="1" si="189"/>
        <v>411519.72336229461</v>
      </c>
      <c r="H978" s="100">
        <f ca="1">ROUND($B978*VLOOKUP($A978,$A$1:$B$10,2,1)/(365+IF(MOD(YEAR($A978),4),0,1)*($A978-$A977)),2)-Первоначальный[[#This Row],[Проценты на просроченный платеж по ОД за период]]</f>
        <v>73.16</v>
      </c>
      <c r="I978" s="55">
        <f t="shared" ca="1" si="190"/>
        <v>8.42</v>
      </c>
      <c r="J978" s="55">
        <v>0</v>
      </c>
      <c r="K978" s="55">
        <f t="shared" ca="1" si="193"/>
        <v>419.99850327868836</v>
      </c>
      <c r="L978" s="55">
        <v>0</v>
      </c>
      <c r="M978" s="113">
        <f>SUMIFS(График[Возврат основной суммы долга],График[Дата с учетом нерабочих дней],$A978)</f>
        <v>0</v>
      </c>
      <c r="N978" s="56">
        <f>SUMIFS(График[Возврат начисленных %],График[Дата с учетом нерабочих дней],$A978)</f>
        <v>0</v>
      </c>
      <c r="O978" s="101">
        <v>0</v>
      </c>
      <c r="P978" s="100" cm="1">
        <f t="array" aca="1" ref="P978" ca="1">MAX(IF(AA977="Да",0,SUM(INDIRECT("M"&amp;(MAX(("Да"=AA$12:AA977)*ROW(AA$12:AA977)+1,ROW($P$12))&amp;":M"&amp;(ROW()))))-SUM(INDIRECT("W"&amp;(MAX(("Да"=AA$12:AA977)*ROW(AA$12:AA977)+1,ROW($P$12))&amp;":W"&amp;(ROW()))))),0)</f>
        <v>15443.2</v>
      </c>
      <c r="Q978" s="99">
        <f ca="1">MAX(SUM($N$13:N978)-SUM($T$13:T978),0)</f>
        <v>68556.500655737676</v>
      </c>
      <c r="R978" s="99">
        <f ca="1">Первоначальный[[#This Row],[Просроченный платеж по ОД]]+Первоначальный[[#This Row],[Просроченный платеж по процентам]]</f>
        <v>83999.700655737674</v>
      </c>
      <c r="S978" s="120">
        <f ca="1">IF(Первоначальный[[#This Row],[Просроченный платеж]]&lt;1,0,S977+1)</f>
        <v>874</v>
      </c>
      <c r="T978" s="100" cm="1">
        <f t="array" aca="1" ref="T978" ca="1">IF(Первоначальный[[#This Row],[Итого остаток на начало периода]]&lt;1,0,
IF(
AND(TYPE(VLOOKUP(1,$Z$12:Z978,1,0))=16,Первоначальный[[#This Row],[Досрочное погашение (да/"")]]=""),0,
_xlfn.IFS(AND(S977=0,Первоначальный[[#This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платеж]]&lt;&gt;0),MIN(LOOKUP(,-1/($Z$12:Z978=1),$C$12:C978)+LOOKUP(,-1/($Z$12:Z978=1),$H$12:H978),Первоначальный[[#This Row],[Полученный платеж]]+Y977),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платеж]]+Y977,SUM(Первоначальный[[#This Row],[Остаток процентов на начало периода]],Первоначальный[[#This Row],[Проценты за период]])),
AND(S977=0,Первоначальный[[#This Row],[Дата платежа из графика]]=""),0,
AND(S977=0,Первоначальный[[#This Row],[Дата платежа из графика]]=1,MAX((0&lt;&gt;S$12:S977)*ROW(S$12:S977),ROW($S$12))&gt;=MAX((1=Z$12:Z977)*ROW(Z$12:Z977),ROW($T$12)),TYPE(VLOOKUP("Да",(INDIRECT("AA"&amp;(MAX((1=Z$12:Z977)*ROW(Z$12:Z977),ROW($T$12))&amp;":AA"&amp;(ROW()-1)))),1,0))=16),MIN(LOOKUP(,-1/($Z$12:Z978=1),$C$12:C978)+LOOKUP(,-1/($Z$12:Z978=1),$H$12:H978),Первоначальный[[#This Row],[Полученный платеж]]+Y977),
AND(S977=0,TYPE(VLOOKUP("Да",(INDIRECT("AA"&amp;(MAX((1=Z$12:Z977)*ROW(Z$12:Z977),ROW($T$12))&amp;":AA"&amp;(ROW()-1)))),1,0))&lt;&gt;16),MIN(LOOKUP(,-1/($Z$12:Z978=1),$C$12:C978)+LOOKUP(,-1/($Z$12:Z978=1),$H$12:H978)-IF(AA977="Да",0,SUM(INDIRECT("T"&amp;(MAX(("Да"=AA$12:AA977)*ROW(AA$12:AA977)+1,ROW($T$12))&amp;":T"&amp;(ROW()-1))))),Первоначальный[[#This Row],[Полученный платеж]]+Y977),
AND(S977=0,MAX((0&lt;&gt;N$12:N977)*ROW(N$12:N977),ROW($S$12))&gt;=MAX((1=Z$12:Z977)*ROW(Z$12:Z977),ROW($T$12))),MIN(LOOKUP(,-1/($Z$12:Z978=1),$C$12:C978)+LOOKUP(,-1/($Z$12:Z978=1),$H$12:H978)-IF(N977&lt;&gt;0,0,SUM(INDIRECT("T"&amp;(MAX((0&lt;&gt;N$12:N977)*ROW(N$12:N977)+1,ROW($T$12))&amp;":T"&amp;(ROW()-1))))),Первоначальный[[#This Row],[Полученный платеж]]+Y977),
AND(S977=0,Первоначальный[[#This Row],[Дата платежа из графика]]=1),MIN(LOOKUP(,-1/($Z$12:Z978=1),$C$12:C978)+LOOKUP(,-1/($Z$12:Z978=1),$H$12:H978)-IF(Z977=1,0,SUM(INDIRECT("T"&amp;(MAX((1=Z$12:Z977)*ROW(Z$12:Z977)+1,ROW($T$12))&amp;":T"&amp;(ROW()-1))))),Первоначальный[[#This Row],[Полученный платеж]]+Y977),
AND(Z977&gt;0,Первоначальный[[#This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платеж]]+Y977),
AND(S977&gt;0,MAX((0&lt;&gt;S$12:S977)*ROW(S$12:S977),ROW($S$12))&gt;=MAX((1=Z$12:Z977)*ROW(Z$12:Z977),ROW($T$12)),TYPE(VLOOKUP("Да",(INDIRECT("AA"&amp;(MAX((1=Z$12:Z977)*ROW(Z$12:Z977),ROW($T$12))&amp;":AA"&amp;(ROW()-1)))),1,0))=16),MIN(LOOKUP(,-1/($Z$12:Z978=1),$C$12:C978)+LOOKUP(,-1/($Z$12:Z978=1),$H$12:H978)-SUM(INDIRECT("T"&amp;(MAX((1=Z$12:Z977)*ROW(Z$12:Z977),ROW($T$12))&amp;":T"&amp;(ROW()-1)))),Первоначальный[[#This Row],[Полученный платеж]]+Y977),
S977&gt;0,MIN(LOOKUP(,-1/($Z$12:Z978=1),$C$12:C978)+LOOKUP(,-1/($Z$12:Z978=1),$H$12:H978)-IF(Z977=1,0,SUM(INDIRECT("T"&amp;(MAX((1=Z$12:Z977)*ROW(Z$12:Z977)+1,ROW($T$12))&amp;":T"&amp;(ROW()-1))))),Первоначальный[[#This Row],[Полученный платеж]]+Y977)
)
)
)</f>
        <v>0</v>
      </c>
      <c r="U97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платеж]]+Y977-Первоначальный[[#This Row],[Полученный платёж по процентам]])</f>
        <v>0</v>
      </c>
      <c r="V978" s="55">
        <f t="shared" ca="1" si="183"/>
        <v>0</v>
      </c>
      <c r="W978" s="55" cm="1">
        <f t="array" aca="1" ref="W978" ca="1">IF(Первоначальный[[#This Row],[Итого остаток на начало периода]]&lt;1,0,
_xlfn.IFS(
AND(TYPE(VLOOKUP(1,$Z$12:Z978,1,0))=16,Первоначальный[[#This Row],[Досрочное погашение (да/"")]]=""),0,
AND(S977=0,Первоначальный[[#This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платеж]]+Y977-SUM(Первоначальный[[#This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комиссиям]]),VLOOKUP(LOOKUP(,-1/($Z$12:Z978=1),$A$12:A978),График[[Срок конец]:[Возврат основной суммы долга]],3,0)),
AND(S977=0,Первоначальный[[#This Row],[Дата платежа из графика]]="",Первоначальный[[#This Row],[Досрочное погашение (да/"")]]&lt;&gt;"Да"),0,
AND(S977=0,Первоначальный[[#This Row],[Досрочное погашение (да/"")]]=""),MIN(Первоначальный[[#This Row],[Полученный платеж]]+Y977-SUM(Первоначальный[[#This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комиссиям]]),VLOOKUP(LOOKUP(,-1/($Z$12:Z978=1),$A$12:A978),График[[Срок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платеж]]+Y977-SUM(Первоначальный[[#This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S977&gt;0,MIN(Первоначальный[[#This Row],[Полученный платеж]]+Y977-SUM(Первоначальный[[#This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комиссиям]]),SUM(INDIRECT("M"&amp;(MAX((1=S$12:S977)*ROW(S$12:S977),ROW($W$12))&amp;":M"&amp;(ROW()))))-SUM(INDIRECT("W"&amp;(MAX((1=S$12:S977)*ROW(S$12:S977),ROW($W$12))&amp;":W"&amp;(ROW()-1)))))
)
)</f>
        <v>0</v>
      </c>
      <c r="X978" s="55">
        <f t="shared" ca="1" si="184"/>
        <v>0</v>
      </c>
      <c r="Y978" s="101">
        <f t="shared" ca="1" si="191"/>
        <v>0</v>
      </c>
      <c r="Z978" s="133" t="str">
        <f>IF(TYPE((VLOOKUP(Первоначальный[[#This Row],[Дата платежа]],График[Срок конец],1,0)))=16,"",1)</f>
        <v/>
      </c>
      <c r="AA978" s="57"/>
      <c r="AB978" s="134"/>
      <c r="AC97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7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70241.53</v>
      </c>
      <c r="AE97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3493.9699999999921</v>
      </c>
      <c r="AF97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7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188652.46186557328</v>
      </c>
      <c r="AH978" s="55"/>
      <c r="AI978" s="55"/>
      <c r="AJ978" s="55"/>
      <c r="AK978" s="101">
        <f t="shared" ca="1" si="192"/>
        <v>412021.30186557327</v>
      </c>
      <c r="AL978" s="129">
        <f t="array" ref="AL978">MAX((УслРестрактов[Характеристика]="Дата реструктуризации")*(УслРестрактов[Значение]=Первоначальный!$A978),0)</f>
        <v>0</v>
      </c>
    </row>
    <row r="979" spans="1:38" x14ac:dyDescent="0.25">
      <c r="A979" s="97">
        <f t="shared" si="185"/>
        <v>45110</v>
      </c>
      <c r="B979" s="100">
        <f t="shared" ca="1" si="186"/>
        <v>149633.34</v>
      </c>
      <c r="C979" s="55">
        <f t="shared" ca="1" si="182"/>
        <v>70241.53</v>
      </c>
      <c r="D979" s="55">
        <f t="shared" ca="1" si="182"/>
        <v>3493.9699999999921</v>
      </c>
      <c r="E979" s="55">
        <f t="shared" ca="1" si="187"/>
        <v>0</v>
      </c>
      <c r="F979" s="55">
        <f t="shared" ca="1" si="188"/>
        <v>188652.46186557328</v>
      </c>
      <c r="G979" s="101">
        <f t="shared" ca="1" si="189"/>
        <v>412021.30186557327</v>
      </c>
      <c r="H979" s="100">
        <f ca="1">ROUND($B979*VLOOKUP($A979,$A$1:$B$10,2,1)/(365+IF(MOD(YEAR($A979),4),0,1)*($A979-$A978)),2)-Первоначальный[[#This Row],[Проценты на просроченный платеж по ОД за период]]</f>
        <v>73.16</v>
      </c>
      <c r="I979" s="55">
        <f t="shared" ca="1" si="190"/>
        <v>8.42</v>
      </c>
      <c r="J979" s="55">
        <v>0</v>
      </c>
      <c r="K979" s="55">
        <f t="shared" ca="1" si="193"/>
        <v>419.99850327868836</v>
      </c>
      <c r="L979" s="55">
        <v>0</v>
      </c>
      <c r="M979" s="113">
        <f>SUMIFS(График[Возврат основной суммы долга],График[Дата с учетом нерабочих дней],$A979)</f>
        <v>0</v>
      </c>
      <c r="N979" s="56">
        <f>SUMIFS(График[Возврат начисленных %],График[Дата с учетом нерабочих дней],$A979)</f>
        <v>0</v>
      </c>
      <c r="O979" s="101">
        <v>0</v>
      </c>
      <c r="P979" s="100" cm="1">
        <f t="array" aca="1" ref="P979" ca="1">MAX(IF(AA978="Да",0,SUM(INDIRECT("M"&amp;(MAX(("Да"=AA$12:AA978)*ROW(AA$12:AA978)+1,ROW($P$12))&amp;":M"&amp;(ROW()))))-SUM(INDIRECT("W"&amp;(MAX(("Да"=AA$12:AA978)*ROW(AA$12:AA978)+1,ROW($P$12))&amp;":W"&amp;(ROW()))))),0)</f>
        <v>15443.2</v>
      </c>
      <c r="Q979" s="99">
        <f ca="1">MAX(SUM($N$13:N979)-SUM($T$13:T979),0)</f>
        <v>68556.500655737676</v>
      </c>
      <c r="R979" s="99">
        <f ca="1">Первоначальный[[#This Row],[Просроченный платеж по ОД]]+Первоначальный[[#This Row],[Просроченный платеж по процентам]]</f>
        <v>83999.700655737674</v>
      </c>
      <c r="S979" s="120">
        <f ca="1">IF(Первоначальный[[#This Row],[Просроченный платеж]]&lt;1,0,S978+1)</f>
        <v>875</v>
      </c>
      <c r="T979" s="100" cm="1">
        <f t="array" aca="1" ref="T979" ca="1">IF(Первоначальный[[#This Row],[Итого остаток на начало периода]]&lt;1,0,
IF(
AND(TYPE(VLOOKUP(1,$Z$12:Z979,1,0))=16,Первоначальный[[#This Row],[Досрочное погашение (да/"")]]=""),0,
_xlfn.IFS(AND(S978=0,Первоначальный[[#This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платеж]]&lt;&gt;0),MIN(LOOKUP(,-1/($Z$12:Z979=1),$C$12:C979)+LOOKUP(,-1/($Z$12:Z979=1),$H$12:H979),Первоначальный[[#This Row],[Полученный платеж]]+Y978),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платеж]]+Y978,SUM(Первоначальный[[#This Row],[Остаток процентов на начало периода]],Первоначальный[[#This Row],[Проценты за период]])),
AND(S978=0,Первоначальный[[#This Row],[Дата платежа из графика]]=""),0,
AND(S978=0,Первоначальный[[#This Row],[Дата платежа из графика]]=1,MAX((0&lt;&gt;S$12:S978)*ROW(S$12:S978),ROW($S$12))&gt;=MAX((1=Z$12:Z978)*ROW(Z$12:Z978),ROW($T$12)),TYPE(VLOOKUP("Да",(INDIRECT("AA"&amp;(MAX((1=Z$12:Z978)*ROW(Z$12:Z978),ROW($T$12))&amp;":AA"&amp;(ROW()-1)))),1,0))=16),MIN(LOOKUP(,-1/($Z$12:Z979=1),$C$12:C979)+LOOKUP(,-1/($Z$12:Z979=1),$H$12:H979),Первоначальный[[#This Row],[Полученный платеж]]+Y978),
AND(S978=0,TYPE(VLOOKUP("Да",(INDIRECT("AA"&amp;(MAX((1=Z$12:Z978)*ROW(Z$12:Z978),ROW($T$12))&amp;":AA"&amp;(ROW()-1)))),1,0))&lt;&gt;16),MIN(LOOKUP(,-1/($Z$12:Z979=1),$C$12:C979)+LOOKUP(,-1/($Z$12:Z979=1),$H$12:H979)-IF(AA978="Да",0,SUM(INDIRECT("T"&amp;(MAX(("Да"=AA$12:AA978)*ROW(AA$12:AA978)+1,ROW($T$12))&amp;":T"&amp;(ROW()-1))))),Первоначальный[[#This Row],[Полученный платеж]]+Y978),
AND(S978=0,MAX((0&lt;&gt;N$12:N978)*ROW(N$12:N978),ROW($S$12))&gt;=MAX((1=Z$12:Z978)*ROW(Z$12:Z978),ROW($T$12))),MIN(LOOKUP(,-1/($Z$12:Z979=1),$C$12:C979)+LOOKUP(,-1/($Z$12:Z979=1),$H$12:H979)-IF(N978&lt;&gt;0,0,SUM(INDIRECT("T"&amp;(MAX((0&lt;&gt;N$12:N978)*ROW(N$12:N978)+1,ROW($T$12))&amp;":T"&amp;(ROW()-1))))),Первоначальный[[#This Row],[Полученный платеж]]+Y978),
AND(S978=0,Первоначальный[[#This Row],[Дата платежа из графика]]=1),MIN(LOOKUP(,-1/($Z$12:Z979=1),$C$12:C979)+LOOKUP(,-1/($Z$12:Z979=1),$H$12:H979)-IF(Z978=1,0,SUM(INDIRECT("T"&amp;(MAX((1=Z$12:Z978)*ROW(Z$12:Z978)+1,ROW($T$12))&amp;":T"&amp;(ROW()-1))))),Первоначальный[[#This Row],[Полученный платеж]]+Y978),
AND(Z978&gt;0,Первоначальный[[#This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платеж]]+Y978),
AND(S978&gt;0,MAX((0&lt;&gt;S$12:S978)*ROW(S$12:S978),ROW($S$12))&gt;=MAX((1=Z$12:Z978)*ROW(Z$12:Z978),ROW($T$12)),TYPE(VLOOKUP("Да",(INDIRECT("AA"&amp;(MAX((1=Z$12:Z978)*ROW(Z$12:Z978),ROW($T$12))&amp;":AA"&amp;(ROW()-1)))),1,0))=16),MIN(LOOKUP(,-1/($Z$12:Z979=1),$C$12:C979)+LOOKUP(,-1/($Z$12:Z979=1),$H$12:H979)-SUM(INDIRECT("T"&amp;(MAX((1=Z$12:Z978)*ROW(Z$12:Z978),ROW($T$12))&amp;":T"&amp;(ROW()-1)))),Первоначальный[[#This Row],[Полученный платеж]]+Y978),
S978&gt;0,MIN(LOOKUP(,-1/($Z$12:Z979=1),$C$12:C979)+LOOKUP(,-1/($Z$12:Z979=1),$H$12:H979)-IF(Z978=1,0,SUM(INDIRECT("T"&amp;(MAX((1=Z$12:Z978)*ROW(Z$12:Z978)+1,ROW($T$12))&amp;":T"&amp;(ROW()-1))))),Первоначальный[[#This Row],[Полученный платеж]]+Y978)
)
)
)</f>
        <v>0</v>
      </c>
      <c r="U97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платеж]]+Y978-Первоначальный[[#This Row],[Полученный платёж по процентам]])</f>
        <v>0</v>
      </c>
      <c r="V979" s="55">
        <f t="shared" ca="1" si="183"/>
        <v>0</v>
      </c>
      <c r="W979" s="55" cm="1">
        <f t="array" aca="1" ref="W979" ca="1">IF(Первоначальный[[#This Row],[Итого остаток на начало периода]]&lt;1,0,
_xlfn.IFS(
AND(TYPE(VLOOKUP(1,$Z$12:Z979,1,0))=16,Первоначальный[[#This Row],[Досрочное погашение (да/"")]]=""),0,
AND(S978=0,Первоначальный[[#This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платеж]]+Y978-SUM(Первоначальный[[#This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комиссиям]]),VLOOKUP(LOOKUP(,-1/($Z$12:Z979=1),$A$12:A979),График[[Срок конец]:[Возврат основной суммы долга]],3,0)),
AND(S978=0,Первоначальный[[#This Row],[Дата платежа из графика]]="",Первоначальный[[#This Row],[Досрочное погашение (да/"")]]&lt;&gt;"Да"),0,
AND(S978=0,Первоначальный[[#This Row],[Досрочное погашение (да/"")]]=""),MIN(Первоначальный[[#This Row],[Полученный платеж]]+Y978-SUM(Первоначальный[[#This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комиссиям]]),VLOOKUP(LOOKUP(,-1/($Z$12:Z979=1),$A$12:A979),График[[Срок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платеж]]+Y978-SUM(Первоначальный[[#This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S978&gt;0,MIN(Первоначальный[[#This Row],[Полученный платеж]]+Y978-SUM(Первоначальный[[#This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комиссиям]]),SUM(INDIRECT("M"&amp;(MAX((1=S$12:S978)*ROW(S$12:S978),ROW($W$12))&amp;":M"&amp;(ROW()))))-SUM(INDIRECT("W"&amp;(MAX((1=S$12:S978)*ROW(S$12:S978),ROW($W$12))&amp;":W"&amp;(ROW()-1)))))
)
)</f>
        <v>0</v>
      </c>
      <c r="X979" s="55">
        <f t="shared" ca="1" si="184"/>
        <v>0</v>
      </c>
      <c r="Y979" s="101">
        <f t="shared" ca="1" si="191"/>
        <v>0</v>
      </c>
      <c r="Z979" s="133" t="str">
        <f>IF(TYPE((VLOOKUP(Первоначальный[[#This Row],[Дата платежа]],График[Срок конец],1,0)))=16,"",1)</f>
        <v/>
      </c>
      <c r="AA979" s="57"/>
      <c r="AB979" s="134"/>
      <c r="AC97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7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70314.69</v>
      </c>
      <c r="AE97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3502.3899999999921</v>
      </c>
      <c r="AF97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7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189072.46036885196</v>
      </c>
      <c r="AH979" s="55"/>
      <c r="AI979" s="55"/>
      <c r="AJ979" s="55"/>
      <c r="AK979" s="101">
        <f t="shared" ca="1" si="192"/>
        <v>412522.88036885194</v>
      </c>
      <c r="AL979" s="129">
        <f t="array" ref="AL979">MAX((УслРестрактов[Характеристика]="Дата реструктуризации")*(УслРестрактов[Значение]=Первоначальный!$A979),0)</f>
        <v>0</v>
      </c>
    </row>
    <row r="980" spans="1:38" x14ac:dyDescent="0.25">
      <c r="A980" s="97">
        <f t="shared" si="185"/>
        <v>45111</v>
      </c>
      <c r="B980" s="100">
        <f t="shared" ca="1" si="186"/>
        <v>149633.34</v>
      </c>
      <c r="C980" s="55">
        <f t="shared" ca="1" si="182"/>
        <v>70314.69</v>
      </c>
      <c r="D980" s="55">
        <f t="shared" ca="1" si="182"/>
        <v>3502.3899999999921</v>
      </c>
      <c r="E980" s="55">
        <f t="shared" ca="1" si="187"/>
        <v>0</v>
      </c>
      <c r="F980" s="55">
        <f t="shared" ca="1" si="188"/>
        <v>189072.46036885196</v>
      </c>
      <c r="G980" s="101">
        <f t="shared" ca="1" si="189"/>
        <v>412522.88036885194</v>
      </c>
      <c r="H980" s="100">
        <f ca="1">ROUND($B980*VLOOKUP($A980,$A$1:$B$10,2,1)/(365+IF(MOD(YEAR($A980),4),0,1)*($A980-$A979)),2)-Первоначальный[[#This Row],[Проценты на просроченный платеж по ОД за период]]</f>
        <v>73.16</v>
      </c>
      <c r="I980" s="55">
        <f t="shared" ca="1" si="190"/>
        <v>8.42</v>
      </c>
      <c r="J980" s="55">
        <v>0</v>
      </c>
      <c r="K980" s="55">
        <f t="shared" ca="1" si="193"/>
        <v>419.99850327868836</v>
      </c>
      <c r="L980" s="55">
        <v>0</v>
      </c>
      <c r="M980" s="113">
        <f>SUMIFS(График[Возврат основной суммы долга],График[Дата с учетом нерабочих дней],$A980)</f>
        <v>0</v>
      </c>
      <c r="N980" s="56">
        <f>SUMIFS(График[Возврат начисленных %],График[Дата с учетом нерабочих дней],$A980)</f>
        <v>0</v>
      </c>
      <c r="O980" s="101">
        <v>0</v>
      </c>
      <c r="P980" s="100" cm="1">
        <f t="array" aca="1" ref="P980" ca="1">MAX(IF(AA979="Да",0,SUM(INDIRECT("M"&amp;(MAX(("Да"=AA$12:AA979)*ROW(AA$12:AA979)+1,ROW($P$12))&amp;":M"&amp;(ROW()))))-SUM(INDIRECT("W"&amp;(MAX(("Да"=AA$12:AA979)*ROW(AA$12:AA979)+1,ROW($P$12))&amp;":W"&amp;(ROW()))))),0)</f>
        <v>15443.2</v>
      </c>
      <c r="Q980" s="99">
        <f ca="1">MAX(SUM($N$13:N980)-SUM($T$13:T980),0)</f>
        <v>68556.500655737676</v>
      </c>
      <c r="R980" s="99">
        <f ca="1">Первоначальный[[#This Row],[Просроченный платеж по ОД]]+Первоначальный[[#This Row],[Просроченный платеж по процентам]]</f>
        <v>83999.700655737674</v>
      </c>
      <c r="S980" s="120">
        <f ca="1">IF(Первоначальный[[#This Row],[Просроченный платеж]]&lt;1,0,S979+1)</f>
        <v>876</v>
      </c>
      <c r="T980" s="100" cm="1">
        <f t="array" aca="1" ref="T980" ca="1">IF(Первоначальный[[#This Row],[Итого остаток на начало периода]]&lt;1,0,
IF(
AND(TYPE(VLOOKUP(1,$Z$12:Z980,1,0))=16,Первоначальный[[#This Row],[Досрочное погашение (да/"")]]=""),0,
_xlfn.IFS(AND(S979=0,Первоначальный[[#This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платеж]]&lt;&gt;0),MIN(LOOKUP(,-1/($Z$12:Z980=1),$C$12:C980)+LOOKUP(,-1/($Z$12:Z980=1),$H$12:H980),Первоначальный[[#This Row],[Полученный платеж]]+Y979),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платеж]]+Y979,SUM(Первоначальный[[#This Row],[Остаток процентов на начало периода]],Первоначальный[[#This Row],[Проценты за период]])),
AND(S979=0,Первоначальный[[#This Row],[Дата платежа из графика]]=""),0,
AND(S979=0,Первоначальный[[#This Row],[Дата платежа из графика]]=1,MAX((0&lt;&gt;S$12:S979)*ROW(S$12:S979),ROW($S$12))&gt;=MAX((1=Z$12:Z979)*ROW(Z$12:Z979),ROW($T$12)),TYPE(VLOOKUP("Да",(INDIRECT("AA"&amp;(MAX((1=Z$12:Z979)*ROW(Z$12:Z979),ROW($T$12))&amp;":AA"&amp;(ROW()-1)))),1,0))=16),MIN(LOOKUP(,-1/($Z$12:Z980=1),$C$12:C980)+LOOKUP(,-1/($Z$12:Z980=1),$H$12:H980),Первоначальный[[#This Row],[Полученный платеж]]+Y979),
AND(S979=0,TYPE(VLOOKUP("Да",(INDIRECT("AA"&amp;(MAX((1=Z$12:Z979)*ROW(Z$12:Z979),ROW($T$12))&amp;":AA"&amp;(ROW()-1)))),1,0))&lt;&gt;16),MIN(LOOKUP(,-1/($Z$12:Z980=1),$C$12:C980)+LOOKUP(,-1/($Z$12:Z980=1),$H$12:H980)-IF(AA979="Да",0,SUM(INDIRECT("T"&amp;(MAX(("Да"=AA$12:AA979)*ROW(AA$12:AA979)+1,ROW($T$12))&amp;":T"&amp;(ROW()-1))))),Первоначальный[[#This Row],[Полученный платеж]]+Y979),
AND(S979=0,MAX((0&lt;&gt;N$12:N979)*ROW(N$12:N979),ROW($S$12))&gt;=MAX((1=Z$12:Z979)*ROW(Z$12:Z979),ROW($T$12))),MIN(LOOKUP(,-1/($Z$12:Z980=1),$C$12:C980)+LOOKUP(,-1/($Z$12:Z980=1),$H$12:H980)-IF(N979&lt;&gt;0,0,SUM(INDIRECT("T"&amp;(MAX((0&lt;&gt;N$12:N979)*ROW(N$12:N979)+1,ROW($T$12))&amp;":T"&amp;(ROW()-1))))),Первоначальный[[#This Row],[Полученный платеж]]+Y979),
AND(S979=0,Первоначальный[[#This Row],[Дата платежа из графика]]=1),MIN(LOOKUP(,-1/($Z$12:Z980=1),$C$12:C980)+LOOKUP(,-1/($Z$12:Z980=1),$H$12:H980)-IF(Z979=1,0,SUM(INDIRECT("T"&amp;(MAX((1=Z$12:Z979)*ROW(Z$12:Z979)+1,ROW($T$12))&amp;":T"&amp;(ROW()-1))))),Первоначальный[[#This Row],[Полученный платеж]]+Y979),
AND(Z979&gt;0,Первоначальный[[#This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платеж]]+Y979),
AND(S979&gt;0,MAX((0&lt;&gt;S$12:S979)*ROW(S$12:S979),ROW($S$12))&gt;=MAX((1=Z$12:Z979)*ROW(Z$12:Z979),ROW($T$12)),TYPE(VLOOKUP("Да",(INDIRECT("AA"&amp;(MAX((1=Z$12:Z979)*ROW(Z$12:Z979),ROW($T$12))&amp;":AA"&amp;(ROW()-1)))),1,0))=16),MIN(LOOKUP(,-1/($Z$12:Z980=1),$C$12:C980)+LOOKUP(,-1/($Z$12:Z980=1),$H$12:H980)-SUM(INDIRECT("T"&amp;(MAX((1=Z$12:Z979)*ROW(Z$12:Z979),ROW($T$12))&amp;":T"&amp;(ROW()-1)))),Первоначальный[[#This Row],[Полученный платеж]]+Y979),
S979&gt;0,MIN(LOOKUP(,-1/($Z$12:Z980=1),$C$12:C980)+LOOKUP(,-1/($Z$12:Z980=1),$H$12:H980)-IF(Z979=1,0,SUM(INDIRECT("T"&amp;(MAX((1=Z$12:Z979)*ROW(Z$12:Z979)+1,ROW($T$12))&amp;":T"&amp;(ROW()-1))))),Первоначальный[[#This Row],[Полученный платеж]]+Y979)
)
)
)</f>
        <v>0</v>
      </c>
      <c r="U98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платеж]]+Y979-Первоначальный[[#This Row],[Полученный платёж по процентам]])</f>
        <v>0</v>
      </c>
      <c r="V980" s="55">
        <f t="shared" ca="1" si="183"/>
        <v>0</v>
      </c>
      <c r="W980" s="55" cm="1">
        <f t="array" aca="1" ref="W980" ca="1">IF(Первоначальный[[#This Row],[Итого остаток на начало периода]]&lt;1,0,
_xlfn.IFS(
AND(TYPE(VLOOKUP(1,$Z$12:Z980,1,0))=16,Первоначальный[[#This Row],[Досрочное погашение (да/"")]]=""),0,
AND(S979=0,Первоначальный[[#This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платеж]]+Y979-SUM(Первоначальный[[#This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комиссиям]]),VLOOKUP(LOOKUP(,-1/($Z$12:Z980=1),$A$12:A980),График[[Срок конец]:[Возврат основной суммы долга]],3,0)),
AND(S979=0,Первоначальный[[#This Row],[Дата платежа из графика]]="",Первоначальный[[#This Row],[Досрочное погашение (да/"")]]&lt;&gt;"Да"),0,
AND(S979=0,Первоначальный[[#This Row],[Досрочное погашение (да/"")]]=""),MIN(Первоначальный[[#This Row],[Полученный платеж]]+Y979-SUM(Первоначальный[[#This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комиссиям]]),VLOOKUP(LOOKUP(,-1/($Z$12:Z980=1),$A$12:A980),График[[Срок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платеж]]+Y979-SUM(Первоначальный[[#This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S979&gt;0,MIN(Первоначальный[[#This Row],[Полученный платеж]]+Y979-SUM(Первоначальный[[#This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комиссиям]]),SUM(INDIRECT("M"&amp;(MAX((1=S$12:S979)*ROW(S$12:S979),ROW($W$12))&amp;":M"&amp;(ROW()))))-SUM(INDIRECT("W"&amp;(MAX((1=S$12:S979)*ROW(S$12:S979),ROW($W$12))&amp;":W"&amp;(ROW()-1)))))
)
)</f>
        <v>0</v>
      </c>
      <c r="X980" s="55">
        <f t="shared" ca="1" si="184"/>
        <v>0</v>
      </c>
      <c r="Y980" s="101">
        <f t="shared" ca="1" si="191"/>
        <v>0</v>
      </c>
      <c r="Z980" s="133" t="str">
        <f>IF(TYPE((VLOOKUP(Первоначальный[[#This Row],[Дата платежа]],График[Срок конец],1,0)))=16,"",1)</f>
        <v/>
      </c>
      <c r="AA980" s="57"/>
      <c r="AB980" s="134"/>
      <c r="AC98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8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70387.850000000006</v>
      </c>
      <c r="AE98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3510.8099999999922</v>
      </c>
      <c r="AF98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8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189492.45887213064</v>
      </c>
      <c r="AH980" s="55"/>
      <c r="AI980" s="55"/>
      <c r="AJ980" s="55"/>
      <c r="AK980" s="101">
        <f t="shared" ca="1" si="192"/>
        <v>413024.45887213061</v>
      </c>
      <c r="AL980" s="129">
        <f t="array" ref="AL980">MAX((УслРестрактов[Характеристика]="Дата реструктуризации")*(УслРестрактов[Значение]=Первоначальный!$A980),0)</f>
        <v>0</v>
      </c>
    </row>
    <row r="981" spans="1:38" x14ac:dyDescent="0.25">
      <c r="A981" s="97">
        <f t="shared" si="185"/>
        <v>45112</v>
      </c>
      <c r="B981" s="100">
        <f t="shared" ca="1" si="186"/>
        <v>149633.34</v>
      </c>
      <c r="C981" s="55">
        <f t="shared" ca="1" si="182"/>
        <v>70387.850000000006</v>
      </c>
      <c r="D981" s="55">
        <f t="shared" ca="1" si="182"/>
        <v>3510.8099999999922</v>
      </c>
      <c r="E981" s="55">
        <f t="shared" ca="1" si="187"/>
        <v>0</v>
      </c>
      <c r="F981" s="55">
        <f t="shared" ca="1" si="188"/>
        <v>189492.45887213064</v>
      </c>
      <c r="G981" s="101">
        <f t="shared" ca="1" si="189"/>
        <v>413024.45887213061</v>
      </c>
      <c r="H981" s="100">
        <f ca="1">ROUND($B981*VLOOKUP($A981,$A$1:$B$10,2,1)/(365+IF(MOD(YEAR($A981),4),0,1)*($A981-$A980)),2)-Первоначальный[[#This Row],[Проценты на просроченный платеж по ОД за период]]</f>
        <v>73.16</v>
      </c>
      <c r="I981" s="55">
        <f t="shared" ca="1" si="190"/>
        <v>8.42</v>
      </c>
      <c r="J981" s="55">
        <v>0</v>
      </c>
      <c r="K981" s="55">
        <f t="shared" ca="1" si="193"/>
        <v>419.99850327868836</v>
      </c>
      <c r="L981" s="55">
        <v>0</v>
      </c>
      <c r="M981" s="113">
        <f>SUMIFS(График[Возврат основной суммы долга],График[Дата с учетом нерабочих дней],$A981)</f>
        <v>0</v>
      </c>
      <c r="N981" s="56">
        <f>SUMIFS(График[Возврат начисленных %],График[Дата с учетом нерабочих дней],$A981)</f>
        <v>0</v>
      </c>
      <c r="O981" s="101">
        <v>0</v>
      </c>
      <c r="P981" s="100" cm="1">
        <f t="array" aca="1" ref="P981" ca="1">MAX(IF(AA980="Да",0,SUM(INDIRECT("M"&amp;(MAX(("Да"=AA$12:AA980)*ROW(AA$12:AA980)+1,ROW($P$12))&amp;":M"&amp;(ROW()))))-SUM(INDIRECT("W"&amp;(MAX(("Да"=AA$12:AA980)*ROW(AA$12:AA980)+1,ROW($P$12))&amp;":W"&amp;(ROW()))))),0)</f>
        <v>15443.2</v>
      </c>
      <c r="Q981" s="99">
        <f ca="1">MAX(SUM($N$13:N981)-SUM($T$13:T981),0)</f>
        <v>68556.500655737676</v>
      </c>
      <c r="R981" s="99">
        <f ca="1">Первоначальный[[#This Row],[Просроченный платеж по ОД]]+Первоначальный[[#This Row],[Просроченный платеж по процентам]]</f>
        <v>83999.700655737674</v>
      </c>
      <c r="S981" s="120">
        <f ca="1">IF(Первоначальный[[#This Row],[Просроченный платеж]]&lt;1,0,S980+1)</f>
        <v>877</v>
      </c>
      <c r="T981" s="100" cm="1">
        <f t="array" aca="1" ref="T981" ca="1">IF(Первоначальный[[#This Row],[Итого остаток на начало периода]]&lt;1,0,
IF(
AND(TYPE(VLOOKUP(1,$Z$12:Z981,1,0))=16,Первоначальный[[#This Row],[Досрочное погашение (да/"")]]=""),0,
_xlfn.IFS(AND(S980=0,Первоначальный[[#This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платеж]]&lt;&gt;0),MIN(LOOKUP(,-1/($Z$12:Z981=1),$C$12:C981)+LOOKUP(,-1/($Z$12:Z981=1),$H$12:H981),Первоначальный[[#This Row],[Полученный платеж]]+Y980),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платеж]]+Y980,SUM(Первоначальный[[#This Row],[Остаток процентов на начало периода]],Первоначальный[[#This Row],[Проценты за период]])),
AND(S980=0,Первоначальный[[#This Row],[Дата платежа из графика]]=""),0,
AND(S980=0,Первоначальный[[#This Row],[Дата платежа из графика]]=1,MAX((0&lt;&gt;S$12:S980)*ROW(S$12:S980),ROW($S$12))&gt;=MAX((1=Z$12:Z980)*ROW(Z$12:Z980),ROW($T$12)),TYPE(VLOOKUP("Да",(INDIRECT("AA"&amp;(MAX((1=Z$12:Z980)*ROW(Z$12:Z980),ROW($T$12))&amp;":AA"&amp;(ROW()-1)))),1,0))=16),MIN(LOOKUP(,-1/($Z$12:Z981=1),$C$12:C981)+LOOKUP(,-1/($Z$12:Z981=1),$H$12:H981),Первоначальный[[#This Row],[Полученный платеж]]+Y980),
AND(S980=0,TYPE(VLOOKUP("Да",(INDIRECT("AA"&amp;(MAX((1=Z$12:Z980)*ROW(Z$12:Z980),ROW($T$12))&amp;":AA"&amp;(ROW()-1)))),1,0))&lt;&gt;16),MIN(LOOKUP(,-1/($Z$12:Z981=1),$C$12:C981)+LOOKUP(,-1/($Z$12:Z981=1),$H$12:H981)-IF(AA980="Да",0,SUM(INDIRECT("T"&amp;(MAX(("Да"=AA$12:AA980)*ROW(AA$12:AA980)+1,ROW($T$12))&amp;":T"&amp;(ROW()-1))))),Первоначальный[[#This Row],[Полученный платеж]]+Y980),
AND(S980=0,MAX((0&lt;&gt;N$12:N980)*ROW(N$12:N980),ROW($S$12))&gt;=MAX((1=Z$12:Z980)*ROW(Z$12:Z980),ROW($T$12))),MIN(LOOKUP(,-1/($Z$12:Z981=1),$C$12:C981)+LOOKUP(,-1/($Z$12:Z981=1),$H$12:H981)-IF(N980&lt;&gt;0,0,SUM(INDIRECT("T"&amp;(MAX((0&lt;&gt;N$12:N980)*ROW(N$12:N980)+1,ROW($T$12))&amp;":T"&amp;(ROW()-1))))),Первоначальный[[#This Row],[Полученный платеж]]+Y980),
AND(S980=0,Первоначальный[[#This Row],[Дата платежа из графика]]=1),MIN(LOOKUP(,-1/($Z$12:Z981=1),$C$12:C981)+LOOKUP(,-1/($Z$12:Z981=1),$H$12:H981)-IF(Z980=1,0,SUM(INDIRECT("T"&amp;(MAX((1=Z$12:Z980)*ROW(Z$12:Z980)+1,ROW($T$12))&amp;":T"&amp;(ROW()-1))))),Первоначальный[[#This Row],[Полученный платеж]]+Y980),
AND(Z980&gt;0,Первоначальный[[#This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платеж]]+Y980),
AND(S980&gt;0,MAX((0&lt;&gt;S$12:S980)*ROW(S$12:S980),ROW($S$12))&gt;=MAX((1=Z$12:Z980)*ROW(Z$12:Z980),ROW($T$12)),TYPE(VLOOKUP("Да",(INDIRECT("AA"&amp;(MAX((1=Z$12:Z980)*ROW(Z$12:Z980),ROW($T$12))&amp;":AA"&amp;(ROW()-1)))),1,0))=16),MIN(LOOKUP(,-1/($Z$12:Z981=1),$C$12:C981)+LOOKUP(,-1/($Z$12:Z981=1),$H$12:H981)-SUM(INDIRECT("T"&amp;(MAX((1=Z$12:Z980)*ROW(Z$12:Z980),ROW($T$12))&amp;":T"&amp;(ROW()-1)))),Первоначальный[[#This Row],[Полученный платеж]]+Y980),
S980&gt;0,MIN(LOOKUP(,-1/($Z$12:Z981=1),$C$12:C981)+LOOKUP(,-1/($Z$12:Z981=1),$H$12:H981)-IF(Z980=1,0,SUM(INDIRECT("T"&amp;(MAX((1=Z$12:Z980)*ROW(Z$12:Z980)+1,ROW($T$12))&amp;":T"&amp;(ROW()-1))))),Первоначальный[[#This Row],[Полученный платеж]]+Y980)
)
)
)</f>
        <v>0</v>
      </c>
      <c r="U98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платеж]]+Y980-Первоначальный[[#This Row],[Полученный платёж по процентам]])</f>
        <v>0</v>
      </c>
      <c r="V981" s="55">
        <f t="shared" ca="1" si="183"/>
        <v>0</v>
      </c>
      <c r="W981" s="55" cm="1">
        <f t="array" aca="1" ref="W981" ca="1">IF(Первоначальный[[#This Row],[Итого остаток на начало периода]]&lt;1,0,
_xlfn.IFS(
AND(TYPE(VLOOKUP(1,$Z$12:Z981,1,0))=16,Первоначальный[[#This Row],[Досрочное погашение (да/"")]]=""),0,
AND(S980=0,Первоначальный[[#This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платеж]]+Y980-SUM(Первоначальный[[#This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комиссиям]]),VLOOKUP(LOOKUP(,-1/($Z$12:Z981=1),$A$12:A981),График[[Срок конец]:[Возврат основной суммы долга]],3,0)),
AND(S980=0,Первоначальный[[#This Row],[Дата платежа из графика]]="",Первоначальный[[#This Row],[Досрочное погашение (да/"")]]&lt;&gt;"Да"),0,
AND(S980=0,Первоначальный[[#This Row],[Досрочное погашение (да/"")]]=""),MIN(Первоначальный[[#This Row],[Полученный платеж]]+Y980-SUM(Первоначальный[[#This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комиссиям]]),VLOOKUP(LOOKUP(,-1/($Z$12:Z981=1),$A$12:A981),График[[Срок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платеж]]+Y980-SUM(Первоначальный[[#This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S980&gt;0,MIN(Первоначальный[[#This Row],[Полученный платеж]]+Y980-SUM(Первоначальный[[#This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комиссиям]]),SUM(INDIRECT("M"&amp;(MAX((1=S$12:S980)*ROW(S$12:S980),ROW($W$12))&amp;":M"&amp;(ROW()))))-SUM(INDIRECT("W"&amp;(MAX((1=S$12:S980)*ROW(S$12:S980),ROW($W$12))&amp;":W"&amp;(ROW()-1)))))
)
)</f>
        <v>0</v>
      </c>
      <c r="X981" s="55">
        <f t="shared" ca="1" si="184"/>
        <v>0</v>
      </c>
      <c r="Y981" s="101">
        <f t="shared" ca="1" si="191"/>
        <v>0</v>
      </c>
      <c r="Z981" s="133" t="str">
        <f>IF(TYPE((VLOOKUP(Первоначальный[[#This Row],[Дата платежа]],График[Срок конец],1,0)))=16,"",1)</f>
        <v/>
      </c>
      <c r="AA981" s="57"/>
      <c r="AB981" s="134"/>
      <c r="AC98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8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70461.010000000009</v>
      </c>
      <c r="AE98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3519.2299999999923</v>
      </c>
      <c r="AF98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8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189912.45737540931</v>
      </c>
      <c r="AH981" s="55"/>
      <c r="AI981" s="55"/>
      <c r="AJ981" s="55"/>
      <c r="AK981" s="101">
        <f t="shared" ca="1" si="192"/>
        <v>413526.03737540927</v>
      </c>
      <c r="AL981" s="129">
        <f t="array" ref="AL981">MAX((УслРестрактов[Характеристика]="Дата реструктуризации")*(УслРестрактов[Значение]=Первоначальный!$A981),0)</f>
        <v>0</v>
      </c>
    </row>
    <row r="982" spans="1:38" x14ac:dyDescent="0.25">
      <c r="A982" s="97">
        <f t="shared" si="185"/>
        <v>45113</v>
      </c>
      <c r="B982" s="100">
        <f t="shared" ca="1" si="186"/>
        <v>149633.34</v>
      </c>
      <c r="C982" s="55">
        <f t="shared" ca="1" si="182"/>
        <v>70461.010000000009</v>
      </c>
      <c r="D982" s="55">
        <f t="shared" ca="1" si="182"/>
        <v>3519.2299999999923</v>
      </c>
      <c r="E982" s="55">
        <f t="shared" ca="1" si="187"/>
        <v>0</v>
      </c>
      <c r="F982" s="55">
        <f t="shared" ca="1" si="188"/>
        <v>189912.45737540931</v>
      </c>
      <c r="G982" s="101">
        <f t="shared" ca="1" si="189"/>
        <v>413526.03737540927</v>
      </c>
      <c r="H982" s="100">
        <f ca="1">ROUND($B982*VLOOKUP($A982,$A$1:$B$10,2,1)/(365+IF(MOD(YEAR($A982),4),0,1)*($A982-$A981)),2)-Первоначальный[[#This Row],[Проценты на просроченный платеж по ОД за период]]</f>
        <v>73.16</v>
      </c>
      <c r="I982" s="55">
        <f t="shared" ca="1" si="190"/>
        <v>8.42</v>
      </c>
      <c r="J982" s="55">
        <v>0</v>
      </c>
      <c r="K982" s="55">
        <f t="shared" ca="1" si="193"/>
        <v>419.99850327868836</v>
      </c>
      <c r="L982" s="55">
        <v>0</v>
      </c>
      <c r="M982" s="113">
        <f>SUMIFS(График[Возврат основной суммы долга],График[Дата с учетом нерабочих дней],$A982)</f>
        <v>0</v>
      </c>
      <c r="N982" s="56">
        <f>SUMIFS(График[Возврат начисленных %],График[Дата с учетом нерабочих дней],$A982)</f>
        <v>0</v>
      </c>
      <c r="O982" s="101">
        <v>0</v>
      </c>
      <c r="P982" s="100" cm="1">
        <f t="array" aca="1" ref="P982" ca="1">MAX(IF(AA981="Да",0,SUM(INDIRECT("M"&amp;(MAX(("Да"=AA$12:AA981)*ROW(AA$12:AA981)+1,ROW($P$12))&amp;":M"&amp;(ROW()))))-SUM(INDIRECT("W"&amp;(MAX(("Да"=AA$12:AA981)*ROW(AA$12:AA981)+1,ROW($P$12))&amp;":W"&amp;(ROW()))))),0)</f>
        <v>15443.2</v>
      </c>
      <c r="Q982" s="99">
        <f ca="1">MAX(SUM($N$13:N982)-SUM($T$13:T982),0)</f>
        <v>68556.500655737676</v>
      </c>
      <c r="R982" s="99">
        <f ca="1">Первоначальный[[#This Row],[Просроченный платеж по ОД]]+Первоначальный[[#This Row],[Просроченный платеж по процентам]]</f>
        <v>83999.700655737674</v>
      </c>
      <c r="S982" s="120">
        <f ca="1">IF(Первоначальный[[#This Row],[Просроченный платеж]]&lt;1,0,S981+1)</f>
        <v>878</v>
      </c>
      <c r="T982" s="100" cm="1">
        <f t="array" aca="1" ref="T982" ca="1">IF(Первоначальный[[#This Row],[Итого остаток на начало периода]]&lt;1,0,
IF(
AND(TYPE(VLOOKUP(1,$Z$12:Z982,1,0))=16,Первоначальный[[#This Row],[Досрочное погашение (да/"")]]=""),0,
_xlfn.IFS(AND(S981=0,Первоначальный[[#This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платеж]]&lt;&gt;0),MIN(LOOKUP(,-1/($Z$12:Z982=1),$C$12:C982)+LOOKUP(,-1/($Z$12:Z982=1),$H$12:H982),Первоначальный[[#This Row],[Полученный платеж]]+Y981),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платеж]]+Y981,SUM(Первоначальный[[#This Row],[Остаток процентов на начало периода]],Первоначальный[[#This Row],[Проценты за период]])),
AND(S981=0,Первоначальный[[#This Row],[Дата платежа из графика]]=""),0,
AND(S981=0,Первоначальный[[#This Row],[Дата платежа из графика]]=1,MAX((0&lt;&gt;S$12:S981)*ROW(S$12:S981),ROW($S$12))&gt;=MAX((1=Z$12:Z981)*ROW(Z$12:Z981),ROW($T$12)),TYPE(VLOOKUP("Да",(INDIRECT("AA"&amp;(MAX((1=Z$12:Z981)*ROW(Z$12:Z981),ROW($T$12))&amp;":AA"&amp;(ROW()-1)))),1,0))=16),MIN(LOOKUP(,-1/($Z$12:Z982=1),$C$12:C982)+LOOKUP(,-1/($Z$12:Z982=1),$H$12:H982),Первоначальный[[#This Row],[Полученный платеж]]+Y981),
AND(S981=0,TYPE(VLOOKUP("Да",(INDIRECT("AA"&amp;(MAX((1=Z$12:Z981)*ROW(Z$12:Z981),ROW($T$12))&amp;":AA"&amp;(ROW()-1)))),1,0))&lt;&gt;16),MIN(LOOKUP(,-1/($Z$12:Z982=1),$C$12:C982)+LOOKUP(,-1/($Z$12:Z982=1),$H$12:H982)-IF(AA981="Да",0,SUM(INDIRECT("T"&amp;(MAX(("Да"=AA$12:AA981)*ROW(AA$12:AA981)+1,ROW($T$12))&amp;":T"&amp;(ROW()-1))))),Первоначальный[[#This Row],[Полученный платеж]]+Y981),
AND(S981=0,MAX((0&lt;&gt;N$12:N981)*ROW(N$12:N981),ROW($S$12))&gt;=MAX((1=Z$12:Z981)*ROW(Z$12:Z981),ROW($T$12))),MIN(LOOKUP(,-1/($Z$12:Z982=1),$C$12:C982)+LOOKUP(,-1/($Z$12:Z982=1),$H$12:H982)-IF(N981&lt;&gt;0,0,SUM(INDIRECT("T"&amp;(MAX((0&lt;&gt;N$12:N981)*ROW(N$12:N981)+1,ROW($T$12))&amp;":T"&amp;(ROW()-1))))),Первоначальный[[#This Row],[Полученный платеж]]+Y981),
AND(S981=0,Первоначальный[[#This Row],[Дата платежа из графика]]=1),MIN(LOOKUP(,-1/($Z$12:Z982=1),$C$12:C982)+LOOKUP(,-1/($Z$12:Z982=1),$H$12:H982)-IF(Z981=1,0,SUM(INDIRECT("T"&amp;(MAX((1=Z$12:Z981)*ROW(Z$12:Z981)+1,ROW($T$12))&amp;":T"&amp;(ROW()-1))))),Первоначальный[[#This Row],[Полученный платеж]]+Y981),
AND(Z981&gt;0,Первоначальный[[#This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платеж]]+Y981),
AND(S981&gt;0,MAX((0&lt;&gt;S$12:S981)*ROW(S$12:S981),ROW($S$12))&gt;=MAX((1=Z$12:Z981)*ROW(Z$12:Z981),ROW($T$12)),TYPE(VLOOKUP("Да",(INDIRECT("AA"&amp;(MAX((1=Z$12:Z981)*ROW(Z$12:Z981),ROW($T$12))&amp;":AA"&amp;(ROW()-1)))),1,0))=16),MIN(LOOKUP(,-1/($Z$12:Z982=1),$C$12:C982)+LOOKUP(,-1/($Z$12:Z982=1),$H$12:H982)-SUM(INDIRECT("T"&amp;(MAX((1=Z$12:Z981)*ROW(Z$12:Z981),ROW($T$12))&amp;":T"&amp;(ROW()-1)))),Первоначальный[[#This Row],[Полученный платеж]]+Y981),
S981&gt;0,MIN(LOOKUP(,-1/($Z$12:Z982=1),$C$12:C982)+LOOKUP(,-1/($Z$12:Z982=1),$H$12:H982)-IF(Z981=1,0,SUM(INDIRECT("T"&amp;(MAX((1=Z$12:Z981)*ROW(Z$12:Z981)+1,ROW($T$12))&amp;":T"&amp;(ROW()-1))))),Первоначальный[[#This Row],[Полученный платеж]]+Y981)
)
)
)</f>
        <v>0</v>
      </c>
      <c r="U98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платеж]]+Y981-Первоначальный[[#This Row],[Полученный платёж по процентам]])</f>
        <v>0</v>
      </c>
      <c r="V982" s="55">
        <f t="shared" ca="1" si="183"/>
        <v>0</v>
      </c>
      <c r="W982" s="55" cm="1">
        <f t="array" aca="1" ref="W982" ca="1">IF(Первоначальный[[#This Row],[Итого остаток на начало периода]]&lt;1,0,
_xlfn.IFS(
AND(TYPE(VLOOKUP(1,$Z$12:Z982,1,0))=16,Первоначальный[[#This Row],[Досрочное погашение (да/"")]]=""),0,
AND(S981=0,Первоначальный[[#This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платеж]]+Y981-SUM(Первоначальный[[#This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комиссиям]]),VLOOKUP(LOOKUP(,-1/($Z$12:Z982=1),$A$12:A982),График[[Срок конец]:[Возврат основной суммы долга]],3,0)),
AND(S981=0,Первоначальный[[#This Row],[Дата платежа из графика]]="",Первоначальный[[#This Row],[Досрочное погашение (да/"")]]&lt;&gt;"Да"),0,
AND(S981=0,Первоначальный[[#This Row],[Досрочное погашение (да/"")]]=""),MIN(Первоначальный[[#This Row],[Полученный платеж]]+Y981-SUM(Первоначальный[[#This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комиссиям]]),VLOOKUP(LOOKUP(,-1/($Z$12:Z982=1),$A$12:A982),График[[Срок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платеж]]+Y981-SUM(Первоначальный[[#This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S981&gt;0,MIN(Первоначальный[[#This Row],[Полученный платеж]]+Y981-SUM(Первоначальный[[#This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комиссиям]]),SUM(INDIRECT("M"&amp;(MAX((1=S$12:S981)*ROW(S$12:S981),ROW($W$12))&amp;":M"&amp;(ROW()))))-SUM(INDIRECT("W"&amp;(MAX((1=S$12:S981)*ROW(S$12:S981),ROW($W$12))&amp;":W"&amp;(ROW()-1)))))
)
)</f>
        <v>0</v>
      </c>
      <c r="X982" s="55">
        <f t="shared" ca="1" si="184"/>
        <v>0</v>
      </c>
      <c r="Y982" s="101">
        <f t="shared" ca="1" si="191"/>
        <v>0</v>
      </c>
      <c r="Z982" s="133" t="str">
        <f>IF(TYPE((VLOOKUP(Первоначальный[[#This Row],[Дата платежа]],График[Срок конец],1,0)))=16,"",1)</f>
        <v/>
      </c>
      <c r="AA982" s="57"/>
      <c r="AB982" s="134"/>
      <c r="AC98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8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70534.170000000013</v>
      </c>
      <c r="AE98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3527.6499999999924</v>
      </c>
      <c r="AF98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8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190332.45587868799</v>
      </c>
      <c r="AH982" s="55"/>
      <c r="AI982" s="55"/>
      <c r="AJ982" s="55"/>
      <c r="AK982" s="101">
        <f t="shared" ca="1" si="192"/>
        <v>414027.615878688</v>
      </c>
      <c r="AL982" s="129">
        <f t="array" ref="AL982">MAX((УслРестрактов[Характеристика]="Дата реструктуризации")*(УслРестрактов[Значение]=Первоначальный!$A982),0)</f>
        <v>0</v>
      </c>
    </row>
    <row r="983" spans="1:38" x14ac:dyDescent="0.25">
      <c r="A983" s="97">
        <f t="shared" si="185"/>
        <v>45114</v>
      </c>
      <c r="B983" s="100">
        <f t="shared" ca="1" si="186"/>
        <v>149633.34</v>
      </c>
      <c r="C983" s="55">
        <f t="shared" ca="1" si="182"/>
        <v>70534.170000000013</v>
      </c>
      <c r="D983" s="55">
        <f t="shared" ca="1" si="182"/>
        <v>3527.6499999999924</v>
      </c>
      <c r="E983" s="55">
        <f t="shared" ca="1" si="187"/>
        <v>0</v>
      </c>
      <c r="F983" s="55">
        <f t="shared" ca="1" si="188"/>
        <v>190332.45587868799</v>
      </c>
      <c r="G983" s="101">
        <f t="shared" ca="1" si="189"/>
        <v>414027.615878688</v>
      </c>
      <c r="H983" s="100">
        <f ca="1">ROUND($B983*VLOOKUP($A983,$A$1:$B$10,2,1)/(365+IF(MOD(YEAR($A983),4),0,1)*($A983-$A982)),2)-Первоначальный[[#This Row],[Проценты на просроченный платеж по ОД за период]]</f>
        <v>73.16</v>
      </c>
      <c r="I983" s="55">
        <f t="shared" ca="1" si="190"/>
        <v>8.42</v>
      </c>
      <c r="J983" s="55">
        <v>0</v>
      </c>
      <c r="K983" s="55">
        <f t="shared" ca="1" si="193"/>
        <v>419.99850327868836</v>
      </c>
      <c r="L983" s="55">
        <v>0</v>
      </c>
      <c r="M983" s="113">
        <f>SUMIFS(График[Возврат основной суммы долга],График[Дата с учетом нерабочих дней],$A983)</f>
        <v>0</v>
      </c>
      <c r="N983" s="56">
        <f>SUMIFS(График[Возврат начисленных %],График[Дата с учетом нерабочих дней],$A983)</f>
        <v>0</v>
      </c>
      <c r="O983" s="101">
        <v>0</v>
      </c>
      <c r="P983" s="100" cm="1">
        <f t="array" aca="1" ref="P983" ca="1">MAX(IF(AA982="Да",0,SUM(INDIRECT("M"&amp;(MAX(("Да"=AA$12:AA982)*ROW(AA$12:AA982)+1,ROW($P$12))&amp;":M"&amp;(ROW()))))-SUM(INDIRECT("W"&amp;(MAX(("Да"=AA$12:AA982)*ROW(AA$12:AA982)+1,ROW($P$12))&amp;":W"&amp;(ROW()))))),0)</f>
        <v>15443.2</v>
      </c>
      <c r="Q983" s="99">
        <f ca="1">MAX(SUM($N$13:N983)-SUM($T$13:T983),0)</f>
        <v>68556.500655737676</v>
      </c>
      <c r="R983" s="99">
        <f ca="1">Первоначальный[[#This Row],[Просроченный платеж по ОД]]+Первоначальный[[#This Row],[Просроченный платеж по процентам]]</f>
        <v>83999.700655737674</v>
      </c>
      <c r="S983" s="120">
        <f ca="1">IF(Первоначальный[[#This Row],[Просроченный платеж]]&lt;1,0,S982+1)</f>
        <v>879</v>
      </c>
      <c r="T983" s="100" cm="1">
        <f t="array" aca="1" ref="T983" ca="1">IF(Первоначальный[[#This Row],[Итого остаток на начало периода]]&lt;1,0,
IF(
AND(TYPE(VLOOKUP(1,$Z$12:Z983,1,0))=16,Первоначальный[[#This Row],[Досрочное погашение (да/"")]]=""),0,
_xlfn.IFS(AND(S982=0,Первоначальный[[#This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платеж]]&lt;&gt;0),MIN(LOOKUP(,-1/($Z$12:Z983=1),$C$12:C983)+LOOKUP(,-1/($Z$12:Z983=1),$H$12:H983),Первоначальный[[#This Row],[Полученный платеж]]+Y982),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платеж]]+Y982,SUM(Первоначальный[[#This Row],[Остаток процентов на начало периода]],Первоначальный[[#This Row],[Проценты за период]])),
AND(S982=0,Первоначальный[[#This Row],[Дата платежа из графика]]=""),0,
AND(S982=0,Первоначальный[[#This Row],[Дата платежа из графика]]=1,MAX((0&lt;&gt;S$12:S982)*ROW(S$12:S982),ROW($S$12))&gt;=MAX((1=Z$12:Z982)*ROW(Z$12:Z982),ROW($T$12)),TYPE(VLOOKUP("Да",(INDIRECT("AA"&amp;(MAX((1=Z$12:Z982)*ROW(Z$12:Z982),ROW($T$12))&amp;":AA"&amp;(ROW()-1)))),1,0))=16),MIN(LOOKUP(,-1/($Z$12:Z983=1),$C$12:C983)+LOOKUP(,-1/($Z$12:Z983=1),$H$12:H983),Первоначальный[[#This Row],[Полученный платеж]]+Y982),
AND(S982=0,TYPE(VLOOKUP("Да",(INDIRECT("AA"&amp;(MAX((1=Z$12:Z982)*ROW(Z$12:Z982),ROW($T$12))&amp;":AA"&amp;(ROW()-1)))),1,0))&lt;&gt;16),MIN(LOOKUP(,-1/($Z$12:Z983=1),$C$12:C983)+LOOKUP(,-1/($Z$12:Z983=1),$H$12:H983)-IF(AA982="Да",0,SUM(INDIRECT("T"&amp;(MAX(("Да"=AA$12:AA982)*ROW(AA$12:AA982)+1,ROW($T$12))&amp;":T"&amp;(ROW()-1))))),Первоначальный[[#This Row],[Полученный платеж]]+Y982),
AND(S982=0,MAX((0&lt;&gt;N$12:N982)*ROW(N$12:N982),ROW($S$12))&gt;=MAX((1=Z$12:Z982)*ROW(Z$12:Z982),ROW($T$12))),MIN(LOOKUP(,-1/($Z$12:Z983=1),$C$12:C983)+LOOKUP(,-1/($Z$12:Z983=1),$H$12:H983)-IF(N982&lt;&gt;0,0,SUM(INDIRECT("T"&amp;(MAX((0&lt;&gt;N$12:N982)*ROW(N$12:N982)+1,ROW($T$12))&amp;":T"&amp;(ROW()-1))))),Первоначальный[[#This Row],[Полученный платеж]]+Y982),
AND(S982=0,Первоначальный[[#This Row],[Дата платежа из графика]]=1),MIN(LOOKUP(,-1/($Z$12:Z983=1),$C$12:C983)+LOOKUP(,-1/($Z$12:Z983=1),$H$12:H983)-IF(Z982=1,0,SUM(INDIRECT("T"&amp;(MAX((1=Z$12:Z982)*ROW(Z$12:Z982)+1,ROW($T$12))&amp;":T"&amp;(ROW()-1))))),Первоначальный[[#This Row],[Полученный платеж]]+Y982),
AND(Z982&gt;0,Первоначальный[[#This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платеж]]+Y982),
AND(S982&gt;0,MAX((0&lt;&gt;S$12:S982)*ROW(S$12:S982),ROW($S$12))&gt;=MAX((1=Z$12:Z982)*ROW(Z$12:Z982),ROW($T$12)),TYPE(VLOOKUP("Да",(INDIRECT("AA"&amp;(MAX((1=Z$12:Z982)*ROW(Z$12:Z982),ROW($T$12))&amp;":AA"&amp;(ROW()-1)))),1,0))=16),MIN(LOOKUP(,-1/($Z$12:Z983=1),$C$12:C983)+LOOKUP(,-1/($Z$12:Z983=1),$H$12:H983)-SUM(INDIRECT("T"&amp;(MAX((1=Z$12:Z982)*ROW(Z$12:Z982),ROW($T$12))&amp;":T"&amp;(ROW()-1)))),Первоначальный[[#This Row],[Полученный платеж]]+Y982),
S982&gt;0,MIN(LOOKUP(,-1/($Z$12:Z983=1),$C$12:C983)+LOOKUP(,-1/($Z$12:Z983=1),$H$12:H983)-IF(Z982=1,0,SUM(INDIRECT("T"&amp;(MAX((1=Z$12:Z982)*ROW(Z$12:Z982)+1,ROW($T$12))&amp;":T"&amp;(ROW()-1))))),Первоначальный[[#This Row],[Полученный платеж]]+Y982)
)
)
)</f>
        <v>0</v>
      </c>
      <c r="U98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платеж]]+Y982-Первоначальный[[#This Row],[Полученный платёж по процентам]])</f>
        <v>0</v>
      </c>
      <c r="V983" s="55">
        <f t="shared" ca="1" si="183"/>
        <v>0</v>
      </c>
      <c r="W983" s="55" cm="1">
        <f t="array" aca="1" ref="W983" ca="1">IF(Первоначальный[[#This Row],[Итого остаток на начало периода]]&lt;1,0,
_xlfn.IFS(
AND(TYPE(VLOOKUP(1,$Z$12:Z983,1,0))=16,Первоначальный[[#This Row],[Досрочное погашение (да/"")]]=""),0,
AND(S982=0,Первоначальный[[#This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платеж]]+Y982-SUM(Первоначальный[[#This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комиссиям]]),VLOOKUP(LOOKUP(,-1/($Z$12:Z983=1),$A$12:A983),График[[Срок конец]:[Возврат основной суммы долга]],3,0)),
AND(S982=0,Первоначальный[[#This Row],[Дата платежа из графика]]="",Первоначальный[[#This Row],[Досрочное погашение (да/"")]]&lt;&gt;"Да"),0,
AND(S982=0,Первоначальный[[#This Row],[Досрочное погашение (да/"")]]=""),MIN(Первоначальный[[#This Row],[Полученный платеж]]+Y982-SUM(Первоначальный[[#This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комиссиям]]),VLOOKUP(LOOKUP(,-1/($Z$12:Z983=1),$A$12:A983),График[[Срок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платеж]]+Y982-SUM(Первоначальный[[#This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S982&gt;0,MIN(Первоначальный[[#This Row],[Полученный платеж]]+Y982-SUM(Первоначальный[[#This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комиссиям]]),SUM(INDIRECT("M"&amp;(MAX((1=S$12:S982)*ROW(S$12:S982),ROW($W$12))&amp;":M"&amp;(ROW()))))-SUM(INDIRECT("W"&amp;(MAX((1=S$12:S982)*ROW(S$12:S982),ROW($W$12))&amp;":W"&amp;(ROW()-1)))))
)
)</f>
        <v>0</v>
      </c>
      <c r="X983" s="55">
        <f t="shared" ca="1" si="184"/>
        <v>0</v>
      </c>
      <c r="Y983" s="101">
        <f t="shared" ca="1" si="191"/>
        <v>0</v>
      </c>
      <c r="Z983" s="133" t="str">
        <f>IF(TYPE((VLOOKUP(Первоначальный[[#This Row],[Дата платежа]],График[Срок конец],1,0)))=16,"",1)</f>
        <v/>
      </c>
      <c r="AA983" s="57"/>
      <c r="AB983" s="134"/>
      <c r="AC98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8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70607.330000000016</v>
      </c>
      <c r="AE98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3536.0699999999924</v>
      </c>
      <c r="AF98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8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190752.45438196667</v>
      </c>
      <c r="AH983" s="55"/>
      <c r="AI983" s="55"/>
      <c r="AJ983" s="55"/>
      <c r="AK983" s="101">
        <f t="shared" ca="1" si="192"/>
        <v>414529.19438196666</v>
      </c>
      <c r="AL983" s="129">
        <f t="array" ref="AL983">MAX((УслРестрактов[Характеристика]="Дата реструктуризации")*(УслРестрактов[Значение]=Первоначальный!$A983),0)</f>
        <v>0</v>
      </c>
    </row>
    <row r="984" spans="1:38" x14ac:dyDescent="0.25">
      <c r="A984" s="97">
        <f t="shared" si="185"/>
        <v>45115</v>
      </c>
      <c r="B984" s="100">
        <f t="shared" ca="1" si="186"/>
        <v>149633.34</v>
      </c>
      <c r="C984" s="55">
        <f t="shared" ca="1" si="182"/>
        <v>70607.330000000016</v>
      </c>
      <c r="D984" s="55">
        <f t="shared" ca="1" si="182"/>
        <v>3536.0699999999924</v>
      </c>
      <c r="E984" s="55">
        <f t="shared" ca="1" si="187"/>
        <v>0</v>
      </c>
      <c r="F984" s="55">
        <f t="shared" ca="1" si="188"/>
        <v>190752.45438196667</v>
      </c>
      <c r="G984" s="101">
        <f t="shared" ca="1" si="189"/>
        <v>414529.19438196666</v>
      </c>
      <c r="H984" s="100">
        <f ca="1">ROUND($B984*VLOOKUP($A984,$A$1:$B$10,2,1)/(365+IF(MOD(YEAR($A984),4),0,1)*($A984-$A983)),2)-Первоначальный[[#This Row],[Проценты на просроченный платеж по ОД за период]]</f>
        <v>73.16</v>
      </c>
      <c r="I984" s="55">
        <f t="shared" ca="1" si="190"/>
        <v>8.42</v>
      </c>
      <c r="J984" s="55">
        <v>0</v>
      </c>
      <c r="K984" s="55">
        <f t="shared" ca="1" si="193"/>
        <v>419.99850327868836</v>
      </c>
      <c r="L984" s="55">
        <v>0</v>
      </c>
      <c r="M984" s="113">
        <f>SUMIFS(График[Возврат основной суммы долга],График[Дата с учетом нерабочих дней],$A984)</f>
        <v>0</v>
      </c>
      <c r="N984" s="56">
        <f>SUMIFS(График[Возврат начисленных %],График[Дата с учетом нерабочих дней],$A984)</f>
        <v>0</v>
      </c>
      <c r="O984" s="101">
        <v>0</v>
      </c>
      <c r="P984" s="100" cm="1">
        <f t="array" aca="1" ref="P984" ca="1">MAX(IF(AA983="Да",0,SUM(INDIRECT("M"&amp;(MAX(("Да"=AA$12:AA983)*ROW(AA$12:AA983)+1,ROW($P$12))&amp;":M"&amp;(ROW()))))-SUM(INDIRECT("W"&amp;(MAX(("Да"=AA$12:AA983)*ROW(AA$12:AA983)+1,ROW($P$12))&amp;":W"&amp;(ROW()))))),0)</f>
        <v>15443.2</v>
      </c>
      <c r="Q984" s="99">
        <f ca="1">MAX(SUM($N$13:N984)-SUM($T$13:T984),0)</f>
        <v>68556.500655737676</v>
      </c>
      <c r="R984" s="99">
        <f ca="1">Первоначальный[[#This Row],[Просроченный платеж по ОД]]+Первоначальный[[#This Row],[Просроченный платеж по процентам]]</f>
        <v>83999.700655737674</v>
      </c>
      <c r="S984" s="120">
        <f ca="1">IF(Первоначальный[[#This Row],[Просроченный платеж]]&lt;1,0,S983+1)</f>
        <v>880</v>
      </c>
      <c r="T984" s="100" cm="1">
        <f t="array" aca="1" ref="T984" ca="1">IF(Первоначальный[[#This Row],[Итого остаток на начало периода]]&lt;1,0,
IF(
AND(TYPE(VLOOKUP(1,$Z$12:Z984,1,0))=16,Первоначальный[[#This Row],[Досрочное погашение (да/"")]]=""),0,
_xlfn.IFS(AND(S983=0,Первоначальный[[#This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платеж]]&lt;&gt;0),MIN(LOOKUP(,-1/($Z$12:Z984=1),$C$12:C984)+LOOKUP(,-1/($Z$12:Z984=1),$H$12:H984),Первоначальный[[#This Row],[Полученный платеж]]+Y983),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платеж]]+Y983,SUM(Первоначальный[[#This Row],[Остаток процентов на начало периода]],Первоначальный[[#This Row],[Проценты за период]])),
AND(S983=0,Первоначальный[[#This Row],[Дата платежа из графика]]=""),0,
AND(S983=0,Первоначальный[[#This Row],[Дата платежа из графика]]=1,MAX((0&lt;&gt;S$12:S983)*ROW(S$12:S983),ROW($S$12))&gt;=MAX((1=Z$12:Z983)*ROW(Z$12:Z983),ROW($T$12)),TYPE(VLOOKUP("Да",(INDIRECT("AA"&amp;(MAX((1=Z$12:Z983)*ROW(Z$12:Z983),ROW($T$12))&amp;":AA"&amp;(ROW()-1)))),1,0))=16),MIN(LOOKUP(,-1/($Z$12:Z984=1),$C$12:C984)+LOOKUP(,-1/($Z$12:Z984=1),$H$12:H984),Первоначальный[[#This Row],[Полученный платеж]]+Y983),
AND(S983=0,TYPE(VLOOKUP("Да",(INDIRECT("AA"&amp;(MAX((1=Z$12:Z983)*ROW(Z$12:Z983),ROW($T$12))&amp;":AA"&amp;(ROW()-1)))),1,0))&lt;&gt;16),MIN(LOOKUP(,-1/($Z$12:Z984=1),$C$12:C984)+LOOKUP(,-1/($Z$12:Z984=1),$H$12:H984)-IF(AA983="Да",0,SUM(INDIRECT("T"&amp;(MAX(("Да"=AA$12:AA983)*ROW(AA$12:AA983)+1,ROW($T$12))&amp;":T"&amp;(ROW()-1))))),Первоначальный[[#This Row],[Полученный платеж]]+Y983),
AND(S983=0,MAX((0&lt;&gt;N$12:N983)*ROW(N$12:N983),ROW($S$12))&gt;=MAX((1=Z$12:Z983)*ROW(Z$12:Z983),ROW($T$12))),MIN(LOOKUP(,-1/($Z$12:Z984=1),$C$12:C984)+LOOKUP(,-1/($Z$12:Z984=1),$H$12:H984)-IF(N983&lt;&gt;0,0,SUM(INDIRECT("T"&amp;(MAX((0&lt;&gt;N$12:N983)*ROW(N$12:N983)+1,ROW($T$12))&amp;":T"&amp;(ROW()-1))))),Первоначальный[[#This Row],[Полученный платеж]]+Y983),
AND(S983=0,Первоначальный[[#This Row],[Дата платежа из графика]]=1),MIN(LOOKUP(,-1/($Z$12:Z984=1),$C$12:C984)+LOOKUP(,-1/($Z$12:Z984=1),$H$12:H984)-IF(Z983=1,0,SUM(INDIRECT("T"&amp;(MAX((1=Z$12:Z983)*ROW(Z$12:Z983)+1,ROW($T$12))&amp;":T"&amp;(ROW()-1))))),Первоначальный[[#This Row],[Полученный платеж]]+Y983),
AND(Z983&gt;0,Первоначальный[[#This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платеж]]+Y983),
AND(S983&gt;0,MAX((0&lt;&gt;S$12:S983)*ROW(S$12:S983),ROW($S$12))&gt;=MAX((1=Z$12:Z983)*ROW(Z$12:Z983),ROW($T$12)),TYPE(VLOOKUP("Да",(INDIRECT("AA"&amp;(MAX((1=Z$12:Z983)*ROW(Z$12:Z983),ROW($T$12))&amp;":AA"&amp;(ROW()-1)))),1,0))=16),MIN(LOOKUP(,-1/($Z$12:Z984=1),$C$12:C984)+LOOKUP(,-1/($Z$12:Z984=1),$H$12:H984)-SUM(INDIRECT("T"&amp;(MAX((1=Z$12:Z983)*ROW(Z$12:Z983),ROW($T$12))&amp;":T"&amp;(ROW()-1)))),Первоначальный[[#This Row],[Полученный платеж]]+Y983),
S983&gt;0,MIN(LOOKUP(,-1/($Z$12:Z984=1),$C$12:C984)+LOOKUP(,-1/($Z$12:Z984=1),$H$12:H984)-IF(Z983=1,0,SUM(INDIRECT("T"&amp;(MAX((1=Z$12:Z983)*ROW(Z$12:Z983)+1,ROW($T$12))&amp;":T"&amp;(ROW()-1))))),Первоначальный[[#This Row],[Полученный платеж]]+Y983)
)
)
)</f>
        <v>0</v>
      </c>
      <c r="U98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платеж]]+Y983-Первоначальный[[#This Row],[Полученный платёж по процентам]])</f>
        <v>0</v>
      </c>
      <c r="V984" s="55">
        <f t="shared" ca="1" si="183"/>
        <v>0</v>
      </c>
      <c r="W984" s="55" cm="1">
        <f t="array" aca="1" ref="W984" ca="1">IF(Первоначальный[[#This Row],[Итого остаток на начало периода]]&lt;1,0,
_xlfn.IFS(
AND(TYPE(VLOOKUP(1,$Z$12:Z984,1,0))=16,Первоначальный[[#This Row],[Досрочное погашение (да/"")]]=""),0,
AND(S983=0,Первоначальный[[#This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платеж]]+Y983-SUM(Первоначальный[[#This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комиссиям]]),VLOOKUP(LOOKUP(,-1/($Z$12:Z984=1),$A$12:A984),График[[Срок конец]:[Возврат основной суммы долга]],3,0)),
AND(S983=0,Первоначальный[[#This Row],[Дата платежа из графика]]="",Первоначальный[[#This Row],[Досрочное погашение (да/"")]]&lt;&gt;"Да"),0,
AND(S983=0,Первоначальный[[#This Row],[Досрочное погашение (да/"")]]=""),MIN(Первоначальный[[#This Row],[Полученный платеж]]+Y983-SUM(Первоначальный[[#This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комиссиям]]),VLOOKUP(LOOKUP(,-1/($Z$12:Z984=1),$A$12:A984),График[[Срок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платеж]]+Y983-SUM(Первоначальный[[#This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S983&gt;0,MIN(Первоначальный[[#This Row],[Полученный платеж]]+Y983-SUM(Первоначальный[[#This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комиссиям]]),SUM(INDIRECT("M"&amp;(MAX((1=S$12:S983)*ROW(S$12:S983),ROW($W$12))&amp;":M"&amp;(ROW()))))-SUM(INDIRECT("W"&amp;(MAX((1=S$12:S983)*ROW(S$12:S983),ROW($W$12))&amp;":W"&amp;(ROW()-1)))))
)
)</f>
        <v>0</v>
      </c>
      <c r="X984" s="55">
        <f t="shared" ca="1" si="184"/>
        <v>0</v>
      </c>
      <c r="Y984" s="101">
        <f t="shared" ca="1" si="191"/>
        <v>0</v>
      </c>
      <c r="Z984" s="133" t="str">
        <f>IF(TYPE((VLOOKUP(Первоначальный[[#This Row],[Дата платежа]],График[Срок конец],1,0)))=16,"",1)</f>
        <v/>
      </c>
      <c r="AA984" s="57"/>
      <c r="AB984" s="134"/>
      <c r="AC98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8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70680.49000000002</v>
      </c>
      <c r="AE98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3544.4899999999925</v>
      </c>
      <c r="AF98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8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191172.45288524535</v>
      </c>
      <c r="AH984" s="55"/>
      <c r="AI984" s="55"/>
      <c r="AJ984" s="55"/>
      <c r="AK984" s="101">
        <f t="shared" ca="1" si="192"/>
        <v>415030.77288524539</v>
      </c>
      <c r="AL984" s="129">
        <f t="array" ref="AL984">MAX((УслРестрактов[Характеристика]="Дата реструктуризации")*(УслРестрактов[Значение]=Первоначальный!$A984),0)</f>
        <v>0</v>
      </c>
    </row>
    <row r="985" spans="1:38" x14ac:dyDescent="0.25">
      <c r="A985" s="97">
        <f t="shared" si="185"/>
        <v>45116</v>
      </c>
      <c r="B985" s="100">
        <f t="shared" ca="1" si="186"/>
        <v>149633.34</v>
      </c>
      <c r="C985" s="55">
        <f t="shared" ca="1" si="182"/>
        <v>70680.49000000002</v>
      </c>
      <c r="D985" s="55">
        <f t="shared" ca="1" si="182"/>
        <v>3544.4899999999925</v>
      </c>
      <c r="E985" s="55">
        <f t="shared" ca="1" si="187"/>
        <v>0</v>
      </c>
      <c r="F985" s="55">
        <f t="shared" ca="1" si="188"/>
        <v>191172.45288524535</v>
      </c>
      <c r="G985" s="101">
        <f t="shared" ca="1" si="189"/>
        <v>415030.77288524539</v>
      </c>
      <c r="H985" s="100">
        <f ca="1">ROUND($B985*VLOOKUP($A985,$A$1:$B$10,2,1)/(365+IF(MOD(YEAR($A985),4),0,1)*($A985-$A984)),2)-Первоначальный[[#This Row],[Проценты на просроченный платеж по ОД за период]]</f>
        <v>73.16</v>
      </c>
      <c r="I985" s="55">
        <f t="shared" ca="1" si="190"/>
        <v>8.42</v>
      </c>
      <c r="J985" s="55">
        <v>0</v>
      </c>
      <c r="K985" s="55">
        <f t="shared" ca="1" si="193"/>
        <v>419.99850327868836</v>
      </c>
      <c r="L985" s="55">
        <v>0</v>
      </c>
      <c r="M985" s="113">
        <f>SUMIFS(График[Возврат основной суммы долга],График[Дата с учетом нерабочих дней],$A985)</f>
        <v>0</v>
      </c>
      <c r="N985" s="56">
        <f>SUMIFS(График[Возврат начисленных %],График[Дата с учетом нерабочих дней],$A985)</f>
        <v>0</v>
      </c>
      <c r="O985" s="101">
        <v>0</v>
      </c>
      <c r="P985" s="100" cm="1">
        <f t="array" aca="1" ref="P985" ca="1">MAX(IF(AA984="Да",0,SUM(INDIRECT("M"&amp;(MAX(("Да"=AA$12:AA984)*ROW(AA$12:AA984)+1,ROW($P$12))&amp;":M"&amp;(ROW()))))-SUM(INDIRECT("W"&amp;(MAX(("Да"=AA$12:AA984)*ROW(AA$12:AA984)+1,ROW($P$12))&amp;":W"&amp;(ROW()))))),0)</f>
        <v>15443.2</v>
      </c>
      <c r="Q985" s="99">
        <f ca="1">MAX(SUM($N$13:N985)-SUM($T$13:T985),0)</f>
        <v>68556.500655737676</v>
      </c>
      <c r="R985" s="99">
        <f ca="1">Первоначальный[[#This Row],[Просроченный платеж по ОД]]+Первоначальный[[#This Row],[Просроченный платеж по процентам]]</f>
        <v>83999.700655737674</v>
      </c>
      <c r="S985" s="120">
        <f ca="1">IF(Первоначальный[[#This Row],[Просроченный платеж]]&lt;1,0,S984+1)</f>
        <v>881</v>
      </c>
      <c r="T985" s="100" cm="1">
        <f t="array" aca="1" ref="T985" ca="1">IF(Первоначальный[[#This Row],[Итого остаток на начало периода]]&lt;1,0,
IF(
AND(TYPE(VLOOKUP(1,$Z$12:Z985,1,0))=16,Первоначальный[[#This Row],[Досрочное погашение (да/"")]]=""),0,
_xlfn.IFS(AND(S984=0,Первоначальный[[#This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платеж]]&lt;&gt;0),MIN(LOOKUP(,-1/($Z$12:Z985=1),$C$12:C985)+LOOKUP(,-1/($Z$12:Z985=1),$H$12:H985),Первоначальный[[#This Row],[Полученный платеж]]+Y984),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платеж]]+Y984,SUM(Первоначальный[[#This Row],[Остаток процентов на начало периода]],Первоначальный[[#This Row],[Проценты за период]])),
AND(S984=0,Первоначальный[[#This Row],[Дата платежа из графика]]=""),0,
AND(S984=0,Первоначальный[[#This Row],[Дата платежа из графика]]=1,MAX((0&lt;&gt;S$12:S984)*ROW(S$12:S984),ROW($S$12))&gt;=MAX((1=Z$12:Z984)*ROW(Z$12:Z984),ROW($T$12)),TYPE(VLOOKUP("Да",(INDIRECT("AA"&amp;(MAX((1=Z$12:Z984)*ROW(Z$12:Z984),ROW($T$12))&amp;":AA"&amp;(ROW()-1)))),1,0))=16),MIN(LOOKUP(,-1/($Z$12:Z985=1),$C$12:C985)+LOOKUP(,-1/($Z$12:Z985=1),$H$12:H985),Первоначальный[[#This Row],[Полученный платеж]]+Y984),
AND(S984=0,TYPE(VLOOKUP("Да",(INDIRECT("AA"&amp;(MAX((1=Z$12:Z984)*ROW(Z$12:Z984),ROW($T$12))&amp;":AA"&amp;(ROW()-1)))),1,0))&lt;&gt;16),MIN(LOOKUP(,-1/($Z$12:Z985=1),$C$12:C985)+LOOKUP(,-1/($Z$12:Z985=1),$H$12:H985)-IF(AA984="Да",0,SUM(INDIRECT("T"&amp;(MAX(("Да"=AA$12:AA984)*ROW(AA$12:AA984)+1,ROW($T$12))&amp;":T"&amp;(ROW()-1))))),Первоначальный[[#This Row],[Полученный платеж]]+Y984),
AND(S984=0,MAX((0&lt;&gt;N$12:N984)*ROW(N$12:N984),ROW($S$12))&gt;=MAX((1=Z$12:Z984)*ROW(Z$12:Z984),ROW($T$12))),MIN(LOOKUP(,-1/($Z$12:Z985=1),$C$12:C985)+LOOKUP(,-1/($Z$12:Z985=1),$H$12:H985)-IF(N984&lt;&gt;0,0,SUM(INDIRECT("T"&amp;(MAX((0&lt;&gt;N$12:N984)*ROW(N$12:N984)+1,ROW($T$12))&amp;":T"&amp;(ROW()-1))))),Первоначальный[[#This Row],[Полученный платеж]]+Y984),
AND(S984=0,Первоначальный[[#This Row],[Дата платежа из графика]]=1),MIN(LOOKUP(,-1/($Z$12:Z985=1),$C$12:C985)+LOOKUP(,-1/($Z$12:Z985=1),$H$12:H985)-IF(Z984=1,0,SUM(INDIRECT("T"&amp;(MAX((1=Z$12:Z984)*ROW(Z$12:Z984)+1,ROW($T$12))&amp;":T"&amp;(ROW()-1))))),Первоначальный[[#This Row],[Полученный платеж]]+Y984),
AND(Z984&gt;0,Первоначальный[[#This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платеж]]+Y984),
AND(S984&gt;0,MAX((0&lt;&gt;S$12:S984)*ROW(S$12:S984),ROW($S$12))&gt;=MAX((1=Z$12:Z984)*ROW(Z$12:Z984),ROW($T$12)),TYPE(VLOOKUP("Да",(INDIRECT("AA"&amp;(MAX((1=Z$12:Z984)*ROW(Z$12:Z984),ROW($T$12))&amp;":AA"&amp;(ROW()-1)))),1,0))=16),MIN(LOOKUP(,-1/($Z$12:Z985=1),$C$12:C985)+LOOKUP(,-1/($Z$12:Z985=1),$H$12:H985)-SUM(INDIRECT("T"&amp;(MAX((1=Z$12:Z984)*ROW(Z$12:Z984),ROW($T$12))&amp;":T"&amp;(ROW()-1)))),Первоначальный[[#This Row],[Полученный платеж]]+Y984),
S984&gt;0,MIN(LOOKUP(,-1/($Z$12:Z985=1),$C$12:C985)+LOOKUP(,-1/($Z$12:Z985=1),$H$12:H985)-IF(Z984=1,0,SUM(INDIRECT("T"&amp;(MAX((1=Z$12:Z984)*ROW(Z$12:Z984)+1,ROW($T$12))&amp;":T"&amp;(ROW()-1))))),Первоначальный[[#This Row],[Полученный платеж]]+Y984)
)
)
)</f>
        <v>0</v>
      </c>
      <c r="U98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платеж]]+Y984-Первоначальный[[#This Row],[Полученный платёж по процентам]])</f>
        <v>0</v>
      </c>
      <c r="V985" s="55">
        <f t="shared" ca="1" si="183"/>
        <v>0</v>
      </c>
      <c r="W985" s="55" cm="1">
        <f t="array" aca="1" ref="W985" ca="1">IF(Первоначальный[[#This Row],[Итого остаток на начало периода]]&lt;1,0,
_xlfn.IFS(
AND(TYPE(VLOOKUP(1,$Z$12:Z985,1,0))=16,Первоначальный[[#This Row],[Досрочное погашение (да/"")]]=""),0,
AND(S984=0,Первоначальный[[#This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платеж]]+Y984-SUM(Первоначальный[[#This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комиссиям]]),VLOOKUP(LOOKUP(,-1/($Z$12:Z985=1),$A$12:A985),График[[Срок конец]:[Возврат основной суммы долга]],3,0)),
AND(S984=0,Первоначальный[[#This Row],[Дата платежа из графика]]="",Первоначальный[[#This Row],[Досрочное погашение (да/"")]]&lt;&gt;"Да"),0,
AND(S984=0,Первоначальный[[#This Row],[Досрочное погашение (да/"")]]=""),MIN(Первоначальный[[#This Row],[Полученный платеж]]+Y984-SUM(Первоначальный[[#This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комиссиям]]),VLOOKUP(LOOKUP(,-1/($Z$12:Z985=1),$A$12:A985),График[[Срок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платеж]]+Y984-SUM(Первоначальный[[#This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S984&gt;0,MIN(Первоначальный[[#This Row],[Полученный платеж]]+Y984-SUM(Первоначальный[[#This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комиссиям]]),SUM(INDIRECT("M"&amp;(MAX((1=S$12:S984)*ROW(S$12:S984),ROW($W$12))&amp;":M"&amp;(ROW()))))-SUM(INDIRECT("W"&amp;(MAX((1=S$12:S984)*ROW(S$12:S984),ROW($W$12))&amp;":W"&amp;(ROW()-1)))))
)
)</f>
        <v>0</v>
      </c>
      <c r="X985" s="55">
        <f t="shared" ca="1" si="184"/>
        <v>0</v>
      </c>
      <c r="Y985" s="101">
        <f t="shared" ca="1" si="191"/>
        <v>0</v>
      </c>
      <c r="Z985" s="133">
        <f>IF(TYPE((VLOOKUP(Первоначальный[[#This Row],[Дата платежа]],График[Срок конец],1,0)))=16,"",1)</f>
        <v>1</v>
      </c>
      <c r="AA985" s="57"/>
      <c r="AB985" s="134"/>
      <c r="AC98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8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70753.650000000023</v>
      </c>
      <c r="AE98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3552.9099999999926</v>
      </c>
      <c r="AF98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8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191592.45138852403</v>
      </c>
      <c r="AH985" s="55"/>
      <c r="AI985" s="55"/>
      <c r="AJ985" s="55"/>
      <c r="AK985" s="101">
        <f t="shared" ca="1" si="192"/>
        <v>415532.35138852405</v>
      </c>
      <c r="AL985" s="129">
        <f t="array" ref="AL985">MAX((УслРестрактов[Характеристика]="Дата реструктуризации")*(УслРестрактов[Значение]=Первоначальный!$A985),0)</f>
        <v>0</v>
      </c>
    </row>
    <row r="986" spans="1:38" x14ac:dyDescent="0.25">
      <c r="A986" s="97">
        <f t="shared" si="185"/>
        <v>45117</v>
      </c>
      <c r="B986" s="100">
        <f t="shared" ca="1" si="186"/>
        <v>149633.34</v>
      </c>
      <c r="C986" s="55">
        <f t="shared" ca="1" si="182"/>
        <v>70753.650000000023</v>
      </c>
      <c r="D986" s="55">
        <f t="shared" ca="1" si="182"/>
        <v>3552.9099999999926</v>
      </c>
      <c r="E986" s="55">
        <f t="shared" ca="1" si="187"/>
        <v>0</v>
      </c>
      <c r="F986" s="55">
        <f t="shared" ca="1" si="188"/>
        <v>191592.45138852403</v>
      </c>
      <c r="G986" s="101">
        <f t="shared" ca="1" si="189"/>
        <v>415532.35138852405</v>
      </c>
      <c r="H986" s="100">
        <f ca="1">ROUND($B986*VLOOKUP($A986,$A$1:$B$10,2,1)/(365+IF(MOD(YEAR($A986),4),0,1)*($A986-$A985)),2)-Первоначальный[[#This Row],[Проценты на просроченный платеж по ОД за период]]</f>
        <v>73.16</v>
      </c>
      <c r="I986" s="55">
        <f t="shared" ca="1" si="190"/>
        <v>8.42</v>
      </c>
      <c r="J986" s="55">
        <v>0</v>
      </c>
      <c r="K986" s="55">
        <f t="shared" ca="1" si="193"/>
        <v>434.48350327868837</v>
      </c>
      <c r="L986" s="55">
        <v>0</v>
      </c>
      <c r="M986" s="113">
        <f>SUMIFS(График[Возврат основной суммы долга],График[Дата с учетом нерабочих дней],$A986)</f>
        <v>702.15999999999985</v>
      </c>
      <c r="N986" s="56">
        <f>SUMIFS(График[Возврат начисленных %],График[Дата с учетом нерабочих дней],$A986)</f>
        <v>2194.84</v>
      </c>
      <c r="O986" s="101">
        <v>0</v>
      </c>
      <c r="P986" s="100" cm="1">
        <f t="array" aca="1" ref="P986" ca="1">MAX(IF(AA985="Да",0,SUM(INDIRECT("M"&amp;(MAX(("Да"=AA$12:AA985)*ROW(AA$12:AA985)+1,ROW($P$12))&amp;":M"&amp;(ROW()))))-SUM(INDIRECT("W"&amp;(MAX(("Да"=AA$12:AA985)*ROW(AA$12:AA985)+1,ROW($P$12))&amp;":W"&amp;(ROW()))))),0)</f>
        <v>16145.36</v>
      </c>
      <c r="Q986" s="99">
        <f ca="1">MAX(SUM($N$13:N986)-SUM($T$13:T986),0)</f>
        <v>70751.340655737673</v>
      </c>
      <c r="R986" s="99">
        <f ca="1">Первоначальный[[#This Row],[Просроченный платеж по ОД]]+Первоначальный[[#This Row],[Просроченный платеж по процентам]]</f>
        <v>86896.700655737674</v>
      </c>
      <c r="S986" s="120">
        <f ca="1">IF(Первоначальный[[#This Row],[Просроченный платеж]]&lt;1,0,S985+1)</f>
        <v>882</v>
      </c>
      <c r="T986" s="100" cm="1">
        <f t="array" aca="1" ref="T986" ca="1">IF(Первоначальный[[#This Row],[Итого остаток на начало периода]]&lt;1,0,
IF(
AND(TYPE(VLOOKUP(1,$Z$12:Z986,1,0))=16,Первоначальный[[#This Row],[Досрочное погашение (да/"")]]=""),0,
_xlfn.IFS(AND(S985=0,Первоначальный[[#This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платеж]]&lt;&gt;0),MIN(LOOKUP(,-1/($Z$12:Z986=1),$C$12:C986)+LOOKUP(,-1/($Z$12:Z986=1),$H$12:H986),Первоначальный[[#This Row],[Полученный платеж]]+Y985),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платеж]]+Y985,SUM(Первоначальный[[#This Row],[Остаток процентов на начало периода]],Первоначальный[[#This Row],[Проценты за период]])),
AND(S985=0,Первоначальный[[#This Row],[Дата платежа из графика]]=""),0,
AND(S985=0,Первоначальный[[#This Row],[Дата платежа из графика]]=1,MAX((0&lt;&gt;S$12:S985)*ROW(S$12:S985),ROW($S$12))&gt;=MAX((1=Z$12:Z985)*ROW(Z$12:Z985),ROW($T$12)),TYPE(VLOOKUP("Да",(INDIRECT("AA"&amp;(MAX((1=Z$12:Z985)*ROW(Z$12:Z985),ROW($T$12))&amp;":AA"&amp;(ROW()-1)))),1,0))=16),MIN(LOOKUP(,-1/($Z$12:Z986=1),$C$12:C986)+LOOKUP(,-1/($Z$12:Z986=1),$H$12:H986),Первоначальный[[#This Row],[Полученный платеж]]+Y985),
AND(S985=0,TYPE(VLOOKUP("Да",(INDIRECT("AA"&amp;(MAX((1=Z$12:Z985)*ROW(Z$12:Z985),ROW($T$12))&amp;":AA"&amp;(ROW()-1)))),1,0))&lt;&gt;16),MIN(LOOKUP(,-1/($Z$12:Z986=1),$C$12:C986)+LOOKUP(,-1/($Z$12:Z986=1),$H$12:H986)-IF(AA985="Да",0,SUM(INDIRECT("T"&amp;(MAX(("Да"=AA$12:AA985)*ROW(AA$12:AA985)+1,ROW($T$12))&amp;":T"&amp;(ROW()-1))))),Первоначальный[[#This Row],[Полученный платеж]]+Y985),
AND(S985=0,MAX((0&lt;&gt;N$12:N985)*ROW(N$12:N985),ROW($S$12))&gt;=MAX((1=Z$12:Z985)*ROW(Z$12:Z985),ROW($T$12))),MIN(LOOKUP(,-1/($Z$12:Z986=1),$C$12:C986)+LOOKUP(,-1/($Z$12:Z986=1),$H$12:H986)-IF(N985&lt;&gt;0,0,SUM(INDIRECT("T"&amp;(MAX((0&lt;&gt;N$12:N985)*ROW(N$12:N985)+1,ROW($T$12))&amp;":T"&amp;(ROW()-1))))),Первоначальный[[#This Row],[Полученный платеж]]+Y985),
AND(S985=0,Первоначальный[[#This Row],[Дата платежа из графика]]=1),MIN(LOOKUP(,-1/($Z$12:Z986=1),$C$12:C986)+LOOKUP(,-1/($Z$12:Z986=1),$H$12:H986)-IF(Z985=1,0,SUM(INDIRECT("T"&amp;(MAX((1=Z$12:Z985)*ROW(Z$12:Z985)+1,ROW($T$12))&amp;":T"&amp;(ROW()-1))))),Первоначальный[[#This Row],[Полученный платеж]]+Y985),
AND(Z985&gt;0,Первоначальный[[#This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платеж]]+Y985),
AND(S985&gt;0,MAX((0&lt;&gt;S$12:S985)*ROW(S$12:S985),ROW($S$12))&gt;=MAX((1=Z$12:Z985)*ROW(Z$12:Z985),ROW($T$12)),TYPE(VLOOKUP("Да",(INDIRECT("AA"&amp;(MAX((1=Z$12:Z985)*ROW(Z$12:Z985),ROW($T$12))&amp;":AA"&amp;(ROW()-1)))),1,0))=16),MIN(LOOKUP(,-1/($Z$12:Z986=1),$C$12:C986)+LOOKUP(,-1/($Z$12:Z986=1),$H$12:H986)-SUM(INDIRECT("T"&amp;(MAX((1=Z$12:Z985)*ROW(Z$12:Z985),ROW($T$12))&amp;":T"&amp;(ROW()-1)))),Первоначальный[[#This Row],[Полученный платеж]]+Y985),
S985&gt;0,MIN(LOOKUP(,-1/($Z$12:Z986=1),$C$12:C986)+LOOKUP(,-1/($Z$12:Z986=1),$H$12:H986)-IF(Z985=1,0,SUM(INDIRECT("T"&amp;(MAX((1=Z$12:Z985)*ROW(Z$12:Z985)+1,ROW($T$12))&amp;":T"&amp;(ROW()-1))))),Первоначальный[[#This Row],[Полученный платеж]]+Y985)
)
)
)</f>
        <v>0</v>
      </c>
      <c r="U98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платеж]]+Y985-Первоначальный[[#This Row],[Полученный платёж по процентам]])</f>
        <v>0</v>
      </c>
      <c r="V986" s="55">
        <f t="shared" ca="1" si="183"/>
        <v>0</v>
      </c>
      <c r="W986" s="55" cm="1">
        <f t="array" aca="1" ref="W986" ca="1">IF(Первоначальный[[#This Row],[Итого остаток на начало периода]]&lt;1,0,
_xlfn.IFS(
AND(TYPE(VLOOKUP(1,$Z$12:Z986,1,0))=16,Первоначальный[[#This Row],[Досрочное погашение (да/"")]]=""),0,
AND(S985=0,Первоначальный[[#This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платеж]]+Y985-SUM(Первоначальный[[#This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комиссиям]]),VLOOKUP(LOOKUP(,-1/($Z$12:Z986=1),$A$12:A986),График[[Срок конец]:[Возврат основной суммы долга]],3,0)),
AND(S985=0,Первоначальный[[#This Row],[Дата платежа из графика]]="",Первоначальный[[#This Row],[Досрочное погашение (да/"")]]&lt;&gt;"Да"),0,
AND(S985=0,Первоначальный[[#This Row],[Досрочное погашение (да/"")]]=""),MIN(Первоначальный[[#This Row],[Полученный платеж]]+Y985-SUM(Первоначальный[[#This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комиссиям]]),VLOOKUP(LOOKUP(,-1/($Z$12:Z986=1),$A$12:A986),График[[Срок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платеж]]+Y985-SUM(Первоначальный[[#This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S985&gt;0,MIN(Первоначальный[[#This Row],[Полученный платеж]]+Y985-SUM(Первоначальный[[#This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комиссиям]]),SUM(INDIRECT("M"&amp;(MAX((1=S$12:S985)*ROW(S$12:S985),ROW($W$12))&amp;":M"&amp;(ROW()))))-SUM(INDIRECT("W"&amp;(MAX((1=S$12:S985)*ROW(S$12:S985),ROW($W$12))&amp;":W"&amp;(ROW()-1)))))
)
)</f>
        <v>0</v>
      </c>
      <c r="X986" s="55">
        <f t="shared" ca="1" si="184"/>
        <v>0</v>
      </c>
      <c r="Y986" s="101">
        <f t="shared" ca="1" si="191"/>
        <v>0</v>
      </c>
      <c r="Z986" s="133" t="str">
        <f>IF(TYPE((VLOOKUP(Первоначальный[[#This Row],[Дата платежа]],График[Срок конец],1,0)))=16,"",1)</f>
        <v/>
      </c>
      <c r="AA986" s="57"/>
      <c r="AB986" s="134"/>
      <c r="AC98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8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70826.810000000027</v>
      </c>
      <c r="AE98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3561.3299999999927</v>
      </c>
      <c r="AF98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8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192026.93489180272</v>
      </c>
      <c r="AH986" s="55"/>
      <c r="AI986" s="55"/>
      <c r="AJ986" s="55"/>
      <c r="AK986" s="101">
        <f t="shared" ca="1" si="192"/>
        <v>416048.41489180271</v>
      </c>
      <c r="AL986" s="129">
        <f t="array" ref="AL986">MAX((УслРестрактов[Характеристика]="Дата реструктуризации")*(УслРестрактов[Значение]=Первоначальный!$A986),0)</f>
        <v>0</v>
      </c>
    </row>
    <row r="987" spans="1:38" x14ac:dyDescent="0.25">
      <c r="A987" s="97">
        <f t="shared" si="185"/>
        <v>45118</v>
      </c>
      <c r="B987" s="100">
        <f t="shared" ca="1" si="186"/>
        <v>149633.34</v>
      </c>
      <c r="C987" s="55">
        <f t="shared" ca="1" si="182"/>
        <v>70826.810000000027</v>
      </c>
      <c r="D987" s="55">
        <f t="shared" ca="1" si="182"/>
        <v>3561.3299999999927</v>
      </c>
      <c r="E987" s="55">
        <f t="shared" ca="1" si="187"/>
        <v>0</v>
      </c>
      <c r="F987" s="55">
        <f t="shared" ca="1" si="188"/>
        <v>192026.93489180272</v>
      </c>
      <c r="G987" s="101">
        <f t="shared" ca="1" si="189"/>
        <v>416048.41489180271</v>
      </c>
      <c r="H987" s="100">
        <f ca="1">ROUND($B987*VLOOKUP($A987,$A$1:$B$10,2,1)/(365+IF(MOD(YEAR($A987),4),0,1)*($A987-$A986)),2)-Первоначальный[[#This Row],[Проценты на просроченный платеж по ОД за период]]</f>
        <v>72.78</v>
      </c>
      <c r="I987" s="55">
        <f t="shared" ca="1" si="190"/>
        <v>8.8000000000000007</v>
      </c>
      <c r="J987" s="55">
        <v>0</v>
      </c>
      <c r="K987" s="55">
        <f t="shared" ca="1" si="193"/>
        <v>434.48350327868837</v>
      </c>
      <c r="L987" s="55">
        <v>0</v>
      </c>
      <c r="M987" s="113">
        <f>SUMIFS(График[Возврат основной суммы долга],График[Дата с учетом нерабочих дней],$A987)</f>
        <v>0</v>
      </c>
      <c r="N987" s="56">
        <f>SUMIFS(График[Возврат начисленных %],График[Дата с учетом нерабочих дней],$A987)</f>
        <v>0</v>
      </c>
      <c r="O987" s="101">
        <v>0</v>
      </c>
      <c r="P987" s="100" cm="1">
        <f t="array" aca="1" ref="P987" ca="1">MAX(IF(AA986="Да",0,SUM(INDIRECT("M"&amp;(MAX(("Да"=AA$12:AA986)*ROW(AA$12:AA986)+1,ROW($P$12))&amp;":M"&amp;(ROW()))))-SUM(INDIRECT("W"&amp;(MAX(("Да"=AA$12:AA986)*ROW(AA$12:AA986)+1,ROW($P$12))&amp;":W"&amp;(ROW()))))),0)</f>
        <v>16145.36</v>
      </c>
      <c r="Q987" s="99">
        <f ca="1">MAX(SUM($N$13:N987)-SUM($T$13:T987),0)</f>
        <v>70751.340655737673</v>
      </c>
      <c r="R987" s="99">
        <f ca="1">Первоначальный[[#This Row],[Просроченный платеж по ОД]]+Первоначальный[[#This Row],[Просроченный платеж по процентам]]</f>
        <v>86896.700655737674</v>
      </c>
      <c r="S987" s="120">
        <f ca="1">IF(Первоначальный[[#This Row],[Просроченный платеж]]&lt;1,0,S986+1)</f>
        <v>883</v>
      </c>
      <c r="T987" s="100" cm="1">
        <f t="array" aca="1" ref="T987" ca="1">IF(Первоначальный[[#This Row],[Итого остаток на начало периода]]&lt;1,0,
IF(
AND(TYPE(VLOOKUP(1,$Z$12:Z987,1,0))=16,Первоначальный[[#This Row],[Досрочное погашение (да/"")]]=""),0,
_xlfn.IFS(AND(S986=0,Первоначальный[[#This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платеж]]&lt;&gt;0),MIN(LOOKUP(,-1/($Z$12:Z987=1),$C$12:C987)+LOOKUP(,-1/($Z$12:Z987=1),$H$12:H987),Первоначальный[[#This Row],[Полученный платеж]]+Y986),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платеж]]+Y986,SUM(Первоначальный[[#This Row],[Остаток процентов на начало периода]],Первоначальный[[#This Row],[Проценты за период]])),
AND(S986=0,Первоначальный[[#This Row],[Дата платежа из графика]]=""),0,
AND(S986=0,Первоначальный[[#This Row],[Дата платежа из графика]]=1,MAX((0&lt;&gt;S$12:S986)*ROW(S$12:S986),ROW($S$12))&gt;=MAX((1=Z$12:Z986)*ROW(Z$12:Z986),ROW($T$12)),TYPE(VLOOKUP("Да",(INDIRECT("AA"&amp;(MAX((1=Z$12:Z986)*ROW(Z$12:Z986),ROW($T$12))&amp;":AA"&amp;(ROW()-1)))),1,0))=16),MIN(LOOKUP(,-1/($Z$12:Z987=1),$C$12:C987)+LOOKUP(,-1/($Z$12:Z987=1),$H$12:H987),Первоначальный[[#This Row],[Полученный платеж]]+Y986),
AND(S986=0,TYPE(VLOOKUP("Да",(INDIRECT("AA"&amp;(MAX((1=Z$12:Z986)*ROW(Z$12:Z986),ROW($T$12))&amp;":AA"&amp;(ROW()-1)))),1,0))&lt;&gt;16),MIN(LOOKUP(,-1/($Z$12:Z987=1),$C$12:C987)+LOOKUP(,-1/($Z$12:Z987=1),$H$12:H987)-IF(AA986="Да",0,SUM(INDIRECT("T"&amp;(MAX(("Да"=AA$12:AA986)*ROW(AA$12:AA986)+1,ROW($T$12))&amp;":T"&amp;(ROW()-1))))),Первоначальный[[#This Row],[Полученный платеж]]+Y986),
AND(S986=0,MAX((0&lt;&gt;N$12:N986)*ROW(N$12:N986),ROW($S$12))&gt;=MAX((1=Z$12:Z986)*ROW(Z$12:Z986),ROW($T$12))),MIN(LOOKUP(,-1/($Z$12:Z987=1),$C$12:C987)+LOOKUP(,-1/($Z$12:Z987=1),$H$12:H987)-IF(N986&lt;&gt;0,0,SUM(INDIRECT("T"&amp;(MAX((0&lt;&gt;N$12:N986)*ROW(N$12:N986)+1,ROW($T$12))&amp;":T"&amp;(ROW()-1))))),Первоначальный[[#This Row],[Полученный платеж]]+Y986),
AND(S986=0,Первоначальный[[#This Row],[Дата платежа из графика]]=1),MIN(LOOKUP(,-1/($Z$12:Z987=1),$C$12:C987)+LOOKUP(,-1/($Z$12:Z987=1),$H$12:H987)-IF(Z986=1,0,SUM(INDIRECT("T"&amp;(MAX((1=Z$12:Z986)*ROW(Z$12:Z986)+1,ROW($T$12))&amp;":T"&amp;(ROW()-1))))),Первоначальный[[#This Row],[Полученный платеж]]+Y986),
AND(Z986&gt;0,Первоначальный[[#This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платеж]]+Y986),
AND(S986&gt;0,MAX((0&lt;&gt;S$12:S986)*ROW(S$12:S986),ROW($S$12))&gt;=MAX((1=Z$12:Z986)*ROW(Z$12:Z986),ROW($T$12)),TYPE(VLOOKUP("Да",(INDIRECT("AA"&amp;(MAX((1=Z$12:Z986)*ROW(Z$12:Z986),ROW($T$12))&amp;":AA"&amp;(ROW()-1)))),1,0))=16),MIN(LOOKUP(,-1/($Z$12:Z987=1),$C$12:C987)+LOOKUP(,-1/($Z$12:Z987=1),$H$12:H987)-SUM(INDIRECT("T"&amp;(MAX((1=Z$12:Z986)*ROW(Z$12:Z986),ROW($T$12))&amp;":T"&amp;(ROW()-1)))),Первоначальный[[#This Row],[Полученный платеж]]+Y986),
S986&gt;0,MIN(LOOKUP(,-1/($Z$12:Z987=1),$C$12:C987)+LOOKUP(,-1/($Z$12:Z987=1),$H$12:H987)-IF(Z986=1,0,SUM(INDIRECT("T"&amp;(MAX((1=Z$12:Z986)*ROW(Z$12:Z986)+1,ROW($T$12))&amp;":T"&amp;(ROW()-1))))),Первоначальный[[#This Row],[Полученный платеж]]+Y986)
)
)
)</f>
        <v>0</v>
      </c>
      <c r="U98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платеж]]+Y986-Первоначальный[[#This Row],[Полученный платёж по процентам]])</f>
        <v>0</v>
      </c>
      <c r="V987" s="55">
        <f t="shared" ca="1" si="183"/>
        <v>0</v>
      </c>
      <c r="W987" s="55" cm="1">
        <f t="array" aca="1" ref="W987" ca="1">IF(Первоначальный[[#This Row],[Итого остаток на начало периода]]&lt;1,0,
_xlfn.IFS(
AND(TYPE(VLOOKUP(1,$Z$12:Z987,1,0))=16,Первоначальный[[#This Row],[Досрочное погашение (да/"")]]=""),0,
AND(S986=0,Первоначальный[[#This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платеж]]+Y986-SUM(Первоначальный[[#This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комиссиям]]),VLOOKUP(LOOKUP(,-1/($Z$12:Z987=1),$A$12:A987),График[[Срок конец]:[Возврат основной суммы долга]],3,0)),
AND(S986=0,Первоначальный[[#This Row],[Дата платежа из графика]]="",Первоначальный[[#This Row],[Досрочное погашение (да/"")]]&lt;&gt;"Да"),0,
AND(S986=0,Первоначальный[[#This Row],[Досрочное погашение (да/"")]]=""),MIN(Первоначальный[[#This Row],[Полученный платеж]]+Y986-SUM(Первоначальный[[#This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комиссиям]]),VLOOKUP(LOOKUP(,-1/($Z$12:Z987=1),$A$12:A987),График[[Срок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платеж]]+Y986-SUM(Первоначальный[[#This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S986&gt;0,MIN(Первоначальный[[#This Row],[Полученный платеж]]+Y986-SUM(Первоначальный[[#This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комиссиям]]),SUM(INDIRECT("M"&amp;(MAX((1=S$12:S986)*ROW(S$12:S986),ROW($W$12))&amp;":M"&amp;(ROW()))))-SUM(INDIRECT("W"&amp;(MAX((1=S$12:S986)*ROW(S$12:S986),ROW($W$12))&amp;":W"&amp;(ROW()-1)))))
)
)</f>
        <v>0</v>
      </c>
      <c r="X987" s="55">
        <f t="shared" ca="1" si="184"/>
        <v>0</v>
      </c>
      <c r="Y987" s="101">
        <f t="shared" ca="1" si="191"/>
        <v>0</v>
      </c>
      <c r="Z987" s="133" t="str">
        <f>IF(TYPE((VLOOKUP(Первоначальный[[#This Row],[Дата платежа]],График[Срок конец],1,0)))=16,"",1)</f>
        <v/>
      </c>
      <c r="AA987" s="57"/>
      <c r="AB987" s="134"/>
      <c r="AC98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8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70899.590000000026</v>
      </c>
      <c r="AE98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3570.1299999999928</v>
      </c>
      <c r="AF98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8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192461.41839508142</v>
      </c>
      <c r="AH987" s="55"/>
      <c r="AI987" s="55"/>
      <c r="AJ987" s="55"/>
      <c r="AK987" s="101">
        <f t="shared" ca="1" si="192"/>
        <v>416564.47839508147</v>
      </c>
      <c r="AL987" s="129">
        <f t="array" ref="AL987">MAX((УслРестрактов[Характеристика]="Дата реструктуризации")*(УслРестрактов[Значение]=Первоначальный!$A987),0)</f>
        <v>0</v>
      </c>
    </row>
    <row r="988" spans="1:38" x14ac:dyDescent="0.25">
      <c r="A988" s="97">
        <f t="shared" si="185"/>
        <v>45119</v>
      </c>
      <c r="B988" s="100">
        <f t="shared" ca="1" si="186"/>
        <v>149633.34</v>
      </c>
      <c r="C988" s="55">
        <f t="shared" ca="1" si="182"/>
        <v>70899.590000000026</v>
      </c>
      <c r="D988" s="55">
        <f t="shared" ca="1" si="182"/>
        <v>3570.1299999999928</v>
      </c>
      <c r="E988" s="55">
        <f t="shared" ca="1" si="187"/>
        <v>0</v>
      </c>
      <c r="F988" s="55">
        <f t="shared" ca="1" si="188"/>
        <v>192461.41839508142</v>
      </c>
      <c r="G988" s="101">
        <f t="shared" ca="1" si="189"/>
        <v>416564.47839508147</v>
      </c>
      <c r="H988" s="100">
        <f ca="1">ROUND($B988*VLOOKUP($A988,$A$1:$B$10,2,1)/(365+IF(MOD(YEAR($A988),4),0,1)*($A988-$A987)),2)-Первоначальный[[#This Row],[Проценты на просроченный платеж по ОД за период]]</f>
        <v>72.78</v>
      </c>
      <c r="I988" s="55">
        <f t="shared" ca="1" si="190"/>
        <v>8.8000000000000007</v>
      </c>
      <c r="J988" s="55">
        <v>0</v>
      </c>
      <c r="K988" s="55">
        <f t="shared" ca="1" si="193"/>
        <v>434.48350327868837</v>
      </c>
      <c r="L988" s="55">
        <v>0</v>
      </c>
      <c r="M988" s="113">
        <f>SUMIFS(График[Возврат основной суммы долга],График[Дата с учетом нерабочих дней],$A988)</f>
        <v>0</v>
      </c>
      <c r="N988" s="56">
        <f>SUMIFS(График[Возврат начисленных %],График[Дата с учетом нерабочих дней],$A988)</f>
        <v>0</v>
      </c>
      <c r="O988" s="101">
        <v>0</v>
      </c>
      <c r="P988" s="100" cm="1">
        <f t="array" aca="1" ref="P988" ca="1">MAX(IF(AA987="Да",0,SUM(INDIRECT("M"&amp;(MAX(("Да"=AA$12:AA987)*ROW(AA$12:AA987)+1,ROW($P$12))&amp;":M"&amp;(ROW()))))-SUM(INDIRECT("W"&amp;(MAX(("Да"=AA$12:AA987)*ROW(AA$12:AA987)+1,ROW($P$12))&amp;":W"&amp;(ROW()))))),0)</f>
        <v>16145.36</v>
      </c>
      <c r="Q988" s="99">
        <f ca="1">MAX(SUM($N$13:N988)-SUM($T$13:T988),0)</f>
        <v>70751.340655737673</v>
      </c>
      <c r="R988" s="99">
        <f ca="1">Первоначальный[[#This Row],[Просроченный платеж по ОД]]+Первоначальный[[#This Row],[Просроченный платеж по процентам]]</f>
        <v>86896.700655737674</v>
      </c>
      <c r="S988" s="120">
        <f ca="1">IF(Первоначальный[[#This Row],[Просроченный платеж]]&lt;1,0,S987+1)</f>
        <v>884</v>
      </c>
      <c r="T988" s="100" cm="1">
        <f t="array" aca="1" ref="T988" ca="1">IF(Первоначальный[[#This Row],[Итого остаток на начало периода]]&lt;1,0,
IF(
AND(TYPE(VLOOKUP(1,$Z$12:Z988,1,0))=16,Первоначальный[[#This Row],[Досрочное погашение (да/"")]]=""),0,
_xlfn.IFS(AND(S987=0,Первоначальный[[#This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платеж]]&lt;&gt;0),MIN(LOOKUP(,-1/($Z$12:Z988=1),$C$12:C988)+LOOKUP(,-1/($Z$12:Z988=1),$H$12:H988),Первоначальный[[#This Row],[Полученный платеж]]+Y987),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платеж]]+Y987,SUM(Первоначальный[[#This Row],[Остаток процентов на начало периода]],Первоначальный[[#This Row],[Проценты за период]])),
AND(S987=0,Первоначальный[[#This Row],[Дата платежа из графика]]=""),0,
AND(S987=0,Первоначальный[[#This Row],[Дата платежа из графика]]=1,MAX((0&lt;&gt;S$12:S987)*ROW(S$12:S987),ROW($S$12))&gt;=MAX((1=Z$12:Z987)*ROW(Z$12:Z987),ROW($T$12)),TYPE(VLOOKUP("Да",(INDIRECT("AA"&amp;(MAX((1=Z$12:Z987)*ROW(Z$12:Z987),ROW($T$12))&amp;":AA"&amp;(ROW()-1)))),1,0))=16),MIN(LOOKUP(,-1/($Z$12:Z988=1),$C$12:C988)+LOOKUP(,-1/($Z$12:Z988=1),$H$12:H988),Первоначальный[[#This Row],[Полученный платеж]]+Y987),
AND(S987=0,TYPE(VLOOKUP("Да",(INDIRECT("AA"&amp;(MAX((1=Z$12:Z987)*ROW(Z$12:Z987),ROW($T$12))&amp;":AA"&amp;(ROW()-1)))),1,0))&lt;&gt;16),MIN(LOOKUP(,-1/($Z$12:Z988=1),$C$12:C988)+LOOKUP(,-1/($Z$12:Z988=1),$H$12:H988)-IF(AA987="Да",0,SUM(INDIRECT("T"&amp;(MAX(("Да"=AA$12:AA987)*ROW(AA$12:AA987)+1,ROW($T$12))&amp;":T"&amp;(ROW()-1))))),Первоначальный[[#This Row],[Полученный платеж]]+Y987),
AND(S987=0,MAX((0&lt;&gt;N$12:N987)*ROW(N$12:N987),ROW($S$12))&gt;=MAX((1=Z$12:Z987)*ROW(Z$12:Z987),ROW($T$12))),MIN(LOOKUP(,-1/($Z$12:Z988=1),$C$12:C988)+LOOKUP(,-1/($Z$12:Z988=1),$H$12:H988)-IF(N987&lt;&gt;0,0,SUM(INDIRECT("T"&amp;(MAX((0&lt;&gt;N$12:N987)*ROW(N$12:N987)+1,ROW($T$12))&amp;":T"&amp;(ROW()-1))))),Первоначальный[[#This Row],[Полученный платеж]]+Y987),
AND(S987=0,Первоначальный[[#This Row],[Дата платежа из графика]]=1),MIN(LOOKUP(,-1/($Z$12:Z988=1),$C$12:C988)+LOOKUP(,-1/($Z$12:Z988=1),$H$12:H988)-IF(Z987=1,0,SUM(INDIRECT("T"&amp;(MAX((1=Z$12:Z987)*ROW(Z$12:Z987)+1,ROW($T$12))&amp;":T"&amp;(ROW()-1))))),Первоначальный[[#This Row],[Полученный платеж]]+Y987),
AND(Z987&gt;0,Первоначальный[[#This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платеж]]+Y987),
AND(S987&gt;0,MAX((0&lt;&gt;S$12:S987)*ROW(S$12:S987),ROW($S$12))&gt;=MAX((1=Z$12:Z987)*ROW(Z$12:Z987),ROW($T$12)),TYPE(VLOOKUP("Да",(INDIRECT("AA"&amp;(MAX((1=Z$12:Z987)*ROW(Z$12:Z987),ROW($T$12))&amp;":AA"&amp;(ROW()-1)))),1,0))=16),MIN(LOOKUP(,-1/($Z$12:Z988=1),$C$12:C988)+LOOKUP(,-1/($Z$12:Z988=1),$H$12:H988)-SUM(INDIRECT("T"&amp;(MAX((1=Z$12:Z987)*ROW(Z$12:Z987),ROW($T$12))&amp;":T"&amp;(ROW()-1)))),Первоначальный[[#This Row],[Полученный платеж]]+Y987),
S987&gt;0,MIN(LOOKUP(,-1/($Z$12:Z988=1),$C$12:C988)+LOOKUP(,-1/($Z$12:Z988=1),$H$12:H988)-IF(Z987=1,0,SUM(INDIRECT("T"&amp;(MAX((1=Z$12:Z987)*ROW(Z$12:Z987)+1,ROW($T$12))&amp;":T"&amp;(ROW()-1))))),Первоначальный[[#This Row],[Полученный платеж]]+Y987)
)
)
)</f>
        <v>0</v>
      </c>
      <c r="U98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платеж]]+Y987-Первоначальный[[#This Row],[Полученный платёж по процентам]])</f>
        <v>0</v>
      </c>
      <c r="V988" s="55">
        <f t="shared" ca="1" si="183"/>
        <v>0</v>
      </c>
      <c r="W988" s="55" cm="1">
        <f t="array" aca="1" ref="W988" ca="1">IF(Первоначальный[[#This Row],[Итого остаток на начало периода]]&lt;1,0,
_xlfn.IFS(
AND(TYPE(VLOOKUP(1,$Z$12:Z988,1,0))=16,Первоначальный[[#This Row],[Досрочное погашение (да/"")]]=""),0,
AND(S987=0,Первоначальный[[#This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платеж]]+Y987-SUM(Первоначальный[[#This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комиссиям]]),VLOOKUP(LOOKUP(,-1/($Z$12:Z988=1),$A$12:A988),График[[Срок конец]:[Возврат основной суммы долга]],3,0)),
AND(S987=0,Первоначальный[[#This Row],[Дата платежа из графика]]="",Первоначальный[[#This Row],[Досрочное погашение (да/"")]]&lt;&gt;"Да"),0,
AND(S987=0,Первоначальный[[#This Row],[Досрочное погашение (да/"")]]=""),MIN(Первоначальный[[#This Row],[Полученный платеж]]+Y987-SUM(Первоначальный[[#This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комиссиям]]),VLOOKUP(LOOKUP(,-1/($Z$12:Z988=1),$A$12:A988),График[[Срок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платеж]]+Y987-SUM(Первоначальный[[#This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S987&gt;0,MIN(Первоначальный[[#This Row],[Полученный платеж]]+Y987-SUM(Первоначальный[[#This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комиссиям]]),SUM(INDIRECT("M"&amp;(MAX((1=S$12:S987)*ROW(S$12:S987),ROW($W$12))&amp;":M"&amp;(ROW()))))-SUM(INDIRECT("W"&amp;(MAX((1=S$12:S987)*ROW(S$12:S987),ROW($W$12))&amp;":W"&amp;(ROW()-1)))))
)
)</f>
        <v>0</v>
      </c>
      <c r="X988" s="55">
        <f t="shared" ca="1" si="184"/>
        <v>0</v>
      </c>
      <c r="Y988" s="101">
        <f t="shared" ca="1" si="191"/>
        <v>0</v>
      </c>
      <c r="Z988" s="133" t="str">
        <f>IF(TYPE((VLOOKUP(Первоначальный[[#This Row],[Дата платежа]],График[Срок конец],1,0)))=16,"",1)</f>
        <v/>
      </c>
      <c r="AA988" s="57"/>
      <c r="AB988" s="134"/>
      <c r="AC98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8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70972.370000000024</v>
      </c>
      <c r="AE98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3578.929999999993</v>
      </c>
      <c r="AF98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8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192895.90189836011</v>
      </c>
      <c r="AH988" s="55"/>
      <c r="AI988" s="55"/>
      <c r="AJ988" s="55"/>
      <c r="AK988" s="101">
        <f t="shared" ca="1" si="192"/>
        <v>417080.54189836013</v>
      </c>
      <c r="AL988" s="129">
        <f t="array" ref="AL988">MAX((УслРестрактов[Характеристика]="Дата реструктуризации")*(УслРестрактов[Значение]=Первоначальный!$A988),0)</f>
        <v>0</v>
      </c>
    </row>
    <row r="989" spans="1:38" x14ac:dyDescent="0.25">
      <c r="A989" s="97">
        <f t="shared" si="185"/>
        <v>45120</v>
      </c>
      <c r="B989" s="100">
        <f t="shared" ca="1" si="186"/>
        <v>149633.34</v>
      </c>
      <c r="C989" s="55">
        <f t="shared" ca="1" si="182"/>
        <v>70972.370000000024</v>
      </c>
      <c r="D989" s="55">
        <f t="shared" ca="1" si="182"/>
        <v>3578.929999999993</v>
      </c>
      <c r="E989" s="55">
        <f t="shared" ca="1" si="187"/>
        <v>0</v>
      </c>
      <c r="F989" s="55">
        <f t="shared" ca="1" si="188"/>
        <v>192895.90189836011</v>
      </c>
      <c r="G989" s="101">
        <f t="shared" ca="1" si="189"/>
        <v>417080.54189836013</v>
      </c>
      <c r="H989" s="100">
        <f ca="1">ROUND($B989*VLOOKUP($A989,$A$1:$B$10,2,1)/(365+IF(MOD(YEAR($A989),4),0,1)*($A989-$A988)),2)-Первоначальный[[#This Row],[Проценты на просроченный платеж по ОД за период]]</f>
        <v>72.78</v>
      </c>
      <c r="I989" s="55">
        <f t="shared" ca="1" si="190"/>
        <v>8.8000000000000007</v>
      </c>
      <c r="J989" s="55">
        <v>0</v>
      </c>
      <c r="K989" s="55">
        <f t="shared" ca="1" si="193"/>
        <v>434.48350327868837</v>
      </c>
      <c r="L989" s="55">
        <v>0</v>
      </c>
      <c r="M989" s="113">
        <f>SUMIFS(График[Возврат основной суммы долга],График[Дата с учетом нерабочих дней],$A989)</f>
        <v>0</v>
      </c>
      <c r="N989" s="56">
        <f>SUMIFS(График[Возврат начисленных %],График[Дата с учетом нерабочих дней],$A989)</f>
        <v>0</v>
      </c>
      <c r="O989" s="101">
        <v>0</v>
      </c>
      <c r="P989" s="100" cm="1">
        <f t="array" aca="1" ref="P989" ca="1">MAX(IF(AA988="Да",0,SUM(INDIRECT("M"&amp;(MAX(("Да"=AA$12:AA988)*ROW(AA$12:AA988)+1,ROW($P$12))&amp;":M"&amp;(ROW()))))-SUM(INDIRECT("W"&amp;(MAX(("Да"=AA$12:AA988)*ROW(AA$12:AA988)+1,ROW($P$12))&amp;":W"&amp;(ROW()))))),0)</f>
        <v>16145.36</v>
      </c>
      <c r="Q989" s="99">
        <f ca="1">MAX(SUM($N$13:N989)-SUM($T$13:T989),0)</f>
        <v>70751.340655737673</v>
      </c>
      <c r="R989" s="99">
        <f ca="1">Первоначальный[[#This Row],[Просроченный платеж по ОД]]+Первоначальный[[#This Row],[Просроченный платеж по процентам]]</f>
        <v>86896.700655737674</v>
      </c>
      <c r="S989" s="120">
        <f ca="1">IF(Первоначальный[[#This Row],[Просроченный платеж]]&lt;1,0,S988+1)</f>
        <v>885</v>
      </c>
      <c r="T989" s="100" cm="1">
        <f t="array" aca="1" ref="T989" ca="1">IF(Первоначальный[[#This Row],[Итого остаток на начало периода]]&lt;1,0,
IF(
AND(TYPE(VLOOKUP(1,$Z$12:Z989,1,0))=16,Первоначальный[[#This Row],[Досрочное погашение (да/"")]]=""),0,
_xlfn.IFS(AND(S988=0,Первоначальный[[#This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платеж]]&lt;&gt;0),MIN(LOOKUP(,-1/($Z$12:Z989=1),$C$12:C989)+LOOKUP(,-1/($Z$12:Z989=1),$H$12:H989),Первоначальный[[#This Row],[Полученный платеж]]+Y988),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платеж]]+Y988,SUM(Первоначальный[[#This Row],[Остаток процентов на начало периода]],Первоначальный[[#This Row],[Проценты за период]])),
AND(S988=0,Первоначальный[[#This Row],[Дата платежа из графика]]=""),0,
AND(S988=0,Первоначальный[[#This Row],[Дата платежа из графика]]=1,MAX((0&lt;&gt;S$12:S988)*ROW(S$12:S988),ROW($S$12))&gt;=MAX((1=Z$12:Z988)*ROW(Z$12:Z988),ROW($T$12)),TYPE(VLOOKUP("Да",(INDIRECT("AA"&amp;(MAX((1=Z$12:Z988)*ROW(Z$12:Z988),ROW($T$12))&amp;":AA"&amp;(ROW()-1)))),1,0))=16),MIN(LOOKUP(,-1/($Z$12:Z989=1),$C$12:C989)+LOOKUP(,-1/($Z$12:Z989=1),$H$12:H989),Первоначальный[[#This Row],[Полученный платеж]]+Y988),
AND(S988=0,TYPE(VLOOKUP("Да",(INDIRECT("AA"&amp;(MAX((1=Z$12:Z988)*ROW(Z$12:Z988),ROW($T$12))&amp;":AA"&amp;(ROW()-1)))),1,0))&lt;&gt;16),MIN(LOOKUP(,-1/($Z$12:Z989=1),$C$12:C989)+LOOKUP(,-1/($Z$12:Z989=1),$H$12:H989)-IF(AA988="Да",0,SUM(INDIRECT("T"&amp;(MAX(("Да"=AA$12:AA988)*ROW(AA$12:AA988)+1,ROW($T$12))&amp;":T"&amp;(ROW()-1))))),Первоначальный[[#This Row],[Полученный платеж]]+Y988),
AND(S988=0,MAX((0&lt;&gt;N$12:N988)*ROW(N$12:N988),ROW($S$12))&gt;=MAX((1=Z$12:Z988)*ROW(Z$12:Z988),ROW($T$12))),MIN(LOOKUP(,-1/($Z$12:Z989=1),$C$12:C989)+LOOKUP(,-1/($Z$12:Z989=1),$H$12:H989)-IF(N988&lt;&gt;0,0,SUM(INDIRECT("T"&amp;(MAX((0&lt;&gt;N$12:N988)*ROW(N$12:N988)+1,ROW($T$12))&amp;":T"&amp;(ROW()-1))))),Первоначальный[[#This Row],[Полученный платеж]]+Y988),
AND(S988=0,Первоначальный[[#This Row],[Дата платежа из графика]]=1),MIN(LOOKUP(,-1/($Z$12:Z989=1),$C$12:C989)+LOOKUP(,-1/($Z$12:Z989=1),$H$12:H989)-IF(Z988=1,0,SUM(INDIRECT("T"&amp;(MAX((1=Z$12:Z988)*ROW(Z$12:Z988)+1,ROW($T$12))&amp;":T"&amp;(ROW()-1))))),Первоначальный[[#This Row],[Полученный платеж]]+Y988),
AND(Z988&gt;0,Первоначальный[[#This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платеж]]+Y988),
AND(S988&gt;0,MAX((0&lt;&gt;S$12:S988)*ROW(S$12:S988),ROW($S$12))&gt;=MAX((1=Z$12:Z988)*ROW(Z$12:Z988),ROW($T$12)),TYPE(VLOOKUP("Да",(INDIRECT("AA"&amp;(MAX((1=Z$12:Z988)*ROW(Z$12:Z988),ROW($T$12))&amp;":AA"&amp;(ROW()-1)))),1,0))=16),MIN(LOOKUP(,-1/($Z$12:Z989=1),$C$12:C989)+LOOKUP(,-1/($Z$12:Z989=1),$H$12:H989)-SUM(INDIRECT("T"&amp;(MAX((1=Z$12:Z988)*ROW(Z$12:Z988),ROW($T$12))&amp;":T"&amp;(ROW()-1)))),Первоначальный[[#This Row],[Полученный платеж]]+Y988),
S988&gt;0,MIN(LOOKUP(,-1/($Z$12:Z989=1),$C$12:C989)+LOOKUP(,-1/($Z$12:Z989=1),$H$12:H989)-IF(Z988=1,0,SUM(INDIRECT("T"&amp;(MAX((1=Z$12:Z988)*ROW(Z$12:Z988)+1,ROW($T$12))&amp;":T"&amp;(ROW()-1))))),Первоначальный[[#This Row],[Полученный платеж]]+Y988)
)
)
)</f>
        <v>0</v>
      </c>
      <c r="U98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платеж]]+Y988-Первоначальный[[#This Row],[Полученный платёж по процентам]])</f>
        <v>0</v>
      </c>
      <c r="V989" s="55">
        <f t="shared" ca="1" si="183"/>
        <v>0</v>
      </c>
      <c r="W989" s="55" cm="1">
        <f t="array" aca="1" ref="W989" ca="1">IF(Первоначальный[[#This Row],[Итого остаток на начало периода]]&lt;1,0,
_xlfn.IFS(
AND(TYPE(VLOOKUP(1,$Z$12:Z989,1,0))=16,Первоначальный[[#This Row],[Досрочное погашение (да/"")]]=""),0,
AND(S988=0,Первоначальный[[#This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платеж]]+Y988-SUM(Первоначальный[[#This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комиссиям]]),VLOOKUP(LOOKUP(,-1/($Z$12:Z989=1),$A$12:A989),График[[Срок конец]:[Возврат основной суммы долга]],3,0)),
AND(S988=0,Первоначальный[[#This Row],[Дата платежа из графика]]="",Первоначальный[[#This Row],[Досрочное погашение (да/"")]]&lt;&gt;"Да"),0,
AND(S988=0,Первоначальный[[#This Row],[Досрочное погашение (да/"")]]=""),MIN(Первоначальный[[#This Row],[Полученный платеж]]+Y988-SUM(Первоначальный[[#This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комиссиям]]),VLOOKUP(LOOKUP(,-1/($Z$12:Z989=1),$A$12:A989),График[[Срок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платеж]]+Y988-SUM(Первоначальный[[#This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S988&gt;0,MIN(Первоначальный[[#This Row],[Полученный платеж]]+Y988-SUM(Первоначальный[[#This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комиссиям]]),SUM(INDIRECT("M"&amp;(MAX((1=S$12:S988)*ROW(S$12:S988),ROW($W$12))&amp;":M"&amp;(ROW()))))-SUM(INDIRECT("W"&amp;(MAX((1=S$12:S988)*ROW(S$12:S988),ROW($W$12))&amp;":W"&amp;(ROW()-1)))))
)
)</f>
        <v>0</v>
      </c>
      <c r="X989" s="55">
        <f t="shared" ca="1" si="184"/>
        <v>0</v>
      </c>
      <c r="Y989" s="101">
        <f t="shared" ca="1" si="191"/>
        <v>0</v>
      </c>
      <c r="Z989" s="133" t="str">
        <f>IF(TYPE((VLOOKUP(Первоначальный[[#This Row],[Дата платежа]],График[Срок конец],1,0)))=16,"",1)</f>
        <v/>
      </c>
      <c r="AA989" s="57"/>
      <c r="AB989" s="134"/>
      <c r="AC98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8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71045.150000000023</v>
      </c>
      <c r="AE98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3587.7299999999932</v>
      </c>
      <c r="AF98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8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193330.38540163881</v>
      </c>
      <c r="AH989" s="55"/>
      <c r="AI989" s="55"/>
      <c r="AJ989" s="55"/>
      <c r="AK989" s="101">
        <f t="shared" ca="1" si="192"/>
        <v>417596.60540163878</v>
      </c>
      <c r="AL989" s="129">
        <f t="array" ref="AL989">MAX((УслРестрактов[Характеристика]="Дата реструктуризации")*(УслРестрактов[Значение]=Первоначальный!$A989),0)</f>
        <v>0</v>
      </c>
    </row>
    <row r="990" spans="1:38" x14ac:dyDescent="0.25">
      <c r="A990" s="97">
        <f t="shared" si="185"/>
        <v>45121</v>
      </c>
      <c r="B990" s="100">
        <f t="shared" ca="1" si="186"/>
        <v>149633.34</v>
      </c>
      <c r="C990" s="55">
        <f t="shared" ca="1" si="182"/>
        <v>71045.150000000023</v>
      </c>
      <c r="D990" s="55">
        <f t="shared" ca="1" si="182"/>
        <v>3587.7299999999932</v>
      </c>
      <c r="E990" s="55">
        <f t="shared" ca="1" si="187"/>
        <v>0</v>
      </c>
      <c r="F990" s="55">
        <f t="shared" ca="1" si="188"/>
        <v>193330.38540163881</v>
      </c>
      <c r="G990" s="101">
        <f t="shared" ca="1" si="189"/>
        <v>417596.60540163878</v>
      </c>
      <c r="H990" s="100">
        <f ca="1">ROUND($B990*VLOOKUP($A990,$A$1:$B$10,2,1)/(365+IF(MOD(YEAR($A990),4),0,1)*($A990-$A989)),2)-Первоначальный[[#This Row],[Проценты на просроченный платеж по ОД за период]]</f>
        <v>72.78</v>
      </c>
      <c r="I990" s="55">
        <f t="shared" ca="1" si="190"/>
        <v>8.8000000000000007</v>
      </c>
      <c r="J990" s="55">
        <v>0</v>
      </c>
      <c r="K990" s="55">
        <f t="shared" ca="1" si="193"/>
        <v>434.48350327868837</v>
      </c>
      <c r="L990" s="55">
        <v>0</v>
      </c>
      <c r="M990" s="113">
        <f>SUMIFS(График[Возврат основной суммы долга],График[Дата с учетом нерабочих дней],$A990)</f>
        <v>0</v>
      </c>
      <c r="N990" s="56">
        <f>SUMIFS(График[Возврат начисленных %],График[Дата с учетом нерабочих дней],$A990)</f>
        <v>0</v>
      </c>
      <c r="O990" s="101">
        <v>0</v>
      </c>
      <c r="P990" s="100" cm="1">
        <f t="array" aca="1" ref="P990" ca="1">MAX(IF(AA989="Да",0,SUM(INDIRECT("M"&amp;(MAX(("Да"=AA$12:AA989)*ROW(AA$12:AA989)+1,ROW($P$12))&amp;":M"&amp;(ROW()))))-SUM(INDIRECT("W"&amp;(MAX(("Да"=AA$12:AA989)*ROW(AA$12:AA989)+1,ROW($P$12))&amp;":W"&amp;(ROW()))))),0)</f>
        <v>16145.36</v>
      </c>
      <c r="Q990" s="99">
        <f ca="1">MAX(SUM($N$13:N990)-SUM($T$13:T990),0)</f>
        <v>70751.340655737673</v>
      </c>
      <c r="R990" s="99">
        <f ca="1">Первоначальный[[#This Row],[Просроченный платеж по ОД]]+Первоначальный[[#This Row],[Просроченный платеж по процентам]]</f>
        <v>86896.700655737674</v>
      </c>
      <c r="S990" s="120">
        <f ca="1">IF(Первоначальный[[#This Row],[Просроченный платеж]]&lt;1,0,S989+1)</f>
        <v>886</v>
      </c>
      <c r="T990" s="100" cm="1">
        <f t="array" aca="1" ref="T990" ca="1">IF(Первоначальный[[#This Row],[Итого остаток на начало периода]]&lt;1,0,
IF(
AND(TYPE(VLOOKUP(1,$Z$12:Z990,1,0))=16,Первоначальный[[#This Row],[Досрочное погашение (да/"")]]=""),0,
_xlfn.IFS(AND(S989=0,Первоначальный[[#This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платеж]]&lt;&gt;0),MIN(LOOKUP(,-1/($Z$12:Z990=1),$C$12:C990)+LOOKUP(,-1/($Z$12:Z990=1),$H$12:H990),Первоначальный[[#This Row],[Полученный платеж]]+Y989),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платеж]]+Y989,SUM(Первоначальный[[#This Row],[Остаток процентов на начало периода]],Первоначальный[[#This Row],[Проценты за период]])),
AND(S989=0,Первоначальный[[#This Row],[Дата платежа из графика]]=""),0,
AND(S989=0,Первоначальный[[#This Row],[Дата платежа из графика]]=1,MAX((0&lt;&gt;S$12:S989)*ROW(S$12:S989),ROW($S$12))&gt;=MAX((1=Z$12:Z989)*ROW(Z$12:Z989),ROW($T$12)),TYPE(VLOOKUP("Да",(INDIRECT("AA"&amp;(MAX((1=Z$12:Z989)*ROW(Z$12:Z989),ROW($T$12))&amp;":AA"&amp;(ROW()-1)))),1,0))=16),MIN(LOOKUP(,-1/($Z$12:Z990=1),$C$12:C990)+LOOKUP(,-1/($Z$12:Z990=1),$H$12:H990),Первоначальный[[#This Row],[Полученный платеж]]+Y989),
AND(S989=0,TYPE(VLOOKUP("Да",(INDIRECT("AA"&amp;(MAX((1=Z$12:Z989)*ROW(Z$12:Z989),ROW($T$12))&amp;":AA"&amp;(ROW()-1)))),1,0))&lt;&gt;16),MIN(LOOKUP(,-1/($Z$12:Z990=1),$C$12:C990)+LOOKUP(,-1/($Z$12:Z990=1),$H$12:H990)-IF(AA989="Да",0,SUM(INDIRECT("T"&amp;(MAX(("Да"=AA$12:AA989)*ROW(AA$12:AA989)+1,ROW($T$12))&amp;":T"&amp;(ROW()-1))))),Первоначальный[[#This Row],[Полученный платеж]]+Y989),
AND(S989=0,MAX((0&lt;&gt;N$12:N989)*ROW(N$12:N989),ROW($S$12))&gt;=MAX((1=Z$12:Z989)*ROW(Z$12:Z989),ROW($T$12))),MIN(LOOKUP(,-1/($Z$12:Z990=1),$C$12:C990)+LOOKUP(,-1/($Z$12:Z990=1),$H$12:H990)-IF(N989&lt;&gt;0,0,SUM(INDIRECT("T"&amp;(MAX((0&lt;&gt;N$12:N989)*ROW(N$12:N989)+1,ROW($T$12))&amp;":T"&amp;(ROW()-1))))),Первоначальный[[#This Row],[Полученный платеж]]+Y989),
AND(S989=0,Первоначальный[[#This Row],[Дата платежа из графика]]=1),MIN(LOOKUP(,-1/($Z$12:Z990=1),$C$12:C990)+LOOKUP(,-1/($Z$12:Z990=1),$H$12:H990)-IF(Z989=1,0,SUM(INDIRECT("T"&amp;(MAX((1=Z$12:Z989)*ROW(Z$12:Z989)+1,ROW($T$12))&amp;":T"&amp;(ROW()-1))))),Первоначальный[[#This Row],[Полученный платеж]]+Y989),
AND(Z989&gt;0,Первоначальный[[#This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платеж]]+Y989),
AND(S989&gt;0,MAX((0&lt;&gt;S$12:S989)*ROW(S$12:S989),ROW($S$12))&gt;=MAX((1=Z$12:Z989)*ROW(Z$12:Z989),ROW($T$12)),TYPE(VLOOKUP("Да",(INDIRECT("AA"&amp;(MAX((1=Z$12:Z989)*ROW(Z$12:Z989),ROW($T$12))&amp;":AA"&amp;(ROW()-1)))),1,0))=16),MIN(LOOKUP(,-1/($Z$12:Z990=1),$C$12:C990)+LOOKUP(,-1/($Z$12:Z990=1),$H$12:H990)-SUM(INDIRECT("T"&amp;(MAX((1=Z$12:Z989)*ROW(Z$12:Z989),ROW($T$12))&amp;":T"&amp;(ROW()-1)))),Первоначальный[[#This Row],[Полученный платеж]]+Y989),
S989&gt;0,MIN(LOOKUP(,-1/($Z$12:Z990=1),$C$12:C990)+LOOKUP(,-1/($Z$12:Z990=1),$H$12:H990)-IF(Z989=1,0,SUM(INDIRECT("T"&amp;(MAX((1=Z$12:Z989)*ROW(Z$12:Z989)+1,ROW($T$12))&amp;":T"&amp;(ROW()-1))))),Первоначальный[[#This Row],[Полученный платеж]]+Y989)
)
)
)</f>
        <v>0</v>
      </c>
      <c r="U99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платеж]]+Y989-Первоначальный[[#This Row],[Полученный платёж по процентам]])</f>
        <v>0</v>
      </c>
      <c r="V990" s="55">
        <f t="shared" ca="1" si="183"/>
        <v>0</v>
      </c>
      <c r="W990" s="55" cm="1">
        <f t="array" aca="1" ref="W990" ca="1">IF(Первоначальный[[#This Row],[Итого остаток на начало периода]]&lt;1,0,
_xlfn.IFS(
AND(TYPE(VLOOKUP(1,$Z$12:Z990,1,0))=16,Первоначальный[[#This Row],[Досрочное погашение (да/"")]]=""),0,
AND(S989=0,Первоначальный[[#This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платеж]]+Y989-SUM(Первоначальный[[#This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комиссиям]]),VLOOKUP(LOOKUP(,-1/($Z$12:Z990=1),$A$12:A990),График[[Срок конец]:[Возврат основной суммы долга]],3,0)),
AND(S989=0,Первоначальный[[#This Row],[Дата платежа из графика]]="",Первоначальный[[#This Row],[Досрочное погашение (да/"")]]&lt;&gt;"Да"),0,
AND(S989=0,Первоначальный[[#This Row],[Досрочное погашение (да/"")]]=""),MIN(Первоначальный[[#This Row],[Полученный платеж]]+Y989-SUM(Первоначальный[[#This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комиссиям]]),VLOOKUP(LOOKUP(,-1/($Z$12:Z990=1),$A$12:A990),График[[Срок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платеж]]+Y989-SUM(Первоначальный[[#This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S989&gt;0,MIN(Первоначальный[[#This Row],[Полученный платеж]]+Y989-SUM(Первоначальный[[#This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комиссиям]]),SUM(INDIRECT("M"&amp;(MAX((1=S$12:S989)*ROW(S$12:S989),ROW($W$12))&amp;":M"&amp;(ROW()))))-SUM(INDIRECT("W"&amp;(MAX((1=S$12:S989)*ROW(S$12:S989),ROW($W$12))&amp;":W"&amp;(ROW()-1)))))
)
)</f>
        <v>0</v>
      </c>
      <c r="X990" s="55">
        <f t="shared" ca="1" si="184"/>
        <v>0</v>
      </c>
      <c r="Y990" s="101">
        <f t="shared" ca="1" si="191"/>
        <v>0</v>
      </c>
      <c r="Z990" s="133" t="str">
        <f>IF(TYPE((VLOOKUP(Первоначальный[[#This Row],[Дата платежа]],График[Срок конец],1,0)))=16,"",1)</f>
        <v/>
      </c>
      <c r="AA990" s="57"/>
      <c r="AB990" s="134"/>
      <c r="AC99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9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71117.930000000022</v>
      </c>
      <c r="AE99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3596.5299999999934</v>
      </c>
      <c r="AF99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9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193764.8689049175</v>
      </c>
      <c r="AH990" s="55"/>
      <c r="AI990" s="55"/>
      <c r="AJ990" s="55"/>
      <c r="AK990" s="101">
        <f t="shared" ca="1" si="192"/>
        <v>418112.66890491755</v>
      </c>
      <c r="AL990" s="129">
        <f t="array" ref="AL990">MAX((УслРестрактов[Характеристика]="Дата реструктуризации")*(УслРестрактов[Значение]=Первоначальный!$A990),0)</f>
        <v>0</v>
      </c>
    </row>
    <row r="991" spans="1:38" x14ac:dyDescent="0.25">
      <c r="A991" s="97">
        <f t="shared" si="185"/>
        <v>45122</v>
      </c>
      <c r="B991" s="100">
        <f t="shared" ca="1" si="186"/>
        <v>149633.34</v>
      </c>
      <c r="C991" s="55">
        <f t="shared" ca="1" si="182"/>
        <v>71117.930000000022</v>
      </c>
      <c r="D991" s="55">
        <f t="shared" ca="1" si="182"/>
        <v>3596.5299999999934</v>
      </c>
      <c r="E991" s="55">
        <f t="shared" ca="1" si="187"/>
        <v>0</v>
      </c>
      <c r="F991" s="55">
        <f t="shared" ca="1" si="188"/>
        <v>193764.8689049175</v>
      </c>
      <c r="G991" s="101">
        <f t="shared" ca="1" si="189"/>
        <v>418112.66890491755</v>
      </c>
      <c r="H991" s="100">
        <f ca="1">ROUND($B991*VLOOKUP($A991,$A$1:$B$10,2,1)/(365+IF(MOD(YEAR($A991),4),0,1)*($A991-$A990)),2)-Первоначальный[[#This Row],[Проценты на просроченный платеж по ОД за период]]</f>
        <v>72.78</v>
      </c>
      <c r="I991" s="55">
        <f t="shared" ca="1" si="190"/>
        <v>8.8000000000000007</v>
      </c>
      <c r="J991" s="55">
        <v>0</v>
      </c>
      <c r="K991" s="55">
        <f t="shared" ca="1" si="193"/>
        <v>434.48350327868837</v>
      </c>
      <c r="L991" s="55">
        <v>0</v>
      </c>
      <c r="M991" s="113">
        <f>SUMIFS(График[Возврат основной суммы долга],График[Дата с учетом нерабочих дней],$A991)</f>
        <v>0</v>
      </c>
      <c r="N991" s="56">
        <f>SUMIFS(График[Возврат начисленных %],График[Дата с учетом нерабочих дней],$A991)</f>
        <v>0</v>
      </c>
      <c r="O991" s="101">
        <v>0</v>
      </c>
      <c r="P991" s="100" cm="1">
        <f t="array" aca="1" ref="P991" ca="1">MAX(IF(AA990="Да",0,SUM(INDIRECT("M"&amp;(MAX(("Да"=AA$12:AA990)*ROW(AA$12:AA990)+1,ROW($P$12))&amp;":M"&amp;(ROW()))))-SUM(INDIRECT("W"&amp;(MAX(("Да"=AA$12:AA990)*ROW(AA$12:AA990)+1,ROW($P$12))&amp;":W"&amp;(ROW()))))),0)</f>
        <v>16145.36</v>
      </c>
      <c r="Q991" s="99">
        <f ca="1">MAX(SUM($N$13:N991)-SUM($T$13:T991),0)</f>
        <v>70751.340655737673</v>
      </c>
      <c r="R991" s="99">
        <f ca="1">Первоначальный[[#This Row],[Просроченный платеж по ОД]]+Первоначальный[[#This Row],[Просроченный платеж по процентам]]</f>
        <v>86896.700655737674</v>
      </c>
      <c r="S991" s="120">
        <f ca="1">IF(Первоначальный[[#This Row],[Просроченный платеж]]&lt;1,0,S990+1)</f>
        <v>887</v>
      </c>
      <c r="T991" s="100" cm="1">
        <f t="array" aca="1" ref="T991" ca="1">IF(Первоначальный[[#This Row],[Итого остаток на начало периода]]&lt;1,0,
IF(
AND(TYPE(VLOOKUP(1,$Z$12:Z991,1,0))=16,Первоначальный[[#This Row],[Досрочное погашение (да/"")]]=""),0,
_xlfn.IFS(AND(S990=0,Первоначальный[[#This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платеж]]&lt;&gt;0),MIN(LOOKUP(,-1/($Z$12:Z991=1),$C$12:C991)+LOOKUP(,-1/($Z$12:Z991=1),$H$12:H991),Первоначальный[[#This Row],[Полученный платеж]]+Y990),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платеж]]+Y990,SUM(Первоначальный[[#This Row],[Остаток процентов на начало периода]],Первоначальный[[#This Row],[Проценты за период]])),
AND(S990=0,Первоначальный[[#This Row],[Дата платежа из графика]]=""),0,
AND(S990=0,Первоначальный[[#This Row],[Дата платежа из графика]]=1,MAX((0&lt;&gt;S$12:S990)*ROW(S$12:S990),ROW($S$12))&gt;=MAX((1=Z$12:Z990)*ROW(Z$12:Z990),ROW($T$12)),TYPE(VLOOKUP("Да",(INDIRECT("AA"&amp;(MAX((1=Z$12:Z990)*ROW(Z$12:Z990),ROW($T$12))&amp;":AA"&amp;(ROW()-1)))),1,0))=16),MIN(LOOKUP(,-1/($Z$12:Z991=1),$C$12:C991)+LOOKUP(,-1/($Z$12:Z991=1),$H$12:H991),Первоначальный[[#This Row],[Полученный платеж]]+Y990),
AND(S990=0,TYPE(VLOOKUP("Да",(INDIRECT("AA"&amp;(MAX((1=Z$12:Z990)*ROW(Z$12:Z990),ROW($T$12))&amp;":AA"&amp;(ROW()-1)))),1,0))&lt;&gt;16),MIN(LOOKUP(,-1/($Z$12:Z991=1),$C$12:C991)+LOOKUP(,-1/($Z$12:Z991=1),$H$12:H991)-IF(AA990="Да",0,SUM(INDIRECT("T"&amp;(MAX(("Да"=AA$12:AA990)*ROW(AA$12:AA990)+1,ROW($T$12))&amp;":T"&amp;(ROW()-1))))),Первоначальный[[#This Row],[Полученный платеж]]+Y990),
AND(S990=0,MAX((0&lt;&gt;N$12:N990)*ROW(N$12:N990),ROW($S$12))&gt;=MAX((1=Z$12:Z990)*ROW(Z$12:Z990),ROW($T$12))),MIN(LOOKUP(,-1/($Z$12:Z991=1),$C$12:C991)+LOOKUP(,-1/($Z$12:Z991=1),$H$12:H991)-IF(N990&lt;&gt;0,0,SUM(INDIRECT("T"&amp;(MAX((0&lt;&gt;N$12:N990)*ROW(N$12:N990)+1,ROW($T$12))&amp;":T"&amp;(ROW()-1))))),Первоначальный[[#This Row],[Полученный платеж]]+Y990),
AND(S990=0,Первоначальный[[#This Row],[Дата платежа из графика]]=1),MIN(LOOKUP(,-1/($Z$12:Z991=1),$C$12:C991)+LOOKUP(,-1/($Z$12:Z991=1),$H$12:H991)-IF(Z990=1,0,SUM(INDIRECT("T"&amp;(MAX((1=Z$12:Z990)*ROW(Z$12:Z990)+1,ROW($T$12))&amp;":T"&amp;(ROW()-1))))),Первоначальный[[#This Row],[Полученный платеж]]+Y990),
AND(Z990&gt;0,Первоначальный[[#This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платеж]]+Y990),
AND(S990&gt;0,MAX((0&lt;&gt;S$12:S990)*ROW(S$12:S990),ROW($S$12))&gt;=MAX((1=Z$12:Z990)*ROW(Z$12:Z990),ROW($T$12)),TYPE(VLOOKUP("Да",(INDIRECT("AA"&amp;(MAX((1=Z$12:Z990)*ROW(Z$12:Z990),ROW($T$12))&amp;":AA"&amp;(ROW()-1)))),1,0))=16),MIN(LOOKUP(,-1/($Z$12:Z991=1),$C$12:C991)+LOOKUP(,-1/($Z$12:Z991=1),$H$12:H991)-SUM(INDIRECT("T"&amp;(MAX((1=Z$12:Z990)*ROW(Z$12:Z990),ROW($T$12))&amp;":T"&amp;(ROW()-1)))),Первоначальный[[#This Row],[Полученный платеж]]+Y990),
S990&gt;0,MIN(LOOKUP(,-1/($Z$12:Z991=1),$C$12:C991)+LOOKUP(,-1/($Z$12:Z991=1),$H$12:H991)-IF(Z990=1,0,SUM(INDIRECT("T"&amp;(MAX((1=Z$12:Z990)*ROW(Z$12:Z990)+1,ROW($T$12))&amp;":T"&amp;(ROW()-1))))),Первоначальный[[#This Row],[Полученный платеж]]+Y990)
)
)
)</f>
        <v>0</v>
      </c>
      <c r="U99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платеж]]+Y990-Первоначальный[[#This Row],[Полученный платёж по процентам]])</f>
        <v>0</v>
      </c>
      <c r="V991" s="55">
        <f t="shared" ca="1" si="183"/>
        <v>0</v>
      </c>
      <c r="W991" s="55" cm="1">
        <f t="array" aca="1" ref="W991" ca="1">IF(Первоначальный[[#This Row],[Итого остаток на начало периода]]&lt;1,0,
_xlfn.IFS(
AND(TYPE(VLOOKUP(1,$Z$12:Z991,1,0))=16,Первоначальный[[#This Row],[Досрочное погашение (да/"")]]=""),0,
AND(S990=0,Первоначальный[[#This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платеж]]+Y990-SUM(Первоначальный[[#This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комиссиям]]),VLOOKUP(LOOKUP(,-1/($Z$12:Z991=1),$A$12:A991),График[[Срок конец]:[Возврат основной суммы долга]],3,0)),
AND(S990=0,Первоначальный[[#This Row],[Дата платежа из графика]]="",Первоначальный[[#This Row],[Досрочное погашение (да/"")]]&lt;&gt;"Да"),0,
AND(S990=0,Первоначальный[[#This Row],[Досрочное погашение (да/"")]]=""),MIN(Первоначальный[[#This Row],[Полученный платеж]]+Y990-SUM(Первоначальный[[#This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комиссиям]]),VLOOKUP(LOOKUP(,-1/($Z$12:Z991=1),$A$12:A991),График[[Срок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платеж]]+Y990-SUM(Первоначальный[[#This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S990&gt;0,MIN(Первоначальный[[#This Row],[Полученный платеж]]+Y990-SUM(Первоначальный[[#This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комиссиям]]),SUM(INDIRECT("M"&amp;(MAX((1=S$12:S990)*ROW(S$12:S990),ROW($W$12))&amp;":M"&amp;(ROW()))))-SUM(INDIRECT("W"&amp;(MAX((1=S$12:S990)*ROW(S$12:S990),ROW($W$12))&amp;":W"&amp;(ROW()-1)))))
)
)</f>
        <v>0</v>
      </c>
      <c r="X991" s="55">
        <f t="shared" ca="1" si="184"/>
        <v>0</v>
      </c>
      <c r="Y991" s="101">
        <f t="shared" ca="1" si="191"/>
        <v>0</v>
      </c>
      <c r="Z991" s="133" t="str">
        <f>IF(TYPE((VLOOKUP(Первоначальный[[#This Row],[Дата платежа]],График[Срок конец],1,0)))=16,"",1)</f>
        <v/>
      </c>
      <c r="AA991" s="57"/>
      <c r="AB991" s="134"/>
      <c r="AC99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9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71190.710000000021</v>
      </c>
      <c r="AE99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3605.3299999999936</v>
      </c>
      <c r="AF99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9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194199.3524081962</v>
      </c>
      <c r="AH991" s="55"/>
      <c r="AI991" s="55"/>
      <c r="AJ991" s="55"/>
      <c r="AK991" s="101">
        <f t="shared" ca="1" si="192"/>
        <v>418628.7324081962</v>
      </c>
      <c r="AL991" s="129">
        <f t="array" ref="AL991">MAX((УслРестрактов[Характеристика]="Дата реструктуризации")*(УслРестрактов[Значение]=Первоначальный!$A991),0)</f>
        <v>0</v>
      </c>
    </row>
    <row r="992" spans="1:38" x14ac:dyDescent="0.25">
      <c r="A992" s="97">
        <f t="shared" si="185"/>
        <v>45123</v>
      </c>
      <c r="B992" s="100">
        <f t="shared" ca="1" si="186"/>
        <v>149633.34</v>
      </c>
      <c r="C992" s="55">
        <f t="shared" ca="1" si="182"/>
        <v>71190.710000000021</v>
      </c>
      <c r="D992" s="55">
        <f t="shared" ca="1" si="182"/>
        <v>3605.3299999999936</v>
      </c>
      <c r="E992" s="55">
        <f t="shared" ca="1" si="187"/>
        <v>0</v>
      </c>
      <c r="F992" s="55">
        <f t="shared" ca="1" si="188"/>
        <v>194199.3524081962</v>
      </c>
      <c r="G992" s="101">
        <f t="shared" ca="1" si="189"/>
        <v>418628.7324081962</v>
      </c>
      <c r="H992" s="100">
        <f ca="1">ROUND($B992*VLOOKUP($A992,$A$1:$B$10,2,1)/(365+IF(MOD(YEAR($A992),4),0,1)*($A992-$A991)),2)-Первоначальный[[#This Row],[Проценты на просроченный платеж по ОД за период]]</f>
        <v>72.78</v>
      </c>
      <c r="I992" s="55">
        <f t="shared" ca="1" si="190"/>
        <v>8.8000000000000007</v>
      </c>
      <c r="J992" s="55">
        <v>0</v>
      </c>
      <c r="K992" s="55">
        <f t="shared" ca="1" si="193"/>
        <v>434.48350327868837</v>
      </c>
      <c r="L992" s="55">
        <v>0</v>
      </c>
      <c r="M992" s="113">
        <f>SUMIFS(График[Возврат основной суммы долга],График[Дата с учетом нерабочих дней],$A992)</f>
        <v>0</v>
      </c>
      <c r="N992" s="56">
        <f>SUMIFS(График[Возврат начисленных %],График[Дата с учетом нерабочих дней],$A992)</f>
        <v>0</v>
      </c>
      <c r="O992" s="101">
        <v>0</v>
      </c>
      <c r="P992" s="100" cm="1">
        <f t="array" aca="1" ref="P992" ca="1">MAX(IF(AA991="Да",0,SUM(INDIRECT("M"&amp;(MAX(("Да"=AA$12:AA991)*ROW(AA$12:AA991)+1,ROW($P$12))&amp;":M"&amp;(ROW()))))-SUM(INDIRECT("W"&amp;(MAX(("Да"=AA$12:AA991)*ROW(AA$12:AA991)+1,ROW($P$12))&amp;":W"&amp;(ROW()))))),0)</f>
        <v>16145.36</v>
      </c>
      <c r="Q992" s="99">
        <f ca="1">MAX(SUM($N$13:N992)-SUM($T$13:T992),0)</f>
        <v>70751.340655737673</v>
      </c>
      <c r="R992" s="99">
        <f ca="1">Первоначальный[[#This Row],[Просроченный платеж по ОД]]+Первоначальный[[#This Row],[Просроченный платеж по процентам]]</f>
        <v>86896.700655737674</v>
      </c>
      <c r="S992" s="120">
        <f ca="1">IF(Первоначальный[[#This Row],[Просроченный платеж]]&lt;1,0,S991+1)</f>
        <v>888</v>
      </c>
      <c r="T992" s="100" cm="1">
        <f t="array" aca="1" ref="T992" ca="1">IF(Первоначальный[[#This Row],[Итого остаток на начало периода]]&lt;1,0,
IF(
AND(TYPE(VLOOKUP(1,$Z$12:Z992,1,0))=16,Первоначальный[[#This Row],[Досрочное погашение (да/"")]]=""),0,
_xlfn.IFS(AND(S991=0,Первоначальный[[#This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платеж]]&lt;&gt;0),MIN(LOOKUP(,-1/($Z$12:Z992=1),$C$12:C992)+LOOKUP(,-1/($Z$12:Z992=1),$H$12:H992),Первоначальный[[#This Row],[Полученный платеж]]+Y991),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платеж]]+Y991,SUM(Первоначальный[[#This Row],[Остаток процентов на начало периода]],Первоначальный[[#This Row],[Проценты за период]])),
AND(S991=0,Первоначальный[[#This Row],[Дата платежа из графика]]=""),0,
AND(S991=0,Первоначальный[[#This Row],[Дата платежа из графика]]=1,MAX((0&lt;&gt;S$12:S991)*ROW(S$12:S991),ROW($S$12))&gt;=MAX((1=Z$12:Z991)*ROW(Z$12:Z991),ROW($T$12)),TYPE(VLOOKUP("Да",(INDIRECT("AA"&amp;(MAX((1=Z$12:Z991)*ROW(Z$12:Z991),ROW($T$12))&amp;":AA"&amp;(ROW()-1)))),1,0))=16),MIN(LOOKUP(,-1/($Z$12:Z992=1),$C$12:C992)+LOOKUP(,-1/($Z$12:Z992=1),$H$12:H992),Первоначальный[[#This Row],[Полученный платеж]]+Y991),
AND(S991=0,TYPE(VLOOKUP("Да",(INDIRECT("AA"&amp;(MAX((1=Z$12:Z991)*ROW(Z$12:Z991),ROW($T$12))&amp;":AA"&amp;(ROW()-1)))),1,0))&lt;&gt;16),MIN(LOOKUP(,-1/($Z$12:Z992=1),$C$12:C992)+LOOKUP(,-1/($Z$12:Z992=1),$H$12:H992)-IF(AA991="Да",0,SUM(INDIRECT("T"&amp;(MAX(("Да"=AA$12:AA991)*ROW(AA$12:AA991)+1,ROW($T$12))&amp;":T"&amp;(ROW()-1))))),Первоначальный[[#This Row],[Полученный платеж]]+Y991),
AND(S991=0,MAX((0&lt;&gt;N$12:N991)*ROW(N$12:N991),ROW($S$12))&gt;=MAX((1=Z$12:Z991)*ROW(Z$12:Z991),ROW($T$12))),MIN(LOOKUP(,-1/($Z$12:Z992=1),$C$12:C992)+LOOKUP(,-1/($Z$12:Z992=1),$H$12:H992)-IF(N991&lt;&gt;0,0,SUM(INDIRECT("T"&amp;(MAX((0&lt;&gt;N$12:N991)*ROW(N$12:N991)+1,ROW($T$12))&amp;":T"&amp;(ROW()-1))))),Первоначальный[[#This Row],[Полученный платеж]]+Y991),
AND(S991=0,Первоначальный[[#This Row],[Дата платежа из графика]]=1),MIN(LOOKUP(,-1/($Z$12:Z992=1),$C$12:C992)+LOOKUP(,-1/($Z$12:Z992=1),$H$12:H992)-IF(Z991=1,0,SUM(INDIRECT("T"&amp;(MAX((1=Z$12:Z991)*ROW(Z$12:Z991)+1,ROW($T$12))&amp;":T"&amp;(ROW()-1))))),Первоначальный[[#This Row],[Полученный платеж]]+Y991),
AND(Z991&gt;0,Первоначальный[[#This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платеж]]+Y991),
AND(S991&gt;0,MAX((0&lt;&gt;S$12:S991)*ROW(S$12:S991),ROW($S$12))&gt;=MAX((1=Z$12:Z991)*ROW(Z$12:Z991),ROW($T$12)),TYPE(VLOOKUP("Да",(INDIRECT("AA"&amp;(MAX((1=Z$12:Z991)*ROW(Z$12:Z991),ROW($T$12))&amp;":AA"&amp;(ROW()-1)))),1,0))=16),MIN(LOOKUP(,-1/($Z$12:Z992=1),$C$12:C992)+LOOKUP(,-1/($Z$12:Z992=1),$H$12:H992)-SUM(INDIRECT("T"&amp;(MAX((1=Z$12:Z991)*ROW(Z$12:Z991),ROW($T$12))&amp;":T"&amp;(ROW()-1)))),Первоначальный[[#This Row],[Полученный платеж]]+Y991),
S991&gt;0,MIN(LOOKUP(,-1/($Z$12:Z992=1),$C$12:C992)+LOOKUP(,-1/($Z$12:Z992=1),$H$12:H992)-IF(Z991=1,0,SUM(INDIRECT("T"&amp;(MAX((1=Z$12:Z991)*ROW(Z$12:Z991)+1,ROW($T$12))&amp;":T"&amp;(ROW()-1))))),Первоначальный[[#This Row],[Полученный платеж]]+Y991)
)
)
)</f>
        <v>0</v>
      </c>
      <c r="U99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платеж]]+Y991-Первоначальный[[#This Row],[Полученный платёж по процентам]])</f>
        <v>0</v>
      </c>
      <c r="V992" s="55">
        <f t="shared" ca="1" si="183"/>
        <v>0</v>
      </c>
      <c r="W992" s="55" cm="1">
        <f t="array" aca="1" ref="W992" ca="1">IF(Первоначальный[[#This Row],[Итого остаток на начало периода]]&lt;1,0,
_xlfn.IFS(
AND(TYPE(VLOOKUP(1,$Z$12:Z992,1,0))=16,Первоначальный[[#This Row],[Досрочное погашение (да/"")]]=""),0,
AND(S991=0,Первоначальный[[#This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платеж]]+Y991-SUM(Первоначальный[[#This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комиссиям]]),VLOOKUP(LOOKUP(,-1/($Z$12:Z992=1),$A$12:A992),График[[Срок конец]:[Возврат основной суммы долга]],3,0)),
AND(S991=0,Первоначальный[[#This Row],[Дата платежа из графика]]="",Первоначальный[[#This Row],[Досрочное погашение (да/"")]]&lt;&gt;"Да"),0,
AND(S991=0,Первоначальный[[#This Row],[Досрочное погашение (да/"")]]=""),MIN(Первоначальный[[#This Row],[Полученный платеж]]+Y991-SUM(Первоначальный[[#This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комиссиям]]),VLOOKUP(LOOKUP(,-1/($Z$12:Z992=1),$A$12:A992),График[[Срок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платеж]]+Y991-SUM(Первоначальный[[#This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S991&gt;0,MIN(Первоначальный[[#This Row],[Полученный платеж]]+Y991-SUM(Первоначальный[[#This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комиссиям]]),SUM(INDIRECT("M"&amp;(MAX((1=S$12:S991)*ROW(S$12:S991),ROW($W$12))&amp;":M"&amp;(ROW()))))-SUM(INDIRECT("W"&amp;(MAX((1=S$12:S991)*ROW(S$12:S991),ROW($W$12))&amp;":W"&amp;(ROW()-1)))))
)
)</f>
        <v>0</v>
      </c>
      <c r="X992" s="55">
        <f t="shared" ca="1" si="184"/>
        <v>0</v>
      </c>
      <c r="Y992" s="101">
        <f t="shared" ca="1" si="191"/>
        <v>0</v>
      </c>
      <c r="Z992" s="133" t="str">
        <f>IF(TYPE((VLOOKUP(Первоначальный[[#This Row],[Дата платежа]],График[Срок конец],1,0)))=16,"",1)</f>
        <v/>
      </c>
      <c r="AA992" s="57"/>
      <c r="AB992" s="134"/>
      <c r="AC99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9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71263.49000000002</v>
      </c>
      <c r="AE99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3614.1299999999937</v>
      </c>
      <c r="AF99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9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194633.83591147489</v>
      </c>
      <c r="AH992" s="55"/>
      <c r="AI992" s="55"/>
      <c r="AJ992" s="55"/>
      <c r="AK992" s="101">
        <f t="shared" ca="1" si="192"/>
        <v>419144.79591147491</v>
      </c>
      <c r="AL992" s="129">
        <f t="array" ref="AL992">MAX((УслРестрактов[Характеристика]="Дата реструктуризации")*(УслРестрактов[Значение]=Первоначальный!$A992),0)</f>
        <v>0</v>
      </c>
    </row>
    <row r="993" spans="1:38" x14ac:dyDescent="0.25">
      <c r="A993" s="97">
        <f t="shared" si="185"/>
        <v>45124</v>
      </c>
      <c r="B993" s="100">
        <f t="shared" ca="1" si="186"/>
        <v>149633.34</v>
      </c>
      <c r="C993" s="55">
        <f t="shared" ca="1" si="182"/>
        <v>71263.49000000002</v>
      </c>
      <c r="D993" s="55">
        <f t="shared" ca="1" si="182"/>
        <v>3614.1299999999937</v>
      </c>
      <c r="E993" s="55">
        <f t="shared" ca="1" si="187"/>
        <v>0</v>
      </c>
      <c r="F993" s="55">
        <f t="shared" ca="1" si="188"/>
        <v>194633.83591147489</v>
      </c>
      <c r="G993" s="101">
        <f t="shared" ca="1" si="189"/>
        <v>419144.79591147491</v>
      </c>
      <c r="H993" s="100">
        <f ca="1">ROUND($B993*VLOOKUP($A993,$A$1:$B$10,2,1)/(365+IF(MOD(YEAR($A993),4),0,1)*($A993-$A992)),2)-Первоначальный[[#This Row],[Проценты на просроченный платеж по ОД за период]]</f>
        <v>72.78</v>
      </c>
      <c r="I993" s="55">
        <f t="shared" ca="1" si="190"/>
        <v>8.8000000000000007</v>
      </c>
      <c r="J993" s="55">
        <v>0</v>
      </c>
      <c r="K993" s="55">
        <f t="shared" ca="1" si="193"/>
        <v>434.48350327868837</v>
      </c>
      <c r="L993" s="55">
        <v>0</v>
      </c>
      <c r="M993" s="113">
        <f>SUMIFS(График[Возврат основной суммы долга],График[Дата с учетом нерабочих дней],$A993)</f>
        <v>0</v>
      </c>
      <c r="N993" s="56">
        <f>SUMIFS(График[Возврат начисленных %],График[Дата с учетом нерабочих дней],$A993)</f>
        <v>0</v>
      </c>
      <c r="O993" s="101">
        <v>0</v>
      </c>
      <c r="P993" s="100" cm="1">
        <f t="array" aca="1" ref="P993" ca="1">MAX(IF(AA992="Да",0,SUM(INDIRECT("M"&amp;(MAX(("Да"=AA$12:AA992)*ROW(AA$12:AA992)+1,ROW($P$12))&amp;":M"&amp;(ROW()))))-SUM(INDIRECT("W"&amp;(MAX(("Да"=AA$12:AA992)*ROW(AA$12:AA992)+1,ROW($P$12))&amp;":W"&amp;(ROW()))))),0)</f>
        <v>16145.36</v>
      </c>
      <c r="Q993" s="99">
        <f ca="1">MAX(SUM($N$13:N993)-SUM($T$13:T993),0)</f>
        <v>70751.340655737673</v>
      </c>
      <c r="R993" s="99">
        <f ca="1">Первоначальный[[#This Row],[Просроченный платеж по ОД]]+Первоначальный[[#This Row],[Просроченный платеж по процентам]]</f>
        <v>86896.700655737674</v>
      </c>
      <c r="S993" s="120">
        <f ca="1">IF(Первоначальный[[#This Row],[Просроченный платеж]]&lt;1,0,S992+1)</f>
        <v>889</v>
      </c>
      <c r="T993" s="100" cm="1">
        <f t="array" aca="1" ref="T993" ca="1">IF(Первоначальный[[#This Row],[Итого остаток на начало периода]]&lt;1,0,
IF(
AND(TYPE(VLOOKUP(1,$Z$12:Z993,1,0))=16,Первоначальный[[#This Row],[Досрочное погашение (да/"")]]=""),0,
_xlfn.IFS(AND(S992=0,Первоначальный[[#This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платеж]]&lt;&gt;0),MIN(LOOKUP(,-1/($Z$12:Z993=1),$C$12:C993)+LOOKUP(,-1/($Z$12:Z993=1),$H$12:H993),Первоначальный[[#This Row],[Полученный платеж]]+Y992),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платеж]]+Y992,SUM(Первоначальный[[#This Row],[Остаток процентов на начало периода]],Первоначальный[[#This Row],[Проценты за период]])),
AND(S992=0,Первоначальный[[#This Row],[Дата платежа из графика]]=""),0,
AND(S992=0,Первоначальный[[#This Row],[Дата платежа из графика]]=1,MAX((0&lt;&gt;S$12:S992)*ROW(S$12:S992),ROW($S$12))&gt;=MAX((1=Z$12:Z992)*ROW(Z$12:Z992),ROW($T$12)),TYPE(VLOOKUP("Да",(INDIRECT("AA"&amp;(MAX((1=Z$12:Z992)*ROW(Z$12:Z992),ROW($T$12))&amp;":AA"&amp;(ROW()-1)))),1,0))=16),MIN(LOOKUP(,-1/($Z$12:Z993=1),$C$12:C993)+LOOKUP(,-1/($Z$12:Z993=1),$H$12:H993),Первоначальный[[#This Row],[Полученный платеж]]+Y992),
AND(S992=0,TYPE(VLOOKUP("Да",(INDIRECT("AA"&amp;(MAX((1=Z$12:Z992)*ROW(Z$12:Z992),ROW($T$12))&amp;":AA"&amp;(ROW()-1)))),1,0))&lt;&gt;16),MIN(LOOKUP(,-1/($Z$12:Z993=1),$C$12:C993)+LOOKUP(,-1/($Z$12:Z993=1),$H$12:H993)-IF(AA992="Да",0,SUM(INDIRECT("T"&amp;(MAX(("Да"=AA$12:AA992)*ROW(AA$12:AA992)+1,ROW($T$12))&amp;":T"&amp;(ROW()-1))))),Первоначальный[[#This Row],[Полученный платеж]]+Y992),
AND(S992=0,MAX((0&lt;&gt;N$12:N992)*ROW(N$12:N992),ROW($S$12))&gt;=MAX((1=Z$12:Z992)*ROW(Z$12:Z992),ROW($T$12))),MIN(LOOKUP(,-1/($Z$12:Z993=1),$C$12:C993)+LOOKUP(,-1/($Z$12:Z993=1),$H$12:H993)-IF(N992&lt;&gt;0,0,SUM(INDIRECT("T"&amp;(MAX((0&lt;&gt;N$12:N992)*ROW(N$12:N992)+1,ROW($T$12))&amp;":T"&amp;(ROW()-1))))),Первоначальный[[#This Row],[Полученный платеж]]+Y992),
AND(S992=0,Первоначальный[[#This Row],[Дата платежа из графика]]=1),MIN(LOOKUP(,-1/($Z$12:Z993=1),$C$12:C993)+LOOKUP(,-1/($Z$12:Z993=1),$H$12:H993)-IF(Z992=1,0,SUM(INDIRECT("T"&amp;(MAX((1=Z$12:Z992)*ROW(Z$12:Z992)+1,ROW($T$12))&amp;":T"&amp;(ROW()-1))))),Первоначальный[[#This Row],[Полученный платеж]]+Y992),
AND(Z992&gt;0,Первоначальный[[#This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платеж]]+Y992),
AND(S992&gt;0,MAX((0&lt;&gt;S$12:S992)*ROW(S$12:S992),ROW($S$12))&gt;=MAX((1=Z$12:Z992)*ROW(Z$12:Z992),ROW($T$12)),TYPE(VLOOKUP("Да",(INDIRECT("AA"&amp;(MAX((1=Z$12:Z992)*ROW(Z$12:Z992),ROW($T$12))&amp;":AA"&amp;(ROW()-1)))),1,0))=16),MIN(LOOKUP(,-1/($Z$12:Z993=1),$C$12:C993)+LOOKUP(,-1/($Z$12:Z993=1),$H$12:H993)-SUM(INDIRECT("T"&amp;(MAX((1=Z$12:Z992)*ROW(Z$12:Z992),ROW($T$12))&amp;":T"&amp;(ROW()-1)))),Первоначальный[[#This Row],[Полученный платеж]]+Y992),
S992&gt;0,MIN(LOOKUP(,-1/($Z$12:Z993=1),$C$12:C993)+LOOKUP(,-1/($Z$12:Z993=1),$H$12:H993)-IF(Z992=1,0,SUM(INDIRECT("T"&amp;(MAX((1=Z$12:Z992)*ROW(Z$12:Z992)+1,ROW($T$12))&amp;":T"&amp;(ROW()-1))))),Первоначальный[[#This Row],[Полученный платеж]]+Y992)
)
)
)</f>
        <v>0</v>
      </c>
      <c r="U99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платеж]]+Y992-Первоначальный[[#This Row],[Полученный платёж по процентам]])</f>
        <v>0</v>
      </c>
      <c r="V993" s="55">
        <f t="shared" ca="1" si="183"/>
        <v>0</v>
      </c>
      <c r="W993" s="55" cm="1">
        <f t="array" aca="1" ref="W993" ca="1">IF(Первоначальный[[#This Row],[Итого остаток на начало периода]]&lt;1,0,
_xlfn.IFS(
AND(TYPE(VLOOKUP(1,$Z$12:Z993,1,0))=16,Первоначальный[[#This Row],[Досрочное погашение (да/"")]]=""),0,
AND(S992=0,Первоначальный[[#This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платеж]]+Y992-SUM(Первоначальный[[#This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комиссиям]]),VLOOKUP(LOOKUP(,-1/($Z$12:Z993=1),$A$12:A993),График[[Срок конец]:[Возврат основной суммы долга]],3,0)),
AND(S992=0,Первоначальный[[#This Row],[Дата платежа из графика]]="",Первоначальный[[#This Row],[Досрочное погашение (да/"")]]&lt;&gt;"Да"),0,
AND(S992=0,Первоначальный[[#This Row],[Досрочное погашение (да/"")]]=""),MIN(Первоначальный[[#This Row],[Полученный платеж]]+Y992-SUM(Первоначальный[[#This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комиссиям]]),VLOOKUP(LOOKUP(,-1/($Z$12:Z993=1),$A$12:A993),График[[Срок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платеж]]+Y992-SUM(Первоначальный[[#This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S992&gt;0,MIN(Первоначальный[[#This Row],[Полученный платеж]]+Y992-SUM(Первоначальный[[#This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комиссиям]]),SUM(INDIRECT("M"&amp;(MAX((1=S$12:S992)*ROW(S$12:S992),ROW($W$12))&amp;":M"&amp;(ROW()))))-SUM(INDIRECT("W"&amp;(MAX((1=S$12:S992)*ROW(S$12:S992),ROW($W$12))&amp;":W"&amp;(ROW()-1)))))
)
)</f>
        <v>0</v>
      </c>
      <c r="X993" s="55">
        <f t="shared" ca="1" si="184"/>
        <v>0</v>
      </c>
      <c r="Y993" s="101">
        <f t="shared" ca="1" si="191"/>
        <v>0</v>
      </c>
      <c r="Z993" s="133" t="str">
        <f>IF(TYPE((VLOOKUP(Первоначальный[[#This Row],[Дата платежа]],График[Срок конец],1,0)))=16,"",1)</f>
        <v/>
      </c>
      <c r="AA993" s="57"/>
      <c r="AB993" s="134"/>
      <c r="AC99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9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71336.270000000019</v>
      </c>
      <c r="AE99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3622.9299999999939</v>
      </c>
      <c r="AF99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9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195068.31941475358</v>
      </c>
      <c r="AH993" s="55"/>
      <c r="AI993" s="55"/>
      <c r="AJ993" s="55"/>
      <c r="AK993" s="101">
        <f t="shared" ca="1" si="192"/>
        <v>419660.85941475362</v>
      </c>
      <c r="AL993" s="129">
        <f t="array" ref="AL993">MAX((УслРестрактов[Характеристика]="Дата реструктуризации")*(УслРестрактов[Значение]=Первоначальный!$A993),0)</f>
        <v>0</v>
      </c>
    </row>
    <row r="994" spans="1:38" x14ac:dyDescent="0.25">
      <c r="A994" s="97">
        <f t="shared" si="185"/>
        <v>45125</v>
      </c>
      <c r="B994" s="100">
        <f t="shared" ca="1" si="186"/>
        <v>149633.34</v>
      </c>
      <c r="C994" s="55">
        <f t="shared" ca="1" si="182"/>
        <v>71336.270000000019</v>
      </c>
      <c r="D994" s="55">
        <f t="shared" ca="1" si="182"/>
        <v>3622.9299999999939</v>
      </c>
      <c r="E994" s="55">
        <f t="shared" ca="1" si="187"/>
        <v>0</v>
      </c>
      <c r="F994" s="55">
        <f t="shared" ca="1" si="188"/>
        <v>195068.31941475358</v>
      </c>
      <c r="G994" s="101">
        <f t="shared" ca="1" si="189"/>
        <v>419660.85941475362</v>
      </c>
      <c r="H994" s="100">
        <f ca="1">ROUND($B994*VLOOKUP($A994,$A$1:$B$10,2,1)/(365+IF(MOD(YEAR($A994),4),0,1)*($A994-$A993)),2)-Первоначальный[[#This Row],[Проценты на просроченный платеж по ОД за период]]</f>
        <v>72.78</v>
      </c>
      <c r="I994" s="55">
        <f t="shared" ca="1" si="190"/>
        <v>8.8000000000000007</v>
      </c>
      <c r="J994" s="55">
        <v>0</v>
      </c>
      <c r="K994" s="55">
        <f t="shared" ca="1" si="193"/>
        <v>434.48350327868837</v>
      </c>
      <c r="L994" s="55">
        <v>0</v>
      </c>
      <c r="M994" s="113">
        <f>SUMIFS(График[Возврат основной суммы долга],График[Дата с учетом нерабочих дней],$A994)</f>
        <v>0</v>
      </c>
      <c r="N994" s="56">
        <f>SUMIFS(График[Возврат начисленных %],График[Дата с учетом нерабочих дней],$A994)</f>
        <v>0</v>
      </c>
      <c r="O994" s="101">
        <v>0</v>
      </c>
      <c r="P994" s="100" cm="1">
        <f t="array" aca="1" ref="P994" ca="1">MAX(IF(AA993="Да",0,SUM(INDIRECT("M"&amp;(MAX(("Да"=AA$12:AA993)*ROW(AA$12:AA993)+1,ROW($P$12))&amp;":M"&amp;(ROW()))))-SUM(INDIRECT("W"&amp;(MAX(("Да"=AA$12:AA993)*ROW(AA$12:AA993)+1,ROW($P$12))&amp;":W"&amp;(ROW()))))),0)</f>
        <v>16145.36</v>
      </c>
      <c r="Q994" s="99">
        <f ca="1">MAX(SUM($N$13:N994)-SUM($T$13:T994),0)</f>
        <v>70751.340655737673</v>
      </c>
      <c r="R994" s="99">
        <f ca="1">Первоначальный[[#This Row],[Просроченный платеж по ОД]]+Первоначальный[[#This Row],[Просроченный платеж по процентам]]</f>
        <v>86896.700655737674</v>
      </c>
      <c r="S994" s="120">
        <f ca="1">IF(Первоначальный[[#This Row],[Просроченный платеж]]&lt;1,0,S993+1)</f>
        <v>890</v>
      </c>
      <c r="T994" s="100" cm="1">
        <f t="array" aca="1" ref="T994" ca="1">IF(Первоначальный[[#This Row],[Итого остаток на начало периода]]&lt;1,0,
IF(
AND(TYPE(VLOOKUP(1,$Z$12:Z994,1,0))=16,Первоначальный[[#This Row],[Досрочное погашение (да/"")]]=""),0,
_xlfn.IFS(AND(S993=0,Первоначальный[[#This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платеж]]&lt;&gt;0),MIN(LOOKUP(,-1/($Z$12:Z994=1),$C$12:C994)+LOOKUP(,-1/($Z$12:Z994=1),$H$12:H994),Первоначальный[[#This Row],[Полученный платеж]]+Y993),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платеж]]+Y993,SUM(Первоначальный[[#This Row],[Остаток процентов на начало периода]],Первоначальный[[#This Row],[Проценты за период]])),
AND(S993=0,Первоначальный[[#This Row],[Дата платежа из графика]]=""),0,
AND(S993=0,Первоначальный[[#This Row],[Дата платежа из графика]]=1,MAX((0&lt;&gt;S$12:S993)*ROW(S$12:S993),ROW($S$12))&gt;=MAX((1=Z$12:Z993)*ROW(Z$12:Z993),ROW($T$12)),TYPE(VLOOKUP("Да",(INDIRECT("AA"&amp;(MAX((1=Z$12:Z993)*ROW(Z$12:Z993),ROW($T$12))&amp;":AA"&amp;(ROW()-1)))),1,0))=16),MIN(LOOKUP(,-1/($Z$12:Z994=1),$C$12:C994)+LOOKUP(,-1/($Z$12:Z994=1),$H$12:H994),Первоначальный[[#This Row],[Полученный платеж]]+Y993),
AND(S993=0,TYPE(VLOOKUP("Да",(INDIRECT("AA"&amp;(MAX((1=Z$12:Z993)*ROW(Z$12:Z993),ROW($T$12))&amp;":AA"&amp;(ROW()-1)))),1,0))&lt;&gt;16),MIN(LOOKUP(,-1/($Z$12:Z994=1),$C$12:C994)+LOOKUP(,-1/($Z$12:Z994=1),$H$12:H994)-IF(AA993="Да",0,SUM(INDIRECT("T"&amp;(MAX(("Да"=AA$12:AA993)*ROW(AA$12:AA993)+1,ROW($T$12))&amp;":T"&amp;(ROW()-1))))),Первоначальный[[#This Row],[Полученный платеж]]+Y993),
AND(S993=0,MAX((0&lt;&gt;N$12:N993)*ROW(N$12:N993),ROW($S$12))&gt;=MAX((1=Z$12:Z993)*ROW(Z$12:Z993),ROW($T$12))),MIN(LOOKUP(,-1/($Z$12:Z994=1),$C$12:C994)+LOOKUP(,-1/($Z$12:Z994=1),$H$12:H994)-IF(N993&lt;&gt;0,0,SUM(INDIRECT("T"&amp;(MAX((0&lt;&gt;N$12:N993)*ROW(N$12:N993)+1,ROW($T$12))&amp;":T"&amp;(ROW()-1))))),Первоначальный[[#This Row],[Полученный платеж]]+Y993),
AND(S993=0,Первоначальный[[#This Row],[Дата платежа из графика]]=1),MIN(LOOKUP(,-1/($Z$12:Z994=1),$C$12:C994)+LOOKUP(,-1/($Z$12:Z994=1),$H$12:H994)-IF(Z993=1,0,SUM(INDIRECT("T"&amp;(MAX((1=Z$12:Z993)*ROW(Z$12:Z993)+1,ROW($T$12))&amp;":T"&amp;(ROW()-1))))),Первоначальный[[#This Row],[Полученный платеж]]+Y993),
AND(Z993&gt;0,Первоначальный[[#This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платеж]]+Y993),
AND(S993&gt;0,MAX((0&lt;&gt;S$12:S993)*ROW(S$12:S993),ROW($S$12))&gt;=MAX((1=Z$12:Z993)*ROW(Z$12:Z993),ROW($T$12)),TYPE(VLOOKUP("Да",(INDIRECT("AA"&amp;(MAX((1=Z$12:Z993)*ROW(Z$12:Z993),ROW($T$12))&amp;":AA"&amp;(ROW()-1)))),1,0))=16),MIN(LOOKUP(,-1/($Z$12:Z994=1),$C$12:C994)+LOOKUP(,-1/($Z$12:Z994=1),$H$12:H994)-SUM(INDIRECT("T"&amp;(MAX((1=Z$12:Z993)*ROW(Z$12:Z993),ROW($T$12))&amp;":T"&amp;(ROW()-1)))),Первоначальный[[#This Row],[Полученный платеж]]+Y993),
S993&gt;0,MIN(LOOKUP(,-1/($Z$12:Z994=1),$C$12:C994)+LOOKUP(,-1/($Z$12:Z994=1),$H$12:H994)-IF(Z993=1,0,SUM(INDIRECT("T"&amp;(MAX((1=Z$12:Z993)*ROW(Z$12:Z993)+1,ROW($T$12))&amp;":T"&amp;(ROW()-1))))),Первоначальный[[#This Row],[Полученный платеж]]+Y993)
)
)
)</f>
        <v>0</v>
      </c>
      <c r="U99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платеж]]+Y993-Первоначальный[[#This Row],[Полученный платёж по процентам]])</f>
        <v>0</v>
      </c>
      <c r="V994" s="55">
        <f t="shared" ca="1" si="183"/>
        <v>0</v>
      </c>
      <c r="W994" s="55" cm="1">
        <f t="array" aca="1" ref="W994" ca="1">IF(Первоначальный[[#This Row],[Итого остаток на начало периода]]&lt;1,0,
_xlfn.IFS(
AND(TYPE(VLOOKUP(1,$Z$12:Z994,1,0))=16,Первоначальный[[#This Row],[Досрочное погашение (да/"")]]=""),0,
AND(S993=0,Первоначальный[[#This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платеж]]+Y993-SUM(Первоначальный[[#This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комиссиям]]),VLOOKUP(LOOKUP(,-1/($Z$12:Z994=1),$A$12:A994),График[[Срок конец]:[Возврат основной суммы долга]],3,0)),
AND(S993=0,Первоначальный[[#This Row],[Дата платежа из графика]]="",Первоначальный[[#This Row],[Досрочное погашение (да/"")]]&lt;&gt;"Да"),0,
AND(S993=0,Первоначальный[[#This Row],[Досрочное погашение (да/"")]]=""),MIN(Первоначальный[[#This Row],[Полученный платеж]]+Y993-SUM(Первоначальный[[#This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комиссиям]]),VLOOKUP(LOOKUP(,-1/($Z$12:Z994=1),$A$12:A994),График[[Срок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платеж]]+Y993-SUM(Первоначальный[[#This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S993&gt;0,MIN(Первоначальный[[#This Row],[Полученный платеж]]+Y993-SUM(Первоначальный[[#This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комиссиям]]),SUM(INDIRECT("M"&amp;(MAX((1=S$12:S993)*ROW(S$12:S993),ROW($W$12))&amp;":M"&amp;(ROW()))))-SUM(INDIRECT("W"&amp;(MAX((1=S$12:S993)*ROW(S$12:S993),ROW($W$12))&amp;":W"&amp;(ROW()-1)))))
)
)</f>
        <v>0</v>
      </c>
      <c r="X994" s="55">
        <f t="shared" ca="1" si="184"/>
        <v>0</v>
      </c>
      <c r="Y994" s="101">
        <f t="shared" ca="1" si="191"/>
        <v>0</v>
      </c>
      <c r="Z994" s="133" t="str">
        <f>IF(TYPE((VLOOKUP(Первоначальный[[#This Row],[Дата платежа]],График[Срок конец],1,0)))=16,"",1)</f>
        <v/>
      </c>
      <c r="AA994" s="57"/>
      <c r="AB994" s="134"/>
      <c r="AC99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9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71409.050000000017</v>
      </c>
      <c r="AE99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3631.7299999999941</v>
      </c>
      <c r="AF99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9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195502.80291803228</v>
      </c>
      <c r="AH994" s="55"/>
      <c r="AI994" s="55"/>
      <c r="AJ994" s="55"/>
      <c r="AK994" s="101">
        <f t="shared" ca="1" si="192"/>
        <v>420176.92291803227</v>
      </c>
      <c r="AL994" s="129">
        <f t="array" ref="AL994">MAX((УслРестрактов[Характеристика]="Дата реструктуризации")*(УслРестрактов[Значение]=Первоначальный!$A994),0)</f>
        <v>0</v>
      </c>
    </row>
    <row r="995" spans="1:38" x14ac:dyDescent="0.25">
      <c r="A995" s="97">
        <f t="shared" si="185"/>
        <v>45126</v>
      </c>
      <c r="B995" s="100">
        <f t="shared" ca="1" si="186"/>
        <v>149633.34</v>
      </c>
      <c r="C995" s="55">
        <f t="shared" ca="1" si="182"/>
        <v>71409.050000000017</v>
      </c>
      <c r="D995" s="55">
        <f t="shared" ca="1" si="182"/>
        <v>3631.7299999999941</v>
      </c>
      <c r="E995" s="55">
        <f t="shared" ca="1" si="187"/>
        <v>0</v>
      </c>
      <c r="F995" s="55">
        <f t="shared" ca="1" si="188"/>
        <v>195502.80291803228</v>
      </c>
      <c r="G995" s="101">
        <f t="shared" ca="1" si="189"/>
        <v>420176.92291803227</v>
      </c>
      <c r="H995" s="100">
        <f ca="1">ROUND($B995*VLOOKUP($A995,$A$1:$B$10,2,1)/(365+IF(MOD(YEAR($A995),4),0,1)*($A995-$A994)),2)-Первоначальный[[#This Row],[Проценты на просроченный платеж по ОД за период]]</f>
        <v>72.78</v>
      </c>
      <c r="I995" s="55">
        <f t="shared" ca="1" si="190"/>
        <v>8.8000000000000007</v>
      </c>
      <c r="J995" s="55">
        <v>0</v>
      </c>
      <c r="K995" s="55">
        <f t="shared" ca="1" si="193"/>
        <v>434.48350327868837</v>
      </c>
      <c r="L995" s="55">
        <v>0</v>
      </c>
      <c r="M995" s="113">
        <f>SUMIFS(График[Возврат основной суммы долга],График[Дата с учетом нерабочих дней],$A995)</f>
        <v>0</v>
      </c>
      <c r="N995" s="56">
        <f>SUMIFS(График[Возврат начисленных %],График[Дата с учетом нерабочих дней],$A995)</f>
        <v>0</v>
      </c>
      <c r="O995" s="101">
        <v>0</v>
      </c>
      <c r="P995" s="100" cm="1">
        <f t="array" aca="1" ref="P995" ca="1">MAX(IF(AA994="Да",0,SUM(INDIRECT("M"&amp;(MAX(("Да"=AA$12:AA994)*ROW(AA$12:AA994)+1,ROW($P$12))&amp;":M"&amp;(ROW()))))-SUM(INDIRECT("W"&amp;(MAX(("Да"=AA$12:AA994)*ROW(AA$12:AA994)+1,ROW($P$12))&amp;":W"&amp;(ROW()))))),0)</f>
        <v>16145.36</v>
      </c>
      <c r="Q995" s="99">
        <f ca="1">MAX(SUM($N$13:N995)-SUM($T$13:T995),0)</f>
        <v>70751.340655737673</v>
      </c>
      <c r="R995" s="99">
        <f ca="1">Первоначальный[[#This Row],[Просроченный платеж по ОД]]+Первоначальный[[#This Row],[Просроченный платеж по процентам]]</f>
        <v>86896.700655737674</v>
      </c>
      <c r="S995" s="120">
        <f ca="1">IF(Первоначальный[[#This Row],[Просроченный платеж]]&lt;1,0,S994+1)</f>
        <v>891</v>
      </c>
      <c r="T995" s="100" cm="1">
        <f t="array" aca="1" ref="T995" ca="1">IF(Первоначальный[[#This Row],[Итого остаток на начало периода]]&lt;1,0,
IF(
AND(TYPE(VLOOKUP(1,$Z$12:Z995,1,0))=16,Первоначальный[[#This Row],[Досрочное погашение (да/"")]]=""),0,
_xlfn.IFS(AND(S994=0,Первоначальный[[#This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платеж]]&lt;&gt;0),MIN(LOOKUP(,-1/($Z$12:Z995=1),$C$12:C995)+LOOKUP(,-1/($Z$12:Z995=1),$H$12:H995),Первоначальный[[#This Row],[Полученный платеж]]+Y994),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платеж]]+Y994,SUM(Первоначальный[[#This Row],[Остаток процентов на начало периода]],Первоначальный[[#This Row],[Проценты за период]])),
AND(S994=0,Первоначальный[[#This Row],[Дата платежа из графика]]=""),0,
AND(S994=0,Первоначальный[[#This Row],[Дата платежа из графика]]=1,MAX((0&lt;&gt;S$12:S994)*ROW(S$12:S994),ROW($S$12))&gt;=MAX((1=Z$12:Z994)*ROW(Z$12:Z994),ROW($T$12)),TYPE(VLOOKUP("Да",(INDIRECT("AA"&amp;(MAX((1=Z$12:Z994)*ROW(Z$12:Z994),ROW($T$12))&amp;":AA"&amp;(ROW()-1)))),1,0))=16),MIN(LOOKUP(,-1/($Z$12:Z995=1),$C$12:C995)+LOOKUP(,-1/($Z$12:Z995=1),$H$12:H995),Первоначальный[[#This Row],[Полученный платеж]]+Y994),
AND(S994=0,TYPE(VLOOKUP("Да",(INDIRECT("AA"&amp;(MAX((1=Z$12:Z994)*ROW(Z$12:Z994),ROW($T$12))&amp;":AA"&amp;(ROW()-1)))),1,0))&lt;&gt;16),MIN(LOOKUP(,-1/($Z$12:Z995=1),$C$12:C995)+LOOKUP(,-1/($Z$12:Z995=1),$H$12:H995)-IF(AA994="Да",0,SUM(INDIRECT("T"&amp;(MAX(("Да"=AA$12:AA994)*ROW(AA$12:AA994)+1,ROW($T$12))&amp;":T"&amp;(ROW()-1))))),Первоначальный[[#This Row],[Полученный платеж]]+Y994),
AND(S994=0,MAX((0&lt;&gt;N$12:N994)*ROW(N$12:N994),ROW($S$12))&gt;=MAX((1=Z$12:Z994)*ROW(Z$12:Z994),ROW($T$12))),MIN(LOOKUP(,-1/($Z$12:Z995=1),$C$12:C995)+LOOKUP(,-1/($Z$12:Z995=1),$H$12:H995)-IF(N994&lt;&gt;0,0,SUM(INDIRECT("T"&amp;(MAX((0&lt;&gt;N$12:N994)*ROW(N$12:N994)+1,ROW($T$12))&amp;":T"&amp;(ROW()-1))))),Первоначальный[[#This Row],[Полученный платеж]]+Y994),
AND(S994=0,Первоначальный[[#This Row],[Дата платежа из графика]]=1),MIN(LOOKUP(,-1/($Z$12:Z995=1),$C$12:C995)+LOOKUP(,-1/($Z$12:Z995=1),$H$12:H995)-IF(Z994=1,0,SUM(INDIRECT("T"&amp;(MAX((1=Z$12:Z994)*ROW(Z$12:Z994)+1,ROW($T$12))&amp;":T"&amp;(ROW()-1))))),Первоначальный[[#This Row],[Полученный платеж]]+Y994),
AND(Z994&gt;0,Первоначальный[[#This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платеж]]+Y994),
AND(S994&gt;0,MAX((0&lt;&gt;S$12:S994)*ROW(S$12:S994),ROW($S$12))&gt;=MAX((1=Z$12:Z994)*ROW(Z$12:Z994),ROW($T$12)),TYPE(VLOOKUP("Да",(INDIRECT("AA"&amp;(MAX((1=Z$12:Z994)*ROW(Z$12:Z994),ROW($T$12))&amp;":AA"&amp;(ROW()-1)))),1,0))=16),MIN(LOOKUP(,-1/($Z$12:Z995=1),$C$12:C995)+LOOKUP(,-1/($Z$12:Z995=1),$H$12:H995)-SUM(INDIRECT("T"&amp;(MAX((1=Z$12:Z994)*ROW(Z$12:Z994),ROW($T$12))&amp;":T"&amp;(ROW()-1)))),Первоначальный[[#This Row],[Полученный платеж]]+Y994),
S994&gt;0,MIN(LOOKUP(,-1/($Z$12:Z995=1),$C$12:C995)+LOOKUP(,-1/($Z$12:Z995=1),$H$12:H995)-IF(Z994=1,0,SUM(INDIRECT("T"&amp;(MAX((1=Z$12:Z994)*ROW(Z$12:Z994)+1,ROW($T$12))&amp;":T"&amp;(ROW()-1))))),Первоначальный[[#This Row],[Полученный платеж]]+Y994)
)
)
)</f>
        <v>0</v>
      </c>
      <c r="U99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платеж]]+Y994-Первоначальный[[#This Row],[Полученный платёж по процентам]])</f>
        <v>0</v>
      </c>
      <c r="V995" s="55">
        <f t="shared" ca="1" si="183"/>
        <v>0</v>
      </c>
      <c r="W995" s="55" cm="1">
        <f t="array" aca="1" ref="W995" ca="1">IF(Первоначальный[[#This Row],[Итого остаток на начало периода]]&lt;1,0,
_xlfn.IFS(
AND(TYPE(VLOOKUP(1,$Z$12:Z995,1,0))=16,Первоначальный[[#This Row],[Досрочное погашение (да/"")]]=""),0,
AND(S994=0,Первоначальный[[#This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платеж]]+Y994-SUM(Первоначальный[[#This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комиссиям]]),VLOOKUP(LOOKUP(,-1/($Z$12:Z995=1),$A$12:A995),График[[Срок конец]:[Возврат основной суммы долга]],3,0)),
AND(S994=0,Первоначальный[[#This Row],[Дата платежа из графика]]="",Первоначальный[[#This Row],[Досрочное погашение (да/"")]]&lt;&gt;"Да"),0,
AND(S994=0,Первоначальный[[#This Row],[Досрочное погашение (да/"")]]=""),MIN(Первоначальный[[#This Row],[Полученный платеж]]+Y994-SUM(Первоначальный[[#This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комиссиям]]),VLOOKUP(LOOKUP(,-1/($Z$12:Z995=1),$A$12:A995),График[[Срок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платеж]]+Y994-SUM(Первоначальный[[#This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S994&gt;0,MIN(Первоначальный[[#This Row],[Полученный платеж]]+Y994-SUM(Первоначальный[[#This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комиссиям]]),SUM(INDIRECT("M"&amp;(MAX((1=S$12:S994)*ROW(S$12:S994),ROW($W$12))&amp;":M"&amp;(ROW()))))-SUM(INDIRECT("W"&amp;(MAX((1=S$12:S994)*ROW(S$12:S994),ROW($W$12))&amp;":W"&amp;(ROW()-1)))))
)
)</f>
        <v>0</v>
      </c>
      <c r="X995" s="55">
        <f t="shared" ca="1" si="184"/>
        <v>0</v>
      </c>
      <c r="Y995" s="101">
        <f t="shared" ca="1" si="191"/>
        <v>0</v>
      </c>
      <c r="Z995" s="133" t="str">
        <f>IF(TYPE((VLOOKUP(Первоначальный[[#This Row],[Дата платежа]],График[Срок конец],1,0)))=16,"",1)</f>
        <v/>
      </c>
      <c r="AA995" s="57"/>
      <c r="AB995" s="134"/>
      <c r="AC99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9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71481.830000000016</v>
      </c>
      <c r="AE99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3640.5299999999943</v>
      </c>
      <c r="AF99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9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195937.28642131097</v>
      </c>
      <c r="AH995" s="55"/>
      <c r="AI995" s="55"/>
      <c r="AJ995" s="55"/>
      <c r="AK995" s="101">
        <f t="shared" ca="1" si="192"/>
        <v>420692.98642131098</v>
      </c>
      <c r="AL995" s="129">
        <f t="array" ref="AL995">MAX((УслРестрактов[Характеристика]="Дата реструктуризации")*(УслРестрактов[Значение]=Первоначальный!$A995),0)</f>
        <v>0</v>
      </c>
    </row>
    <row r="996" spans="1:38" x14ac:dyDescent="0.25">
      <c r="A996" s="97">
        <f t="shared" si="185"/>
        <v>45127</v>
      </c>
      <c r="B996" s="100">
        <f t="shared" ca="1" si="186"/>
        <v>149633.34</v>
      </c>
      <c r="C996" s="55">
        <f t="shared" ca="1" si="182"/>
        <v>71481.830000000016</v>
      </c>
      <c r="D996" s="55">
        <f t="shared" ca="1" si="182"/>
        <v>3640.5299999999943</v>
      </c>
      <c r="E996" s="55">
        <f t="shared" ca="1" si="187"/>
        <v>0</v>
      </c>
      <c r="F996" s="55">
        <f t="shared" ca="1" si="188"/>
        <v>195937.28642131097</v>
      </c>
      <c r="G996" s="101">
        <f t="shared" ca="1" si="189"/>
        <v>420692.98642131098</v>
      </c>
      <c r="H996" s="100">
        <f ca="1">ROUND($B996*VLOOKUP($A996,$A$1:$B$10,2,1)/(365+IF(MOD(YEAR($A996),4),0,1)*($A996-$A995)),2)-Первоначальный[[#This Row],[Проценты на просроченный платеж по ОД за период]]</f>
        <v>72.78</v>
      </c>
      <c r="I996" s="55">
        <f t="shared" ca="1" si="190"/>
        <v>8.8000000000000007</v>
      </c>
      <c r="J996" s="55">
        <v>0</v>
      </c>
      <c r="K996" s="55">
        <f t="shared" ca="1" si="193"/>
        <v>434.48350327868837</v>
      </c>
      <c r="L996" s="55">
        <v>0</v>
      </c>
      <c r="M996" s="113">
        <f>SUMIFS(График[Возврат основной суммы долга],График[Дата с учетом нерабочих дней],$A996)</f>
        <v>0</v>
      </c>
      <c r="N996" s="56">
        <f>SUMIFS(График[Возврат начисленных %],График[Дата с учетом нерабочих дней],$A996)</f>
        <v>0</v>
      </c>
      <c r="O996" s="101">
        <v>0</v>
      </c>
      <c r="P996" s="100" cm="1">
        <f t="array" aca="1" ref="P996" ca="1">MAX(IF(AA995="Да",0,SUM(INDIRECT("M"&amp;(MAX(("Да"=AA$12:AA995)*ROW(AA$12:AA995)+1,ROW($P$12))&amp;":M"&amp;(ROW()))))-SUM(INDIRECT("W"&amp;(MAX(("Да"=AA$12:AA995)*ROW(AA$12:AA995)+1,ROW($P$12))&amp;":W"&amp;(ROW()))))),0)</f>
        <v>16145.36</v>
      </c>
      <c r="Q996" s="99">
        <f ca="1">MAX(SUM($N$13:N996)-SUM($T$13:T996),0)</f>
        <v>70751.340655737673</v>
      </c>
      <c r="R996" s="99">
        <f ca="1">Первоначальный[[#This Row],[Просроченный платеж по ОД]]+Первоначальный[[#This Row],[Просроченный платеж по процентам]]</f>
        <v>86896.700655737674</v>
      </c>
      <c r="S996" s="120">
        <f ca="1">IF(Первоначальный[[#This Row],[Просроченный платеж]]&lt;1,0,S995+1)</f>
        <v>892</v>
      </c>
      <c r="T996" s="100" cm="1">
        <f t="array" aca="1" ref="T996" ca="1">IF(Первоначальный[[#This Row],[Итого остаток на начало периода]]&lt;1,0,
IF(
AND(TYPE(VLOOKUP(1,$Z$12:Z996,1,0))=16,Первоначальный[[#This Row],[Досрочное погашение (да/"")]]=""),0,
_xlfn.IFS(AND(S995=0,Первоначальный[[#This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платеж]]&lt;&gt;0),MIN(LOOKUP(,-1/($Z$12:Z996=1),$C$12:C996)+LOOKUP(,-1/($Z$12:Z996=1),$H$12:H996),Первоначальный[[#This Row],[Полученный платеж]]+Y995),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платеж]]+Y995,SUM(Первоначальный[[#This Row],[Остаток процентов на начало периода]],Первоначальный[[#This Row],[Проценты за период]])),
AND(S995=0,Первоначальный[[#This Row],[Дата платежа из графика]]=""),0,
AND(S995=0,Первоначальный[[#This Row],[Дата платежа из графика]]=1,MAX((0&lt;&gt;S$12:S995)*ROW(S$12:S995),ROW($S$12))&gt;=MAX((1=Z$12:Z995)*ROW(Z$12:Z995),ROW($T$12)),TYPE(VLOOKUP("Да",(INDIRECT("AA"&amp;(MAX((1=Z$12:Z995)*ROW(Z$12:Z995),ROW($T$12))&amp;":AA"&amp;(ROW()-1)))),1,0))=16),MIN(LOOKUP(,-1/($Z$12:Z996=1),$C$12:C996)+LOOKUP(,-1/($Z$12:Z996=1),$H$12:H996),Первоначальный[[#This Row],[Полученный платеж]]+Y995),
AND(S995=0,TYPE(VLOOKUP("Да",(INDIRECT("AA"&amp;(MAX((1=Z$12:Z995)*ROW(Z$12:Z995),ROW($T$12))&amp;":AA"&amp;(ROW()-1)))),1,0))&lt;&gt;16),MIN(LOOKUP(,-1/($Z$12:Z996=1),$C$12:C996)+LOOKUP(,-1/($Z$12:Z996=1),$H$12:H996)-IF(AA995="Да",0,SUM(INDIRECT("T"&amp;(MAX(("Да"=AA$12:AA995)*ROW(AA$12:AA995)+1,ROW($T$12))&amp;":T"&amp;(ROW()-1))))),Первоначальный[[#This Row],[Полученный платеж]]+Y995),
AND(S995=0,MAX((0&lt;&gt;N$12:N995)*ROW(N$12:N995),ROW($S$12))&gt;=MAX((1=Z$12:Z995)*ROW(Z$12:Z995),ROW($T$12))),MIN(LOOKUP(,-1/($Z$12:Z996=1),$C$12:C996)+LOOKUP(,-1/($Z$12:Z996=1),$H$12:H996)-IF(N995&lt;&gt;0,0,SUM(INDIRECT("T"&amp;(MAX((0&lt;&gt;N$12:N995)*ROW(N$12:N995)+1,ROW($T$12))&amp;":T"&amp;(ROW()-1))))),Первоначальный[[#This Row],[Полученный платеж]]+Y995),
AND(S995=0,Первоначальный[[#This Row],[Дата платежа из графика]]=1),MIN(LOOKUP(,-1/($Z$12:Z996=1),$C$12:C996)+LOOKUP(,-1/($Z$12:Z996=1),$H$12:H996)-IF(Z995=1,0,SUM(INDIRECT("T"&amp;(MAX((1=Z$12:Z995)*ROW(Z$12:Z995)+1,ROW($T$12))&amp;":T"&amp;(ROW()-1))))),Первоначальный[[#This Row],[Полученный платеж]]+Y995),
AND(Z995&gt;0,Первоначальный[[#This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платеж]]+Y995),
AND(S995&gt;0,MAX((0&lt;&gt;S$12:S995)*ROW(S$12:S995),ROW($S$12))&gt;=MAX((1=Z$12:Z995)*ROW(Z$12:Z995),ROW($T$12)),TYPE(VLOOKUP("Да",(INDIRECT("AA"&amp;(MAX((1=Z$12:Z995)*ROW(Z$12:Z995),ROW($T$12))&amp;":AA"&amp;(ROW()-1)))),1,0))=16),MIN(LOOKUP(,-1/($Z$12:Z996=1),$C$12:C996)+LOOKUP(,-1/($Z$12:Z996=1),$H$12:H996)-SUM(INDIRECT("T"&amp;(MAX((1=Z$12:Z995)*ROW(Z$12:Z995),ROW($T$12))&amp;":T"&amp;(ROW()-1)))),Первоначальный[[#This Row],[Полученный платеж]]+Y995),
S995&gt;0,MIN(LOOKUP(,-1/($Z$12:Z996=1),$C$12:C996)+LOOKUP(,-1/($Z$12:Z996=1),$H$12:H996)-IF(Z995=1,0,SUM(INDIRECT("T"&amp;(MAX((1=Z$12:Z995)*ROW(Z$12:Z995)+1,ROW($T$12))&amp;":T"&amp;(ROW()-1))))),Первоначальный[[#This Row],[Полученный платеж]]+Y995)
)
)
)</f>
        <v>0</v>
      </c>
      <c r="U99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платеж]]+Y995-Первоначальный[[#This Row],[Полученный платёж по процентам]])</f>
        <v>0</v>
      </c>
      <c r="V996" s="55">
        <f t="shared" ca="1" si="183"/>
        <v>0</v>
      </c>
      <c r="W996" s="55" cm="1">
        <f t="array" aca="1" ref="W996" ca="1">IF(Первоначальный[[#This Row],[Итого остаток на начало периода]]&lt;1,0,
_xlfn.IFS(
AND(TYPE(VLOOKUP(1,$Z$12:Z996,1,0))=16,Первоначальный[[#This Row],[Досрочное погашение (да/"")]]=""),0,
AND(S995=0,Первоначальный[[#This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платеж]]+Y995-SUM(Первоначальный[[#This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комиссиям]]),VLOOKUP(LOOKUP(,-1/($Z$12:Z996=1),$A$12:A996),График[[Срок конец]:[Возврат основной суммы долга]],3,0)),
AND(S995=0,Первоначальный[[#This Row],[Дата платежа из графика]]="",Первоначальный[[#This Row],[Досрочное погашение (да/"")]]&lt;&gt;"Да"),0,
AND(S995=0,Первоначальный[[#This Row],[Досрочное погашение (да/"")]]=""),MIN(Первоначальный[[#This Row],[Полученный платеж]]+Y995-SUM(Первоначальный[[#This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комиссиям]]),VLOOKUP(LOOKUP(,-1/($Z$12:Z996=1),$A$12:A996),График[[Срок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платеж]]+Y995-SUM(Первоначальный[[#This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S995&gt;0,MIN(Первоначальный[[#This Row],[Полученный платеж]]+Y995-SUM(Первоначальный[[#This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комиссиям]]),SUM(INDIRECT("M"&amp;(MAX((1=S$12:S995)*ROW(S$12:S995),ROW($W$12))&amp;":M"&amp;(ROW()))))-SUM(INDIRECT("W"&amp;(MAX((1=S$12:S995)*ROW(S$12:S995),ROW($W$12))&amp;":W"&amp;(ROW()-1)))))
)
)</f>
        <v>0</v>
      </c>
      <c r="X996" s="55">
        <f t="shared" ca="1" si="184"/>
        <v>0</v>
      </c>
      <c r="Y996" s="101">
        <f t="shared" ca="1" si="191"/>
        <v>0</v>
      </c>
      <c r="Z996" s="133" t="str">
        <f>IF(TYPE((VLOOKUP(Первоначальный[[#This Row],[Дата платежа]],График[Срок конец],1,0)))=16,"",1)</f>
        <v/>
      </c>
      <c r="AA996" s="57"/>
      <c r="AB996" s="134"/>
      <c r="AC99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9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71554.610000000015</v>
      </c>
      <c r="AE99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3649.3299999999945</v>
      </c>
      <c r="AF99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9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196371.76992458967</v>
      </c>
      <c r="AH996" s="55"/>
      <c r="AI996" s="55"/>
      <c r="AJ996" s="55"/>
      <c r="AK996" s="101">
        <f t="shared" ca="1" si="192"/>
        <v>421209.04992458969</v>
      </c>
      <c r="AL996" s="129">
        <f t="array" ref="AL996">MAX((УслРестрактов[Характеристика]="Дата реструктуризации")*(УслРестрактов[Значение]=Первоначальный!$A996),0)</f>
        <v>0</v>
      </c>
    </row>
    <row r="997" spans="1:38" x14ac:dyDescent="0.25">
      <c r="A997" s="97">
        <f t="shared" si="185"/>
        <v>45128</v>
      </c>
      <c r="B997" s="100">
        <f t="shared" ca="1" si="186"/>
        <v>149633.34</v>
      </c>
      <c r="C997" s="55">
        <f t="shared" ca="1" si="182"/>
        <v>71554.610000000015</v>
      </c>
      <c r="D997" s="55">
        <f t="shared" ca="1" si="182"/>
        <v>3649.3299999999945</v>
      </c>
      <c r="E997" s="55">
        <f t="shared" ca="1" si="187"/>
        <v>0</v>
      </c>
      <c r="F997" s="55">
        <f t="shared" ca="1" si="188"/>
        <v>196371.76992458967</v>
      </c>
      <c r="G997" s="101">
        <f t="shared" ca="1" si="189"/>
        <v>421209.04992458969</v>
      </c>
      <c r="H997" s="100">
        <f ca="1">ROUND($B997*VLOOKUP($A997,$A$1:$B$10,2,1)/(365+IF(MOD(YEAR($A997),4),0,1)*($A997-$A996)),2)-Первоначальный[[#This Row],[Проценты на просроченный платеж по ОД за период]]</f>
        <v>72.78</v>
      </c>
      <c r="I997" s="55">
        <f t="shared" ca="1" si="190"/>
        <v>8.8000000000000007</v>
      </c>
      <c r="J997" s="55">
        <v>0</v>
      </c>
      <c r="K997" s="55">
        <f t="shared" ca="1" si="193"/>
        <v>434.48350327868837</v>
      </c>
      <c r="L997" s="55">
        <v>0</v>
      </c>
      <c r="M997" s="113">
        <f>SUMIFS(График[Возврат основной суммы долга],График[Дата с учетом нерабочих дней],$A997)</f>
        <v>0</v>
      </c>
      <c r="N997" s="56">
        <f>SUMIFS(График[Возврат начисленных %],График[Дата с учетом нерабочих дней],$A997)</f>
        <v>0</v>
      </c>
      <c r="O997" s="101">
        <v>0</v>
      </c>
      <c r="P997" s="100" cm="1">
        <f t="array" aca="1" ref="P997" ca="1">MAX(IF(AA996="Да",0,SUM(INDIRECT("M"&amp;(MAX(("Да"=AA$12:AA996)*ROW(AA$12:AA996)+1,ROW($P$12))&amp;":M"&amp;(ROW()))))-SUM(INDIRECT("W"&amp;(MAX(("Да"=AA$12:AA996)*ROW(AA$12:AA996)+1,ROW($P$12))&amp;":W"&amp;(ROW()))))),0)</f>
        <v>16145.36</v>
      </c>
      <c r="Q997" s="99">
        <f ca="1">MAX(SUM($N$13:N997)-SUM($T$13:T997),0)</f>
        <v>70751.340655737673</v>
      </c>
      <c r="R997" s="99">
        <f ca="1">Первоначальный[[#This Row],[Просроченный платеж по ОД]]+Первоначальный[[#This Row],[Просроченный платеж по процентам]]</f>
        <v>86896.700655737674</v>
      </c>
      <c r="S997" s="120">
        <f ca="1">IF(Первоначальный[[#This Row],[Просроченный платеж]]&lt;1,0,S996+1)</f>
        <v>893</v>
      </c>
      <c r="T997" s="100" cm="1">
        <f t="array" aca="1" ref="T997" ca="1">IF(Первоначальный[[#This Row],[Итого остаток на начало периода]]&lt;1,0,
IF(
AND(TYPE(VLOOKUP(1,$Z$12:Z997,1,0))=16,Первоначальный[[#This Row],[Досрочное погашение (да/"")]]=""),0,
_xlfn.IFS(AND(S996=0,Первоначальный[[#This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платеж]]&lt;&gt;0),MIN(LOOKUP(,-1/($Z$12:Z997=1),$C$12:C997)+LOOKUP(,-1/($Z$12:Z997=1),$H$12:H997),Первоначальный[[#This Row],[Полученный платеж]]+Y996),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платеж]]+Y996,SUM(Первоначальный[[#This Row],[Остаток процентов на начало периода]],Первоначальный[[#This Row],[Проценты за период]])),
AND(S996=0,Первоначальный[[#This Row],[Дата платежа из графика]]=""),0,
AND(S996=0,Первоначальный[[#This Row],[Дата платежа из графика]]=1,MAX((0&lt;&gt;S$12:S996)*ROW(S$12:S996),ROW($S$12))&gt;=MAX((1=Z$12:Z996)*ROW(Z$12:Z996),ROW($T$12)),TYPE(VLOOKUP("Да",(INDIRECT("AA"&amp;(MAX((1=Z$12:Z996)*ROW(Z$12:Z996),ROW($T$12))&amp;":AA"&amp;(ROW()-1)))),1,0))=16),MIN(LOOKUP(,-1/($Z$12:Z997=1),$C$12:C997)+LOOKUP(,-1/($Z$12:Z997=1),$H$12:H997),Первоначальный[[#This Row],[Полученный платеж]]+Y996),
AND(S996=0,TYPE(VLOOKUP("Да",(INDIRECT("AA"&amp;(MAX((1=Z$12:Z996)*ROW(Z$12:Z996),ROW($T$12))&amp;":AA"&amp;(ROW()-1)))),1,0))&lt;&gt;16),MIN(LOOKUP(,-1/($Z$12:Z997=1),$C$12:C997)+LOOKUP(,-1/($Z$12:Z997=1),$H$12:H997)-IF(AA996="Да",0,SUM(INDIRECT("T"&amp;(MAX(("Да"=AA$12:AA996)*ROW(AA$12:AA996)+1,ROW($T$12))&amp;":T"&amp;(ROW()-1))))),Первоначальный[[#This Row],[Полученный платеж]]+Y996),
AND(S996=0,MAX((0&lt;&gt;N$12:N996)*ROW(N$12:N996),ROW($S$12))&gt;=MAX((1=Z$12:Z996)*ROW(Z$12:Z996),ROW($T$12))),MIN(LOOKUP(,-1/($Z$12:Z997=1),$C$12:C997)+LOOKUP(,-1/($Z$12:Z997=1),$H$12:H997)-IF(N996&lt;&gt;0,0,SUM(INDIRECT("T"&amp;(MAX((0&lt;&gt;N$12:N996)*ROW(N$12:N996)+1,ROW($T$12))&amp;":T"&amp;(ROW()-1))))),Первоначальный[[#This Row],[Полученный платеж]]+Y996),
AND(S996=0,Первоначальный[[#This Row],[Дата платежа из графика]]=1),MIN(LOOKUP(,-1/($Z$12:Z997=1),$C$12:C997)+LOOKUP(,-1/($Z$12:Z997=1),$H$12:H997)-IF(Z996=1,0,SUM(INDIRECT("T"&amp;(MAX((1=Z$12:Z996)*ROW(Z$12:Z996)+1,ROW($T$12))&amp;":T"&amp;(ROW()-1))))),Первоначальный[[#This Row],[Полученный платеж]]+Y996),
AND(Z996&gt;0,Первоначальный[[#This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платеж]]+Y996),
AND(S996&gt;0,MAX((0&lt;&gt;S$12:S996)*ROW(S$12:S996),ROW($S$12))&gt;=MAX((1=Z$12:Z996)*ROW(Z$12:Z996),ROW($T$12)),TYPE(VLOOKUP("Да",(INDIRECT("AA"&amp;(MAX((1=Z$12:Z996)*ROW(Z$12:Z996),ROW($T$12))&amp;":AA"&amp;(ROW()-1)))),1,0))=16),MIN(LOOKUP(,-1/($Z$12:Z997=1),$C$12:C997)+LOOKUP(,-1/($Z$12:Z997=1),$H$12:H997)-SUM(INDIRECT("T"&amp;(MAX((1=Z$12:Z996)*ROW(Z$12:Z996),ROW($T$12))&amp;":T"&amp;(ROW()-1)))),Первоначальный[[#This Row],[Полученный платеж]]+Y996),
S996&gt;0,MIN(LOOKUP(,-1/($Z$12:Z997=1),$C$12:C997)+LOOKUP(,-1/($Z$12:Z997=1),$H$12:H997)-IF(Z996=1,0,SUM(INDIRECT("T"&amp;(MAX((1=Z$12:Z996)*ROW(Z$12:Z996)+1,ROW($T$12))&amp;":T"&amp;(ROW()-1))))),Первоначальный[[#This Row],[Полученный платеж]]+Y996)
)
)
)</f>
        <v>0</v>
      </c>
      <c r="U99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платеж]]+Y996-Первоначальный[[#This Row],[Полученный платёж по процентам]])</f>
        <v>0</v>
      </c>
      <c r="V997" s="55">
        <f t="shared" ca="1" si="183"/>
        <v>0</v>
      </c>
      <c r="W997" s="55" cm="1">
        <f t="array" aca="1" ref="W997" ca="1">IF(Первоначальный[[#This Row],[Итого остаток на начало периода]]&lt;1,0,
_xlfn.IFS(
AND(TYPE(VLOOKUP(1,$Z$12:Z997,1,0))=16,Первоначальный[[#This Row],[Досрочное погашение (да/"")]]=""),0,
AND(S996=0,Первоначальный[[#This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платеж]]+Y996-SUM(Первоначальный[[#This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комиссиям]]),VLOOKUP(LOOKUP(,-1/($Z$12:Z997=1),$A$12:A997),График[[Срок конец]:[Возврат основной суммы долга]],3,0)),
AND(S996=0,Первоначальный[[#This Row],[Дата платежа из графика]]="",Первоначальный[[#This Row],[Досрочное погашение (да/"")]]&lt;&gt;"Да"),0,
AND(S996=0,Первоначальный[[#This Row],[Досрочное погашение (да/"")]]=""),MIN(Первоначальный[[#This Row],[Полученный платеж]]+Y996-SUM(Первоначальный[[#This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комиссиям]]),VLOOKUP(LOOKUP(,-1/($Z$12:Z997=1),$A$12:A997),График[[Срок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платеж]]+Y996-SUM(Первоначальный[[#This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S996&gt;0,MIN(Первоначальный[[#This Row],[Полученный платеж]]+Y996-SUM(Первоначальный[[#This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комиссиям]]),SUM(INDIRECT("M"&amp;(MAX((1=S$12:S996)*ROW(S$12:S996),ROW($W$12))&amp;":M"&amp;(ROW()))))-SUM(INDIRECT("W"&amp;(MAX((1=S$12:S996)*ROW(S$12:S996),ROW($W$12))&amp;":W"&amp;(ROW()-1)))))
)
)</f>
        <v>0</v>
      </c>
      <c r="X997" s="55">
        <f t="shared" ca="1" si="184"/>
        <v>0</v>
      </c>
      <c r="Y997" s="101">
        <f t="shared" ca="1" si="191"/>
        <v>0</v>
      </c>
      <c r="Z997" s="133" t="str">
        <f>IF(TYPE((VLOOKUP(Первоначальный[[#This Row],[Дата платежа]],График[Срок конец],1,0)))=16,"",1)</f>
        <v/>
      </c>
      <c r="AA997" s="57"/>
      <c r="AB997" s="134"/>
      <c r="AC99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9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71627.390000000014</v>
      </c>
      <c r="AE99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3658.1299999999947</v>
      </c>
      <c r="AF99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9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196806.25342786836</v>
      </c>
      <c r="AH997" s="55"/>
      <c r="AI997" s="55"/>
      <c r="AJ997" s="55"/>
      <c r="AK997" s="101">
        <f t="shared" ca="1" si="192"/>
        <v>421725.11342786835</v>
      </c>
      <c r="AL997" s="129">
        <f t="array" ref="AL997">MAX((УслРестрактов[Характеристика]="Дата реструктуризации")*(УслРестрактов[Значение]=Первоначальный!$A997),0)</f>
        <v>0</v>
      </c>
    </row>
    <row r="998" spans="1:38" x14ac:dyDescent="0.25">
      <c r="A998" s="97">
        <f t="shared" si="185"/>
        <v>45129</v>
      </c>
      <c r="B998" s="100">
        <f t="shared" ca="1" si="186"/>
        <v>149633.34</v>
      </c>
      <c r="C998" s="55">
        <f t="shared" ca="1" si="182"/>
        <v>71627.390000000014</v>
      </c>
      <c r="D998" s="55">
        <f t="shared" ca="1" si="182"/>
        <v>3658.1299999999947</v>
      </c>
      <c r="E998" s="55">
        <f t="shared" ca="1" si="187"/>
        <v>0</v>
      </c>
      <c r="F998" s="55">
        <f t="shared" ca="1" si="188"/>
        <v>196806.25342786836</v>
      </c>
      <c r="G998" s="101">
        <f t="shared" ca="1" si="189"/>
        <v>421725.11342786835</v>
      </c>
      <c r="H998" s="100">
        <f ca="1">ROUND($B998*VLOOKUP($A998,$A$1:$B$10,2,1)/(365+IF(MOD(YEAR($A998),4),0,1)*($A998-$A997)),2)-Первоначальный[[#This Row],[Проценты на просроченный платеж по ОД за период]]</f>
        <v>72.78</v>
      </c>
      <c r="I998" s="55">
        <f t="shared" ca="1" si="190"/>
        <v>8.8000000000000007</v>
      </c>
      <c r="J998" s="55">
        <v>0</v>
      </c>
      <c r="K998" s="55">
        <f t="shared" ca="1" si="193"/>
        <v>434.48350327868837</v>
      </c>
      <c r="L998" s="55">
        <v>0</v>
      </c>
      <c r="M998" s="113">
        <f>SUMIFS(График[Возврат основной суммы долга],График[Дата с учетом нерабочих дней],$A998)</f>
        <v>0</v>
      </c>
      <c r="N998" s="56">
        <f>SUMIFS(График[Возврат начисленных %],График[Дата с учетом нерабочих дней],$A998)</f>
        <v>0</v>
      </c>
      <c r="O998" s="101">
        <v>0</v>
      </c>
      <c r="P998" s="100" cm="1">
        <f t="array" aca="1" ref="P998" ca="1">MAX(IF(AA997="Да",0,SUM(INDIRECT("M"&amp;(MAX(("Да"=AA$12:AA997)*ROW(AA$12:AA997)+1,ROW($P$12))&amp;":M"&amp;(ROW()))))-SUM(INDIRECT("W"&amp;(MAX(("Да"=AA$12:AA997)*ROW(AA$12:AA997)+1,ROW($P$12))&amp;":W"&amp;(ROW()))))),0)</f>
        <v>16145.36</v>
      </c>
      <c r="Q998" s="99">
        <f ca="1">MAX(SUM($N$13:N998)-SUM($T$13:T998),0)</f>
        <v>70751.340655737673</v>
      </c>
      <c r="R998" s="99">
        <f ca="1">Первоначальный[[#This Row],[Просроченный платеж по ОД]]+Первоначальный[[#This Row],[Просроченный платеж по процентам]]</f>
        <v>86896.700655737674</v>
      </c>
      <c r="S998" s="120">
        <f ca="1">IF(Первоначальный[[#This Row],[Просроченный платеж]]&lt;1,0,S997+1)</f>
        <v>894</v>
      </c>
      <c r="T998" s="100" cm="1">
        <f t="array" aca="1" ref="T998" ca="1">IF(Первоначальный[[#This Row],[Итого остаток на начало периода]]&lt;1,0,
IF(
AND(TYPE(VLOOKUP(1,$Z$12:Z998,1,0))=16,Первоначальный[[#This Row],[Досрочное погашение (да/"")]]=""),0,
_xlfn.IFS(AND(S997=0,Первоначальный[[#This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платеж]]&lt;&gt;0),MIN(LOOKUP(,-1/($Z$12:Z998=1),$C$12:C998)+LOOKUP(,-1/($Z$12:Z998=1),$H$12:H998),Первоначальный[[#This Row],[Полученный платеж]]+Y997),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платеж]]+Y997,SUM(Первоначальный[[#This Row],[Остаток процентов на начало периода]],Первоначальный[[#This Row],[Проценты за период]])),
AND(S997=0,Первоначальный[[#This Row],[Дата платежа из графика]]=""),0,
AND(S997=0,Первоначальный[[#This Row],[Дата платежа из графика]]=1,MAX((0&lt;&gt;S$12:S997)*ROW(S$12:S997),ROW($S$12))&gt;=MAX((1=Z$12:Z997)*ROW(Z$12:Z997),ROW($T$12)),TYPE(VLOOKUP("Да",(INDIRECT("AA"&amp;(MAX((1=Z$12:Z997)*ROW(Z$12:Z997),ROW($T$12))&amp;":AA"&amp;(ROW()-1)))),1,0))=16),MIN(LOOKUP(,-1/($Z$12:Z998=1),$C$12:C998)+LOOKUP(,-1/($Z$12:Z998=1),$H$12:H998),Первоначальный[[#This Row],[Полученный платеж]]+Y997),
AND(S997=0,TYPE(VLOOKUP("Да",(INDIRECT("AA"&amp;(MAX((1=Z$12:Z997)*ROW(Z$12:Z997),ROW($T$12))&amp;":AA"&amp;(ROW()-1)))),1,0))&lt;&gt;16),MIN(LOOKUP(,-1/($Z$12:Z998=1),$C$12:C998)+LOOKUP(,-1/($Z$12:Z998=1),$H$12:H998)-IF(AA997="Да",0,SUM(INDIRECT("T"&amp;(MAX(("Да"=AA$12:AA997)*ROW(AA$12:AA997)+1,ROW($T$12))&amp;":T"&amp;(ROW()-1))))),Первоначальный[[#This Row],[Полученный платеж]]+Y997),
AND(S997=0,MAX((0&lt;&gt;N$12:N997)*ROW(N$12:N997),ROW($S$12))&gt;=MAX((1=Z$12:Z997)*ROW(Z$12:Z997),ROW($T$12))),MIN(LOOKUP(,-1/($Z$12:Z998=1),$C$12:C998)+LOOKUP(,-1/($Z$12:Z998=1),$H$12:H998)-IF(N997&lt;&gt;0,0,SUM(INDIRECT("T"&amp;(MAX((0&lt;&gt;N$12:N997)*ROW(N$12:N997)+1,ROW($T$12))&amp;":T"&amp;(ROW()-1))))),Первоначальный[[#This Row],[Полученный платеж]]+Y997),
AND(S997=0,Первоначальный[[#This Row],[Дата платежа из графика]]=1),MIN(LOOKUP(,-1/($Z$12:Z998=1),$C$12:C998)+LOOKUP(,-1/($Z$12:Z998=1),$H$12:H998)-IF(Z997=1,0,SUM(INDIRECT("T"&amp;(MAX((1=Z$12:Z997)*ROW(Z$12:Z997)+1,ROW($T$12))&amp;":T"&amp;(ROW()-1))))),Первоначальный[[#This Row],[Полученный платеж]]+Y997),
AND(Z997&gt;0,Первоначальный[[#This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платеж]]+Y997),
AND(S997&gt;0,MAX((0&lt;&gt;S$12:S997)*ROW(S$12:S997),ROW($S$12))&gt;=MAX((1=Z$12:Z997)*ROW(Z$12:Z997),ROW($T$12)),TYPE(VLOOKUP("Да",(INDIRECT("AA"&amp;(MAX((1=Z$12:Z997)*ROW(Z$12:Z997),ROW($T$12))&amp;":AA"&amp;(ROW()-1)))),1,0))=16),MIN(LOOKUP(,-1/($Z$12:Z998=1),$C$12:C998)+LOOKUP(,-1/($Z$12:Z998=1),$H$12:H998)-SUM(INDIRECT("T"&amp;(MAX((1=Z$12:Z997)*ROW(Z$12:Z997),ROW($T$12))&amp;":T"&amp;(ROW()-1)))),Первоначальный[[#This Row],[Полученный платеж]]+Y997),
S997&gt;0,MIN(LOOKUP(,-1/($Z$12:Z998=1),$C$12:C998)+LOOKUP(,-1/($Z$12:Z998=1),$H$12:H998)-IF(Z997=1,0,SUM(INDIRECT("T"&amp;(MAX((1=Z$12:Z997)*ROW(Z$12:Z997)+1,ROW($T$12))&amp;":T"&amp;(ROW()-1))))),Первоначальный[[#This Row],[Полученный платеж]]+Y997)
)
)
)</f>
        <v>0</v>
      </c>
      <c r="U99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платеж]]+Y997-Первоначальный[[#This Row],[Полученный платёж по процентам]])</f>
        <v>0</v>
      </c>
      <c r="V998" s="55">
        <f t="shared" ca="1" si="183"/>
        <v>0</v>
      </c>
      <c r="W998" s="55" cm="1">
        <f t="array" aca="1" ref="W998" ca="1">IF(Первоначальный[[#This Row],[Итого остаток на начало периода]]&lt;1,0,
_xlfn.IFS(
AND(TYPE(VLOOKUP(1,$Z$12:Z998,1,0))=16,Первоначальный[[#This Row],[Досрочное погашение (да/"")]]=""),0,
AND(S997=0,Первоначальный[[#This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платеж]]+Y997-SUM(Первоначальный[[#This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комиссиям]]),VLOOKUP(LOOKUP(,-1/($Z$12:Z998=1),$A$12:A998),График[[Срок конец]:[Возврат основной суммы долга]],3,0)),
AND(S997=0,Первоначальный[[#This Row],[Дата платежа из графика]]="",Первоначальный[[#This Row],[Досрочное погашение (да/"")]]&lt;&gt;"Да"),0,
AND(S997=0,Первоначальный[[#This Row],[Досрочное погашение (да/"")]]=""),MIN(Первоначальный[[#This Row],[Полученный платеж]]+Y997-SUM(Первоначальный[[#This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комиссиям]]),VLOOKUP(LOOKUP(,-1/($Z$12:Z998=1),$A$12:A998),График[[Срок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платеж]]+Y997-SUM(Первоначальный[[#This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S997&gt;0,MIN(Первоначальный[[#This Row],[Полученный платеж]]+Y997-SUM(Первоначальный[[#This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комиссиям]]),SUM(INDIRECT("M"&amp;(MAX((1=S$12:S997)*ROW(S$12:S997),ROW($W$12))&amp;":M"&amp;(ROW()))))-SUM(INDIRECT("W"&amp;(MAX((1=S$12:S997)*ROW(S$12:S997),ROW($W$12))&amp;":W"&amp;(ROW()-1)))))
)
)</f>
        <v>0</v>
      </c>
      <c r="X998" s="55">
        <f t="shared" ca="1" si="184"/>
        <v>0</v>
      </c>
      <c r="Y998" s="101">
        <f t="shared" ca="1" si="191"/>
        <v>0</v>
      </c>
      <c r="Z998" s="133" t="str">
        <f>IF(TYPE((VLOOKUP(Первоначальный[[#This Row],[Дата платежа]],График[Срок конец],1,0)))=16,"",1)</f>
        <v/>
      </c>
      <c r="AA998" s="57"/>
      <c r="AB998" s="134"/>
      <c r="AC99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9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71700.170000000013</v>
      </c>
      <c r="AE99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3666.9299999999948</v>
      </c>
      <c r="AF99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9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197240.73693114705</v>
      </c>
      <c r="AH998" s="55"/>
      <c r="AI998" s="55"/>
      <c r="AJ998" s="55"/>
      <c r="AK998" s="101">
        <f t="shared" ca="1" si="192"/>
        <v>422241.17693114706</v>
      </c>
      <c r="AL998" s="129">
        <f t="array" ref="AL998">MAX((УслРестрактов[Характеристика]="Дата реструктуризации")*(УслРестрактов[Значение]=Первоначальный!$A998),0)</f>
        <v>0</v>
      </c>
    </row>
    <row r="999" spans="1:38" x14ac:dyDescent="0.25">
      <c r="A999" s="97">
        <f t="shared" si="185"/>
        <v>45130</v>
      </c>
      <c r="B999" s="100">
        <f t="shared" ca="1" si="186"/>
        <v>149633.34</v>
      </c>
      <c r="C999" s="55">
        <f t="shared" ca="1" si="182"/>
        <v>71700.170000000013</v>
      </c>
      <c r="D999" s="55">
        <f t="shared" ca="1" si="182"/>
        <v>3666.9299999999948</v>
      </c>
      <c r="E999" s="55">
        <f t="shared" ca="1" si="187"/>
        <v>0</v>
      </c>
      <c r="F999" s="55">
        <f t="shared" ca="1" si="188"/>
        <v>197240.73693114705</v>
      </c>
      <c r="G999" s="101">
        <f t="shared" ca="1" si="189"/>
        <v>422241.17693114706</v>
      </c>
      <c r="H999" s="100">
        <f ca="1">ROUND($B999*VLOOKUP($A999,$A$1:$B$10,2,1)/(365+IF(MOD(YEAR($A999),4),0,1)*($A999-$A998)),2)-Первоначальный[[#This Row],[Проценты на просроченный платеж по ОД за период]]</f>
        <v>72.78</v>
      </c>
      <c r="I999" s="55">
        <f t="shared" ca="1" si="190"/>
        <v>8.8000000000000007</v>
      </c>
      <c r="J999" s="55">
        <v>0</v>
      </c>
      <c r="K999" s="55">
        <f t="shared" ca="1" si="193"/>
        <v>434.48350327868837</v>
      </c>
      <c r="L999" s="55">
        <v>0</v>
      </c>
      <c r="M999" s="113">
        <f>SUMIFS(График[Возврат основной суммы долга],График[Дата с учетом нерабочих дней],$A999)</f>
        <v>0</v>
      </c>
      <c r="N999" s="56">
        <f>SUMIFS(График[Возврат начисленных %],График[Дата с учетом нерабочих дней],$A999)</f>
        <v>0</v>
      </c>
      <c r="O999" s="101">
        <v>0</v>
      </c>
      <c r="P999" s="100" cm="1">
        <f t="array" aca="1" ref="P999" ca="1">MAX(IF(AA998="Да",0,SUM(INDIRECT("M"&amp;(MAX(("Да"=AA$12:AA998)*ROW(AA$12:AA998)+1,ROW($P$12))&amp;":M"&amp;(ROW()))))-SUM(INDIRECT("W"&amp;(MAX(("Да"=AA$12:AA998)*ROW(AA$12:AA998)+1,ROW($P$12))&amp;":W"&amp;(ROW()))))),0)</f>
        <v>16145.36</v>
      </c>
      <c r="Q999" s="99">
        <f ca="1">MAX(SUM($N$13:N999)-SUM($T$13:T999),0)</f>
        <v>70751.340655737673</v>
      </c>
      <c r="R999" s="99">
        <f ca="1">Первоначальный[[#This Row],[Просроченный платеж по ОД]]+Первоначальный[[#This Row],[Просроченный платеж по процентам]]</f>
        <v>86896.700655737674</v>
      </c>
      <c r="S999" s="120">
        <f ca="1">IF(Первоначальный[[#This Row],[Просроченный платеж]]&lt;1,0,S998+1)</f>
        <v>895</v>
      </c>
      <c r="T999" s="100" cm="1">
        <f t="array" aca="1" ref="T999" ca="1">IF(Первоначальный[[#This Row],[Итого остаток на начало периода]]&lt;1,0,
IF(
AND(TYPE(VLOOKUP(1,$Z$12:Z999,1,0))=16,Первоначальный[[#This Row],[Досрочное погашение (да/"")]]=""),0,
_xlfn.IFS(AND(S998=0,Первоначальный[[#This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платеж]]&lt;&gt;0),MIN(LOOKUP(,-1/($Z$12:Z999=1),$C$12:C999)+LOOKUP(,-1/($Z$12:Z999=1),$H$12:H999),Первоначальный[[#This Row],[Полученный платеж]]+Y998),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платеж]]+Y998,SUM(Первоначальный[[#This Row],[Остаток процентов на начало периода]],Первоначальный[[#This Row],[Проценты за период]])),
AND(S998=0,Первоначальный[[#This Row],[Дата платежа из графика]]=""),0,
AND(S998=0,Первоначальный[[#This Row],[Дата платежа из графика]]=1,MAX((0&lt;&gt;S$12:S998)*ROW(S$12:S998),ROW($S$12))&gt;=MAX((1=Z$12:Z998)*ROW(Z$12:Z998),ROW($T$12)),TYPE(VLOOKUP("Да",(INDIRECT("AA"&amp;(MAX((1=Z$12:Z998)*ROW(Z$12:Z998),ROW($T$12))&amp;":AA"&amp;(ROW()-1)))),1,0))=16),MIN(LOOKUP(,-1/($Z$12:Z999=1),$C$12:C999)+LOOKUP(,-1/($Z$12:Z999=1),$H$12:H999),Первоначальный[[#This Row],[Полученный платеж]]+Y998),
AND(S998=0,TYPE(VLOOKUP("Да",(INDIRECT("AA"&amp;(MAX((1=Z$12:Z998)*ROW(Z$12:Z998),ROW($T$12))&amp;":AA"&amp;(ROW()-1)))),1,0))&lt;&gt;16),MIN(LOOKUP(,-1/($Z$12:Z999=1),$C$12:C999)+LOOKUP(,-1/($Z$12:Z999=1),$H$12:H999)-IF(AA998="Да",0,SUM(INDIRECT("T"&amp;(MAX(("Да"=AA$12:AA998)*ROW(AA$12:AA998)+1,ROW($T$12))&amp;":T"&amp;(ROW()-1))))),Первоначальный[[#This Row],[Полученный платеж]]+Y998),
AND(S998=0,MAX((0&lt;&gt;N$12:N998)*ROW(N$12:N998),ROW($S$12))&gt;=MAX((1=Z$12:Z998)*ROW(Z$12:Z998),ROW($T$12))),MIN(LOOKUP(,-1/($Z$12:Z999=1),$C$12:C999)+LOOKUP(,-1/($Z$12:Z999=1),$H$12:H999)-IF(N998&lt;&gt;0,0,SUM(INDIRECT("T"&amp;(MAX((0&lt;&gt;N$12:N998)*ROW(N$12:N998)+1,ROW($T$12))&amp;":T"&amp;(ROW()-1))))),Первоначальный[[#This Row],[Полученный платеж]]+Y998),
AND(S998=0,Первоначальный[[#This Row],[Дата платежа из графика]]=1),MIN(LOOKUP(,-1/($Z$12:Z999=1),$C$12:C999)+LOOKUP(,-1/($Z$12:Z999=1),$H$12:H999)-IF(Z998=1,0,SUM(INDIRECT("T"&amp;(MAX((1=Z$12:Z998)*ROW(Z$12:Z998)+1,ROW($T$12))&amp;":T"&amp;(ROW()-1))))),Первоначальный[[#This Row],[Полученный платеж]]+Y998),
AND(Z998&gt;0,Первоначальный[[#This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платеж]]+Y998),
AND(S998&gt;0,MAX((0&lt;&gt;S$12:S998)*ROW(S$12:S998),ROW($S$12))&gt;=MAX((1=Z$12:Z998)*ROW(Z$12:Z998),ROW($T$12)),TYPE(VLOOKUP("Да",(INDIRECT("AA"&amp;(MAX((1=Z$12:Z998)*ROW(Z$12:Z998),ROW($T$12))&amp;":AA"&amp;(ROW()-1)))),1,0))=16),MIN(LOOKUP(,-1/($Z$12:Z999=1),$C$12:C999)+LOOKUP(,-1/($Z$12:Z999=1),$H$12:H999)-SUM(INDIRECT("T"&amp;(MAX((1=Z$12:Z998)*ROW(Z$12:Z998),ROW($T$12))&amp;":T"&amp;(ROW()-1)))),Первоначальный[[#This Row],[Полученный платеж]]+Y998),
S998&gt;0,MIN(LOOKUP(,-1/($Z$12:Z999=1),$C$12:C999)+LOOKUP(,-1/($Z$12:Z999=1),$H$12:H999)-IF(Z998=1,0,SUM(INDIRECT("T"&amp;(MAX((1=Z$12:Z998)*ROW(Z$12:Z998)+1,ROW($T$12))&amp;":T"&amp;(ROW()-1))))),Первоначальный[[#This Row],[Полученный платеж]]+Y998)
)
)
)</f>
        <v>0</v>
      </c>
      <c r="U99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платеж]]+Y998-Первоначальный[[#This Row],[Полученный платёж по процентам]])</f>
        <v>0</v>
      </c>
      <c r="V999" s="55">
        <f t="shared" ca="1" si="183"/>
        <v>0</v>
      </c>
      <c r="W999" s="55" cm="1">
        <f t="array" aca="1" ref="W999" ca="1">IF(Первоначальный[[#This Row],[Итого остаток на начало периода]]&lt;1,0,
_xlfn.IFS(
AND(TYPE(VLOOKUP(1,$Z$12:Z999,1,0))=16,Первоначальный[[#This Row],[Досрочное погашение (да/"")]]=""),0,
AND(S998=0,Первоначальный[[#This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платеж]]+Y998-SUM(Первоначальный[[#This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комиссиям]]),VLOOKUP(LOOKUP(,-1/($Z$12:Z999=1),$A$12:A999),График[[Срок конец]:[Возврат основной суммы долга]],3,0)),
AND(S998=0,Первоначальный[[#This Row],[Дата платежа из графика]]="",Первоначальный[[#This Row],[Досрочное погашение (да/"")]]&lt;&gt;"Да"),0,
AND(S998=0,Первоначальный[[#This Row],[Досрочное погашение (да/"")]]=""),MIN(Первоначальный[[#This Row],[Полученный платеж]]+Y998-SUM(Первоначальный[[#This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комиссиям]]),VLOOKUP(LOOKUP(,-1/($Z$12:Z999=1),$A$12:A999),График[[Срок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платеж]]+Y998-SUM(Первоначальный[[#This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S998&gt;0,MIN(Первоначальный[[#This Row],[Полученный платеж]]+Y998-SUM(Первоначальный[[#This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комиссиям]]),SUM(INDIRECT("M"&amp;(MAX((1=S$12:S998)*ROW(S$12:S998),ROW($W$12))&amp;":M"&amp;(ROW()))))-SUM(INDIRECT("W"&amp;(MAX((1=S$12:S998)*ROW(S$12:S998),ROW($W$12))&amp;":W"&amp;(ROW()-1)))))
)
)</f>
        <v>0</v>
      </c>
      <c r="X999" s="55">
        <f t="shared" ca="1" si="184"/>
        <v>0</v>
      </c>
      <c r="Y999" s="101">
        <f t="shared" ca="1" si="191"/>
        <v>0</v>
      </c>
      <c r="Z999" s="133" t="str">
        <f>IF(TYPE((VLOOKUP(Первоначальный[[#This Row],[Дата платежа]],График[Срок конец],1,0)))=16,"",1)</f>
        <v/>
      </c>
      <c r="AA999" s="57"/>
      <c r="AB999" s="134"/>
      <c r="AC99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99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71772.950000000012</v>
      </c>
      <c r="AE99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3675.729999999995</v>
      </c>
      <c r="AF99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99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197675.22043442575</v>
      </c>
      <c r="AH999" s="55"/>
      <c r="AI999" s="55"/>
      <c r="AJ999" s="55"/>
      <c r="AK999" s="101">
        <f t="shared" ca="1" si="192"/>
        <v>422757.24043442577</v>
      </c>
      <c r="AL999" s="129">
        <f t="array" ref="AL999">MAX((УслРестрактов[Характеристика]="Дата реструктуризации")*(УслРестрактов[Значение]=Первоначальный!$A999),0)</f>
        <v>0</v>
      </c>
    </row>
    <row r="1000" spans="1:38" x14ac:dyDescent="0.25">
      <c r="A1000" s="97">
        <f t="shared" si="185"/>
        <v>45131</v>
      </c>
      <c r="B1000" s="100">
        <f t="shared" ca="1" si="186"/>
        <v>149633.34</v>
      </c>
      <c r="C1000" s="55">
        <f t="shared" ca="1" si="182"/>
        <v>71772.950000000012</v>
      </c>
      <c r="D1000" s="55">
        <f t="shared" ca="1" si="182"/>
        <v>3675.729999999995</v>
      </c>
      <c r="E1000" s="55">
        <f t="shared" ca="1" si="187"/>
        <v>0</v>
      </c>
      <c r="F1000" s="55">
        <f t="shared" ca="1" si="188"/>
        <v>197675.22043442575</v>
      </c>
      <c r="G1000" s="101">
        <f t="shared" ca="1" si="189"/>
        <v>422757.24043442577</v>
      </c>
      <c r="H1000" s="100">
        <f ca="1">ROUND($B1000*VLOOKUP($A1000,$A$1:$B$10,2,1)/(365+IF(MOD(YEAR($A1000),4),0,1)*($A1000-$A999)),2)-Первоначальный[[#This Row],[Проценты на просроченный платеж по ОД за период]]</f>
        <v>72.78</v>
      </c>
      <c r="I1000" s="55">
        <f t="shared" ca="1" si="190"/>
        <v>8.8000000000000007</v>
      </c>
      <c r="J1000" s="55">
        <v>0</v>
      </c>
      <c r="K1000" s="55">
        <f t="shared" ca="1" si="193"/>
        <v>434.48350327868837</v>
      </c>
      <c r="L1000" s="55">
        <v>0</v>
      </c>
      <c r="M1000" s="113">
        <f>SUMIFS(График[Возврат основной суммы долга],График[Дата с учетом нерабочих дней],$A1000)</f>
        <v>0</v>
      </c>
      <c r="N1000" s="56">
        <f>SUMIFS(График[Возврат начисленных %],График[Дата с учетом нерабочих дней],$A1000)</f>
        <v>0</v>
      </c>
      <c r="O1000" s="101">
        <v>0</v>
      </c>
      <c r="P1000" s="100" cm="1">
        <f t="array" aca="1" ref="P1000" ca="1">MAX(IF(AA999="Да",0,SUM(INDIRECT("M"&amp;(MAX(("Да"=AA$12:AA999)*ROW(AA$12:AA999)+1,ROW($P$12))&amp;":M"&amp;(ROW()))))-SUM(INDIRECT("W"&amp;(MAX(("Да"=AA$12:AA999)*ROW(AA$12:AA999)+1,ROW($P$12))&amp;":W"&amp;(ROW()))))),0)</f>
        <v>16145.36</v>
      </c>
      <c r="Q1000" s="99">
        <f ca="1">MAX(SUM($N$13:N1000)-SUM($T$13:T1000),0)</f>
        <v>70751.340655737673</v>
      </c>
      <c r="R1000" s="99">
        <f ca="1">Первоначальный[[#This Row],[Просроченный платеж по ОД]]+Первоначальный[[#This Row],[Просроченный платеж по процентам]]</f>
        <v>86896.700655737674</v>
      </c>
      <c r="S1000" s="120">
        <f ca="1">IF(Первоначальный[[#This Row],[Просроченный платеж]]&lt;1,0,S999+1)</f>
        <v>896</v>
      </c>
      <c r="T1000" s="100" cm="1">
        <f t="array" aca="1" ref="T1000" ca="1">IF(Первоначальный[[#This Row],[Итого остаток на начало периода]]&lt;1,0,
IF(
AND(TYPE(VLOOKUP(1,$Z$12:Z1000,1,0))=16,Первоначальный[[#This Row],[Досрочное погашение (да/"")]]=""),0,
_xlfn.IFS(AND(S999=0,Первоначальный[[#This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платеж]]&lt;&gt;0),MIN(LOOKUP(,-1/($Z$12:Z1000=1),$C$12:C1000)+LOOKUP(,-1/($Z$12:Z1000=1),$H$12:H1000),Первоначальный[[#This Row],[Полученный платеж]]+Y999),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платеж]]+Y999,SUM(Первоначальный[[#This Row],[Остаток процентов на начало периода]],Первоначальный[[#This Row],[Проценты за период]])),
AND(S999=0,Первоначальный[[#This Row],[Дата платежа из графика]]=""),0,
AND(S999=0,Первоначальный[[#This Row],[Дата платежа из графика]]=1,MAX((0&lt;&gt;S$12:S999)*ROW(S$12:S999),ROW($S$12))&gt;=MAX((1=Z$12:Z999)*ROW(Z$12:Z999),ROW($T$12)),TYPE(VLOOKUP("Да",(INDIRECT("AA"&amp;(MAX((1=Z$12:Z999)*ROW(Z$12:Z999),ROW($T$12))&amp;":AA"&amp;(ROW()-1)))),1,0))=16),MIN(LOOKUP(,-1/($Z$12:Z1000=1),$C$12:C1000)+LOOKUP(,-1/($Z$12:Z1000=1),$H$12:H1000),Первоначальный[[#This Row],[Полученный платеж]]+Y999),
AND(S999=0,TYPE(VLOOKUP("Да",(INDIRECT("AA"&amp;(MAX((1=Z$12:Z999)*ROW(Z$12:Z999),ROW($T$12))&amp;":AA"&amp;(ROW()-1)))),1,0))&lt;&gt;16),MIN(LOOKUP(,-1/($Z$12:Z1000=1),$C$12:C1000)+LOOKUP(,-1/($Z$12:Z1000=1),$H$12:H1000)-IF(AA999="Да",0,SUM(INDIRECT("T"&amp;(MAX(("Да"=AA$12:AA999)*ROW(AA$12:AA999)+1,ROW($T$12))&amp;":T"&amp;(ROW()-1))))),Первоначальный[[#This Row],[Полученный платеж]]+Y999),
AND(S999=0,MAX((0&lt;&gt;N$12:N999)*ROW(N$12:N999),ROW($S$12))&gt;=MAX((1=Z$12:Z999)*ROW(Z$12:Z999),ROW($T$12))),MIN(LOOKUP(,-1/($Z$12:Z1000=1),$C$12:C1000)+LOOKUP(,-1/($Z$12:Z1000=1),$H$12:H1000)-IF(N999&lt;&gt;0,0,SUM(INDIRECT("T"&amp;(MAX((0&lt;&gt;N$12:N999)*ROW(N$12:N999)+1,ROW($T$12))&amp;":T"&amp;(ROW()-1))))),Первоначальный[[#This Row],[Полученный платеж]]+Y999),
AND(S999=0,Первоначальный[[#This Row],[Дата платежа из графика]]=1),MIN(LOOKUP(,-1/($Z$12:Z1000=1),$C$12:C1000)+LOOKUP(,-1/($Z$12:Z1000=1),$H$12:H1000)-IF(Z999=1,0,SUM(INDIRECT("T"&amp;(MAX((1=Z$12:Z999)*ROW(Z$12:Z999)+1,ROW($T$12))&amp;":T"&amp;(ROW()-1))))),Первоначальный[[#This Row],[Полученный платеж]]+Y999),
AND(Z999&gt;0,Первоначальный[[#This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платеж]]+Y999),
AND(S999&gt;0,MAX((0&lt;&gt;S$12:S999)*ROW(S$12:S999),ROW($S$12))&gt;=MAX((1=Z$12:Z999)*ROW(Z$12:Z999),ROW($T$12)),TYPE(VLOOKUP("Да",(INDIRECT("AA"&amp;(MAX((1=Z$12:Z999)*ROW(Z$12:Z999),ROW($T$12))&amp;":AA"&amp;(ROW()-1)))),1,0))=16),MIN(LOOKUP(,-1/($Z$12:Z1000=1),$C$12:C1000)+LOOKUP(,-1/($Z$12:Z1000=1),$H$12:H1000)-SUM(INDIRECT("T"&amp;(MAX((1=Z$12:Z999)*ROW(Z$12:Z999),ROW($T$12))&amp;":T"&amp;(ROW()-1)))),Первоначальный[[#This Row],[Полученный платеж]]+Y999),
S999&gt;0,MIN(LOOKUP(,-1/($Z$12:Z1000=1),$C$12:C1000)+LOOKUP(,-1/($Z$12:Z1000=1),$H$12:H1000)-IF(Z999=1,0,SUM(INDIRECT("T"&amp;(MAX((1=Z$12:Z999)*ROW(Z$12:Z999)+1,ROW($T$12))&amp;":T"&amp;(ROW()-1))))),Первоначальный[[#This Row],[Полученный платеж]]+Y999)
)
)
)</f>
        <v>0</v>
      </c>
      <c r="U100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платеж]]+Y999-Первоначальный[[#This Row],[Полученный платёж по процентам]])</f>
        <v>0</v>
      </c>
      <c r="V1000" s="55">
        <f t="shared" ca="1" si="183"/>
        <v>0</v>
      </c>
      <c r="W1000" s="55" cm="1">
        <f t="array" aca="1" ref="W1000" ca="1">IF(Первоначальный[[#This Row],[Итого остаток на начало периода]]&lt;1,0,
_xlfn.IFS(
AND(TYPE(VLOOKUP(1,$Z$12:Z1000,1,0))=16,Первоначальный[[#This Row],[Досрочное погашение (да/"")]]=""),0,
AND(S999=0,Первоначальный[[#This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платеж]]+Y999-SUM(Первоначальный[[#This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комиссиям]]),VLOOKUP(LOOKUP(,-1/($Z$12:Z1000=1),$A$12:A1000),График[[Срок конец]:[Возврат основной суммы долга]],3,0)),
AND(S999=0,Первоначальный[[#This Row],[Дата платежа из графика]]="",Первоначальный[[#This Row],[Досрочное погашение (да/"")]]&lt;&gt;"Да"),0,
AND(S999=0,Первоначальный[[#This Row],[Досрочное погашение (да/"")]]=""),MIN(Первоначальный[[#This Row],[Полученный платеж]]+Y999-SUM(Первоначальный[[#This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комиссиям]]),VLOOKUP(LOOKUP(,-1/($Z$12:Z1000=1),$A$12:A1000),График[[Срок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платеж]]+Y999-SUM(Первоначальный[[#This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S999&gt;0,MIN(Первоначальный[[#This Row],[Полученный платеж]]+Y999-SUM(Первоначальный[[#This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комиссиям]]),SUM(INDIRECT("M"&amp;(MAX((1=S$12:S999)*ROW(S$12:S999),ROW($W$12))&amp;":M"&amp;(ROW()))))-SUM(INDIRECT("W"&amp;(MAX((1=S$12:S999)*ROW(S$12:S999),ROW($W$12))&amp;":W"&amp;(ROW()-1)))))
)
)</f>
        <v>0</v>
      </c>
      <c r="X1000" s="55">
        <f t="shared" ca="1" si="184"/>
        <v>0</v>
      </c>
      <c r="Y1000" s="101">
        <f t="shared" ca="1" si="191"/>
        <v>0</v>
      </c>
      <c r="Z1000" s="133" t="str">
        <f>IF(TYPE((VLOOKUP(Первоначальный[[#This Row],[Дата платежа]],График[Срок конец],1,0)))=16,"",1)</f>
        <v/>
      </c>
      <c r="AA1000" s="57"/>
      <c r="AB1000" s="134"/>
      <c r="AC100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0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71845.73000000001</v>
      </c>
      <c r="AE100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3684.5299999999952</v>
      </c>
      <c r="AF100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0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198109.70393770444</v>
      </c>
      <c r="AH1000" s="55"/>
      <c r="AI1000" s="55"/>
      <c r="AJ1000" s="55"/>
      <c r="AK1000" s="101">
        <f t="shared" ca="1" si="192"/>
        <v>423273.30393770442</v>
      </c>
      <c r="AL1000" s="129">
        <f t="array" ref="AL1000">MAX((УслРестрактов[Характеристика]="Дата реструктуризации")*(УслРестрактов[Значение]=Первоначальный!$A1000),0)</f>
        <v>0</v>
      </c>
    </row>
    <row r="1001" spans="1:38" x14ac:dyDescent="0.25">
      <c r="A1001" s="97">
        <f t="shared" si="185"/>
        <v>45132</v>
      </c>
      <c r="B1001" s="100">
        <f t="shared" ca="1" si="186"/>
        <v>149633.34</v>
      </c>
      <c r="C1001" s="55">
        <f t="shared" ca="1" si="182"/>
        <v>71845.73000000001</v>
      </c>
      <c r="D1001" s="55">
        <f t="shared" ca="1" si="182"/>
        <v>3684.5299999999952</v>
      </c>
      <c r="E1001" s="55">
        <f t="shared" ca="1" si="187"/>
        <v>0</v>
      </c>
      <c r="F1001" s="55">
        <f t="shared" ca="1" si="188"/>
        <v>198109.70393770444</v>
      </c>
      <c r="G1001" s="101">
        <f t="shared" ca="1" si="189"/>
        <v>423273.30393770442</v>
      </c>
      <c r="H1001" s="100">
        <f ca="1">ROUND($B1001*VLOOKUP($A1001,$A$1:$B$10,2,1)/(365+IF(MOD(YEAR($A1001),4),0,1)*($A1001-$A1000)),2)-Первоначальный[[#This Row],[Проценты на просроченный платеж по ОД за период]]</f>
        <v>72.78</v>
      </c>
      <c r="I1001" s="55">
        <f t="shared" ca="1" si="190"/>
        <v>8.8000000000000007</v>
      </c>
      <c r="J1001" s="55">
        <v>0</v>
      </c>
      <c r="K1001" s="55">
        <f t="shared" ca="1" si="193"/>
        <v>434.48350327868837</v>
      </c>
      <c r="L1001" s="55">
        <v>0</v>
      </c>
      <c r="M1001" s="113">
        <f>SUMIFS(График[Возврат основной суммы долга],График[Дата с учетом нерабочих дней],$A1001)</f>
        <v>0</v>
      </c>
      <c r="N1001" s="56">
        <f>SUMIFS(График[Возврат начисленных %],График[Дата с учетом нерабочих дней],$A1001)</f>
        <v>0</v>
      </c>
      <c r="O1001" s="101">
        <v>0</v>
      </c>
      <c r="P1001" s="100" cm="1">
        <f t="array" aca="1" ref="P1001" ca="1">MAX(IF(AA1000="Да",0,SUM(INDIRECT("M"&amp;(MAX(("Да"=AA$12:AA1000)*ROW(AA$12:AA1000)+1,ROW($P$12))&amp;":M"&amp;(ROW()))))-SUM(INDIRECT("W"&amp;(MAX(("Да"=AA$12:AA1000)*ROW(AA$12:AA1000)+1,ROW($P$12))&amp;":W"&amp;(ROW()))))),0)</f>
        <v>16145.36</v>
      </c>
      <c r="Q1001" s="99">
        <f ca="1">MAX(SUM($N$13:N1001)-SUM($T$13:T1001),0)</f>
        <v>70751.340655737673</v>
      </c>
      <c r="R1001" s="99">
        <f ca="1">Первоначальный[[#This Row],[Просроченный платеж по ОД]]+Первоначальный[[#This Row],[Просроченный платеж по процентам]]</f>
        <v>86896.700655737674</v>
      </c>
      <c r="S1001" s="120">
        <f ca="1">IF(Первоначальный[[#This Row],[Просроченный платеж]]&lt;1,0,S1000+1)</f>
        <v>897</v>
      </c>
      <c r="T1001" s="100" cm="1">
        <f t="array" aca="1" ref="T1001" ca="1">IF(Первоначальный[[#This Row],[Итого остаток на начало периода]]&lt;1,0,
IF(
AND(TYPE(VLOOKUP(1,$Z$12:Z1001,1,0))=16,Первоначальный[[#This Row],[Досрочное погашение (да/"")]]=""),0,
_xlfn.IFS(AND(S1000=0,Первоначальный[[#This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платеж]]&lt;&gt;0),MIN(LOOKUP(,-1/($Z$12:Z1001=1),$C$12:C1001)+LOOKUP(,-1/($Z$12:Z1001=1),$H$12:H1001),Первоначальный[[#This Row],[Полученный платеж]]+Y1000),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платеж]]+Y1000,SUM(Первоначальный[[#This Row],[Остаток процентов на начало периода]],Первоначальный[[#This Row],[Проценты за период]])),
AND(S1000=0,Первоначальный[[#This Row],[Дата платежа из графика]]=""),0,
AND(S1000=0,Первоначальный[[#This Row],[Дата платежа из графика]]=1,MAX((0&lt;&gt;S$12:S1000)*ROW(S$12:S1000),ROW($S$12))&gt;=MAX((1=Z$12:Z1000)*ROW(Z$12:Z1000),ROW($T$12)),TYPE(VLOOKUP("Да",(INDIRECT("AA"&amp;(MAX((1=Z$12:Z1000)*ROW(Z$12:Z1000),ROW($T$12))&amp;":AA"&amp;(ROW()-1)))),1,0))=16),MIN(LOOKUP(,-1/($Z$12:Z1001=1),$C$12:C1001)+LOOKUP(,-1/($Z$12:Z1001=1),$H$12:H1001),Первоначальный[[#This Row],[Полученный платеж]]+Y1000),
AND(S1000=0,TYPE(VLOOKUP("Да",(INDIRECT("AA"&amp;(MAX((1=Z$12:Z1000)*ROW(Z$12:Z1000),ROW($T$12))&amp;":AA"&amp;(ROW()-1)))),1,0))&lt;&gt;16),MIN(LOOKUP(,-1/($Z$12:Z1001=1),$C$12:C1001)+LOOKUP(,-1/($Z$12:Z1001=1),$H$12:H1001)-IF(AA1000="Да",0,SUM(INDIRECT("T"&amp;(MAX(("Да"=AA$12:AA1000)*ROW(AA$12:AA1000)+1,ROW($T$12))&amp;":T"&amp;(ROW()-1))))),Первоначальный[[#This Row],[Полученный платеж]]+Y1000),
AND(S1000=0,MAX((0&lt;&gt;N$12:N1000)*ROW(N$12:N1000),ROW($S$12))&gt;=MAX((1=Z$12:Z1000)*ROW(Z$12:Z1000),ROW($T$12))),MIN(LOOKUP(,-1/($Z$12:Z1001=1),$C$12:C1001)+LOOKUP(,-1/($Z$12:Z1001=1),$H$12:H1001)-IF(N1000&lt;&gt;0,0,SUM(INDIRECT("T"&amp;(MAX((0&lt;&gt;N$12:N1000)*ROW(N$12:N1000)+1,ROW($T$12))&amp;":T"&amp;(ROW()-1))))),Первоначальный[[#This Row],[Полученный платеж]]+Y1000),
AND(S1000=0,Первоначальный[[#This Row],[Дата платежа из графика]]=1),MIN(LOOKUP(,-1/($Z$12:Z1001=1),$C$12:C1001)+LOOKUP(,-1/($Z$12:Z1001=1),$H$12:H1001)-IF(Z1000=1,0,SUM(INDIRECT("T"&amp;(MAX((1=Z$12:Z1000)*ROW(Z$12:Z1000)+1,ROW($T$12))&amp;":T"&amp;(ROW()-1))))),Первоначальный[[#This Row],[Полученный платеж]]+Y1000),
AND(Z1000&gt;0,Первоначальный[[#This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платеж]]+Y1000),
AND(S1000&gt;0,MAX((0&lt;&gt;S$12:S1000)*ROW(S$12:S1000),ROW($S$12))&gt;=MAX((1=Z$12:Z1000)*ROW(Z$12:Z1000),ROW($T$12)),TYPE(VLOOKUP("Да",(INDIRECT("AA"&amp;(MAX((1=Z$12:Z1000)*ROW(Z$12:Z1000),ROW($T$12))&amp;":AA"&amp;(ROW()-1)))),1,0))=16),MIN(LOOKUP(,-1/($Z$12:Z1001=1),$C$12:C1001)+LOOKUP(,-1/($Z$12:Z1001=1),$H$12:H1001)-SUM(INDIRECT("T"&amp;(MAX((1=Z$12:Z1000)*ROW(Z$12:Z1000),ROW($T$12))&amp;":T"&amp;(ROW()-1)))),Первоначальный[[#This Row],[Полученный платеж]]+Y1000),
S1000&gt;0,MIN(LOOKUP(,-1/($Z$12:Z1001=1),$C$12:C1001)+LOOKUP(,-1/($Z$12:Z1001=1),$H$12:H1001)-IF(Z1000=1,0,SUM(INDIRECT("T"&amp;(MAX((1=Z$12:Z1000)*ROW(Z$12:Z1000)+1,ROW($T$12))&amp;":T"&amp;(ROW()-1))))),Первоначальный[[#This Row],[Полученный платеж]]+Y1000)
)
)
)</f>
        <v>0</v>
      </c>
      <c r="U100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платеж]]+Y1000-Первоначальный[[#This Row],[Полученный платёж по процентам]])</f>
        <v>0</v>
      </c>
      <c r="V1001" s="55">
        <f t="shared" ca="1" si="183"/>
        <v>0</v>
      </c>
      <c r="W1001" s="55" cm="1">
        <f t="array" aca="1" ref="W1001" ca="1">IF(Первоначальный[[#This Row],[Итого остаток на начало периода]]&lt;1,0,
_xlfn.IFS(
AND(TYPE(VLOOKUP(1,$Z$12:Z1001,1,0))=16,Первоначальный[[#This Row],[Досрочное погашение (да/"")]]=""),0,
AND(S1000=0,Первоначальный[[#This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платеж]]+Y1000-SUM(Первоначальный[[#This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комиссиям]]),VLOOKUP(LOOKUP(,-1/($Z$12:Z1001=1),$A$12:A1001),График[[Срок конец]:[Возврат основной суммы долга]],3,0)),
AND(S1000=0,Первоначальный[[#This Row],[Дата платежа из графика]]="",Первоначальный[[#This Row],[Досрочное погашение (да/"")]]&lt;&gt;"Да"),0,
AND(S1000=0,Первоначальный[[#This Row],[Досрочное погашение (да/"")]]=""),MIN(Первоначальный[[#This Row],[Полученный платеж]]+Y1000-SUM(Первоначальный[[#This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комиссиям]]),VLOOKUP(LOOKUP(,-1/($Z$12:Z1001=1),$A$12:A1001),График[[Срок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платеж]]+Y1000-SUM(Первоначальный[[#This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S1000&gt;0,MIN(Первоначальный[[#This Row],[Полученный платеж]]+Y1000-SUM(Первоначальный[[#This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комиссиям]]),SUM(INDIRECT("M"&amp;(MAX((1=S$12:S1000)*ROW(S$12:S1000),ROW($W$12))&amp;":M"&amp;(ROW()))))-SUM(INDIRECT("W"&amp;(MAX((1=S$12:S1000)*ROW(S$12:S1000),ROW($W$12))&amp;":W"&amp;(ROW()-1)))))
)
)</f>
        <v>0</v>
      </c>
      <c r="X1001" s="55">
        <f t="shared" ca="1" si="184"/>
        <v>0</v>
      </c>
      <c r="Y1001" s="101">
        <f t="shared" ca="1" si="191"/>
        <v>0</v>
      </c>
      <c r="Z1001" s="133" t="str">
        <f>IF(TYPE((VLOOKUP(Первоначальный[[#This Row],[Дата платежа]],График[Срок конец],1,0)))=16,"",1)</f>
        <v/>
      </c>
      <c r="AA1001" s="57"/>
      <c r="AB1001" s="134"/>
      <c r="AC100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0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71918.510000000009</v>
      </c>
      <c r="AE100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3693.3299999999954</v>
      </c>
      <c r="AF100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0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198544.18744098314</v>
      </c>
      <c r="AH1001" s="55"/>
      <c r="AI1001" s="55"/>
      <c r="AJ1001" s="55"/>
      <c r="AK1001" s="101">
        <f t="shared" ca="1" si="192"/>
        <v>423789.36744098313</v>
      </c>
      <c r="AL1001" s="129">
        <f t="array" ref="AL1001">MAX((УслРестрактов[Характеристика]="Дата реструктуризации")*(УслРестрактов[Значение]=Первоначальный!$A1001),0)</f>
        <v>0</v>
      </c>
    </row>
    <row r="1002" spans="1:38" x14ac:dyDescent="0.25">
      <c r="A1002" s="97">
        <f t="shared" si="185"/>
        <v>45133</v>
      </c>
      <c r="B1002" s="100">
        <f t="shared" ca="1" si="186"/>
        <v>149633.34</v>
      </c>
      <c r="C1002" s="55">
        <f t="shared" ca="1" si="182"/>
        <v>71918.510000000009</v>
      </c>
      <c r="D1002" s="55">
        <f t="shared" ca="1" si="182"/>
        <v>3693.3299999999954</v>
      </c>
      <c r="E1002" s="55">
        <f t="shared" ca="1" si="187"/>
        <v>0</v>
      </c>
      <c r="F1002" s="55">
        <f t="shared" ca="1" si="188"/>
        <v>198544.18744098314</v>
      </c>
      <c r="G1002" s="101">
        <f t="shared" ca="1" si="189"/>
        <v>423789.36744098313</v>
      </c>
      <c r="H1002" s="100">
        <f ca="1">ROUND($B1002*VLOOKUP($A1002,$A$1:$B$10,2,1)/(365+IF(MOD(YEAR($A1002),4),0,1)*($A1002-$A1001)),2)-Первоначальный[[#This Row],[Проценты на просроченный платеж по ОД за период]]</f>
        <v>72.78</v>
      </c>
      <c r="I1002" s="55">
        <f t="shared" ca="1" si="190"/>
        <v>8.8000000000000007</v>
      </c>
      <c r="J1002" s="55">
        <v>0</v>
      </c>
      <c r="K1002" s="55">
        <f t="shared" ca="1" si="193"/>
        <v>434.48350327868837</v>
      </c>
      <c r="L1002" s="55">
        <v>0</v>
      </c>
      <c r="M1002" s="113">
        <f>SUMIFS(График[Возврат основной суммы долга],График[Дата с учетом нерабочих дней],$A1002)</f>
        <v>0</v>
      </c>
      <c r="N1002" s="56">
        <f>SUMIFS(График[Возврат начисленных %],График[Дата с учетом нерабочих дней],$A1002)</f>
        <v>0</v>
      </c>
      <c r="O1002" s="101">
        <v>0</v>
      </c>
      <c r="P1002" s="100" cm="1">
        <f t="array" aca="1" ref="P1002" ca="1">MAX(IF(AA1001="Да",0,SUM(INDIRECT("M"&amp;(MAX(("Да"=AA$12:AA1001)*ROW(AA$12:AA1001)+1,ROW($P$12))&amp;":M"&amp;(ROW()))))-SUM(INDIRECT("W"&amp;(MAX(("Да"=AA$12:AA1001)*ROW(AA$12:AA1001)+1,ROW($P$12))&amp;":W"&amp;(ROW()))))),0)</f>
        <v>16145.36</v>
      </c>
      <c r="Q1002" s="99">
        <f ca="1">MAX(SUM($N$13:N1002)-SUM($T$13:T1002),0)</f>
        <v>70751.340655737673</v>
      </c>
      <c r="R1002" s="99">
        <f ca="1">Первоначальный[[#This Row],[Просроченный платеж по ОД]]+Первоначальный[[#This Row],[Просроченный платеж по процентам]]</f>
        <v>86896.700655737674</v>
      </c>
      <c r="S1002" s="120">
        <f ca="1">IF(Первоначальный[[#This Row],[Просроченный платеж]]&lt;1,0,S1001+1)</f>
        <v>898</v>
      </c>
      <c r="T1002" s="100" cm="1">
        <f t="array" aca="1" ref="T1002" ca="1">IF(Первоначальный[[#This Row],[Итого остаток на начало периода]]&lt;1,0,
IF(
AND(TYPE(VLOOKUP(1,$Z$12:Z1002,1,0))=16,Первоначальный[[#This Row],[Досрочное погашение (да/"")]]=""),0,
_xlfn.IFS(AND(S1001=0,Первоначальный[[#This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платеж]]&lt;&gt;0),MIN(LOOKUP(,-1/($Z$12:Z1002=1),$C$12:C1002)+LOOKUP(,-1/($Z$12:Z1002=1),$H$12:H1002),Первоначальный[[#This Row],[Полученный платеж]]+Y1001),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платеж]]+Y1001,SUM(Первоначальный[[#This Row],[Остаток процентов на начало периода]],Первоначальный[[#This Row],[Проценты за период]])),
AND(S1001=0,Первоначальный[[#This Row],[Дата платежа из графика]]=""),0,
AND(S1001=0,Первоначальный[[#This Row],[Дата платежа из графика]]=1,MAX((0&lt;&gt;S$12:S1001)*ROW(S$12:S1001),ROW($S$12))&gt;=MAX((1=Z$12:Z1001)*ROW(Z$12:Z1001),ROW($T$12)),TYPE(VLOOKUP("Да",(INDIRECT("AA"&amp;(MAX((1=Z$12:Z1001)*ROW(Z$12:Z1001),ROW($T$12))&amp;":AA"&amp;(ROW()-1)))),1,0))=16),MIN(LOOKUP(,-1/($Z$12:Z1002=1),$C$12:C1002)+LOOKUP(,-1/($Z$12:Z1002=1),$H$12:H1002),Первоначальный[[#This Row],[Полученный платеж]]+Y1001),
AND(S1001=0,TYPE(VLOOKUP("Да",(INDIRECT("AA"&amp;(MAX((1=Z$12:Z1001)*ROW(Z$12:Z1001),ROW($T$12))&amp;":AA"&amp;(ROW()-1)))),1,0))&lt;&gt;16),MIN(LOOKUP(,-1/($Z$12:Z1002=1),$C$12:C1002)+LOOKUP(,-1/($Z$12:Z1002=1),$H$12:H1002)-IF(AA1001="Да",0,SUM(INDIRECT("T"&amp;(MAX(("Да"=AA$12:AA1001)*ROW(AA$12:AA1001)+1,ROW($T$12))&amp;":T"&amp;(ROW()-1))))),Первоначальный[[#This Row],[Полученный платеж]]+Y1001),
AND(S1001=0,MAX((0&lt;&gt;N$12:N1001)*ROW(N$12:N1001),ROW($S$12))&gt;=MAX((1=Z$12:Z1001)*ROW(Z$12:Z1001),ROW($T$12))),MIN(LOOKUP(,-1/($Z$12:Z1002=1),$C$12:C1002)+LOOKUP(,-1/($Z$12:Z1002=1),$H$12:H1002)-IF(N1001&lt;&gt;0,0,SUM(INDIRECT("T"&amp;(MAX((0&lt;&gt;N$12:N1001)*ROW(N$12:N1001)+1,ROW($T$12))&amp;":T"&amp;(ROW()-1))))),Первоначальный[[#This Row],[Полученный платеж]]+Y1001),
AND(S1001=0,Первоначальный[[#This Row],[Дата платежа из графика]]=1),MIN(LOOKUP(,-1/($Z$12:Z1002=1),$C$12:C1002)+LOOKUP(,-1/($Z$12:Z1002=1),$H$12:H1002)-IF(Z1001=1,0,SUM(INDIRECT("T"&amp;(MAX((1=Z$12:Z1001)*ROW(Z$12:Z1001)+1,ROW($T$12))&amp;":T"&amp;(ROW()-1))))),Первоначальный[[#This Row],[Полученный платеж]]+Y1001),
AND(Z1001&gt;0,Первоначальный[[#This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платеж]]+Y1001),
AND(S1001&gt;0,MAX((0&lt;&gt;S$12:S1001)*ROW(S$12:S1001),ROW($S$12))&gt;=MAX((1=Z$12:Z1001)*ROW(Z$12:Z1001),ROW($T$12)),TYPE(VLOOKUP("Да",(INDIRECT("AA"&amp;(MAX((1=Z$12:Z1001)*ROW(Z$12:Z1001),ROW($T$12))&amp;":AA"&amp;(ROW()-1)))),1,0))=16),MIN(LOOKUP(,-1/($Z$12:Z1002=1),$C$12:C1002)+LOOKUP(,-1/($Z$12:Z1002=1),$H$12:H1002)-SUM(INDIRECT("T"&amp;(MAX((1=Z$12:Z1001)*ROW(Z$12:Z1001),ROW($T$12))&amp;":T"&amp;(ROW()-1)))),Первоначальный[[#This Row],[Полученный платеж]]+Y1001),
S1001&gt;0,MIN(LOOKUP(,-1/($Z$12:Z1002=1),$C$12:C1002)+LOOKUP(,-1/($Z$12:Z1002=1),$H$12:H1002)-IF(Z1001=1,0,SUM(INDIRECT("T"&amp;(MAX((1=Z$12:Z1001)*ROW(Z$12:Z1001)+1,ROW($T$12))&amp;":T"&amp;(ROW()-1))))),Первоначальный[[#This Row],[Полученный платеж]]+Y1001)
)
)
)</f>
        <v>0</v>
      </c>
      <c r="U100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платеж]]+Y1001-Первоначальный[[#This Row],[Полученный платёж по процентам]])</f>
        <v>0</v>
      </c>
      <c r="V1002" s="55">
        <f t="shared" ca="1" si="183"/>
        <v>0</v>
      </c>
      <c r="W1002" s="55" cm="1">
        <f t="array" aca="1" ref="W1002" ca="1">IF(Первоначальный[[#This Row],[Итого остаток на начало периода]]&lt;1,0,
_xlfn.IFS(
AND(TYPE(VLOOKUP(1,$Z$12:Z1002,1,0))=16,Первоначальный[[#This Row],[Досрочное погашение (да/"")]]=""),0,
AND(S1001=0,Первоначальный[[#This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платеж]]+Y1001-SUM(Первоначальный[[#This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комиссиям]]),VLOOKUP(LOOKUP(,-1/($Z$12:Z1002=1),$A$12:A1002),График[[Срок конец]:[Возврат основной суммы долга]],3,0)),
AND(S1001=0,Первоначальный[[#This Row],[Дата платежа из графика]]="",Первоначальный[[#This Row],[Досрочное погашение (да/"")]]&lt;&gt;"Да"),0,
AND(S1001=0,Первоначальный[[#This Row],[Досрочное погашение (да/"")]]=""),MIN(Первоначальный[[#This Row],[Полученный платеж]]+Y1001-SUM(Первоначальный[[#This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комиссиям]]),VLOOKUP(LOOKUP(,-1/($Z$12:Z1002=1),$A$12:A1002),График[[Срок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платеж]]+Y1001-SUM(Первоначальный[[#This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S1001&gt;0,MIN(Первоначальный[[#This Row],[Полученный платеж]]+Y1001-SUM(Первоначальный[[#This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комиссиям]]),SUM(INDIRECT("M"&amp;(MAX((1=S$12:S1001)*ROW(S$12:S1001),ROW($W$12))&amp;":M"&amp;(ROW()))))-SUM(INDIRECT("W"&amp;(MAX((1=S$12:S1001)*ROW(S$12:S1001),ROW($W$12))&amp;":W"&amp;(ROW()-1)))))
)
)</f>
        <v>0</v>
      </c>
      <c r="X1002" s="55">
        <f t="shared" ca="1" si="184"/>
        <v>0</v>
      </c>
      <c r="Y1002" s="101">
        <f t="shared" ca="1" si="191"/>
        <v>0</v>
      </c>
      <c r="Z1002" s="133" t="str">
        <f>IF(TYPE((VLOOKUP(Первоначальный[[#This Row],[Дата платежа]],График[Срок конец],1,0)))=16,"",1)</f>
        <v/>
      </c>
      <c r="AA1002" s="57"/>
      <c r="AB1002" s="134"/>
      <c r="AC100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0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71991.290000000008</v>
      </c>
      <c r="AE100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3702.1299999999956</v>
      </c>
      <c r="AF100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0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198978.67094426183</v>
      </c>
      <c r="AH1002" s="55"/>
      <c r="AI1002" s="55"/>
      <c r="AJ1002" s="55"/>
      <c r="AK1002" s="101">
        <f t="shared" ca="1" si="192"/>
        <v>424305.43094426184</v>
      </c>
      <c r="AL1002" s="129">
        <f t="array" ref="AL1002">MAX((УслРестрактов[Характеристика]="Дата реструктуризации")*(УслРестрактов[Значение]=Первоначальный!$A1002),0)</f>
        <v>0</v>
      </c>
    </row>
    <row r="1003" spans="1:38" x14ac:dyDescent="0.25">
      <c r="A1003" s="97">
        <f t="shared" si="185"/>
        <v>45134</v>
      </c>
      <c r="B1003" s="100">
        <f t="shared" ca="1" si="186"/>
        <v>149633.34</v>
      </c>
      <c r="C1003" s="55">
        <f t="shared" ca="1" si="182"/>
        <v>71991.290000000008</v>
      </c>
      <c r="D1003" s="55">
        <f t="shared" ca="1" si="182"/>
        <v>3702.1299999999956</v>
      </c>
      <c r="E1003" s="55">
        <f t="shared" ca="1" si="187"/>
        <v>0</v>
      </c>
      <c r="F1003" s="55">
        <f t="shared" ca="1" si="188"/>
        <v>198978.67094426183</v>
      </c>
      <c r="G1003" s="101">
        <f t="shared" ca="1" si="189"/>
        <v>424305.43094426184</v>
      </c>
      <c r="H1003" s="100">
        <f ca="1">ROUND($B1003*VLOOKUP($A1003,$A$1:$B$10,2,1)/(365+IF(MOD(YEAR($A1003),4),0,1)*($A1003-$A1002)),2)-Первоначальный[[#This Row],[Проценты на просроченный платеж по ОД за период]]</f>
        <v>72.78</v>
      </c>
      <c r="I1003" s="55">
        <f t="shared" ca="1" si="190"/>
        <v>8.8000000000000007</v>
      </c>
      <c r="J1003" s="55">
        <v>0</v>
      </c>
      <c r="K1003" s="55">
        <f t="shared" ca="1" si="193"/>
        <v>434.48350327868837</v>
      </c>
      <c r="L1003" s="55">
        <v>0</v>
      </c>
      <c r="M1003" s="113">
        <f>SUMIFS(График[Возврат основной суммы долга],График[Дата с учетом нерабочих дней],$A1003)</f>
        <v>0</v>
      </c>
      <c r="N1003" s="56">
        <f>SUMIFS(График[Возврат начисленных %],График[Дата с учетом нерабочих дней],$A1003)</f>
        <v>0</v>
      </c>
      <c r="O1003" s="101">
        <v>0</v>
      </c>
      <c r="P1003" s="100" cm="1">
        <f t="array" aca="1" ref="P1003" ca="1">MAX(IF(AA1002="Да",0,SUM(INDIRECT("M"&amp;(MAX(("Да"=AA$12:AA1002)*ROW(AA$12:AA1002)+1,ROW($P$12))&amp;":M"&amp;(ROW()))))-SUM(INDIRECT("W"&amp;(MAX(("Да"=AA$12:AA1002)*ROW(AA$12:AA1002)+1,ROW($P$12))&amp;":W"&amp;(ROW()))))),0)</f>
        <v>16145.36</v>
      </c>
      <c r="Q1003" s="99">
        <f ca="1">MAX(SUM($N$13:N1003)-SUM($T$13:T1003),0)</f>
        <v>70751.340655737673</v>
      </c>
      <c r="R1003" s="99">
        <f ca="1">Первоначальный[[#This Row],[Просроченный платеж по ОД]]+Первоначальный[[#This Row],[Просроченный платеж по процентам]]</f>
        <v>86896.700655737674</v>
      </c>
      <c r="S1003" s="120">
        <f ca="1">IF(Первоначальный[[#This Row],[Просроченный платеж]]&lt;1,0,S1002+1)</f>
        <v>899</v>
      </c>
      <c r="T1003" s="100" cm="1">
        <f t="array" aca="1" ref="T1003" ca="1">IF(Первоначальный[[#This Row],[Итого остаток на начало периода]]&lt;1,0,
IF(
AND(TYPE(VLOOKUP(1,$Z$12:Z1003,1,0))=16,Первоначальный[[#This Row],[Досрочное погашение (да/"")]]=""),0,
_xlfn.IFS(AND(S1002=0,Первоначальный[[#This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платеж]]&lt;&gt;0),MIN(LOOKUP(,-1/($Z$12:Z1003=1),$C$12:C1003)+LOOKUP(,-1/($Z$12:Z1003=1),$H$12:H1003),Первоначальный[[#This Row],[Полученный платеж]]+Y1002),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платеж]]+Y1002,SUM(Первоначальный[[#This Row],[Остаток процентов на начало периода]],Первоначальный[[#This Row],[Проценты за период]])),
AND(S1002=0,Первоначальный[[#This Row],[Дата платежа из графика]]=""),0,
AND(S1002=0,Первоначальный[[#This Row],[Дата платежа из графика]]=1,MAX((0&lt;&gt;S$12:S1002)*ROW(S$12:S1002),ROW($S$12))&gt;=MAX((1=Z$12:Z1002)*ROW(Z$12:Z1002),ROW($T$12)),TYPE(VLOOKUP("Да",(INDIRECT("AA"&amp;(MAX((1=Z$12:Z1002)*ROW(Z$12:Z1002),ROW($T$12))&amp;":AA"&amp;(ROW()-1)))),1,0))=16),MIN(LOOKUP(,-1/($Z$12:Z1003=1),$C$12:C1003)+LOOKUP(,-1/($Z$12:Z1003=1),$H$12:H1003),Первоначальный[[#This Row],[Полученный платеж]]+Y1002),
AND(S1002=0,TYPE(VLOOKUP("Да",(INDIRECT("AA"&amp;(MAX((1=Z$12:Z1002)*ROW(Z$12:Z1002),ROW($T$12))&amp;":AA"&amp;(ROW()-1)))),1,0))&lt;&gt;16),MIN(LOOKUP(,-1/($Z$12:Z1003=1),$C$12:C1003)+LOOKUP(,-1/($Z$12:Z1003=1),$H$12:H1003)-IF(AA1002="Да",0,SUM(INDIRECT("T"&amp;(MAX(("Да"=AA$12:AA1002)*ROW(AA$12:AA1002)+1,ROW($T$12))&amp;":T"&amp;(ROW()-1))))),Первоначальный[[#This Row],[Полученный платеж]]+Y1002),
AND(S1002=0,MAX((0&lt;&gt;N$12:N1002)*ROW(N$12:N1002),ROW($S$12))&gt;=MAX((1=Z$12:Z1002)*ROW(Z$12:Z1002),ROW($T$12))),MIN(LOOKUP(,-1/($Z$12:Z1003=1),$C$12:C1003)+LOOKUP(,-1/($Z$12:Z1003=1),$H$12:H1003)-IF(N1002&lt;&gt;0,0,SUM(INDIRECT("T"&amp;(MAX((0&lt;&gt;N$12:N1002)*ROW(N$12:N1002)+1,ROW($T$12))&amp;":T"&amp;(ROW()-1))))),Первоначальный[[#This Row],[Полученный платеж]]+Y1002),
AND(S1002=0,Первоначальный[[#This Row],[Дата платежа из графика]]=1),MIN(LOOKUP(,-1/($Z$12:Z1003=1),$C$12:C1003)+LOOKUP(,-1/($Z$12:Z1003=1),$H$12:H1003)-IF(Z1002=1,0,SUM(INDIRECT("T"&amp;(MAX((1=Z$12:Z1002)*ROW(Z$12:Z1002)+1,ROW($T$12))&amp;":T"&amp;(ROW()-1))))),Первоначальный[[#This Row],[Полученный платеж]]+Y1002),
AND(Z1002&gt;0,Первоначальный[[#This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платеж]]+Y1002),
AND(S1002&gt;0,MAX((0&lt;&gt;S$12:S1002)*ROW(S$12:S1002),ROW($S$12))&gt;=MAX((1=Z$12:Z1002)*ROW(Z$12:Z1002),ROW($T$12)),TYPE(VLOOKUP("Да",(INDIRECT("AA"&amp;(MAX((1=Z$12:Z1002)*ROW(Z$12:Z1002),ROW($T$12))&amp;":AA"&amp;(ROW()-1)))),1,0))=16),MIN(LOOKUP(,-1/($Z$12:Z1003=1),$C$12:C1003)+LOOKUP(,-1/($Z$12:Z1003=1),$H$12:H1003)-SUM(INDIRECT("T"&amp;(MAX((1=Z$12:Z1002)*ROW(Z$12:Z1002),ROW($T$12))&amp;":T"&amp;(ROW()-1)))),Первоначальный[[#This Row],[Полученный платеж]]+Y1002),
S1002&gt;0,MIN(LOOKUP(,-1/($Z$12:Z1003=1),$C$12:C1003)+LOOKUP(,-1/($Z$12:Z1003=1),$H$12:H1003)-IF(Z1002=1,0,SUM(INDIRECT("T"&amp;(MAX((1=Z$12:Z1002)*ROW(Z$12:Z1002)+1,ROW($T$12))&amp;":T"&amp;(ROW()-1))))),Первоначальный[[#This Row],[Полученный платеж]]+Y1002)
)
)
)</f>
        <v>0</v>
      </c>
      <c r="U100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платеж]]+Y1002-Первоначальный[[#This Row],[Полученный платёж по процентам]])</f>
        <v>0</v>
      </c>
      <c r="V1003" s="55">
        <f t="shared" ca="1" si="183"/>
        <v>0</v>
      </c>
      <c r="W1003" s="55" cm="1">
        <f t="array" aca="1" ref="W1003" ca="1">IF(Первоначальный[[#This Row],[Итого остаток на начало периода]]&lt;1,0,
_xlfn.IFS(
AND(TYPE(VLOOKUP(1,$Z$12:Z1003,1,0))=16,Первоначальный[[#This Row],[Досрочное погашение (да/"")]]=""),0,
AND(S1002=0,Первоначальный[[#This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платеж]]+Y1002-SUM(Первоначальный[[#This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комиссиям]]),VLOOKUP(LOOKUP(,-1/($Z$12:Z1003=1),$A$12:A1003),График[[Срок конец]:[Возврат основной суммы долга]],3,0)),
AND(S1002=0,Первоначальный[[#This Row],[Дата платежа из графика]]="",Первоначальный[[#This Row],[Досрочное погашение (да/"")]]&lt;&gt;"Да"),0,
AND(S1002=0,Первоначальный[[#This Row],[Досрочное погашение (да/"")]]=""),MIN(Первоначальный[[#This Row],[Полученный платеж]]+Y1002-SUM(Первоначальный[[#This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комиссиям]]),VLOOKUP(LOOKUP(,-1/($Z$12:Z1003=1),$A$12:A1003),График[[Срок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платеж]]+Y1002-SUM(Первоначальный[[#This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S1002&gt;0,MIN(Первоначальный[[#This Row],[Полученный платеж]]+Y1002-SUM(Первоначальный[[#This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комиссиям]]),SUM(INDIRECT("M"&amp;(MAX((1=S$12:S1002)*ROW(S$12:S1002),ROW($W$12))&amp;":M"&amp;(ROW()))))-SUM(INDIRECT("W"&amp;(MAX((1=S$12:S1002)*ROW(S$12:S1002),ROW($W$12))&amp;":W"&amp;(ROW()-1)))))
)
)</f>
        <v>0</v>
      </c>
      <c r="X1003" s="55">
        <f t="shared" ca="1" si="184"/>
        <v>0</v>
      </c>
      <c r="Y1003" s="101">
        <f t="shared" ca="1" si="191"/>
        <v>0</v>
      </c>
      <c r="Z1003" s="133" t="str">
        <f>IF(TYPE((VLOOKUP(Первоначальный[[#This Row],[Дата платежа]],График[Срок конец],1,0)))=16,"",1)</f>
        <v/>
      </c>
      <c r="AA1003" s="57"/>
      <c r="AB1003" s="134"/>
      <c r="AC100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0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72064.070000000007</v>
      </c>
      <c r="AE100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3710.9299999999957</v>
      </c>
      <c r="AF100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0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199413.15444754052</v>
      </c>
      <c r="AH1003" s="55"/>
      <c r="AI1003" s="55"/>
      <c r="AJ1003" s="55"/>
      <c r="AK1003" s="101">
        <f t="shared" ca="1" si="192"/>
        <v>424821.49444754049</v>
      </c>
      <c r="AL1003" s="129">
        <f t="array" ref="AL1003">MAX((УслРестрактов[Характеристика]="Дата реструктуризации")*(УслРестрактов[Значение]=Первоначальный!$A1003),0)</f>
        <v>0</v>
      </c>
    </row>
    <row r="1004" spans="1:38" x14ac:dyDescent="0.25">
      <c r="A1004" s="97">
        <f t="shared" si="185"/>
        <v>45135</v>
      </c>
      <c r="B1004" s="100">
        <f t="shared" ca="1" si="186"/>
        <v>149633.34</v>
      </c>
      <c r="C1004" s="55">
        <f t="shared" ca="1" si="182"/>
        <v>72064.070000000007</v>
      </c>
      <c r="D1004" s="55">
        <f t="shared" ca="1" si="182"/>
        <v>3710.9299999999957</v>
      </c>
      <c r="E1004" s="55">
        <f t="shared" ca="1" si="187"/>
        <v>0</v>
      </c>
      <c r="F1004" s="55">
        <f t="shared" ca="1" si="188"/>
        <v>199413.15444754052</v>
      </c>
      <c r="G1004" s="101">
        <f t="shared" ca="1" si="189"/>
        <v>424821.49444754049</v>
      </c>
      <c r="H1004" s="100">
        <f ca="1">ROUND($B1004*VLOOKUP($A1004,$A$1:$B$10,2,1)/(365+IF(MOD(YEAR($A1004),4),0,1)*($A1004-$A1003)),2)-Первоначальный[[#This Row],[Проценты на просроченный платеж по ОД за период]]</f>
        <v>72.78</v>
      </c>
      <c r="I1004" s="55">
        <f t="shared" ca="1" si="190"/>
        <v>8.8000000000000007</v>
      </c>
      <c r="J1004" s="55">
        <v>0</v>
      </c>
      <c r="K1004" s="55">
        <f t="shared" ca="1" si="193"/>
        <v>434.48350327868837</v>
      </c>
      <c r="L1004" s="55">
        <v>0</v>
      </c>
      <c r="M1004" s="113">
        <f>SUMIFS(График[Возврат основной суммы долга],График[Дата с учетом нерабочих дней],$A1004)</f>
        <v>0</v>
      </c>
      <c r="N1004" s="56">
        <f>SUMIFS(График[Возврат начисленных %],График[Дата с учетом нерабочих дней],$A1004)</f>
        <v>0</v>
      </c>
      <c r="O1004" s="101">
        <v>0</v>
      </c>
      <c r="P1004" s="100" cm="1">
        <f t="array" aca="1" ref="P1004" ca="1">MAX(IF(AA1003="Да",0,SUM(INDIRECT("M"&amp;(MAX(("Да"=AA$12:AA1003)*ROW(AA$12:AA1003)+1,ROW($P$12))&amp;":M"&amp;(ROW()))))-SUM(INDIRECT("W"&amp;(MAX(("Да"=AA$12:AA1003)*ROW(AA$12:AA1003)+1,ROW($P$12))&amp;":W"&amp;(ROW()))))),0)</f>
        <v>16145.36</v>
      </c>
      <c r="Q1004" s="99">
        <f ca="1">MAX(SUM($N$13:N1004)-SUM($T$13:T1004),0)</f>
        <v>70751.340655737673</v>
      </c>
      <c r="R1004" s="99">
        <f ca="1">Первоначальный[[#This Row],[Просроченный платеж по ОД]]+Первоначальный[[#This Row],[Просроченный платеж по процентам]]</f>
        <v>86896.700655737674</v>
      </c>
      <c r="S1004" s="120">
        <f ca="1">IF(Первоначальный[[#This Row],[Просроченный платеж]]&lt;1,0,S1003+1)</f>
        <v>900</v>
      </c>
      <c r="T1004" s="100" cm="1">
        <f t="array" aca="1" ref="T1004" ca="1">IF(Первоначальный[[#This Row],[Итого остаток на начало периода]]&lt;1,0,
IF(
AND(TYPE(VLOOKUP(1,$Z$12:Z1004,1,0))=16,Первоначальный[[#This Row],[Досрочное погашение (да/"")]]=""),0,
_xlfn.IFS(AND(S1003=0,Первоначальный[[#This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платеж]]&lt;&gt;0),MIN(LOOKUP(,-1/($Z$12:Z1004=1),$C$12:C1004)+LOOKUP(,-1/($Z$12:Z1004=1),$H$12:H1004),Первоначальный[[#This Row],[Полученный платеж]]+Y1003),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платеж]]+Y1003,SUM(Первоначальный[[#This Row],[Остаток процентов на начало периода]],Первоначальный[[#This Row],[Проценты за период]])),
AND(S1003=0,Первоначальный[[#This Row],[Дата платежа из графика]]=""),0,
AND(S1003=0,Первоначальный[[#This Row],[Дата платежа из графика]]=1,MAX((0&lt;&gt;S$12:S1003)*ROW(S$12:S1003),ROW($S$12))&gt;=MAX((1=Z$12:Z1003)*ROW(Z$12:Z1003),ROW($T$12)),TYPE(VLOOKUP("Да",(INDIRECT("AA"&amp;(MAX((1=Z$12:Z1003)*ROW(Z$12:Z1003),ROW($T$12))&amp;":AA"&amp;(ROW()-1)))),1,0))=16),MIN(LOOKUP(,-1/($Z$12:Z1004=1),$C$12:C1004)+LOOKUP(,-1/($Z$12:Z1004=1),$H$12:H1004),Первоначальный[[#This Row],[Полученный платеж]]+Y1003),
AND(S1003=0,TYPE(VLOOKUP("Да",(INDIRECT("AA"&amp;(MAX((1=Z$12:Z1003)*ROW(Z$12:Z1003),ROW($T$12))&amp;":AA"&amp;(ROW()-1)))),1,0))&lt;&gt;16),MIN(LOOKUP(,-1/($Z$12:Z1004=1),$C$12:C1004)+LOOKUP(,-1/($Z$12:Z1004=1),$H$12:H1004)-IF(AA1003="Да",0,SUM(INDIRECT("T"&amp;(MAX(("Да"=AA$12:AA1003)*ROW(AA$12:AA1003)+1,ROW($T$12))&amp;":T"&amp;(ROW()-1))))),Первоначальный[[#This Row],[Полученный платеж]]+Y1003),
AND(S1003=0,MAX((0&lt;&gt;N$12:N1003)*ROW(N$12:N1003),ROW($S$12))&gt;=MAX((1=Z$12:Z1003)*ROW(Z$12:Z1003),ROW($T$12))),MIN(LOOKUP(,-1/($Z$12:Z1004=1),$C$12:C1004)+LOOKUP(,-1/($Z$12:Z1004=1),$H$12:H1004)-IF(N1003&lt;&gt;0,0,SUM(INDIRECT("T"&amp;(MAX((0&lt;&gt;N$12:N1003)*ROW(N$12:N1003)+1,ROW($T$12))&amp;":T"&amp;(ROW()-1))))),Первоначальный[[#This Row],[Полученный платеж]]+Y1003),
AND(S1003=0,Первоначальный[[#This Row],[Дата платежа из графика]]=1),MIN(LOOKUP(,-1/($Z$12:Z1004=1),$C$12:C1004)+LOOKUP(,-1/($Z$12:Z1004=1),$H$12:H1004)-IF(Z1003=1,0,SUM(INDIRECT("T"&amp;(MAX((1=Z$12:Z1003)*ROW(Z$12:Z1003)+1,ROW($T$12))&amp;":T"&amp;(ROW()-1))))),Первоначальный[[#This Row],[Полученный платеж]]+Y1003),
AND(Z1003&gt;0,Первоначальный[[#This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платеж]]+Y1003),
AND(S1003&gt;0,MAX((0&lt;&gt;S$12:S1003)*ROW(S$12:S1003),ROW($S$12))&gt;=MAX((1=Z$12:Z1003)*ROW(Z$12:Z1003),ROW($T$12)),TYPE(VLOOKUP("Да",(INDIRECT("AA"&amp;(MAX((1=Z$12:Z1003)*ROW(Z$12:Z1003),ROW($T$12))&amp;":AA"&amp;(ROW()-1)))),1,0))=16),MIN(LOOKUP(,-1/($Z$12:Z1004=1),$C$12:C1004)+LOOKUP(,-1/($Z$12:Z1004=1),$H$12:H1004)-SUM(INDIRECT("T"&amp;(MAX((1=Z$12:Z1003)*ROW(Z$12:Z1003),ROW($T$12))&amp;":T"&amp;(ROW()-1)))),Первоначальный[[#This Row],[Полученный платеж]]+Y1003),
S1003&gt;0,MIN(LOOKUP(,-1/($Z$12:Z1004=1),$C$12:C1004)+LOOKUP(,-1/($Z$12:Z1004=1),$H$12:H1004)-IF(Z1003=1,0,SUM(INDIRECT("T"&amp;(MAX((1=Z$12:Z1003)*ROW(Z$12:Z1003)+1,ROW($T$12))&amp;":T"&amp;(ROW()-1))))),Первоначальный[[#This Row],[Полученный платеж]]+Y1003)
)
)
)</f>
        <v>0</v>
      </c>
      <c r="U100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платеж]]+Y1003-Первоначальный[[#This Row],[Полученный платёж по процентам]])</f>
        <v>0</v>
      </c>
      <c r="V1004" s="55">
        <f t="shared" ca="1" si="183"/>
        <v>0</v>
      </c>
      <c r="W1004" s="55" cm="1">
        <f t="array" aca="1" ref="W1004" ca="1">IF(Первоначальный[[#This Row],[Итого остаток на начало периода]]&lt;1,0,
_xlfn.IFS(
AND(TYPE(VLOOKUP(1,$Z$12:Z1004,1,0))=16,Первоначальный[[#This Row],[Досрочное погашение (да/"")]]=""),0,
AND(S1003=0,Первоначальный[[#This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платеж]]+Y1003-SUM(Первоначальный[[#This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комиссиям]]),VLOOKUP(LOOKUP(,-1/($Z$12:Z1004=1),$A$12:A1004),График[[Срок конец]:[Возврат основной суммы долга]],3,0)),
AND(S1003=0,Первоначальный[[#This Row],[Дата платежа из графика]]="",Первоначальный[[#This Row],[Досрочное погашение (да/"")]]&lt;&gt;"Да"),0,
AND(S1003=0,Первоначальный[[#This Row],[Досрочное погашение (да/"")]]=""),MIN(Первоначальный[[#This Row],[Полученный платеж]]+Y1003-SUM(Первоначальный[[#This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комиссиям]]),VLOOKUP(LOOKUP(,-1/($Z$12:Z1004=1),$A$12:A1004),График[[Срок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платеж]]+Y1003-SUM(Первоначальный[[#This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S1003&gt;0,MIN(Первоначальный[[#This Row],[Полученный платеж]]+Y1003-SUM(Первоначальный[[#This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комиссиям]]),SUM(INDIRECT("M"&amp;(MAX((1=S$12:S1003)*ROW(S$12:S1003),ROW($W$12))&amp;":M"&amp;(ROW()))))-SUM(INDIRECT("W"&amp;(MAX((1=S$12:S1003)*ROW(S$12:S1003),ROW($W$12))&amp;":W"&amp;(ROW()-1)))))
)
)</f>
        <v>0</v>
      </c>
      <c r="X1004" s="55">
        <f t="shared" ca="1" si="184"/>
        <v>0</v>
      </c>
      <c r="Y1004" s="101">
        <f t="shared" ca="1" si="191"/>
        <v>0</v>
      </c>
      <c r="Z1004" s="133" t="str">
        <f>IF(TYPE((VLOOKUP(Первоначальный[[#This Row],[Дата платежа]],График[Срок конец],1,0)))=16,"",1)</f>
        <v/>
      </c>
      <c r="AA1004" s="57"/>
      <c r="AB1004" s="134"/>
      <c r="AC100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0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72136.850000000006</v>
      </c>
      <c r="AE100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3719.7299999999959</v>
      </c>
      <c r="AF100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0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199847.63795081922</v>
      </c>
      <c r="AH1004" s="55"/>
      <c r="AI1004" s="55"/>
      <c r="AJ1004" s="55"/>
      <c r="AK1004" s="101">
        <f t="shared" ca="1" si="192"/>
        <v>425337.5579508192</v>
      </c>
      <c r="AL1004" s="129">
        <f t="array" ref="AL1004">MAX((УслРестрактов[Характеристика]="Дата реструктуризации")*(УслРестрактов[Значение]=Первоначальный!$A1004),0)</f>
        <v>0</v>
      </c>
    </row>
    <row r="1005" spans="1:38" x14ac:dyDescent="0.25">
      <c r="A1005" s="97">
        <f t="shared" si="185"/>
        <v>45136</v>
      </c>
      <c r="B1005" s="100">
        <f t="shared" ca="1" si="186"/>
        <v>149633.34</v>
      </c>
      <c r="C1005" s="55">
        <f t="shared" ca="1" si="182"/>
        <v>72136.850000000006</v>
      </c>
      <c r="D1005" s="55">
        <f t="shared" ca="1" si="182"/>
        <v>3719.7299999999959</v>
      </c>
      <c r="E1005" s="55">
        <f t="shared" ca="1" si="187"/>
        <v>0</v>
      </c>
      <c r="F1005" s="55">
        <f t="shared" ca="1" si="188"/>
        <v>199847.63795081922</v>
      </c>
      <c r="G1005" s="101">
        <f t="shared" ca="1" si="189"/>
        <v>425337.5579508192</v>
      </c>
      <c r="H1005" s="100">
        <f ca="1">ROUND($B1005*VLOOKUP($A1005,$A$1:$B$10,2,1)/(365+IF(MOD(YEAR($A1005),4),0,1)*($A1005-$A1004)),2)-Первоначальный[[#This Row],[Проценты на просроченный платеж по ОД за период]]</f>
        <v>72.78</v>
      </c>
      <c r="I1005" s="55">
        <f t="shared" ca="1" si="190"/>
        <v>8.8000000000000007</v>
      </c>
      <c r="J1005" s="55">
        <v>0</v>
      </c>
      <c r="K1005" s="55">
        <f t="shared" ca="1" si="193"/>
        <v>434.48350327868837</v>
      </c>
      <c r="L1005" s="55">
        <v>0</v>
      </c>
      <c r="M1005" s="113">
        <f>SUMIFS(График[Возврат основной суммы долга],График[Дата с учетом нерабочих дней],$A1005)</f>
        <v>0</v>
      </c>
      <c r="N1005" s="56">
        <f>SUMIFS(График[Возврат начисленных %],График[Дата с учетом нерабочих дней],$A1005)</f>
        <v>0</v>
      </c>
      <c r="O1005" s="101">
        <v>0</v>
      </c>
      <c r="P1005" s="100" cm="1">
        <f t="array" aca="1" ref="P1005" ca="1">MAX(IF(AA1004="Да",0,SUM(INDIRECT("M"&amp;(MAX(("Да"=AA$12:AA1004)*ROW(AA$12:AA1004)+1,ROW($P$12))&amp;":M"&amp;(ROW()))))-SUM(INDIRECT("W"&amp;(MAX(("Да"=AA$12:AA1004)*ROW(AA$12:AA1004)+1,ROW($P$12))&amp;":W"&amp;(ROW()))))),0)</f>
        <v>16145.36</v>
      </c>
      <c r="Q1005" s="99">
        <f ca="1">MAX(SUM($N$13:N1005)-SUM($T$13:T1005),0)</f>
        <v>70751.340655737673</v>
      </c>
      <c r="R1005" s="99">
        <f ca="1">Первоначальный[[#This Row],[Просроченный платеж по ОД]]+Первоначальный[[#This Row],[Просроченный платеж по процентам]]</f>
        <v>86896.700655737674</v>
      </c>
      <c r="S1005" s="120">
        <f ca="1">IF(Первоначальный[[#This Row],[Просроченный платеж]]&lt;1,0,S1004+1)</f>
        <v>901</v>
      </c>
      <c r="T1005" s="100" cm="1">
        <f t="array" aca="1" ref="T1005" ca="1">IF(Первоначальный[[#This Row],[Итого остаток на начало периода]]&lt;1,0,
IF(
AND(TYPE(VLOOKUP(1,$Z$12:Z1005,1,0))=16,Первоначальный[[#This Row],[Досрочное погашение (да/"")]]=""),0,
_xlfn.IFS(AND(S1004=0,Первоначальный[[#This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платеж]]&lt;&gt;0),MIN(LOOKUP(,-1/($Z$12:Z1005=1),$C$12:C1005)+LOOKUP(,-1/($Z$12:Z1005=1),$H$12:H1005),Первоначальный[[#This Row],[Полученный платеж]]+Y1004),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платеж]]+Y1004,SUM(Первоначальный[[#This Row],[Остаток процентов на начало периода]],Первоначальный[[#This Row],[Проценты за период]])),
AND(S1004=0,Первоначальный[[#This Row],[Дата платежа из графика]]=""),0,
AND(S1004=0,Первоначальный[[#This Row],[Дата платежа из графика]]=1,MAX((0&lt;&gt;S$12:S1004)*ROW(S$12:S1004),ROW($S$12))&gt;=MAX((1=Z$12:Z1004)*ROW(Z$12:Z1004),ROW($T$12)),TYPE(VLOOKUP("Да",(INDIRECT("AA"&amp;(MAX((1=Z$12:Z1004)*ROW(Z$12:Z1004),ROW($T$12))&amp;":AA"&amp;(ROW()-1)))),1,0))=16),MIN(LOOKUP(,-1/($Z$12:Z1005=1),$C$12:C1005)+LOOKUP(,-1/($Z$12:Z1005=1),$H$12:H1005),Первоначальный[[#This Row],[Полученный платеж]]+Y1004),
AND(S1004=0,TYPE(VLOOKUP("Да",(INDIRECT("AA"&amp;(MAX((1=Z$12:Z1004)*ROW(Z$12:Z1004),ROW($T$12))&amp;":AA"&amp;(ROW()-1)))),1,0))&lt;&gt;16),MIN(LOOKUP(,-1/($Z$12:Z1005=1),$C$12:C1005)+LOOKUP(,-1/($Z$12:Z1005=1),$H$12:H1005)-IF(AA1004="Да",0,SUM(INDIRECT("T"&amp;(MAX(("Да"=AA$12:AA1004)*ROW(AA$12:AA1004)+1,ROW($T$12))&amp;":T"&amp;(ROW()-1))))),Первоначальный[[#This Row],[Полученный платеж]]+Y1004),
AND(S1004=0,MAX((0&lt;&gt;N$12:N1004)*ROW(N$12:N1004),ROW($S$12))&gt;=MAX((1=Z$12:Z1004)*ROW(Z$12:Z1004),ROW($T$12))),MIN(LOOKUP(,-1/($Z$12:Z1005=1),$C$12:C1005)+LOOKUP(,-1/($Z$12:Z1005=1),$H$12:H1005)-IF(N1004&lt;&gt;0,0,SUM(INDIRECT("T"&amp;(MAX((0&lt;&gt;N$12:N1004)*ROW(N$12:N1004)+1,ROW($T$12))&amp;":T"&amp;(ROW()-1))))),Первоначальный[[#This Row],[Полученный платеж]]+Y1004),
AND(S1004=0,Первоначальный[[#This Row],[Дата платежа из графика]]=1),MIN(LOOKUP(,-1/($Z$12:Z1005=1),$C$12:C1005)+LOOKUP(,-1/($Z$12:Z1005=1),$H$12:H1005)-IF(Z1004=1,0,SUM(INDIRECT("T"&amp;(MAX((1=Z$12:Z1004)*ROW(Z$12:Z1004)+1,ROW($T$12))&amp;":T"&amp;(ROW()-1))))),Первоначальный[[#This Row],[Полученный платеж]]+Y1004),
AND(Z1004&gt;0,Первоначальный[[#This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платеж]]+Y1004),
AND(S1004&gt;0,MAX((0&lt;&gt;S$12:S1004)*ROW(S$12:S1004),ROW($S$12))&gt;=MAX((1=Z$12:Z1004)*ROW(Z$12:Z1004),ROW($T$12)),TYPE(VLOOKUP("Да",(INDIRECT("AA"&amp;(MAX((1=Z$12:Z1004)*ROW(Z$12:Z1004),ROW($T$12))&amp;":AA"&amp;(ROW()-1)))),1,0))=16),MIN(LOOKUP(,-1/($Z$12:Z1005=1),$C$12:C1005)+LOOKUP(,-1/($Z$12:Z1005=1),$H$12:H1005)-SUM(INDIRECT("T"&amp;(MAX((1=Z$12:Z1004)*ROW(Z$12:Z1004),ROW($T$12))&amp;":T"&amp;(ROW()-1)))),Первоначальный[[#This Row],[Полученный платеж]]+Y1004),
S1004&gt;0,MIN(LOOKUP(,-1/($Z$12:Z1005=1),$C$12:C1005)+LOOKUP(,-1/($Z$12:Z1005=1),$H$12:H1005)-IF(Z1004=1,0,SUM(INDIRECT("T"&amp;(MAX((1=Z$12:Z1004)*ROW(Z$12:Z1004)+1,ROW($T$12))&amp;":T"&amp;(ROW()-1))))),Первоначальный[[#This Row],[Полученный платеж]]+Y1004)
)
)
)</f>
        <v>0</v>
      </c>
      <c r="U100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платеж]]+Y1004-Первоначальный[[#This Row],[Полученный платёж по процентам]])</f>
        <v>0</v>
      </c>
      <c r="V1005" s="55">
        <f t="shared" ca="1" si="183"/>
        <v>0</v>
      </c>
      <c r="W1005" s="55" cm="1">
        <f t="array" aca="1" ref="W1005" ca="1">IF(Первоначальный[[#This Row],[Итого остаток на начало периода]]&lt;1,0,
_xlfn.IFS(
AND(TYPE(VLOOKUP(1,$Z$12:Z1005,1,0))=16,Первоначальный[[#This Row],[Досрочное погашение (да/"")]]=""),0,
AND(S1004=0,Первоначальный[[#This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платеж]]+Y1004-SUM(Первоначальный[[#This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комиссиям]]),VLOOKUP(LOOKUP(,-1/($Z$12:Z1005=1),$A$12:A1005),График[[Срок конец]:[Возврат основной суммы долга]],3,0)),
AND(S1004=0,Первоначальный[[#This Row],[Дата платежа из графика]]="",Первоначальный[[#This Row],[Досрочное погашение (да/"")]]&lt;&gt;"Да"),0,
AND(S1004=0,Первоначальный[[#This Row],[Досрочное погашение (да/"")]]=""),MIN(Первоначальный[[#This Row],[Полученный платеж]]+Y1004-SUM(Первоначальный[[#This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комиссиям]]),VLOOKUP(LOOKUP(,-1/($Z$12:Z1005=1),$A$12:A1005),График[[Срок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платеж]]+Y1004-SUM(Первоначальный[[#This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S1004&gt;0,MIN(Первоначальный[[#This Row],[Полученный платеж]]+Y1004-SUM(Первоначальный[[#This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комиссиям]]),SUM(INDIRECT("M"&amp;(MAX((1=S$12:S1004)*ROW(S$12:S1004),ROW($W$12))&amp;":M"&amp;(ROW()))))-SUM(INDIRECT("W"&amp;(MAX((1=S$12:S1004)*ROW(S$12:S1004),ROW($W$12))&amp;":W"&amp;(ROW()-1)))))
)
)</f>
        <v>0</v>
      </c>
      <c r="X1005" s="55">
        <f t="shared" ca="1" si="184"/>
        <v>0</v>
      </c>
      <c r="Y1005" s="101">
        <f t="shared" ca="1" si="191"/>
        <v>0</v>
      </c>
      <c r="Z1005" s="133" t="str">
        <f>IF(TYPE((VLOOKUP(Первоначальный[[#This Row],[Дата платежа]],График[Срок конец],1,0)))=16,"",1)</f>
        <v/>
      </c>
      <c r="AA1005" s="57"/>
      <c r="AB1005" s="134"/>
      <c r="AC100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0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72209.63</v>
      </c>
      <c r="AE100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3728.5299999999961</v>
      </c>
      <c r="AF100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0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200282.12145409791</v>
      </c>
      <c r="AH1005" s="55"/>
      <c r="AI1005" s="55"/>
      <c r="AJ1005" s="55"/>
      <c r="AK1005" s="101">
        <f t="shared" ca="1" si="192"/>
        <v>425853.62145409791</v>
      </c>
      <c r="AL1005" s="129">
        <f t="array" ref="AL1005">MAX((УслРестрактов[Характеристика]="Дата реструктуризации")*(УслРестрактов[Значение]=Первоначальный!$A1005),0)</f>
        <v>0</v>
      </c>
    </row>
    <row r="1006" spans="1:38" x14ac:dyDescent="0.25">
      <c r="A1006" s="97">
        <f t="shared" si="185"/>
        <v>45137</v>
      </c>
      <c r="B1006" s="100">
        <f t="shared" ca="1" si="186"/>
        <v>149633.34</v>
      </c>
      <c r="C1006" s="55">
        <f t="shared" ca="1" si="182"/>
        <v>72209.63</v>
      </c>
      <c r="D1006" s="55">
        <f t="shared" ca="1" si="182"/>
        <v>3728.5299999999961</v>
      </c>
      <c r="E1006" s="55">
        <f t="shared" ca="1" si="187"/>
        <v>0</v>
      </c>
      <c r="F1006" s="55">
        <f t="shared" ca="1" si="188"/>
        <v>200282.12145409791</v>
      </c>
      <c r="G1006" s="101">
        <f t="shared" ca="1" si="189"/>
        <v>425853.62145409791</v>
      </c>
      <c r="H1006" s="100">
        <f ca="1">ROUND($B1006*VLOOKUP($A1006,$A$1:$B$10,2,1)/(365+IF(MOD(YEAR($A1006),4),0,1)*($A1006-$A1005)),2)-Первоначальный[[#This Row],[Проценты на просроченный платеж по ОД за период]]</f>
        <v>72.78</v>
      </c>
      <c r="I1006" s="55">
        <f t="shared" ca="1" si="190"/>
        <v>8.8000000000000007</v>
      </c>
      <c r="J1006" s="55">
        <v>0</v>
      </c>
      <c r="K1006" s="55">
        <f t="shared" ca="1" si="193"/>
        <v>434.48350327868837</v>
      </c>
      <c r="L1006" s="55">
        <v>0</v>
      </c>
      <c r="M1006" s="113">
        <f>SUMIFS(График[Возврат основной суммы долга],График[Дата с учетом нерабочих дней],$A1006)</f>
        <v>0</v>
      </c>
      <c r="N1006" s="56">
        <f>SUMIFS(График[Возврат начисленных %],График[Дата с учетом нерабочих дней],$A1006)</f>
        <v>0</v>
      </c>
      <c r="O1006" s="101">
        <v>0</v>
      </c>
      <c r="P1006" s="100" cm="1">
        <f t="array" aca="1" ref="P1006" ca="1">MAX(IF(AA1005="Да",0,SUM(INDIRECT("M"&amp;(MAX(("Да"=AA$12:AA1005)*ROW(AA$12:AA1005)+1,ROW($P$12))&amp;":M"&amp;(ROW()))))-SUM(INDIRECT("W"&amp;(MAX(("Да"=AA$12:AA1005)*ROW(AA$12:AA1005)+1,ROW($P$12))&amp;":W"&amp;(ROW()))))),0)</f>
        <v>16145.36</v>
      </c>
      <c r="Q1006" s="99">
        <f ca="1">MAX(SUM($N$13:N1006)-SUM($T$13:T1006),0)</f>
        <v>70751.340655737673</v>
      </c>
      <c r="R1006" s="99">
        <f ca="1">Первоначальный[[#This Row],[Просроченный платеж по ОД]]+Первоначальный[[#This Row],[Просроченный платеж по процентам]]</f>
        <v>86896.700655737674</v>
      </c>
      <c r="S1006" s="120">
        <f ca="1">IF(Первоначальный[[#This Row],[Просроченный платеж]]&lt;1,0,S1005+1)</f>
        <v>902</v>
      </c>
      <c r="T1006" s="100" cm="1">
        <f t="array" aca="1" ref="T1006" ca="1">IF(Первоначальный[[#This Row],[Итого остаток на начало периода]]&lt;1,0,
IF(
AND(TYPE(VLOOKUP(1,$Z$12:Z1006,1,0))=16,Первоначальный[[#This Row],[Досрочное погашение (да/"")]]=""),0,
_xlfn.IFS(AND(S1005=0,Первоначальный[[#This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платеж]]&lt;&gt;0),MIN(LOOKUP(,-1/($Z$12:Z1006=1),$C$12:C1006)+LOOKUP(,-1/($Z$12:Z1006=1),$H$12:H1006),Первоначальный[[#This Row],[Полученный платеж]]+Y1005),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платеж]]+Y1005,SUM(Первоначальный[[#This Row],[Остаток процентов на начало периода]],Первоначальный[[#This Row],[Проценты за период]])),
AND(S1005=0,Первоначальный[[#This Row],[Дата платежа из графика]]=""),0,
AND(S1005=0,Первоначальный[[#This Row],[Дата платежа из графика]]=1,MAX((0&lt;&gt;S$12:S1005)*ROW(S$12:S1005),ROW($S$12))&gt;=MAX((1=Z$12:Z1005)*ROW(Z$12:Z1005),ROW($T$12)),TYPE(VLOOKUP("Да",(INDIRECT("AA"&amp;(MAX((1=Z$12:Z1005)*ROW(Z$12:Z1005),ROW($T$12))&amp;":AA"&amp;(ROW()-1)))),1,0))=16),MIN(LOOKUP(,-1/($Z$12:Z1006=1),$C$12:C1006)+LOOKUP(,-1/($Z$12:Z1006=1),$H$12:H1006),Первоначальный[[#This Row],[Полученный платеж]]+Y1005),
AND(S1005=0,TYPE(VLOOKUP("Да",(INDIRECT("AA"&amp;(MAX((1=Z$12:Z1005)*ROW(Z$12:Z1005),ROW($T$12))&amp;":AA"&amp;(ROW()-1)))),1,0))&lt;&gt;16),MIN(LOOKUP(,-1/($Z$12:Z1006=1),$C$12:C1006)+LOOKUP(,-1/($Z$12:Z1006=1),$H$12:H1006)-IF(AA1005="Да",0,SUM(INDIRECT("T"&amp;(MAX(("Да"=AA$12:AA1005)*ROW(AA$12:AA1005)+1,ROW($T$12))&amp;":T"&amp;(ROW()-1))))),Первоначальный[[#This Row],[Полученный платеж]]+Y1005),
AND(S1005=0,MAX((0&lt;&gt;N$12:N1005)*ROW(N$12:N1005),ROW($S$12))&gt;=MAX((1=Z$12:Z1005)*ROW(Z$12:Z1005),ROW($T$12))),MIN(LOOKUP(,-1/($Z$12:Z1006=1),$C$12:C1006)+LOOKUP(,-1/($Z$12:Z1006=1),$H$12:H1006)-IF(N1005&lt;&gt;0,0,SUM(INDIRECT("T"&amp;(MAX((0&lt;&gt;N$12:N1005)*ROW(N$12:N1005)+1,ROW($T$12))&amp;":T"&amp;(ROW()-1))))),Первоначальный[[#This Row],[Полученный платеж]]+Y1005),
AND(S1005=0,Первоначальный[[#This Row],[Дата платежа из графика]]=1),MIN(LOOKUP(,-1/($Z$12:Z1006=1),$C$12:C1006)+LOOKUP(,-1/($Z$12:Z1006=1),$H$12:H1006)-IF(Z1005=1,0,SUM(INDIRECT("T"&amp;(MAX((1=Z$12:Z1005)*ROW(Z$12:Z1005)+1,ROW($T$12))&amp;":T"&amp;(ROW()-1))))),Первоначальный[[#This Row],[Полученный платеж]]+Y1005),
AND(Z1005&gt;0,Первоначальный[[#This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платеж]]+Y1005),
AND(S1005&gt;0,MAX((0&lt;&gt;S$12:S1005)*ROW(S$12:S1005),ROW($S$12))&gt;=MAX((1=Z$12:Z1005)*ROW(Z$12:Z1005),ROW($T$12)),TYPE(VLOOKUP("Да",(INDIRECT("AA"&amp;(MAX((1=Z$12:Z1005)*ROW(Z$12:Z1005),ROW($T$12))&amp;":AA"&amp;(ROW()-1)))),1,0))=16),MIN(LOOKUP(,-1/($Z$12:Z1006=1),$C$12:C1006)+LOOKUP(,-1/($Z$12:Z1006=1),$H$12:H1006)-SUM(INDIRECT("T"&amp;(MAX((1=Z$12:Z1005)*ROW(Z$12:Z1005),ROW($T$12))&amp;":T"&amp;(ROW()-1)))),Первоначальный[[#This Row],[Полученный платеж]]+Y1005),
S1005&gt;0,MIN(LOOKUP(,-1/($Z$12:Z1006=1),$C$12:C1006)+LOOKUP(,-1/($Z$12:Z1006=1),$H$12:H1006)-IF(Z1005=1,0,SUM(INDIRECT("T"&amp;(MAX((1=Z$12:Z1005)*ROW(Z$12:Z1005)+1,ROW($T$12))&amp;":T"&amp;(ROW()-1))))),Первоначальный[[#This Row],[Полученный платеж]]+Y1005)
)
)
)</f>
        <v>0</v>
      </c>
      <c r="U100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платеж]]+Y1005-Первоначальный[[#This Row],[Полученный платёж по процентам]])</f>
        <v>0</v>
      </c>
      <c r="V1006" s="55">
        <f t="shared" ca="1" si="183"/>
        <v>0</v>
      </c>
      <c r="W1006" s="55" cm="1">
        <f t="array" aca="1" ref="W1006" ca="1">IF(Первоначальный[[#This Row],[Итого остаток на начало периода]]&lt;1,0,
_xlfn.IFS(
AND(TYPE(VLOOKUP(1,$Z$12:Z1006,1,0))=16,Первоначальный[[#This Row],[Досрочное погашение (да/"")]]=""),0,
AND(S1005=0,Первоначальный[[#This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платеж]]+Y1005-SUM(Первоначальный[[#This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комиссиям]]),VLOOKUP(LOOKUP(,-1/($Z$12:Z1006=1),$A$12:A1006),График[[Срок конец]:[Возврат основной суммы долга]],3,0)),
AND(S1005=0,Первоначальный[[#This Row],[Дата платежа из графика]]="",Первоначальный[[#This Row],[Досрочное погашение (да/"")]]&lt;&gt;"Да"),0,
AND(S1005=0,Первоначальный[[#This Row],[Досрочное погашение (да/"")]]=""),MIN(Первоначальный[[#This Row],[Полученный платеж]]+Y1005-SUM(Первоначальный[[#This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комиссиям]]),VLOOKUP(LOOKUP(,-1/($Z$12:Z1006=1),$A$12:A1006),График[[Срок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платеж]]+Y1005-SUM(Первоначальный[[#This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S1005&gt;0,MIN(Первоначальный[[#This Row],[Полученный платеж]]+Y1005-SUM(Первоначальный[[#This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комиссиям]]),SUM(INDIRECT("M"&amp;(MAX((1=S$12:S1005)*ROW(S$12:S1005),ROW($W$12))&amp;":M"&amp;(ROW()))))-SUM(INDIRECT("W"&amp;(MAX((1=S$12:S1005)*ROW(S$12:S1005),ROW($W$12))&amp;":W"&amp;(ROW()-1)))))
)
)</f>
        <v>0</v>
      </c>
      <c r="X1006" s="55">
        <f t="shared" ca="1" si="184"/>
        <v>0</v>
      </c>
      <c r="Y1006" s="101">
        <f t="shared" ca="1" si="191"/>
        <v>0</v>
      </c>
      <c r="Z1006" s="133" t="str">
        <f>IF(TYPE((VLOOKUP(Первоначальный[[#This Row],[Дата платежа]],График[Срок конец],1,0)))=16,"",1)</f>
        <v/>
      </c>
      <c r="AA1006" s="57"/>
      <c r="AB1006" s="134"/>
      <c r="AC100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0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72282.41</v>
      </c>
      <c r="AE100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3737.3299999999963</v>
      </c>
      <c r="AF100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0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200716.60495737661</v>
      </c>
      <c r="AH1006" s="55"/>
      <c r="AI1006" s="55"/>
      <c r="AJ1006" s="55"/>
      <c r="AK1006" s="101">
        <f t="shared" ca="1" si="192"/>
        <v>426369.68495737656</v>
      </c>
      <c r="AL1006" s="129">
        <f t="array" ref="AL1006">MAX((УслРестрактов[Характеристика]="Дата реструктуризации")*(УслРестрактов[Значение]=Первоначальный!$A1006),0)</f>
        <v>0</v>
      </c>
    </row>
    <row r="1007" spans="1:38" x14ac:dyDescent="0.25">
      <c r="A1007" s="97">
        <f t="shared" si="185"/>
        <v>45138</v>
      </c>
      <c r="B1007" s="100">
        <f t="shared" ca="1" si="186"/>
        <v>149633.34</v>
      </c>
      <c r="C1007" s="55">
        <f t="shared" ca="1" si="182"/>
        <v>72282.41</v>
      </c>
      <c r="D1007" s="55">
        <f t="shared" ca="1" si="182"/>
        <v>3737.3299999999963</v>
      </c>
      <c r="E1007" s="55">
        <f t="shared" ca="1" si="187"/>
        <v>0</v>
      </c>
      <c r="F1007" s="55">
        <f t="shared" ca="1" si="188"/>
        <v>200716.60495737661</v>
      </c>
      <c r="G1007" s="101">
        <f t="shared" ca="1" si="189"/>
        <v>426369.68495737656</v>
      </c>
      <c r="H1007" s="100">
        <f ca="1">ROUND($B1007*VLOOKUP($A1007,$A$1:$B$10,2,1)/(365+IF(MOD(YEAR($A1007),4),0,1)*($A1007-$A1006)),2)-Первоначальный[[#This Row],[Проценты на просроченный платеж по ОД за период]]</f>
        <v>72.78</v>
      </c>
      <c r="I1007" s="55">
        <f t="shared" ca="1" si="190"/>
        <v>8.8000000000000007</v>
      </c>
      <c r="J1007" s="55">
        <v>0</v>
      </c>
      <c r="K1007" s="55">
        <f t="shared" ca="1" si="193"/>
        <v>434.48350327868837</v>
      </c>
      <c r="L1007" s="55">
        <v>0</v>
      </c>
      <c r="M1007" s="113">
        <f>SUMIFS(График[Возврат основной суммы долга],График[Дата с учетом нерабочих дней],$A1007)</f>
        <v>0</v>
      </c>
      <c r="N1007" s="56">
        <f>SUMIFS(График[Возврат начисленных %],График[Дата с учетом нерабочих дней],$A1007)</f>
        <v>0</v>
      </c>
      <c r="O1007" s="101">
        <v>0</v>
      </c>
      <c r="P1007" s="100" cm="1">
        <f t="array" aca="1" ref="P1007" ca="1">MAX(IF(AA1006="Да",0,SUM(INDIRECT("M"&amp;(MAX(("Да"=AA$12:AA1006)*ROW(AA$12:AA1006)+1,ROW($P$12))&amp;":M"&amp;(ROW()))))-SUM(INDIRECT("W"&amp;(MAX(("Да"=AA$12:AA1006)*ROW(AA$12:AA1006)+1,ROW($P$12))&amp;":W"&amp;(ROW()))))),0)</f>
        <v>16145.36</v>
      </c>
      <c r="Q1007" s="99">
        <f ca="1">MAX(SUM($N$13:N1007)-SUM($T$13:T1007),0)</f>
        <v>70751.340655737673</v>
      </c>
      <c r="R1007" s="99">
        <f ca="1">Первоначальный[[#This Row],[Просроченный платеж по ОД]]+Первоначальный[[#This Row],[Просроченный платеж по процентам]]</f>
        <v>86896.700655737674</v>
      </c>
      <c r="S1007" s="120">
        <f ca="1">IF(Первоначальный[[#This Row],[Просроченный платеж]]&lt;1,0,S1006+1)</f>
        <v>903</v>
      </c>
      <c r="T1007" s="100" cm="1">
        <f t="array" aca="1" ref="T1007" ca="1">IF(Первоначальный[[#This Row],[Итого остаток на начало периода]]&lt;1,0,
IF(
AND(TYPE(VLOOKUP(1,$Z$12:Z1007,1,0))=16,Первоначальный[[#This Row],[Досрочное погашение (да/"")]]=""),0,
_xlfn.IFS(AND(S1006=0,Первоначальный[[#This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платеж]]&lt;&gt;0),MIN(LOOKUP(,-1/($Z$12:Z1007=1),$C$12:C1007)+LOOKUP(,-1/($Z$12:Z1007=1),$H$12:H1007),Первоначальный[[#This Row],[Полученный платеж]]+Y1006),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платеж]]+Y1006,SUM(Первоначальный[[#This Row],[Остаток процентов на начало периода]],Первоначальный[[#This Row],[Проценты за период]])),
AND(S1006=0,Первоначальный[[#This Row],[Дата платежа из графика]]=""),0,
AND(S1006=0,Первоначальный[[#This Row],[Дата платежа из графика]]=1,MAX((0&lt;&gt;S$12:S1006)*ROW(S$12:S1006),ROW($S$12))&gt;=MAX((1=Z$12:Z1006)*ROW(Z$12:Z1006),ROW($T$12)),TYPE(VLOOKUP("Да",(INDIRECT("AA"&amp;(MAX((1=Z$12:Z1006)*ROW(Z$12:Z1006),ROW($T$12))&amp;":AA"&amp;(ROW()-1)))),1,0))=16),MIN(LOOKUP(,-1/($Z$12:Z1007=1),$C$12:C1007)+LOOKUP(,-1/($Z$12:Z1007=1),$H$12:H1007),Первоначальный[[#This Row],[Полученный платеж]]+Y1006),
AND(S1006=0,TYPE(VLOOKUP("Да",(INDIRECT("AA"&amp;(MAX((1=Z$12:Z1006)*ROW(Z$12:Z1006),ROW($T$12))&amp;":AA"&amp;(ROW()-1)))),1,0))&lt;&gt;16),MIN(LOOKUP(,-1/($Z$12:Z1007=1),$C$12:C1007)+LOOKUP(,-1/($Z$12:Z1007=1),$H$12:H1007)-IF(AA1006="Да",0,SUM(INDIRECT("T"&amp;(MAX(("Да"=AA$12:AA1006)*ROW(AA$12:AA1006)+1,ROW($T$12))&amp;":T"&amp;(ROW()-1))))),Первоначальный[[#This Row],[Полученный платеж]]+Y1006),
AND(S1006=0,MAX((0&lt;&gt;N$12:N1006)*ROW(N$12:N1006),ROW($S$12))&gt;=MAX((1=Z$12:Z1006)*ROW(Z$12:Z1006),ROW($T$12))),MIN(LOOKUP(,-1/($Z$12:Z1007=1),$C$12:C1007)+LOOKUP(,-1/($Z$12:Z1007=1),$H$12:H1007)-IF(N1006&lt;&gt;0,0,SUM(INDIRECT("T"&amp;(MAX((0&lt;&gt;N$12:N1006)*ROW(N$12:N1006)+1,ROW($T$12))&amp;":T"&amp;(ROW()-1))))),Первоначальный[[#This Row],[Полученный платеж]]+Y1006),
AND(S1006=0,Первоначальный[[#This Row],[Дата платежа из графика]]=1),MIN(LOOKUP(,-1/($Z$12:Z1007=1),$C$12:C1007)+LOOKUP(,-1/($Z$12:Z1007=1),$H$12:H1007)-IF(Z1006=1,0,SUM(INDIRECT("T"&amp;(MAX((1=Z$12:Z1006)*ROW(Z$12:Z1006)+1,ROW($T$12))&amp;":T"&amp;(ROW()-1))))),Первоначальный[[#This Row],[Полученный платеж]]+Y1006),
AND(Z1006&gt;0,Первоначальный[[#This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платеж]]+Y1006),
AND(S1006&gt;0,MAX((0&lt;&gt;S$12:S1006)*ROW(S$12:S1006),ROW($S$12))&gt;=MAX((1=Z$12:Z1006)*ROW(Z$12:Z1006),ROW($T$12)),TYPE(VLOOKUP("Да",(INDIRECT("AA"&amp;(MAX((1=Z$12:Z1006)*ROW(Z$12:Z1006),ROW($T$12))&amp;":AA"&amp;(ROW()-1)))),1,0))=16),MIN(LOOKUP(,-1/($Z$12:Z1007=1),$C$12:C1007)+LOOKUP(,-1/($Z$12:Z1007=1),$H$12:H1007)-SUM(INDIRECT("T"&amp;(MAX((1=Z$12:Z1006)*ROW(Z$12:Z1006),ROW($T$12))&amp;":T"&amp;(ROW()-1)))),Первоначальный[[#This Row],[Полученный платеж]]+Y1006),
S1006&gt;0,MIN(LOOKUP(,-1/($Z$12:Z1007=1),$C$12:C1007)+LOOKUP(,-1/($Z$12:Z1007=1),$H$12:H1007)-IF(Z1006=1,0,SUM(INDIRECT("T"&amp;(MAX((1=Z$12:Z1006)*ROW(Z$12:Z1006)+1,ROW($T$12))&amp;":T"&amp;(ROW()-1))))),Первоначальный[[#This Row],[Полученный платеж]]+Y1006)
)
)
)</f>
        <v>0</v>
      </c>
      <c r="U100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платеж]]+Y1006-Первоначальный[[#This Row],[Полученный платёж по процентам]])</f>
        <v>0</v>
      </c>
      <c r="V1007" s="55">
        <f t="shared" ca="1" si="183"/>
        <v>0</v>
      </c>
      <c r="W1007" s="55" cm="1">
        <f t="array" aca="1" ref="W1007" ca="1">IF(Первоначальный[[#This Row],[Итого остаток на начало периода]]&lt;1,0,
_xlfn.IFS(
AND(TYPE(VLOOKUP(1,$Z$12:Z1007,1,0))=16,Первоначальный[[#This Row],[Досрочное погашение (да/"")]]=""),0,
AND(S1006=0,Первоначальный[[#This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платеж]]+Y1006-SUM(Первоначальный[[#This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комиссиям]]),VLOOKUP(LOOKUP(,-1/($Z$12:Z1007=1),$A$12:A1007),График[[Срок конец]:[Возврат основной суммы долга]],3,0)),
AND(S1006=0,Первоначальный[[#This Row],[Дата платежа из графика]]="",Первоначальный[[#This Row],[Досрочное погашение (да/"")]]&lt;&gt;"Да"),0,
AND(S1006=0,Первоначальный[[#This Row],[Досрочное погашение (да/"")]]=""),MIN(Первоначальный[[#This Row],[Полученный платеж]]+Y1006-SUM(Первоначальный[[#This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комиссиям]]),VLOOKUP(LOOKUP(,-1/($Z$12:Z1007=1),$A$12:A1007),График[[Срок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платеж]]+Y1006-SUM(Первоначальный[[#This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S1006&gt;0,MIN(Первоначальный[[#This Row],[Полученный платеж]]+Y1006-SUM(Первоначальный[[#This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комиссиям]]),SUM(INDIRECT("M"&amp;(MAX((1=S$12:S1006)*ROW(S$12:S1006),ROW($W$12))&amp;":M"&amp;(ROW()))))-SUM(INDIRECT("W"&amp;(MAX((1=S$12:S1006)*ROW(S$12:S1006),ROW($W$12))&amp;":W"&amp;(ROW()-1)))))
)
)</f>
        <v>0</v>
      </c>
      <c r="X1007" s="55">
        <f t="shared" ca="1" si="184"/>
        <v>0</v>
      </c>
      <c r="Y1007" s="101">
        <f t="shared" ca="1" si="191"/>
        <v>0</v>
      </c>
      <c r="Z1007" s="133" t="str">
        <f>IF(TYPE((VLOOKUP(Первоначальный[[#This Row],[Дата платежа]],График[Срок конец],1,0)))=16,"",1)</f>
        <v/>
      </c>
      <c r="AA1007" s="57"/>
      <c r="AB1007" s="134"/>
      <c r="AC100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0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72355.19</v>
      </c>
      <c r="AE100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3746.1299999999965</v>
      </c>
      <c r="AF100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0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201151.0884606553</v>
      </c>
      <c r="AH1007" s="55"/>
      <c r="AI1007" s="55"/>
      <c r="AJ1007" s="55"/>
      <c r="AK1007" s="101">
        <f t="shared" ca="1" si="192"/>
        <v>426885.74846065533</v>
      </c>
      <c r="AL1007" s="129">
        <f t="array" ref="AL1007">MAX((УслРестрактов[Характеристика]="Дата реструктуризации")*(УслРестрактов[Значение]=Первоначальный!$A1007),0)</f>
        <v>0</v>
      </c>
    </row>
    <row r="1008" spans="1:38" x14ac:dyDescent="0.25">
      <c r="A1008" s="97">
        <f t="shared" si="185"/>
        <v>45139</v>
      </c>
      <c r="B1008" s="100">
        <f t="shared" ca="1" si="186"/>
        <v>149633.34</v>
      </c>
      <c r="C1008" s="55">
        <f t="shared" ca="1" si="182"/>
        <v>72355.19</v>
      </c>
      <c r="D1008" s="55">
        <f t="shared" ca="1" si="182"/>
        <v>3746.1299999999965</v>
      </c>
      <c r="E1008" s="55">
        <f t="shared" ca="1" si="187"/>
        <v>0</v>
      </c>
      <c r="F1008" s="55">
        <f t="shared" ca="1" si="188"/>
        <v>201151.0884606553</v>
      </c>
      <c r="G1008" s="101">
        <f t="shared" ca="1" si="189"/>
        <v>426885.74846065533</v>
      </c>
      <c r="H1008" s="100">
        <f ca="1">ROUND($B1008*VLOOKUP($A1008,$A$1:$B$10,2,1)/(365+IF(MOD(YEAR($A1008),4),0,1)*($A1008-$A1007)),2)-Первоначальный[[#This Row],[Проценты на просроченный платеж по ОД за период]]</f>
        <v>72.78</v>
      </c>
      <c r="I1008" s="55">
        <f t="shared" ca="1" si="190"/>
        <v>8.8000000000000007</v>
      </c>
      <c r="J1008" s="55">
        <v>0</v>
      </c>
      <c r="K1008" s="55">
        <f t="shared" ca="1" si="193"/>
        <v>434.48350327868837</v>
      </c>
      <c r="L1008" s="55">
        <v>0</v>
      </c>
      <c r="M1008" s="113">
        <f>SUMIFS(График[Возврат основной суммы долга],График[Дата с учетом нерабочих дней],$A1008)</f>
        <v>0</v>
      </c>
      <c r="N1008" s="56">
        <f>SUMIFS(График[Возврат начисленных %],График[Дата с учетом нерабочих дней],$A1008)</f>
        <v>0</v>
      </c>
      <c r="O1008" s="101">
        <v>0</v>
      </c>
      <c r="P1008" s="100" cm="1">
        <f t="array" aca="1" ref="P1008" ca="1">MAX(IF(AA1007="Да",0,SUM(INDIRECT("M"&amp;(MAX(("Да"=AA$12:AA1007)*ROW(AA$12:AA1007)+1,ROW($P$12))&amp;":M"&amp;(ROW()))))-SUM(INDIRECT("W"&amp;(MAX(("Да"=AA$12:AA1007)*ROW(AA$12:AA1007)+1,ROW($P$12))&amp;":W"&amp;(ROW()))))),0)</f>
        <v>16145.36</v>
      </c>
      <c r="Q1008" s="99">
        <f ca="1">MAX(SUM($N$13:N1008)-SUM($T$13:T1008),0)</f>
        <v>70751.340655737673</v>
      </c>
      <c r="R1008" s="99">
        <f ca="1">Первоначальный[[#This Row],[Просроченный платеж по ОД]]+Первоначальный[[#This Row],[Просроченный платеж по процентам]]</f>
        <v>86896.700655737674</v>
      </c>
      <c r="S1008" s="120">
        <f ca="1">IF(Первоначальный[[#This Row],[Просроченный платеж]]&lt;1,0,S1007+1)</f>
        <v>904</v>
      </c>
      <c r="T1008" s="100" cm="1">
        <f t="array" aca="1" ref="T1008" ca="1">IF(Первоначальный[[#This Row],[Итого остаток на начало периода]]&lt;1,0,
IF(
AND(TYPE(VLOOKUP(1,$Z$12:Z1008,1,0))=16,Первоначальный[[#This Row],[Досрочное погашение (да/"")]]=""),0,
_xlfn.IFS(AND(S1007=0,Первоначальный[[#This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платеж]]&lt;&gt;0),MIN(LOOKUP(,-1/($Z$12:Z1008=1),$C$12:C1008)+LOOKUP(,-1/($Z$12:Z1008=1),$H$12:H1008),Первоначальный[[#This Row],[Полученный платеж]]+Y1007),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платеж]]+Y1007,SUM(Первоначальный[[#This Row],[Остаток процентов на начало периода]],Первоначальный[[#This Row],[Проценты за период]])),
AND(S1007=0,Первоначальный[[#This Row],[Дата платежа из графика]]=""),0,
AND(S1007=0,Первоначальный[[#This Row],[Дата платежа из графика]]=1,MAX((0&lt;&gt;S$12:S1007)*ROW(S$12:S1007),ROW($S$12))&gt;=MAX((1=Z$12:Z1007)*ROW(Z$12:Z1007),ROW($T$12)),TYPE(VLOOKUP("Да",(INDIRECT("AA"&amp;(MAX((1=Z$12:Z1007)*ROW(Z$12:Z1007),ROW($T$12))&amp;":AA"&amp;(ROW()-1)))),1,0))=16),MIN(LOOKUP(,-1/($Z$12:Z1008=1),$C$12:C1008)+LOOKUP(,-1/($Z$12:Z1008=1),$H$12:H1008),Первоначальный[[#This Row],[Полученный платеж]]+Y1007),
AND(S1007=0,TYPE(VLOOKUP("Да",(INDIRECT("AA"&amp;(MAX((1=Z$12:Z1007)*ROW(Z$12:Z1007),ROW($T$12))&amp;":AA"&amp;(ROW()-1)))),1,0))&lt;&gt;16),MIN(LOOKUP(,-1/($Z$12:Z1008=1),$C$12:C1008)+LOOKUP(,-1/($Z$12:Z1008=1),$H$12:H1008)-IF(AA1007="Да",0,SUM(INDIRECT("T"&amp;(MAX(("Да"=AA$12:AA1007)*ROW(AA$12:AA1007)+1,ROW($T$12))&amp;":T"&amp;(ROW()-1))))),Первоначальный[[#This Row],[Полученный платеж]]+Y1007),
AND(S1007=0,MAX((0&lt;&gt;N$12:N1007)*ROW(N$12:N1007),ROW($S$12))&gt;=MAX((1=Z$12:Z1007)*ROW(Z$12:Z1007),ROW($T$12))),MIN(LOOKUP(,-1/($Z$12:Z1008=1),$C$12:C1008)+LOOKUP(,-1/($Z$12:Z1008=1),$H$12:H1008)-IF(N1007&lt;&gt;0,0,SUM(INDIRECT("T"&amp;(MAX((0&lt;&gt;N$12:N1007)*ROW(N$12:N1007)+1,ROW($T$12))&amp;":T"&amp;(ROW()-1))))),Первоначальный[[#This Row],[Полученный платеж]]+Y1007),
AND(S1007=0,Первоначальный[[#This Row],[Дата платежа из графика]]=1),MIN(LOOKUP(,-1/($Z$12:Z1008=1),$C$12:C1008)+LOOKUP(,-1/($Z$12:Z1008=1),$H$12:H1008)-IF(Z1007=1,0,SUM(INDIRECT("T"&amp;(MAX((1=Z$12:Z1007)*ROW(Z$12:Z1007)+1,ROW($T$12))&amp;":T"&amp;(ROW()-1))))),Первоначальный[[#This Row],[Полученный платеж]]+Y1007),
AND(Z1007&gt;0,Первоначальный[[#This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платеж]]+Y1007),
AND(S1007&gt;0,MAX((0&lt;&gt;S$12:S1007)*ROW(S$12:S1007),ROW($S$12))&gt;=MAX((1=Z$12:Z1007)*ROW(Z$12:Z1007),ROW($T$12)),TYPE(VLOOKUP("Да",(INDIRECT("AA"&amp;(MAX((1=Z$12:Z1007)*ROW(Z$12:Z1007),ROW($T$12))&amp;":AA"&amp;(ROW()-1)))),1,0))=16),MIN(LOOKUP(,-1/($Z$12:Z1008=1),$C$12:C1008)+LOOKUP(,-1/($Z$12:Z1008=1),$H$12:H1008)-SUM(INDIRECT("T"&amp;(MAX((1=Z$12:Z1007)*ROW(Z$12:Z1007),ROW($T$12))&amp;":T"&amp;(ROW()-1)))),Первоначальный[[#This Row],[Полученный платеж]]+Y1007),
S1007&gt;0,MIN(LOOKUP(,-1/($Z$12:Z1008=1),$C$12:C1008)+LOOKUP(,-1/($Z$12:Z1008=1),$H$12:H1008)-IF(Z1007=1,0,SUM(INDIRECT("T"&amp;(MAX((1=Z$12:Z1007)*ROW(Z$12:Z1007)+1,ROW($T$12))&amp;":T"&amp;(ROW()-1))))),Первоначальный[[#This Row],[Полученный платеж]]+Y1007)
)
)
)</f>
        <v>0</v>
      </c>
      <c r="U100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платеж]]+Y1007-Первоначальный[[#This Row],[Полученный платёж по процентам]])</f>
        <v>0</v>
      </c>
      <c r="V1008" s="55">
        <f t="shared" ca="1" si="183"/>
        <v>0</v>
      </c>
      <c r="W1008" s="55" cm="1">
        <f t="array" aca="1" ref="W1008" ca="1">IF(Первоначальный[[#This Row],[Итого остаток на начало периода]]&lt;1,0,
_xlfn.IFS(
AND(TYPE(VLOOKUP(1,$Z$12:Z1008,1,0))=16,Первоначальный[[#This Row],[Досрочное погашение (да/"")]]=""),0,
AND(S1007=0,Первоначальный[[#This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платеж]]+Y1007-SUM(Первоначальный[[#This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комиссиям]]),VLOOKUP(LOOKUP(,-1/($Z$12:Z1008=1),$A$12:A1008),График[[Срок конец]:[Возврат основной суммы долга]],3,0)),
AND(S1007=0,Первоначальный[[#This Row],[Дата платежа из графика]]="",Первоначальный[[#This Row],[Досрочное погашение (да/"")]]&lt;&gt;"Да"),0,
AND(S1007=0,Первоначальный[[#This Row],[Досрочное погашение (да/"")]]=""),MIN(Первоначальный[[#This Row],[Полученный платеж]]+Y1007-SUM(Первоначальный[[#This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комиссиям]]),VLOOKUP(LOOKUP(,-1/($Z$12:Z1008=1),$A$12:A1008),График[[Срок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платеж]]+Y1007-SUM(Первоначальный[[#This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S1007&gt;0,MIN(Первоначальный[[#This Row],[Полученный платеж]]+Y1007-SUM(Первоначальный[[#This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комиссиям]]),SUM(INDIRECT("M"&amp;(MAX((1=S$12:S1007)*ROW(S$12:S1007),ROW($W$12))&amp;":M"&amp;(ROW()))))-SUM(INDIRECT("W"&amp;(MAX((1=S$12:S1007)*ROW(S$12:S1007),ROW($W$12))&amp;":W"&amp;(ROW()-1)))))
)
)</f>
        <v>0</v>
      </c>
      <c r="X1008" s="55">
        <f t="shared" ca="1" si="184"/>
        <v>0</v>
      </c>
      <c r="Y1008" s="101">
        <f t="shared" ca="1" si="191"/>
        <v>0</v>
      </c>
      <c r="Z1008" s="133" t="str">
        <f>IF(TYPE((VLOOKUP(Первоначальный[[#This Row],[Дата платежа]],График[Срок конец],1,0)))=16,"",1)</f>
        <v/>
      </c>
      <c r="AA1008" s="57"/>
      <c r="AB1008" s="134"/>
      <c r="AC100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0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72427.97</v>
      </c>
      <c r="AE100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3754.9299999999967</v>
      </c>
      <c r="AF100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0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201585.57196393399</v>
      </c>
      <c r="AH1008" s="55"/>
      <c r="AI1008" s="55"/>
      <c r="AJ1008" s="55"/>
      <c r="AK1008" s="101">
        <f t="shared" ca="1" si="192"/>
        <v>427401.81196393399</v>
      </c>
      <c r="AL1008" s="129">
        <f t="array" ref="AL1008">MAX((УслРестрактов[Характеристика]="Дата реструктуризации")*(УслРестрактов[Значение]=Первоначальный!$A1008),0)</f>
        <v>0</v>
      </c>
    </row>
    <row r="1009" spans="1:38" x14ac:dyDescent="0.25">
      <c r="A1009" s="97">
        <f t="shared" si="185"/>
        <v>45140</v>
      </c>
      <c r="B1009" s="100">
        <f t="shared" ca="1" si="186"/>
        <v>149633.34</v>
      </c>
      <c r="C1009" s="55">
        <f t="shared" ca="1" si="182"/>
        <v>72427.97</v>
      </c>
      <c r="D1009" s="55">
        <f t="shared" ca="1" si="182"/>
        <v>3754.9299999999967</v>
      </c>
      <c r="E1009" s="55">
        <f t="shared" ca="1" si="187"/>
        <v>0</v>
      </c>
      <c r="F1009" s="55">
        <f t="shared" ca="1" si="188"/>
        <v>201585.57196393399</v>
      </c>
      <c r="G1009" s="101">
        <f t="shared" ca="1" si="189"/>
        <v>427401.81196393399</v>
      </c>
      <c r="H1009" s="100">
        <f ca="1">ROUND($B1009*VLOOKUP($A1009,$A$1:$B$10,2,1)/(365+IF(MOD(YEAR($A1009),4),0,1)*($A1009-$A1008)),2)-Первоначальный[[#This Row],[Проценты на просроченный платеж по ОД за период]]</f>
        <v>72.78</v>
      </c>
      <c r="I1009" s="55">
        <f t="shared" ca="1" si="190"/>
        <v>8.8000000000000007</v>
      </c>
      <c r="J1009" s="55">
        <v>0</v>
      </c>
      <c r="K1009" s="55">
        <f t="shared" ca="1" si="193"/>
        <v>434.48350327868837</v>
      </c>
      <c r="L1009" s="55">
        <v>0</v>
      </c>
      <c r="M1009" s="113">
        <f>SUMIFS(График[Возврат основной суммы долга],График[Дата с учетом нерабочих дней],$A1009)</f>
        <v>0</v>
      </c>
      <c r="N1009" s="56">
        <f>SUMIFS(График[Возврат начисленных %],График[Дата с учетом нерабочих дней],$A1009)</f>
        <v>0</v>
      </c>
      <c r="O1009" s="101">
        <v>0</v>
      </c>
      <c r="P1009" s="100" cm="1">
        <f t="array" aca="1" ref="P1009" ca="1">MAX(IF(AA1008="Да",0,SUM(INDIRECT("M"&amp;(MAX(("Да"=AA$12:AA1008)*ROW(AA$12:AA1008)+1,ROW($P$12))&amp;":M"&amp;(ROW()))))-SUM(INDIRECT("W"&amp;(MAX(("Да"=AA$12:AA1008)*ROW(AA$12:AA1008)+1,ROW($P$12))&amp;":W"&amp;(ROW()))))),0)</f>
        <v>16145.36</v>
      </c>
      <c r="Q1009" s="99">
        <f ca="1">MAX(SUM($N$13:N1009)-SUM($T$13:T1009),0)</f>
        <v>70751.340655737673</v>
      </c>
      <c r="R1009" s="99">
        <f ca="1">Первоначальный[[#This Row],[Просроченный платеж по ОД]]+Первоначальный[[#This Row],[Просроченный платеж по процентам]]</f>
        <v>86896.700655737674</v>
      </c>
      <c r="S1009" s="120">
        <f ca="1">IF(Первоначальный[[#This Row],[Просроченный платеж]]&lt;1,0,S1008+1)</f>
        <v>905</v>
      </c>
      <c r="T1009" s="100" cm="1">
        <f t="array" aca="1" ref="T1009" ca="1">IF(Первоначальный[[#This Row],[Итого остаток на начало периода]]&lt;1,0,
IF(
AND(TYPE(VLOOKUP(1,$Z$12:Z1009,1,0))=16,Первоначальный[[#This Row],[Досрочное погашение (да/"")]]=""),0,
_xlfn.IFS(AND(S1008=0,Первоначальный[[#This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платеж]]&lt;&gt;0),MIN(LOOKUP(,-1/($Z$12:Z1009=1),$C$12:C1009)+LOOKUP(,-1/($Z$12:Z1009=1),$H$12:H1009),Первоначальный[[#This Row],[Полученный платеж]]+Y1008),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платеж]]+Y1008,SUM(Первоначальный[[#This Row],[Остаток процентов на начало периода]],Первоначальный[[#This Row],[Проценты за период]])),
AND(S1008=0,Первоначальный[[#This Row],[Дата платежа из графика]]=""),0,
AND(S1008=0,Первоначальный[[#This Row],[Дата платежа из графика]]=1,MAX((0&lt;&gt;S$12:S1008)*ROW(S$12:S1008),ROW($S$12))&gt;=MAX((1=Z$12:Z1008)*ROW(Z$12:Z1008),ROW($T$12)),TYPE(VLOOKUP("Да",(INDIRECT("AA"&amp;(MAX((1=Z$12:Z1008)*ROW(Z$12:Z1008),ROW($T$12))&amp;":AA"&amp;(ROW()-1)))),1,0))=16),MIN(LOOKUP(,-1/($Z$12:Z1009=1),$C$12:C1009)+LOOKUP(,-1/($Z$12:Z1009=1),$H$12:H1009),Первоначальный[[#This Row],[Полученный платеж]]+Y1008),
AND(S1008=0,TYPE(VLOOKUP("Да",(INDIRECT("AA"&amp;(MAX((1=Z$12:Z1008)*ROW(Z$12:Z1008),ROW($T$12))&amp;":AA"&amp;(ROW()-1)))),1,0))&lt;&gt;16),MIN(LOOKUP(,-1/($Z$12:Z1009=1),$C$12:C1009)+LOOKUP(,-1/($Z$12:Z1009=1),$H$12:H1009)-IF(AA1008="Да",0,SUM(INDIRECT("T"&amp;(MAX(("Да"=AA$12:AA1008)*ROW(AA$12:AA1008)+1,ROW($T$12))&amp;":T"&amp;(ROW()-1))))),Первоначальный[[#This Row],[Полученный платеж]]+Y1008),
AND(S1008=0,MAX((0&lt;&gt;N$12:N1008)*ROW(N$12:N1008),ROW($S$12))&gt;=MAX((1=Z$12:Z1008)*ROW(Z$12:Z1008),ROW($T$12))),MIN(LOOKUP(,-1/($Z$12:Z1009=1),$C$12:C1009)+LOOKUP(,-1/($Z$12:Z1009=1),$H$12:H1009)-IF(N1008&lt;&gt;0,0,SUM(INDIRECT("T"&amp;(MAX((0&lt;&gt;N$12:N1008)*ROW(N$12:N1008)+1,ROW($T$12))&amp;":T"&amp;(ROW()-1))))),Первоначальный[[#This Row],[Полученный платеж]]+Y1008),
AND(S1008=0,Первоначальный[[#This Row],[Дата платежа из графика]]=1),MIN(LOOKUP(,-1/($Z$12:Z1009=1),$C$12:C1009)+LOOKUP(,-1/($Z$12:Z1009=1),$H$12:H1009)-IF(Z1008=1,0,SUM(INDIRECT("T"&amp;(MAX((1=Z$12:Z1008)*ROW(Z$12:Z1008)+1,ROW($T$12))&amp;":T"&amp;(ROW()-1))))),Первоначальный[[#This Row],[Полученный платеж]]+Y1008),
AND(Z1008&gt;0,Первоначальный[[#This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платеж]]+Y1008),
AND(S1008&gt;0,MAX((0&lt;&gt;S$12:S1008)*ROW(S$12:S1008),ROW($S$12))&gt;=MAX((1=Z$12:Z1008)*ROW(Z$12:Z1008),ROW($T$12)),TYPE(VLOOKUP("Да",(INDIRECT("AA"&amp;(MAX((1=Z$12:Z1008)*ROW(Z$12:Z1008),ROW($T$12))&amp;":AA"&amp;(ROW()-1)))),1,0))=16),MIN(LOOKUP(,-1/($Z$12:Z1009=1),$C$12:C1009)+LOOKUP(,-1/($Z$12:Z1009=1),$H$12:H1009)-SUM(INDIRECT("T"&amp;(MAX((1=Z$12:Z1008)*ROW(Z$12:Z1008),ROW($T$12))&amp;":T"&amp;(ROW()-1)))),Первоначальный[[#This Row],[Полученный платеж]]+Y1008),
S1008&gt;0,MIN(LOOKUP(,-1/($Z$12:Z1009=1),$C$12:C1009)+LOOKUP(,-1/($Z$12:Z1009=1),$H$12:H1009)-IF(Z1008=1,0,SUM(INDIRECT("T"&amp;(MAX((1=Z$12:Z1008)*ROW(Z$12:Z1008)+1,ROW($T$12))&amp;":T"&amp;(ROW()-1))))),Первоначальный[[#This Row],[Полученный платеж]]+Y1008)
)
)
)</f>
        <v>0</v>
      </c>
      <c r="U100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платеж]]+Y1008-Первоначальный[[#This Row],[Полученный платёж по процентам]])</f>
        <v>0</v>
      </c>
      <c r="V1009" s="55">
        <f t="shared" ca="1" si="183"/>
        <v>0</v>
      </c>
      <c r="W1009" s="55" cm="1">
        <f t="array" aca="1" ref="W1009" ca="1">IF(Первоначальный[[#This Row],[Итого остаток на начало периода]]&lt;1,0,
_xlfn.IFS(
AND(TYPE(VLOOKUP(1,$Z$12:Z1009,1,0))=16,Первоначальный[[#This Row],[Досрочное погашение (да/"")]]=""),0,
AND(S1008=0,Первоначальный[[#This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платеж]]+Y1008-SUM(Первоначальный[[#This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комиссиям]]),VLOOKUP(LOOKUP(,-1/($Z$12:Z1009=1),$A$12:A1009),График[[Срок конец]:[Возврат основной суммы долга]],3,0)),
AND(S1008=0,Первоначальный[[#This Row],[Дата платежа из графика]]="",Первоначальный[[#This Row],[Досрочное погашение (да/"")]]&lt;&gt;"Да"),0,
AND(S1008=0,Первоначальный[[#This Row],[Досрочное погашение (да/"")]]=""),MIN(Первоначальный[[#This Row],[Полученный платеж]]+Y1008-SUM(Первоначальный[[#This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комиссиям]]),VLOOKUP(LOOKUP(,-1/($Z$12:Z1009=1),$A$12:A1009),График[[Срок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платеж]]+Y1008-SUM(Первоначальный[[#This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S1008&gt;0,MIN(Первоначальный[[#This Row],[Полученный платеж]]+Y1008-SUM(Первоначальный[[#This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комиссиям]]),SUM(INDIRECT("M"&amp;(MAX((1=S$12:S1008)*ROW(S$12:S1008),ROW($W$12))&amp;":M"&amp;(ROW()))))-SUM(INDIRECT("W"&amp;(MAX((1=S$12:S1008)*ROW(S$12:S1008),ROW($W$12))&amp;":W"&amp;(ROW()-1)))))
)
)</f>
        <v>0</v>
      </c>
      <c r="X1009" s="55">
        <f t="shared" ca="1" si="184"/>
        <v>0</v>
      </c>
      <c r="Y1009" s="101">
        <f t="shared" ca="1" si="191"/>
        <v>0</v>
      </c>
      <c r="Z1009" s="133" t="str">
        <f>IF(TYPE((VLOOKUP(Первоначальный[[#This Row],[Дата платежа]],График[Срок конец],1,0)))=16,"",1)</f>
        <v/>
      </c>
      <c r="AA1009" s="57"/>
      <c r="AB1009" s="134"/>
      <c r="AC100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0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72500.75</v>
      </c>
      <c r="AE100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3763.7299999999968</v>
      </c>
      <c r="AF100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0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202020.05546721269</v>
      </c>
      <c r="AH1009" s="55"/>
      <c r="AI1009" s="55"/>
      <c r="AJ1009" s="55"/>
      <c r="AK1009" s="101">
        <f t="shared" ca="1" si="192"/>
        <v>427917.8754672127</v>
      </c>
      <c r="AL1009" s="129">
        <f t="array" ref="AL1009">MAX((УслРестрактов[Характеристика]="Дата реструктуризации")*(УслРестрактов[Значение]=Первоначальный!$A1009),0)</f>
        <v>0</v>
      </c>
    </row>
    <row r="1010" spans="1:38" x14ac:dyDescent="0.25">
      <c r="A1010" s="97">
        <f t="shared" si="185"/>
        <v>45141</v>
      </c>
      <c r="B1010" s="100">
        <f t="shared" ca="1" si="186"/>
        <v>149633.34</v>
      </c>
      <c r="C1010" s="55">
        <f t="shared" ca="1" si="182"/>
        <v>72500.75</v>
      </c>
      <c r="D1010" s="55">
        <f t="shared" ca="1" si="182"/>
        <v>3763.7299999999968</v>
      </c>
      <c r="E1010" s="55">
        <f t="shared" ca="1" si="187"/>
        <v>0</v>
      </c>
      <c r="F1010" s="55">
        <f t="shared" ca="1" si="188"/>
        <v>202020.05546721269</v>
      </c>
      <c r="G1010" s="101">
        <f t="shared" ca="1" si="189"/>
        <v>427917.8754672127</v>
      </c>
      <c r="H1010" s="100">
        <f ca="1">ROUND($B1010*VLOOKUP($A1010,$A$1:$B$10,2,1)/(365+IF(MOD(YEAR($A1010),4),0,1)*($A1010-$A1009)),2)-Первоначальный[[#This Row],[Проценты на просроченный платеж по ОД за период]]</f>
        <v>72.78</v>
      </c>
      <c r="I1010" s="55">
        <f t="shared" ca="1" si="190"/>
        <v>8.8000000000000007</v>
      </c>
      <c r="J1010" s="55">
        <v>0</v>
      </c>
      <c r="K1010" s="55">
        <f t="shared" ca="1" si="193"/>
        <v>434.48350327868837</v>
      </c>
      <c r="L1010" s="55">
        <v>0</v>
      </c>
      <c r="M1010" s="113">
        <f>SUMIFS(График[Возврат основной суммы долга],График[Дата с учетом нерабочих дней],$A1010)</f>
        <v>0</v>
      </c>
      <c r="N1010" s="56">
        <f>SUMIFS(График[Возврат начисленных %],График[Дата с учетом нерабочих дней],$A1010)</f>
        <v>0</v>
      </c>
      <c r="O1010" s="101">
        <v>0</v>
      </c>
      <c r="P1010" s="100" cm="1">
        <f t="array" aca="1" ref="P1010" ca="1">MAX(IF(AA1009="Да",0,SUM(INDIRECT("M"&amp;(MAX(("Да"=AA$12:AA1009)*ROW(AA$12:AA1009)+1,ROW($P$12))&amp;":M"&amp;(ROW()))))-SUM(INDIRECT("W"&amp;(MAX(("Да"=AA$12:AA1009)*ROW(AA$12:AA1009)+1,ROW($P$12))&amp;":W"&amp;(ROW()))))),0)</f>
        <v>16145.36</v>
      </c>
      <c r="Q1010" s="99">
        <f ca="1">MAX(SUM($N$13:N1010)-SUM($T$13:T1010),0)</f>
        <v>70751.340655737673</v>
      </c>
      <c r="R1010" s="99">
        <f ca="1">Первоначальный[[#This Row],[Просроченный платеж по ОД]]+Первоначальный[[#This Row],[Просроченный платеж по процентам]]</f>
        <v>86896.700655737674</v>
      </c>
      <c r="S1010" s="120">
        <f ca="1">IF(Первоначальный[[#This Row],[Просроченный платеж]]&lt;1,0,S1009+1)</f>
        <v>906</v>
      </c>
      <c r="T1010" s="100" cm="1">
        <f t="array" aca="1" ref="T1010" ca="1">IF(Первоначальный[[#This Row],[Итого остаток на начало периода]]&lt;1,0,
IF(
AND(TYPE(VLOOKUP(1,$Z$12:Z1010,1,0))=16,Первоначальный[[#This Row],[Досрочное погашение (да/"")]]=""),0,
_xlfn.IFS(AND(S1009=0,Первоначальный[[#This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платеж]]&lt;&gt;0),MIN(LOOKUP(,-1/($Z$12:Z1010=1),$C$12:C1010)+LOOKUP(,-1/($Z$12:Z1010=1),$H$12:H1010),Первоначальный[[#This Row],[Полученный платеж]]+Y1009),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платеж]]+Y1009,SUM(Первоначальный[[#This Row],[Остаток процентов на начало периода]],Первоначальный[[#This Row],[Проценты за период]])),
AND(S1009=0,Первоначальный[[#This Row],[Дата платежа из графика]]=""),0,
AND(S1009=0,Первоначальный[[#This Row],[Дата платежа из графика]]=1,MAX((0&lt;&gt;S$12:S1009)*ROW(S$12:S1009),ROW($S$12))&gt;=MAX((1=Z$12:Z1009)*ROW(Z$12:Z1009),ROW($T$12)),TYPE(VLOOKUP("Да",(INDIRECT("AA"&amp;(MAX((1=Z$12:Z1009)*ROW(Z$12:Z1009),ROW($T$12))&amp;":AA"&amp;(ROW()-1)))),1,0))=16),MIN(LOOKUP(,-1/($Z$12:Z1010=1),$C$12:C1010)+LOOKUP(,-1/($Z$12:Z1010=1),$H$12:H1010),Первоначальный[[#This Row],[Полученный платеж]]+Y1009),
AND(S1009=0,TYPE(VLOOKUP("Да",(INDIRECT("AA"&amp;(MAX((1=Z$12:Z1009)*ROW(Z$12:Z1009),ROW($T$12))&amp;":AA"&amp;(ROW()-1)))),1,0))&lt;&gt;16),MIN(LOOKUP(,-1/($Z$12:Z1010=1),$C$12:C1010)+LOOKUP(,-1/($Z$12:Z1010=1),$H$12:H1010)-IF(AA1009="Да",0,SUM(INDIRECT("T"&amp;(MAX(("Да"=AA$12:AA1009)*ROW(AA$12:AA1009)+1,ROW($T$12))&amp;":T"&amp;(ROW()-1))))),Первоначальный[[#This Row],[Полученный платеж]]+Y1009),
AND(S1009=0,MAX((0&lt;&gt;N$12:N1009)*ROW(N$12:N1009),ROW($S$12))&gt;=MAX((1=Z$12:Z1009)*ROW(Z$12:Z1009),ROW($T$12))),MIN(LOOKUP(,-1/($Z$12:Z1010=1),$C$12:C1010)+LOOKUP(,-1/($Z$12:Z1010=1),$H$12:H1010)-IF(N1009&lt;&gt;0,0,SUM(INDIRECT("T"&amp;(MAX((0&lt;&gt;N$12:N1009)*ROW(N$12:N1009)+1,ROW($T$12))&amp;":T"&amp;(ROW()-1))))),Первоначальный[[#This Row],[Полученный платеж]]+Y1009),
AND(S1009=0,Первоначальный[[#This Row],[Дата платежа из графика]]=1),MIN(LOOKUP(,-1/($Z$12:Z1010=1),$C$12:C1010)+LOOKUP(,-1/($Z$12:Z1010=1),$H$12:H1010)-IF(Z1009=1,0,SUM(INDIRECT("T"&amp;(MAX((1=Z$12:Z1009)*ROW(Z$12:Z1009)+1,ROW($T$12))&amp;":T"&amp;(ROW()-1))))),Первоначальный[[#This Row],[Полученный платеж]]+Y1009),
AND(Z1009&gt;0,Первоначальный[[#This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платеж]]+Y1009),
AND(S1009&gt;0,MAX((0&lt;&gt;S$12:S1009)*ROW(S$12:S1009),ROW($S$12))&gt;=MAX((1=Z$12:Z1009)*ROW(Z$12:Z1009),ROW($T$12)),TYPE(VLOOKUP("Да",(INDIRECT("AA"&amp;(MAX((1=Z$12:Z1009)*ROW(Z$12:Z1009),ROW($T$12))&amp;":AA"&amp;(ROW()-1)))),1,0))=16),MIN(LOOKUP(,-1/($Z$12:Z1010=1),$C$12:C1010)+LOOKUP(,-1/($Z$12:Z1010=1),$H$12:H1010)-SUM(INDIRECT("T"&amp;(MAX((1=Z$12:Z1009)*ROW(Z$12:Z1009),ROW($T$12))&amp;":T"&amp;(ROW()-1)))),Первоначальный[[#This Row],[Полученный платеж]]+Y1009),
S1009&gt;0,MIN(LOOKUP(,-1/($Z$12:Z1010=1),$C$12:C1010)+LOOKUP(,-1/($Z$12:Z1010=1),$H$12:H1010)-IF(Z1009=1,0,SUM(INDIRECT("T"&amp;(MAX((1=Z$12:Z1009)*ROW(Z$12:Z1009)+1,ROW($T$12))&amp;":T"&amp;(ROW()-1))))),Первоначальный[[#This Row],[Полученный платеж]]+Y1009)
)
)
)</f>
        <v>0</v>
      </c>
      <c r="U101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платеж]]+Y1009-Первоначальный[[#This Row],[Полученный платёж по процентам]])</f>
        <v>0</v>
      </c>
      <c r="V1010" s="55">
        <f t="shared" ca="1" si="183"/>
        <v>0</v>
      </c>
      <c r="W1010" s="55" cm="1">
        <f t="array" aca="1" ref="W1010" ca="1">IF(Первоначальный[[#This Row],[Итого остаток на начало периода]]&lt;1,0,
_xlfn.IFS(
AND(TYPE(VLOOKUP(1,$Z$12:Z1010,1,0))=16,Первоначальный[[#This Row],[Досрочное погашение (да/"")]]=""),0,
AND(S1009=0,Первоначальный[[#This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платеж]]+Y1009-SUM(Первоначальный[[#This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комиссиям]]),VLOOKUP(LOOKUP(,-1/($Z$12:Z1010=1),$A$12:A1010),График[[Срок конец]:[Возврат основной суммы долга]],3,0)),
AND(S1009=0,Первоначальный[[#This Row],[Дата платежа из графика]]="",Первоначальный[[#This Row],[Досрочное погашение (да/"")]]&lt;&gt;"Да"),0,
AND(S1009=0,Первоначальный[[#This Row],[Досрочное погашение (да/"")]]=""),MIN(Первоначальный[[#This Row],[Полученный платеж]]+Y1009-SUM(Первоначальный[[#This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комиссиям]]),VLOOKUP(LOOKUP(,-1/($Z$12:Z1010=1),$A$12:A1010),График[[Срок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платеж]]+Y1009-SUM(Первоначальный[[#This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S1009&gt;0,MIN(Первоначальный[[#This Row],[Полученный платеж]]+Y1009-SUM(Первоначальный[[#This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комиссиям]]),SUM(INDIRECT("M"&amp;(MAX((1=S$12:S1009)*ROW(S$12:S1009),ROW($W$12))&amp;":M"&amp;(ROW()))))-SUM(INDIRECT("W"&amp;(MAX((1=S$12:S1009)*ROW(S$12:S1009),ROW($W$12))&amp;":W"&amp;(ROW()-1)))))
)
)</f>
        <v>0</v>
      </c>
      <c r="X1010" s="55">
        <f t="shared" ca="1" si="184"/>
        <v>0</v>
      </c>
      <c r="Y1010" s="101">
        <f t="shared" ca="1" si="191"/>
        <v>0</v>
      </c>
      <c r="Z1010" s="133" t="str">
        <f>IF(TYPE((VLOOKUP(Первоначальный[[#This Row],[Дата платежа]],График[Срок конец],1,0)))=16,"",1)</f>
        <v/>
      </c>
      <c r="AA1010" s="57"/>
      <c r="AB1010" s="134"/>
      <c r="AC101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1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72573.53</v>
      </c>
      <c r="AE101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3772.529999999997</v>
      </c>
      <c r="AF101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1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202454.53897049138</v>
      </c>
      <c r="AH1010" s="55"/>
      <c r="AI1010" s="55"/>
      <c r="AJ1010" s="55"/>
      <c r="AK1010" s="101">
        <f t="shared" ca="1" si="192"/>
        <v>428433.93897049141</v>
      </c>
      <c r="AL1010" s="129">
        <f t="array" ref="AL1010">MAX((УслРестрактов[Характеристика]="Дата реструктуризации")*(УслРестрактов[Значение]=Первоначальный!$A1010),0)</f>
        <v>0</v>
      </c>
    </row>
    <row r="1011" spans="1:38" x14ac:dyDescent="0.25">
      <c r="A1011" s="97">
        <f t="shared" si="185"/>
        <v>45142</v>
      </c>
      <c r="B1011" s="100">
        <f t="shared" ca="1" si="186"/>
        <v>149633.34</v>
      </c>
      <c r="C1011" s="55">
        <f t="shared" ca="1" si="182"/>
        <v>72573.53</v>
      </c>
      <c r="D1011" s="55">
        <f t="shared" ca="1" si="182"/>
        <v>3772.529999999997</v>
      </c>
      <c r="E1011" s="55">
        <f t="shared" ca="1" si="187"/>
        <v>0</v>
      </c>
      <c r="F1011" s="55">
        <f t="shared" ca="1" si="188"/>
        <v>202454.53897049138</v>
      </c>
      <c r="G1011" s="101">
        <f t="shared" ca="1" si="189"/>
        <v>428433.93897049141</v>
      </c>
      <c r="H1011" s="100">
        <f ca="1">ROUND($B1011*VLOOKUP($A1011,$A$1:$B$10,2,1)/(365+IF(MOD(YEAR($A1011),4),0,1)*($A1011-$A1010)),2)-Первоначальный[[#This Row],[Проценты на просроченный платеж по ОД за период]]</f>
        <v>72.78</v>
      </c>
      <c r="I1011" s="55">
        <f t="shared" ca="1" si="190"/>
        <v>8.8000000000000007</v>
      </c>
      <c r="J1011" s="55">
        <v>0</v>
      </c>
      <c r="K1011" s="55">
        <f t="shared" ca="1" si="193"/>
        <v>434.48350327868837</v>
      </c>
      <c r="L1011" s="55">
        <v>0</v>
      </c>
      <c r="M1011" s="113">
        <f>SUMIFS(График[Возврат основной суммы долга],График[Дата с учетом нерабочих дней],$A1011)</f>
        <v>0</v>
      </c>
      <c r="N1011" s="56">
        <f>SUMIFS(График[Возврат начисленных %],График[Дата с учетом нерабочих дней],$A1011)</f>
        <v>0</v>
      </c>
      <c r="O1011" s="101">
        <v>0</v>
      </c>
      <c r="P1011" s="100" cm="1">
        <f t="array" aca="1" ref="P1011" ca="1">MAX(IF(AA1010="Да",0,SUM(INDIRECT("M"&amp;(MAX(("Да"=AA$12:AA1010)*ROW(AA$12:AA1010)+1,ROW($P$12))&amp;":M"&amp;(ROW()))))-SUM(INDIRECT("W"&amp;(MAX(("Да"=AA$12:AA1010)*ROW(AA$12:AA1010)+1,ROW($P$12))&amp;":W"&amp;(ROW()))))),0)</f>
        <v>16145.36</v>
      </c>
      <c r="Q1011" s="99">
        <f ca="1">MAX(SUM($N$13:N1011)-SUM($T$13:T1011),0)</f>
        <v>70751.340655737673</v>
      </c>
      <c r="R1011" s="99">
        <f ca="1">Первоначальный[[#This Row],[Просроченный платеж по ОД]]+Первоначальный[[#This Row],[Просроченный платеж по процентам]]</f>
        <v>86896.700655737674</v>
      </c>
      <c r="S1011" s="120">
        <f ca="1">IF(Первоначальный[[#This Row],[Просроченный платеж]]&lt;1,0,S1010+1)</f>
        <v>907</v>
      </c>
      <c r="T1011" s="100" cm="1">
        <f t="array" aca="1" ref="T1011" ca="1">IF(Первоначальный[[#This Row],[Итого остаток на начало периода]]&lt;1,0,
IF(
AND(TYPE(VLOOKUP(1,$Z$12:Z1011,1,0))=16,Первоначальный[[#This Row],[Досрочное погашение (да/"")]]=""),0,
_xlfn.IFS(AND(S1010=0,Первоначальный[[#This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платеж]]&lt;&gt;0),MIN(LOOKUP(,-1/($Z$12:Z1011=1),$C$12:C1011)+LOOKUP(,-1/($Z$12:Z1011=1),$H$12:H1011),Первоначальный[[#This Row],[Полученный платеж]]+Y1010),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платеж]]+Y1010,SUM(Первоначальный[[#This Row],[Остаток процентов на начало периода]],Первоначальный[[#This Row],[Проценты за период]])),
AND(S1010=0,Первоначальный[[#This Row],[Дата платежа из графика]]=""),0,
AND(S1010=0,Первоначальный[[#This Row],[Дата платежа из графика]]=1,MAX((0&lt;&gt;S$12:S1010)*ROW(S$12:S1010),ROW($S$12))&gt;=MAX((1=Z$12:Z1010)*ROW(Z$12:Z1010),ROW($T$12)),TYPE(VLOOKUP("Да",(INDIRECT("AA"&amp;(MAX((1=Z$12:Z1010)*ROW(Z$12:Z1010),ROW($T$12))&amp;":AA"&amp;(ROW()-1)))),1,0))=16),MIN(LOOKUP(,-1/($Z$12:Z1011=1),$C$12:C1011)+LOOKUP(,-1/($Z$12:Z1011=1),$H$12:H1011),Первоначальный[[#This Row],[Полученный платеж]]+Y1010),
AND(S1010=0,TYPE(VLOOKUP("Да",(INDIRECT("AA"&amp;(MAX((1=Z$12:Z1010)*ROW(Z$12:Z1010),ROW($T$12))&amp;":AA"&amp;(ROW()-1)))),1,0))&lt;&gt;16),MIN(LOOKUP(,-1/($Z$12:Z1011=1),$C$12:C1011)+LOOKUP(,-1/($Z$12:Z1011=1),$H$12:H1011)-IF(AA1010="Да",0,SUM(INDIRECT("T"&amp;(MAX(("Да"=AA$12:AA1010)*ROW(AA$12:AA1010)+1,ROW($T$12))&amp;":T"&amp;(ROW()-1))))),Первоначальный[[#This Row],[Полученный платеж]]+Y1010),
AND(S1010=0,MAX((0&lt;&gt;N$12:N1010)*ROW(N$12:N1010),ROW($S$12))&gt;=MAX((1=Z$12:Z1010)*ROW(Z$12:Z1010),ROW($T$12))),MIN(LOOKUP(,-1/($Z$12:Z1011=1),$C$12:C1011)+LOOKUP(,-1/($Z$12:Z1011=1),$H$12:H1011)-IF(N1010&lt;&gt;0,0,SUM(INDIRECT("T"&amp;(MAX((0&lt;&gt;N$12:N1010)*ROW(N$12:N1010)+1,ROW($T$12))&amp;":T"&amp;(ROW()-1))))),Первоначальный[[#This Row],[Полученный платеж]]+Y1010),
AND(S1010=0,Первоначальный[[#This Row],[Дата платежа из графика]]=1),MIN(LOOKUP(,-1/($Z$12:Z1011=1),$C$12:C1011)+LOOKUP(,-1/($Z$12:Z1011=1),$H$12:H1011)-IF(Z1010=1,0,SUM(INDIRECT("T"&amp;(MAX((1=Z$12:Z1010)*ROW(Z$12:Z1010)+1,ROW($T$12))&amp;":T"&amp;(ROW()-1))))),Первоначальный[[#This Row],[Полученный платеж]]+Y1010),
AND(Z1010&gt;0,Первоначальный[[#This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платеж]]+Y1010),
AND(S1010&gt;0,MAX((0&lt;&gt;S$12:S1010)*ROW(S$12:S1010),ROW($S$12))&gt;=MAX((1=Z$12:Z1010)*ROW(Z$12:Z1010),ROW($T$12)),TYPE(VLOOKUP("Да",(INDIRECT("AA"&amp;(MAX((1=Z$12:Z1010)*ROW(Z$12:Z1010),ROW($T$12))&amp;":AA"&amp;(ROW()-1)))),1,0))=16),MIN(LOOKUP(,-1/($Z$12:Z1011=1),$C$12:C1011)+LOOKUP(,-1/($Z$12:Z1011=1),$H$12:H1011)-SUM(INDIRECT("T"&amp;(MAX((1=Z$12:Z1010)*ROW(Z$12:Z1010),ROW($T$12))&amp;":T"&amp;(ROW()-1)))),Первоначальный[[#This Row],[Полученный платеж]]+Y1010),
S1010&gt;0,MIN(LOOKUP(,-1/($Z$12:Z1011=1),$C$12:C1011)+LOOKUP(,-1/($Z$12:Z1011=1),$H$12:H1011)-IF(Z1010=1,0,SUM(INDIRECT("T"&amp;(MAX((1=Z$12:Z1010)*ROW(Z$12:Z1010)+1,ROW($T$12))&amp;":T"&amp;(ROW()-1))))),Первоначальный[[#This Row],[Полученный платеж]]+Y1010)
)
)
)</f>
        <v>0</v>
      </c>
      <c r="U101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платеж]]+Y1010-Первоначальный[[#This Row],[Полученный платёж по процентам]])</f>
        <v>0</v>
      </c>
      <c r="V1011" s="55">
        <f t="shared" ca="1" si="183"/>
        <v>0</v>
      </c>
      <c r="W1011" s="55" cm="1">
        <f t="array" aca="1" ref="W1011" ca="1">IF(Первоначальный[[#This Row],[Итого остаток на начало периода]]&lt;1,0,
_xlfn.IFS(
AND(TYPE(VLOOKUP(1,$Z$12:Z1011,1,0))=16,Первоначальный[[#This Row],[Досрочное погашение (да/"")]]=""),0,
AND(S1010=0,Первоначальный[[#This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платеж]]+Y1010-SUM(Первоначальный[[#This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комиссиям]]),VLOOKUP(LOOKUP(,-1/($Z$12:Z1011=1),$A$12:A1011),График[[Срок конец]:[Возврат основной суммы долга]],3,0)),
AND(S1010=0,Первоначальный[[#This Row],[Дата платежа из графика]]="",Первоначальный[[#This Row],[Досрочное погашение (да/"")]]&lt;&gt;"Да"),0,
AND(S1010=0,Первоначальный[[#This Row],[Досрочное погашение (да/"")]]=""),MIN(Первоначальный[[#This Row],[Полученный платеж]]+Y1010-SUM(Первоначальный[[#This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комиссиям]]),VLOOKUP(LOOKUP(,-1/($Z$12:Z1011=1),$A$12:A1011),График[[Срок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платеж]]+Y1010-SUM(Первоначальный[[#This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S1010&gt;0,MIN(Первоначальный[[#This Row],[Полученный платеж]]+Y1010-SUM(Первоначальный[[#This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комиссиям]]),SUM(INDIRECT("M"&amp;(MAX((1=S$12:S1010)*ROW(S$12:S1010),ROW($W$12))&amp;":M"&amp;(ROW()))))-SUM(INDIRECT("W"&amp;(MAX((1=S$12:S1010)*ROW(S$12:S1010),ROW($W$12))&amp;":W"&amp;(ROW()-1)))))
)
)</f>
        <v>0</v>
      </c>
      <c r="X1011" s="55">
        <f t="shared" ca="1" si="184"/>
        <v>0</v>
      </c>
      <c r="Y1011" s="101">
        <f t="shared" ca="1" si="191"/>
        <v>0</v>
      </c>
      <c r="Z1011" s="133" t="str">
        <f>IF(TYPE((VLOOKUP(Первоначальный[[#This Row],[Дата платежа]],График[Срок конец],1,0)))=16,"",1)</f>
        <v/>
      </c>
      <c r="AA1011" s="57"/>
      <c r="AB1011" s="134"/>
      <c r="AC101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1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72646.31</v>
      </c>
      <c r="AE101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3781.3299999999972</v>
      </c>
      <c r="AF101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1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202889.02247377008</v>
      </c>
      <c r="AH1011" s="55"/>
      <c r="AI1011" s="55"/>
      <c r="AJ1011" s="55"/>
      <c r="AK1011" s="101">
        <f t="shared" ca="1" si="192"/>
        <v>428950.00247377006</v>
      </c>
      <c r="AL1011" s="129">
        <f t="array" ref="AL1011">MAX((УслРестрактов[Характеристика]="Дата реструктуризации")*(УслРестрактов[Значение]=Первоначальный!$A1011),0)</f>
        <v>0</v>
      </c>
    </row>
    <row r="1012" spans="1:38" x14ac:dyDescent="0.25">
      <c r="A1012" s="97">
        <f t="shared" si="185"/>
        <v>45143</v>
      </c>
      <c r="B1012" s="100">
        <f t="shared" ca="1" si="186"/>
        <v>149633.34</v>
      </c>
      <c r="C1012" s="55">
        <f t="shared" ca="1" si="182"/>
        <v>72646.31</v>
      </c>
      <c r="D1012" s="55">
        <f t="shared" ca="1" si="182"/>
        <v>3781.3299999999972</v>
      </c>
      <c r="E1012" s="55">
        <f t="shared" ca="1" si="187"/>
        <v>0</v>
      </c>
      <c r="F1012" s="55">
        <f t="shared" ca="1" si="188"/>
        <v>202889.02247377008</v>
      </c>
      <c r="G1012" s="101">
        <f t="shared" ca="1" si="189"/>
        <v>428950.00247377006</v>
      </c>
      <c r="H1012" s="100">
        <f ca="1">ROUND($B1012*VLOOKUP($A1012,$A$1:$B$10,2,1)/(365+IF(MOD(YEAR($A1012),4),0,1)*($A1012-$A1011)),2)-Первоначальный[[#This Row],[Проценты на просроченный платеж по ОД за период]]</f>
        <v>72.78</v>
      </c>
      <c r="I1012" s="55">
        <f t="shared" ca="1" si="190"/>
        <v>8.8000000000000007</v>
      </c>
      <c r="J1012" s="55">
        <v>0</v>
      </c>
      <c r="K1012" s="55">
        <f t="shared" ca="1" si="193"/>
        <v>434.48350327868837</v>
      </c>
      <c r="L1012" s="55">
        <v>0</v>
      </c>
      <c r="M1012" s="113">
        <f>SUMIFS(График[Возврат основной суммы долга],График[Дата с учетом нерабочих дней],$A1012)</f>
        <v>0</v>
      </c>
      <c r="N1012" s="56">
        <f>SUMIFS(График[Возврат начисленных %],График[Дата с учетом нерабочих дней],$A1012)</f>
        <v>0</v>
      </c>
      <c r="O1012" s="101">
        <v>0</v>
      </c>
      <c r="P1012" s="100" cm="1">
        <f t="array" aca="1" ref="P1012" ca="1">MAX(IF(AA1011="Да",0,SUM(INDIRECT("M"&amp;(MAX(("Да"=AA$12:AA1011)*ROW(AA$12:AA1011)+1,ROW($P$12))&amp;":M"&amp;(ROW()))))-SUM(INDIRECT("W"&amp;(MAX(("Да"=AA$12:AA1011)*ROW(AA$12:AA1011)+1,ROW($P$12))&amp;":W"&amp;(ROW()))))),0)</f>
        <v>16145.36</v>
      </c>
      <c r="Q1012" s="99">
        <f ca="1">MAX(SUM($N$13:N1012)-SUM($T$13:T1012),0)</f>
        <v>70751.340655737673</v>
      </c>
      <c r="R1012" s="99">
        <f ca="1">Первоначальный[[#This Row],[Просроченный платеж по ОД]]+Первоначальный[[#This Row],[Просроченный платеж по процентам]]</f>
        <v>86896.700655737674</v>
      </c>
      <c r="S1012" s="120">
        <f ca="1">IF(Первоначальный[[#This Row],[Просроченный платеж]]&lt;1,0,S1011+1)</f>
        <v>908</v>
      </c>
      <c r="T1012" s="100" cm="1">
        <f t="array" aca="1" ref="T1012" ca="1">IF(Первоначальный[[#This Row],[Итого остаток на начало периода]]&lt;1,0,
IF(
AND(TYPE(VLOOKUP(1,$Z$12:Z1012,1,0))=16,Первоначальный[[#This Row],[Досрочное погашение (да/"")]]=""),0,
_xlfn.IFS(AND(S1011=0,Первоначальный[[#This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платеж]]&lt;&gt;0),MIN(LOOKUP(,-1/($Z$12:Z1012=1),$C$12:C1012)+LOOKUP(,-1/($Z$12:Z1012=1),$H$12:H1012),Первоначальный[[#This Row],[Полученный платеж]]+Y1011),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платеж]]+Y1011,SUM(Первоначальный[[#This Row],[Остаток процентов на начало периода]],Первоначальный[[#This Row],[Проценты за период]])),
AND(S1011=0,Первоначальный[[#This Row],[Дата платежа из графика]]=""),0,
AND(S1011=0,Первоначальный[[#This Row],[Дата платежа из графика]]=1,MAX((0&lt;&gt;S$12:S1011)*ROW(S$12:S1011),ROW($S$12))&gt;=MAX((1=Z$12:Z1011)*ROW(Z$12:Z1011),ROW($T$12)),TYPE(VLOOKUP("Да",(INDIRECT("AA"&amp;(MAX((1=Z$12:Z1011)*ROW(Z$12:Z1011),ROW($T$12))&amp;":AA"&amp;(ROW()-1)))),1,0))=16),MIN(LOOKUP(,-1/($Z$12:Z1012=1),$C$12:C1012)+LOOKUP(,-1/($Z$12:Z1012=1),$H$12:H1012),Первоначальный[[#This Row],[Полученный платеж]]+Y1011),
AND(S1011=0,TYPE(VLOOKUP("Да",(INDIRECT("AA"&amp;(MAX((1=Z$12:Z1011)*ROW(Z$12:Z1011),ROW($T$12))&amp;":AA"&amp;(ROW()-1)))),1,0))&lt;&gt;16),MIN(LOOKUP(,-1/($Z$12:Z1012=1),$C$12:C1012)+LOOKUP(,-1/($Z$12:Z1012=1),$H$12:H1012)-IF(AA1011="Да",0,SUM(INDIRECT("T"&amp;(MAX(("Да"=AA$12:AA1011)*ROW(AA$12:AA1011)+1,ROW($T$12))&amp;":T"&amp;(ROW()-1))))),Первоначальный[[#This Row],[Полученный платеж]]+Y1011),
AND(S1011=0,MAX((0&lt;&gt;N$12:N1011)*ROW(N$12:N1011),ROW($S$12))&gt;=MAX((1=Z$12:Z1011)*ROW(Z$12:Z1011),ROW($T$12))),MIN(LOOKUP(,-1/($Z$12:Z1012=1),$C$12:C1012)+LOOKUP(,-1/($Z$12:Z1012=1),$H$12:H1012)-IF(N1011&lt;&gt;0,0,SUM(INDIRECT("T"&amp;(MAX((0&lt;&gt;N$12:N1011)*ROW(N$12:N1011)+1,ROW($T$12))&amp;":T"&amp;(ROW()-1))))),Первоначальный[[#This Row],[Полученный платеж]]+Y1011),
AND(S1011=0,Первоначальный[[#This Row],[Дата платежа из графика]]=1),MIN(LOOKUP(,-1/($Z$12:Z1012=1),$C$12:C1012)+LOOKUP(,-1/($Z$12:Z1012=1),$H$12:H1012)-IF(Z1011=1,0,SUM(INDIRECT("T"&amp;(MAX((1=Z$12:Z1011)*ROW(Z$12:Z1011)+1,ROW($T$12))&amp;":T"&amp;(ROW()-1))))),Первоначальный[[#This Row],[Полученный платеж]]+Y1011),
AND(Z1011&gt;0,Первоначальный[[#This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платеж]]+Y1011),
AND(S1011&gt;0,MAX((0&lt;&gt;S$12:S1011)*ROW(S$12:S1011),ROW($S$12))&gt;=MAX((1=Z$12:Z1011)*ROW(Z$12:Z1011),ROW($T$12)),TYPE(VLOOKUP("Да",(INDIRECT("AA"&amp;(MAX((1=Z$12:Z1011)*ROW(Z$12:Z1011),ROW($T$12))&amp;":AA"&amp;(ROW()-1)))),1,0))=16),MIN(LOOKUP(,-1/($Z$12:Z1012=1),$C$12:C1012)+LOOKUP(,-1/($Z$12:Z1012=1),$H$12:H1012)-SUM(INDIRECT("T"&amp;(MAX((1=Z$12:Z1011)*ROW(Z$12:Z1011),ROW($T$12))&amp;":T"&amp;(ROW()-1)))),Первоначальный[[#This Row],[Полученный платеж]]+Y1011),
S1011&gt;0,MIN(LOOKUP(,-1/($Z$12:Z1012=1),$C$12:C1012)+LOOKUP(,-1/($Z$12:Z1012=1),$H$12:H1012)-IF(Z1011=1,0,SUM(INDIRECT("T"&amp;(MAX((1=Z$12:Z1011)*ROW(Z$12:Z1011)+1,ROW($T$12))&amp;":T"&amp;(ROW()-1))))),Первоначальный[[#This Row],[Полученный платеж]]+Y1011)
)
)
)</f>
        <v>0</v>
      </c>
      <c r="U101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платеж]]+Y1011-Первоначальный[[#This Row],[Полученный платёж по процентам]])</f>
        <v>0</v>
      </c>
      <c r="V1012" s="55">
        <f t="shared" ca="1" si="183"/>
        <v>0</v>
      </c>
      <c r="W1012" s="55" cm="1">
        <f t="array" aca="1" ref="W1012" ca="1">IF(Первоначальный[[#This Row],[Итого остаток на начало периода]]&lt;1,0,
_xlfn.IFS(
AND(TYPE(VLOOKUP(1,$Z$12:Z1012,1,0))=16,Первоначальный[[#This Row],[Досрочное погашение (да/"")]]=""),0,
AND(S1011=0,Первоначальный[[#This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платеж]]+Y1011-SUM(Первоначальный[[#This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комиссиям]]),VLOOKUP(LOOKUP(,-1/($Z$12:Z1012=1),$A$12:A1012),График[[Срок конец]:[Возврат основной суммы долга]],3,0)),
AND(S1011=0,Первоначальный[[#This Row],[Дата платежа из графика]]="",Первоначальный[[#This Row],[Досрочное погашение (да/"")]]&lt;&gt;"Да"),0,
AND(S1011=0,Первоначальный[[#This Row],[Досрочное погашение (да/"")]]=""),MIN(Первоначальный[[#This Row],[Полученный платеж]]+Y1011-SUM(Первоначальный[[#This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комиссиям]]),VLOOKUP(LOOKUP(,-1/($Z$12:Z1012=1),$A$12:A1012),График[[Срок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платеж]]+Y1011-SUM(Первоначальный[[#This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S1011&gt;0,MIN(Первоначальный[[#This Row],[Полученный платеж]]+Y1011-SUM(Первоначальный[[#This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комиссиям]]),SUM(INDIRECT("M"&amp;(MAX((1=S$12:S1011)*ROW(S$12:S1011),ROW($W$12))&amp;":M"&amp;(ROW()))))-SUM(INDIRECT("W"&amp;(MAX((1=S$12:S1011)*ROW(S$12:S1011),ROW($W$12))&amp;":W"&amp;(ROW()-1)))))
)
)</f>
        <v>0</v>
      </c>
      <c r="X1012" s="55">
        <f t="shared" ca="1" si="184"/>
        <v>0</v>
      </c>
      <c r="Y1012" s="101">
        <f t="shared" ca="1" si="191"/>
        <v>0</v>
      </c>
      <c r="Z1012" s="133" t="str">
        <f>IF(TYPE((VLOOKUP(Первоначальный[[#This Row],[Дата платежа]],График[Срок конец],1,0)))=16,"",1)</f>
        <v/>
      </c>
      <c r="AA1012" s="57"/>
      <c r="AB1012" s="134"/>
      <c r="AC101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1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72719.09</v>
      </c>
      <c r="AE101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3790.1299999999974</v>
      </c>
      <c r="AF101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1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203323.50597704877</v>
      </c>
      <c r="AH1012" s="55"/>
      <c r="AI1012" s="55"/>
      <c r="AJ1012" s="55"/>
      <c r="AK1012" s="101">
        <f t="shared" ca="1" si="192"/>
        <v>429466.06597704877</v>
      </c>
      <c r="AL1012" s="129">
        <f t="array" ref="AL1012">MAX((УслРестрактов[Характеристика]="Дата реструктуризации")*(УслРестрактов[Значение]=Первоначальный!$A1012),0)</f>
        <v>0</v>
      </c>
    </row>
    <row r="1013" spans="1:38" x14ac:dyDescent="0.25">
      <c r="A1013" s="97">
        <f t="shared" si="185"/>
        <v>45144</v>
      </c>
      <c r="B1013" s="100">
        <f t="shared" ca="1" si="186"/>
        <v>149633.34</v>
      </c>
      <c r="C1013" s="55">
        <f t="shared" ca="1" si="182"/>
        <v>72719.09</v>
      </c>
      <c r="D1013" s="55">
        <f t="shared" ca="1" si="182"/>
        <v>3790.1299999999974</v>
      </c>
      <c r="E1013" s="55">
        <f t="shared" ca="1" si="187"/>
        <v>0</v>
      </c>
      <c r="F1013" s="55">
        <f t="shared" ca="1" si="188"/>
        <v>203323.50597704877</v>
      </c>
      <c r="G1013" s="101">
        <f t="shared" ca="1" si="189"/>
        <v>429466.06597704877</v>
      </c>
      <c r="H1013" s="100">
        <f ca="1">ROUND($B1013*VLOOKUP($A1013,$A$1:$B$10,2,1)/(365+IF(MOD(YEAR($A1013),4),0,1)*($A1013-$A1012)),2)-Первоначальный[[#This Row],[Проценты на просроченный платеж по ОД за период]]</f>
        <v>72.78</v>
      </c>
      <c r="I1013" s="55">
        <f t="shared" ca="1" si="190"/>
        <v>8.8000000000000007</v>
      </c>
      <c r="J1013" s="55">
        <v>0</v>
      </c>
      <c r="K1013" s="55">
        <f t="shared" ca="1" si="193"/>
        <v>434.48350327868837</v>
      </c>
      <c r="L1013" s="55">
        <v>0</v>
      </c>
      <c r="M1013" s="113">
        <f>SUMIFS(График[Возврат основной суммы долга],График[Дата с учетом нерабочих дней],$A1013)</f>
        <v>0</v>
      </c>
      <c r="N1013" s="56">
        <f>SUMIFS(График[Возврат начисленных %],График[Дата с учетом нерабочих дней],$A1013)</f>
        <v>0</v>
      </c>
      <c r="O1013" s="101">
        <v>0</v>
      </c>
      <c r="P1013" s="100" cm="1">
        <f t="array" aca="1" ref="P1013" ca="1">MAX(IF(AA1012="Да",0,SUM(INDIRECT("M"&amp;(MAX(("Да"=AA$12:AA1012)*ROW(AA$12:AA1012)+1,ROW($P$12))&amp;":M"&amp;(ROW()))))-SUM(INDIRECT("W"&amp;(MAX(("Да"=AA$12:AA1012)*ROW(AA$12:AA1012)+1,ROW($P$12))&amp;":W"&amp;(ROW()))))),0)</f>
        <v>16145.36</v>
      </c>
      <c r="Q1013" s="99">
        <f ca="1">MAX(SUM($N$13:N1013)-SUM($T$13:T1013),0)</f>
        <v>70751.340655737673</v>
      </c>
      <c r="R1013" s="99">
        <f ca="1">Первоначальный[[#This Row],[Просроченный платеж по ОД]]+Первоначальный[[#This Row],[Просроченный платеж по процентам]]</f>
        <v>86896.700655737674</v>
      </c>
      <c r="S1013" s="120">
        <f ca="1">IF(Первоначальный[[#This Row],[Просроченный платеж]]&lt;1,0,S1012+1)</f>
        <v>909</v>
      </c>
      <c r="T1013" s="100" cm="1">
        <f t="array" aca="1" ref="T1013" ca="1">IF(Первоначальный[[#This Row],[Итого остаток на начало периода]]&lt;1,0,
IF(
AND(TYPE(VLOOKUP(1,$Z$12:Z1013,1,0))=16,Первоначальный[[#This Row],[Досрочное погашение (да/"")]]=""),0,
_xlfn.IFS(AND(S1012=0,Первоначальный[[#This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платеж]]&lt;&gt;0),MIN(LOOKUP(,-1/($Z$12:Z1013=1),$C$12:C1013)+LOOKUP(,-1/($Z$12:Z1013=1),$H$12:H1013),Первоначальный[[#This Row],[Полученный платеж]]+Y1012),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платеж]]+Y1012,SUM(Первоначальный[[#This Row],[Остаток процентов на начало периода]],Первоначальный[[#This Row],[Проценты за период]])),
AND(S1012=0,Первоначальный[[#This Row],[Дата платежа из графика]]=""),0,
AND(S1012=0,Первоначальный[[#This Row],[Дата платежа из графика]]=1,MAX((0&lt;&gt;S$12:S1012)*ROW(S$12:S1012),ROW($S$12))&gt;=MAX((1=Z$12:Z1012)*ROW(Z$12:Z1012),ROW($T$12)),TYPE(VLOOKUP("Да",(INDIRECT("AA"&amp;(MAX((1=Z$12:Z1012)*ROW(Z$12:Z1012),ROW($T$12))&amp;":AA"&amp;(ROW()-1)))),1,0))=16),MIN(LOOKUP(,-1/($Z$12:Z1013=1),$C$12:C1013)+LOOKUP(,-1/($Z$12:Z1013=1),$H$12:H1013),Первоначальный[[#This Row],[Полученный платеж]]+Y1012),
AND(S1012=0,TYPE(VLOOKUP("Да",(INDIRECT("AA"&amp;(MAX((1=Z$12:Z1012)*ROW(Z$12:Z1012),ROW($T$12))&amp;":AA"&amp;(ROW()-1)))),1,0))&lt;&gt;16),MIN(LOOKUP(,-1/($Z$12:Z1013=1),$C$12:C1013)+LOOKUP(,-1/($Z$12:Z1013=1),$H$12:H1013)-IF(AA1012="Да",0,SUM(INDIRECT("T"&amp;(MAX(("Да"=AA$12:AA1012)*ROW(AA$12:AA1012)+1,ROW($T$12))&amp;":T"&amp;(ROW()-1))))),Первоначальный[[#This Row],[Полученный платеж]]+Y1012),
AND(S1012=0,MAX((0&lt;&gt;N$12:N1012)*ROW(N$12:N1012),ROW($S$12))&gt;=MAX((1=Z$12:Z1012)*ROW(Z$12:Z1012),ROW($T$12))),MIN(LOOKUP(,-1/($Z$12:Z1013=1),$C$12:C1013)+LOOKUP(,-1/($Z$12:Z1013=1),$H$12:H1013)-IF(N1012&lt;&gt;0,0,SUM(INDIRECT("T"&amp;(MAX((0&lt;&gt;N$12:N1012)*ROW(N$12:N1012)+1,ROW($T$12))&amp;":T"&amp;(ROW()-1))))),Первоначальный[[#This Row],[Полученный платеж]]+Y1012),
AND(S1012=0,Первоначальный[[#This Row],[Дата платежа из графика]]=1),MIN(LOOKUP(,-1/($Z$12:Z1013=1),$C$12:C1013)+LOOKUP(,-1/($Z$12:Z1013=1),$H$12:H1013)-IF(Z1012=1,0,SUM(INDIRECT("T"&amp;(MAX((1=Z$12:Z1012)*ROW(Z$12:Z1012)+1,ROW($T$12))&amp;":T"&amp;(ROW()-1))))),Первоначальный[[#This Row],[Полученный платеж]]+Y1012),
AND(Z1012&gt;0,Первоначальный[[#This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платеж]]+Y1012),
AND(S1012&gt;0,MAX((0&lt;&gt;S$12:S1012)*ROW(S$12:S1012),ROW($S$12))&gt;=MAX((1=Z$12:Z1012)*ROW(Z$12:Z1012),ROW($T$12)),TYPE(VLOOKUP("Да",(INDIRECT("AA"&amp;(MAX((1=Z$12:Z1012)*ROW(Z$12:Z1012),ROW($T$12))&amp;":AA"&amp;(ROW()-1)))),1,0))=16),MIN(LOOKUP(,-1/($Z$12:Z1013=1),$C$12:C1013)+LOOKUP(,-1/($Z$12:Z1013=1),$H$12:H1013)-SUM(INDIRECT("T"&amp;(MAX((1=Z$12:Z1012)*ROW(Z$12:Z1012),ROW($T$12))&amp;":T"&amp;(ROW()-1)))),Первоначальный[[#This Row],[Полученный платеж]]+Y1012),
S1012&gt;0,MIN(LOOKUP(,-1/($Z$12:Z1013=1),$C$12:C1013)+LOOKUP(,-1/($Z$12:Z1013=1),$H$12:H1013)-IF(Z1012=1,0,SUM(INDIRECT("T"&amp;(MAX((1=Z$12:Z1012)*ROW(Z$12:Z1012)+1,ROW($T$12))&amp;":T"&amp;(ROW()-1))))),Первоначальный[[#This Row],[Полученный платеж]]+Y1012)
)
)
)</f>
        <v>0</v>
      </c>
      <c r="U101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платеж]]+Y1012-Первоначальный[[#This Row],[Полученный платёж по процентам]])</f>
        <v>0</v>
      </c>
      <c r="V1013" s="55">
        <f t="shared" ca="1" si="183"/>
        <v>0</v>
      </c>
      <c r="W1013" s="55" cm="1">
        <f t="array" aca="1" ref="W1013" ca="1">IF(Первоначальный[[#This Row],[Итого остаток на начало периода]]&lt;1,0,
_xlfn.IFS(
AND(TYPE(VLOOKUP(1,$Z$12:Z1013,1,0))=16,Первоначальный[[#This Row],[Досрочное погашение (да/"")]]=""),0,
AND(S1012=0,Первоначальный[[#This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платеж]]+Y1012-SUM(Первоначальный[[#This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комиссиям]]),VLOOKUP(LOOKUP(,-1/($Z$12:Z1013=1),$A$12:A1013),График[[Срок конец]:[Возврат основной суммы долга]],3,0)),
AND(S1012=0,Первоначальный[[#This Row],[Дата платежа из графика]]="",Первоначальный[[#This Row],[Досрочное погашение (да/"")]]&lt;&gt;"Да"),0,
AND(S1012=0,Первоначальный[[#This Row],[Досрочное погашение (да/"")]]=""),MIN(Первоначальный[[#This Row],[Полученный платеж]]+Y1012-SUM(Первоначальный[[#This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комиссиям]]),VLOOKUP(LOOKUP(,-1/($Z$12:Z1013=1),$A$12:A1013),График[[Срок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платеж]]+Y1012-SUM(Первоначальный[[#This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S1012&gt;0,MIN(Первоначальный[[#This Row],[Полученный платеж]]+Y1012-SUM(Первоначальный[[#This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комиссиям]]),SUM(INDIRECT("M"&amp;(MAX((1=S$12:S1012)*ROW(S$12:S1012),ROW($W$12))&amp;":M"&amp;(ROW()))))-SUM(INDIRECT("W"&amp;(MAX((1=S$12:S1012)*ROW(S$12:S1012),ROW($W$12))&amp;":W"&amp;(ROW()-1)))))
)
)</f>
        <v>0</v>
      </c>
      <c r="X1013" s="55">
        <f t="shared" ca="1" si="184"/>
        <v>0</v>
      </c>
      <c r="Y1013" s="101">
        <f t="shared" ca="1" si="191"/>
        <v>0</v>
      </c>
      <c r="Z1013" s="133" t="str">
        <f>IF(TYPE((VLOOKUP(Первоначальный[[#This Row],[Дата платежа]],График[Срок конец],1,0)))=16,"",1)</f>
        <v/>
      </c>
      <c r="AA1013" s="57"/>
      <c r="AB1013" s="134"/>
      <c r="AC101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1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72791.87</v>
      </c>
      <c r="AE101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3798.9299999999976</v>
      </c>
      <c r="AF101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1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203757.98948032747</v>
      </c>
      <c r="AH1013" s="55"/>
      <c r="AI1013" s="55"/>
      <c r="AJ1013" s="55"/>
      <c r="AK1013" s="101">
        <f t="shared" ca="1" si="192"/>
        <v>429982.12948032748</v>
      </c>
      <c r="AL1013" s="129">
        <f t="array" ref="AL1013">MAX((УслРестрактов[Характеристика]="Дата реструктуризации")*(УслРестрактов[Значение]=Первоначальный!$A1013),0)</f>
        <v>0</v>
      </c>
    </row>
    <row r="1014" spans="1:38" x14ac:dyDescent="0.25">
      <c r="A1014" s="97">
        <f t="shared" si="185"/>
        <v>45145</v>
      </c>
      <c r="B1014" s="100">
        <f t="shared" ca="1" si="186"/>
        <v>149633.34</v>
      </c>
      <c r="C1014" s="55">
        <f t="shared" ca="1" si="182"/>
        <v>72791.87</v>
      </c>
      <c r="D1014" s="55">
        <f t="shared" ca="1" si="182"/>
        <v>3798.9299999999976</v>
      </c>
      <c r="E1014" s="55">
        <f t="shared" ca="1" si="187"/>
        <v>0</v>
      </c>
      <c r="F1014" s="55">
        <f t="shared" ca="1" si="188"/>
        <v>203757.98948032747</v>
      </c>
      <c r="G1014" s="101">
        <f t="shared" ca="1" si="189"/>
        <v>429982.12948032748</v>
      </c>
      <c r="H1014" s="100">
        <f ca="1">ROUND($B1014*VLOOKUP($A1014,$A$1:$B$10,2,1)/(365+IF(MOD(YEAR($A1014),4),0,1)*($A1014-$A1013)),2)-Первоначальный[[#This Row],[Проценты на просроченный платеж по ОД за период]]</f>
        <v>72.78</v>
      </c>
      <c r="I1014" s="55">
        <f t="shared" ca="1" si="190"/>
        <v>8.8000000000000007</v>
      </c>
      <c r="J1014" s="55">
        <v>0</v>
      </c>
      <c r="K1014" s="55">
        <f t="shared" ca="1" si="193"/>
        <v>434.48350327868837</v>
      </c>
      <c r="L1014" s="55">
        <v>0</v>
      </c>
      <c r="M1014" s="113">
        <f>SUMIFS(График[Возврат основной суммы долга],График[Дата с учетом нерабочих дней],$A1014)</f>
        <v>0</v>
      </c>
      <c r="N1014" s="56">
        <f>SUMIFS(График[Возврат начисленных %],График[Дата с учетом нерабочих дней],$A1014)</f>
        <v>0</v>
      </c>
      <c r="O1014" s="101">
        <v>0</v>
      </c>
      <c r="P1014" s="100" cm="1">
        <f t="array" aca="1" ref="P1014" ca="1">MAX(IF(AA1013="Да",0,SUM(INDIRECT("M"&amp;(MAX(("Да"=AA$12:AA1013)*ROW(AA$12:AA1013)+1,ROW($P$12))&amp;":M"&amp;(ROW()))))-SUM(INDIRECT("W"&amp;(MAX(("Да"=AA$12:AA1013)*ROW(AA$12:AA1013)+1,ROW($P$12))&amp;":W"&amp;(ROW()))))),0)</f>
        <v>16145.36</v>
      </c>
      <c r="Q1014" s="99">
        <f ca="1">MAX(SUM($N$13:N1014)-SUM($T$13:T1014),0)</f>
        <v>70751.340655737673</v>
      </c>
      <c r="R1014" s="99">
        <f ca="1">Первоначальный[[#This Row],[Просроченный платеж по ОД]]+Первоначальный[[#This Row],[Просроченный платеж по процентам]]</f>
        <v>86896.700655737674</v>
      </c>
      <c r="S1014" s="120">
        <f ca="1">IF(Первоначальный[[#This Row],[Просроченный платеж]]&lt;1,0,S1013+1)</f>
        <v>910</v>
      </c>
      <c r="T1014" s="100" cm="1">
        <f t="array" aca="1" ref="T1014" ca="1">IF(Первоначальный[[#This Row],[Итого остаток на начало периода]]&lt;1,0,
IF(
AND(TYPE(VLOOKUP(1,$Z$12:Z1014,1,0))=16,Первоначальный[[#This Row],[Досрочное погашение (да/"")]]=""),0,
_xlfn.IFS(AND(S1013=0,Первоначальный[[#This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платеж]]&lt;&gt;0),MIN(LOOKUP(,-1/($Z$12:Z1014=1),$C$12:C1014)+LOOKUP(,-1/($Z$12:Z1014=1),$H$12:H1014),Первоначальный[[#This Row],[Полученный платеж]]+Y1013),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платеж]]+Y1013,SUM(Первоначальный[[#This Row],[Остаток процентов на начало периода]],Первоначальный[[#This Row],[Проценты за период]])),
AND(S1013=0,Первоначальный[[#This Row],[Дата платежа из графика]]=""),0,
AND(S1013=0,Первоначальный[[#This Row],[Дата платежа из графика]]=1,MAX((0&lt;&gt;S$12:S1013)*ROW(S$12:S1013),ROW($S$12))&gt;=MAX((1=Z$12:Z1013)*ROW(Z$12:Z1013),ROW($T$12)),TYPE(VLOOKUP("Да",(INDIRECT("AA"&amp;(MAX((1=Z$12:Z1013)*ROW(Z$12:Z1013),ROW($T$12))&amp;":AA"&amp;(ROW()-1)))),1,0))=16),MIN(LOOKUP(,-1/($Z$12:Z1014=1),$C$12:C1014)+LOOKUP(,-1/($Z$12:Z1014=1),$H$12:H1014),Первоначальный[[#This Row],[Полученный платеж]]+Y1013),
AND(S1013=0,TYPE(VLOOKUP("Да",(INDIRECT("AA"&amp;(MAX((1=Z$12:Z1013)*ROW(Z$12:Z1013),ROW($T$12))&amp;":AA"&amp;(ROW()-1)))),1,0))&lt;&gt;16),MIN(LOOKUP(,-1/($Z$12:Z1014=1),$C$12:C1014)+LOOKUP(,-1/($Z$12:Z1014=1),$H$12:H1014)-IF(AA1013="Да",0,SUM(INDIRECT("T"&amp;(MAX(("Да"=AA$12:AA1013)*ROW(AA$12:AA1013)+1,ROW($T$12))&amp;":T"&amp;(ROW()-1))))),Первоначальный[[#This Row],[Полученный платеж]]+Y1013),
AND(S1013=0,MAX((0&lt;&gt;N$12:N1013)*ROW(N$12:N1013),ROW($S$12))&gt;=MAX((1=Z$12:Z1013)*ROW(Z$12:Z1013),ROW($T$12))),MIN(LOOKUP(,-1/($Z$12:Z1014=1),$C$12:C1014)+LOOKUP(,-1/($Z$12:Z1014=1),$H$12:H1014)-IF(N1013&lt;&gt;0,0,SUM(INDIRECT("T"&amp;(MAX((0&lt;&gt;N$12:N1013)*ROW(N$12:N1013)+1,ROW($T$12))&amp;":T"&amp;(ROW()-1))))),Первоначальный[[#This Row],[Полученный платеж]]+Y1013),
AND(S1013=0,Первоначальный[[#This Row],[Дата платежа из графика]]=1),MIN(LOOKUP(,-1/($Z$12:Z1014=1),$C$12:C1014)+LOOKUP(,-1/($Z$12:Z1014=1),$H$12:H1014)-IF(Z1013=1,0,SUM(INDIRECT("T"&amp;(MAX((1=Z$12:Z1013)*ROW(Z$12:Z1013)+1,ROW($T$12))&amp;":T"&amp;(ROW()-1))))),Первоначальный[[#This Row],[Полученный платеж]]+Y1013),
AND(Z1013&gt;0,Первоначальный[[#This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платеж]]+Y1013),
AND(S1013&gt;0,MAX((0&lt;&gt;S$12:S1013)*ROW(S$12:S1013),ROW($S$12))&gt;=MAX((1=Z$12:Z1013)*ROW(Z$12:Z1013),ROW($T$12)),TYPE(VLOOKUP("Да",(INDIRECT("AA"&amp;(MAX((1=Z$12:Z1013)*ROW(Z$12:Z1013),ROW($T$12))&amp;":AA"&amp;(ROW()-1)))),1,0))=16),MIN(LOOKUP(,-1/($Z$12:Z1014=1),$C$12:C1014)+LOOKUP(,-1/($Z$12:Z1014=1),$H$12:H1014)-SUM(INDIRECT("T"&amp;(MAX((1=Z$12:Z1013)*ROW(Z$12:Z1013),ROW($T$12))&amp;":T"&amp;(ROW()-1)))),Первоначальный[[#This Row],[Полученный платеж]]+Y1013),
S1013&gt;0,MIN(LOOKUP(,-1/($Z$12:Z1014=1),$C$12:C1014)+LOOKUP(,-1/($Z$12:Z1014=1),$H$12:H1014)-IF(Z1013=1,0,SUM(INDIRECT("T"&amp;(MAX((1=Z$12:Z1013)*ROW(Z$12:Z1013)+1,ROW($T$12))&amp;":T"&amp;(ROW()-1))))),Первоначальный[[#This Row],[Полученный платеж]]+Y1013)
)
)
)</f>
        <v>0</v>
      </c>
      <c r="U101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платеж]]+Y1013-Первоначальный[[#This Row],[Полученный платёж по процентам]])</f>
        <v>0</v>
      </c>
      <c r="V1014" s="55">
        <f t="shared" ca="1" si="183"/>
        <v>0</v>
      </c>
      <c r="W1014" s="55" cm="1">
        <f t="array" aca="1" ref="W1014" ca="1">IF(Первоначальный[[#This Row],[Итого остаток на начало периода]]&lt;1,0,
_xlfn.IFS(
AND(TYPE(VLOOKUP(1,$Z$12:Z1014,1,0))=16,Первоначальный[[#This Row],[Досрочное погашение (да/"")]]=""),0,
AND(S1013=0,Первоначальный[[#This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платеж]]+Y1013-SUM(Первоначальный[[#This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комиссиям]]),VLOOKUP(LOOKUP(,-1/($Z$12:Z1014=1),$A$12:A1014),График[[Срок конец]:[Возврат основной суммы долга]],3,0)),
AND(S1013=0,Первоначальный[[#This Row],[Дата платежа из графика]]="",Первоначальный[[#This Row],[Досрочное погашение (да/"")]]&lt;&gt;"Да"),0,
AND(S1013=0,Первоначальный[[#This Row],[Досрочное погашение (да/"")]]=""),MIN(Первоначальный[[#This Row],[Полученный платеж]]+Y1013-SUM(Первоначальный[[#This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комиссиям]]),VLOOKUP(LOOKUP(,-1/($Z$12:Z1014=1),$A$12:A1014),График[[Срок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платеж]]+Y1013-SUM(Первоначальный[[#This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S1013&gt;0,MIN(Первоначальный[[#This Row],[Полученный платеж]]+Y1013-SUM(Первоначальный[[#This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комиссиям]]),SUM(INDIRECT("M"&amp;(MAX((1=S$12:S1013)*ROW(S$12:S1013),ROW($W$12))&amp;":M"&amp;(ROW()))))-SUM(INDIRECT("W"&amp;(MAX((1=S$12:S1013)*ROW(S$12:S1013),ROW($W$12))&amp;":W"&amp;(ROW()-1)))))
)
)</f>
        <v>0</v>
      </c>
      <c r="X1014" s="55">
        <f t="shared" ca="1" si="184"/>
        <v>0</v>
      </c>
      <c r="Y1014" s="101">
        <f t="shared" ca="1" si="191"/>
        <v>0</v>
      </c>
      <c r="Z1014" s="133" t="str">
        <f>IF(TYPE((VLOOKUP(Первоначальный[[#This Row],[Дата платежа]],График[Срок конец],1,0)))=16,"",1)</f>
        <v/>
      </c>
      <c r="AA1014" s="57"/>
      <c r="AB1014" s="134"/>
      <c r="AC101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1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72864.649999999994</v>
      </c>
      <c r="AE101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3807.7299999999977</v>
      </c>
      <c r="AF101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1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204192.47298360616</v>
      </c>
      <c r="AH1014" s="55"/>
      <c r="AI1014" s="55"/>
      <c r="AJ1014" s="55"/>
      <c r="AK1014" s="101">
        <f t="shared" ca="1" si="192"/>
        <v>430498.19298360613</v>
      </c>
      <c r="AL1014" s="129">
        <f t="array" ref="AL1014">MAX((УслРестрактов[Характеристика]="Дата реструктуризации")*(УслРестрактов[Значение]=Первоначальный!$A1014),0)</f>
        <v>0</v>
      </c>
    </row>
    <row r="1015" spans="1:38" x14ac:dyDescent="0.25">
      <c r="A1015" s="97">
        <f t="shared" si="185"/>
        <v>45146</v>
      </c>
      <c r="B1015" s="100">
        <f t="shared" ca="1" si="186"/>
        <v>149633.34</v>
      </c>
      <c r="C1015" s="55">
        <f t="shared" ca="1" si="182"/>
        <v>72864.649999999994</v>
      </c>
      <c r="D1015" s="55">
        <f t="shared" ca="1" si="182"/>
        <v>3807.7299999999977</v>
      </c>
      <c r="E1015" s="55">
        <f t="shared" ca="1" si="187"/>
        <v>0</v>
      </c>
      <c r="F1015" s="55">
        <f t="shared" ca="1" si="188"/>
        <v>204192.47298360616</v>
      </c>
      <c r="G1015" s="101">
        <f t="shared" ca="1" si="189"/>
        <v>430498.19298360613</v>
      </c>
      <c r="H1015" s="100">
        <f ca="1">ROUND($B1015*VLOOKUP($A1015,$A$1:$B$10,2,1)/(365+IF(MOD(YEAR($A1015),4),0,1)*($A1015-$A1014)),2)-Первоначальный[[#This Row],[Проценты на просроченный платеж по ОД за период]]</f>
        <v>72.78</v>
      </c>
      <c r="I1015" s="55">
        <f t="shared" ca="1" si="190"/>
        <v>8.8000000000000007</v>
      </c>
      <c r="J1015" s="55">
        <v>0</v>
      </c>
      <c r="K1015" s="55">
        <f t="shared" ca="1" si="193"/>
        <v>434.48350327868837</v>
      </c>
      <c r="L1015" s="55">
        <v>0</v>
      </c>
      <c r="M1015" s="113">
        <f>SUMIFS(График[Возврат основной суммы долга],График[Дата с учетом нерабочих дней],$A1015)</f>
        <v>0</v>
      </c>
      <c r="N1015" s="56">
        <f>SUMIFS(График[Возврат начисленных %],График[Дата с учетом нерабочих дней],$A1015)</f>
        <v>0</v>
      </c>
      <c r="O1015" s="101">
        <v>0</v>
      </c>
      <c r="P1015" s="100" cm="1">
        <f t="array" aca="1" ref="P1015" ca="1">MAX(IF(AA1014="Да",0,SUM(INDIRECT("M"&amp;(MAX(("Да"=AA$12:AA1014)*ROW(AA$12:AA1014)+1,ROW($P$12))&amp;":M"&amp;(ROW()))))-SUM(INDIRECT("W"&amp;(MAX(("Да"=AA$12:AA1014)*ROW(AA$12:AA1014)+1,ROW($P$12))&amp;":W"&amp;(ROW()))))),0)</f>
        <v>16145.36</v>
      </c>
      <c r="Q1015" s="99">
        <f ca="1">MAX(SUM($N$13:N1015)-SUM($T$13:T1015),0)</f>
        <v>70751.340655737673</v>
      </c>
      <c r="R1015" s="99">
        <f ca="1">Первоначальный[[#This Row],[Просроченный платеж по ОД]]+Первоначальный[[#This Row],[Просроченный платеж по процентам]]</f>
        <v>86896.700655737674</v>
      </c>
      <c r="S1015" s="120">
        <f ca="1">IF(Первоначальный[[#This Row],[Просроченный платеж]]&lt;1,0,S1014+1)</f>
        <v>911</v>
      </c>
      <c r="T1015" s="100" cm="1">
        <f t="array" aca="1" ref="T1015" ca="1">IF(Первоначальный[[#This Row],[Итого остаток на начало периода]]&lt;1,0,
IF(
AND(TYPE(VLOOKUP(1,$Z$12:Z1015,1,0))=16,Первоначальный[[#This Row],[Досрочное погашение (да/"")]]=""),0,
_xlfn.IFS(AND(S1014=0,Первоначальный[[#This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платеж]]&lt;&gt;0),MIN(LOOKUP(,-1/($Z$12:Z1015=1),$C$12:C1015)+LOOKUP(,-1/($Z$12:Z1015=1),$H$12:H1015),Первоначальный[[#This Row],[Полученный платеж]]+Y1014),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платеж]]+Y1014,SUM(Первоначальный[[#This Row],[Остаток процентов на начало периода]],Первоначальный[[#This Row],[Проценты за период]])),
AND(S1014=0,Первоначальный[[#This Row],[Дата платежа из графика]]=""),0,
AND(S1014=0,Первоначальный[[#This Row],[Дата платежа из графика]]=1,MAX((0&lt;&gt;S$12:S1014)*ROW(S$12:S1014),ROW($S$12))&gt;=MAX((1=Z$12:Z1014)*ROW(Z$12:Z1014),ROW($T$12)),TYPE(VLOOKUP("Да",(INDIRECT("AA"&amp;(MAX((1=Z$12:Z1014)*ROW(Z$12:Z1014),ROW($T$12))&amp;":AA"&amp;(ROW()-1)))),1,0))=16),MIN(LOOKUP(,-1/($Z$12:Z1015=1),$C$12:C1015)+LOOKUP(,-1/($Z$12:Z1015=1),$H$12:H1015),Первоначальный[[#This Row],[Полученный платеж]]+Y1014),
AND(S1014=0,TYPE(VLOOKUP("Да",(INDIRECT("AA"&amp;(MAX((1=Z$12:Z1014)*ROW(Z$12:Z1014),ROW($T$12))&amp;":AA"&amp;(ROW()-1)))),1,0))&lt;&gt;16),MIN(LOOKUP(,-1/($Z$12:Z1015=1),$C$12:C1015)+LOOKUP(,-1/($Z$12:Z1015=1),$H$12:H1015)-IF(AA1014="Да",0,SUM(INDIRECT("T"&amp;(MAX(("Да"=AA$12:AA1014)*ROW(AA$12:AA1014)+1,ROW($T$12))&amp;":T"&amp;(ROW()-1))))),Первоначальный[[#This Row],[Полученный платеж]]+Y1014),
AND(S1014=0,MAX((0&lt;&gt;N$12:N1014)*ROW(N$12:N1014),ROW($S$12))&gt;=MAX((1=Z$12:Z1014)*ROW(Z$12:Z1014),ROW($T$12))),MIN(LOOKUP(,-1/($Z$12:Z1015=1),$C$12:C1015)+LOOKUP(,-1/($Z$12:Z1015=1),$H$12:H1015)-IF(N1014&lt;&gt;0,0,SUM(INDIRECT("T"&amp;(MAX((0&lt;&gt;N$12:N1014)*ROW(N$12:N1014)+1,ROW($T$12))&amp;":T"&amp;(ROW()-1))))),Первоначальный[[#This Row],[Полученный платеж]]+Y1014),
AND(S1014=0,Первоначальный[[#This Row],[Дата платежа из графика]]=1),MIN(LOOKUP(,-1/($Z$12:Z1015=1),$C$12:C1015)+LOOKUP(,-1/($Z$12:Z1015=1),$H$12:H1015)-IF(Z1014=1,0,SUM(INDIRECT("T"&amp;(MAX((1=Z$12:Z1014)*ROW(Z$12:Z1014)+1,ROW($T$12))&amp;":T"&amp;(ROW()-1))))),Первоначальный[[#This Row],[Полученный платеж]]+Y1014),
AND(Z1014&gt;0,Первоначальный[[#This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платеж]]+Y1014),
AND(S1014&gt;0,MAX((0&lt;&gt;S$12:S1014)*ROW(S$12:S1014),ROW($S$12))&gt;=MAX((1=Z$12:Z1014)*ROW(Z$12:Z1014),ROW($T$12)),TYPE(VLOOKUP("Да",(INDIRECT("AA"&amp;(MAX((1=Z$12:Z1014)*ROW(Z$12:Z1014),ROW($T$12))&amp;":AA"&amp;(ROW()-1)))),1,0))=16),MIN(LOOKUP(,-1/($Z$12:Z1015=1),$C$12:C1015)+LOOKUP(,-1/($Z$12:Z1015=1),$H$12:H1015)-SUM(INDIRECT("T"&amp;(MAX((1=Z$12:Z1014)*ROW(Z$12:Z1014),ROW($T$12))&amp;":T"&amp;(ROW()-1)))),Первоначальный[[#This Row],[Полученный платеж]]+Y1014),
S1014&gt;0,MIN(LOOKUP(,-1/($Z$12:Z1015=1),$C$12:C1015)+LOOKUP(,-1/($Z$12:Z1015=1),$H$12:H1015)-IF(Z1014=1,0,SUM(INDIRECT("T"&amp;(MAX((1=Z$12:Z1014)*ROW(Z$12:Z1014)+1,ROW($T$12))&amp;":T"&amp;(ROW()-1))))),Первоначальный[[#This Row],[Полученный платеж]]+Y1014)
)
)
)</f>
        <v>0</v>
      </c>
      <c r="U101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платеж]]+Y1014-Первоначальный[[#This Row],[Полученный платёж по процентам]])</f>
        <v>0</v>
      </c>
      <c r="V1015" s="55">
        <f t="shared" ca="1" si="183"/>
        <v>0</v>
      </c>
      <c r="W1015" s="55" cm="1">
        <f t="array" aca="1" ref="W1015" ca="1">IF(Первоначальный[[#This Row],[Итого остаток на начало периода]]&lt;1,0,
_xlfn.IFS(
AND(TYPE(VLOOKUP(1,$Z$12:Z1015,1,0))=16,Первоначальный[[#This Row],[Досрочное погашение (да/"")]]=""),0,
AND(S1014=0,Первоначальный[[#This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платеж]]+Y1014-SUM(Первоначальный[[#This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комиссиям]]),VLOOKUP(LOOKUP(,-1/($Z$12:Z1015=1),$A$12:A1015),График[[Срок конец]:[Возврат основной суммы долга]],3,0)),
AND(S1014=0,Первоначальный[[#This Row],[Дата платежа из графика]]="",Первоначальный[[#This Row],[Досрочное погашение (да/"")]]&lt;&gt;"Да"),0,
AND(S1014=0,Первоначальный[[#This Row],[Досрочное погашение (да/"")]]=""),MIN(Первоначальный[[#This Row],[Полученный платеж]]+Y1014-SUM(Первоначальный[[#This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комиссиям]]),VLOOKUP(LOOKUP(,-1/($Z$12:Z1015=1),$A$12:A1015),График[[Срок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платеж]]+Y1014-SUM(Первоначальный[[#This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S1014&gt;0,MIN(Первоначальный[[#This Row],[Полученный платеж]]+Y1014-SUM(Первоначальный[[#This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комиссиям]]),SUM(INDIRECT("M"&amp;(MAX((1=S$12:S1014)*ROW(S$12:S1014),ROW($W$12))&amp;":M"&amp;(ROW()))))-SUM(INDIRECT("W"&amp;(MAX((1=S$12:S1014)*ROW(S$12:S1014),ROW($W$12))&amp;":W"&amp;(ROW()-1)))))
)
)</f>
        <v>0</v>
      </c>
      <c r="X1015" s="55">
        <f t="shared" ca="1" si="184"/>
        <v>0</v>
      </c>
      <c r="Y1015" s="101">
        <f t="shared" ca="1" si="191"/>
        <v>0</v>
      </c>
      <c r="Z1015" s="133" t="str">
        <f>IF(TYPE((VLOOKUP(Первоначальный[[#This Row],[Дата платежа]],График[Срок конец],1,0)))=16,"",1)</f>
        <v/>
      </c>
      <c r="AA1015" s="57"/>
      <c r="AB1015" s="134"/>
      <c r="AC101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1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72937.429999999993</v>
      </c>
      <c r="AE101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3816.5299999999979</v>
      </c>
      <c r="AF101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1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204626.95648688485</v>
      </c>
      <c r="AH1015" s="55"/>
      <c r="AI1015" s="55"/>
      <c r="AJ1015" s="55"/>
      <c r="AK1015" s="101">
        <f t="shared" ca="1" si="192"/>
        <v>431014.25648688484</v>
      </c>
      <c r="AL1015" s="129">
        <f t="array" ref="AL1015">MAX((УслРестрактов[Характеристика]="Дата реструктуризации")*(УслРестрактов[Значение]=Первоначальный!$A1015),0)</f>
        <v>0</v>
      </c>
    </row>
    <row r="1016" spans="1:38" x14ac:dyDescent="0.25">
      <c r="A1016" s="97">
        <f t="shared" si="185"/>
        <v>45147</v>
      </c>
      <c r="B1016" s="100">
        <f t="shared" ca="1" si="186"/>
        <v>149633.34</v>
      </c>
      <c r="C1016" s="55">
        <f t="shared" ca="1" si="182"/>
        <v>72937.429999999993</v>
      </c>
      <c r="D1016" s="55">
        <f t="shared" ca="1" si="182"/>
        <v>3816.5299999999979</v>
      </c>
      <c r="E1016" s="55">
        <f t="shared" ca="1" si="187"/>
        <v>0</v>
      </c>
      <c r="F1016" s="55">
        <f t="shared" ca="1" si="188"/>
        <v>204626.95648688485</v>
      </c>
      <c r="G1016" s="101">
        <f t="shared" ca="1" si="189"/>
        <v>431014.25648688484</v>
      </c>
      <c r="H1016" s="100">
        <f ca="1">ROUND($B1016*VLOOKUP($A1016,$A$1:$B$10,2,1)/(365+IF(MOD(YEAR($A1016),4),0,1)*($A1016-$A1015)),2)-Первоначальный[[#This Row],[Проценты на просроченный платеж по ОД за период]]</f>
        <v>72.78</v>
      </c>
      <c r="I1016" s="55">
        <f t="shared" ca="1" si="190"/>
        <v>8.8000000000000007</v>
      </c>
      <c r="J1016" s="55">
        <v>0</v>
      </c>
      <c r="K1016" s="55">
        <f t="shared" ca="1" si="193"/>
        <v>448.96850327868839</v>
      </c>
      <c r="L1016" s="55">
        <v>0</v>
      </c>
      <c r="M1016" s="113">
        <f>SUMIFS(График[Возврат основной суммы долга],График[Дата с учетом нерабочих дней],$A1016)</f>
        <v>640.86999999999989</v>
      </c>
      <c r="N1016" s="56">
        <f>SUMIFS(График[Возврат начисленных %],График[Дата с учетом нерабочих дней],$A1016)</f>
        <v>2256.13</v>
      </c>
      <c r="O1016" s="101">
        <v>0</v>
      </c>
      <c r="P1016" s="100" cm="1">
        <f t="array" aca="1" ref="P1016" ca="1">MAX(IF(AA1015="Да",0,SUM(INDIRECT("M"&amp;(MAX(("Да"=AA$12:AA1015)*ROW(AA$12:AA1015)+1,ROW($P$12))&amp;":M"&amp;(ROW()))))-SUM(INDIRECT("W"&amp;(MAX(("Да"=AA$12:AA1015)*ROW(AA$12:AA1015)+1,ROW($P$12))&amp;":W"&amp;(ROW()))))),0)</f>
        <v>16786.23</v>
      </c>
      <c r="Q1016" s="99">
        <f ca="1">MAX(SUM($N$13:N1016)-SUM($T$13:T1016),0)</f>
        <v>73007.470655737678</v>
      </c>
      <c r="R1016" s="99">
        <f ca="1">Первоначальный[[#This Row],[Просроченный платеж по ОД]]+Первоначальный[[#This Row],[Просроченный платеж по процентам]]</f>
        <v>89793.700655737674</v>
      </c>
      <c r="S1016" s="120">
        <f ca="1">IF(Первоначальный[[#This Row],[Просроченный платеж]]&lt;1,0,S1015+1)</f>
        <v>912</v>
      </c>
      <c r="T1016" s="100" cm="1">
        <f t="array" aca="1" ref="T1016" ca="1">IF(Первоначальный[[#This Row],[Итого остаток на начало периода]]&lt;1,0,
IF(
AND(TYPE(VLOOKUP(1,$Z$12:Z1016,1,0))=16,Первоначальный[[#This Row],[Досрочное погашение (да/"")]]=""),0,
_xlfn.IFS(AND(S1015=0,Первоначальный[[#This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платеж]]&lt;&gt;0),MIN(LOOKUP(,-1/($Z$12:Z1016=1),$C$12:C1016)+LOOKUP(,-1/($Z$12:Z1016=1),$H$12:H1016),Первоначальный[[#This Row],[Полученный платеж]]+Y1015),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платеж]]+Y1015,SUM(Первоначальный[[#This Row],[Остаток процентов на начало периода]],Первоначальный[[#This Row],[Проценты за период]])),
AND(S1015=0,Первоначальный[[#This Row],[Дата платежа из графика]]=""),0,
AND(S1015=0,Первоначальный[[#This Row],[Дата платежа из графика]]=1,MAX((0&lt;&gt;S$12:S1015)*ROW(S$12:S1015),ROW($S$12))&gt;=MAX((1=Z$12:Z1015)*ROW(Z$12:Z1015),ROW($T$12)),TYPE(VLOOKUP("Да",(INDIRECT("AA"&amp;(MAX((1=Z$12:Z1015)*ROW(Z$12:Z1015),ROW($T$12))&amp;":AA"&amp;(ROW()-1)))),1,0))=16),MIN(LOOKUP(,-1/($Z$12:Z1016=1),$C$12:C1016)+LOOKUP(,-1/($Z$12:Z1016=1),$H$12:H1016),Первоначальный[[#This Row],[Полученный платеж]]+Y1015),
AND(S1015=0,TYPE(VLOOKUP("Да",(INDIRECT("AA"&amp;(MAX((1=Z$12:Z1015)*ROW(Z$12:Z1015),ROW($T$12))&amp;":AA"&amp;(ROW()-1)))),1,0))&lt;&gt;16),MIN(LOOKUP(,-1/($Z$12:Z1016=1),$C$12:C1016)+LOOKUP(,-1/($Z$12:Z1016=1),$H$12:H1016)-IF(AA1015="Да",0,SUM(INDIRECT("T"&amp;(MAX(("Да"=AA$12:AA1015)*ROW(AA$12:AA1015)+1,ROW($T$12))&amp;":T"&amp;(ROW()-1))))),Первоначальный[[#This Row],[Полученный платеж]]+Y1015),
AND(S1015=0,MAX((0&lt;&gt;N$12:N1015)*ROW(N$12:N1015),ROW($S$12))&gt;=MAX((1=Z$12:Z1015)*ROW(Z$12:Z1015),ROW($T$12))),MIN(LOOKUP(,-1/($Z$12:Z1016=1),$C$12:C1016)+LOOKUP(,-1/($Z$12:Z1016=1),$H$12:H1016)-IF(N1015&lt;&gt;0,0,SUM(INDIRECT("T"&amp;(MAX((0&lt;&gt;N$12:N1015)*ROW(N$12:N1015)+1,ROW($T$12))&amp;":T"&amp;(ROW()-1))))),Первоначальный[[#This Row],[Полученный платеж]]+Y1015),
AND(S1015=0,Первоначальный[[#This Row],[Дата платежа из графика]]=1),MIN(LOOKUP(,-1/($Z$12:Z1016=1),$C$12:C1016)+LOOKUP(,-1/($Z$12:Z1016=1),$H$12:H1016)-IF(Z1015=1,0,SUM(INDIRECT("T"&amp;(MAX((1=Z$12:Z1015)*ROW(Z$12:Z1015)+1,ROW($T$12))&amp;":T"&amp;(ROW()-1))))),Первоначальный[[#This Row],[Полученный платеж]]+Y1015),
AND(Z1015&gt;0,Первоначальный[[#This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платеж]]+Y1015),
AND(S1015&gt;0,MAX((0&lt;&gt;S$12:S1015)*ROW(S$12:S1015),ROW($S$12))&gt;=MAX((1=Z$12:Z1015)*ROW(Z$12:Z1015),ROW($T$12)),TYPE(VLOOKUP("Да",(INDIRECT("AA"&amp;(MAX((1=Z$12:Z1015)*ROW(Z$12:Z1015),ROW($T$12))&amp;":AA"&amp;(ROW()-1)))),1,0))=16),MIN(LOOKUP(,-1/($Z$12:Z1016=1),$C$12:C1016)+LOOKUP(,-1/($Z$12:Z1016=1),$H$12:H1016)-SUM(INDIRECT("T"&amp;(MAX((1=Z$12:Z1015)*ROW(Z$12:Z1015),ROW($T$12))&amp;":T"&amp;(ROW()-1)))),Первоначальный[[#This Row],[Полученный платеж]]+Y1015),
S1015&gt;0,MIN(LOOKUP(,-1/($Z$12:Z1016=1),$C$12:C1016)+LOOKUP(,-1/($Z$12:Z1016=1),$H$12:H1016)-IF(Z1015=1,0,SUM(INDIRECT("T"&amp;(MAX((1=Z$12:Z1015)*ROW(Z$12:Z1015)+1,ROW($T$12))&amp;":T"&amp;(ROW()-1))))),Первоначальный[[#This Row],[Полученный платеж]]+Y1015)
)
)
)</f>
        <v>0</v>
      </c>
      <c r="U101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платеж]]+Y1015-Первоначальный[[#This Row],[Полученный платёж по процентам]])</f>
        <v>0</v>
      </c>
      <c r="V1016" s="55">
        <f t="shared" ca="1" si="183"/>
        <v>0</v>
      </c>
      <c r="W1016" s="55" cm="1">
        <f t="array" aca="1" ref="W1016" ca="1">IF(Первоначальный[[#This Row],[Итого остаток на начало периода]]&lt;1,0,
_xlfn.IFS(
AND(TYPE(VLOOKUP(1,$Z$12:Z1016,1,0))=16,Первоначальный[[#This Row],[Досрочное погашение (да/"")]]=""),0,
AND(S1015=0,Первоначальный[[#This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платеж]]+Y1015-SUM(Первоначальный[[#This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комиссиям]]),VLOOKUP(LOOKUP(,-1/($Z$12:Z1016=1),$A$12:A1016),График[[Срок конец]:[Возврат основной суммы долга]],3,0)),
AND(S1015=0,Первоначальный[[#This Row],[Дата платежа из графика]]="",Первоначальный[[#This Row],[Досрочное погашение (да/"")]]&lt;&gt;"Да"),0,
AND(S1015=0,Первоначальный[[#This Row],[Досрочное погашение (да/"")]]=""),MIN(Первоначальный[[#This Row],[Полученный платеж]]+Y1015-SUM(Первоначальный[[#This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комиссиям]]),VLOOKUP(LOOKUP(,-1/($Z$12:Z1016=1),$A$12:A1016),График[[Срок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платеж]]+Y1015-SUM(Первоначальный[[#This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S1015&gt;0,MIN(Первоначальный[[#This Row],[Полученный платеж]]+Y1015-SUM(Первоначальный[[#This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комиссиям]]),SUM(INDIRECT("M"&amp;(MAX((1=S$12:S1015)*ROW(S$12:S1015),ROW($W$12))&amp;":M"&amp;(ROW()))))-SUM(INDIRECT("W"&amp;(MAX((1=S$12:S1015)*ROW(S$12:S1015),ROW($W$12))&amp;":W"&amp;(ROW()-1)))))
)
)</f>
        <v>0</v>
      </c>
      <c r="X1016" s="55">
        <f t="shared" ca="1" si="184"/>
        <v>0</v>
      </c>
      <c r="Y1016" s="101">
        <f t="shared" ca="1" si="191"/>
        <v>0</v>
      </c>
      <c r="Z1016" s="133">
        <f>IF(TYPE((VLOOKUP(Первоначальный[[#This Row],[Дата платежа]],График[Срок конец],1,0)))=16,"",1)</f>
        <v>1</v>
      </c>
      <c r="AA1016" s="57"/>
      <c r="AB1016" s="134"/>
      <c r="AC101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1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73010.209999999992</v>
      </c>
      <c r="AE101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3825.3299999999981</v>
      </c>
      <c r="AF101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1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205075.92499016353</v>
      </c>
      <c r="AH1016" s="55"/>
      <c r="AI1016" s="55"/>
      <c r="AJ1016" s="55"/>
      <c r="AK1016" s="101">
        <f t="shared" ca="1" si="192"/>
        <v>431544.80499016354</v>
      </c>
      <c r="AL1016" s="129">
        <f t="array" ref="AL1016">MAX((УслРестрактов[Характеристика]="Дата реструктуризации")*(УслРестрактов[Значение]=Первоначальный!$A1016),0)</f>
        <v>0</v>
      </c>
    </row>
    <row r="1017" spans="1:38" x14ac:dyDescent="0.25">
      <c r="A1017" s="97">
        <f t="shared" si="185"/>
        <v>45148</v>
      </c>
      <c r="B1017" s="100">
        <f t="shared" ca="1" si="186"/>
        <v>149633.34</v>
      </c>
      <c r="C1017" s="55">
        <f t="shared" ca="1" si="182"/>
        <v>73010.209999999992</v>
      </c>
      <c r="D1017" s="55">
        <f t="shared" ca="1" si="182"/>
        <v>3825.3299999999981</v>
      </c>
      <c r="E1017" s="55">
        <f t="shared" ca="1" si="187"/>
        <v>0</v>
      </c>
      <c r="F1017" s="55">
        <f t="shared" ca="1" si="188"/>
        <v>205075.92499016353</v>
      </c>
      <c r="G1017" s="101">
        <f t="shared" ca="1" si="189"/>
        <v>431544.80499016354</v>
      </c>
      <c r="H1017" s="100">
        <f ca="1">ROUND($B1017*VLOOKUP($A1017,$A$1:$B$10,2,1)/(365+IF(MOD(YEAR($A1017),4),0,1)*($A1017-$A1016)),2)-Первоначальный[[#This Row],[Проценты на просроченный платеж по ОД за период]]</f>
        <v>72.429999999999993</v>
      </c>
      <c r="I1017" s="55">
        <f t="shared" ca="1" si="190"/>
        <v>9.15</v>
      </c>
      <c r="J1017" s="55">
        <v>0</v>
      </c>
      <c r="K1017" s="55">
        <f t="shared" ca="1" si="193"/>
        <v>448.96850327868839</v>
      </c>
      <c r="L1017" s="55">
        <v>0</v>
      </c>
      <c r="M1017" s="113">
        <f>SUMIFS(График[Возврат основной суммы долга],График[Дата с учетом нерабочих дней],$A1017)</f>
        <v>0</v>
      </c>
      <c r="N1017" s="56">
        <f>SUMIFS(График[Возврат начисленных %],График[Дата с учетом нерабочих дней],$A1017)</f>
        <v>0</v>
      </c>
      <c r="O1017" s="101">
        <v>0</v>
      </c>
      <c r="P1017" s="100" cm="1">
        <f t="array" aca="1" ref="P1017" ca="1">MAX(IF(AA1016="Да",0,SUM(INDIRECT("M"&amp;(MAX(("Да"=AA$12:AA1016)*ROW(AA$12:AA1016)+1,ROW($P$12))&amp;":M"&amp;(ROW()))))-SUM(INDIRECT("W"&amp;(MAX(("Да"=AA$12:AA1016)*ROW(AA$12:AA1016)+1,ROW($P$12))&amp;":W"&amp;(ROW()))))),0)</f>
        <v>16786.23</v>
      </c>
      <c r="Q1017" s="99">
        <f ca="1">MAX(SUM($N$13:N1017)-SUM($T$13:T1017),0)</f>
        <v>73007.470655737678</v>
      </c>
      <c r="R1017" s="99">
        <f ca="1">Первоначальный[[#This Row],[Просроченный платеж по ОД]]+Первоначальный[[#This Row],[Просроченный платеж по процентам]]</f>
        <v>89793.700655737674</v>
      </c>
      <c r="S1017" s="120">
        <f ca="1">IF(Первоначальный[[#This Row],[Просроченный платеж]]&lt;1,0,S1016+1)</f>
        <v>913</v>
      </c>
      <c r="T1017" s="100" cm="1">
        <f t="array" aca="1" ref="T1017" ca="1">IF(Первоначальный[[#This Row],[Итого остаток на начало периода]]&lt;1,0,
IF(
AND(TYPE(VLOOKUP(1,$Z$12:Z1017,1,0))=16,Первоначальный[[#This Row],[Досрочное погашение (да/"")]]=""),0,
_xlfn.IFS(AND(S1016=0,Первоначальный[[#This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платеж]]&lt;&gt;0),MIN(LOOKUP(,-1/($Z$12:Z1017=1),$C$12:C1017)+LOOKUP(,-1/($Z$12:Z1017=1),$H$12:H1017),Первоначальный[[#This Row],[Полученный платеж]]+Y1016),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платеж]]+Y1016,SUM(Первоначальный[[#This Row],[Остаток процентов на начало периода]],Первоначальный[[#This Row],[Проценты за период]])),
AND(S1016=0,Первоначальный[[#This Row],[Дата платежа из графика]]=""),0,
AND(S1016=0,Первоначальный[[#This Row],[Дата платежа из графика]]=1,MAX((0&lt;&gt;S$12:S1016)*ROW(S$12:S1016),ROW($S$12))&gt;=MAX((1=Z$12:Z1016)*ROW(Z$12:Z1016),ROW($T$12)),TYPE(VLOOKUP("Да",(INDIRECT("AA"&amp;(MAX((1=Z$12:Z1016)*ROW(Z$12:Z1016),ROW($T$12))&amp;":AA"&amp;(ROW()-1)))),1,0))=16),MIN(LOOKUP(,-1/($Z$12:Z1017=1),$C$12:C1017)+LOOKUP(,-1/($Z$12:Z1017=1),$H$12:H1017),Первоначальный[[#This Row],[Полученный платеж]]+Y1016),
AND(S1016=0,TYPE(VLOOKUP("Да",(INDIRECT("AA"&amp;(MAX((1=Z$12:Z1016)*ROW(Z$12:Z1016),ROW($T$12))&amp;":AA"&amp;(ROW()-1)))),1,0))&lt;&gt;16),MIN(LOOKUP(,-1/($Z$12:Z1017=1),$C$12:C1017)+LOOKUP(,-1/($Z$12:Z1017=1),$H$12:H1017)-IF(AA1016="Да",0,SUM(INDIRECT("T"&amp;(MAX(("Да"=AA$12:AA1016)*ROW(AA$12:AA1016)+1,ROW($T$12))&amp;":T"&amp;(ROW()-1))))),Первоначальный[[#This Row],[Полученный платеж]]+Y1016),
AND(S1016=0,MAX((0&lt;&gt;N$12:N1016)*ROW(N$12:N1016),ROW($S$12))&gt;=MAX((1=Z$12:Z1016)*ROW(Z$12:Z1016),ROW($T$12))),MIN(LOOKUP(,-1/($Z$12:Z1017=1),$C$12:C1017)+LOOKUP(,-1/($Z$12:Z1017=1),$H$12:H1017)-IF(N1016&lt;&gt;0,0,SUM(INDIRECT("T"&amp;(MAX((0&lt;&gt;N$12:N1016)*ROW(N$12:N1016)+1,ROW($T$12))&amp;":T"&amp;(ROW()-1))))),Первоначальный[[#This Row],[Полученный платеж]]+Y1016),
AND(S1016=0,Первоначальный[[#This Row],[Дата платежа из графика]]=1),MIN(LOOKUP(,-1/($Z$12:Z1017=1),$C$12:C1017)+LOOKUP(,-1/($Z$12:Z1017=1),$H$12:H1017)-IF(Z1016=1,0,SUM(INDIRECT("T"&amp;(MAX((1=Z$12:Z1016)*ROW(Z$12:Z1016)+1,ROW($T$12))&amp;":T"&amp;(ROW()-1))))),Первоначальный[[#This Row],[Полученный платеж]]+Y1016),
AND(Z1016&gt;0,Первоначальный[[#This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платеж]]+Y1016),
AND(S1016&gt;0,MAX((0&lt;&gt;S$12:S1016)*ROW(S$12:S1016),ROW($S$12))&gt;=MAX((1=Z$12:Z1016)*ROW(Z$12:Z1016),ROW($T$12)),TYPE(VLOOKUP("Да",(INDIRECT("AA"&amp;(MAX((1=Z$12:Z1016)*ROW(Z$12:Z1016),ROW($T$12))&amp;":AA"&amp;(ROW()-1)))),1,0))=16),MIN(LOOKUP(,-1/($Z$12:Z1017=1),$C$12:C1017)+LOOKUP(,-1/($Z$12:Z1017=1),$H$12:H1017)-SUM(INDIRECT("T"&amp;(MAX((1=Z$12:Z1016)*ROW(Z$12:Z1016),ROW($T$12))&amp;":T"&amp;(ROW()-1)))),Первоначальный[[#This Row],[Полученный платеж]]+Y1016),
S1016&gt;0,MIN(LOOKUP(,-1/($Z$12:Z1017=1),$C$12:C1017)+LOOKUP(,-1/($Z$12:Z1017=1),$H$12:H1017)-IF(Z1016=1,0,SUM(INDIRECT("T"&amp;(MAX((1=Z$12:Z1016)*ROW(Z$12:Z1016)+1,ROW($T$12))&amp;":T"&amp;(ROW()-1))))),Первоначальный[[#This Row],[Полученный платеж]]+Y1016)
)
)
)</f>
        <v>0</v>
      </c>
      <c r="U101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платеж]]+Y1016-Первоначальный[[#This Row],[Полученный платёж по процентам]])</f>
        <v>0</v>
      </c>
      <c r="V1017" s="55">
        <f t="shared" ca="1" si="183"/>
        <v>0</v>
      </c>
      <c r="W1017" s="55" cm="1">
        <f t="array" aca="1" ref="W1017" ca="1">IF(Первоначальный[[#This Row],[Итого остаток на начало периода]]&lt;1,0,
_xlfn.IFS(
AND(TYPE(VLOOKUP(1,$Z$12:Z1017,1,0))=16,Первоначальный[[#This Row],[Досрочное погашение (да/"")]]=""),0,
AND(S1016=0,Первоначальный[[#This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платеж]]+Y1016-SUM(Первоначальный[[#This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комиссиям]]),VLOOKUP(LOOKUP(,-1/($Z$12:Z1017=1),$A$12:A1017),График[[Срок конец]:[Возврат основной суммы долга]],3,0)),
AND(S1016=0,Первоначальный[[#This Row],[Дата платежа из графика]]="",Первоначальный[[#This Row],[Досрочное погашение (да/"")]]&lt;&gt;"Да"),0,
AND(S1016=0,Первоначальный[[#This Row],[Досрочное погашение (да/"")]]=""),MIN(Первоначальный[[#This Row],[Полученный платеж]]+Y1016-SUM(Первоначальный[[#This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комиссиям]]),VLOOKUP(LOOKUP(,-1/($Z$12:Z1017=1),$A$12:A1017),График[[Срок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платеж]]+Y1016-SUM(Первоначальный[[#This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S1016&gt;0,MIN(Первоначальный[[#This Row],[Полученный платеж]]+Y1016-SUM(Первоначальный[[#This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комиссиям]]),SUM(INDIRECT("M"&amp;(MAX((1=S$12:S1016)*ROW(S$12:S1016),ROW($W$12))&amp;":M"&amp;(ROW()))))-SUM(INDIRECT("W"&amp;(MAX((1=S$12:S1016)*ROW(S$12:S1016),ROW($W$12))&amp;":W"&amp;(ROW()-1)))))
)
)</f>
        <v>0</v>
      </c>
      <c r="X1017" s="55">
        <f t="shared" ca="1" si="184"/>
        <v>0</v>
      </c>
      <c r="Y1017" s="101">
        <f t="shared" ca="1" si="191"/>
        <v>0</v>
      </c>
      <c r="Z1017" s="133" t="str">
        <f>IF(TYPE((VLOOKUP(Первоначальный[[#This Row],[Дата платежа]],График[Срок конец],1,0)))=16,"",1)</f>
        <v/>
      </c>
      <c r="AA1017" s="57"/>
      <c r="AB1017" s="134"/>
      <c r="AC101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1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73082.639999999985</v>
      </c>
      <c r="AE101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3834.4799999999982</v>
      </c>
      <c r="AF101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1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205524.89349344221</v>
      </c>
      <c r="AH1017" s="55"/>
      <c r="AI1017" s="55"/>
      <c r="AJ1017" s="55"/>
      <c r="AK1017" s="101">
        <f t="shared" ca="1" si="192"/>
        <v>432075.35349344218</v>
      </c>
      <c r="AL1017" s="129">
        <f t="array" ref="AL1017">MAX((УслРестрактов[Характеристика]="Дата реструктуризации")*(УслРестрактов[Значение]=Первоначальный!$A1017),0)</f>
        <v>0</v>
      </c>
    </row>
    <row r="1018" spans="1:38" x14ac:dyDescent="0.25">
      <c r="A1018" s="97">
        <f t="shared" si="185"/>
        <v>45149</v>
      </c>
      <c r="B1018" s="100">
        <f t="shared" ca="1" si="186"/>
        <v>149633.34</v>
      </c>
      <c r="C1018" s="55">
        <f t="shared" ca="1" si="182"/>
        <v>73082.639999999985</v>
      </c>
      <c r="D1018" s="55">
        <f t="shared" ca="1" si="182"/>
        <v>3834.4799999999982</v>
      </c>
      <c r="E1018" s="55">
        <f t="shared" ca="1" si="187"/>
        <v>0</v>
      </c>
      <c r="F1018" s="55">
        <f t="shared" ca="1" si="188"/>
        <v>205524.89349344221</v>
      </c>
      <c r="G1018" s="101">
        <f t="shared" ca="1" si="189"/>
        <v>432075.35349344218</v>
      </c>
      <c r="H1018" s="100">
        <f ca="1">ROUND($B1018*VLOOKUP($A1018,$A$1:$B$10,2,1)/(365+IF(MOD(YEAR($A1018),4),0,1)*($A1018-$A1017)),2)-Первоначальный[[#This Row],[Проценты на просроченный платеж по ОД за период]]</f>
        <v>72.429999999999993</v>
      </c>
      <c r="I1018" s="55">
        <f t="shared" ca="1" si="190"/>
        <v>9.15</v>
      </c>
      <c r="J1018" s="55">
        <v>0</v>
      </c>
      <c r="K1018" s="55">
        <f t="shared" ca="1" si="193"/>
        <v>448.96850327868839</v>
      </c>
      <c r="L1018" s="55">
        <v>0</v>
      </c>
      <c r="M1018" s="113">
        <f>SUMIFS(График[Возврат основной суммы долга],График[Дата с учетом нерабочих дней],$A1018)</f>
        <v>0</v>
      </c>
      <c r="N1018" s="56">
        <f>SUMIFS(График[Возврат начисленных %],График[Дата с учетом нерабочих дней],$A1018)</f>
        <v>0</v>
      </c>
      <c r="O1018" s="101">
        <v>0</v>
      </c>
      <c r="P1018" s="100" cm="1">
        <f t="array" aca="1" ref="P1018" ca="1">MAX(IF(AA1017="Да",0,SUM(INDIRECT("M"&amp;(MAX(("Да"=AA$12:AA1017)*ROW(AA$12:AA1017)+1,ROW($P$12))&amp;":M"&amp;(ROW()))))-SUM(INDIRECT("W"&amp;(MAX(("Да"=AA$12:AA1017)*ROW(AA$12:AA1017)+1,ROW($P$12))&amp;":W"&amp;(ROW()))))),0)</f>
        <v>16786.23</v>
      </c>
      <c r="Q1018" s="99">
        <f ca="1">MAX(SUM($N$13:N1018)-SUM($T$13:T1018),0)</f>
        <v>73007.470655737678</v>
      </c>
      <c r="R1018" s="99">
        <f ca="1">Первоначальный[[#This Row],[Просроченный платеж по ОД]]+Первоначальный[[#This Row],[Просроченный платеж по процентам]]</f>
        <v>89793.700655737674</v>
      </c>
      <c r="S1018" s="120">
        <f ca="1">IF(Первоначальный[[#This Row],[Просроченный платеж]]&lt;1,0,S1017+1)</f>
        <v>914</v>
      </c>
      <c r="T1018" s="100" cm="1">
        <f t="array" aca="1" ref="T1018" ca="1">IF(Первоначальный[[#This Row],[Итого остаток на начало периода]]&lt;1,0,
IF(
AND(TYPE(VLOOKUP(1,$Z$12:Z1018,1,0))=16,Первоначальный[[#This Row],[Досрочное погашение (да/"")]]=""),0,
_xlfn.IFS(AND(S1017=0,Первоначальный[[#This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платеж]]&lt;&gt;0),MIN(LOOKUP(,-1/($Z$12:Z1018=1),$C$12:C1018)+LOOKUP(,-1/($Z$12:Z1018=1),$H$12:H1018),Первоначальный[[#This Row],[Полученный платеж]]+Y1017),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платеж]]+Y1017,SUM(Первоначальный[[#This Row],[Остаток процентов на начало периода]],Первоначальный[[#This Row],[Проценты за период]])),
AND(S1017=0,Первоначальный[[#This Row],[Дата платежа из графика]]=""),0,
AND(S1017=0,Первоначальный[[#This Row],[Дата платежа из графика]]=1,MAX((0&lt;&gt;S$12:S1017)*ROW(S$12:S1017),ROW($S$12))&gt;=MAX((1=Z$12:Z1017)*ROW(Z$12:Z1017),ROW($T$12)),TYPE(VLOOKUP("Да",(INDIRECT("AA"&amp;(MAX((1=Z$12:Z1017)*ROW(Z$12:Z1017),ROW($T$12))&amp;":AA"&amp;(ROW()-1)))),1,0))=16),MIN(LOOKUP(,-1/($Z$12:Z1018=1),$C$12:C1018)+LOOKUP(,-1/($Z$12:Z1018=1),$H$12:H1018),Первоначальный[[#This Row],[Полученный платеж]]+Y1017),
AND(S1017=0,TYPE(VLOOKUP("Да",(INDIRECT("AA"&amp;(MAX((1=Z$12:Z1017)*ROW(Z$12:Z1017),ROW($T$12))&amp;":AA"&amp;(ROW()-1)))),1,0))&lt;&gt;16),MIN(LOOKUP(,-1/($Z$12:Z1018=1),$C$12:C1018)+LOOKUP(,-1/($Z$12:Z1018=1),$H$12:H1018)-IF(AA1017="Да",0,SUM(INDIRECT("T"&amp;(MAX(("Да"=AA$12:AA1017)*ROW(AA$12:AA1017)+1,ROW($T$12))&amp;":T"&amp;(ROW()-1))))),Первоначальный[[#This Row],[Полученный платеж]]+Y1017),
AND(S1017=0,MAX((0&lt;&gt;N$12:N1017)*ROW(N$12:N1017),ROW($S$12))&gt;=MAX((1=Z$12:Z1017)*ROW(Z$12:Z1017),ROW($T$12))),MIN(LOOKUP(,-1/($Z$12:Z1018=1),$C$12:C1018)+LOOKUP(,-1/($Z$12:Z1018=1),$H$12:H1018)-IF(N1017&lt;&gt;0,0,SUM(INDIRECT("T"&amp;(MAX((0&lt;&gt;N$12:N1017)*ROW(N$12:N1017)+1,ROW($T$12))&amp;":T"&amp;(ROW()-1))))),Первоначальный[[#This Row],[Полученный платеж]]+Y1017),
AND(S1017=0,Первоначальный[[#This Row],[Дата платежа из графика]]=1),MIN(LOOKUP(,-1/($Z$12:Z1018=1),$C$12:C1018)+LOOKUP(,-1/($Z$12:Z1018=1),$H$12:H1018)-IF(Z1017=1,0,SUM(INDIRECT("T"&amp;(MAX((1=Z$12:Z1017)*ROW(Z$12:Z1017)+1,ROW($T$12))&amp;":T"&amp;(ROW()-1))))),Первоначальный[[#This Row],[Полученный платеж]]+Y1017),
AND(Z1017&gt;0,Первоначальный[[#This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платеж]]+Y1017),
AND(S1017&gt;0,MAX((0&lt;&gt;S$12:S1017)*ROW(S$12:S1017),ROW($S$12))&gt;=MAX((1=Z$12:Z1017)*ROW(Z$12:Z1017),ROW($T$12)),TYPE(VLOOKUP("Да",(INDIRECT("AA"&amp;(MAX((1=Z$12:Z1017)*ROW(Z$12:Z1017),ROW($T$12))&amp;":AA"&amp;(ROW()-1)))),1,0))=16),MIN(LOOKUP(,-1/($Z$12:Z1018=1),$C$12:C1018)+LOOKUP(,-1/($Z$12:Z1018=1),$H$12:H1018)-SUM(INDIRECT("T"&amp;(MAX((1=Z$12:Z1017)*ROW(Z$12:Z1017),ROW($T$12))&amp;":T"&amp;(ROW()-1)))),Первоначальный[[#This Row],[Полученный платеж]]+Y1017),
S1017&gt;0,MIN(LOOKUP(,-1/($Z$12:Z1018=1),$C$12:C1018)+LOOKUP(,-1/($Z$12:Z1018=1),$H$12:H1018)-IF(Z1017=1,0,SUM(INDIRECT("T"&amp;(MAX((1=Z$12:Z1017)*ROW(Z$12:Z1017)+1,ROW($T$12))&amp;":T"&amp;(ROW()-1))))),Первоначальный[[#This Row],[Полученный платеж]]+Y1017)
)
)
)</f>
        <v>0</v>
      </c>
      <c r="U101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платеж]]+Y1017-Первоначальный[[#This Row],[Полученный платёж по процентам]])</f>
        <v>0</v>
      </c>
      <c r="V1018" s="55">
        <f t="shared" ca="1" si="183"/>
        <v>0</v>
      </c>
      <c r="W1018" s="55" cm="1">
        <f t="array" aca="1" ref="W1018" ca="1">IF(Первоначальный[[#This Row],[Итого остаток на начало периода]]&lt;1,0,
_xlfn.IFS(
AND(TYPE(VLOOKUP(1,$Z$12:Z1018,1,0))=16,Первоначальный[[#This Row],[Досрочное погашение (да/"")]]=""),0,
AND(S1017=0,Первоначальный[[#This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платеж]]+Y1017-SUM(Первоначальный[[#This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комиссиям]]),VLOOKUP(LOOKUP(,-1/($Z$12:Z1018=1),$A$12:A1018),График[[Срок конец]:[Возврат основной суммы долга]],3,0)),
AND(S1017=0,Первоначальный[[#This Row],[Дата платежа из графика]]="",Первоначальный[[#This Row],[Досрочное погашение (да/"")]]&lt;&gt;"Да"),0,
AND(S1017=0,Первоначальный[[#This Row],[Досрочное погашение (да/"")]]=""),MIN(Первоначальный[[#This Row],[Полученный платеж]]+Y1017-SUM(Первоначальный[[#This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комиссиям]]),VLOOKUP(LOOKUP(,-1/($Z$12:Z1018=1),$A$12:A1018),График[[Срок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платеж]]+Y1017-SUM(Первоначальный[[#This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S1017&gt;0,MIN(Первоначальный[[#This Row],[Полученный платеж]]+Y1017-SUM(Первоначальный[[#This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комиссиям]]),SUM(INDIRECT("M"&amp;(MAX((1=S$12:S1017)*ROW(S$12:S1017),ROW($W$12))&amp;":M"&amp;(ROW()))))-SUM(INDIRECT("W"&amp;(MAX((1=S$12:S1017)*ROW(S$12:S1017),ROW($W$12))&amp;":W"&amp;(ROW()-1)))))
)
)</f>
        <v>0</v>
      </c>
      <c r="X1018" s="55">
        <f t="shared" ca="1" si="184"/>
        <v>0</v>
      </c>
      <c r="Y1018" s="101">
        <f t="shared" ca="1" si="191"/>
        <v>0</v>
      </c>
      <c r="Z1018" s="133" t="str">
        <f>IF(TYPE((VLOOKUP(Первоначальный[[#This Row],[Дата платежа]],График[Срок конец],1,0)))=16,"",1)</f>
        <v/>
      </c>
      <c r="AA1018" s="57"/>
      <c r="AB1018" s="134"/>
      <c r="AC101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1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73155.069999999978</v>
      </c>
      <c r="AE101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3843.6299999999983</v>
      </c>
      <c r="AF101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1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205973.86199672089</v>
      </c>
      <c r="AH1018" s="55"/>
      <c r="AI1018" s="55"/>
      <c r="AJ1018" s="55"/>
      <c r="AK1018" s="101">
        <f t="shared" ca="1" si="192"/>
        <v>432605.90199672087</v>
      </c>
      <c r="AL1018" s="129">
        <f t="array" ref="AL1018">MAX((УслРестрактов[Характеристика]="Дата реструктуризации")*(УслРестрактов[Значение]=Первоначальный!$A1018),0)</f>
        <v>0</v>
      </c>
    </row>
    <row r="1019" spans="1:38" x14ac:dyDescent="0.25">
      <c r="A1019" s="97">
        <f t="shared" si="185"/>
        <v>45150</v>
      </c>
      <c r="B1019" s="100">
        <f t="shared" ca="1" si="186"/>
        <v>149633.34</v>
      </c>
      <c r="C1019" s="55">
        <f t="shared" ca="1" si="182"/>
        <v>73155.069999999978</v>
      </c>
      <c r="D1019" s="55">
        <f t="shared" ca="1" si="182"/>
        <v>3843.6299999999983</v>
      </c>
      <c r="E1019" s="55">
        <f t="shared" ca="1" si="187"/>
        <v>0</v>
      </c>
      <c r="F1019" s="55">
        <f t="shared" ca="1" si="188"/>
        <v>205973.86199672089</v>
      </c>
      <c r="G1019" s="101">
        <f t="shared" ca="1" si="189"/>
        <v>432605.90199672087</v>
      </c>
      <c r="H1019" s="100">
        <f ca="1">ROUND($B1019*VLOOKUP($A1019,$A$1:$B$10,2,1)/(365+IF(MOD(YEAR($A1019),4),0,1)*($A1019-$A1018)),2)-Первоначальный[[#This Row],[Проценты на просроченный платеж по ОД за период]]</f>
        <v>72.429999999999993</v>
      </c>
      <c r="I1019" s="55">
        <f t="shared" ca="1" si="190"/>
        <v>9.15</v>
      </c>
      <c r="J1019" s="55">
        <v>0</v>
      </c>
      <c r="K1019" s="55">
        <f t="shared" ca="1" si="193"/>
        <v>448.96850327868839</v>
      </c>
      <c r="L1019" s="55">
        <v>0</v>
      </c>
      <c r="M1019" s="113">
        <f>SUMIFS(График[Возврат основной суммы долга],График[Дата с учетом нерабочих дней],$A1019)</f>
        <v>0</v>
      </c>
      <c r="N1019" s="56">
        <f>SUMIFS(График[Возврат начисленных %],График[Дата с учетом нерабочих дней],$A1019)</f>
        <v>0</v>
      </c>
      <c r="O1019" s="101">
        <v>0</v>
      </c>
      <c r="P1019" s="100" cm="1">
        <f t="array" aca="1" ref="P1019" ca="1">MAX(IF(AA1018="Да",0,SUM(INDIRECT("M"&amp;(MAX(("Да"=AA$12:AA1018)*ROW(AA$12:AA1018)+1,ROW($P$12))&amp;":M"&amp;(ROW()))))-SUM(INDIRECT("W"&amp;(MAX(("Да"=AA$12:AA1018)*ROW(AA$12:AA1018)+1,ROW($P$12))&amp;":W"&amp;(ROW()))))),0)</f>
        <v>16786.23</v>
      </c>
      <c r="Q1019" s="99">
        <f ca="1">MAX(SUM($N$13:N1019)-SUM($T$13:T1019),0)</f>
        <v>73007.470655737678</v>
      </c>
      <c r="R1019" s="99">
        <f ca="1">Первоначальный[[#This Row],[Просроченный платеж по ОД]]+Первоначальный[[#This Row],[Просроченный платеж по процентам]]</f>
        <v>89793.700655737674</v>
      </c>
      <c r="S1019" s="120">
        <f ca="1">IF(Первоначальный[[#This Row],[Просроченный платеж]]&lt;1,0,S1018+1)</f>
        <v>915</v>
      </c>
      <c r="T1019" s="100" cm="1">
        <f t="array" aca="1" ref="T1019" ca="1">IF(Первоначальный[[#This Row],[Итого остаток на начало периода]]&lt;1,0,
IF(
AND(TYPE(VLOOKUP(1,$Z$12:Z1019,1,0))=16,Первоначальный[[#This Row],[Досрочное погашение (да/"")]]=""),0,
_xlfn.IFS(AND(S1018=0,Первоначальный[[#This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платеж]]&lt;&gt;0),MIN(LOOKUP(,-1/($Z$12:Z1019=1),$C$12:C1019)+LOOKUP(,-1/($Z$12:Z1019=1),$H$12:H1019),Первоначальный[[#This Row],[Полученный платеж]]+Y1018),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платеж]]+Y1018,SUM(Первоначальный[[#This Row],[Остаток процентов на начало периода]],Первоначальный[[#This Row],[Проценты за период]])),
AND(S1018=0,Первоначальный[[#This Row],[Дата платежа из графика]]=""),0,
AND(S1018=0,Первоначальный[[#This Row],[Дата платежа из графика]]=1,MAX((0&lt;&gt;S$12:S1018)*ROW(S$12:S1018),ROW($S$12))&gt;=MAX((1=Z$12:Z1018)*ROW(Z$12:Z1018),ROW($T$12)),TYPE(VLOOKUP("Да",(INDIRECT("AA"&amp;(MAX((1=Z$12:Z1018)*ROW(Z$12:Z1018),ROW($T$12))&amp;":AA"&amp;(ROW()-1)))),1,0))=16),MIN(LOOKUP(,-1/($Z$12:Z1019=1),$C$12:C1019)+LOOKUP(,-1/($Z$12:Z1019=1),$H$12:H1019),Первоначальный[[#This Row],[Полученный платеж]]+Y1018),
AND(S1018=0,TYPE(VLOOKUP("Да",(INDIRECT("AA"&amp;(MAX((1=Z$12:Z1018)*ROW(Z$12:Z1018),ROW($T$12))&amp;":AA"&amp;(ROW()-1)))),1,0))&lt;&gt;16),MIN(LOOKUP(,-1/($Z$12:Z1019=1),$C$12:C1019)+LOOKUP(,-1/($Z$12:Z1019=1),$H$12:H1019)-IF(AA1018="Да",0,SUM(INDIRECT("T"&amp;(MAX(("Да"=AA$12:AA1018)*ROW(AA$12:AA1018)+1,ROW($T$12))&amp;":T"&amp;(ROW()-1))))),Первоначальный[[#This Row],[Полученный платеж]]+Y1018),
AND(S1018=0,MAX((0&lt;&gt;N$12:N1018)*ROW(N$12:N1018),ROW($S$12))&gt;=MAX((1=Z$12:Z1018)*ROW(Z$12:Z1018),ROW($T$12))),MIN(LOOKUP(,-1/($Z$12:Z1019=1),$C$12:C1019)+LOOKUP(,-1/($Z$12:Z1019=1),$H$12:H1019)-IF(N1018&lt;&gt;0,0,SUM(INDIRECT("T"&amp;(MAX((0&lt;&gt;N$12:N1018)*ROW(N$12:N1018)+1,ROW($T$12))&amp;":T"&amp;(ROW()-1))))),Первоначальный[[#This Row],[Полученный платеж]]+Y1018),
AND(S1018=0,Первоначальный[[#This Row],[Дата платежа из графика]]=1),MIN(LOOKUP(,-1/($Z$12:Z1019=1),$C$12:C1019)+LOOKUP(,-1/($Z$12:Z1019=1),$H$12:H1019)-IF(Z1018=1,0,SUM(INDIRECT("T"&amp;(MAX((1=Z$12:Z1018)*ROW(Z$12:Z1018)+1,ROW($T$12))&amp;":T"&amp;(ROW()-1))))),Первоначальный[[#This Row],[Полученный платеж]]+Y1018),
AND(Z1018&gt;0,Первоначальный[[#This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платеж]]+Y1018),
AND(S1018&gt;0,MAX((0&lt;&gt;S$12:S1018)*ROW(S$12:S1018),ROW($S$12))&gt;=MAX((1=Z$12:Z1018)*ROW(Z$12:Z1018),ROW($T$12)),TYPE(VLOOKUP("Да",(INDIRECT("AA"&amp;(MAX((1=Z$12:Z1018)*ROW(Z$12:Z1018),ROW($T$12))&amp;":AA"&amp;(ROW()-1)))),1,0))=16),MIN(LOOKUP(,-1/($Z$12:Z1019=1),$C$12:C1019)+LOOKUP(,-1/($Z$12:Z1019=1),$H$12:H1019)-SUM(INDIRECT("T"&amp;(MAX((1=Z$12:Z1018)*ROW(Z$12:Z1018),ROW($T$12))&amp;":T"&amp;(ROW()-1)))),Первоначальный[[#This Row],[Полученный платеж]]+Y1018),
S1018&gt;0,MIN(LOOKUP(,-1/($Z$12:Z1019=1),$C$12:C1019)+LOOKUP(,-1/($Z$12:Z1019=1),$H$12:H1019)-IF(Z1018=1,0,SUM(INDIRECT("T"&amp;(MAX((1=Z$12:Z1018)*ROW(Z$12:Z1018)+1,ROW($T$12))&amp;":T"&amp;(ROW()-1))))),Первоначальный[[#This Row],[Полученный платеж]]+Y1018)
)
)
)</f>
        <v>0</v>
      </c>
      <c r="U101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платеж]]+Y1018-Первоначальный[[#This Row],[Полученный платёж по процентам]])</f>
        <v>0</v>
      </c>
      <c r="V1019" s="55">
        <f t="shared" ca="1" si="183"/>
        <v>0</v>
      </c>
      <c r="W1019" s="55" cm="1">
        <f t="array" aca="1" ref="W1019" ca="1">IF(Первоначальный[[#This Row],[Итого остаток на начало периода]]&lt;1,0,
_xlfn.IFS(
AND(TYPE(VLOOKUP(1,$Z$12:Z1019,1,0))=16,Первоначальный[[#This Row],[Досрочное погашение (да/"")]]=""),0,
AND(S1018=0,Первоначальный[[#This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платеж]]+Y1018-SUM(Первоначальный[[#This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комиссиям]]),VLOOKUP(LOOKUP(,-1/($Z$12:Z1019=1),$A$12:A1019),График[[Срок конец]:[Возврат основной суммы долга]],3,0)),
AND(S1018=0,Первоначальный[[#This Row],[Дата платежа из графика]]="",Первоначальный[[#This Row],[Досрочное погашение (да/"")]]&lt;&gt;"Да"),0,
AND(S1018=0,Первоначальный[[#This Row],[Досрочное погашение (да/"")]]=""),MIN(Первоначальный[[#This Row],[Полученный платеж]]+Y1018-SUM(Первоначальный[[#This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комиссиям]]),VLOOKUP(LOOKUP(,-1/($Z$12:Z1019=1),$A$12:A1019),График[[Срок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платеж]]+Y1018-SUM(Первоначальный[[#This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S1018&gt;0,MIN(Первоначальный[[#This Row],[Полученный платеж]]+Y1018-SUM(Первоначальный[[#This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комиссиям]]),SUM(INDIRECT("M"&amp;(MAX((1=S$12:S1018)*ROW(S$12:S1018),ROW($W$12))&amp;":M"&amp;(ROW()))))-SUM(INDIRECT("W"&amp;(MAX((1=S$12:S1018)*ROW(S$12:S1018),ROW($W$12))&amp;":W"&amp;(ROW()-1)))))
)
)</f>
        <v>0</v>
      </c>
      <c r="X1019" s="55">
        <f t="shared" ca="1" si="184"/>
        <v>0</v>
      </c>
      <c r="Y1019" s="101">
        <f t="shared" ca="1" si="191"/>
        <v>0</v>
      </c>
      <c r="Z1019" s="133" t="str">
        <f>IF(TYPE((VLOOKUP(Первоначальный[[#This Row],[Дата платежа]],График[Срок конец],1,0)))=16,"",1)</f>
        <v/>
      </c>
      <c r="AA1019" s="57"/>
      <c r="AB1019" s="134"/>
      <c r="AC101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1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73227.499999999971</v>
      </c>
      <c r="AE101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3852.7799999999984</v>
      </c>
      <c r="AF101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1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206422.83049999957</v>
      </c>
      <c r="AH1019" s="55"/>
      <c r="AI1019" s="55"/>
      <c r="AJ1019" s="55"/>
      <c r="AK1019" s="101">
        <f t="shared" ca="1" si="192"/>
        <v>433136.45049999957</v>
      </c>
      <c r="AL1019" s="129">
        <f t="array" ref="AL1019">MAX((УслРестрактов[Характеристика]="Дата реструктуризации")*(УслРестрактов[Значение]=Первоначальный!$A1019),0)</f>
        <v>0</v>
      </c>
    </row>
    <row r="1020" spans="1:38" x14ac:dyDescent="0.25">
      <c r="A1020" s="97">
        <f t="shared" si="185"/>
        <v>45151</v>
      </c>
      <c r="B1020" s="100">
        <f t="shared" ca="1" si="186"/>
        <v>149633.34</v>
      </c>
      <c r="C1020" s="55">
        <f t="shared" ca="1" si="182"/>
        <v>73227.499999999971</v>
      </c>
      <c r="D1020" s="55">
        <f t="shared" ca="1" si="182"/>
        <v>3852.7799999999984</v>
      </c>
      <c r="E1020" s="55">
        <f t="shared" ca="1" si="187"/>
        <v>0</v>
      </c>
      <c r="F1020" s="55">
        <f t="shared" ca="1" si="188"/>
        <v>206422.83049999957</v>
      </c>
      <c r="G1020" s="101">
        <f t="shared" ca="1" si="189"/>
        <v>433136.45049999957</v>
      </c>
      <c r="H1020" s="100">
        <f ca="1">ROUND($B1020*VLOOKUP($A1020,$A$1:$B$10,2,1)/(365+IF(MOD(YEAR($A1020),4),0,1)*($A1020-$A1019)),2)-Первоначальный[[#This Row],[Проценты на просроченный платеж по ОД за период]]</f>
        <v>72.429999999999993</v>
      </c>
      <c r="I1020" s="55">
        <f t="shared" ca="1" si="190"/>
        <v>9.15</v>
      </c>
      <c r="J1020" s="55">
        <v>0</v>
      </c>
      <c r="K1020" s="55">
        <f t="shared" ca="1" si="193"/>
        <v>448.96850327868839</v>
      </c>
      <c r="L1020" s="55">
        <v>0</v>
      </c>
      <c r="M1020" s="113">
        <f>SUMIFS(График[Возврат основной суммы долга],График[Дата с учетом нерабочих дней],$A1020)</f>
        <v>0</v>
      </c>
      <c r="N1020" s="56">
        <f>SUMIFS(График[Возврат начисленных %],График[Дата с учетом нерабочих дней],$A1020)</f>
        <v>0</v>
      </c>
      <c r="O1020" s="101">
        <v>0</v>
      </c>
      <c r="P1020" s="100" cm="1">
        <f t="array" aca="1" ref="P1020" ca="1">MAX(IF(AA1019="Да",0,SUM(INDIRECT("M"&amp;(MAX(("Да"=AA$12:AA1019)*ROW(AA$12:AA1019)+1,ROW($P$12))&amp;":M"&amp;(ROW()))))-SUM(INDIRECT("W"&amp;(MAX(("Да"=AA$12:AA1019)*ROW(AA$12:AA1019)+1,ROW($P$12))&amp;":W"&amp;(ROW()))))),0)</f>
        <v>16786.23</v>
      </c>
      <c r="Q1020" s="99">
        <f ca="1">MAX(SUM($N$13:N1020)-SUM($T$13:T1020),0)</f>
        <v>73007.470655737678</v>
      </c>
      <c r="R1020" s="99">
        <f ca="1">Первоначальный[[#This Row],[Просроченный платеж по ОД]]+Первоначальный[[#This Row],[Просроченный платеж по процентам]]</f>
        <v>89793.700655737674</v>
      </c>
      <c r="S1020" s="120">
        <f ca="1">IF(Первоначальный[[#This Row],[Просроченный платеж]]&lt;1,0,S1019+1)</f>
        <v>916</v>
      </c>
      <c r="T1020" s="100" cm="1">
        <f t="array" aca="1" ref="T1020" ca="1">IF(Первоначальный[[#This Row],[Итого остаток на начало периода]]&lt;1,0,
IF(
AND(TYPE(VLOOKUP(1,$Z$12:Z1020,1,0))=16,Первоначальный[[#This Row],[Досрочное погашение (да/"")]]=""),0,
_xlfn.IFS(AND(S1019=0,Первоначальный[[#This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платеж]]&lt;&gt;0),MIN(LOOKUP(,-1/($Z$12:Z1020=1),$C$12:C1020)+LOOKUP(,-1/($Z$12:Z1020=1),$H$12:H1020),Первоначальный[[#This Row],[Полученный платеж]]+Y1019),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платеж]]+Y1019,SUM(Первоначальный[[#This Row],[Остаток процентов на начало периода]],Первоначальный[[#This Row],[Проценты за период]])),
AND(S1019=0,Первоначальный[[#This Row],[Дата платежа из графика]]=""),0,
AND(S1019=0,Первоначальный[[#This Row],[Дата платежа из графика]]=1,MAX((0&lt;&gt;S$12:S1019)*ROW(S$12:S1019),ROW($S$12))&gt;=MAX((1=Z$12:Z1019)*ROW(Z$12:Z1019),ROW($T$12)),TYPE(VLOOKUP("Да",(INDIRECT("AA"&amp;(MAX((1=Z$12:Z1019)*ROW(Z$12:Z1019),ROW($T$12))&amp;":AA"&amp;(ROW()-1)))),1,0))=16),MIN(LOOKUP(,-1/($Z$12:Z1020=1),$C$12:C1020)+LOOKUP(,-1/($Z$12:Z1020=1),$H$12:H1020),Первоначальный[[#This Row],[Полученный платеж]]+Y1019),
AND(S1019=0,TYPE(VLOOKUP("Да",(INDIRECT("AA"&amp;(MAX((1=Z$12:Z1019)*ROW(Z$12:Z1019),ROW($T$12))&amp;":AA"&amp;(ROW()-1)))),1,0))&lt;&gt;16),MIN(LOOKUP(,-1/($Z$12:Z1020=1),$C$12:C1020)+LOOKUP(,-1/($Z$12:Z1020=1),$H$12:H1020)-IF(AA1019="Да",0,SUM(INDIRECT("T"&amp;(MAX(("Да"=AA$12:AA1019)*ROW(AA$12:AA1019)+1,ROW($T$12))&amp;":T"&amp;(ROW()-1))))),Первоначальный[[#This Row],[Полученный платеж]]+Y1019),
AND(S1019=0,MAX((0&lt;&gt;N$12:N1019)*ROW(N$12:N1019),ROW($S$12))&gt;=MAX((1=Z$12:Z1019)*ROW(Z$12:Z1019),ROW($T$12))),MIN(LOOKUP(,-1/($Z$12:Z1020=1),$C$12:C1020)+LOOKUP(,-1/($Z$12:Z1020=1),$H$12:H1020)-IF(N1019&lt;&gt;0,0,SUM(INDIRECT("T"&amp;(MAX((0&lt;&gt;N$12:N1019)*ROW(N$12:N1019)+1,ROW($T$12))&amp;":T"&amp;(ROW()-1))))),Первоначальный[[#This Row],[Полученный платеж]]+Y1019),
AND(S1019=0,Первоначальный[[#This Row],[Дата платежа из графика]]=1),MIN(LOOKUP(,-1/($Z$12:Z1020=1),$C$12:C1020)+LOOKUP(,-1/($Z$12:Z1020=1),$H$12:H1020)-IF(Z1019=1,0,SUM(INDIRECT("T"&amp;(MAX((1=Z$12:Z1019)*ROW(Z$12:Z1019)+1,ROW($T$12))&amp;":T"&amp;(ROW()-1))))),Первоначальный[[#This Row],[Полученный платеж]]+Y1019),
AND(Z1019&gt;0,Первоначальный[[#This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платеж]]+Y1019),
AND(S1019&gt;0,MAX((0&lt;&gt;S$12:S1019)*ROW(S$12:S1019),ROW($S$12))&gt;=MAX((1=Z$12:Z1019)*ROW(Z$12:Z1019),ROW($T$12)),TYPE(VLOOKUP("Да",(INDIRECT("AA"&amp;(MAX((1=Z$12:Z1019)*ROW(Z$12:Z1019),ROW($T$12))&amp;":AA"&amp;(ROW()-1)))),1,0))=16),MIN(LOOKUP(,-1/($Z$12:Z1020=1),$C$12:C1020)+LOOKUP(,-1/($Z$12:Z1020=1),$H$12:H1020)-SUM(INDIRECT("T"&amp;(MAX((1=Z$12:Z1019)*ROW(Z$12:Z1019),ROW($T$12))&amp;":T"&amp;(ROW()-1)))),Первоначальный[[#This Row],[Полученный платеж]]+Y1019),
S1019&gt;0,MIN(LOOKUP(,-1/($Z$12:Z1020=1),$C$12:C1020)+LOOKUP(,-1/($Z$12:Z1020=1),$H$12:H1020)-IF(Z1019=1,0,SUM(INDIRECT("T"&amp;(MAX((1=Z$12:Z1019)*ROW(Z$12:Z1019)+1,ROW($T$12))&amp;":T"&amp;(ROW()-1))))),Первоначальный[[#This Row],[Полученный платеж]]+Y1019)
)
)
)</f>
        <v>0</v>
      </c>
      <c r="U102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платеж]]+Y1019-Первоначальный[[#This Row],[Полученный платёж по процентам]])</f>
        <v>0</v>
      </c>
      <c r="V1020" s="55">
        <f t="shared" ca="1" si="183"/>
        <v>0</v>
      </c>
      <c r="W1020" s="55" cm="1">
        <f t="array" aca="1" ref="W1020" ca="1">IF(Первоначальный[[#This Row],[Итого остаток на начало периода]]&lt;1,0,
_xlfn.IFS(
AND(TYPE(VLOOKUP(1,$Z$12:Z1020,1,0))=16,Первоначальный[[#This Row],[Досрочное погашение (да/"")]]=""),0,
AND(S1019=0,Первоначальный[[#This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платеж]]+Y1019-SUM(Первоначальный[[#This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комиссиям]]),VLOOKUP(LOOKUP(,-1/($Z$12:Z1020=1),$A$12:A1020),График[[Срок конец]:[Возврат основной суммы долга]],3,0)),
AND(S1019=0,Первоначальный[[#This Row],[Дата платежа из графика]]="",Первоначальный[[#This Row],[Досрочное погашение (да/"")]]&lt;&gt;"Да"),0,
AND(S1019=0,Первоначальный[[#This Row],[Досрочное погашение (да/"")]]=""),MIN(Первоначальный[[#This Row],[Полученный платеж]]+Y1019-SUM(Первоначальный[[#This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комиссиям]]),VLOOKUP(LOOKUP(,-1/($Z$12:Z1020=1),$A$12:A1020),График[[Срок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платеж]]+Y1019-SUM(Первоначальный[[#This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S1019&gt;0,MIN(Первоначальный[[#This Row],[Полученный платеж]]+Y1019-SUM(Первоначальный[[#This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комиссиям]]),SUM(INDIRECT("M"&amp;(MAX((1=S$12:S1019)*ROW(S$12:S1019),ROW($W$12))&amp;":M"&amp;(ROW()))))-SUM(INDIRECT("W"&amp;(MAX((1=S$12:S1019)*ROW(S$12:S1019),ROW($W$12))&amp;":W"&amp;(ROW()-1)))))
)
)</f>
        <v>0</v>
      </c>
      <c r="X1020" s="55">
        <f t="shared" ca="1" si="184"/>
        <v>0</v>
      </c>
      <c r="Y1020" s="101">
        <f t="shared" ca="1" si="191"/>
        <v>0</v>
      </c>
      <c r="Z1020" s="133" t="str">
        <f>IF(TYPE((VLOOKUP(Первоначальный[[#This Row],[Дата платежа]],График[Срок конец],1,0)))=16,"",1)</f>
        <v/>
      </c>
      <c r="AA1020" s="57"/>
      <c r="AB1020" s="134"/>
      <c r="AC102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2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73299.929999999964</v>
      </c>
      <c r="AE102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3861.9299999999985</v>
      </c>
      <c r="AF102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2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206871.79900327825</v>
      </c>
      <c r="AH1020" s="55"/>
      <c r="AI1020" s="55"/>
      <c r="AJ1020" s="55"/>
      <c r="AK1020" s="101">
        <f t="shared" ca="1" si="192"/>
        <v>433666.99900327821</v>
      </c>
      <c r="AL1020" s="129">
        <f t="array" ref="AL1020">MAX((УслРестрактов[Характеристика]="Дата реструктуризации")*(УслРестрактов[Значение]=Первоначальный!$A1020),0)</f>
        <v>0</v>
      </c>
    </row>
    <row r="1021" spans="1:38" x14ac:dyDescent="0.25">
      <c r="A1021" s="97">
        <f t="shared" si="185"/>
        <v>45152</v>
      </c>
      <c r="B1021" s="100">
        <f t="shared" ca="1" si="186"/>
        <v>149633.34</v>
      </c>
      <c r="C1021" s="55">
        <f t="shared" ca="1" si="182"/>
        <v>73299.929999999964</v>
      </c>
      <c r="D1021" s="55">
        <f t="shared" ca="1" si="182"/>
        <v>3861.9299999999985</v>
      </c>
      <c r="E1021" s="55">
        <f t="shared" ca="1" si="187"/>
        <v>0</v>
      </c>
      <c r="F1021" s="55">
        <f t="shared" ca="1" si="188"/>
        <v>206871.79900327825</v>
      </c>
      <c r="G1021" s="101">
        <f t="shared" ca="1" si="189"/>
        <v>433666.99900327821</v>
      </c>
      <c r="H1021" s="100">
        <f ca="1">ROUND($B1021*VLOOKUP($A1021,$A$1:$B$10,2,1)/(365+IF(MOD(YEAR($A1021),4),0,1)*($A1021-$A1020)),2)-Первоначальный[[#This Row],[Проценты на просроченный платеж по ОД за период]]</f>
        <v>72.429999999999993</v>
      </c>
      <c r="I1021" s="55">
        <f t="shared" ca="1" si="190"/>
        <v>9.15</v>
      </c>
      <c r="J1021" s="55">
        <v>0</v>
      </c>
      <c r="K1021" s="55">
        <f t="shared" ca="1" si="193"/>
        <v>448.96850327868839</v>
      </c>
      <c r="L1021" s="55">
        <v>0</v>
      </c>
      <c r="M1021" s="113">
        <f>SUMIFS(График[Возврат основной суммы долга],График[Дата с учетом нерабочих дней],$A1021)</f>
        <v>0</v>
      </c>
      <c r="N1021" s="56">
        <f>SUMIFS(График[Возврат начисленных %],График[Дата с учетом нерабочих дней],$A1021)</f>
        <v>0</v>
      </c>
      <c r="O1021" s="101">
        <v>0</v>
      </c>
      <c r="P1021" s="100" cm="1">
        <f t="array" aca="1" ref="P1021" ca="1">MAX(IF(AA1020="Да",0,SUM(INDIRECT("M"&amp;(MAX(("Да"=AA$12:AA1020)*ROW(AA$12:AA1020)+1,ROW($P$12))&amp;":M"&amp;(ROW()))))-SUM(INDIRECT("W"&amp;(MAX(("Да"=AA$12:AA1020)*ROW(AA$12:AA1020)+1,ROW($P$12))&amp;":W"&amp;(ROW()))))),0)</f>
        <v>16786.23</v>
      </c>
      <c r="Q1021" s="99">
        <f ca="1">MAX(SUM($N$13:N1021)-SUM($T$13:T1021),0)</f>
        <v>73007.470655737678</v>
      </c>
      <c r="R1021" s="99">
        <f ca="1">Первоначальный[[#This Row],[Просроченный платеж по ОД]]+Первоначальный[[#This Row],[Просроченный платеж по процентам]]</f>
        <v>89793.700655737674</v>
      </c>
      <c r="S1021" s="120">
        <f ca="1">IF(Первоначальный[[#This Row],[Просроченный платеж]]&lt;1,0,S1020+1)</f>
        <v>917</v>
      </c>
      <c r="T1021" s="100" cm="1">
        <f t="array" aca="1" ref="T1021" ca="1">IF(Первоначальный[[#This Row],[Итого остаток на начало периода]]&lt;1,0,
IF(
AND(TYPE(VLOOKUP(1,$Z$12:Z1021,1,0))=16,Первоначальный[[#This Row],[Досрочное погашение (да/"")]]=""),0,
_xlfn.IFS(AND(S1020=0,Первоначальный[[#This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платеж]]&lt;&gt;0),MIN(LOOKUP(,-1/($Z$12:Z1021=1),$C$12:C1021)+LOOKUP(,-1/($Z$12:Z1021=1),$H$12:H1021),Первоначальный[[#This Row],[Полученный платеж]]+Y1020),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платеж]]+Y1020,SUM(Первоначальный[[#This Row],[Остаток процентов на начало периода]],Первоначальный[[#This Row],[Проценты за период]])),
AND(S1020=0,Первоначальный[[#This Row],[Дата платежа из графика]]=""),0,
AND(S1020=0,Первоначальный[[#This Row],[Дата платежа из графика]]=1,MAX((0&lt;&gt;S$12:S1020)*ROW(S$12:S1020),ROW($S$12))&gt;=MAX((1=Z$12:Z1020)*ROW(Z$12:Z1020),ROW($T$12)),TYPE(VLOOKUP("Да",(INDIRECT("AA"&amp;(MAX((1=Z$12:Z1020)*ROW(Z$12:Z1020),ROW($T$12))&amp;":AA"&amp;(ROW()-1)))),1,0))=16),MIN(LOOKUP(,-1/($Z$12:Z1021=1),$C$12:C1021)+LOOKUP(,-1/($Z$12:Z1021=1),$H$12:H1021),Первоначальный[[#This Row],[Полученный платеж]]+Y1020),
AND(S1020=0,TYPE(VLOOKUP("Да",(INDIRECT("AA"&amp;(MAX((1=Z$12:Z1020)*ROW(Z$12:Z1020),ROW($T$12))&amp;":AA"&amp;(ROW()-1)))),1,0))&lt;&gt;16),MIN(LOOKUP(,-1/($Z$12:Z1021=1),$C$12:C1021)+LOOKUP(,-1/($Z$12:Z1021=1),$H$12:H1021)-IF(AA1020="Да",0,SUM(INDIRECT("T"&amp;(MAX(("Да"=AA$12:AA1020)*ROW(AA$12:AA1020)+1,ROW($T$12))&amp;":T"&amp;(ROW()-1))))),Первоначальный[[#This Row],[Полученный платеж]]+Y1020),
AND(S1020=0,MAX((0&lt;&gt;N$12:N1020)*ROW(N$12:N1020),ROW($S$12))&gt;=MAX((1=Z$12:Z1020)*ROW(Z$12:Z1020),ROW($T$12))),MIN(LOOKUP(,-1/($Z$12:Z1021=1),$C$12:C1021)+LOOKUP(,-1/($Z$12:Z1021=1),$H$12:H1021)-IF(N1020&lt;&gt;0,0,SUM(INDIRECT("T"&amp;(MAX((0&lt;&gt;N$12:N1020)*ROW(N$12:N1020)+1,ROW($T$12))&amp;":T"&amp;(ROW()-1))))),Первоначальный[[#This Row],[Полученный платеж]]+Y1020),
AND(S1020=0,Первоначальный[[#This Row],[Дата платежа из графика]]=1),MIN(LOOKUP(,-1/($Z$12:Z1021=1),$C$12:C1021)+LOOKUP(,-1/($Z$12:Z1021=1),$H$12:H1021)-IF(Z1020=1,0,SUM(INDIRECT("T"&amp;(MAX((1=Z$12:Z1020)*ROW(Z$12:Z1020)+1,ROW($T$12))&amp;":T"&amp;(ROW()-1))))),Первоначальный[[#This Row],[Полученный платеж]]+Y1020),
AND(Z1020&gt;0,Первоначальный[[#This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платеж]]+Y1020),
AND(S1020&gt;0,MAX((0&lt;&gt;S$12:S1020)*ROW(S$12:S1020),ROW($S$12))&gt;=MAX((1=Z$12:Z1020)*ROW(Z$12:Z1020),ROW($T$12)),TYPE(VLOOKUP("Да",(INDIRECT("AA"&amp;(MAX((1=Z$12:Z1020)*ROW(Z$12:Z1020),ROW($T$12))&amp;":AA"&amp;(ROW()-1)))),1,0))=16),MIN(LOOKUP(,-1/($Z$12:Z1021=1),$C$12:C1021)+LOOKUP(,-1/($Z$12:Z1021=1),$H$12:H1021)-SUM(INDIRECT("T"&amp;(MAX((1=Z$12:Z1020)*ROW(Z$12:Z1020),ROW($T$12))&amp;":T"&amp;(ROW()-1)))),Первоначальный[[#This Row],[Полученный платеж]]+Y1020),
S1020&gt;0,MIN(LOOKUP(,-1/($Z$12:Z1021=1),$C$12:C1021)+LOOKUP(,-1/($Z$12:Z1021=1),$H$12:H1021)-IF(Z1020=1,0,SUM(INDIRECT("T"&amp;(MAX((1=Z$12:Z1020)*ROW(Z$12:Z1020)+1,ROW($T$12))&amp;":T"&amp;(ROW()-1))))),Первоначальный[[#This Row],[Полученный платеж]]+Y1020)
)
)
)</f>
        <v>0</v>
      </c>
      <c r="U102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платеж]]+Y1020-Первоначальный[[#This Row],[Полученный платёж по процентам]])</f>
        <v>0</v>
      </c>
      <c r="V1021" s="55">
        <f t="shared" ca="1" si="183"/>
        <v>0</v>
      </c>
      <c r="W1021" s="55" cm="1">
        <f t="array" aca="1" ref="W1021" ca="1">IF(Первоначальный[[#This Row],[Итого остаток на начало периода]]&lt;1,0,
_xlfn.IFS(
AND(TYPE(VLOOKUP(1,$Z$12:Z1021,1,0))=16,Первоначальный[[#This Row],[Досрочное погашение (да/"")]]=""),0,
AND(S1020=0,Первоначальный[[#This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платеж]]+Y1020-SUM(Первоначальный[[#This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комиссиям]]),VLOOKUP(LOOKUP(,-1/($Z$12:Z1021=1),$A$12:A1021),График[[Срок конец]:[Возврат основной суммы долга]],3,0)),
AND(S1020=0,Первоначальный[[#This Row],[Дата платежа из графика]]="",Первоначальный[[#This Row],[Досрочное погашение (да/"")]]&lt;&gt;"Да"),0,
AND(S1020=0,Первоначальный[[#This Row],[Досрочное погашение (да/"")]]=""),MIN(Первоначальный[[#This Row],[Полученный платеж]]+Y1020-SUM(Первоначальный[[#This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комиссиям]]),VLOOKUP(LOOKUP(,-1/($Z$12:Z1021=1),$A$12:A1021),График[[Срок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платеж]]+Y1020-SUM(Первоначальный[[#This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S1020&gt;0,MIN(Первоначальный[[#This Row],[Полученный платеж]]+Y1020-SUM(Первоначальный[[#This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комиссиям]]),SUM(INDIRECT("M"&amp;(MAX((1=S$12:S1020)*ROW(S$12:S1020),ROW($W$12))&amp;":M"&amp;(ROW()))))-SUM(INDIRECT("W"&amp;(MAX((1=S$12:S1020)*ROW(S$12:S1020),ROW($W$12))&amp;":W"&amp;(ROW()-1)))))
)
)</f>
        <v>0</v>
      </c>
      <c r="X1021" s="55">
        <f t="shared" ca="1" si="184"/>
        <v>0</v>
      </c>
      <c r="Y1021" s="101">
        <f t="shared" ca="1" si="191"/>
        <v>0</v>
      </c>
      <c r="Z1021" s="133" t="str">
        <f>IF(TYPE((VLOOKUP(Первоначальный[[#This Row],[Дата платежа]],График[Срок конец],1,0)))=16,"",1)</f>
        <v/>
      </c>
      <c r="AA1021" s="57"/>
      <c r="AB1021" s="134"/>
      <c r="AC102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2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73372.359999999957</v>
      </c>
      <c r="AE102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3871.0799999999986</v>
      </c>
      <c r="AF102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2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207320.76750655693</v>
      </c>
      <c r="AH1021" s="55"/>
      <c r="AI1021" s="55"/>
      <c r="AJ1021" s="55"/>
      <c r="AK1021" s="101">
        <f t="shared" ca="1" si="192"/>
        <v>434197.54750655685</v>
      </c>
      <c r="AL1021" s="129">
        <f t="array" ref="AL1021">MAX((УслРестрактов[Характеристика]="Дата реструктуризации")*(УслРестрактов[Значение]=Первоначальный!$A1021),0)</f>
        <v>0</v>
      </c>
    </row>
    <row r="1022" spans="1:38" x14ac:dyDescent="0.25">
      <c r="A1022" s="97">
        <f t="shared" si="185"/>
        <v>45153</v>
      </c>
      <c r="B1022" s="100">
        <f t="shared" ca="1" si="186"/>
        <v>149633.34</v>
      </c>
      <c r="C1022" s="55">
        <f t="shared" ca="1" si="182"/>
        <v>73372.359999999957</v>
      </c>
      <c r="D1022" s="55">
        <f t="shared" ca="1" si="182"/>
        <v>3871.0799999999986</v>
      </c>
      <c r="E1022" s="55">
        <f t="shared" ca="1" si="187"/>
        <v>0</v>
      </c>
      <c r="F1022" s="55">
        <f t="shared" ca="1" si="188"/>
        <v>207320.76750655693</v>
      </c>
      <c r="G1022" s="101">
        <f t="shared" ca="1" si="189"/>
        <v>434197.54750655685</v>
      </c>
      <c r="H1022" s="100">
        <f ca="1">ROUND($B1022*VLOOKUP($A1022,$A$1:$B$10,2,1)/(365+IF(MOD(YEAR($A1022),4),0,1)*($A1022-$A1021)),2)-Первоначальный[[#This Row],[Проценты на просроченный платеж по ОД за период]]</f>
        <v>72.429999999999993</v>
      </c>
      <c r="I1022" s="55">
        <f t="shared" ca="1" si="190"/>
        <v>9.15</v>
      </c>
      <c r="J1022" s="55">
        <v>0</v>
      </c>
      <c r="K1022" s="55">
        <f t="shared" ca="1" si="193"/>
        <v>448.96850327868839</v>
      </c>
      <c r="L1022" s="55">
        <v>0</v>
      </c>
      <c r="M1022" s="113">
        <f>SUMIFS(График[Возврат основной суммы долга],График[Дата с учетом нерабочих дней],$A1022)</f>
        <v>0</v>
      </c>
      <c r="N1022" s="56">
        <f>SUMIFS(График[Возврат начисленных %],График[Дата с учетом нерабочих дней],$A1022)</f>
        <v>0</v>
      </c>
      <c r="O1022" s="101">
        <v>0</v>
      </c>
      <c r="P1022" s="100" cm="1">
        <f t="array" aca="1" ref="P1022" ca="1">MAX(IF(AA1021="Да",0,SUM(INDIRECT("M"&amp;(MAX(("Да"=AA$12:AA1021)*ROW(AA$12:AA1021)+1,ROW($P$12))&amp;":M"&amp;(ROW()))))-SUM(INDIRECT("W"&amp;(MAX(("Да"=AA$12:AA1021)*ROW(AA$12:AA1021)+1,ROW($P$12))&amp;":W"&amp;(ROW()))))),0)</f>
        <v>16786.23</v>
      </c>
      <c r="Q1022" s="99">
        <f ca="1">MAX(SUM($N$13:N1022)-SUM($T$13:T1022),0)</f>
        <v>73007.470655737678</v>
      </c>
      <c r="R1022" s="99">
        <f ca="1">Первоначальный[[#This Row],[Просроченный платеж по ОД]]+Первоначальный[[#This Row],[Просроченный платеж по процентам]]</f>
        <v>89793.700655737674</v>
      </c>
      <c r="S1022" s="120">
        <f ca="1">IF(Первоначальный[[#This Row],[Просроченный платеж]]&lt;1,0,S1021+1)</f>
        <v>918</v>
      </c>
      <c r="T1022" s="100" cm="1">
        <f t="array" aca="1" ref="T1022" ca="1">IF(Первоначальный[[#This Row],[Итого остаток на начало периода]]&lt;1,0,
IF(
AND(TYPE(VLOOKUP(1,$Z$12:Z1022,1,0))=16,Первоначальный[[#This Row],[Досрочное погашение (да/"")]]=""),0,
_xlfn.IFS(AND(S1021=0,Первоначальный[[#This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платеж]]&lt;&gt;0),MIN(LOOKUP(,-1/($Z$12:Z1022=1),$C$12:C1022)+LOOKUP(,-1/($Z$12:Z1022=1),$H$12:H1022),Первоначальный[[#This Row],[Полученный платеж]]+Y1021),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платеж]]+Y1021,SUM(Первоначальный[[#This Row],[Остаток процентов на начало периода]],Первоначальный[[#This Row],[Проценты за период]])),
AND(S1021=0,Первоначальный[[#This Row],[Дата платежа из графика]]=""),0,
AND(S1021=0,Первоначальный[[#This Row],[Дата платежа из графика]]=1,MAX((0&lt;&gt;S$12:S1021)*ROW(S$12:S1021),ROW($S$12))&gt;=MAX((1=Z$12:Z1021)*ROW(Z$12:Z1021),ROW($T$12)),TYPE(VLOOKUP("Да",(INDIRECT("AA"&amp;(MAX((1=Z$12:Z1021)*ROW(Z$12:Z1021),ROW($T$12))&amp;":AA"&amp;(ROW()-1)))),1,0))=16),MIN(LOOKUP(,-1/($Z$12:Z1022=1),$C$12:C1022)+LOOKUP(,-1/($Z$12:Z1022=1),$H$12:H1022),Первоначальный[[#This Row],[Полученный платеж]]+Y1021),
AND(S1021=0,TYPE(VLOOKUP("Да",(INDIRECT("AA"&amp;(MAX((1=Z$12:Z1021)*ROW(Z$12:Z1021),ROW($T$12))&amp;":AA"&amp;(ROW()-1)))),1,0))&lt;&gt;16),MIN(LOOKUP(,-1/($Z$12:Z1022=1),$C$12:C1022)+LOOKUP(,-1/($Z$12:Z1022=1),$H$12:H1022)-IF(AA1021="Да",0,SUM(INDIRECT("T"&amp;(MAX(("Да"=AA$12:AA1021)*ROW(AA$12:AA1021)+1,ROW($T$12))&amp;":T"&amp;(ROW()-1))))),Первоначальный[[#This Row],[Полученный платеж]]+Y1021),
AND(S1021=0,MAX((0&lt;&gt;N$12:N1021)*ROW(N$12:N1021),ROW($S$12))&gt;=MAX((1=Z$12:Z1021)*ROW(Z$12:Z1021),ROW($T$12))),MIN(LOOKUP(,-1/($Z$12:Z1022=1),$C$12:C1022)+LOOKUP(,-1/($Z$12:Z1022=1),$H$12:H1022)-IF(N1021&lt;&gt;0,0,SUM(INDIRECT("T"&amp;(MAX((0&lt;&gt;N$12:N1021)*ROW(N$12:N1021)+1,ROW($T$12))&amp;":T"&amp;(ROW()-1))))),Первоначальный[[#This Row],[Полученный платеж]]+Y1021),
AND(S1021=0,Первоначальный[[#This Row],[Дата платежа из графика]]=1),MIN(LOOKUP(,-1/($Z$12:Z1022=1),$C$12:C1022)+LOOKUP(,-1/($Z$12:Z1022=1),$H$12:H1022)-IF(Z1021=1,0,SUM(INDIRECT("T"&amp;(MAX((1=Z$12:Z1021)*ROW(Z$12:Z1021)+1,ROW($T$12))&amp;":T"&amp;(ROW()-1))))),Первоначальный[[#This Row],[Полученный платеж]]+Y1021),
AND(Z1021&gt;0,Первоначальный[[#This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платеж]]+Y1021),
AND(S1021&gt;0,MAX((0&lt;&gt;S$12:S1021)*ROW(S$12:S1021),ROW($S$12))&gt;=MAX((1=Z$12:Z1021)*ROW(Z$12:Z1021),ROW($T$12)),TYPE(VLOOKUP("Да",(INDIRECT("AA"&amp;(MAX((1=Z$12:Z1021)*ROW(Z$12:Z1021),ROW($T$12))&amp;":AA"&amp;(ROW()-1)))),1,0))=16),MIN(LOOKUP(,-1/($Z$12:Z1022=1),$C$12:C1022)+LOOKUP(,-1/($Z$12:Z1022=1),$H$12:H1022)-SUM(INDIRECT("T"&amp;(MAX((1=Z$12:Z1021)*ROW(Z$12:Z1021),ROW($T$12))&amp;":T"&amp;(ROW()-1)))),Первоначальный[[#This Row],[Полученный платеж]]+Y1021),
S1021&gt;0,MIN(LOOKUP(,-1/($Z$12:Z1022=1),$C$12:C1022)+LOOKUP(,-1/($Z$12:Z1022=1),$H$12:H1022)-IF(Z1021=1,0,SUM(INDIRECT("T"&amp;(MAX((1=Z$12:Z1021)*ROW(Z$12:Z1021)+1,ROW($T$12))&amp;":T"&amp;(ROW()-1))))),Первоначальный[[#This Row],[Полученный платеж]]+Y1021)
)
)
)</f>
        <v>0</v>
      </c>
      <c r="U102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платеж]]+Y1021-Первоначальный[[#This Row],[Полученный платёж по процентам]])</f>
        <v>0</v>
      </c>
      <c r="V1022" s="55">
        <f t="shared" ca="1" si="183"/>
        <v>0</v>
      </c>
      <c r="W1022" s="55" cm="1">
        <f t="array" aca="1" ref="W1022" ca="1">IF(Первоначальный[[#This Row],[Итого остаток на начало периода]]&lt;1,0,
_xlfn.IFS(
AND(TYPE(VLOOKUP(1,$Z$12:Z1022,1,0))=16,Первоначальный[[#This Row],[Досрочное погашение (да/"")]]=""),0,
AND(S1021=0,Первоначальный[[#This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платеж]]+Y1021-SUM(Первоначальный[[#This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комиссиям]]),VLOOKUP(LOOKUP(,-1/($Z$12:Z1022=1),$A$12:A1022),График[[Срок конец]:[Возврат основной суммы долга]],3,0)),
AND(S1021=0,Первоначальный[[#This Row],[Дата платежа из графика]]="",Первоначальный[[#This Row],[Досрочное погашение (да/"")]]&lt;&gt;"Да"),0,
AND(S1021=0,Первоначальный[[#This Row],[Досрочное погашение (да/"")]]=""),MIN(Первоначальный[[#This Row],[Полученный платеж]]+Y1021-SUM(Первоначальный[[#This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комиссиям]]),VLOOKUP(LOOKUP(,-1/($Z$12:Z1022=1),$A$12:A1022),График[[Срок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платеж]]+Y1021-SUM(Первоначальный[[#This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S1021&gt;0,MIN(Первоначальный[[#This Row],[Полученный платеж]]+Y1021-SUM(Первоначальный[[#This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комиссиям]]),SUM(INDIRECT("M"&amp;(MAX((1=S$12:S1021)*ROW(S$12:S1021),ROW($W$12))&amp;":M"&amp;(ROW()))))-SUM(INDIRECT("W"&amp;(MAX((1=S$12:S1021)*ROW(S$12:S1021),ROW($W$12))&amp;":W"&amp;(ROW()-1)))))
)
)</f>
        <v>0</v>
      </c>
      <c r="X1022" s="55">
        <f t="shared" ca="1" si="184"/>
        <v>0</v>
      </c>
      <c r="Y1022" s="101">
        <f t="shared" ca="1" si="191"/>
        <v>0</v>
      </c>
      <c r="Z1022" s="133" t="str">
        <f>IF(TYPE((VLOOKUP(Первоначальный[[#This Row],[Дата платежа]],График[Срок конец],1,0)))=16,"",1)</f>
        <v/>
      </c>
      <c r="AA1022" s="57"/>
      <c r="AB1022" s="134"/>
      <c r="AC102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2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73444.78999999995</v>
      </c>
      <c r="AE102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3880.2299999999987</v>
      </c>
      <c r="AF102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2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207769.73600983561</v>
      </c>
      <c r="AH1022" s="55"/>
      <c r="AI1022" s="55"/>
      <c r="AJ1022" s="55"/>
      <c r="AK1022" s="101">
        <f t="shared" ca="1" si="192"/>
        <v>434728.0960098356</v>
      </c>
      <c r="AL1022" s="129">
        <f t="array" ref="AL1022">MAX((УслРестрактов[Характеристика]="Дата реструктуризации")*(УслРестрактов[Значение]=Первоначальный!$A1022),0)</f>
        <v>0</v>
      </c>
    </row>
    <row r="1023" spans="1:38" x14ac:dyDescent="0.25">
      <c r="A1023" s="97">
        <f t="shared" si="185"/>
        <v>45154</v>
      </c>
      <c r="B1023" s="100">
        <f t="shared" ca="1" si="186"/>
        <v>149633.34</v>
      </c>
      <c r="C1023" s="55">
        <f t="shared" ca="1" si="182"/>
        <v>73444.78999999995</v>
      </c>
      <c r="D1023" s="55">
        <f t="shared" ca="1" si="182"/>
        <v>3880.2299999999987</v>
      </c>
      <c r="E1023" s="55">
        <f t="shared" ca="1" si="187"/>
        <v>0</v>
      </c>
      <c r="F1023" s="55">
        <f t="shared" ca="1" si="188"/>
        <v>207769.73600983561</v>
      </c>
      <c r="G1023" s="101">
        <f t="shared" ca="1" si="189"/>
        <v>434728.0960098356</v>
      </c>
      <c r="H1023" s="100">
        <f ca="1">ROUND($B1023*VLOOKUP($A1023,$A$1:$B$10,2,1)/(365+IF(MOD(YEAR($A1023),4),0,1)*($A1023-$A1022)),2)-Первоначальный[[#This Row],[Проценты на просроченный платеж по ОД за период]]</f>
        <v>72.429999999999993</v>
      </c>
      <c r="I1023" s="55">
        <f t="shared" ca="1" si="190"/>
        <v>9.15</v>
      </c>
      <c r="J1023" s="55">
        <v>0</v>
      </c>
      <c r="K1023" s="55">
        <f t="shared" ca="1" si="193"/>
        <v>448.96850327868839</v>
      </c>
      <c r="L1023" s="55">
        <v>0</v>
      </c>
      <c r="M1023" s="113">
        <f>SUMIFS(График[Возврат основной суммы долга],График[Дата с учетом нерабочих дней],$A1023)</f>
        <v>0</v>
      </c>
      <c r="N1023" s="56">
        <f>SUMIFS(График[Возврат начисленных %],График[Дата с учетом нерабочих дней],$A1023)</f>
        <v>0</v>
      </c>
      <c r="O1023" s="101">
        <v>0</v>
      </c>
      <c r="P1023" s="100" cm="1">
        <f t="array" aca="1" ref="P1023" ca="1">MAX(IF(AA1022="Да",0,SUM(INDIRECT("M"&amp;(MAX(("Да"=AA$12:AA1022)*ROW(AA$12:AA1022)+1,ROW($P$12))&amp;":M"&amp;(ROW()))))-SUM(INDIRECT("W"&amp;(MAX(("Да"=AA$12:AA1022)*ROW(AA$12:AA1022)+1,ROW($P$12))&amp;":W"&amp;(ROW()))))),0)</f>
        <v>16786.23</v>
      </c>
      <c r="Q1023" s="99">
        <f ca="1">MAX(SUM($N$13:N1023)-SUM($T$13:T1023),0)</f>
        <v>73007.470655737678</v>
      </c>
      <c r="R1023" s="99">
        <f ca="1">Первоначальный[[#This Row],[Просроченный платеж по ОД]]+Первоначальный[[#This Row],[Просроченный платеж по процентам]]</f>
        <v>89793.700655737674</v>
      </c>
      <c r="S1023" s="120">
        <f ca="1">IF(Первоначальный[[#This Row],[Просроченный платеж]]&lt;1,0,S1022+1)</f>
        <v>919</v>
      </c>
      <c r="T1023" s="100" cm="1">
        <f t="array" aca="1" ref="T1023" ca="1">IF(Первоначальный[[#This Row],[Итого остаток на начало периода]]&lt;1,0,
IF(
AND(TYPE(VLOOKUP(1,$Z$12:Z1023,1,0))=16,Первоначальный[[#This Row],[Досрочное погашение (да/"")]]=""),0,
_xlfn.IFS(AND(S1022=0,Первоначальный[[#This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платеж]]&lt;&gt;0),MIN(LOOKUP(,-1/($Z$12:Z1023=1),$C$12:C1023)+LOOKUP(,-1/($Z$12:Z1023=1),$H$12:H1023),Первоначальный[[#This Row],[Полученный платеж]]+Y1022),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платеж]]+Y1022,SUM(Первоначальный[[#This Row],[Остаток процентов на начало периода]],Первоначальный[[#This Row],[Проценты за период]])),
AND(S1022=0,Первоначальный[[#This Row],[Дата платежа из графика]]=""),0,
AND(S1022=0,Первоначальный[[#This Row],[Дата платежа из графика]]=1,MAX((0&lt;&gt;S$12:S1022)*ROW(S$12:S1022),ROW($S$12))&gt;=MAX((1=Z$12:Z1022)*ROW(Z$12:Z1022),ROW($T$12)),TYPE(VLOOKUP("Да",(INDIRECT("AA"&amp;(MAX((1=Z$12:Z1022)*ROW(Z$12:Z1022),ROW($T$12))&amp;":AA"&amp;(ROW()-1)))),1,0))=16),MIN(LOOKUP(,-1/($Z$12:Z1023=1),$C$12:C1023)+LOOKUP(,-1/($Z$12:Z1023=1),$H$12:H1023),Первоначальный[[#This Row],[Полученный платеж]]+Y1022),
AND(S1022=0,TYPE(VLOOKUP("Да",(INDIRECT("AA"&amp;(MAX((1=Z$12:Z1022)*ROW(Z$12:Z1022),ROW($T$12))&amp;":AA"&amp;(ROW()-1)))),1,0))&lt;&gt;16),MIN(LOOKUP(,-1/($Z$12:Z1023=1),$C$12:C1023)+LOOKUP(,-1/($Z$12:Z1023=1),$H$12:H1023)-IF(AA1022="Да",0,SUM(INDIRECT("T"&amp;(MAX(("Да"=AA$12:AA1022)*ROW(AA$12:AA1022)+1,ROW($T$12))&amp;":T"&amp;(ROW()-1))))),Первоначальный[[#This Row],[Полученный платеж]]+Y1022),
AND(S1022=0,MAX((0&lt;&gt;N$12:N1022)*ROW(N$12:N1022),ROW($S$12))&gt;=MAX((1=Z$12:Z1022)*ROW(Z$12:Z1022),ROW($T$12))),MIN(LOOKUP(,-1/($Z$12:Z1023=1),$C$12:C1023)+LOOKUP(,-1/($Z$12:Z1023=1),$H$12:H1023)-IF(N1022&lt;&gt;0,0,SUM(INDIRECT("T"&amp;(MAX((0&lt;&gt;N$12:N1022)*ROW(N$12:N1022)+1,ROW($T$12))&amp;":T"&amp;(ROW()-1))))),Первоначальный[[#This Row],[Полученный платеж]]+Y1022),
AND(S1022=0,Первоначальный[[#This Row],[Дата платежа из графика]]=1),MIN(LOOKUP(,-1/($Z$12:Z1023=1),$C$12:C1023)+LOOKUP(,-1/($Z$12:Z1023=1),$H$12:H1023)-IF(Z1022=1,0,SUM(INDIRECT("T"&amp;(MAX((1=Z$12:Z1022)*ROW(Z$12:Z1022)+1,ROW($T$12))&amp;":T"&amp;(ROW()-1))))),Первоначальный[[#This Row],[Полученный платеж]]+Y1022),
AND(Z1022&gt;0,Первоначальный[[#This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платеж]]+Y1022),
AND(S1022&gt;0,MAX((0&lt;&gt;S$12:S1022)*ROW(S$12:S1022),ROW($S$12))&gt;=MAX((1=Z$12:Z1022)*ROW(Z$12:Z1022),ROW($T$12)),TYPE(VLOOKUP("Да",(INDIRECT("AA"&amp;(MAX((1=Z$12:Z1022)*ROW(Z$12:Z1022),ROW($T$12))&amp;":AA"&amp;(ROW()-1)))),1,0))=16),MIN(LOOKUP(,-1/($Z$12:Z1023=1),$C$12:C1023)+LOOKUP(,-1/($Z$12:Z1023=1),$H$12:H1023)-SUM(INDIRECT("T"&amp;(MAX((1=Z$12:Z1022)*ROW(Z$12:Z1022),ROW($T$12))&amp;":T"&amp;(ROW()-1)))),Первоначальный[[#This Row],[Полученный платеж]]+Y1022),
S1022&gt;0,MIN(LOOKUP(,-1/($Z$12:Z1023=1),$C$12:C1023)+LOOKUP(,-1/($Z$12:Z1023=1),$H$12:H1023)-IF(Z1022=1,0,SUM(INDIRECT("T"&amp;(MAX((1=Z$12:Z1022)*ROW(Z$12:Z1022)+1,ROW($T$12))&amp;":T"&amp;(ROW()-1))))),Первоначальный[[#This Row],[Полученный платеж]]+Y1022)
)
)
)</f>
        <v>0</v>
      </c>
      <c r="U102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платеж]]+Y1022-Первоначальный[[#This Row],[Полученный платёж по процентам]])</f>
        <v>0</v>
      </c>
      <c r="V1023" s="55">
        <f t="shared" ca="1" si="183"/>
        <v>0</v>
      </c>
      <c r="W1023" s="55" cm="1">
        <f t="array" aca="1" ref="W1023" ca="1">IF(Первоначальный[[#This Row],[Итого остаток на начало периода]]&lt;1,0,
_xlfn.IFS(
AND(TYPE(VLOOKUP(1,$Z$12:Z1023,1,0))=16,Первоначальный[[#This Row],[Досрочное погашение (да/"")]]=""),0,
AND(S1022=0,Первоначальный[[#This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платеж]]+Y1022-SUM(Первоначальный[[#This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комиссиям]]),VLOOKUP(LOOKUP(,-1/($Z$12:Z1023=1),$A$12:A1023),График[[Срок конец]:[Возврат основной суммы долга]],3,0)),
AND(S1022=0,Первоначальный[[#This Row],[Дата платежа из графика]]="",Первоначальный[[#This Row],[Досрочное погашение (да/"")]]&lt;&gt;"Да"),0,
AND(S1022=0,Первоначальный[[#This Row],[Досрочное погашение (да/"")]]=""),MIN(Первоначальный[[#This Row],[Полученный платеж]]+Y1022-SUM(Первоначальный[[#This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комиссиям]]),VLOOKUP(LOOKUP(,-1/($Z$12:Z1023=1),$A$12:A1023),График[[Срок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платеж]]+Y1022-SUM(Первоначальный[[#This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S1022&gt;0,MIN(Первоначальный[[#This Row],[Полученный платеж]]+Y1022-SUM(Первоначальный[[#This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комиссиям]]),SUM(INDIRECT("M"&amp;(MAX((1=S$12:S1022)*ROW(S$12:S1022),ROW($W$12))&amp;":M"&amp;(ROW()))))-SUM(INDIRECT("W"&amp;(MAX((1=S$12:S1022)*ROW(S$12:S1022),ROW($W$12))&amp;":W"&amp;(ROW()-1)))))
)
)</f>
        <v>0</v>
      </c>
      <c r="X1023" s="55">
        <f t="shared" ca="1" si="184"/>
        <v>0</v>
      </c>
      <c r="Y1023" s="101">
        <f t="shared" ca="1" si="191"/>
        <v>0</v>
      </c>
      <c r="Z1023" s="133" t="str">
        <f>IF(TYPE((VLOOKUP(Первоначальный[[#This Row],[Дата платежа]],График[Срок конец],1,0)))=16,"",1)</f>
        <v/>
      </c>
      <c r="AA1023" s="57"/>
      <c r="AB1023" s="134"/>
      <c r="AC102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2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73517.219999999943</v>
      </c>
      <c r="AE102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3889.3799999999987</v>
      </c>
      <c r="AF102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2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208218.70451311429</v>
      </c>
      <c r="AH1023" s="55"/>
      <c r="AI1023" s="55"/>
      <c r="AJ1023" s="55"/>
      <c r="AK1023" s="101">
        <f t="shared" ca="1" si="192"/>
        <v>435258.64451311424</v>
      </c>
      <c r="AL1023" s="129">
        <f t="array" ref="AL1023">MAX((УслРестрактов[Характеристика]="Дата реструктуризации")*(УслРестрактов[Значение]=Первоначальный!$A1023),0)</f>
        <v>0</v>
      </c>
    </row>
    <row r="1024" spans="1:38" x14ac:dyDescent="0.25">
      <c r="A1024" s="97">
        <f t="shared" si="185"/>
        <v>45155</v>
      </c>
      <c r="B1024" s="100">
        <f t="shared" ca="1" si="186"/>
        <v>149633.34</v>
      </c>
      <c r="C1024" s="55">
        <f t="shared" ca="1" si="182"/>
        <v>73517.219999999943</v>
      </c>
      <c r="D1024" s="55">
        <f t="shared" ca="1" si="182"/>
        <v>3889.3799999999987</v>
      </c>
      <c r="E1024" s="55">
        <f t="shared" ca="1" si="187"/>
        <v>0</v>
      </c>
      <c r="F1024" s="55">
        <f t="shared" ca="1" si="188"/>
        <v>208218.70451311429</v>
      </c>
      <c r="G1024" s="101">
        <f t="shared" ca="1" si="189"/>
        <v>435258.64451311424</v>
      </c>
      <c r="H1024" s="100">
        <f ca="1">ROUND($B1024*VLOOKUP($A1024,$A$1:$B$10,2,1)/(365+IF(MOD(YEAR($A1024),4),0,1)*($A1024-$A1023)),2)-Первоначальный[[#This Row],[Проценты на просроченный платеж по ОД за период]]</f>
        <v>72.429999999999993</v>
      </c>
      <c r="I1024" s="55">
        <f t="shared" ca="1" si="190"/>
        <v>9.15</v>
      </c>
      <c r="J1024" s="55">
        <v>0</v>
      </c>
      <c r="K1024" s="55">
        <f t="shared" ca="1" si="193"/>
        <v>448.96850327868839</v>
      </c>
      <c r="L1024" s="55">
        <v>0</v>
      </c>
      <c r="M1024" s="113">
        <f>SUMIFS(График[Возврат основной суммы долга],График[Дата с учетом нерабочих дней],$A1024)</f>
        <v>0</v>
      </c>
      <c r="N1024" s="56">
        <f>SUMIFS(График[Возврат начисленных %],График[Дата с учетом нерабочих дней],$A1024)</f>
        <v>0</v>
      </c>
      <c r="O1024" s="101">
        <v>0</v>
      </c>
      <c r="P1024" s="100" cm="1">
        <f t="array" aca="1" ref="P1024" ca="1">MAX(IF(AA1023="Да",0,SUM(INDIRECT("M"&amp;(MAX(("Да"=AA$12:AA1023)*ROW(AA$12:AA1023)+1,ROW($P$12))&amp;":M"&amp;(ROW()))))-SUM(INDIRECT("W"&amp;(MAX(("Да"=AA$12:AA1023)*ROW(AA$12:AA1023)+1,ROW($P$12))&amp;":W"&amp;(ROW()))))),0)</f>
        <v>16786.23</v>
      </c>
      <c r="Q1024" s="99">
        <f ca="1">MAX(SUM($N$13:N1024)-SUM($T$13:T1024),0)</f>
        <v>73007.470655737678</v>
      </c>
      <c r="R1024" s="99">
        <f ca="1">Первоначальный[[#This Row],[Просроченный платеж по ОД]]+Первоначальный[[#This Row],[Просроченный платеж по процентам]]</f>
        <v>89793.700655737674</v>
      </c>
      <c r="S1024" s="120">
        <f ca="1">IF(Первоначальный[[#This Row],[Просроченный платеж]]&lt;1,0,S1023+1)</f>
        <v>920</v>
      </c>
      <c r="T1024" s="100" cm="1">
        <f t="array" aca="1" ref="T1024" ca="1">IF(Первоначальный[[#This Row],[Итого остаток на начало периода]]&lt;1,0,
IF(
AND(TYPE(VLOOKUP(1,$Z$12:Z1024,1,0))=16,Первоначальный[[#This Row],[Досрочное погашение (да/"")]]=""),0,
_xlfn.IFS(AND(S1023=0,Первоначальный[[#This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платеж]]&lt;&gt;0),MIN(LOOKUP(,-1/($Z$12:Z1024=1),$C$12:C1024)+LOOKUP(,-1/($Z$12:Z1024=1),$H$12:H1024),Первоначальный[[#This Row],[Полученный платеж]]+Y1023),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платеж]]+Y1023,SUM(Первоначальный[[#This Row],[Остаток процентов на начало периода]],Первоначальный[[#This Row],[Проценты за период]])),
AND(S1023=0,Первоначальный[[#This Row],[Дата платежа из графика]]=""),0,
AND(S1023=0,Первоначальный[[#This Row],[Дата платежа из графика]]=1,MAX((0&lt;&gt;S$12:S1023)*ROW(S$12:S1023),ROW($S$12))&gt;=MAX((1=Z$12:Z1023)*ROW(Z$12:Z1023),ROW($T$12)),TYPE(VLOOKUP("Да",(INDIRECT("AA"&amp;(MAX((1=Z$12:Z1023)*ROW(Z$12:Z1023),ROW($T$12))&amp;":AA"&amp;(ROW()-1)))),1,0))=16),MIN(LOOKUP(,-1/($Z$12:Z1024=1),$C$12:C1024)+LOOKUP(,-1/($Z$12:Z1024=1),$H$12:H1024),Первоначальный[[#This Row],[Полученный платеж]]+Y1023),
AND(S1023=0,TYPE(VLOOKUP("Да",(INDIRECT("AA"&amp;(MAX((1=Z$12:Z1023)*ROW(Z$12:Z1023),ROW($T$12))&amp;":AA"&amp;(ROW()-1)))),1,0))&lt;&gt;16),MIN(LOOKUP(,-1/($Z$12:Z1024=1),$C$12:C1024)+LOOKUP(,-1/($Z$12:Z1024=1),$H$12:H1024)-IF(AA1023="Да",0,SUM(INDIRECT("T"&amp;(MAX(("Да"=AA$12:AA1023)*ROW(AA$12:AA1023)+1,ROW($T$12))&amp;":T"&amp;(ROW()-1))))),Первоначальный[[#This Row],[Полученный платеж]]+Y1023),
AND(S1023=0,MAX((0&lt;&gt;N$12:N1023)*ROW(N$12:N1023),ROW($S$12))&gt;=MAX((1=Z$12:Z1023)*ROW(Z$12:Z1023),ROW($T$12))),MIN(LOOKUP(,-1/($Z$12:Z1024=1),$C$12:C1024)+LOOKUP(,-1/($Z$12:Z1024=1),$H$12:H1024)-IF(N1023&lt;&gt;0,0,SUM(INDIRECT("T"&amp;(MAX((0&lt;&gt;N$12:N1023)*ROW(N$12:N1023)+1,ROW($T$12))&amp;":T"&amp;(ROW()-1))))),Первоначальный[[#This Row],[Полученный платеж]]+Y1023),
AND(S1023=0,Первоначальный[[#This Row],[Дата платежа из графика]]=1),MIN(LOOKUP(,-1/($Z$12:Z1024=1),$C$12:C1024)+LOOKUP(,-1/($Z$12:Z1024=1),$H$12:H1024)-IF(Z1023=1,0,SUM(INDIRECT("T"&amp;(MAX((1=Z$12:Z1023)*ROW(Z$12:Z1023)+1,ROW($T$12))&amp;":T"&amp;(ROW()-1))))),Первоначальный[[#This Row],[Полученный платеж]]+Y1023),
AND(Z1023&gt;0,Первоначальный[[#This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платеж]]+Y1023),
AND(S1023&gt;0,MAX((0&lt;&gt;S$12:S1023)*ROW(S$12:S1023),ROW($S$12))&gt;=MAX((1=Z$12:Z1023)*ROW(Z$12:Z1023),ROW($T$12)),TYPE(VLOOKUP("Да",(INDIRECT("AA"&amp;(MAX((1=Z$12:Z1023)*ROW(Z$12:Z1023),ROW($T$12))&amp;":AA"&amp;(ROW()-1)))),1,0))=16),MIN(LOOKUP(,-1/($Z$12:Z1024=1),$C$12:C1024)+LOOKUP(,-1/($Z$12:Z1024=1),$H$12:H1024)-SUM(INDIRECT("T"&amp;(MAX((1=Z$12:Z1023)*ROW(Z$12:Z1023),ROW($T$12))&amp;":T"&amp;(ROW()-1)))),Первоначальный[[#This Row],[Полученный платеж]]+Y1023),
S1023&gt;0,MIN(LOOKUP(,-1/($Z$12:Z1024=1),$C$12:C1024)+LOOKUP(,-1/($Z$12:Z1024=1),$H$12:H1024)-IF(Z1023=1,0,SUM(INDIRECT("T"&amp;(MAX((1=Z$12:Z1023)*ROW(Z$12:Z1023)+1,ROW($T$12))&amp;":T"&amp;(ROW()-1))))),Первоначальный[[#This Row],[Полученный платеж]]+Y1023)
)
)
)</f>
        <v>0</v>
      </c>
      <c r="U102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платеж]]+Y1023-Первоначальный[[#This Row],[Полученный платёж по процентам]])</f>
        <v>0</v>
      </c>
      <c r="V1024" s="55">
        <f t="shared" ca="1" si="183"/>
        <v>0</v>
      </c>
      <c r="W1024" s="55" cm="1">
        <f t="array" aca="1" ref="W1024" ca="1">IF(Первоначальный[[#This Row],[Итого остаток на начало периода]]&lt;1,0,
_xlfn.IFS(
AND(TYPE(VLOOKUP(1,$Z$12:Z1024,1,0))=16,Первоначальный[[#This Row],[Досрочное погашение (да/"")]]=""),0,
AND(S1023=0,Первоначальный[[#This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платеж]]+Y1023-SUM(Первоначальный[[#This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комиссиям]]),VLOOKUP(LOOKUP(,-1/($Z$12:Z1024=1),$A$12:A1024),График[[Срок конец]:[Возврат основной суммы долга]],3,0)),
AND(S1023=0,Первоначальный[[#This Row],[Дата платежа из графика]]="",Первоначальный[[#This Row],[Досрочное погашение (да/"")]]&lt;&gt;"Да"),0,
AND(S1023=0,Первоначальный[[#This Row],[Досрочное погашение (да/"")]]=""),MIN(Первоначальный[[#This Row],[Полученный платеж]]+Y1023-SUM(Первоначальный[[#This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комиссиям]]),VLOOKUP(LOOKUP(,-1/($Z$12:Z1024=1),$A$12:A1024),График[[Срок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платеж]]+Y1023-SUM(Первоначальный[[#This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S1023&gt;0,MIN(Первоначальный[[#This Row],[Полученный платеж]]+Y1023-SUM(Первоначальный[[#This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комиссиям]]),SUM(INDIRECT("M"&amp;(MAX((1=S$12:S1023)*ROW(S$12:S1023),ROW($W$12))&amp;":M"&amp;(ROW()))))-SUM(INDIRECT("W"&amp;(MAX((1=S$12:S1023)*ROW(S$12:S1023),ROW($W$12))&amp;":W"&amp;(ROW()-1)))))
)
)</f>
        <v>0</v>
      </c>
      <c r="X1024" s="55">
        <f t="shared" ca="1" si="184"/>
        <v>0</v>
      </c>
      <c r="Y1024" s="101">
        <f t="shared" ca="1" si="191"/>
        <v>0</v>
      </c>
      <c r="Z1024" s="133" t="str">
        <f>IF(TYPE((VLOOKUP(Первоначальный[[#This Row],[Дата платежа]],График[Срок конец],1,0)))=16,"",1)</f>
        <v/>
      </c>
      <c r="AA1024" s="57"/>
      <c r="AB1024" s="134"/>
      <c r="AC102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2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73589.649999999936</v>
      </c>
      <c r="AE102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3898.5299999999988</v>
      </c>
      <c r="AF102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2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208667.67301639298</v>
      </c>
      <c r="AH1024" s="55"/>
      <c r="AI1024" s="55"/>
      <c r="AJ1024" s="55"/>
      <c r="AK1024" s="101">
        <f t="shared" ca="1" si="192"/>
        <v>435789.19301639288</v>
      </c>
      <c r="AL1024" s="129">
        <f t="array" ref="AL1024">MAX((УслРестрактов[Характеристика]="Дата реструктуризации")*(УслРестрактов[Значение]=Первоначальный!$A1024),0)</f>
        <v>0</v>
      </c>
    </row>
    <row r="1025" spans="1:38" x14ac:dyDescent="0.25">
      <c r="A1025" s="97">
        <f t="shared" si="185"/>
        <v>45156</v>
      </c>
      <c r="B1025" s="100">
        <f t="shared" ca="1" si="186"/>
        <v>149633.34</v>
      </c>
      <c r="C1025" s="55">
        <f t="shared" ref="C1025:D1088" ca="1" si="194">AD1024+AI1024</f>
        <v>73589.649999999936</v>
      </c>
      <c r="D1025" s="55">
        <f t="shared" ca="1" si="194"/>
        <v>3898.5299999999988</v>
      </c>
      <c r="E1025" s="55">
        <f t="shared" ca="1" si="187"/>
        <v>0</v>
      </c>
      <c r="F1025" s="55">
        <f t="shared" ca="1" si="188"/>
        <v>208667.67301639298</v>
      </c>
      <c r="G1025" s="101">
        <f t="shared" ca="1" si="189"/>
        <v>435789.19301639288</v>
      </c>
      <c r="H1025" s="100">
        <f ca="1">ROUND($B1025*VLOOKUP($A1025,$A$1:$B$10,2,1)/(365+IF(MOD(YEAR($A1025),4),0,1)*($A1025-$A1024)),2)-Первоначальный[[#This Row],[Проценты на просроченный платеж по ОД за период]]</f>
        <v>72.429999999999993</v>
      </c>
      <c r="I1025" s="55">
        <f t="shared" ca="1" si="190"/>
        <v>9.15</v>
      </c>
      <c r="J1025" s="55">
        <v>0</v>
      </c>
      <c r="K1025" s="55">
        <f t="shared" ca="1" si="193"/>
        <v>448.96850327868839</v>
      </c>
      <c r="L1025" s="55">
        <v>0</v>
      </c>
      <c r="M1025" s="113">
        <f>SUMIFS(График[Возврат основной суммы долга],График[Дата с учетом нерабочих дней],$A1025)</f>
        <v>0</v>
      </c>
      <c r="N1025" s="56">
        <f>SUMIFS(График[Возврат начисленных %],График[Дата с учетом нерабочих дней],$A1025)</f>
        <v>0</v>
      </c>
      <c r="O1025" s="101">
        <v>0</v>
      </c>
      <c r="P1025" s="100" cm="1">
        <f t="array" aca="1" ref="P1025" ca="1">MAX(IF(AA1024="Да",0,SUM(INDIRECT("M"&amp;(MAX(("Да"=AA$12:AA1024)*ROW(AA$12:AA1024)+1,ROW($P$12))&amp;":M"&amp;(ROW()))))-SUM(INDIRECT("W"&amp;(MAX(("Да"=AA$12:AA1024)*ROW(AA$12:AA1024)+1,ROW($P$12))&amp;":W"&amp;(ROW()))))),0)</f>
        <v>16786.23</v>
      </c>
      <c r="Q1025" s="99">
        <f ca="1">MAX(SUM($N$13:N1025)-SUM($T$13:T1025),0)</f>
        <v>73007.470655737678</v>
      </c>
      <c r="R1025" s="99">
        <f ca="1">Первоначальный[[#This Row],[Просроченный платеж по ОД]]+Первоначальный[[#This Row],[Просроченный платеж по процентам]]</f>
        <v>89793.700655737674</v>
      </c>
      <c r="S1025" s="120">
        <f ca="1">IF(Первоначальный[[#This Row],[Просроченный платеж]]&lt;1,0,S1024+1)</f>
        <v>921</v>
      </c>
      <c r="T1025" s="100" cm="1">
        <f t="array" aca="1" ref="T1025" ca="1">IF(Первоначальный[[#This Row],[Итого остаток на начало периода]]&lt;1,0,
IF(
AND(TYPE(VLOOKUP(1,$Z$12:Z1025,1,0))=16,Первоначальный[[#This Row],[Досрочное погашение (да/"")]]=""),0,
_xlfn.IFS(AND(S1024=0,Первоначальный[[#This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платеж]]&lt;&gt;0),MIN(LOOKUP(,-1/($Z$12:Z1025=1),$C$12:C1025)+LOOKUP(,-1/($Z$12:Z1025=1),$H$12:H1025),Первоначальный[[#This Row],[Полученный платеж]]+Y1024),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платеж]]+Y1024,SUM(Первоначальный[[#This Row],[Остаток процентов на начало периода]],Первоначальный[[#This Row],[Проценты за период]])),
AND(S1024=0,Первоначальный[[#This Row],[Дата платежа из графика]]=""),0,
AND(S1024=0,Первоначальный[[#This Row],[Дата платежа из графика]]=1,MAX((0&lt;&gt;S$12:S1024)*ROW(S$12:S1024),ROW($S$12))&gt;=MAX((1=Z$12:Z1024)*ROW(Z$12:Z1024),ROW($T$12)),TYPE(VLOOKUP("Да",(INDIRECT("AA"&amp;(MAX((1=Z$12:Z1024)*ROW(Z$12:Z1024),ROW($T$12))&amp;":AA"&amp;(ROW()-1)))),1,0))=16),MIN(LOOKUP(,-1/($Z$12:Z1025=1),$C$12:C1025)+LOOKUP(,-1/($Z$12:Z1025=1),$H$12:H1025),Первоначальный[[#This Row],[Полученный платеж]]+Y1024),
AND(S1024=0,TYPE(VLOOKUP("Да",(INDIRECT("AA"&amp;(MAX((1=Z$12:Z1024)*ROW(Z$12:Z1024),ROW($T$12))&amp;":AA"&amp;(ROW()-1)))),1,0))&lt;&gt;16),MIN(LOOKUP(,-1/($Z$12:Z1025=1),$C$12:C1025)+LOOKUP(,-1/($Z$12:Z1025=1),$H$12:H1025)-IF(AA1024="Да",0,SUM(INDIRECT("T"&amp;(MAX(("Да"=AA$12:AA1024)*ROW(AA$12:AA1024)+1,ROW($T$12))&amp;":T"&amp;(ROW()-1))))),Первоначальный[[#This Row],[Полученный платеж]]+Y1024),
AND(S1024=0,MAX((0&lt;&gt;N$12:N1024)*ROW(N$12:N1024),ROW($S$12))&gt;=MAX((1=Z$12:Z1024)*ROW(Z$12:Z1024),ROW($T$12))),MIN(LOOKUP(,-1/($Z$12:Z1025=1),$C$12:C1025)+LOOKUP(,-1/($Z$12:Z1025=1),$H$12:H1025)-IF(N1024&lt;&gt;0,0,SUM(INDIRECT("T"&amp;(MAX((0&lt;&gt;N$12:N1024)*ROW(N$12:N1024)+1,ROW($T$12))&amp;":T"&amp;(ROW()-1))))),Первоначальный[[#This Row],[Полученный платеж]]+Y1024),
AND(S1024=0,Первоначальный[[#This Row],[Дата платежа из графика]]=1),MIN(LOOKUP(,-1/($Z$12:Z1025=1),$C$12:C1025)+LOOKUP(,-1/($Z$12:Z1025=1),$H$12:H1025)-IF(Z1024=1,0,SUM(INDIRECT("T"&amp;(MAX((1=Z$12:Z1024)*ROW(Z$12:Z1024)+1,ROW($T$12))&amp;":T"&amp;(ROW()-1))))),Первоначальный[[#This Row],[Полученный платеж]]+Y1024),
AND(Z1024&gt;0,Первоначальный[[#This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платеж]]+Y1024),
AND(S1024&gt;0,MAX((0&lt;&gt;S$12:S1024)*ROW(S$12:S1024),ROW($S$12))&gt;=MAX((1=Z$12:Z1024)*ROW(Z$12:Z1024),ROW($T$12)),TYPE(VLOOKUP("Да",(INDIRECT("AA"&amp;(MAX((1=Z$12:Z1024)*ROW(Z$12:Z1024),ROW($T$12))&amp;":AA"&amp;(ROW()-1)))),1,0))=16),MIN(LOOKUP(,-1/($Z$12:Z1025=1),$C$12:C1025)+LOOKUP(,-1/($Z$12:Z1025=1),$H$12:H1025)-SUM(INDIRECT("T"&amp;(MAX((1=Z$12:Z1024)*ROW(Z$12:Z1024),ROW($T$12))&amp;":T"&amp;(ROW()-1)))),Первоначальный[[#This Row],[Полученный платеж]]+Y1024),
S1024&gt;0,MIN(LOOKUP(,-1/($Z$12:Z1025=1),$C$12:C1025)+LOOKUP(,-1/($Z$12:Z1025=1),$H$12:H1025)-IF(Z1024=1,0,SUM(INDIRECT("T"&amp;(MAX((1=Z$12:Z1024)*ROW(Z$12:Z1024)+1,ROW($T$12))&amp;":T"&amp;(ROW()-1))))),Первоначальный[[#This Row],[Полученный платеж]]+Y1024)
)
)
)</f>
        <v>0</v>
      </c>
      <c r="U102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платеж]]+Y1024-Первоначальный[[#This Row],[Полученный платёж по процентам]])</f>
        <v>0</v>
      </c>
      <c r="V1025" s="55">
        <f t="shared" ca="1" si="183"/>
        <v>0</v>
      </c>
      <c r="W1025" s="55" cm="1">
        <f t="array" aca="1" ref="W1025" ca="1">IF(Первоначальный[[#This Row],[Итого остаток на начало периода]]&lt;1,0,
_xlfn.IFS(
AND(TYPE(VLOOKUP(1,$Z$12:Z1025,1,0))=16,Первоначальный[[#This Row],[Досрочное погашение (да/"")]]=""),0,
AND(S1024=0,Первоначальный[[#This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платеж]]+Y1024-SUM(Первоначальный[[#This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комиссиям]]),VLOOKUP(LOOKUP(,-1/($Z$12:Z1025=1),$A$12:A1025),График[[Срок конец]:[Возврат основной суммы долга]],3,0)),
AND(S1024=0,Первоначальный[[#This Row],[Дата платежа из графика]]="",Первоначальный[[#This Row],[Досрочное погашение (да/"")]]&lt;&gt;"Да"),0,
AND(S1024=0,Первоначальный[[#This Row],[Досрочное погашение (да/"")]]=""),MIN(Первоначальный[[#This Row],[Полученный платеж]]+Y1024-SUM(Первоначальный[[#This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комиссиям]]),VLOOKUP(LOOKUP(,-1/($Z$12:Z1025=1),$A$12:A1025),График[[Срок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платеж]]+Y1024-SUM(Первоначальный[[#This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S1024&gt;0,MIN(Первоначальный[[#This Row],[Полученный платеж]]+Y1024-SUM(Первоначальный[[#This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комиссиям]]),SUM(INDIRECT("M"&amp;(MAX((1=S$12:S1024)*ROW(S$12:S1024),ROW($W$12))&amp;":M"&amp;(ROW()))))-SUM(INDIRECT("W"&amp;(MAX((1=S$12:S1024)*ROW(S$12:S1024),ROW($W$12))&amp;":W"&amp;(ROW()-1)))))
)
)</f>
        <v>0</v>
      </c>
      <c r="X1025" s="55">
        <f t="shared" ca="1" si="184"/>
        <v>0</v>
      </c>
      <c r="Y1025" s="101">
        <f t="shared" ca="1" si="191"/>
        <v>0</v>
      </c>
      <c r="Z1025" s="133" t="str">
        <f>IF(TYPE((VLOOKUP(Первоначальный[[#This Row],[Дата платежа]],График[Срок конец],1,0)))=16,"",1)</f>
        <v/>
      </c>
      <c r="AA1025" s="57"/>
      <c r="AB1025" s="134"/>
      <c r="AC102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2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73662.079999999929</v>
      </c>
      <c r="AE102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3907.6799999999989</v>
      </c>
      <c r="AF102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2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209116.64151967166</v>
      </c>
      <c r="AH1025" s="55"/>
      <c r="AI1025" s="55"/>
      <c r="AJ1025" s="55"/>
      <c r="AK1025" s="101">
        <f t="shared" ca="1" si="192"/>
        <v>436319.74151967157</v>
      </c>
      <c r="AL1025" s="129">
        <f t="array" ref="AL1025">MAX((УслРестрактов[Характеристика]="Дата реструктуризации")*(УслРестрактов[Значение]=Первоначальный!$A1025),0)</f>
        <v>0</v>
      </c>
    </row>
    <row r="1026" spans="1:38" x14ac:dyDescent="0.25">
      <c r="A1026" s="97">
        <f t="shared" si="185"/>
        <v>45157</v>
      </c>
      <c r="B1026" s="100">
        <f t="shared" ca="1" si="186"/>
        <v>149633.34</v>
      </c>
      <c r="C1026" s="55">
        <f t="shared" ca="1" si="194"/>
        <v>73662.079999999929</v>
      </c>
      <c r="D1026" s="55">
        <f t="shared" ca="1" si="194"/>
        <v>3907.6799999999989</v>
      </c>
      <c r="E1026" s="55">
        <f t="shared" ca="1" si="187"/>
        <v>0</v>
      </c>
      <c r="F1026" s="55">
        <f t="shared" ca="1" si="188"/>
        <v>209116.64151967166</v>
      </c>
      <c r="G1026" s="101">
        <f t="shared" ca="1" si="189"/>
        <v>436319.74151967157</v>
      </c>
      <c r="H1026" s="100">
        <f ca="1">ROUND($B1026*VLOOKUP($A1026,$A$1:$B$10,2,1)/(365+IF(MOD(YEAR($A1026),4),0,1)*($A1026-$A1025)),2)-Первоначальный[[#This Row],[Проценты на просроченный платеж по ОД за период]]</f>
        <v>72.429999999999993</v>
      </c>
      <c r="I1026" s="55">
        <f t="shared" ca="1" si="190"/>
        <v>9.15</v>
      </c>
      <c r="J1026" s="55">
        <v>0</v>
      </c>
      <c r="K1026" s="55">
        <f t="shared" ca="1" si="193"/>
        <v>448.96850327868839</v>
      </c>
      <c r="L1026" s="55">
        <v>0</v>
      </c>
      <c r="M1026" s="113">
        <f>SUMIFS(График[Возврат основной суммы долга],График[Дата с учетом нерабочих дней],$A1026)</f>
        <v>0</v>
      </c>
      <c r="N1026" s="56">
        <f>SUMIFS(График[Возврат начисленных %],График[Дата с учетом нерабочих дней],$A1026)</f>
        <v>0</v>
      </c>
      <c r="O1026" s="101">
        <v>0</v>
      </c>
      <c r="P1026" s="100" cm="1">
        <f t="array" aca="1" ref="P1026" ca="1">MAX(IF(AA1025="Да",0,SUM(INDIRECT("M"&amp;(MAX(("Да"=AA$12:AA1025)*ROW(AA$12:AA1025)+1,ROW($P$12))&amp;":M"&amp;(ROW()))))-SUM(INDIRECT("W"&amp;(MAX(("Да"=AA$12:AA1025)*ROW(AA$12:AA1025)+1,ROW($P$12))&amp;":W"&amp;(ROW()))))),0)</f>
        <v>16786.23</v>
      </c>
      <c r="Q1026" s="99">
        <f ca="1">MAX(SUM($N$13:N1026)-SUM($T$13:T1026),0)</f>
        <v>73007.470655737678</v>
      </c>
      <c r="R1026" s="99">
        <f ca="1">Первоначальный[[#This Row],[Просроченный платеж по ОД]]+Первоначальный[[#This Row],[Просроченный платеж по процентам]]</f>
        <v>89793.700655737674</v>
      </c>
      <c r="S1026" s="120">
        <f ca="1">IF(Первоначальный[[#This Row],[Просроченный платеж]]&lt;1,0,S1025+1)</f>
        <v>922</v>
      </c>
      <c r="T1026" s="100" cm="1">
        <f t="array" aca="1" ref="T1026" ca="1">IF(Первоначальный[[#This Row],[Итого остаток на начало периода]]&lt;1,0,
IF(
AND(TYPE(VLOOKUP(1,$Z$12:Z1026,1,0))=16,Первоначальный[[#This Row],[Досрочное погашение (да/"")]]=""),0,
_xlfn.IFS(AND(S1025=0,Первоначальный[[#This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платеж]]&lt;&gt;0),MIN(LOOKUP(,-1/($Z$12:Z1026=1),$C$12:C1026)+LOOKUP(,-1/($Z$12:Z1026=1),$H$12:H1026),Первоначальный[[#This Row],[Полученный платеж]]+Y1025),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платеж]]+Y1025,SUM(Первоначальный[[#This Row],[Остаток процентов на начало периода]],Первоначальный[[#This Row],[Проценты за период]])),
AND(S1025=0,Первоначальный[[#This Row],[Дата платежа из графика]]=""),0,
AND(S1025=0,Первоначальный[[#This Row],[Дата платежа из графика]]=1,MAX((0&lt;&gt;S$12:S1025)*ROW(S$12:S1025),ROW($S$12))&gt;=MAX((1=Z$12:Z1025)*ROW(Z$12:Z1025),ROW($T$12)),TYPE(VLOOKUP("Да",(INDIRECT("AA"&amp;(MAX((1=Z$12:Z1025)*ROW(Z$12:Z1025),ROW($T$12))&amp;":AA"&amp;(ROW()-1)))),1,0))=16),MIN(LOOKUP(,-1/($Z$12:Z1026=1),$C$12:C1026)+LOOKUP(,-1/($Z$12:Z1026=1),$H$12:H1026),Первоначальный[[#This Row],[Полученный платеж]]+Y1025),
AND(S1025=0,TYPE(VLOOKUP("Да",(INDIRECT("AA"&amp;(MAX((1=Z$12:Z1025)*ROW(Z$12:Z1025),ROW($T$12))&amp;":AA"&amp;(ROW()-1)))),1,0))&lt;&gt;16),MIN(LOOKUP(,-1/($Z$12:Z1026=1),$C$12:C1026)+LOOKUP(,-1/($Z$12:Z1026=1),$H$12:H1026)-IF(AA1025="Да",0,SUM(INDIRECT("T"&amp;(MAX(("Да"=AA$12:AA1025)*ROW(AA$12:AA1025)+1,ROW($T$12))&amp;":T"&amp;(ROW()-1))))),Первоначальный[[#This Row],[Полученный платеж]]+Y1025),
AND(S1025=0,MAX((0&lt;&gt;N$12:N1025)*ROW(N$12:N1025),ROW($S$12))&gt;=MAX((1=Z$12:Z1025)*ROW(Z$12:Z1025),ROW($T$12))),MIN(LOOKUP(,-1/($Z$12:Z1026=1),$C$12:C1026)+LOOKUP(,-1/($Z$12:Z1026=1),$H$12:H1026)-IF(N1025&lt;&gt;0,0,SUM(INDIRECT("T"&amp;(MAX((0&lt;&gt;N$12:N1025)*ROW(N$12:N1025)+1,ROW($T$12))&amp;":T"&amp;(ROW()-1))))),Первоначальный[[#This Row],[Полученный платеж]]+Y1025),
AND(S1025=0,Первоначальный[[#This Row],[Дата платежа из графика]]=1),MIN(LOOKUP(,-1/($Z$12:Z1026=1),$C$12:C1026)+LOOKUP(,-1/($Z$12:Z1026=1),$H$12:H1026)-IF(Z1025=1,0,SUM(INDIRECT("T"&amp;(MAX((1=Z$12:Z1025)*ROW(Z$12:Z1025)+1,ROW($T$12))&amp;":T"&amp;(ROW()-1))))),Первоначальный[[#This Row],[Полученный платеж]]+Y1025),
AND(Z1025&gt;0,Первоначальный[[#This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платеж]]+Y1025),
AND(S1025&gt;0,MAX((0&lt;&gt;S$12:S1025)*ROW(S$12:S1025),ROW($S$12))&gt;=MAX((1=Z$12:Z1025)*ROW(Z$12:Z1025),ROW($T$12)),TYPE(VLOOKUP("Да",(INDIRECT("AA"&amp;(MAX((1=Z$12:Z1025)*ROW(Z$12:Z1025),ROW($T$12))&amp;":AA"&amp;(ROW()-1)))),1,0))=16),MIN(LOOKUP(,-1/($Z$12:Z1026=1),$C$12:C1026)+LOOKUP(,-1/($Z$12:Z1026=1),$H$12:H1026)-SUM(INDIRECT("T"&amp;(MAX((1=Z$12:Z1025)*ROW(Z$12:Z1025),ROW($T$12))&amp;":T"&amp;(ROW()-1)))),Первоначальный[[#This Row],[Полученный платеж]]+Y1025),
S1025&gt;0,MIN(LOOKUP(,-1/($Z$12:Z1026=1),$C$12:C1026)+LOOKUP(,-1/($Z$12:Z1026=1),$H$12:H1026)-IF(Z1025=1,0,SUM(INDIRECT("T"&amp;(MAX((1=Z$12:Z1025)*ROW(Z$12:Z1025)+1,ROW($T$12))&amp;":T"&amp;(ROW()-1))))),Первоначальный[[#This Row],[Полученный платеж]]+Y1025)
)
)
)</f>
        <v>0</v>
      </c>
      <c r="U102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платеж]]+Y1025-Первоначальный[[#This Row],[Полученный платёж по процентам]])</f>
        <v>0</v>
      </c>
      <c r="V1026" s="55">
        <f t="shared" ca="1" si="183"/>
        <v>0</v>
      </c>
      <c r="W1026" s="55" cm="1">
        <f t="array" aca="1" ref="W1026" ca="1">IF(Первоначальный[[#This Row],[Итого остаток на начало периода]]&lt;1,0,
_xlfn.IFS(
AND(TYPE(VLOOKUP(1,$Z$12:Z1026,1,0))=16,Первоначальный[[#This Row],[Досрочное погашение (да/"")]]=""),0,
AND(S1025=0,Первоначальный[[#This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платеж]]+Y1025-SUM(Первоначальный[[#This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комиссиям]]),VLOOKUP(LOOKUP(,-1/($Z$12:Z1026=1),$A$12:A1026),График[[Срок конец]:[Возврат основной суммы долга]],3,0)),
AND(S1025=0,Первоначальный[[#This Row],[Дата платежа из графика]]="",Первоначальный[[#This Row],[Досрочное погашение (да/"")]]&lt;&gt;"Да"),0,
AND(S1025=0,Первоначальный[[#This Row],[Досрочное погашение (да/"")]]=""),MIN(Первоначальный[[#This Row],[Полученный платеж]]+Y1025-SUM(Первоначальный[[#This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комиссиям]]),VLOOKUP(LOOKUP(,-1/($Z$12:Z1026=1),$A$12:A1026),График[[Срок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платеж]]+Y1025-SUM(Первоначальный[[#This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S1025&gt;0,MIN(Первоначальный[[#This Row],[Полученный платеж]]+Y1025-SUM(Первоначальный[[#This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комиссиям]]),SUM(INDIRECT("M"&amp;(MAX((1=S$12:S1025)*ROW(S$12:S1025),ROW($W$12))&amp;":M"&amp;(ROW()))))-SUM(INDIRECT("W"&amp;(MAX((1=S$12:S1025)*ROW(S$12:S1025),ROW($W$12))&amp;":W"&amp;(ROW()-1)))))
)
)</f>
        <v>0</v>
      </c>
      <c r="X1026" s="55">
        <f t="shared" ca="1" si="184"/>
        <v>0</v>
      </c>
      <c r="Y1026" s="101">
        <f t="shared" ca="1" si="191"/>
        <v>0</v>
      </c>
      <c r="Z1026" s="133" t="str">
        <f>IF(TYPE((VLOOKUP(Первоначальный[[#This Row],[Дата платежа]],График[Срок конец],1,0)))=16,"",1)</f>
        <v/>
      </c>
      <c r="AA1026" s="57"/>
      <c r="AB1026" s="134"/>
      <c r="AC102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2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73734.509999999922</v>
      </c>
      <c r="AE102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3916.829999999999</v>
      </c>
      <c r="AF102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2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209565.61002295034</v>
      </c>
      <c r="AH1026" s="55"/>
      <c r="AI1026" s="55"/>
      <c r="AJ1026" s="55"/>
      <c r="AK1026" s="101">
        <f t="shared" ca="1" si="192"/>
        <v>436850.29002295027</v>
      </c>
      <c r="AL1026" s="129">
        <f t="array" ref="AL1026">MAX((УслРестрактов[Характеристика]="Дата реструктуризации")*(УслРестрактов[Значение]=Первоначальный!$A1026),0)</f>
        <v>0</v>
      </c>
    </row>
    <row r="1027" spans="1:38" x14ac:dyDescent="0.25">
      <c r="A1027" s="97">
        <f t="shared" si="185"/>
        <v>45158</v>
      </c>
      <c r="B1027" s="100">
        <f t="shared" ca="1" si="186"/>
        <v>149633.34</v>
      </c>
      <c r="C1027" s="55">
        <f t="shared" ca="1" si="194"/>
        <v>73734.509999999922</v>
      </c>
      <c r="D1027" s="55">
        <f t="shared" ca="1" si="194"/>
        <v>3916.829999999999</v>
      </c>
      <c r="E1027" s="55">
        <f t="shared" ca="1" si="187"/>
        <v>0</v>
      </c>
      <c r="F1027" s="55">
        <f t="shared" ca="1" si="188"/>
        <v>209565.61002295034</v>
      </c>
      <c r="G1027" s="101">
        <f t="shared" ca="1" si="189"/>
        <v>436850.29002295027</v>
      </c>
      <c r="H1027" s="100">
        <f ca="1">ROUND($B1027*VLOOKUP($A1027,$A$1:$B$10,2,1)/(365+IF(MOD(YEAR($A1027),4),0,1)*($A1027-$A1026)),2)-Первоначальный[[#This Row],[Проценты на просроченный платеж по ОД за период]]</f>
        <v>72.429999999999993</v>
      </c>
      <c r="I1027" s="55">
        <f t="shared" ca="1" si="190"/>
        <v>9.15</v>
      </c>
      <c r="J1027" s="55">
        <v>0</v>
      </c>
      <c r="K1027" s="55">
        <f t="shared" ca="1" si="193"/>
        <v>448.96850327868839</v>
      </c>
      <c r="L1027" s="55">
        <v>0</v>
      </c>
      <c r="M1027" s="113">
        <f>SUMIFS(График[Возврат основной суммы долга],График[Дата с учетом нерабочих дней],$A1027)</f>
        <v>0</v>
      </c>
      <c r="N1027" s="56">
        <f>SUMIFS(График[Возврат начисленных %],График[Дата с учетом нерабочих дней],$A1027)</f>
        <v>0</v>
      </c>
      <c r="O1027" s="101">
        <v>0</v>
      </c>
      <c r="P1027" s="100" cm="1">
        <f t="array" aca="1" ref="P1027" ca="1">MAX(IF(AA1026="Да",0,SUM(INDIRECT("M"&amp;(MAX(("Да"=AA$12:AA1026)*ROW(AA$12:AA1026)+1,ROW($P$12))&amp;":M"&amp;(ROW()))))-SUM(INDIRECT("W"&amp;(MAX(("Да"=AA$12:AA1026)*ROW(AA$12:AA1026)+1,ROW($P$12))&amp;":W"&amp;(ROW()))))),0)</f>
        <v>16786.23</v>
      </c>
      <c r="Q1027" s="99">
        <f ca="1">MAX(SUM($N$13:N1027)-SUM($T$13:T1027),0)</f>
        <v>73007.470655737678</v>
      </c>
      <c r="R1027" s="99">
        <f ca="1">Первоначальный[[#This Row],[Просроченный платеж по ОД]]+Первоначальный[[#This Row],[Просроченный платеж по процентам]]</f>
        <v>89793.700655737674</v>
      </c>
      <c r="S1027" s="120">
        <f ca="1">IF(Первоначальный[[#This Row],[Просроченный платеж]]&lt;1,0,S1026+1)</f>
        <v>923</v>
      </c>
      <c r="T1027" s="100" cm="1">
        <f t="array" aca="1" ref="T1027" ca="1">IF(Первоначальный[[#This Row],[Итого остаток на начало периода]]&lt;1,0,
IF(
AND(TYPE(VLOOKUP(1,$Z$12:Z1027,1,0))=16,Первоначальный[[#This Row],[Досрочное погашение (да/"")]]=""),0,
_xlfn.IFS(AND(S1026=0,Первоначальный[[#This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платеж]]&lt;&gt;0),MIN(LOOKUP(,-1/($Z$12:Z1027=1),$C$12:C1027)+LOOKUP(,-1/($Z$12:Z1027=1),$H$12:H1027),Первоначальный[[#This Row],[Полученный платеж]]+Y1026),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платеж]]+Y1026,SUM(Первоначальный[[#This Row],[Остаток процентов на начало периода]],Первоначальный[[#This Row],[Проценты за период]])),
AND(S1026=0,Первоначальный[[#This Row],[Дата платежа из графика]]=""),0,
AND(S1026=0,Первоначальный[[#This Row],[Дата платежа из графика]]=1,MAX((0&lt;&gt;S$12:S1026)*ROW(S$12:S1026),ROW($S$12))&gt;=MAX((1=Z$12:Z1026)*ROW(Z$12:Z1026),ROW($T$12)),TYPE(VLOOKUP("Да",(INDIRECT("AA"&amp;(MAX((1=Z$12:Z1026)*ROW(Z$12:Z1026),ROW($T$12))&amp;":AA"&amp;(ROW()-1)))),1,0))=16),MIN(LOOKUP(,-1/($Z$12:Z1027=1),$C$12:C1027)+LOOKUP(,-1/($Z$12:Z1027=1),$H$12:H1027),Первоначальный[[#This Row],[Полученный платеж]]+Y1026),
AND(S1026=0,TYPE(VLOOKUP("Да",(INDIRECT("AA"&amp;(MAX((1=Z$12:Z1026)*ROW(Z$12:Z1026),ROW($T$12))&amp;":AA"&amp;(ROW()-1)))),1,0))&lt;&gt;16),MIN(LOOKUP(,-1/($Z$12:Z1027=1),$C$12:C1027)+LOOKUP(,-1/($Z$12:Z1027=1),$H$12:H1027)-IF(AA1026="Да",0,SUM(INDIRECT("T"&amp;(MAX(("Да"=AA$12:AA1026)*ROW(AA$12:AA1026)+1,ROW($T$12))&amp;":T"&amp;(ROW()-1))))),Первоначальный[[#This Row],[Полученный платеж]]+Y1026),
AND(S1026=0,MAX((0&lt;&gt;N$12:N1026)*ROW(N$12:N1026),ROW($S$12))&gt;=MAX((1=Z$12:Z1026)*ROW(Z$12:Z1026),ROW($T$12))),MIN(LOOKUP(,-1/($Z$12:Z1027=1),$C$12:C1027)+LOOKUP(,-1/($Z$12:Z1027=1),$H$12:H1027)-IF(N1026&lt;&gt;0,0,SUM(INDIRECT("T"&amp;(MAX((0&lt;&gt;N$12:N1026)*ROW(N$12:N1026)+1,ROW($T$12))&amp;":T"&amp;(ROW()-1))))),Первоначальный[[#This Row],[Полученный платеж]]+Y1026),
AND(S1026=0,Первоначальный[[#This Row],[Дата платежа из графика]]=1),MIN(LOOKUP(,-1/($Z$12:Z1027=1),$C$12:C1027)+LOOKUP(,-1/($Z$12:Z1027=1),$H$12:H1027)-IF(Z1026=1,0,SUM(INDIRECT("T"&amp;(MAX((1=Z$12:Z1026)*ROW(Z$12:Z1026)+1,ROW($T$12))&amp;":T"&amp;(ROW()-1))))),Первоначальный[[#This Row],[Полученный платеж]]+Y1026),
AND(Z1026&gt;0,Первоначальный[[#This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платеж]]+Y1026),
AND(S1026&gt;0,MAX((0&lt;&gt;S$12:S1026)*ROW(S$12:S1026),ROW($S$12))&gt;=MAX((1=Z$12:Z1026)*ROW(Z$12:Z1026),ROW($T$12)),TYPE(VLOOKUP("Да",(INDIRECT("AA"&amp;(MAX((1=Z$12:Z1026)*ROW(Z$12:Z1026),ROW($T$12))&amp;":AA"&amp;(ROW()-1)))),1,0))=16),MIN(LOOKUP(,-1/($Z$12:Z1027=1),$C$12:C1027)+LOOKUP(,-1/($Z$12:Z1027=1),$H$12:H1027)-SUM(INDIRECT("T"&amp;(MAX((1=Z$12:Z1026)*ROW(Z$12:Z1026),ROW($T$12))&amp;":T"&amp;(ROW()-1)))),Первоначальный[[#This Row],[Полученный платеж]]+Y1026),
S1026&gt;0,MIN(LOOKUP(,-1/($Z$12:Z1027=1),$C$12:C1027)+LOOKUP(,-1/($Z$12:Z1027=1),$H$12:H1027)-IF(Z1026=1,0,SUM(INDIRECT("T"&amp;(MAX((1=Z$12:Z1026)*ROW(Z$12:Z1026)+1,ROW($T$12))&amp;":T"&amp;(ROW()-1))))),Первоначальный[[#This Row],[Полученный платеж]]+Y1026)
)
)
)</f>
        <v>0</v>
      </c>
      <c r="U102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платеж]]+Y1026-Первоначальный[[#This Row],[Полученный платёж по процентам]])</f>
        <v>0</v>
      </c>
      <c r="V1027" s="55">
        <f t="shared" ca="1" si="183"/>
        <v>0</v>
      </c>
      <c r="W1027" s="55" cm="1">
        <f t="array" aca="1" ref="W1027" ca="1">IF(Первоначальный[[#This Row],[Итого остаток на начало периода]]&lt;1,0,
_xlfn.IFS(
AND(TYPE(VLOOKUP(1,$Z$12:Z1027,1,0))=16,Первоначальный[[#This Row],[Досрочное погашение (да/"")]]=""),0,
AND(S1026=0,Первоначальный[[#This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платеж]]+Y1026-SUM(Первоначальный[[#This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комиссиям]]),VLOOKUP(LOOKUP(,-1/($Z$12:Z1027=1),$A$12:A1027),График[[Срок конец]:[Возврат основной суммы долга]],3,0)),
AND(S1026=0,Первоначальный[[#This Row],[Дата платежа из графика]]="",Первоначальный[[#This Row],[Досрочное погашение (да/"")]]&lt;&gt;"Да"),0,
AND(S1026=0,Первоначальный[[#This Row],[Досрочное погашение (да/"")]]=""),MIN(Первоначальный[[#This Row],[Полученный платеж]]+Y1026-SUM(Первоначальный[[#This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комиссиям]]),VLOOKUP(LOOKUP(,-1/($Z$12:Z1027=1),$A$12:A1027),График[[Срок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платеж]]+Y1026-SUM(Первоначальный[[#This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S1026&gt;0,MIN(Первоначальный[[#This Row],[Полученный платеж]]+Y1026-SUM(Первоначальный[[#This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комиссиям]]),SUM(INDIRECT("M"&amp;(MAX((1=S$12:S1026)*ROW(S$12:S1026),ROW($W$12))&amp;":M"&amp;(ROW()))))-SUM(INDIRECT("W"&amp;(MAX((1=S$12:S1026)*ROW(S$12:S1026),ROW($W$12))&amp;":W"&amp;(ROW()-1)))))
)
)</f>
        <v>0</v>
      </c>
      <c r="X1027" s="55">
        <f t="shared" ca="1" si="184"/>
        <v>0</v>
      </c>
      <c r="Y1027" s="101">
        <f t="shared" ca="1" si="191"/>
        <v>0</v>
      </c>
      <c r="Z1027" s="133" t="str">
        <f>IF(TYPE((VLOOKUP(Первоначальный[[#This Row],[Дата платежа]],График[Срок конец],1,0)))=16,"",1)</f>
        <v/>
      </c>
      <c r="AA1027" s="57"/>
      <c r="AB1027" s="134"/>
      <c r="AC102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2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73806.939999999915</v>
      </c>
      <c r="AE102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3925.9799999999991</v>
      </c>
      <c r="AF102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2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210014.57852622902</v>
      </c>
      <c r="AH1027" s="55"/>
      <c r="AI1027" s="55"/>
      <c r="AJ1027" s="55"/>
      <c r="AK1027" s="101">
        <f t="shared" ca="1" si="192"/>
        <v>437380.83852622891</v>
      </c>
      <c r="AL1027" s="129">
        <f t="array" ref="AL1027">MAX((УслРестрактов[Характеристика]="Дата реструктуризации")*(УслРестрактов[Значение]=Первоначальный!$A1027),0)</f>
        <v>0</v>
      </c>
    </row>
    <row r="1028" spans="1:38" x14ac:dyDescent="0.25">
      <c r="A1028" s="97">
        <f t="shared" si="185"/>
        <v>45159</v>
      </c>
      <c r="B1028" s="100">
        <f t="shared" ca="1" si="186"/>
        <v>149633.34</v>
      </c>
      <c r="C1028" s="55">
        <f t="shared" ca="1" si="194"/>
        <v>73806.939999999915</v>
      </c>
      <c r="D1028" s="55">
        <f t="shared" ca="1" si="194"/>
        <v>3925.9799999999991</v>
      </c>
      <c r="E1028" s="55">
        <f t="shared" ca="1" si="187"/>
        <v>0</v>
      </c>
      <c r="F1028" s="55">
        <f t="shared" ca="1" si="188"/>
        <v>210014.57852622902</v>
      </c>
      <c r="G1028" s="101">
        <f t="shared" ca="1" si="189"/>
        <v>437380.83852622891</v>
      </c>
      <c r="H1028" s="100">
        <f ca="1">ROUND($B1028*VLOOKUP($A1028,$A$1:$B$10,2,1)/(365+IF(MOD(YEAR($A1028),4),0,1)*($A1028-$A1027)),2)-Первоначальный[[#This Row],[Проценты на просроченный платеж по ОД за период]]</f>
        <v>72.429999999999993</v>
      </c>
      <c r="I1028" s="55">
        <f t="shared" ca="1" si="190"/>
        <v>9.15</v>
      </c>
      <c r="J1028" s="55">
        <v>0</v>
      </c>
      <c r="K1028" s="55">
        <f t="shared" ca="1" si="193"/>
        <v>448.96850327868839</v>
      </c>
      <c r="L1028" s="55">
        <v>0</v>
      </c>
      <c r="M1028" s="113">
        <f>SUMIFS(График[Возврат основной суммы долга],График[Дата с учетом нерабочих дней],$A1028)</f>
        <v>0</v>
      </c>
      <c r="N1028" s="56">
        <f>SUMIFS(График[Возврат начисленных %],График[Дата с учетом нерабочих дней],$A1028)</f>
        <v>0</v>
      </c>
      <c r="O1028" s="101">
        <v>0</v>
      </c>
      <c r="P1028" s="100" cm="1">
        <f t="array" aca="1" ref="P1028" ca="1">MAX(IF(AA1027="Да",0,SUM(INDIRECT("M"&amp;(MAX(("Да"=AA$12:AA1027)*ROW(AA$12:AA1027)+1,ROW($P$12))&amp;":M"&amp;(ROW()))))-SUM(INDIRECT("W"&amp;(MAX(("Да"=AA$12:AA1027)*ROW(AA$12:AA1027)+1,ROW($P$12))&amp;":W"&amp;(ROW()))))),0)</f>
        <v>16786.23</v>
      </c>
      <c r="Q1028" s="99">
        <f ca="1">MAX(SUM($N$13:N1028)-SUM($T$13:T1028),0)</f>
        <v>73007.470655737678</v>
      </c>
      <c r="R1028" s="99">
        <f ca="1">Первоначальный[[#This Row],[Просроченный платеж по ОД]]+Первоначальный[[#This Row],[Просроченный платеж по процентам]]</f>
        <v>89793.700655737674</v>
      </c>
      <c r="S1028" s="120">
        <f ca="1">IF(Первоначальный[[#This Row],[Просроченный платеж]]&lt;1,0,S1027+1)</f>
        <v>924</v>
      </c>
      <c r="T1028" s="100" cm="1">
        <f t="array" aca="1" ref="T1028" ca="1">IF(Первоначальный[[#This Row],[Итого остаток на начало периода]]&lt;1,0,
IF(
AND(TYPE(VLOOKUP(1,$Z$12:Z1028,1,0))=16,Первоначальный[[#This Row],[Досрочное погашение (да/"")]]=""),0,
_xlfn.IFS(AND(S1027=0,Первоначальный[[#This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платеж]]&lt;&gt;0),MIN(LOOKUP(,-1/($Z$12:Z1028=1),$C$12:C1028)+LOOKUP(,-1/($Z$12:Z1028=1),$H$12:H1028),Первоначальный[[#This Row],[Полученный платеж]]+Y1027),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платеж]]+Y1027,SUM(Первоначальный[[#This Row],[Остаток процентов на начало периода]],Первоначальный[[#This Row],[Проценты за период]])),
AND(S1027=0,Первоначальный[[#This Row],[Дата платежа из графика]]=""),0,
AND(S1027=0,Первоначальный[[#This Row],[Дата платежа из графика]]=1,MAX((0&lt;&gt;S$12:S1027)*ROW(S$12:S1027),ROW($S$12))&gt;=MAX((1=Z$12:Z1027)*ROW(Z$12:Z1027),ROW($T$12)),TYPE(VLOOKUP("Да",(INDIRECT("AA"&amp;(MAX((1=Z$12:Z1027)*ROW(Z$12:Z1027),ROW($T$12))&amp;":AA"&amp;(ROW()-1)))),1,0))=16),MIN(LOOKUP(,-1/($Z$12:Z1028=1),$C$12:C1028)+LOOKUP(,-1/($Z$12:Z1028=1),$H$12:H1028),Первоначальный[[#This Row],[Полученный платеж]]+Y1027),
AND(S1027=0,TYPE(VLOOKUP("Да",(INDIRECT("AA"&amp;(MAX((1=Z$12:Z1027)*ROW(Z$12:Z1027),ROW($T$12))&amp;":AA"&amp;(ROW()-1)))),1,0))&lt;&gt;16),MIN(LOOKUP(,-1/($Z$12:Z1028=1),$C$12:C1028)+LOOKUP(,-1/($Z$12:Z1028=1),$H$12:H1028)-IF(AA1027="Да",0,SUM(INDIRECT("T"&amp;(MAX(("Да"=AA$12:AA1027)*ROW(AA$12:AA1027)+1,ROW($T$12))&amp;":T"&amp;(ROW()-1))))),Первоначальный[[#This Row],[Полученный платеж]]+Y1027),
AND(S1027=0,MAX((0&lt;&gt;N$12:N1027)*ROW(N$12:N1027),ROW($S$12))&gt;=MAX((1=Z$12:Z1027)*ROW(Z$12:Z1027),ROW($T$12))),MIN(LOOKUP(,-1/($Z$12:Z1028=1),$C$12:C1028)+LOOKUP(,-1/($Z$12:Z1028=1),$H$12:H1028)-IF(N1027&lt;&gt;0,0,SUM(INDIRECT("T"&amp;(MAX((0&lt;&gt;N$12:N1027)*ROW(N$12:N1027)+1,ROW($T$12))&amp;":T"&amp;(ROW()-1))))),Первоначальный[[#This Row],[Полученный платеж]]+Y1027),
AND(S1027=0,Первоначальный[[#This Row],[Дата платежа из графика]]=1),MIN(LOOKUP(,-1/($Z$12:Z1028=1),$C$12:C1028)+LOOKUP(,-1/($Z$12:Z1028=1),$H$12:H1028)-IF(Z1027=1,0,SUM(INDIRECT("T"&amp;(MAX((1=Z$12:Z1027)*ROW(Z$12:Z1027)+1,ROW($T$12))&amp;":T"&amp;(ROW()-1))))),Первоначальный[[#This Row],[Полученный платеж]]+Y1027),
AND(Z1027&gt;0,Первоначальный[[#This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платеж]]+Y1027),
AND(S1027&gt;0,MAX((0&lt;&gt;S$12:S1027)*ROW(S$12:S1027),ROW($S$12))&gt;=MAX((1=Z$12:Z1027)*ROW(Z$12:Z1027),ROW($T$12)),TYPE(VLOOKUP("Да",(INDIRECT("AA"&amp;(MAX((1=Z$12:Z1027)*ROW(Z$12:Z1027),ROW($T$12))&amp;":AA"&amp;(ROW()-1)))),1,0))=16),MIN(LOOKUP(,-1/($Z$12:Z1028=1),$C$12:C1028)+LOOKUP(,-1/($Z$12:Z1028=1),$H$12:H1028)-SUM(INDIRECT("T"&amp;(MAX((1=Z$12:Z1027)*ROW(Z$12:Z1027),ROW($T$12))&amp;":T"&amp;(ROW()-1)))),Первоначальный[[#This Row],[Полученный платеж]]+Y1027),
S1027&gt;0,MIN(LOOKUP(,-1/($Z$12:Z1028=1),$C$12:C1028)+LOOKUP(,-1/($Z$12:Z1028=1),$H$12:H1028)-IF(Z1027=1,0,SUM(INDIRECT("T"&amp;(MAX((1=Z$12:Z1027)*ROW(Z$12:Z1027)+1,ROW($T$12))&amp;":T"&amp;(ROW()-1))))),Первоначальный[[#This Row],[Полученный платеж]]+Y1027)
)
)
)</f>
        <v>0</v>
      </c>
      <c r="U102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платеж]]+Y1027-Первоначальный[[#This Row],[Полученный платёж по процентам]])</f>
        <v>0</v>
      </c>
      <c r="V1028" s="55">
        <f t="shared" ca="1" si="183"/>
        <v>0</v>
      </c>
      <c r="W1028" s="55" cm="1">
        <f t="array" aca="1" ref="W1028" ca="1">IF(Первоначальный[[#This Row],[Итого остаток на начало периода]]&lt;1,0,
_xlfn.IFS(
AND(TYPE(VLOOKUP(1,$Z$12:Z1028,1,0))=16,Первоначальный[[#This Row],[Досрочное погашение (да/"")]]=""),0,
AND(S1027=0,Первоначальный[[#This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платеж]]+Y1027-SUM(Первоначальный[[#This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комиссиям]]),VLOOKUP(LOOKUP(,-1/($Z$12:Z1028=1),$A$12:A1028),График[[Срок конец]:[Возврат основной суммы долга]],3,0)),
AND(S1027=0,Первоначальный[[#This Row],[Дата платежа из графика]]="",Первоначальный[[#This Row],[Досрочное погашение (да/"")]]&lt;&gt;"Да"),0,
AND(S1027=0,Первоначальный[[#This Row],[Досрочное погашение (да/"")]]=""),MIN(Первоначальный[[#This Row],[Полученный платеж]]+Y1027-SUM(Первоначальный[[#This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комиссиям]]),VLOOKUP(LOOKUP(,-1/($Z$12:Z1028=1),$A$12:A1028),График[[Срок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платеж]]+Y1027-SUM(Первоначальный[[#This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S1027&gt;0,MIN(Первоначальный[[#This Row],[Полученный платеж]]+Y1027-SUM(Первоначальный[[#This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комиссиям]]),SUM(INDIRECT("M"&amp;(MAX((1=S$12:S1027)*ROW(S$12:S1027),ROW($W$12))&amp;":M"&amp;(ROW()))))-SUM(INDIRECT("W"&amp;(MAX((1=S$12:S1027)*ROW(S$12:S1027),ROW($W$12))&amp;":W"&amp;(ROW()-1)))))
)
)</f>
        <v>0</v>
      </c>
      <c r="X1028" s="55">
        <f t="shared" ca="1" si="184"/>
        <v>0</v>
      </c>
      <c r="Y1028" s="101">
        <f t="shared" ca="1" si="191"/>
        <v>0</v>
      </c>
      <c r="Z1028" s="133" t="str">
        <f>IF(TYPE((VLOOKUP(Первоначальный[[#This Row],[Дата платежа]],График[Срок конец],1,0)))=16,"",1)</f>
        <v/>
      </c>
      <c r="AA1028" s="57"/>
      <c r="AB1028" s="134"/>
      <c r="AC102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2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73879.369999999908</v>
      </c>
      <c r="AE102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3935.1299999999992</v>
      </c>
      <c r="AF102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2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210463.5470295077</v>
      </c>
      <c r="AH1028" s="55"/>
      <c r="AI1028" s="55"/>
      <c r="AJ1028" s="55"/>
      <c r="AK1028" s="101">
        <f t="shared" ca="1" si="192"/>
        <v>437911.3870295076</v>
      </c>
      <c r="AL1028" s="129">
        <f t="array" ref="AL1028">MAX((УслРестрактов[Характеристика]="Дата реструктуризации")*(УслРестрактов[Значение]=Первоначальный!$A1028),0)</f>
        <v>0</v>
      </c>
    </row>
    <row r="1029" spans="1:38" x14ac:dyDescent="0.25">
      <c r="A1029" s="97">
        <f t="shared" si="185"/>
        <v>45160</v>
      </c>
      <c r="B1029" s="100">
        <f t="shared" ca="1" si="186"/>
        <v>149633.34</v>
      </c>
      <c r="C1029" s="55">
        <f t="shared" ca="1" si="194"/>
        <v>73879.369999999908</v>
      </c>
      <c r="D1029" s="55">
        <f t="shared" ca="1" si="194"/>
        <v>3935.1299999999992</v>
      </c>
      <c r="E1029" s="55">
        <f t="shared" ca="1" si="187"/>
        <v>0</v>
      </c>
      <c r="F1029" s="55">
        <f t="shared" ca="1" si="188"/>
        <v>210463.5470295077</v>
      </c>
      <c r="G1029" s="101">
        <f t="shared" ca="1" si="189"/>
        <v>437911.3870295076</v>
      </c>
      <c r="H1029" s="100">
        <f ca="1">ROUND($B1029*VLOOKUP($A1029,$A$1:$B$10,2,1)/(365+IF(MOD(YEAR($A1029),4),0,1)*($A1029-$A1028)),2)-Первоначальный[[#This Row],[Проценты на просроченный платеж по ОД за период]]</f>
        <v>72.429999999999993</v>
      </c>
      <c r="I1029" s="55">
        <f t="shared" ca="1" si="190"/>
        <v>9.15</v>
      </c>
      <c r="J1029" s="55">
        <v>0</v>
      </c>
      <c r="K1029" s="55">
        <f t="shared" ca="1" si="193"/>
        <v>448.96850327868839</v>
      </c>
      <c r="L1029" s="55">
        <v>0</v>
      </c>
      <c r="M1029" s="113">
        <f>SUMIFS(График[Возврат основной суммы долга],График[Дата с учетом нерабочих дней],$A1029)</f>
        <v>0</v>
      </c>
      <c r="N1029" s="56">
        <f>SUMIFS(График[Возврат начисленных %],График[Дата с учетом нерабочих дней],$A1029)</f>
        <v>0</v>
      </c>
      <c r="O1029" s="101">
        <v>0</v>
      </c>
      <c r="P1029" s="100" cm="1">
        <f t="array" aca="1" ref="P1029" ca="1">MAX(IF(AA1028="Да",0,SUM(INDIRECT("M"&amp;(MAX(("Да"=AA$12:AA1028)*ROW(AA$12:AA1028)+1,ROW($P$12))&amp;":M"&amp;(ROW()))))-SUM(INDIRECT("W"&amp;(MAX(("Да"=AA$12:AA1028)*ROW(AA$12:AA1028)+1,ROW($P$12))&amp;":W"&amp;(ROW()))))),0)</f>
        <v>16786.23</v>
      </c>
      <c r="Q1029" s="99">
        <f ca="1">MAX(SUM($N$13:N1029)-SUM($T$13:T1029),0)</f>
        <v>73007.470655737678</v>
      </c>
      <c r="R1029" s="99">
        <f ca="1">Первоначальный[[#This Row],[Просроченный платеж по ОД]]+Первоначальный[[#This Row],[Просроченный платеж по процентам]]</f>
        <v>89793.700655737674</v>
      </c>
      <c r="S1029" s="120">
        <f ca="1">IF(Первоначальный[[#This Row],[Просроченный платеж]]&lt;1,0,S1028+1)</f>
        <v>925</v>
      </c>
      <c r="T1029" s="100" cm="1">
        <f t="array" aca="1" ref="T1029" ca="1">IF(Первоначальный[[#This Row],[Итого остаток на начало периода]]&lt;1,0,
IF(
AND(TYPE(VLOOKUP(1,$Z$12:Z1029,1,0))=16,Первоначальный[[#This Row],[Досрочное погашение (да/"")]]=""),0,
_xlfn.IFS(AND(S1028=0,Первоначальный[[#This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платеж]]&lt;&gt;0),MIN(LOOKUP(,-1/($Z$12:Z1029=1),$C$12:C1029)+LOOKUP(,-1/($Z$12:Z1029=1),$H$12:H1029),Первоначальный[[#This Row],[Полученный платеж]]+Y1028),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платеж]]+Y1028,SUM(Первоначальный[[#This Row],[Остаток процентов на начало периода]],Первоначальный[[#This Row],[Проценты за период]])),
AND(S1028=0,Первоначальный[[#This Row],[Дата платежа из графика]]=""),0,
AND(S1028=0,Первоначальный[[#This Row],[Дата платежа из графика]]=1,MAX((0&lt;&gt;S$12:S1028)*ROW(S$12:S1028),ROW($S$12))&gt;=MAX((1=Z$12:Z1028)*ROW(Z$12:Z1028),ROW($T$12)),TYPE(VLOOKUP("Да",(INDIRECT("AA"&amp;(MAX((1=Z$12:Z1028)*ROW(Z$12:Z1028),ROW($T$12))&amp;":AA"&amp;(ROW()-1)))),1,0))=16),MIN(LOOKUP(,-1/($Z$12:Z1029=1),$C$12:C1029)+LOOKUP(,-1/($Z$12:Z1029=1),$H$12:H1029),Первоначальный[[#This Row],[Полученный платеж]]+Y1028),
AND(S1028=0,TYPE(VLOOKUP("Да",(INDIRECT("AA"&amp;(MAX((1=Z$12:Z1028)*ROW(Z$12:Z1028),ROW($T$12))&amp;":AA"&amp;(ROW()-1)))),1,0))&lt;&gt;16),MIN(LOOKUP(,-1/($Z$12:Z1029=1),$C$12:C1029)+LOOKUP(,-1/($Z$12:Z1029=1),$H$12:H1029)-IF(AA1028="Да",0,SUM(INDIRECT("T"&amp;(MAX(("Да"=AA$12:AA1028)*ROW(AA$12:AA1028)+1,ROW($T$12))&amp;":T"&amp;(ROW()-1))))),Первоначальный[[#This Row],[Полученный платеж]]+Y1028),
AND(S1028=0,MAX((0&lt;&gt;N$12:N1028)*ROW(N$12:N1028),ROW($S$12))&gt;=MAX((1=Z$12:Z1028)*ROW(Z$12:Z1028),ROW($T$12))),MIN(LOOKUP(,-1/($Z$12:Z1029=1),$C$12:C1029)+LOOKUP(,-1/($Z$12:Z1029=1),$H$12:H1029)-IF(N1028&lt;&gt;0,0,SUM(INDIRECT("T"&amp;(MAX((0&lt;&gt;N$12:N1028)*ROW(N$12:N1028)+1,ROW($T$12))&amp;":T"&amp;(ROW()-1))))),Первоначальный[[#This Row],[Полученный платеж]]+Y1028),
AND(S1028=0,Первоначальный[[#This Row],[Дата платежа из графика]]=1),MIN(LOOKUP(,-1/($Z$12:Z1029=1),$C$12:C1029)+LOOKUP(,-1/($Z$12:Z1029=1),$H$12:H1029)-IF(Z1028=1,0,SUM(INDIRECT("T"&amp;(MAX((1=Z$12:Z1028)*ROW(Z$12:Z1028)+1,ROW($T$12))&amp;":T"&amp;(ROW()-1))))),Первоначальный[[#This Row],[Полученный платеж]]+Y1028),
AND(Z1028&gt;0,Первоначальный[[#This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платеж]]+Y1028),
AND(S1028&gt;0,MAX((0&lt;&gt;S$12:S1028)*ROW(S$12:S1028),ROW($S$12))&gt;=MAX((1=Z$12:Z1028)*ROW(Z$12:Z1028),ROW($T$12)),TYPE(VLOOKUP("Да",(INDIRECT("AA"&amp;(MAX((1=Z$12:Z1028)*ROW(Z$12:Z1028),ROW($T$12))&amp;":AA"&amp;(ROW()-1)))),1,0))=16),MIN(LOOKUP(,-1/($Z$12:Z1029=1),$C$12:C1029)+LOOKUP(,-1/($Z$12:Z1029=1),$H$12:H1029)-SUM(INDIRECT("T"&amp;(MAX((1=Z$12:Z1028)*ROW(Z$12:Z1028),ROW($T$12))&amp;":T"&amp;(ROW()-1)))),Первоначальный[[#This Row],[Полученный платеж]]+Y1028),
S1028&gt;0,MIN(LOOKUP(,-1/($Z$12:Z1029=1),$C$12:C1029)+LOOKUP(,-1/($Z$12:Z1029=1),$H$12:H1029)-IF(Z1028=1,0,SUM(INDIRECT("T"&amp;(MAX((1=Z$12:Z1028)*ROW(Z$12:Z1028)+1,ROW($T$12))&amp;":T"&amp;(ROW()-1))))),Первоначальный[[#This Row],[Полученный платеж]]+Y1028)
)
)
)</f>
        <v>0</v>
      </c>
      <c r="U102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платеж]]+Y1028-Первоначальный[[#This Row],[Полученный платёж по процентам]])</f>
        <v>0</v>
      </c>
      <c r="V1029" s="55">
        <f t="shared" ca="1" si="183"/>
        <v>0</v>
      </c>
      <c r="W1029" s="55" cm="1">
        <f t="array" aca="1" ref="W1029" ca="1">IF(Первоначальный[[#This Row],[Итого остаток на начало периода]]&lt;1,0,
_xlfn.IFS(
AND(TYPE(VLOOKUP(1,$Z$12:Z1029,1,0))=16,Первоначальный[[#This Row],[Досрочное погашение (да/"")]]=""),0,
AND(S1028=0,Первоначальный[[#This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платеж]]+Y1028-SUM(Первоначальный[[#This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комиссиям]]),VLOOKUP(LOOKUP(,-1/($Z$12:Z1029=1),$A$12:A1029),График[[Срок конец]:[Возврат основной суммы долга]],3,0)),
AND(S1028=0,Первоначальный[[#This Row],[Дата платежа из графика]]="",Первоначальный[[#This Row],[Досрочное погашение (да/"")]]&lt;&gt;"Да"),0,
AND(S1028=0,Первоначальный[[#This Row],[Досрочное погашение (да/"")]]=""),MIN(Первоначальный[[#This Row],[Полученный платеж]]+Y1028-SUM(Первоначальный[[#This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комиссиям]]),VLOOKUP(LOOKUP(,-1/($Z$12:Z1029=1),$A$12:A1029),График[[Срок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платеж]]+Y1028-SUM(Первоначальный[[#This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S1028&gt;0,MIN(Первоначальный[[#This Row],[Полученный платеж]]+Y1028-SUM(Первоначальный[[#This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комиссиям]]),SUM(INDIRECT("M"&amp;(MAX((1=S$12:S1028)*ROW(S$12:S1028),ROW($W$12))&amp;":M"&amp;(ROW()))))-SUM(INDIRECT("W"&amp;(MAX((1=S$12:S1028)*ROW(S$12:S1028),ROW($W$12))&amp;":W"&amp;(ROW()-1)))))
)
)</f>
        <v>0</v>
      </c>
      <c r="X1029" s="55">
        <f t="shared" ca="1" si="184"/>
        <v>0</v>
      </c>
      <c r="Y1029" s="101">
        <f t="shared" ca="1" si="191"/>
        <v>0</v>
      </c>
      <c r="Z1029" s="133" t="str">
        <f>IF(TYPE((VLOOKUP(Первоначальный[[#This Row],[Дата платежа]],График[Срок конец],1,0)))=16,"",1)</f>
        <v/>
      </c>
      <c r="AA1029" s="57"/>
      <c r="AB1029" s="134"/>
      <c r="AC102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2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73951.799999999901</v>
      </c>
      <c r="AE102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3944.2799999999993</v>
      </c>
      <c r="AF102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2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210912.51553278638</v>
      </c>
      <c r="AH1029" s="55"/>
      <c r="AI1029" s="55"/>
      <c r="AJ1029" s="55"/>
      <c r="AK1029" s="101">
        <f t="shared" ca="1" si="192"/>
        <v>438441.9355327863</v>
      </c>
      <c r="AL1029" s="129">
        <f t="array" ref="AL1029">MAX((УслРестрактов[Характеристика]="Дата реструктуризации")*(УслРестрактов[Значение]=Первоначальный!$A1029),0)</f>
        <v>0</v>
      </c>
    </row>
    <row r="1030" spans="1:38" x14ac:dyDescent="0.25">
      <c r="A1030" s="97">
        <f t="shared" si="185"/>
        <v>45161</v>
      </c>
      <c r="B1030" s="100">
        <f t="shared" ca="1" si="186"/>
        <v>149633.34</v>
      </c>
      <c r="C1030" s="55">
        <f t="shared" ca="1" si="194"/>
        <v>73951.799999999901</v>
      </c>
      <c r="D1030" s="55">
        <f t="shared" ca="1" si="194"/>
        <v>3944.2799999999993</v>
      </c>
      <c r="E1030" s="55">
        <f t="shared" ca="1" si="187"/>
        <v>0</v>
      </c>
      <c r="F1030" s="55">
        <f t="shared" ca="1" si="188"/>
        <v>210912.51553278638</v>
      </c>
      <c r="G1030" s="101">
        <f t="shared" ca="1" si="189"/>
        <v>438441.9355327863</v>
      </c>
      <c r="H1030" s="100">
        <f ca="1">ROUND($B1030*VLOOKUP($A1030,$A$1:$B$10,2,1)/(365+IF(MOD(YEAR($A1030),4),0,1)*($A1030-$A1029)),2)-Первоначальный[[#This Row],[Проценты на просроченный платеж по ОД за период]]</f>
        <v>72.429999999999993</v>
      </c>
      <c r="I1030" s="55">
        <f t="shared" ca="1" si="190"/>
        <v>9.15</v>
      </c>
      <c r="J1030" s="55">
        <v>0</v>
      </c>
      <c r="K1030" s="55">
        <f t="shared" ca="1" si="193"/>
        <v>448.96850327868839</v>
      </c>
      <c r="L1030" s="55">
        <v>0</v>
      </c>
      <c r="M1030" s="113">
        <f>SUMIFS(График[Возврат основной суммы долга],График[Дата с учетом нерабочих дней],$A1030)</f>
        <v>0</v>
      </c>
      <c r="N1030" s="56">
        <f>SUMIFS(График[Возврат начисленных %],График[Дата с учетом нерабочих дней],$A1030)</f>
        <v>0</v>
      </c>
      <c r="O1030" s="101">
        <v>0</v>
      </c>
      <c r="P1030" s="100" cm="1">
        <f t="array" aca="1" ref="P1030" ca="1">MAX(IF(AA1029="Да",0,SUM(INDIRECT("M"&amp;(MAX(("Да"=AA$12:AA1029)*ROW(AA$12:AA1029)+1,ROW($P$12))&amp;":M"&amp;(ROW()))))-SUM(INDIRECT("W"&amp;(MAX(("Да"=AA$12:AA1029)*ROW(AA$12:AA1029)+1,ROW($P$12))&amp;":W"&amp;(ROW()))))),0)</f>
        <v>16786.23</v>
      </c>
      <c r="Q1030" s="99">
        <f ca="1">MAX(SUM($N$13:N1030)-SUM($T$13:T1030),0)</f>
        <v>73007.470655737678</v>
      </c>
      <c r="R1030" s="99">
        <f ca="1">Первоначальный[[#This Row],[Просроченный платеж по ОД]]+Первоначальный[[#This Row],[Просроченный платеж по процентам]]</f>
        <v>89793.700655737674</v>
      </c>
      <c r="S1030" s="120">
        <f ca="1">IF(Первоначальный[[#This Row],[Просроченный платеж]]&lt;1,0,S1029+1)</f>
        <v>926</v>
      </c>
      <c r="T1030" s="100" cm="1">
        <f t="array" aca="1" ref="T1030" ca="1">IF(Первоначальный[[#This Row],[Итого остаток на начало периода]]&lt;1,0,
IF(
AND(TYPE(VLOOKUP(1,$Z$12:Z1030,1,0))=16,Первоначальный[[#This Row],[Досрочное погашение (да/"")]]=""),0,
_xlfn.IFS(AND(S1029=0,Первоначальный[[#This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платеж]]&lt;&gt;0),MIN(LOOKUP(,-1/($Z$12:Z1030=1),$C$12:C1030)+LOOKUP(,-1/($Z$12:Z1030=1),$H$12:H1030),Первоначальный[[#This Row],[Полученный платеж]]+Y1029),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платеж]]+Y1029,SUM(Первоначальный[[#This Row],[Остаток процентов на начало периода]],Первоначальный[[#This Row],[Проценты за период]])),
AND(S1029=0,Первоначальный[[#This Row],[Дата платежа из графика]]=""),0,
AND(S1029=0,Первоначальный[[#This Row],[Дата платежа из графика]]=1,MAX((0&lt;&gt;S$12:S1029)*ROW(S$12:S1029),ROW($S$12))&gt;=MAX((1=Z$12:Z1029)*ROW(Z$12:Z1029),ROW($T$12)),TYPE(VLOOKUP("Да",(INDIRECT("AA"&amp;(MAX((1=Z$12:Z1029)*ROW(Z$12:Z1029),ROW($T$12))&amp;":AA"&amp;(ROW()-1)))),1,0))=16),MIN(LOOKUP(,-1/($Z$12:Z1030=1),$C$12:C1030)+LOOKUP(,-1/($Z$12:Z1030=1),$H$12:H1030),Первоначальный[[#This Row],[Полученный платеж]]+Y1029),
AND(S1029=0,TYPE(VLOOKUP("Да",(INDIRECT("AA"&amp;(MAX((1=Z$12:Z1029)*ROW(Z$12:Z1029),ROW($T$12))&amp;":AA"&amp;(ROW()-1)))),1,0))&lt;&gt;16),MIN(LOOKUP(,-1/($Z$12:Z1030=1),$C$12:C1030)+LOOKUP(,-1/($Z$12:Z1030=1),$H$12:H1030)-IF(AA1029="Да",0,SUM(INDIRECT("T"&amp;(MAX(("Да"=AA$12:AA1029)*ROW(AA$12:AA1029)+1,ROW($T$12))&amp;":T"&amp;(ROW()-1))))),Первоначальный[[#This Row],[Полученный платеж]]+Y1029),
AND(S1029=0,MAX((0&lt;&gt;N$12:N1029)*ROW(N$12:N1029),ROW($S$12))&gt;=MAX((1=Z$12:Z1029)*ROW(Z$12:Z1029),ROW($T$12))),MIN(LOOKUP(,-1/($Z$12:Z1030=1),$C$12:C1030)+LOOKUP(,-1/($Z$12:Z1030=1),$H$12:H1030)-IF(N1029&lt;&gt;0,0,SUM(INDIRECT("T"&amp;(MAX((0&lt;&gt;N$12:N1029)*ROW(N$12:N1029)+1,ROW($T$12))&amp;":T"&amp;(ROW()-1))))),Первоначальный[[#This Row],[Полученный платеж]]+Y1029),
AND(S1029=0,Первоначальный[[#This Row],[Дата платежа из графика]]=1),MIN(LOOKUP(,-1/($Z$12:Z1030=1),$C$12:C1030)+LOOKUP(,-1/($Z$12:Z1030=1),$H$12:H1030)-IF(Z1029=1,0,SUM(INDIRECT("T"&amp;(MAX((1=Z$12:Z1029)*ROW(Z$12:Z1029)+1,ROW($T$12))&amp;":T"&amp;(ROW()-1))))),Первоначальный[[#This Row],[Полученный платеж]]+Y1029),
AND(Z1029&gt;0,Первоначальный[[#This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платеж]]+Y1029),
AND(S1029&gt;0,MAX((0&lt;&gt;S$12:S1029)*ROW(S$12:S1029),ROW($S$12))&gt;=MAX((1=Z$12:Z1029)*ROW(Z$12:Z1029),ROW($T$12)),TYPE(VLOOKUP("Да",(INDIRECT("AA"&amp;(MAX((1=Z$12:Z1029)*ROW(Z$12:Z1029),ROW($T$12))&amp;":AA"&amp;(ROW()-1)))),1,0))=16),MIN(LOOKUP(,-1/($Z$12:Z1030=1),$C$12:C1030)+LOOKUP(,-1/($Z$12:Z1030=1),$H$12:H1030)-SUM(INDIRECT("T"&amp;(MAX((1=Z$12:Z1029)*ROW(Z$12:Z1029),ROW($T$12))&amp;":T"&amp;(ROW()-1)))),Первоначальный[[#This Row],[Полученный платеж]]+Y1029),
S1029&gt;0,MIN(LOOKUP(,-1/($Z$12:Z1030=1),$C$12:C1030)+LOOKUP(,-1/($Z$12:Z1030=1),$H$12:H1030)-IF(Z1029=1,0,SUM(INDIRECT("T"&amp;(MAX((1=Z$12:Z1029)*ROW(Z$12:Z1029)+1,ROW($T$12))&amp;":T"&amp;(ROW()-1))))),Первоначальный[[#This Row],[Полученный платеж]]+Y1029)
)
)
)</f>
        <v>0</v>
      </c>
      <c r="U103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платеж]]+Y1029-Первоначальный[[#This Row],[Полученный платёж по процентам]])</f>
        <v>0</v>
      </c>
      <c r="V1030" s="55">
        <f t="shared" ca="1" si="183"/>
        <v>0</v>
      </c>
      <c r="W1030" s="55" cm="1">
        <f t="array" aca="1" ref="W1030" ca="1">IF(Первоначальный[[#This Row],[Итого остаток на начало периода]]&lt;1,0,
_xlfn.IFS(
AND(TYPE(VLOOKUP(1,$Z$12:Z1030,1,0))=16,Первоначальный[[#This Row],[Досрочное погашение (да/"")]]=""),0,
AND(S1029=0,Первоначальный[[#This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платеж]]+Y1029-SUM(Первоначальный[[#This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комиссиям]]),VLOOKUP(LOOKUP(,-1/($Z$12:Z1030=1),$A$12:A1030),График[[Срок конец]:[Возврат основной суммы долга]],3,0)),
AND(S1029=0,Первоначальный[[#This Row],[Дата платежа из графика]]="",Первоначальный[[#This Row],[Досрочное погашение (да/"")]]&lt;&gt;"Да"),0,
AND(S1029=0,Первоначальный[[#This Row],[Досрочное погашение (да/"")]]=""),MIN(Первоначальный[[#This Row],[Полученный платеж]]+Y1029-SUM(Первоначальный[[#This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комиссиям]]),VLOOKUP(LOOKUP(,-1/($Z$12:Z1030=1),$A$12:A1030),График[[Срок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платеж]]+Y1029-SUM(Первоначальный[[#This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S1029&gt;0,MIN(Первоначальный[[#This Row],[Полученный платеж]]+Y1029-SUM(Первоначальный[[#This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комиссиям]]),SUM(INDIRECT("M"&amp;(MAX((1=S$12:S1029)*ROW(S$12:S1029),ROW($W$12))&amp;":M"&amp;(ROW()))))-SUM(INDIRECT("W"&amp;(MAX((1=S$12:S1029)*ROW(S$12:S1029),ROW($W$12))&amp;":W"&amp;(ROW()-1)))))
)
)</f>
        <v>0</v>
      </c>
      <c r="X1030" s="55">
        <f t="shared" ca="1" si="184"/>
        <v>0</v>
      </c>
      <c r="Y1030" s="101">
        <f t="shared" ca="1" si="191"/>
        <v>0</v>
      </c>
      <c r="Z1030" s="133" t="str">
        <f>IF(TYPE((VLOOKUP(Первоначальный[[#This Row],[Дата платежа]],График[Срок конец],1,0)))=16,"",1)</f>
        <v/>
      </c>
      <c r="AA1030" s="57"/>
      <c r="AB1030" s="134"/>
      <c r="AC103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3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74024.229999999894</v>
      </c>
      <c r="AE103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3953.4299999999994</v>
      </c>
      <c r="AF103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3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211361.48403606506</v>
      </c>
      <c r="AH1030" s="55"/>
      <c r="AI1030" s="55"/>
      <c r="AJ1030" s="55"/>
      <c r="AK1030" s="101">
        <f t="shared" ca="1" si="192"/>
        <v>438972.48403606494</v>
      </c>
      <c r="AL1030" s="129">
        <f t="array" ref="AL1030">MAX((УслРестрактов[Характеристика]="Дата реструктуризации")*(УслРестрактов[Значение]=Первоначальный!$A1030),0)</f>
        <v>0</v>
      </c>
    </row>
    <row r="1031" spans="1:38" x14ac:dyDescent="0.25">
      <c r="A1031" s="97">
        <f t="shared" si="185"/>
        <v>45162</v>
      </c>
      <c r="B1031" s="100">
        <f t="shared" ca="1" si="186"/>
        <v>149633.34</v>
      </c>
      <c r="C1031" s="55">
        <f t="shared" ca="1" si="194"/>
        <v>74024.229999999894</v>
      </c>
      <c r="D1031" s="55">
        <f t="shared" ca="1" si="194"/>
        <v>3953.4299999999994</v>
      </c>
      <c r="E1031" s="55">
        <f t="shared" ca="1" si="187"/>
        <v>0</v>
      </c>
      <c r="F1031" s="55">
        <f t="shared" ca="1" si="188"/>
        <v>211361.48403606506</v>
      </c>
      <c r="G1031" s="101">
        <f t="shared" ca="1" si="189"/>
        <v>438972.48403606494</v>
      </c>
      <c r="H1031" s="100">
        <f ca="1">ROUND($B1031*VLOOKUP($A1031,$A$1:$B$10,2,1)/(365+IF(MOD(YEAR($A1031),4),0,1)*($A1031-$A1030)),2)-Первоначальный[[#This Row],[Проценты на просроченный платеж по ОД за период]]</f>
        <v>72.429999999999993</v>
      </c>
      <c r="I1031" s="55">
        <f t="shared" ca="1" si="190"/>
        <v>9.15</v>
      </c>
      <c r="J1031" s="55">
        <v>0</v>
      </c>
      <c r="K1031" s="55">
        <f t="shared" ca="1" si="193"/>
        <v>448.96850327868839</v>
      </c>
      <c r="L1031" s="55">
        <v>0</v>
      </c>
      <c r="M1031" s="113">
        <f>SUMIFS(График[Возврат основной суммы долга],График[Дата с учетом нерабочих дней],$A1031)</f>
        <v>0</v>
      </c>
      <c r="N1031" s="56">
        <f>SUMIFS(График[Возврат начисленных %],График[Дата с учетом нерабочих дней],$A1031)</f>
        <v>0</v>
      </c>
      <c r="O1031" s="101">
        <v>0</v>
      </c>
      <c r="P1031" s="100" cm="1">
        <f t="array" aca="1" ref="P1031" ca="1">MAX(IF(AA1030="Да",0,SUM(INDIRECT("M"&amp;(MAX(("Да"=AA$12:AA1030)*ROW(AA$12:AA1030)+1,ROW($P$12))&amp;":M"&amp;(ROW()))))-SUM(INDIRECT("W"&amp;(MAX(("Да"=AA$12:AA1030)*ROW(AA$12:AA1030)+1,ROW($P$12))&amp;":W"&amp;(ROW()))))),0)</f>
        <v>16786.23</v>
      </c>
      <c r="Q1031" s="99">
        <f ca="1">MAX(SUM($N$13:N1031)-SUM($T$13:T1031),0)</f>
        <v>73007.470655737678</v>
      </c>
      <c r="R1031" s="99">
        <f ca="1">Первоначальный[[#This Row],[Просроченный платеж по ОД]]+Первоначальный[[#This Row],[Просроченный платеж по процентам]]</f>
        <v>89793.700655737674</v>
      </c>
      <c r="S1031" s="120">
        <f ca="1">IF(Первоначальный[[#This Row],[Просроченный платеж]]&lt;1,0,S1030+1)</f>
        <v>927</v>
      </c>
      <c r="T1031" s="100" cm="1">
        <f t="array" aca="1" ref="T1031" ca="1">IF(Первоначальный[[#This Row],[Итого остаток на начало периода]]&lt;1,0,
IF(
AND(TYPE(VLOOKUP(1,$Z$12:Z1031,1,0))=16,Первоначальный[[#This Row],[Досрочное погашение (да/"")]]=""),0,
_xlfn.IFS(AND(S1030=0,Первоначальный[[#This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платеж]]&lt;&gt;0),MIN(LOOKUP(,-1/($Z$12:Z1031=1),$C$12:C1031)+LOOKUP(,-1/($Z$12:Z1031=1),$H$12:H1031),Первоначальный[[#This Row],[Полученный платеж]]+Y1030),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платеж]]+Y1030,SUM(Первоначальный[[#This Row],[Остаток процентов на начало периода]],Первоначальный[[#This Row],[Проценты за период]])),
AND(S1030=0,Первоначальный[[#This Row],[Дата платежа из графика]]=""),0,
AND(S1030=0,Первоначальный[[#This Row],[Дата платежа из графика]]=1,MAX((0&lt;&gt;S$12:S1030)*ROW(S$12:S1030),ROW($S$12))&gt;=MAX((1=Z$12:Z1030)*ROW(Z$12:Z1030),ROW($T$12)),TYPE(VLOOKUP("Да",(INDIRECT("AA"&amp;(MAX((1=Z$12:Z1030)*ROW(Z$12:Z1030),ROW($T$12))&amp;":AA"&amp;(ROW()-1)))),1,0))=16),MIN(LOOKUP(,-1/($Z$12:Z1031=1),$C$12:C1031)+LOOKUP(,-1/($Z$12:Z1031=1),$H$12:H1031),Первоначальный[[#This Row],[Полученный платеж]]+Y1030),
AND(S1030=0,TYPE(VLOOKUP("Да",(INDIRECT("AA"&amp;(MAX((1=Z$12:Z1030)*ROW(Z$12:Z1030),ROW($T$12))&amp;":AA"&amp;(ROW()-1)))),1,0))&lt;&gt;16),MIN(LOOKUP(,-1/($Z$12:Z1031=1),$C$12:C1031)+LOOKUP(,-1/($Z$12:Z1031=1),$H$12:H1031)-IF(AA1030="Да",0,SUM(INDIRECT("T"&amp;(MAX(("Да"=AA$12:AA1030)*ROW(AA$12:AA1030)+1,ROW($T$12))&amp;":T"&amp;(ROW()-1))))),Первоначальный[[#This Row],[Полученный платеж]]+Y1030),
AND(S1030=0,MAX((0&lt;&gt;N$12:N1030)*ROW(N$12:N1030),ROW($S$12))&gt;=MAX((1=Z$12:Z1030)*ROW(Z$12:Z1030),ROW($T$12))),MIN(LOOKUP(,-1/($Z$12:Z1031=1),$C$12:C1031)+LOOKUP(,-1/($Z$12:Z1031=1),$H$12:H1031)-IF(N1030&lt;&gt;0,0,SUM(INDIRECT("T"&amp;(MAX((0&lt;&gt;N$12:N1030)*ROW(N$12:N1030)+1,ROW($T$12))&amp;":T"&amp;(ROW()-1))))),Первоначальный[[#This Row],[Полученный платеж]]+Y1030),
AND(S1030=0,Первоначальный[[#This Row],[Дата платежа из графика]]=1),MIN(LOOKUP(,-1/($Z$12:Z1031=1),$C$12:C1031)+LOOKUP(,-1/($Z$12:Z1031=1),$H$12:H1031)-IF(Z1030=1,0,SUM(INDIRECT("T"&amp;(MAX((1=Z$12:Z1030)*ROW(Z$12:Z1030)+1,ROW($T$12))&amp;":T"&amp;(ROW()-1))))),Первоначальный[[#This Row],[Полученный платеж]]+Y1030),
AND(Z1030&gt;0,Первоначальный[[#This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платеж]]+Y1030),
AND(S1030&gt;0,MAX((0&lt;&gt;S$12:S1030)*ROW(S$12:S1030),ROW($S$12))&gt;=MAX((1=Z$12:Z1030)*ROW(Z$12:Z1030),ROW($T$12)),TYPE(VLOOKUP("Да",(INDIRECT("AA"&amp;(MAX((1=Z$12:Z1030)*ROW(Z$12:Z1030),ROW($T$12))&amp;":AA"&amp;(ROW()-1)))),1,0))=16),MIN(LOOKUP(,-1/($Z$12:Z1031=1),$C$12:C1031)+LOOKUP(,-1/($Z$12:Z1031=1),$H$12:H1031)-SUM(INDIRECT("T"&amp;(MAX((1=Z$12:Z1030)*ROW(Z$12:Z1030),ROW($T$12))&amp;":T"&amp;(ROW()-1)))),Первоначальный[[#This Row],[Полученный платеж]]+Y1030),
S1030&gt;0,MIN(LOOKUP(,-1/($Z$12:Z1031=1),$C$12:C1031)+LOOKUP(,-1/($Z$12:Z1031=1),$H$12:H1031)-IF(Z1030=1,0,SUM(INDIRECT("T"&amp;(MAX((1=Z$12:Z1030)*ROW(Z$12:Z1030)+1,ROW($T$12))&amp;":T"&amp;(ROW()-1))))),Первоначальный[[#This Row],[Полученный платеж]]+Y1030)
)
)
)</f>
        <v>0</v>
      </c>
      <c r="U103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платеж]]+Y1030-Первоначальный[[#This Row],[Полученный платёж по процентам]])</f>
        <v>0</v>
      </c>
      <c r="V1031" s="55">
        <f t="shared" ca="1" si="183"/>
        <v>0</v>
      </c>
      <c r="W1031" s="55" cm="1">
        <f t="array" aca="1" ref="W1031" ca="1">IF(Первоначальный[[#This Row],[Итого остаток на начало периода]]&lt;1,0,
_xlfn.IFS(
AND(TYPE(VLOOKUP(1,$Z$12:Z1031,1,0))=16,Первоначальный[[#This Row],[Досрочное погашение (да/"")]]=""),0,
AND(S1030=0,Первоначальный[[#This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платеж]]+Y1030-SUM(Первоначальный[[#This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комиссиям]]),VLOOKUP(LOOKUP(,-1/($Z$12:Z1031=1),$A$12:A1031),График[[Срок конец]:[Возврат основной суммы долга]],3,0)),
AND(S1030=0,Первоначальный[[#This Row],[Дата платежа из графика]]="",Первоначальный[[#This Row],[Досрочное погашение (да/"")]]&lt;&gt;"Да"),0,
AND(S1030=0,Первоначальный[[#This Row],[Досрочное погашение (да/"")]]=""),MIN(Первоначальный[[#This Row],[Полученный платеж]]+Y1030-SUM(Первоначальный[[#This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комиссиям]]),VLOOKUP(LOOKUP(,-1/($Z$12:Z1031=1),$A$12:A1031),График[[Срок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платеж]]+Y1030-SUM(Первоначальный[[#This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S1030&gt;0,MIN(Первоначальный[[#This Row],[Полученный платеж]]+Y1030-SUM(Первоначальный[[#This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комиссиям]]),SUM(INDIRECT("M"&amp;(MAX((1=S$12:S1030)*ROW(S$12:S1030),ROW($W$12))&amp;":M"&amp;(ROW()))))-SUM(INDIRECT("W"&amp;(MAX((1=S$12:S1030)*ROW(S$12:S1030),ROW($W$12))&amp;":W"&amp;(ROW()-1)))))
)
)</f>
        <v>0</v>
      </c>
      <c r="X1031" s="55">
        <f t="shared" ca="1" si="184"/>
        <v>0</v>
      </c>
      <c r="Y1031" s="101">
        <f t="shared" ca="1" si="191"/>
        <v>0</v>
      </c>
      <c r="Z1031" s="133" t="str">
        <f>IF(TYPE((VLOOKUP(Первоначальный[[#This Row],[Дата платежа]],График[Срок конец],1,0)))=16,"",1)</f>
        <v/>
      </c>
      <c r="AA1031" s="57"/>
      <c r="AB1031" s="134"/>
      <c r="AC103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3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74096.659999999887</v>
      </c>
      <c r="AE103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3962.5799999999995</v>
      </c>
      <c r="AF103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3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211810.45253934374</v>
      </c>
      <c r="AH1031" s="55"/>
      <c r="AI1031" s="55"/>
      <c r="AJ1031" s="55"/>
      <c r="AK1031" s="101">
        <f t="shared" ca="1" si="192"/>
        <v>439503.03253934358</v>
      </c>
      <c r="AL1031" s="129">
        <f t="array" ref="AL1031">MAX((УслРестрактов[Характеристика]="Дата реструктуризации")*(УслРестрактов[Значение]=Первоначальный!$A1031),0)</f>
        <v>0</v>
      </c>
    </row>
    <row r="1032" spans="1:38" x14ac:dyDescent="0.25">
      <c r="A1032" s="97">
        <f t="shared" si="185"/>
        <v>45163</v>
      </c>
      <c r="B1032" s="100">
        <f t="shared" ca="1" si="186"/>
        <v>149633.34</v>
      </c>
      <c r="C1032" s="55">
        <f t="shared" ca="1" si="194"/>
        <v>74096.659999999887</v>
      </c>
      <c r="D1032" s="55">
        <f t="shared" ca="1" si="194"/>
        <v>3962.5799999999995</v>
      </c>
      <c r="E1032" s="55">
        <f t="shared" ca="1" si="187"/>
        <v>0</v>
      </c>
      <c r="F1032" s="55">
        <f t="shared" ca="1" si="188"/>
        <v>211810.45253934374</v>
      </c>
      <c r="G1032" s="101">
        <f t="shared" ca="1" si="189"/>
        <v>439503.03253934358</v>
      </c>
      <c r="H1032" s="100">
        <f ca="1">ROUND($B1032*VLOOKUP($A1032,$A$1:$B$10,2,1)/(365+IF(MOD(YEAR($A1032),4),0,1)*($A1032-$A1031)),2)-Первоначальный[[#This Row],[Проценты на просроченный платеж по ОД за период]]</f>
        <v>72.429999999999993</v>
      </c>
      <c r="I1032" s="55">
        <f t="shared" ca="1" si="190"/>
        <v>9.15</v>
      </c>
      <c r="J1032" s="55">
        <v>0</v>
      </c>
      <c r="K1032" s="55">
        <f t="shared" ca="1" si="193"/>
        <v>448.96850327868839</v>
      </c>
      <c r="L1032" s="55">
        <v>0</v>
      </c>
      <c r="M1032" s="113">
        <f>SUMIFS(График[Возврат основной суммы долга],График[Дата с учетом нерабочих дней],$A1032)</f>
        <v>0</v>
      </c>
      <c r="N1032" s="56">
        <f>SUMIFS(График[Возврат начисленных %],График[Дата с учетом нерабочих дней],$A1032)</f>
        <v>0</v>
      </c>
      <c r="O1032" s="101">
        <v>0</v>
      </c>
      <c r="P1032" s="100" cm="1">
        <f t="array" aca="1" ref="P1032" ca="1">MAX(IF(AA1031="Да",0,SUM(INDIRECT("M"&amp;(MAX(("Да"=AA$12:AA1031)*ROW(AA$12:AA1031)+1,ROW($P$12))&amp;":M"&amp;(ROW()))))-SUM(INDIRECT("W"&amp;(MAX(("Да"=AA$12:AA1031)*ROW(AA$12:AA1031)+1,ROW($P$12))&amp;":W"&amp;(ROW()))))),0)</f>
        <v>16786.23</v>
      </c>
      <c r="Q1032" s="99">
        <f ca="1">MAX(SUM($N$13:N1032)-SUM($T$13:T1032),0)</f>
        <v>73007.470655737678</v>
      </c>
      <c r="R1032" s="99">
        <f ca="1">Первоначальный[[#This Row],[Просроченный платеж по ОД]]+Первоначальный[[#This Row],[Просроченный платеж по процентам]]</f>
        <v>89793.700655737674</v>
      </c>
      <c r="S1032" s="120">
        <f ca="1">IF(Первоначальный[[#This Row],[Просроченный платеж]]&lt;1,0,S1031+1)</f>
        <v>928</v>
      </c>
      <c r="T1032" s="100" cm="1">
        <f t="array" aca="1" ref="T1032" ca="1">IF(Первоначальный[[#This Row],[Итого остаток на начало периода]]&lt;1,0,
IF(
AND(TYPE(VLOOKUP(1,$Z$12:Z1032,1,0))=16,Первоначальный[[#This Row],[Досрочное погашение (да/"")]]=""),0,
_xlfn.IFS(AND(S1031=0,Первоначальный[[#This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платеж]]&lt;&gt;0),MIN(LOOKUP(,-1/($Z$12:Z1032=1),$C$12:C1032)+LOOKUP(,-1/($Z$12:Z1032=1),$H$12:H1032),Первоначальный[[#This Row],[Полученный платеж]]+Y1031),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платеж]]+Y1031,SUM(Первоначальный[[#This Row],[Остаток процентов на начало периода]],Первоначальный[[#This Row],[Проценты за период]])),
AND(S1031=0,Первоначальный[[#This Row],[Дата платежа из графика]]=""),0,
AND(S1031=0,Первоначальный[[#This Row],[Дата платежа из графика]]=1,MAX((0&lt;&gt;S$12:S1031)*ROW(S$12:S1031),ROW($S$12))&gt;=MAX((1=Z$12:Z1031)*ROW(Z$12:Z1031),ROW($T$12)),TYPE(VLOOKUP("Да",(INDIRECT("AA"&amp;(MAX((1=Z$12:Z1031)*ROW(Z$12:Z1031),ROW($T$12))&amp;":AA"&amp;(ROW()-1)))),1,0))=16),MIN(LOOKUP(,-1/($Z$12:Z1032=1),$C$12:C1032)+LOOKUP(,-1/($Z$12:Z1032=1),$H$12:H1032),Первоначальный[[#This Row],[Полученный платеж]]+Y1031),
AND(S1031=0,TYPE(VLOOKUP("Да",(INDIRECT("AA"&amp;(MAX((1=Z$12:Z1031)*ROW(Z$12:Z1031),ROW($T$12))&amp;":AA"&amp;(ROW()-1)))),1,0))&lt;&gt;16),MIN(LOOKUP(,-1/($Z$12:Z1032=1),$C$12:C1032)+LOOKUP(,-1/($Z$12:Z1032=1),$H$12:H1032)-IF(AA1031="Да",0,SUM(INDIRECT("T"&amp;(MAX(("Да"=AA$12:AA1031)*ROW(AA$12:AA1031)+1,ROW($T$12))&amp;":T"&amp;(ROW()-1))))),Первоначальный[[#This Row],[Полученный платеж]]+Y1031),
AND(S1031=0,MAX((0&lt;&gt;N$12:N1031)*ROW(N$12:N1031),ROW($S$12))&gt;=MAX((1=Z$12:Z1031)*ROW(Z$12:Z1031),ROW($T$12))),MIN(LOOKUP(,-1/($Z$12:Z1032=1),$C$12:C1032)+LOOKUP(,-1/($Z$12:Z1032=1),$H$12:H1032)-IF(N1031&lt;&gt;0,0,SUM(INDIRECT("T"&amp;(MAX((0&lt;&gt;N$12:N1031)*ROW(N$12:N1031)+1,ROW($T$12))&amp;":T"&amp;(ROW()-1))))),Первоначальный[[#This Row],[Полученный платеж]]+Y1031),
AND(S1031=0,Первоначальный[[#This Row],[Дата платежа из графика]]=1),MIN(LOOKUP(,-1/($Z$12:Z1032=1),$C$12:C1032)+LOOKUP(,-1/($Z$12:Z1032=1),$H$12:H1032)-IF(Z1031=1,0,SUM(INDIRECT("T"&amp;(MAX((1=Z$12:Z1031)*ROW(Z$12:Z1031)+1,ROW($T$12))&amp;":T"&amp;(ROW()-1))))),Первоначальный[[#This Row],[Полученный платеж]]+Y1031),
AND(Z1031&gt;0,Первоначальный[[#This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платеж]]+Y1031),
AND(S1031&gt;0,MAX((0&lt;&gt;S$12:S1031)*ROW(S$12:S1031),ROW($S$12))&gt;=MAX((1=Z$12:Z1031)*ROW(Z$12:Z1031),ROW($T$12)),TYPE(VLOOKUP("Да",(INDIRECT("AA"&amp;(MAX((1=Z$12:Z1031)*ROW(Z$12:Z1031),ROW($T$12))&amp;":AA"&amp;(ROW()-1)))),1,0))=16),MIN(LOOKUP(,-1/($Z$12:Z1032=1),$C$12:C1032)+LOOKUP(,-1/($Z$12:Z1032=1),$H$12:H1032)-SUM(INDIRECT("T"&amp;(MAX((1=Z$12:Z1031)*ROW(Z$12:Z1031),ROW($T$12))&amp;":T"&amp;(ROW()-1)))),Первоначальный[[#This Row],[Полученный платеж]]+Y1031),
S1031&gt;0,MIN(LOOKUP(,-1/($Z$12:Z1032=1),$C$12:C1032)+LOOKUP(,-1/($Z$12:Z1032=1),$H$12:H1032)-IF(Z1031=1,0,SUM(INDIRECT("T"&amp;(MAX((1=Z$12:Z1031)*ROW(Z$12:Z1031)+1,ROW($T$12))&amp;":T"&amp;(ROW()-1))))),Первоначальный[[#This Row],[Полученный платеж]]+Y1031)
)
)
)</f>
        <v>0</v>
      </c>
      <c r="U103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платеж]]+Y1031-Первоначальный[[#This Row],[Полученный платёж по процентам]])</f>
        <v>0</v>
      </c>
      <c r="V1032" s="55">
        <f t="shared" ca="1" si="183"/>
        <v>0</v>
      </c>
      <c r="W1032" s="55" cm="1">
        <f t="array" aca="1" ref="W1032" ca="1">IF(Первоначальный[[#This Row],[Итого остаток на начало периода]]&lt;1,0,
_xlfn.IFS(
AND(TYPE(VLOOKUP(1,$Z$12:Z1032,1,0))=16,Первоначальный[[#This Row],[Досрочное погашение (да/"")]]=""),0,
AND(S1031=0,Первоначальный[[#This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платеж]]+Y1031-SUM(Первоначальный[[#This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комиссиям]]),VLOOKUP(LOOKUP(,-1/($Z$12:Z1032=1),$A$12:A1032),График[[Срок конец]:[Возврат основной суммы долга]],3,0)),
AND(S1031=0,Первоначальный[[#This Row],[Дата платежа из графика]]="",Первоначальный[[#This Row],[Досрочное погашение (да/"")]]&lt;&gt;"Да"),0,
AND(S1031=0,Первоначальный[[#This Row],[Досрочное погашение (да/"")]]=""),MIN(Первоначальный[[#This Row],[Полученный платеж]]+Y1031-SUM(Первоначальный[[#This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комиссиям]]),VLOOKUP(LOOKUP(,-1/($Z$12:Z1032=1),$A$12:A1032),График[[Срок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платеж]]+Y1031-SUM(Первоначальный[[#This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S1031&gt;0,MIN(Первоначальный[[#This Row],[Полученный платеж]]+Y1031-SUM(Первоначальный[[#This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комиссиям]]),SUM(INDIRECT("M"&amp;(MAX((1=S$12:S1031)*ROW(S$12:S1031),ROW($W$12))&amp;":M"&amp;(ROW()))))-SUM(INDIRECT("W"&amp;(MAX((1=S$12:S1031)*ROW(S$12:S1031),ROW($W$12))&amp;":W"&amp;(ROW()-1)))))
)
)</f>
        <v>0</v>
      </c>
      <c r="X1032" s="55">
        <f t="shared" ca="1" si="184"/>
        <v>0</v>
      </c>
      <c r="Y1032" s="101">
        <f t="shared" ca="1" si="191"/>
        <v>0</v>
      </c>
      <c r="Z1032" s="133" t="str">
        <f>IF(TYPE((VLOOKUP(Первоначальный[[#This Row],[Дата платежа]],График[Срок конец],1,0)))=16,"",1)</f>
        <v/>
      </c>
      <c r="AA1032" s="57"/>
      <c r="AB1032" s="134"/>
      <c r="AC103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3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74169.08999999988</v>
      </c>
      <c r="AE103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3971.7299999999996</v>
      </c>
      <c r="AF103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3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212259.42104262242</v>
      </c>
      <c r="AH1032" s="55"/>
      <c r="AI1032" s="55"/>
      <c r="AJ1032" s="55"/>
      <c r="AK1032" s="101">
        <f t="shared" ca="1" si="192"/>
        <v>440033.58104262233</v>
      </c>
      <c r="AL1032" s="129">
        <f t="array" ref="AL1032">MAX((УслРестрактов[Характеристика]="Дата реструктуризации")*(УслРестрактов[Значение]=Первоначальный!$A1032),0)</f>
        <v>0</v>
      </c>
    </row>
    <row r="1033" spans="1:38" x14ac:dyDescent="0.25">
      <c r="A1033" s="97">
        <f t="shared" si="185"/>
        <v>45164</v>
      </c>
      <c r="B1033" s="100">
        <f t="shared" ca="1" si="186"/>
        <v>149633.34</v>
      </c>
      <c r="C1033" s="55">
        <f t="shared" ca="1" si="194"/>
        <v>74169.08999999988</v>
      </c>
      <c r="D1033" s="55">
        <f t="shared" ca="1" si="194"/>
        <v>3971.7299999999996</v>
      </c>
      <c r="E1033" s="55">
        <f t="shared" ca="1" si="187"/>
        <v>0</v>
      </c>
      <c r="F1033" s="55">
        <f t="shared" ca="1" si="188"/>
        <v>212259.42104262242</v>
      </c>
      <c r="G1033" s="101">
        <f t="shared" ca="1" si="189"/>
        <v>440033.58104262233</v>
      </c>
      <c r="H1033" s="100">
        <f ca="1">ROUND($B1033*VLOOKUP($A1033,$A$1:$B$10,2,1)/(365+IF(MOD(YEAR($A1033),4),0,1)*($A1033-$A1032)),2)-Первоначальный[[#This Row],[Проценты на просроченный платеж по ОД за период]]</f>
        <v>72.429999999999993</v>
      </c>
      <c r="I1033" s="55">
        <f t="shared" ca="1" si="190"/>
        <v>9.15</v>
      </c>
      <c r="J1033" s="55">
        <v>0</v>
      </c>
      <c r="K1033" s="55">
        <f t="shared" ca="1" si="193"/>
        <v>448.96850327868839</v>
      </c>
      <c r="L1033" s="55">
        <v>0</v>
      </c>
      <c r="M1033" s="113">
        <f>SUMIFS(График[Возврат основной суммы долга],График[Дата с учетом нерабочих дней],$A1033)</f>
        <v>0</v>
      </c>
      <c r="N1033" s="56">
        <f>SUMIFS(График[Возврат начисленных %],График[Дата с учетом нерабочих дней],$A1033)</f>
        <v>0</v>
      </c>
      <c r="O1033" s="101">
        <v>0</v>
      </c>
      <c r="P1033" s="100" cm="1">
        <f t="array" aca="1" ref="P1033" ca="1">MAX(IF(AA1032="Да",0,SUM(INDIRECT("M"&amp;(MAX(("Да"=AA$12:AA1032)*ROW(AA$12:AA1032)+1,ROW($P$12))&amp;":M"&amp;(ROW()))))-SUM(INDIRECT("W"&amp;(MAX(("Да"=AA$12:AA1032)*ROW(AA$12:AA1032)+1,ROW($P$12))&amp;":W"&amp;(ROW()))))),0)</f>
        <v>16786.23</v>
      </c>
      <c r="Q1033" s="99">
        <f ca="1">MAX(SUM($N$13:N1033)-SUM($T$13:T1033),0)</f>
        <v>73007.470655737678</v>
      </c>
      <c r="R1033" s="99">
        <f ca="1">Первоначальный[[#This Row],[Просроченный платеж по ОД]]+Первоначальный[[#This Row],[Просроченный платеж по процентам]]</f>
        <v>89793.700655737674</v>
      </c>
      <c r="S1033" s="120">
        <f ca="1">IF(Первоначальный[[#This Row],[Просроченный платеж]]&lt;1,0,S1032+1)</f>
        <v>929</v>
      </c>
      <c r="T1033" s="100" cm="1">
        <f t="array" aca="1" ref="T1033" ca="1">IF(Первоначальный[[#This Row],[Итого остаток на начало периода]]&lt;1,0,
IF(
AND(TYPE(VLOOKUP(1,$Z$12:Z1033,1,0))=16,Первоначальный[[#This Row],[Досрочное погашение (да/"")]]=""),0,
_xlfn.IFS(AND(S1032=0,Первоначальный[[#This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платеж]]&lt;&gt;0),MIN(LOOKUP(,-1/($Z$12:Z1033=1),$C$12:C1033)+LOOKUP(,-1/($Z$12:Z1033=1),$H$12:H1033),Первоначальный[[#This Row],[Полученный платеж]]+Y1032),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платеж]]+Y1032,SUM(Первоначальный[[#This Row],[Остаток процентов на начало периода]],Первоначальный[[#This Row],[Проценты за период]])),
AND(S1032=0,Первоначальный[[#This Row],[Дата платежа из графика]]=""),0,
AND(S1032=0,Первоначальный[[#This Row],[Дата платежа из графика]]=1,MAX((0&lt;&gt;S$12:S1032)*ROW(S$12:S1032),ROW($S$12))&gt;=MAX((1=Z$12:Z1032)*ROW(Z$12:Z1032),ROW($T$12)),TYPE(VLOOKUP("Да",(INDIRECT("AA"&amp;(MAX((1=Z$12:Z1032)*ROW(Z$12:Z1032),ROW($T$12))&amp;":AA"&amp;(ROW()-1)))),1,0))=16),MIN(LOOKUP(,-1/($Z$12:Z1033=1),$C$12:C1033)+LOOKUP(,-1/($Z$12:Z1033=1),$H$12:H1033),Первоначальный[[#This Row],[Полученный платеж]]+Y1032),
AND(S1032=0,TYPE(VLOOKUP("Да",(INDIRECT("AA"&amp;(MAX((1=Z$12:Z1032)*ROW(Z$12:Z1032),ROW($T$12))&amp;":AA"&amp;(ROW()-1)))),1,0))&lt;&gt;16),MIN(LOOKUP(,-1/($Z$12:Z1033=1),$C$12:C1033)+LOOKUP(,-1/($Z$12:Z1033=1),$H$12:H1033)-IF(AA1032="Да",0,SUM(INDIRECT("T"&amp;(MAX(("Да"=AA$12:AA1032)*ROW(AA$12:AA1032)+1,ROW($T$12))&amp;":T"&amp;(ROW()-1))))),Первоначальный[[#This Row],[Полученный платеж]]+Y1032),
AND(S1032=0,MAX((0&lt;&gt;N$12:N1032)*ROW(N$12:N1032),ROW($S$12))&gt;=MAX((1=Z$12:Z1032)*ROW(Z$12:Z1032),ROW($T$12))),MIN(LOOKUP(,-1/($Z$12:Z1033=1),$C$12:C1033)+LOOKUP(,-1/($Z$12:Z1033=1),$H$12:H1033)-IF(N1032&lt;&gt;0,0,SUM(INDIRECT("T"&amp;(MAX((0&lt;&gt;N$12:N1032)*ROW(N$12:N1032)+1,ROW($T$12))&amp;":T"&amp;(ROW()-1))))),Первоначальный[[#This Row],[Полученный платеж]]+Y1032),
AND(S1032=0,Первоначальный[[#This Row],[Дата платежа из графика]]=1),MIN(LOOKUP(,-1/($Z$12:Z1033=1),$C$12:C1033)+LOOKUP(,-1/($Z$12:Z1033=1),$H$12:H1033)-IF(Z1032=1,0,SUM(INDIRECT("T"&amp;(MAX((1=Z$12:Z1032)*ROW(Z$12:Z1032)+1,ROW($T$12))&amp;":T"&amp;(ROW()-1))))),Первоначальный[[#This Row],[Полученный платеж]]+Y1032),
AND(Z1032&gt;0,Первоначальный[[#This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платеж]]+Y1032),
AND(S1032&gt;0,MAX((0&lt;&gt;S$12:S1032)*ROW(S$12:S1032),ROW($S$12))&gt;=MAX((1=Z$12:Z1032)*ROW(Z$12:Z1032),ROW($T$12)),TYPE(VLOOKUP("Да",(INDIRECT("AA"&amp;(MAX((1=Z$12:Z1032)*ROW(Z$12:Z1032),ROW($T$12))&amp;":AA"&amp;(ROW()-1)))),1,0))=16),MIN(LOOKUP(,-1/($Z$12:Z1033=1),$C$12:C1033)+LOOKUP(,-1/($Z$12:Z1033=1),$H$12:H1033)-SUM(INDIRECT("T"&amp;(MAX((1=Z$12:Z1032)*ROW(Z$12:Z1032),ROW($T$12))&amp;":T"&amp;(ROW()-1)))),Первоначальный[[#This Row],[Полученный платеж]]+Y1032),
S1032&gt;0,MIN(LOOKUP(,-1/($Z$12:Z1033=1),$C$12:C1033)+LOOKUP(,-1/($Z$12:Z1033=1),$H$12:H1033)-IF(Z1032=1,0,SUM(INDIRECT("T"&amp;(MAX((1=Z$12:Z1032)*ROW(Z$12:Z1032)+1,ROW($T$12))&amp;":T"&amp;(ROW()-1))))),Первоначальный[[#This Row],[Полученный платеж]]+Y1032)
)
)
)</f>
        <v>0</v>
      </c>
      <c r="U103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платеж]]+Y1032-Первоначальный[[#This Row],[Полученный платёж по процентам]])</f>
        <v>0</v>
      </c>
      <c r="V1033" s="55">
        <f t="shared" ca="1" si="183"/>
        <v>0</v>
      </c>
      <c r="W1033" s="55" cm="1">
        <f t="array" aca="1" ref="W1033" ca="1">IF(Первоначальный[[#This Row],[Итого остаток на начало периода]]&lt;1,0,
_xlfn.IFS(
AND(TYPE(VLOOKUP(1,$Z$12:Z1033,1,0))=16,Первоначальный[[#This Row],[Досрочное погашение (да/"")]]=""),0,
AND(S1032=0,Первоначальный[[#This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платеж]]+Y1032-SUM(Первоначальный[[#This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комиссиям]]),VLOOKUP(LOOKUP(,-1/($Z$12:Z1033=1),$A$12:A1033),График[[Срок конец]:[Возврат основной суммы долга]],3,0)),
AND(S1032=0,Первоначальный[[#This Row],[Дата платежа из графика]]="",Первоначальный[[#This Row],[Досрочное погашение (да/"")]]&lt;&gt;"Да"),0,
AND(S1032=0,Первоначальный[[#This Row],[Досрочное погашение (да/"")]]=""),MIN(Первоначальный[[#This Row],[Полученный платеж]]+Y1032-SUM(Первоначальный[[#This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комиссиям]]),VLOOKUP(LOOKUP(,-1/($Z$12:Z1033=1),$A$12:A1033),График[[Срок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платеж]]+Y1032-SUM(Первоначальный[[#This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S1032&gt;0,MIN(Первоначальный[[#This Row],[Полученный платеж]]+Y1032-SUM(Первоначальный[[#This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комиссиям]]),SUM(INDIRECT("M"&amp;(MAX((1=S$12:S1032)*ROW(S$12:S1032),ROW($W$12))&amp;":M"&amp;(ROW()))))-SUM(INDIRECT("W"&amp;(MAX((1=S$12:S1032)*ROW(S$12:S1032),ROW($W$12))&amp;":W"&amp;(ROW()-1)))))
)
)</f>
        <v>0</v>
      </c>
      <c r="X1033" s="55">
        <f t="shared" ca="1" si="184"/>
        <v>0</v>
      </c>
      <c r="Y1033" s="101">
        <f t="shared" ca="1" si="191"/>
        <v>0</v>
      </c>
      <c r="Z1033" s="133" t="str">
        <f>IF(TYPE((VLOOKUP(Первоначальный[[#This Row],[Дата платежа]],График[Срок конец],1,0)))=16,"",1)</f>
        <v/>
      </c>
      <c r="AA1033" s="57"/>
      <c r="AB1033" s="134"/>
      <c r="AC103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3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74241.519999999873</v>
      </c>
      <c r="AE103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3980.8799999999997</v>
      </c>
      <c r="AF103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3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212708.3895459011</v>
      </c>
      <c r="AH1033" s="55"/>
      <c r="AI1033" s="55"/>
      <c r="AJ1033" s="55"/>
      <c r="AK1033" s="101">
        <f t="shared" ca="1" si="192"/>
        <v>440564.12954590097</v>
      </c>
      <c r="AL1033" s="129">
        <f t="array" ref="AL1033">MAX((УслРестрактов[Характеристика]="Дата реструктуризации")*(УслРестрактов[Значение]=Первоначальный!$A1033),0)</f>
        <v>0</v>
      </c>
    </row>
    <row r="1034" spans="1:38" x14ac:dyDescent="0.25">
      <c r="A1034" s="97">
        <f t="shared" si="185"/>
        <v>45165</v>
      </c>
      <c r="B1034" s="100">
        <f t="shared" ca="1" si="186"/>
        <v>149633.34</v>
      </c>
      <c r="C1034" s="55">
        <f t="shared" ca="1" si="194"/>
        <v>74241.519999999873</v>
      </c>
      <c r="D1034" s="55">
        <f t="shared" ca="1" si="194"/>
        <v>3980.8799999999997</v>
      </c>
      <c r="E1034" s="55">
        <f t="shared" ca="1" si="187"/>
        <v>0</v>
      </c>
      <c r="F1034" s="55">
        <f t="shared" ca="1" si="188"/>
        <v>212708.3895459011</v>
      </c>
      <c r="G1034" s="101">
        <f t="shared" ca="1" si="189"/>
        <v>440564.12954590097</v>
      </c>
      <c r="H1034" s="100">
        <f ca="1">ROUND($B1034*VLOOKUP($A1034,$A$1:$B$10,2,1)/(365+IF(MOD(YEAR($A1034),4),0,1)*($A1034-$A1033)),2)-Первоначальный[[#This Row],[Проценты на просроченный платеж по ОД за период]]</f>
        <v>72.429999999999993</v>
      </c>
      <c r="I1034" s="55">
        <f t="shared" ca="1" si="190"/>
        <v>9.15</v>
      </c>
      <c r="J1034" s="55">
        <v>0</v>
      </c>
      <c r="K1034" s="55">
        <f t="shared" ca="1" si="193"/>
        <v>448.96850327868839</v>
      </c>
      <c r="L1034" s="55">
        <v>0</v>
      </c>
      <c r="M1034" s="113">
        <f>SUMIFS(График[Возврат основной суммы долга],График[Дата с учетом нерабочих дней],$A1034)</f>
        <v>0</v>
      </c>
      <c r="N1034" s="56">
        <f>SUMIFS(График[Возврат начисленных %],График[Дата с учетом нерабочих дней],$A1034)</f>
        <v>0</v>
      </c>
      <c r="O1034" s="101">
        <v>0</v>
      </c>
      <c r="P1034" s="100" cm="1">
        <f t="array" aca="1" ref="P1034" ca="1">MAX(IF(AA1033="Да",0,SUM(INDIRECT("M"&amp;(MAX(("Да"=AA$12:AA1033)*ROW(AA$12:AA1033)+1,ROW($P$12))&amp;":M"&amp;(ROW()))))-SUM(INDIRECT("W"&amp;(MAX(("Да"=AA$12:AA1033)*ROW(AA$12:AA1033)+1,ROW($P$12))&amp;":W"&amp;(ROW()))))),0)</f>
        <v>16786.23</v>
      </c>
      <c r="Q1034" s="99">
        <f ca="1">MAX(SUM($N$13:N1034)-SUM($T$13:T1034),0)</f>
        <v>73007.470655737678</v>
      </c>
      <c r="R1034" s="99">
        <f ca="1">Первоначальный[[#This Row],[Просроченный платеж по ОД]]+Первоначальный[[#This Row],[Просроченный платеж по процентам]]</f>
        <v>89793.700655737674</v>
      </c>
      <c r="S1034" s="120">
        <f ca="1">IF(Первоначальный[[#This Row],[Просроченный платеж]]&lt;1,0,S1033+1)</f>
        <v>930</v>
      </c>
      <c r="T1034" s="100" cm="1">
        <f t="array" aca="1" ref="T1034" ca="1">IF(Первоначальный[[#This Row],[Итого остаток на начало периода]]&lt;1,0,
IF(
AND(TYPE(VLOOKUP(1,$Z$12:Z1034,1,0))=16,Первоначальный[[#This Row],[Досрочное погашение (да/"")]]=""),0,
_xlfn.IFS(AND(S1033=0,Первоначальный[[#This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платеж]]&lt;&gt;0),MIN(LOOKUP(,-1/($Z$12:Z1034=1),$C$12:C1034)+LOOKUP(,-1/($Z$12:Z1034=1),$H$12:H1034),Первоначальный[[#This Row],[Полученный платеж]]+Y1033),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платеж]]+Y1033,SUM(Первоначальный[[#This Row],[Остаток процентов на начало периода]],Первоначальный[[#This Row],[Проценты за период]])),
AND(S1033=0,Первоначальный[[#This Row],[Дата платежа из графика]]=""),0,
AND(S1033=0,Первоначальный[[#This Row],[Дата платежа из графика]]=1,MAX((0&lt;&gt;S$12:S1033)*ROW(S$12:S1033),ROW($S$12))&gt;=MAX((1=Z$12:Z1033)*ROW(Z$12:Z1033),ROW($T$12)),TYPE(VLOOKUP("Да",(INDIRECT("AA"&amp;(MAX((1=Z$12:Z1033)*ROW(Z$12:Z1033),ROW($T$12))&amp;":AA"&amp;(ROW()-1)))),1,0))=16),MIN(LOOKUP(,-1/($Z$12:Z1034=1),$C$12:C1034)+LOOKUP(,-1/($Z$12:Z1034=1),$H$12:H1034),Первоначальный[[#This Row],[Полученный платеж]]+Y1033),
AND(S1033=0,TYPE(VLOOKUP("Да",(INDIRECT("AA"&amp;(MAX((1=Z$12:Z1033)*ROW(Z$12:Z1033),ROW($T$12))&amp;":AA"&amp;(ROW()-1)))),1,0))&lt;&gt;16),MIN(LOOKUP(,-1/($Z$12:Z1034=1),$C$12:C1034)+LOOKUP(,-1/($Z$12:Z1034=1),$H$12:H1034)-IF(AA1033="Да",0,SUM(INDIRECT("T"&amp;(MAX(("Да"=AA$12:AA1033)*ROW(AA$12:AA1033)+1,ROW($T$12))&amp;":T"&amp;(ROW()-1))))),Первоначальный[[#This Row],[Полученный платеж]]+Y1033),
AND(S1033=0,MAX((0&lt;&gt;N$12:N1033)*ROW(N$12:N1033),ROW($S$12))&gt;=MAX((1=Z$12:Z1033)*ROW(Z$12:Z1033),ROW($T$12))),MIN(LOOKUP(,-1/($Z$12:Z1034=1),$C$12:C1034)+LOOKUP(,-1/($Z$12:Z1034=1),$H$12:H1034)-IF(N1033&lt;&gt;0,0,SUM(INDIRECT("T"&amp;(MAX((0&lt;&gt;N$12:N1033)*ROW(N$12:N1033)+1,ROW($T$12))&amp;":T"&amp;(ROW()-1))))),Первоначальный[[#This Row],[Полученный платеж]]+Y1033),
AND(S1033=0,Первоначальный[[#This Row],[Дата платежа из графика]]=1),MIN(LOOKUP(,-1/($Z$12:Z1034=1),$C$12:C1034)+LOOKUP(,-1/($Z$12:Z1034=1),$H$12:H1034)-IF(Z1033=1,0,SUM(INDIRECT("T"&amp;(MAX((1=Z$12:Z1033)*ROW(Z$12:Z1033)+1,ROW($T$12))&amp;":T"&amp;(ROW()-1))))),Первоначальный[[#This Row],[Полученный платеж]]+Y1033),
AND(Z1033&gt;0,Первоначальный[[#This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платеж]]+Y1033),
AND(S1033&gt;0,MAX((0&lt;&gt;S$12:S1033)*ROW(S$12:S1033),ROW($S$12))&gt;=MAX((1=Z$12:Z1033)*ROW(Z$12:Z1033),ROW($T$12)),TYPE(VLOOKUP("Да",(INDIRECT("AA"&amp;(MAX((1=Z$12:Z1033)*ROW(Z$12:Z1033),ROW($T$12))&amp;":AA"&amp;(ROW()-1)))),1,0))=16),MIN(LOOKUP(,-1/($Z$12:Z1034=1),$C$12:C1034)+LOOKUP(,-1/($Z$12:Z1034=1),$H$12:H1034)-SUM(INDIRECT("T"&amp;(MAX((1=Z$12:Z1033)*ROW(Z$12:Z1033),ROW($T$12))&amp;":T"&amp;(ROW()-1)))),Первоначальный[[#This Row],[Полученный платеж]]+Y1033),
S1033&gt;0,MIN(LOOKUP(,-1/($Z$12:Z1034=1),$C$12:C1034)+LOOKUP(,-1/($Z$12:Z1034=1),$H$12:H1034)-IF(Z1033=1,0,SUM(INDIRECT("T"&amp;(MAX((1=Z$12:Z1033)*ROW(Z$12:Z1033)+1,ROW($T$12))&amp;":T"&amp;(ROW()-1))))),Первоначальный[[#This Row],[Полученный платеж]]+Y1033)
)
)
)</f>
        <v>0</v>
      </c>
      <c r="U103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платеж]]+Y1033-Первоначальный[[#This Row],[Полученный платёж по процентам]])</f>
        <v>0</v>
      </c>
      <c r="V1034" s="55">
        <f t="shared" ca="1" si="183"/>
        <v>0</v>
      </c>
      <c r="W1034" s="55" cm="1">
        <f t="array" aca="1" ref="W1034" ca="1">IF(Первоначальный[[#This Row],[Итого остаток на начало периода]]&lt;1,0,
_xlfn.IFS(
AND(TYPE(VLOOKUP(1,$Z$12:Z1034,1,0))=16,Первоначальный[[#This Row],[Досрочное погашение (да/"")]]=""),0,
AND(S1033=0,Первоначальный[[#This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платеж]]+Y1033-SUM(Первоначальный[[#This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комиссиям]]),VLOOKUP(LOOKUP(,-1/($Z$12:Z1034=1),$A$12:A1034),График[[Срок конец]:[Возврат основной суммы долга]],3,0)),
AND(S1033=0,Первоначальный[[#This Row],[Дата платежа из графика]]="",Первоначальный[[#This Row],[Досрочное погашение (да/"")]]&lt;&gt;"Да"),0,
AND(S1033=0,Первоначальный[[#This Row],[Досрочное погашение (да/"")]]=""),MIN(Первоначальный[[#This Row],[Полученный платеж]]+Y1033-SUM(Первоначальный[[#This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комиссиям]]),VLOOKUP(LOOKUP(,-1/($Z$12:Z1034=1),$A$12:A1034),График[[Срок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платеж]]+Y1033-SUM(Первоначальный[[#This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S1033&gt;0,MIN(Первоначальный[[#This Row],[Полученный платеж]]+Y1033-SUM(Первоначальный[[#This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комиссиям]]),SUM(INDIRECT("M"&amp;(MAX((1=S$12:S1033)*ROW(S$12:S1033),ROW($W$12))&amp;":M"&amp;(ROW()))))-SUM(INDIRECT("W"&amp;(MAX((1=S$12:S1033)*ROW(S$12:S1033),ROW($W$12))&amp;":W"&amp;(ROW()-1)))))
)
)</f>
        <v>0</v>
      </c>
      <c r="X1034" s="55">
        <f t="shared" ca="1" si="184"/>
        <v>0</v>
      </c>
      <c r="Y1034" s="101">
        <f t="shared" ca="1" si="191"/>
        <v>0</v>
      </c>
      <c r="Z1034" s="133" t="str">
        <f>IF(TYPE((VLOOKUP(Первоначальный[[#This Row],[Дата платежа]],График[Срок конец],1,0)))=16,"",1)</f>
        <v/>
      </c>
      <c r="AA1034" s="57"/>
      <c r="AB1034" s="134"/>
      <c r="AC103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3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74313.949999999866</v>
      </c>
      <c r="AE103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3990.0299999999997</v>
      </c>
      <c r="AF103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3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213157.35804917978</v>
      </c>
      <c r="AH1034" s="55"/>
      <c r="AI1034" s="55"/>
      <c r="AJ1034" s="55"/>
      <c r="AK1034" s="101">
        <f t="shared" ca="1" si="192"/>
        <v>441094.67804917961</v>
      </c>
      <c r="AL1034" s="129">
        <f t="array" ref="AL1034">MAX((УслРестрактов[Характеристика]="Дата реструктуризации")*(УслРестрактов[Значение]=Первоначальный!$A1034),0)</f>
        <v>0</v>
      </c>
    </row>
    <row r="1035" spans="1:38" x14ac:dyDescent="0.25">
      <c r="A1035" s="97">
        <f t="shared" si="185"/>
        <v>45166</v>
      </c>
      <c r="B1035" s="100">
        <f t="shared" ca="1" si="186"/>
        <v>149633.34</v>
      </c>
      <c r="C1035" s="55">
        <f t="shared" ca="1" si="194"/>
        <v>74313.949999999866</v>
      </c>
      <c r="D1035" s="55">
        <f t="shared" ca="1" si="194"/>
        <v>3990.0299999999997</v>
      </c>
      <c r="E1035" s="55">
        <f t="shared" ca="1" si="187"/>
        <v>0</v>
      </c>
      <c r="F1035" s="55">
        <f t="shared" ca="1" si="188"/>
        <v>213157.35804917978</v>
      </c>
      <c r="G1035" s="101">
        <f t="shared" ca="1" si="189"/>
        <v>441094.67804917961</v>
      </c>
      <c r="H1035" s="100">
        <f ca="1">ROUND($B1035*VLOOKUP($A1035,$A$1:$B$10,2,1)/(365+IF(MOD(YEAR($A1035),4),0,1)*($A1035-$A1034)),2)-Первоначальный[[#This Row],[Проценты на просроченный платеж по ОД за период]]</f>
        <v>72.429999999999993</v>
      </c>
      <c r="I1035" s="55">
        <f t="shared" ca="1" si="190"/>
        <v>9.15</v>
      </c>
      <c r="J1035" s="55">
        <v>0</v>
      </c>
      <c r="K1035" s="55">
        <f t="shared" ca="1" si="193"/>
        <v>448.96850327868839</v>
      </c>
      <c r="L1035" s="55">
        <v>0</v>
      </c>
      <c r="M1035" s="113">
        <f>SUMIFS(График[Возврат основной суммы долга],График[Дата с учетом нерабочих дней],$A1035)</f>
        <v>0</v>
      </c>
      <c r="N1035" s="56">
        <f>SUMIFS(График[Возврат начисленных %],График[Дата с учетом нерабочих дней],$A1035)</f>
        <v>0</v>
      </c>
      <c r="O1035" s="101">
        <v>0</v>
      </c>
      <c r="P1035" s="100" cm="1">
        <f t="array" aca="1" ref="P1035" ca="1">MAX(IF(AA1034="Да",0,SUM(INDIRECT("M"&amp;(MAX(("Да"=AA$12:AA1034)*ROW(AA$12:AA1034)+1,ROW($P$12))&amp;":M"&amp;(ROW()))))-SUM(INDIRECT("W"&amp;(MAX(("Да"=AA$12:AA1034)*ROW(AA$12:AA1034)+1,ROW($P$12))&amp;":W"&amp;(ROW()))))),0)</f>
        <v>16786.23</v>
      </c>
      <c r="Q1035" s="99">
        <f ca="1">MAX(SUM($N$13:N1035)-SUM($T$13:T1035),0)</f>
        <v>73007.470655737678</v>
      </c>
      <c r="R1035" s="99">
        <f ca="1">Первоначальный[[#This Row],[Просроченный платеж по ОД]]+Первоначальный[[#This Row],[Просроченный платеж по процентам]]</f>
        <v>89793.700655737674</v>
      </c>
      <c r="S1035" s="120">
        <f ca="1">IF(Первоначальный[[#This Row],[Просроченный платеж]]&lt;1,0,S1034+1)</f>
        <v>931</v>
      </c>
      <c r="T1035" s="100" cm="1">
        <f t="array" aca="1" ref="T1035" ca="1">IF(Первоначальный[[#This Row],[Итого остаток на начало периода]]&lt;1,0,
IF(
AND(TYPE(VLOOKUP(1,$Z$12:Z1035,1,0))=16,Первоначальный[[#This Row],[Досрочное погашение (да/"")]]=""),0,
_xlfn.IFS(AND(S1034=0,Первоначальный[[#This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платеж]]&lt;&gt;0),MIN(LOOKUP(,-1/($Z$12:Z1035=1),$C$12:C1035)+LOOKUP(,-1/($Z$12:Z1035=1),$H$12:H1035),Первоначальный[[#This Row],[Полученный платеж]]+Y1034),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платеж]]+Y1034,SUM(Первоначальный[[#This Row],[Остаток процентов на начало периода]],Первоначальный[[#This Row],[Проценты за период]])),
AND(S1034=0,Первоначальный[[#This Row],[Дата платежа из графика]]=""),0,
AND(S1034=0,Первоначальный[[#This Row],[Дата платежа из графика]]=1,MAX((0&lt;&gt;S$12:S1034)*ROW(S$12:S1034),ROW($S$12))&gt;=MAX((1=Z$12:Z1034)*ROW(Z$12:Z1034),ROW($T$12)),TYPE(VLOOKUP("Да",(INDIRECT("AA"&amp;(MAX((1=Z$12:Z1034)*ROW(Z$12:Z1034),ROW($T$12))&amp;":AA"&amp;(ROW()-1)))),1,0))=16),MIN(LOOKUP(,-1/($Z$12:Z1035=1),$C$12:C1035)+LOOKUP(,-1/($Z$12:Z1035=1),$H$12:H1035),Первоначальный[[#This Row],[Полученный платеж]]+Y1034),
AND(S1034=0,TYPE(VLOOKUP("Да",(INDIRECT("AA"&amp;(MAX((1=Z$12:Z1034)*ROW(Z$12:Z1034),ROW($T$12))&amp;":AA"&amp;(ROW()-1)))),1,0))&lt;&gt;16),MIN(LOOKUP(,-1/($Z$12:Z1035=1),$C$12:C1035)+LOOKUP(,-1/($Z$12:Z1035=1),$H$12:H1035)-IF(AA1034="Да",0,SUM(INDIRECT("T"&amp;(MAX(("Да"=AA$12:AA1034)*ROW(AA$12:AA1034)+1,ROW($T$12))&amp;":T"&amp;(ROW()-1))))),Первоначальный[[#This Row],[Полученный платеж]]+Y1034),
AND(S1034=0,MAX((0&lt;&gt;N$12:N1034)*ROW(N$12:N1034),ROW($S$12))&gt;=MAX((1=Z$12:Z1034)*ROW(Z$12:Z1034),ROW($T$12))),MIN(LOOKUP(,-1/($Z$12:Z1035=1),$C$12:C1035)+LOOKUP(,-1/($Z$12:Z1035=1),$H$12:H1035)-IF(N1034&lt;&gt;0,0,SUM(INDIRECT("T"&amp;(MAX((0&lt;&gt;N$12:N1034)*ROW(N$12:N1034)+1,ROW($T$12))&amp;":T"&amp;(ROW()-1))))),Первоначальный[[#This Row],[Полученный платеж]]+Y1034),
AND(S1034=0,Первоначальный[[#This Row],[Дата платежа из графика]]=1),MIN(LOOKUP(,-1/($Z$12:Z1035=1),$C$12:C1035)+LOOKUP(,-1/($Z$12:Z1035=1),$H$12:H1035)-IF(Z1034=1,0,SUM(INDIRECT("T"&amp;(MAX((1=Z$12:Z1034)*ROW(Z$12:Z1034)+1,ROW($T$12))&amp;":T"&amp;(ROW()-1))))),Первоначальный[[#This Row],[Полученный платеж]]+Y1034),
AND(Z1034&gt;0,Первоначальный[[#This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платеж]]+Y1034),
AND(S1034&gt;0,MAX((0&lt;&gt;S$12:S1034)*ROW(S$12:S1034),ROW($S$12))&gt;=MAX((1=Z$12:Z1034)*ROW(Z$12:Z1034),ROW($T$12)),TYPE(VLOOKUP("Да",(INDIRECT("AA"&amp;(MAX((1=Z$12:Z1034)*ROW(Z$12:Z1034),ROW($T$12))&amp;":AA"&amp;(ROW()-1)))),1,0))=16),MIN(LOOKUP(,-1/($Z$12:Z1035=1),$C$12:C1035)+LOOKUP(,-1/($Z$12:Z1035=1),$H$12:H1035)-SUM(INDIRECT("T"&amp;(MAX((1=Z$12:Z1034)*ROW(Z$12:Z1034),ROW($T$12))&amp;":T"&amp;(ROW()-1)))),Первоначальный[[#This Row],[Полученный платеж]]+Y1034),
S1034&gt;0,MIN(LOOKUP(,-1/($Z$12:Z1035=1),$C$12:C1035)+LOOKUP(,-1/($Z$12:Z1035=1),$H$12:H1035)-IF(Z1034=1,0,SUM(INDIRECT("T"&amp;(MAX((1=Z$12:Z1034)*ROW(Z$12:Z1034)+1,ROW($T$12))&amp;":T"&amp;(ROW()-1))))),Первоначальный[[#This Row],[Полученный платеж]]+Y1034)
)
)
)</f>
        <v>0</v>
      </c>
      <c r="U103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платеж]]+Y1034-Первоначальный[[#This Row],[Полученный платёж по процентам]])</f>
        <v>0</v>
      </c>
      <c r="V1035" s="55">
        <f t="shared" ca="1" si="183"/>
        <v>0</v>
      </c>
      <c r="W1035" s="55" cm="1">
        <f t="array" aca="1" ref="W1035" ca="1">IF(Первоначальный[[#This Row],[Итого остаток на начало периода]]&lt;1,0,
_xlfn.IFS(
AND(TYPE(VLOOKUP(1,$Z$12:Z1035,1,0))=16,Первоначальный[[#This Row],[Досрочное погашение (да/"")]]=""),0,
AND(S1034=0,Первоначальный[[#This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платеж]]+Y1034-SUM(Первоначальный[[#This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комиссиям]]),VLOOKUP(LOOKUP(,-1/($Z$12:Z1035=1),$A$12:A1035),График[[Срок конец]:[Возврат основной суммы долга]],3,0)),
AND(S1034=0,Первоначальный[[#This Row],[Дата платежа из графика]]="",Первоначальный[[#This Row],[Досрочное погашение (да/"")]]&lt;&gt;"Да"),0,
AND(S1034=0,Первоначальный[[#This Row],[Досрочное погашение (да/"")]]=""),MIN(Первоначальный[[#This Row],[Полученный платеж]]+Y1034-SUM(Первоначальный[[#This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комиссиям]]),VLOOKUP(LOOKUP(,-1/($Z$12:Z1035=1),$A$12:A1035),График[[Срок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платеж]]+Y1034-SUM(Первоначальный[[#This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S1034&gt;0,MIN(Первоначальный[[#This Row],[Полученный платеж]]+Y1034-SUM(Первоначальный[[#This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комиссиям]]),SUM(INDIRECT("M"&amp;(MAX((1=S$12:S1034)*ROW(S$12:S1034),ROW($W$12))&amp;":M"&amp;(ROW()))))-SUM(INDIRECT("W"&amp;(MAX((1=S$12:S1034)*ROW(S$12:S1034),ROW($W$12))&amp;":W"&amp;(ROW()-1)))))
)
)</f>
        <v>0</v>
      </c>
      <c r="X1035" s="55">
        <f t="shared" ca="1" si="184"/>
        <v>0</v>
      </c>
      <c r="Y1035" s="101">
        <f t="shared" ca="1" si="191"/>
        <v>0</v>
      </c>
      <c r="Z1035" s="133" t="str">
        <f>IF(TYPE((VLOOKUP(Первоначальный[[#This Row],[Дата платежа]],График[Срок конец],1,0)))=16,"",1)</f>
        <v/>
      </c>
      <c r="AA1035" s="57"/>
      <c r="AB1035" s="134"/>
      <c r="AC103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3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74386.379999999859</v>
      </c>
      <c r="AE103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3999.18</v>
      </c>
      <c r="AF103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3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213606.32655245846</v>
      </c>
      <c r="AH1035" s="55"/>
      <c r="AI1035" s="55"/>
      <c r="AJ1035" s="55"/>
      <c r="AK1035" s="101">
        <f t="shared" ca="1" si="192"/>
        <v>441625.22655245831</v>
      </c>
      <c r="AL1035" s="129">
        <f t="array" ref="AL1035">MAX((УслРестрактов[Характеристика]="Дата реструктуризации")*(УслРестрактов[Значение]=Первоначальный!$A1035),0)</f>
        <v>0</v>
      </c>
    </row>
    <row r="1036" spans="1:38" x14ac:dyDescent="0.25">
      <c r="A1036" s="97">
        <f t="shared" si="185"/>
        <v>45167</v>
      </c>
      <c r="B1036" s="100">
        <f t="shared" ca="1" si="186"/>
        <v>149633.34</v>
      </c>
      <c r="C1036" s="55">
        <f t="shared" ca="1" si="194"/>
        <v>74386.379999999859</v>
      </c>
      <c r="D1036" s="55">
        <f t="shared" ca="1" si="194"/>
        <v>3999.18</v>
      </c>
      <c r="E1036" s="55">
        <f t="shared" ca="1" si="187"/>
        <v>0</v>
      </c>
      <c r="F1036" s="55">
        <f t="shared" ca="1" si="188"/>
        <v>213606.32655245846</v>
      </c>
      <c r="G1036" s="101">
        <f t="shared" ca="1" si="189"/>
        <v>441625.22655245831</v>
      </c>
      <c r="H1036" s="100">
        <f ca="1">ROUND($B1036*VLOOKUP($A1036,$A$1:$B$10,2,1)/(365+IF(MOD(YEAR($A1036),4),0,1)*($A1036-$A1035)),2)-Первоначальный[[#This Row],[Проценты на просроченный платеж по ОД за период]]</f>
        <v>72.429999999999993</v>
      </c>
      <c r="I1036" s="55">
        <f t="shared" ca="1" si="190"/>
        <v>9.15</v>
      </c>
      <c r="J1036" s="55">
        <v>0</v>
      </c>
      <c r="K1036" s="55">
        <f t="shared" ca="1" si="193"/>
        <v>448.96850327868839</v>
      </c>
      <c r="L1036" s="55">
        <v>0</v>
      </c>
      <c r="M1036" s="113">
        <f>SUMIFS(График[Возврат основной суммы долга],График[Дата с учетом нерабочих дней],$A1036)</f>
        <v>0</v>
      </c>
      <c r="N1036" s="56">
        <f>SUMIFS(График[Возврат начисленных %],График[Дата с учетом нерабочих дней],$A1036)</f>
        <v>0</v>
      </c>
      <c r="O1036" s="101">
        <v>0</v>
      </c>
      <c r="P1036" s="100" cm="1">
        <f t="array" aca="1" ref="P1036" ca="1">MAX(IF(AA1035="Да",0,SUM(INDIRECT("M"&amp;(MAX(("Да"=AA$12:AA1035)*ROW(AA$12:AA1035)+1,ROW($P$12))&amp;":M"&amp;(ROW()))))-SUM(INDIRECT("W"&amp;(MAX(("Да"=AA$12:AA1035)*ROW(AA$12:AA1035)+1,ROW($P$12))&amp;":W"&amp;(ROW()))))),0)</f>
        <v>16786.23</v>
      </c>
      <c r="Q1036" s="99">
        <f ca="1">MAX(SUM($N$13:N1036)-SUM($T$13:T1036),0)</f>
        <v>73007.470655737678</v>
      </c>
      <c r="R1036" s="99">
        <f ca="1">Первоначальный[[#This Row],[Просроченный платеж по ОД]]+Первоначальный[[#This Row],[Просроченный платеж по процентам]]</f>
        <v>89793.700655737674</v>
      </c>
      <c r="S1036" s="120">
        <f ca="1">IF(Первоначальный[[#This Row],[Просроченный платеж]]&lt;1,0,S1035+1)</f>
        <v>932</v>
      </c>
      <c r="T1036" s="100" cm="1">
        <f t="array" aca="1" ref="T1036" ca="1">IF(Первоначальный[[#This Row],[Итого остаток на начало периода]]&lt;1,0,
IF(
AND(TYPE(VLOOKUP(1,$Z$12:Z1036,1,0))=16,Первоначальный[[#This Row],[Досрочное погашение (да/"")]]=""),0,
_xlfn.IFS(AND(S1035=0,Первоначальный[[#This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платеж]]&lt;&gt;0),MIN(LOOKUP(,-1/($Z$12:Z1036=1),$C$12:C1036)+LOOKUP(,-1/($Z$12:Z1036=1),$H$12:H1036),Первоначальный[[#This Row],[Полученный платеж]]+Y1035),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платеж]]+Y1035,SUM(Первоначальный[[#This Row],[Остаток процентов на начало периода]],Первоначальный[[#This Row],[Проценты за период]])),
AND(S1035=0,Первоначальный[[#This Row],[Дата платежа из графика]]=""),0,
AND(S1035=0,Первоначальный[[#This Row],[Дата платежа из графика]]=1,MAX((0&lt;&gt;S$12:S1035)*ROW(S$12:S1035),ROW($S$12))&gt;=MAX((1=Z$12:Z1035)*ROW(Z$12:Z1035),ROW($T$12)),TYPE(VLOOKUP("Да",(INDIRECT("AA"&amp;(MAX((1=Z$12:Z1035)*ROW(Z$12:Z1035),ROW($T$12))&amp;":AA"&amp;(ROW()-1)))),1,0))=16),MIN(LOOKUP(,-1/($Z$12:Z1036=1),$C$12:C1036)+LOOKUP(,-1/($Z$12:Z1036=1),$H$12:H1036),Первоначальный[[#This Row],[Полученный платеж]]+Y1035),
AND(S1035=0,TYPE(VLOOKUP("Да",(INDIRECT("AA"&amp;(MAX((1=Z$12:Z1035)*ROW(Z$12:Z1035),ROW($T$12))&amp;":AA"&amp;(ROW()-1)))),1,0))&lt;&gt;16),MIN(LOOKUP(,-1/($Z$12:Z1036=1),$C$12:C1036)+LOOKUP(,-1/($Z$12:Z1036=1),$H$12:H1036)-IF(AA1035="Да",0,SUM(INDIRECT("T"&amp;(MAX(("Да"=AA$12:AA1035)*ROW(AA$12:AA1035)+1,ROW($T$12))&amp;":T"&amp;(ROW()-1))))),Первоначальный[[#This Row],[Полученный платеж]]+Y1035),
AND(S1035=0,MAX((0&lt;&gt;N$12:N1035)*ROW(N$12:N1035),ROW($S$12))&gt;=MAX((1=Z$12:Z1035)*ROW(Z$12:Z1035),ROW($T$12))),MIN(LOOKUP(,-1/($Z$12:Z1036=1),$C$12:C1036)+LOOKUP(,-1/($Z$12:Z1036=1),$H$12:H1036)-IF(N1035&lt;&gt;0,0,SUM(INDIRECT("T"&amp;(MAX((0&lt;&gt;N$12:N1035)*ROW(N$12:N1035)+1,ROW($T$12))&amp;":T"&amp;(ROW()-1))))),Первоначальный[[#This Row],[Полученный платеж]]+Y1035),
AND(S1035=0,Первоначальный[[#This Row],[Дата платежа из графика]]=1),MIN(LOOKUP(,-1/($Z$12:Z1036=1),$C$12:C1036)+LOOKUP(,-1/($Z$12:Z1036=1),$H$12:H1036)-IF(Z1035=1,0,SUM(INDIRECT("T"&amp;(MAX((1=Z$12:Z1035)*ROW(Z$12:Z1035)+1,ROW($T$12))&amp;":T"&amp;(ROW()-1))))),Первоначальный[[#This Row],[Полученный платеж]]+Y1035),
AND(Z1035&gt;0,Первоначальный[[#This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платеж]]+Y1035),
AND(S1035&gt;0,MAX((0&lt;&gt;S$12:S1035)*ROW(S$12:S1035),ROW($S$12))&gt;=MAX((1=Z$12:Z1035)*ROW(Z$12:Z1035),ROW($T$12)),TYPE(VLOOKUP("Да",(INDIRECT("AA"&amp;(MAX((1=Z$12:Z1035)*ROW(Z$12:Z1035),ROW($T$12))&amp;":AA"&amp;(ROW()-1)))),1,0))=16),MIN(LOOKUP(,-1/($Z$12:Z1036=1),$C$12:C1036)+LOOKUP(,-1/($Z$12:Z1036=1),$H$12:H1036)-SUM(INDIRECT("T"&amp;(MAX((1=Z$12:Z1035)*ROW(Z$12:Z1035),ROW($T$12))&amp;":T"&amp;(ROW()-1)))),Первоначальный[[#This Row],[Полученный платеж]]+Y1035),
S1035&gt;0,MIN(LOOKUP(,-1/($Z$12:Z1036=1),$C$12:C1036)+LOOKUP(,-1/($Z$12:Z1036=1),$H$12:H1036)-IF(Z1035=1,0,SUM(INDIRECT("T"&amp;(MAX((1=Z$12:Z1035)*ROW(Z$12:Z1035)+1,ROW($T$12))&amp;":T"&amp;(ROW()-1))))),Первоначальный[[#This Row],[Полученный платеж]]+Y1035)
)
)
)</f>
        <v>0</v>
      </c>
      <c r="U103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платеж]]+Y1035-Первоначальный[[#This Row],[Полученный платёж по процентам]])</f>
        <v>0</v>
      </c>
      <c r="V1036" s="55">
        <f t="shared" ca="1" si="183"/>
        <v>0</v>
      </c>
      <c r="W1036" s="55" cm="1">
        <f t="array" aca="1" ref="W1036" ca="1">IF(Первоначальный[[#This Row],[Итого остаток на начало периода]]&lt;1,0,
_xlfn.IFS(
AND(TYPE(VLOOKUP(1,$Z$12:Z1036,1,0))=16,Первоначальный[[#This Row],[Досрочное погашение (да/"")]]=""),0,
AND(S1035=0,Первоначальный[[#This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платеж]]+Y1035-SUM(Первоначальный[[#This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комиссиям]]),VLOOKUP(LOOKUP(,-1/($Z$12:Z1036=1),$A$12:A1036),График[[Срок конец]:[Возврат основной суммы долга]],3,0)),
AND(S1035=0,Первоначальный[[#This Row],[Дата платежа из графика]]="",Первоначальный[[#This Row],[Досрочное погашение (да/"")]]&lt;&gt;"Да"),0,
AND(S1035=0,Первоначальный[[#This Row],[Досрочное погашение (да/"")]]=""),MIN(Первоначальный[[#This Row],[Полученный платеж]]+Y1035-SUM(Первоначальный[[#This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комиссиям]]),VLOOKUP(LOOKUP(,-1/($Z$12:Z1036=1),$A$12:A1036),График[[Срок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платеж]]+Y1035-SUM(Первоначальный[[#This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S1035&gt;0,MIN(Первоначальный[[#This Row],[Полученный платеж]]+Y1035-SUM(Первоначальный[[#This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комиссиям]]),SUM(INDIRECT("M"&amp;(MAX((1=S$12:S1035)*ROW(S$12:S1035),ROW($W$12))&amp;":M"&amp;(ROW()))))-SUM(INDIRECT("W"&amp;(MAX((1=S$12:S1035)*ROW(S$12:S1035),ROW($W$12))&amp;":W"&amp;(ROW()-1)))))
)
)</f>
        <v>0</v>
      </c>
      <c r="X1036" s="55">
        <f t="shared" ca="1" si="184"/>
        <v>0</v>
      </c>
      <c r="Y1036" s="101">
        <f t="shared" ca="1" si="191"/>
        <v>0</v>
      </c>
      <c r="Z1036" s="133" t="str">
        <f>IF(TYPE((VLOOKUP(Первоначальный[[#This Row],[Дата платежа]],График[Срок конец],1,0)))=16,"",1)</f>
        <v/>
      </c>
      <c r="AA1036" s="57"/>
      <c r="AB1036" s="134"/>
      <c r="AC103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3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74458.809999999852</v>
      </c>
      <c r="AE103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4008.33</v>
      </c>
      <c r="AF103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3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214055.29505573714</v>
      </c>
      <c r="AH1036" s="55"/>
      <c r="AI1036" s="55"/>
      <c r="AJ1036" s="55"/>
      <c r="AK1036" s="101">
        <f t="shared" ca="1" si="192"/>
        <v>442155.775055737</v>
      </c>
      <c r="AL1036" s="129">
        <f t="array" ref="AL1036">MAX((УслРестрактов[Характеристика]="Дата реструктуризации")*(УслРестрактов[Значение]=Первоначальный!$A1036),0)</f>
        <v>0</v>
      </c>
    </row>
    <row r="1037" spans="1:38" x14ac:dyDescent="0.25">
      <c r="A1037" s="97">
        <f t="shared" si="185"/>
        <v>45168</v>
      </c>
      <c r="B1037" s="100">
        <f t="shared" ca="1" si="186"/>
        <v>149633.34</v>
      </c>
      <c r="C1037" s="55">
        <f t="shared" ca="1" si="194"/>
        <v>74458.809999999852</v>
      </c>
      <c r="D1037" s="55">
        <f t="shared" ca="1" si="194"/>
        <v>4008.33</v>
      </c>
      <c r="E1037" s="55">
        <f t="shared" ca="1" si="187"/>
        <v>0</v>
      </c>
      <c r="F1037" s="55">
        <f t="shared" ca="1" si="188"/>
        <v>214055.29505573714</v>
      </c>
      <c r="G1037" s="101">
        <f t="shared" ca="1" si="189"/>
        <v>442155.775055737</v>
      </c>
      <c r="H1037" s="100">
        <f ca="1">ROUND($B1037*VLOOKUP($A1037,$A$1:$B$10,2,1)/(365+IF(MOD(YEAR($A1037),4),0,1)*($A1037-$A1036)),2)-Первоначальный[[#This Row],[Проценты на просроченный платеж по ОД за период]]</f>
        <v>72.429999999999993</v>
      </c>
      <c r="I1037" s="55">
        <f t="shared" ca="1" si="190"/>
        <v>9.15</v>
      </c>
      <c r="J1037" s="55">
        <v>0</v>
      </c>
      <c r="K1037" s="55">
        <f t="shared" ca="1" si="193"/>
        <v>448.96850327868839</v>
      </c>
      <c r="L1037" s="55">
        <v>0</v>
      </c>
      <c r="M1037" s="113">
        <f>SUMIFS(График[Возврат основной суммы долга],График[Дата с учетом нерабочих дней],$A1037)</f>
        <v>0</v>
      </c>
      <c r="N1037" s="56">
        <f>SUMIFS(График[Возврат начисленных %],График[Дата с учетом нерабочих дней],$A1037)</f>
        <v>0</v>
      </c>
      <c r="O1037" s="101">
        <v>0</v>
      </c>
      <c r="P1037" s="100" cm="1">
        <f t="array" aca="1" ref="P1037" ca="1">MAX(IF(AA1036="Да",0,SUM(INDIRECT("M"&amp;(MAX(("Да"=AA$12:AA1036)*ROW(AA$12:AA1036)+1,ROW($P$12))&amp;":M"&amp;(ROW()))))-SUM(INDIRECT("W"&amp;(MAX(("Да"=AA$12:AA1036)*ROW(AA$12:AA1036)+1,ROW($P$12))&amp;":W"&amp;(ROW()))))),0)</f>
        <v>16786.23</v>
      </c>
      <c r="Q1037" s="99">
        <f ca="1">MAX(SUM($N$13:N1037)-SUM($T$13:T1037),0)</f>
        <v>73007.470655737678</v>
      </c>
      <c r="R1037" s="99">
        <f ca="1">Первоначальный[[#This Row],[Просроченный платеж по ОД]]+Первоначальный[[#This Row],[Просроченный платеж по процентам]]</f>
        <v>89793.700655737674</v>
      </c>
      <c r="S1037" s="120">
        <f ca="1">IF(Первоначальный[[#This Row],[Просроченный платеж]]&lt;1,0,S1036+1)</f>
        <v>933</v>
      </c>
      <c r="T1037" s="100" cm="1">
        <f t="array" aca="1" ref="T1037" ca="1">IF(Первоначальный[[#This Row],[Итого остаток на начало периода]]&lt;1,0,
IF(
AND(TYPE(VLOOKUP(1,$Z$12:Z1037,1,0))=16,Первоначальный[[#This Row],[Досрочное погашение (да/"")]]=""),0,
_xlfn.IFS(AND(S1036=0,Первоначальный[[#This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платеж]]&lt;&gt;0),MIN(LOOKUP(,-1/($Z$12:Z1037=1),$C$12:C1037)+LOOKUP(,-1/($Z$12:Z1037=1),$H$12:H1037),Первоначальный[[#This Row],[Полученный платеж]]+Y1036),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платеж]]+Y1036,SUM(Первоначальный[[#This Row],[Остаток процентов на начало периода]],Первоначальный[[#This Row],[Проценты за период]])),
AND(S1036=0,Первоначальный[[#This Row],[Дата платежа из графика]]=""),0,
AND(S1036=0,Первоначальный[[#This Row],[Дата платежа из графика]]=1,MAX((0&lt;&gt;S$12:S1036)*ROW(S$12:S1036),ROW($S$12))&gt;=MAX((1=Z$12:Z1036)*ROW(Z$12:Z1036),ROW($T$12)),TYPE(VLOOKUP("Да",(INDIRECT("AA"&amp;(MAX((1=Z$12:Z1036)*ROW(Z$12:Z1036),ROW($T$12))&amp;":AA"&amp;(ROW()-1)))),1,0))=16),MIN(LOOKUP(,-1/($Z$12:Z1037=1),$C$12:C1037)+LOOKUP(,-1/($Z$12:Z1037=1),$H$12:H1037),Первоначальный[[#This Row],[Полученный платеж]]+Y1036),
AND(S1036=0,TYPE(VLOOKUP("Да",(INDIRECT("AA"&amp;(MAX((1=Z$12:Z1036)*ROW(Z$12:Z1036),ROW($T$12))&amp;":AA"&amp;(ROW()-1)))),1,0))&lt;&gt;16),MIN(LOOKUP(,-1/($Z$12:Z1037=1),$C$12:C1037)+LOOKUP(,-1/($Z$12:Z1037=1),$H$12:H1037)-IF(AA1036="Да",0,SUM(INDIRECT("T"&amp;(MAX(("Да"=AA$12:AA1036)*ROW(AA$12:AA1036)+1,ROW($T$12))&amp;":T"&amp;(ROW()-1))))),Первоначальный[[#This Row],[Полученный платеж]]+Y1036),
AND(S1036=0,MAX((0&lt;&gt;N$12:N1036)*ROW(N$12:N1036),ROW($S$12))&gt;=MAX((1=Z$12:Z1036)*ROW(Z$12:Z1036),ROW($T$12))),MIN(LOOKUP(,-1/($Z$12:Z1037=1),$C$12:C1037)+LOOKUP(,-1/($Z$12:Z1037=1),$H$12:H1037)-IF(N1036&lt;&gt;0,0,SUM(INDIRECT("T"&amp;(MAX((0&lt;&gt;N$12:N1036)*ROW(N$12:N1036)+1,ROW($T$12))&amp;":T"&amp;(ROW()-1))))),Первоначальный[[#This Row],[Полученный платеж]]+Y1036),
AND(S1036=0,Первоначальный[[#This Row],[Дата платежа из графика]]=1),MIN(LOOKUP(,-1/($Z$12:Z1037=1),$C$12:C1037)+LOOKUP(,-1/($Z$12:Z1037=1),$H$12:H1037)-IF(Z1036=1,0,SUM(INDIRECT("T"&amp;(MAX((1=Z$12:Z1036)*ROW(Z$12:Z1036)+1,ROW($T$12))&amp;":T"&amp;(ROW()-1))))),Первоначальный[[#This Row],[Полученный платеж]]+Y1036),
AND(Z1036&gt;0,Первоначальный[[#This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платеж]]+Y1036),
AND(S1036&gt;0,MAX((0&lt;&gt;S$12:S1036)*ROW(S$12:S1036),ROW($S$12))&gt;=MAX((1=Z$12:Z1036)*ROW(Z$12:Z1036),ROW($T$12)),TYPE(VLOOKUP("Да",(INDIRECT("AA"&amp;(MAX((1=Z$12:Z1036)*ROW(Z$12:Z1036),ROW($T$12))&amp;":AA"&amp;(ROW()-1)))),1,0))=16),MIN(LOOKUP(,-1/($Z$12:Z1037=1),$C$12:C1037)+LOOKUP(,-1/($Z$12:Z1037=1),$H$12:H1037)-SUM(INDIRECT("T"&amp;(MAX((1=Z$12:Z1036)*ROW(Z$12:Z1036),ROW($T$12))&amp;":T"&amp;(ROW()-1)))),Первоначальный[[#This Row],[Полученный платеж]]+Y1036),
S1036&gt;0,MIN(LOOKUP(,-1/($Z$12:Z1037=1),$C$12:C1037)+LOOKUP(,-1/($Z$12:Z1037=1),$H$12:H1037)-IF(Z1036=1,0,SUM(INDIRECT("T"&amp;(MAX((1=Z$12:Z1036)*ROW(Z$12:Z1036)+1,ROW($T$12))&amp;":T"&amp;(ROW()-1))))),Первоначальный[[#This Row],[Полученный платеж]]+Y1036)
)
)
)</f>
        <v>0</v>
      </c>
      <c r="U103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платеж]]+Y1036-Первоначальный[[#This Row],[Полученный платёж по процентам]])</f>
        <v>0</v>
      </c>
      <c r="V1037" s="55">
        <f t="shared" ref="V1037:V1100" ca="1" si="195">MAX(MIN(SUM(O1037,Y1036)-SUM(T1037:T1037),SUM(E1037,J1037)),0)</f>
        <v>0</v>
      </c>
      <c r="W1037" s="55" cm="1">
        <f t="array" aca="1" ref="W1037" ca="1">IF(Первоначальный[[#This Row],[Итого остаток на начало периода]]&lt;1,0,
_xlfn.IFS(
AND(TYPE(VLOOKUP(1,$Z$12:Z1037,1,0))=16,Первоначальный[[#This Row],[Досрочное погашение (да/"")]]=""),0,
AND(S1036=0,Первоначальный[[#This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платеж]]+Y1036-SUM(Первоначальный[[#This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комиссиям]]),VLOOKUP(LOOKUP(,-1/($Z$12:Z1037=1),$A$12:A1037),График[[Срок конец]:[Возврат основной суммы долга]],3,0)),
AND(S1036=0,Первоначальный[[#This Row],[Дата платежа из графика]]="",Первоначальный[[#This Row],[Досрочное погашение (да/"")]]&lt;&gt;"Да"),0,
AND(S1036=0,Первоначальный[[#This Row],[Досрочное погашение (да/"")]]=""),MIN(Первоначальный[[#This Row],[Полученный платеж]]+Y1036-SUM(Первоначальный[[#This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комиссиям]]),VLOOKUP(LOOKUP(,-1/($Z$12:Z1037=1),$A$12:A1037),График[[Срок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платеж]]+Y1036-SUM(Первоначальный[[#This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S1036&gt;0,MIN(Первоначальный[[#This Row],[Полученный платеж]]+Y1036-SUM(Первоначальный[[#This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комиссиям]]),SUM(INDIRECT("M"&amp;(MAX((1=S$12:S1036)*ROW(S$12:S1036),ROW($W$12))&amp;":M"&amp;(ROW()))))-SUM(INDIRECT("W"&amp;(MAX((1=S$12:S1036)*ROW(S$12:S1036),ROW($W$12))&amp;":W"&amp;(ROW()-1)))))
)
)</f>
        <v>0</v>
      </c>
      <c r="X1037" s="55">
        <f t="shared" ref="X1037:X1100" ca="1" si="196">MAX(MIN(SUM(O1037,Y1036)-SUM(T1037:W1037),SUM(F1037,K1037)),0)</f>
        <v>0</v>
      </c>
      <c r="Y1037" s="101">
        <f t="shared" ca="1" si="191"/>
        <v>0</v>
      </c>
      <c r="Z1037" s="133" t="str">
        <f>IF(TYPE((VLOOKUP(Первоначальный[[#This Row],[Дата платежа]],График[Срок конец],1,0)))=16,"",1)</f>
        <v/>
      </c>
      <c r="AA1037" s="57"/>
      <c r="AB1037" s="134"/>
      <c r="AC103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3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74531.239999999845</v>
      </c>
      <c r="AE103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4017.48</v>
      </c>
      <c r="AF103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3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214504.26355901582</v>
      </c>
      <c r="AH1037" s="55"/>
      <c r="AI1037" s="55"/>
      <c r="AJ1037" s="55"/>
      <c r="AK1037" s="101">
        <f t="shared" ca="1" si="192"/>
        <v>442686.32355901564</v>
      </c>
      <c r="AL1037" s="129">
        <f t="array" ref="AL1037">MAX((УслРестрактов[Характеристика]="Дата реструктуризации")*(УслРестрактов[Значение]=Первоначальный!$A1037),0)</f>
        <v>0</v>
      </c>
    </row>
    <row r="1038" spans="1:38" x14ac:dyDescent="0.25">
      <c r="A1038" s="97">
        <f t="shared" ref="A1038:A1101" si="197">A1037+1</f>
        <v>45169</v>
      </c>
      <c r="B1038" s="100">
        <f t="shared" ref="B1038:B1101" ca="1" si="198">AC1037</f>
        <v>149633.34</v>
      </c>
      <c r="C1038" s="55">
        <f t="shared" ca="1" si="194"/>
        <v>74531.239999999845</v>
      </c>
      <c r="D1038" s="55">
        <f t="shared" ca="1" si="194"/>
        <v>4017.48</v>
      </c>
      <c r="E1038" s="55">
        <f t="shared" ref="E1038:E1101" ca="1" si="199">AF1037</f>
        <v>0</v>
      </c>
      <c r="F1038" s="55">
        <f t="shared" ref="F1038:F1101" ca="1" si="200">AG1037+AH1037</f>
        <v>214504.26355901582</v>
      </c>
      <c r="G1038" s="101">
        <f t="shared" ref="G1038:G1101" ca="1" si="201">AK1037</f>
        <v>442686.32355901564</v>
      </c>
      <c r="H1038" s="100">
        <f ca="1">ROUND($B1038*VLOOKUP($A1038,$A$1:$B$10,2,1)/(365+IF(MOD(YEAR($A1038),4),0,1)*($A1038-$A1037)),2)-Первоначальный[[#This Row],[Проценты на просроченный платеж по ОД за период]]</f>
        <v>72.429999999999993</v>
      </c>
      <c r="I1038" s="55">
        <f t="shared" ref="I1038:I1101" ca="1" si="202">ROUND(P1037*VLOOKUP($A1038,$A$1:$B$10,2,1)/(365+IF(MOD(YEAR($A1038),4),0,1)*($A1038-$A1037)),2)</f>
        <v>9.15</v>
      </c>
      <c r="J1038" s="55">
        <v>0</v>
      </c>
      <c r="K1038" s="55">
        <f t="shared" ca="1" si="193"/>
        <v>448.96850327868839</v>
      </c>
      <c r="L1038" s="55">
        <v>0</v>
      </c>
      <c r="M1038" s="113">
        <f>SUMIFS(График[Возврат основной суммы долга],График[Дата с учетом нерабочих дней],$A1038)</f>
        <v>0</v>
      </c>
      <c r="N1038" s="56">
        <f>SUMIFS(График[Возврат начисленных %],График[Дата с учетом нерабочих дней],$A1038)</f>
        <v>0</v>
      </c>
      <c r="O1038" s="101">
        <v>0</v>
      </c>
      <c r="P1038" s="100" cm="1">
        <f t="array" aca="1" ref="P1038" ca="1">MAX(IF(AA1037="Да",0,SUM(INDIRECT("M"&amp;(MAX(("Да"=AA$12:AA1037)*ROW(AA$12:AA1037)+1,ROW($P$12))&amp;":M"&amp;(ROW()))))-SUM(INDIRECT("W"&amp;(MAX(("Да"=AA$12:AA1037)*ROW(AA$12:AA1037)+1,ROW($P$12))&amp;":W"&amp;(ROW()))))),0)</f>
        <v>16786.23</v>
      </c>
      <c r="Q1038" s="99">
        <f ca="1">MAX(SUM($N$13:N1038)-SUM($T$13:T1038),0)</f>
        <v>73007.470655737678</v>
      </c>
      <c r="R1038" s="99">
        <f ca="1">Первоначальный[[#This Row],[Просроченный платеж по ОД]]+Первоначальный[[#This Row],[Просроченный платеж по процентам]]</f>
        <v>89793.700655737674</v>
      </c>
      <c r="S1038" s="120">
        <f ca="1">IF(Первоначальный[[#This Row],[Просроченный платеж]]&lt;1,0,S1037+1)</f>
        <v>934</v>
      </c>
      <c r="T1038" s="100" cm="1">
        <f t="array" aca="1" ref="T1038" ca="1">IF(Первоначальный[[#This Row],[Итого остаток на начало периода]]&lt;1,0,
IF(
AND(TYPE(VLOOKUP(1,$Z$12:Z1038,1,0))=16,Первоначальный[[#This Row],[Досрочное погашение (да/"")]]=""),0,
_xlfn.IFS(AND(S1037=0,Первоначальный[[#This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платеж]]&lt;&gt;0),MIN(LOOKUP(,-1/($Z$12:Z1038=1),$C$12:C1038)+LOOKUP(,-1/($Z$12:Z1038=1),$H$12:H1038),Первоначальный[[#This Row],[Полученный платеж]]+Y1037),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платеж]]+Y1037,SUM(Первоначальный[[#This Row],[Остаток процентов на начало периода]],Первоначальный[[#This Row],[Проценты за период]])),
AND(S1037=0,Первоначальный[[#This Row],[Дата платежа из графика]]=""),0,
AND(S1037=0,Первоначальный[[#This Row],[Дата платежа из графика]]=1,MAX((0&lt;&gt;S$12:S1037)*ROW(S$12:S1037),ROW($S$12))&gt;=MAX((1=Z$12:Z1037)*ROW(Z$12:Z1037),ROW($T$12)),TYPE(VLOOKUP("Да",(INDIRECT("AA"&amp;(MAX((1=Z$12:Z1037)*ROW(Z$12:Z1037),ROW($T$12))&amp;":AA"&amp;(ROW()-1)))),1,0))=16),MIN(LOOKUP(,-1/($Z$12:Z1038=1),$C$12:C1038)+LOOKUP(,-1/($Z$12:Z1038=1),$H$12:H1038),Первоначальный[[#This Row],[Полученный платеж]]+Y1037),
AND(S1037=0,TYPE(VLOOKUP("Да",(INDIRECT("AA"&amp;(MAX((1=Z$12:Z1037)*ROW(Z$12:Z1037),ROW($T$12))&amp;":AA"&amp;(ROW()-1)))),1,0))&lt;&gt;16),MIN(LOOKUP(,-1/($Z$12:Z1038=1),$C$12:C1038)+LOOKUP(,-1/($Z$12:Z1038=1),$H$12:H1038)-IF(AA1037="Да",0,SUM(INDIRECT("T"&amp;(MAX(("Да"=AA$12:AA1037)*ROW(AA$12:AA1037)+1,ROW($T$12))&amp;":T"&amp;(ROW()-1))))),Первоначальный[[#This Row],[Полученный платеж]]+Y1037),
AND(S1037=0,MAX((0&lt;&gt;N$12:N1037)*ROW(N$12:N1037),ROW($S$12))&gt;=MAX((1=Z$12:Z1037)*ROW(Z$12:Z1037),ROW($T$12))),MIN(LOOKUP(,-1/($Z$12:Z1038=1),$C$12:C1038)+LOOKUP(,-1/($Z$12:Z1038=1),$H$12:H1038)-IF(N1037&lt;&gt;0,0,SUM(INDIRECT("T"&amp;(MAX((0&lt;&gt;N$12:N1037)*ROW(N$12:N1037)+1,ROW($T$12))&amp;":T"&amp;(ROW()-1))))),Первоначальный[[#This Row],[Полученный платеж]]+Y1037),
AND(S1037=0,Первоначальный[[#This Row],[Дата платежа из графика]]=1),MIN(LOOKUP(,-1/($Z$12:Z1038=1),$C$12:C1038)+LOOKUP(,-1/($Z$12:Z1038=1),$H$12:H1038)-IF(Z1037=1,0,SUM(INDIRECT("T"&amp;(MAX((1=Z$12:Z1037)*ROW(Z$12:Z1037)+1,ROW($T$12))&amp;":T"&amp;(ROW()-1))))),Первоначальный[[#This Row],[Полученный платеж]]+Y1037),
AND(Z1037&gt;0,Первоначальный[[#This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платеж]]+Y1037),
AND(S1037&gt;0,MAX((0&lt;&gt;S$12:S1037)*ROW(S$12:S1037),ROW($S$12))&gt;=MAX((1=Z$12:Z1037)*ROW(Z$12:Z1037),ROW($T$12)),TYPE(VLOOKUP("Да",(INDIRECT("AA"&amp;(MAX((1=Z$12:Z1037)*ROW(Z$12:Z1037),ROW($T$12))&amp;":AA"&amp;(ROW()-1)))),1,0))=16),MIN(LOOKUP(,-1/($Z$12:Z1038=1),$C$12:C1038)+LOOKUP(,-1/($Z$12:Z1038=1),$H$12:H1038)-SUM(INDIRECT("T"&amp;(MAX((1=Z$12:Z1037)*ROW(Z$12:Z1037),ROW($T$12))&amp;":T"&amp;(ROW()-1)))),Первоначальный[[#This Row],[Полученный платеж]]+Y1037),
S1037&gt;0,MIN(LOOKUP(,-1/($Z$12:Z1038=1),$C$12:C1038)+LOOKUP(,-1/($Z$12:Z1038=1),$H$12:H1038)-IF(Z1037=1,0,SUM(INDIRECT("T"&amp;(MAX((1=Z$12:Z1037)*ROW(Z$12:Z1037)+1,ROW($T$12))&amp;":T"&amp;(ROW()-1))))),Первоначальный[[#This Row],[Полученный платеж]]+Y1037)
)
)
)</f>
        <v>0</v>
      </c>
      <c r="U103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платеж]]+Y1037-Первоначальный[[#This Row],[Полученный платёж по процентам]])</f>
        <v>0</v>
      </c>
      <c r="V1038" s="55">
        <f t="shared" ca="1" si="195"/>
        <v>0</v>
      </c>
      <c r="W1038" s="55" cm="1">
        <f t="array" aca="1" ref="W1038" ca="1">IF(Первоначальный[[#This Row],[Итого остаток на начало периода]]&lt;1,0,
_xlfn.IFS(
AND(TYPE(VLOOKUP(1,$Z$12:Z1038,1,0))=16,Первоначальный[[#This Row],[Досрочное погашение (да/"")]]=""),0,
AND(S1037=0,Первоначальный[[#This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платеж]]+Y1037-SUM(Первоначальный[[#This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комиссиям]]),VLOOKUP(LOOKUP(,-1/($Z$12:Z1038=1),$A$12:A1038),График[[Срок конец]:[Возврат основной суммы долга]],3,0)),
AND(S1037=0,Первоначальный[[#This Row],[Дата платежа из графика]]="",Первоначальный[[#This Row],[Досрочное погашение (да/"")]]&lt;&gt;"Да"),0,
AND(S1037=0,Первоначальный[[#This Row],[Досрочное погашение (да/"")]]=""),MIN(Первоначальный[[#This Row],[Полученный платеж]]+Y1037-SUM(Первоначальный[[#This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комиссиям]]),VLOOKUP(LOOKUP(,-1/($Z$12:Z1038=1),$A$12:A1038),График[[Срок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платеж]]+Y1037-SUM(Первоначальный[[#This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S1037&gt;0,MIN(Первоначальный[[#This Row],[Полученный платеж]]+Y1037-SUM(Первоначальный[[#This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комиссиям]]),SUM(INDIRECT("M"&amp;(MAX((1=S$12:S1037)*ROW(S$12:S1037),ROW($W$12))&amp;":M"&amp;(ROW()))))-SUM(INDIRECT("W"&amp;(MAX((1=S$12:S1037)*ROW(S$12:S1037),ROW($W$12))&amp;":W"&amp;(ROW()-1)))))
)
)</f>
        <v>0</v>
      </c>
      <c r="X1038" s="55">
        <f t="shared" ca="1" si="196"/>
        <v>0</v>
      </c>
      <c r="Y1038" s="101">
        <f t="shared" ref="Y1038:Y1101" ca="1" si="203">ROUND(Y1037+O1038-SUM(T1038:X1038),2)</f>
        <v>0</v>
      </c>
      <c r="Z1038" s="133" t="str">
        <f>IF(TYPE((VLOOKUP(Первоначальный[[#This Row],[Дата платежа]],График[Срок конец],1,0)))=16,"",1)</f>
        <v/>
      </c>
      <c r="AA1038" s="57"/>
      <c r="AB1038" s="134"/>
      <c r="AC103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3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74603.669999999838</v>
      </c>
      <c r="AE103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4026.63</v>
      </c>
      <c r="AF103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3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214953.2320622945</v>
      </c>
      <c r="AH1038" s="55"/>
      <c r="AI1038" s="55"/>
      <c r="AJ1038" s="55"/>
      <c r="AK1038" s="101">
        <f t="shared" ref="AK1038:AK1101" ca="1" si="204">SUM(AC1038:AJ1038)</f>
        <v>443216.87206229434</v>
      </c>
      <c r="AL1038" s="129">
        <f t="array" ref="AL1038">MAX((УслРестрактов[Характеристика]="Дата реструктуризации")*(УслРестрактов[Значение]=Первоначальный!$A1038),0)</f>
        <v>0</v>
      </c>
    </row>
    <row r="1039" spans="1:38" x14ac:dyDescent="0.25">
      <c r="A1039" s="97">
        <f t="shared" si="197"/>
        <v>45170</v>
      </c>
      <c r="B1039" s="100">
        <f t="shared" ca="1" si="198"/>
        <v>149633.34</v>
      </c>
      <c r="C1039" s="55">
        <f t="shared" ca="1" si="194"/>
        <v>74603.669999999838</v>
      </c>
      <c r="D1039" s="55">
        <f t="shared" ca="1" si="194"/>
        <v>4026.63</v>
      </c>
      <c r="E1039" s="55">
        <f t="shared" ca="1" si="199"/>
        <v>0</v>
      </c>
      <c r="F1039" s="55">
        <f t="shared" ca="1" si="200"/>
        <v>214953.2320622945</v>
      </c>
      <c r="G1039" s="101">
        <f t="shared" ca="1" si="201"/>
        <v>443216.87206229434</v>
      </c>
      <c r="H1039" s="100">
        <f ca="1">ROUND($B1039*VLOOKUP($A1039,$A$1:$B$10,2,1)/(365+IF(MOD(YEAR($A1039),4),0,1)*($A1039-$A1038)),2)-Первоначальный[[#This Row],[Проценты на просроченный платеж по ОД за период]]</f>
        <v>72.429999999999993</v>
      </c>
      <c r="I1039" s="55">
        <f t="shared" ca="1" si="202"/>
        <v>9.15</v>
      </c>
      <c r="J1039" s="55">
        <v>0</v>
      </c>
      <c r="K1039" s="55">
        <f t="shared" ref="K1039:K1102" ca="1" si="205">IF(S1039&lt;&gt;0,R1039*$B$7,0)</f>
        <v>448.96850327868839</v>
      </c>
      <c r="L1039" s="55">
        <v>0</v>
      </c>
      <c r="M1039" s="113">
        <f>SUMIFS(График[Возврат основной суммы долга],График[Дата с учетом нерабочих дней],$A1039)</f>
        <v>0</v>
      </c>
      <c r="N1039" s="56">
        <f>SUMIFS(График[Возврат начисленных %],График[Дата с учетом нерабочих дней],$A1039)</f>
        <v>0</v>
      </c>
      <c r="O1039" s="101">
        <v>0</v>
      </c>
      <c r="P1039" s="100" cm="1">
        <f t="array" aca="1" ref="P1039" ca="1">MAX(IF(AA1038="Да",0,SUM(INDIRECT("M"&amp;(MAX(("Да"=AA$12:AA1038)*ROW(AA$12:AA1038)+1,ROW($P$12))&amp;":M"&amp;(ROW()))))-SUM(INDIRECT("W"&amp;(MAX(("Да"=AA$12:AA1038)*ROW(AA$12:AA1038)+1,ROW($P$12))&amp;":W"&amp;(ROW()))))),0)</f>
        <v>16786.23</v>
      </c>
      <c r="Q1039" s="99">
        <f ca="1">MAX(SUM($N$13:N1039)-SUM($T$13:T1039),0)</f>
        <v>73007.470655737678</v>
      </c>
      <c r="R1039" s="99">
        <f ca="1">Первоначальный[[#This Row],[Просроченный платеж по ОД]]+Первоначальный[[#This Row],[Просроченный платеж по процентам]]</f>
        <v>89793.700655737674</v>
      </c>
      <c r="S1039" s="120">
        <f ca="1">IF(Первоначальный[[#This Row],[Просроченный платеж]]&lt;1,0,S1038+1)</f>
        <v>935</v>
      </c>
      <c r="T1039" s="100" cm="1">
        <f t="array" aca="1" ref="T1039" ca="1">IF(Первоначальный[[#This Row],[Итого остаток на начало периода]]&lt;1,0,
IF(
AND(TYPE(VLOOKUP(1,$Z$12:Z1039,1,0))=16,Первоначальный[[#This Row],[Досрочное погашение (да/"")]]=""),0,
_xlfn.IFS(AND(S1038=0,Первоначальный[[#This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платеж]]&lt;&gt;0),MIN(LOOKUP(,-1/($Z$12:Z1039=1),$C$12:C1039)+LOOKUP(,-1/($Z$12:Z1039=1),$H$12:H1039),Первоначальный[[#This Row],[Полученный платеж]]+Y1038),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платеж]]+Y1038,SUM(Первоначальный[[#This Row],[Остаток процентов на начало периода]],Первоначальный[[#This Row],[Проценты за период]])),
AND(S1038=0,Первоначальный[[#This Row],[Дата платежа из графика]]=""),0,
AND(S1038=0,Первоначальный[[#This Row],[Дата платежа из графика]]=1,MAX((0&lt;&gt;S$12:S1038)*ROW(S$12:S1038),ROW($S$12))&gt;=MAX((1=Z$12:Z1038)*ROW(Z$12:Z1038),ROW($T$12)),TYPE(VLOOKUP("Да",(INDIRECT("AA"&amp;(MAX((1=Z$12:Z1038)*ROW(Z$12:Z1038),ROW($T$12))&amp;":AA"&amp;(ROW()-1)))),1,0))=16),MIN(LOOKUP(,-1/($Z$12:Z1039=1),$C$12:C1039)+LOOKUP(,-1/($Z$12:Z1039=1),$H$12:H1039),Первоначальный[[#This Row],[Полученный платеж]]+Y1038),
AND(S1038=0,TYPE(VLOOKUP("Да",(INDIRECT("AA"&amp;(MAX((1=Z$12:Z1038)*ROW(Z$12:Z1038),ROW($T$12))&amp;":AA"&amp;(ROW()-1)))),1,0))&lt;&gt;16),MIN(LOOKUP(,-1/($Z$12:Z1039=1),$C$12:C1039)+LOOKUP(,-1/($Z$12:Z1039=1),$H$12:H1039)-IF(AA1038="Да",0,SUM(INDIRECT("T"&amp;(MAX(("Да"=AA$12:AA1038)*ROW(AA$12:AA1038)+1,ROW($T$12))&amp;":T"&amp;(ROW()-1))))),Первоначальный[[#This Row],[Полученный платеж]]+Y1038),
AND(S1038=0,MAX((0&lt;&gt;N$12:N1038)*ROW(N$12:N1038),ROW($S$12))&gt;=MAX((1=Z$12:Z1038)*ROW(Z$12:Z1038),ROW($T$12))),MIN(LOOKUP(,-1/($Z$12:Z1039=1),$C$12:C1039)+LOOKUP(,-1/($Z$12:Z1039=1),$H$12:H1039)-IF(N1038&lt;&gt;0,0,SUM(INDIRECT("T"&amp;(MAX((0&lt;&gt;N$12:N1038)*ROW(N$12:N1038)+1,ROW($T$12))&amp;":T"&amp;(ROW()-1))))),Первоначальный[[#This Row],[Полученный платеж]]+Y1038),
AND(S1038=0,Первоначальный[[#This Row],[Дата платежа из графика]]=1),MIN(LOOKUP(,-1/($Z$12:Z1039=1),$C$12:C1039)+LOOKUP(,-1/($Z$12:Z1039=1),$H$12:H1039)-IF(Z1038=1,0,SUM(INDIRECT("T"&amp;(MAX((1=Z$12:Z1038)*ROW(Z$12:Z1038)+1,ROW($T$12))&amp;":T"&amp;(ROW()-1))))),Первоначальный[[#This Row],[Полученный платеж]]+Y1038),
AND(Z1038&gt;0,Первоначальный[[#This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платеж]]+Y1038),
AND(S1038&gt;0,MAX((0&lt;&gt;S$12:S1038)*ROW(S$12:S1038),ROW($S$12))&gt;=MAX((1=Z$12:Z1038)*ROW(Z$12:Z1038),ROW($T$12)),TYPE(VLOOKUP("Да",(INDIRECT("AA"&amp;(MAX((1=Z$12:Z1038)*ROW(Z$12:Z1038),ROW($T$12))&amp;":AA"&amp;(ROW()-1)))),1,0))=16),MIN(LOOKUP(,-1/($Z$12:Z1039=1),$C$12:C1039)+LOOKUP(,-1/($Z$12:Z1039=1),$H$12:H1039)-SUM(INDIRECT("T"&amp;(MAX((1=Z$12:Z1038)*ROW(Z$12:Z1038),ROW($T$12))&amp;":T"&amp;(ROW()-1)))),Первоначальный[[#This Row],[Полученный платеж]]+Y1038),
S1038&gt;0,MIN(LOOKUP(,-1/($Z$12:Z1039=1),$C$12:C1039)+LOOKUP(,-1/($Z$12:Z1039=1),$H$12:H1039)-IF(Z1038=1,0,SUM(INDIRECT("T"&amp;(MAX((1=Z$12:Z1038)*ROW(Z$12:Z1038)+1,ROW($T$12))&amp;":T"&amp;(ROW()-1))))),Первоначальный[[#This Row],[Полученный платеж]]+Y1038)
)
)
)</f>
        <v>0</v>
      </c>
      <c r="U103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платеж]]+Y1038-Первоначальный[[#This Row],[Полученный платёж по процентам]])</f>
        <v>0</v>
      </c>
      <c r="V1039" s="55">
        <f t="shared" ca="1" si="195"/>
        <v>0</v>
      </c>
      <c r="W1039" s="55" cm="1">
        <f t="array" aca="1" ref="W1039" ca="1">IF(Первоначальный[[#This Row],[Итого остаток на начало периода]]&lt;1,0,
_xlfn.IFS(
AND(TYPE(VLOOKUP(1,$Z$12:Z1039,1,0))=16,Первоначальный[[#This Row],[Досрочное погашение (да/"")]]=""),0,
AND(S1038=0,Первоначальный[[#This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платеж]]+Y1038-SUM(Первоначальный[[#This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комиссиям]]),VLOOKUP(LOOKUP(,-1/($Z$12:Z1039=1),$A$12:A1039),График[[Срок конец]:[Возврат основной суммы долга]],3,0)),
AND(S1038=0,Первоначальный[[#This Row],[Дата платежа из графика]]="",Первоначальный[[#This Row],[Досрочное погашение (да/"")]]&lt;&gt;"Да"),0,
AND(S1038=0,Первоначальный[[#This Row],[Досрочное погашение (да/"")]]=""),MIN(Первоначальный[[#This Row],[Полученный платеж]]+Y1038-SUM(Первоначальный[[#This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комиссиям]]),VLOOKUP(LOOKUP(,-1/($Z$12:Z1039=1),$A$12:A1039),График[[Срок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платеж]]+Y1038-SUM(Первоначальный[[#This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S1038&gt;0,MIN(Первоначальный[[#This Row],[Полученный платеж]]+Y1038-SUM(Первоначальный[[#This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комиссиям]]),SUM(INDIRECT("M"&amp;(MAX((1=S$12:S1038)*ROW(S$12:S1038),ROW($W$12))&amp;":M"&amp;(ROW()))))-SUM(INDIRECT("W"&amp;(MAX((1=S$12:S1038)*ROW(S$12:S1038),ROW($W$12))&amp;":W"&amp;(ROW()-1)))))
)
)</f>
        <v>0</v>
      </c>
      <c r="X1039" s="55">
        <f t="shared" ca="1" si="196"/>
        <v>0</v>
      </c>
      <c r="Y1039" s="101">
        <f t="shared" ca="1" si="203"/>
        <v>0</v>
      </c>
      <c r="Z1039" s="133" t="str">
        <f>IF(TYPE((VLOOKUP(Первоначальный[[#This Row],[Дата платежа]],График[Срок конец],1,0)))=16,"",1)</f>
        <v/>
      </c>
      <c r="AA1039" s="57"/>
      <c r="AB1039" s="134"/>
      <c r="AC103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3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74676.099999999831</v>
      </c>
      <c r="AE103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4035.78</v>
      </c>
      <c r="AF103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3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215402.20056557318</v>
      </c>
      <c r="AH1039" s="55"/>
      <c r="AI1039" s="55"/>
      <c r="AJ1039" s="55"/>
      <c r="AK1039" s="101">
        <f t="shared" ca="1" si="204"/>
        <v>443747.42056557303</v>
      </c>
      <c r="AL1039" s="129">
        <f t="array" ref="AL1039">MAX((УслРестрактов[Характеристика]="Дата реструктуризации")*(УслРестрактов[Значение]=Первоначальный!$A1039),0)</f>
        <v>0</v>
      </c>
    </row>
    <row r="1040" spans="1:38" x14ac:dyDescent="0.25">
      <c r="A1040" s="97">
        <f t="shared" si="197"/>
        <v>45171</v>
      </c>
      <c r="B1040" s="100">
        <f t="shared" ca="1" si="198"/>
        <v>149633.34</v>
      </c>
      <c r="C1040" s="55">
        <f t="shared" ca="1" si="194"/>
        <v>74676.099999999831</v>
      </c>
      <c r="D1040" s="55">
        <f t="shared" ca="1" si="194"/>
        <v>4035.78</v>
      </c>
      <c r="E1040" s="55">
        <f t="shared" ca="1" si="199"/>
        <v>0</v>
      </c>
      <c r="F1040" s="55">
        <f t="shared" ca="1" si="200"/>
        <v>215402.20056557318</v>
      </c>
      <c r="G1040" s="101">
        <f t="shared" ca="1" si="201"/>
        <v>443747.42056557303</v>
      </c>
      <c r="H1040" s="100">
        <f ca="1">ROUND($B1040*VLOOKUP($A1040,$A$1:$B$10,2,1)/(365+IF(MOD(YEAR($A1040),4),0,1)*($A1040-$A1039)),2)-Первоначальный[[#This Row],[Проценты на просроченный платеж по ОД за период]]</f>
        <v>72.429999999999993</v>
      </c>
      <c r="I1040" s="55">
        <f t="shared" ca="1" si="202"/>
        <v>9.15</v>
      </c>
      <c r="J1040" s="55">
        <v>0</v>
      </c>
      <c r="K1040" s="55">
        <f t="shared" ca="1" si="205"/>
        <v>448.96850327868839</v>
      </c>
      <c r="L1040" s="55">
        <v>0</v>
      </c>
      <c r="M1040" s="113">
        <f>SUMIFS(График[Возврат основной суммы долга],График[Дата с учетом нерабочих дней],$A1040)</f>
        <v>0</v>
      </c>
      <c r="N1040" s="56">
        <f>SUMIFS(График[Возврат начисленных %],График[Дата с учетом нерабочих дней],$A1040)</f>
        <v>0</v>
      </c>
      <c r="O1040" s="101">
        <v>0</v>
      </c>
      <c r="P1040" s="100" cm="1">
        <f t="array" aca="1" ref="P1040" ca="1">MAX(IF(AA1039="Да",0,SUM(INDIRECT("M"&amp;(MAX(("Да"=AA$12:AA1039)*ROW(AA$12:AA1039)+1,ROW($P$12))&amp;":M"&amp;(ROW()))))-SUM(INDIRECT("W"&amp;(MAX(("Да"=AA$12:AA1039)*ROW(AA$12:AA1039)+1,ROW($P$12))&amp;":W"&amp;(ROW()))))),0)</f>
        <v>16786.23</v>
      </c>
      <c r="Q1040" s="99">
        <f ca="1">MAX(SUM($N$13:N1040)-SUM($T$13:T1040),0)</f>
        <v>73007.470655737678</v>
      </c>
      <c r="R1040" s="99">
        <f ca="1">Первоначальный[[#This Row],[Просроченный платеж по ОД]]+Первоначальный[[#This Row],[Просроченный платеж по процентам]]</f>
        <v>89793.700655737674</v>
      </c>
      <c r="S1040" s="120">
        <f ca="1">IF(Первоначальный[[#This Row],[Просроченный платеж]]&lt;1,0,S1039+1)</f>
        <v>936</v>
      </c>
      <c r="T1040" s="100" cm="1">
        <f t="array" aca="1" ref="T1040" ca="1">IF(Первоначальный[[#This Row],[Итого остаток на начало периода]]&lt;1,0,
IF(
AND(TYPE(VLOOKUP(1,$Z$12:Z1040,1,0))=16,Первоначальный[[#This Row],[Досрочное погашение (да/"")]]=""),0,
_xlfn.IFS(AND(S1039=0,Первоначальный[[#This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платеж]]&lt;&gt;0),MIN(LOOKUP(,-1/($Z$12:Z1040=1),$C$12:C1040)+LOOKUP(,-1/($Z$12:Z1040=1),$H$12:H1040),Первоначальный[[#This Row],[Полученный платеж]]+Y1039),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платеж]]+Y1039,SUM(Первоначальный[[#This Row],[Остаток процентов на начало периода]],Первоначальный[[#This Row],[Проценты за период]])),
AND(S1039=0,Первоначальный[[#This Row],[Дата платежа из графика]]=""),0,
AND(S1039=0,Первоначальный[[#This Row],[Дата платежа из графика]]=1,MAX((0&lt;&gt;S$12:S1039)*ROW(S$12:S1039),ROW($S$12))&gt;=MAX((1=Z$12:Z1039)*ROW(Z$12:Z1039),ROW($T$12)),TYPE(VLOOKUP("Да",(INDIRECT("AA"&amp;(MAX((1=Z$12:Z1039)*ROW(Z$12:Z1039),ROW($T$12))&amp;":AA"&amp;(ROW()-1)))),1,0))=16),MIN(LOOKUP(,-1/($Z$12:Z1040=1),$C$12:C1040)+LOOKUP(,-1/($Z$12:Z1040=1),$H$12:H1040),Первоначальный[[#This Row],[Полученный платеж]]+Y1039),
AND(S1039=0,TYPE(VLOOKUP("Да",(INDIRECT("AA"&amp;(MAX((1=Z$12:Z1039)*ROW(Z$12:Z1039),ROW($T$12))&amp;":AA"&amp;(ROW()-1)))),1,0))&lt;&gt;16),MIN(LOOKUP(,-1/($Z$12:Z1040=1),$C$12:C1040)+LOOKUP(,-1/($Z$12:Z1040=1),$H$12:H1040)-IF(AA1039="Да",0,SUM(INDIRECT("T"&amp;(MAX(("Да"=AA$12:AA1039)*ROW(AA$12:AA1039)+1,ROW($T$12))&amp;":T"&amp;(ROW()-1))))),Первоначальный[[#This Row],[Полученный платеж]]+Y1039),
AND(S1039=0,MAX((0&lt;&gt;N$12:N1039)*ROW(N$12:N1039),ROW($S$12))&gt;=MAX((1=Z$12:Z1039)*ROW(Z$12:Z1039),ROW($T$12))),MIN(LOOKUP(,-1/($Z$12:Z1040=1),$C$12:C1040)+LOOKUP(,-1/($Z$12:Z1040=1),$H$12:H1040)-IF(N1039&lt;&gt;0,0,SUM(INDIRECT("T"&amp;(MAX((0&lt;&gt;N$12:N1039)*ROW(N$12:N1039)+1,ROW($T$12))&amp;":T"&amp;(ROW()-1))))),Первоначальный[[#This Row],[Полученный платеж]]+Y1039),
AND(S1039=0,Первоначальный[[#This Row],[Дата платежа из графика]]=1),MIN(LOOKUP(,-1/($Z$12:Z1040=1),$C$12:C1040)+LOOKUP(,-1/($Z$12:Z1040=1),$H$12:H1040)-IF(Z1039=1,0,SUM(INDIRECT("T"&amp;(MAX((1=Z$12:Z1039)*ROW(Z$12:Z1039)+1,ROW($T$12))&amp;":T"&amp;(ROW()-1))))),Первоначальный[[#This Row],[Полученный платеж]]+Y1039),
AND(Z1039&gt;0,Первоначальный[[#This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платеж]]+Y1039),
AND(S1039&gt;0,MAX((0&lt;&gt;S$12:S1039)*ROW(S$12:S1039),ROW($S$12))&gt;=MAX((1=Z$12:Z1039)*ROW(Z$12:Z1039),ROW($T$12)),TYPE(VLOOKUP("Да",(INDIRECT("AA"&amp;(MAX((1=Z$12:Z1039)*ROW(Z$12:Z1039),ROW($T$12))&amp;":AA"&amp;(ROW()-1)))),1,0))=16),MIN(LOOKUP(,-1/($Z$12:Z1040=1),$C$12:C1040)+LOOKUP(,-1/($Z$12:Z1040=1),$H$12:H1040)-SUM(INDIRECT("T"&amp;(MAX((1=Z$12:Z1039)*ROW(Z$12:Z1039),ROW($T$12))&amp;":T"&amp;(ROW()-1)))),Первоначальный[[#This Row],[Полученный платеж]]+Y1039),
S1039&gt;0,MIN(LOOKUP(,-1/($Z$12:Z1040=1),$C$12:C1040)+LOOKUP(,-1/($Z$12:Z1040=1),$H$12:H1040)-IF(Z1039=1,0,SUM(INDIRECT("T"&amp;(MAX((1=Z$12:Z1039)*ROW(Z$12:Z1039)+1,ROW($T$12))&amp;":T"&amp;(ROW()-1))))),Первоначальный[[#This Row],[Полученный платеж]]+Y1039)
)
)
)</f>
        <v>0</v>
      </c>
      <c r="U104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платеж]]+Y1039-Первоначальный[[#This Row],[Полученный платёж по процентам]])</f>
        <v>0</v>
      </c>
      <c r="V1040" s="55">
        <f t="shared" ca="1" si="195"/>
        <v>0</v>
      </c>
      <c r="W1040" s="55" cm="1">
        <f t="array" aca="1" ref="W1040" ca="1">IF(Первоначальный[[#This Row],[Итого остаток на начало периода]]&lt;1,0,
_xlfn.IFS(
AND(TYPE(VLOOKUP(1,$Z$12:Z1040,1,0))=16,Первоначальный[[#This Row],[Досрочное погашение (да/"")]]=""),0,
AND(S1039=0,Первоначальный[[#This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платеж]]+Y1039-SUM(Первоначальный[[#This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комиссиям]]),VLOOKUP(LOOKUP(,-1/($Z$12:Z1040=1),$A$12:A1040),График[[Срок конец]:[Возврат основной суммы долга]],3,0)),
AND(S1039=0,Первоначальный[[#This Row],[Дата платежа из графика]]="",Первоначальный[[#This Row],[Досрочное погашение (да/"")]]&lt;&gt;"Да"),0,
AND(S1039=0,Первоначальный[[#This Row],[Досрочное погашение (да/"")]]=""),MIN(Первоначальный[[#This Row],[Полученный платеж]]+Y1039-SUM(Первоначальный[[#This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комиссиям]]),VLOOKUP(LOOKUP(,-1/($Z$12:Z1040=1),$A$12:A1040),График[[Срок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платеж]]+Y1039-SUM(Первоначальный[[#This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S1039&gt;0,MIN(Первоначальный[[#This Row],[Полученный платеж]]+Y1039-SUM(Первоначальный[[#This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комиссиям]]),SUM(INDIRECT("M"&amp;(MAX((1=S$12:S1039)*ROW(S$12:S1039),ROW($W$12))&amp;":M"&amp;(ROW()))))-SUM(INDIRECT("W"&amp;(MAX((1=S$12:S1039)*ROW(S$12:S1039),ROW($W$12))&amp;":W"&amp;(ROW()-1)))))
)
)</f>
        <v>0</v>
      </c>
      <c r="X1040" s="55">
        <f t="shared" ca="1" si="196"/>
        <v>0</v>
      </c>
      <c r="Y1040" s="101">
        <f t="shared" ca="1" si="203"/>
        <v>0</v>
      </c>
      <c r="Z1040" s="133" t="str">
        <f>IF(TYPE((VLOOKUP(Первоначальный[[#This Row],[Дата платежа]],График[Срок конец],1,0)))=16,"",1)</f>
        <v/>
      </c>
      <c r="AA1040" s="57"/>
      <c r="AB1040" s="134"/>
      <c r="AC104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4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74748.529999999824</v>
      </c>
      <c r="AE104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4044.9300000000003</v>
      </c>
      <c r="AF104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4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215851.16906885186</v>
      </c>
      <c r="AH1040" s="55"/>
      <c r="AI1040" s="55"/>
      <c r="AJ1040" s="55"/>
      <c r="AK1040" s="101">
        <f t="shared" ca="1" si="204"/>
        <v>444277.96906885167</v>
      </c>
      <c r="AL1040" s="129">
        <f t="array" ref="AL1040">MAX((УслРестрактов[Характеристика]="Дата реструктуризации")*(УслРестрактов[Значение]=Первоначальный!$A1040),0)</f>
        <v>0</v>
      </c>
    </row>
    <row r="1041" spans="1:38" x14ac:dyDescent="0.25">
      <c r="A1041" s="97">
        <f t="shared" si="197"/>
        <v>45172</v>
      </c>
      <c r="B1041" s="100">
        <f t="shared" ca="1" si="198"/>
        <v>149633.34</v>
      </c>
      <c r="C1041" s="55">
        <f t="shared" ca="1" si="194"/>
        <v>74748.529999999824</v>
      </c>
      <c r="D1041" s="55">
        <f t="shared" ca="1" si="194"/>
        <v>4044.9300000000003</v>
      </c>
      <c r="E1041" s="55">
        <f t="shared" ca="1" si="199"/>
        <v>0</v>
      </c>
      <c r="F1041" s="55">
        <f t="shared" ca="1" si="200"/>
        <v>215851.16906885186</v>
      </c>
      <c r="G1041" s="101">
        <f t="shared" ca="1" si="201"/>
        <v>444277.96906885167</v>
      </c>
      <c r="H1041" s="100">
        <f ca="1">ROUND($B1041*VLOOKUP($A1041,$A$1:$B$10,2,1)/(365+IF(MOD(YEAR($A1041),4),0,1)*($A1041-$A1040)),2)-Первоначальный[[#This Row],[Проценты на просроченный платеж по ОД за период]]</f>
        <v>72.429999999999993</v>
      </c>
      <c r="I1041" s="55">
        <f t="shared" ca="1" si="202"/>
        <v>9.15</v>
      </c>
      <c r="J1041" s="55">
        <v>0</v>
      </c>
      <c r="K1041" s="55">
        <f t="shared" ca="1" si="205"/>
        <v>448.96850327868839</v>
      </c>
      <c r="L1041" s="55">
        <v>0</v>
      </c>
      <c r="M1041" s="113">
        <f>SUMIFS(График[Возврат основной суммы долга],График[Дата с учетом нерабочих дней],$A1041)</f>
        <v>0</v>
      </c>
      <c r="N1041" s="56">
        <f>SUMIFS(График[Возврат начисленных %],График[Дата с учетом нерабочих дней],$A1041)</f>
        <v>0</v>
      </c>
      <c r="O1041" s="101">
        <v>0</v>
      </c>
      <c r="P1041" s="100" cm="1">
        <f t="array" aca="1" ref="P1041" ca="1">MAX(IF(AA1040="Да",0,SUM(INDIRECT("M"&amp;(MAX(("Да"=AA$12:AA1040)*ROW(AA$12:AA1040)+1,ROW($P$12))&amp;":M"&amp;(ROW()))))-SUM(INDIRECT("W"&amp;(MAX(("Да"=AA$12:AA1040)*ROW(AA$12:AA1040)+1,ROW($P$12))&amp;":W"&amp;(ROW()))))),0)</f>
        <v>16786.23</v>
      </c>
      <c r="Q1041" s="99">
        <f ca="1">MAX(SUM($N$13:N1041)-SUM($T$13:T1041),0)</f>
        <v>73007.470655737678</v>
      </c>
      <c r="R1041" s="99">
        <f ca="1">Первоначальный[[#This Row],[Просроченный платеж по ОД]]+Первоначальный[[#This Row],[Просроченный платеж по процентам]]</f>
        <v>89793.700655737674</v>
      </c>
      <c r="S1041" s="120">
        <f ca="1">IF(Первоначальный[[#This Row],[Просроченный платеж]]&lt;1,0,S1040+1)</f>
        <v>937</v>
      </c>
      <c r="T1041" s="100" cm="1">
        <f t="array" aca="1" ref="T1041" ca="1">IF(Первоначальный[[#This Row],[Итого остаток на начало периода]]&lt;1,0,
IF(
AND(TYPE(VLOOKUP(1,$Z$12:Z1041,1,0))=16,Первоначальный[[#This Row],[Досрочное погашение (да/"")]]=""),0,
_xlfn.IFS(AND(S1040=0,Первоначальный[[#This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платеж]]&lt;&gt;0),MIN(LOOKUP(,-1/($Z$12:Z1041=1),$C$12:C1041)+LOOKUP(,-1/($Z$12:Z1041=1),$H$12:H1041),Первоначальный[[#This Row],[Полученный платеж]]+Y1040),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платеж]]+Y1040,SUM(Первоначальный[[#This Row],[Остаток процентов на начало периода]],Первоначальный[[#This Row],[Проценты за период]])),
AND(S1040=0,Первоначальный[[#This Row],[Дата платежа из графика]]=""),0,
AND(S1040=0,Первоначальный[[#This Row],[Дата платежа из графика]]=1,MAX((0&lt;&gt;S$12:S1040)*ROW(S$12:S1040),ROW($S$12))&gt;=MAX((1=Z$12:Z1040)*ROW(Z$12:Z1040),ROW($T$12)),TYPE(VLOOKUP("Да",(INDIRECT("AA"&amp;(MAX((1=Z$12:Z1040)*ROW(Z$12:Z1040),ROW($T$12))&amp;":AA"&amp;(ROW()-1)))),1,0))=16),MIN(LOOKUP(,-1/($Z$12:Z1041=1),$C$12:C1041)+LOOKUP(,-1/($Z$12:Z1041=1),$H$12:H1041),Первоначальный[[#This Row],[Полученный платеж]]+Y1040),
AND(S1040=0,TYPE(VLOOKUP("Да",(INDIRECT("AA"&amp;(MAX((1=Z$12:Z1040)*ROW(Z$12:Z1040),ROW($T$12))&amp;":AA"&amp;(ROW()-1)))),1,0))&lt;&gt;16),MIN(LOOKUP(,-1/($Z$12:Z1041=1),$C$12:C1041)+LOOKUP(,-1/($Z$12:Z1041=1),$H$12:H1041)-IF(AA1040="Да",0,SUM(INDIRECT("T"&amp;(MAX(("Да"=AA$12:AA1040)*ROW(AA$12:AA1040)+1,ROW($T$12))&amp;":T"&amp;(ROW()-1))))),Первоначальный[[#This Row],[Полученный платеж]]+Y1040),
AND(S1040=0,MAX((0&lt;&gt;N$12:N1040)*ROW(N$12:N1040),ROW($S$12))&gt;=MAX((1=Z$12:Z1040)*ROW(Z$12:Z1040),ROW($T$12))),MIN(LOOKUP(,-1/($Z$12:Z1041=1),$C$12:C1041)+LOOKUP(,-1/($Z$12:Z1041=1),$H$12:H1041)-IF(N1040&lt;&gt;0,0,SUM(INDIRECT("T"&amp;(MAX((0&lt;&gt;N$12:N1040)*ROW(N$12:N1040)+1,ROW($T$12))&amp;":T"&amp;(ROW()-1))))),Первоначальный[[#This Row],[Полученный платеж]]+Y1040),
AND(S1040=0,Первоначальный[[#This Row],[Дата платежа из графика]]=1),MIN(LOOKUP(,-1/($Z$12:Z1041=1),$C$12:C1041)+LOOKUP(,-1/($Z$12:Z1041=1),$H$12:H1041)-IF(Z1040=1,0,SUM(INDIRECT("T"&amp;(MAX((1=Z$12:Z1040)*ROW(Z$12:Z1040)+1,ROW($T$12))&amp;":T"&amp;(ROW()-1))))),Первоначальный[[#This Row],[Полученный платеж]]+Y1040),
AND(Z1040&gt;0,Первоначальный[[#This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платеж]]+Y1040),
AND(S1040&gt;0,MAX((0&lt;&gt;S$12:S1040)*ROW(S$12:S1040),ROW($S$12))&gt;=MAX((1=Z$12:Z1040)*ROW(Z$12:Z1040),ROW($T$12)),TYPE(VLOOKUP("Да",(INDIRECT("AA"&amp;(MAX((1=Z$12:Z1040)*ROW(Z$12:Z1040),ROW($T$12))&amp;":AA"&amp;(ROW()-1)))),1,0))=16),MIN(LOOKUP(,-1/($Z$12:Z1041=1),$C$12:C1041)+LOOKUP(,-1/($Z$12:Z1041=1),$H$12:H1041)-SUM(INDIRECT("T"&amp;(MAX((1=Z$12:Z1040)*ROW(Z$12:Z1040),ROW($T$12))&amp;":T"&amp;(ROW()-1)))),Первоначальный[[#This Row],[Полученный платеж]]+Y1040),
S1040&gt;0,MIN(LOOKUP(,-1/($Z$12:Z1041=1),$C$12:C1041)+LOOKUP(,-1/($Z$12:Z1041=1),$H$12:H1041)-IF(Z1040=1,0,SUM(INDIRECT("T"&amp;(MAX((1=Z$12:Z1040)*ROW(Z$12:Z1040)+1,ROW($T$12))&amp;":T"&amp;(ROW()-1))))),Первоначальный[[#This Row],[Полученный платеж]]+Y1040)
)
)
)</f>
        <v>0</v>
      </c>
      <c r="U104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платеж]]+Y1040-Первоначальный[[#This Row],[Полученный платёж по процентам]])</f>
        <v>0</v>
      </c>
      <c r="V1041" s="55">
        <f t="shared" ca="1" si="195"/>
        <v>0</v>
      </c>
      <c r="W1041" s="55" cm="1">
        <f t="array" aca="1" ref="W1041" ca="1">IF(Первоначальный[[#This Row],[Итого остаток на начало периода]]&lt;1,0,
_xlfn.IFS(
AND(TYPE(VLOOKUP(1,$Z$12:Z1041,1,0))=16,Первоначальный[[#This Row],[Досрочное погашение (да/"")]]=""),0,
AND(S1040=0,Первоначальный[[#This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платеж]]+Y1040-SUM(Первоначальный[[#This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комиссиям]]),VLOOKUP(LOOKUP(,-1/($Z$12:Z1041=1),$A$12:A1041),График[[Срок конец]:[Возврат основной суммы долга]],3,0)),
AND(S1040=0,Первоначальный[[#This Row],[Дата платежа из графика]]="",Первоначальный[[#This Row],[Досрочное погашение (да/"")]]&lt;&gt;"Да"),0,
AND(S1040=0,Первоначальный[[#This Row],[Досрочное погашение (да/"")]]=""),MIN(Первоначальный[[#This Row],[Полученный платеж]]+Y1040-SUM(Первоначальный[[#This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комиссиям]]),VLOOKUP(LOOKUP(,-1/($Z$12:Z1041=1),$A$12:A1041),График[[Срок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платеж]]+Y1040-SUM(Первоначальный[[#This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S1040&gt;0,MIN(Первоначальный[[#This Row],[Полученный платеж]]+Y1040-SUM(Первоначальный[[#This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комиссиям]]),SUM(INDIRECT("M"&amp;(MAX((1=S$12:S1040)*ROW(S$12:S1040),ROW($W$12))&amp;":M"&amp;(ROW()))))-SUM(INDIRECT("W"&amp;(MAX((1=S$12:S1040)*ROW(S$12:S1040),ROW($W$12))&amp;":W"&amp;(ROW()-1)))))
)
)</f>
        <v>0</v>
      </c>
      <c r="X1041" s="55">
        <f t="shared" ca="1" si="196"/>
        <v>0</v>
      </c>
      <c r="Y1041" s="101">
        <f t="shared" ca="1" si="203"/>
        <v>0</v>
      </c>
      <c r="Z1041" s="133" t="str">
        <f>IF(TYPE((VLOOKUP(Первоначальный[[#This Row],[Дата платежа]],График[Срок конец],1,0)))=16,"",1)</f>
        <v/>
      </c>
      <c r="AA1041" s="57"/>
      <c r="AB1041" s="134"/>
      <c r="AC104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4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74820.959999999817</v>
      </c>
      <c r="AE104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4054.0800000000004</v>
      </c>
      <c r="AF104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4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216300.13757213054</v>
      </c>
      <c r="AH1041" s="55"/>
      <c r="AI1041" s="55"/>
      <c r="AJ1041" s="55"/>
      <c r="AK1041" s="101">
        <f t="shared" ca="1" si="204"/>
        <v>444808.51757213031</v>
      </c>
      <c r="AL1041" s="129">
        <f t="array" ref="AL1041">MAX((УслРестрактов[Характеристика]="Дата реструктуризации")*(УслРестрактов[Значение]=Первоначальный!$A1041),0)</f>
        <v>0</v>
      </c>
    </row>
    <row r="1042" spans="1:38" x14ac:dyDescent="0.25">
      <c r="A1042" s="97">
        <f t="shared" si="197"/>
        <v>45173</v>
      </c>
      <c r="B1042" s="100">
        <f t="shared" ca="1" si="198"/>
        <v>149633.34</v>
      </c>
      <c r="C1042" s="55">
        <f t="shared" ca="1" si="194"/>
        <v>74820.959999999817</v>
      </c>
      <c r="D1042" s="55">
        <f t="shared" ca="1" si="194"/>
        <v>4054.0800000000004</v>
      </c>
      <c r="E1042" s="55">
        <f t="shared" ca="1" si="199"/>
        <v>0</v>
      </c>
      <c r="F1042" s="55">
        <f t="shared" ca="1" si="200"/>
        <v>216300.13757213054</v>
      </c>
      <c r="G1042" s="101">
        <f t="shared" ca="1" si="201"/>
        <v>444808.51757213031</v>
      </c>
      <c r="H1042" s="100">
        <f ca="1">ROUND($B1042*VLOOKUP($A1042,$A$1:$B$10,2,1)/(365+IF(MOD(YEAR($A1042),4),0,1)*($A1042-$A1041)),2)-Первоначальный[[#This Row],[Проценты на просроченный платеж по ОД за период]]</f>
        <v>72.429999999999993</v>
      </c>
      <c r="I1042" s="55">
        <f t="shared" ca="1" si="202"/>
        <v>9.15</v>
      </c>
      <c r="J1042" s="55">
        <v>0</v>
      </c>
      <c r="K1042" s="55">
        <f t="shared" ca="1" si="205"/>
        <v>448.96850327868839</v>
      </c>
      <c r="L1042" s="55">
        <v>0</v>
      </c>
      <c r="M1042" s="113">
        <f>SUMIFS(График[Возврат основной суммы долга],График[Дата с учетом нерабочих дней],$A1042)</f>
        <v>0</v>
      </c>
      <c r="N1042" s="56">
        <f>SUMIFS(График[Возврат начисленных %],График[Дата с учетом нерабочих дней],$A1042)</f>
        <v>0</v>
      </c>
      <c r="O1042" s="101">
        <v>0</v>
      </c>
      <c r="P1042" s="100" cm="1">
        <f t="array" aca="1" ref="P1042" ca="1">MAX(IF(AA1041="Да",0,SUM(INDIRECT("M"&amp;(MAX(("Да"=AA$12:AA1041)*ROW(AA$12:AA1041)+1,ROW($P$12))&amp;":M"&amp;(ROW()))))-SUM(INDIRECT("W"&amp;(MAX(("Да"=AA$12:AA1041)*ROW(AA$12:AA1041)+1,ROW($P$12))&amp;":W"&amp;(ROW()))))),0)</f>
        <v>16786.23</v>
      </c>
      <c r="Q1042" s="99">
        <f ca="1">MAX(SUM($N$13:N1042)-SUM($T$13:T1042),0)</f>
        <v>73007.470655737678</v>
      </c>
      <c r="R1042" s="99">
        <f ca="1">Первоначальный[[#This Row],[Просроченный платеж по ОД]]+Первоначальный[[#This Row],[Просроченный платеж по процентам]]</f>
        <v>89793.700655737674</v>
      </c>
      <c r="S1042" s="120">
        <f ca="1">IF(Первоначальный[[#This Row],[Просроченный платеж]]&lt;1,0,S1041+1)</f>
        <v>938</v>
      </c>
      <c r="T1042" s="100" cm="1">
        <f t="array" aca="1" ref="T1042" ca="1">IF(Первоначальный[[#This Row],[Итого остаток на начало периода]]&lt;1,0,
IF(
AND(TYPE(VLOOKUP(1,$Z$12:Z1042,1,0))=16,Первоначальный[[#This Row],[Досрочное погашение (да/"")]]=""),0,
_xlfn.IFS(AND(S1041=0,Первоначальный[[#This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платеж]]&lt;&gt;0),MIN(LOOKUP(,-1/($Z$12:Z1042=1),$C$12:C1042)+LOOKUP(,-1/($Z$12:Z1042=1),$H$12:H1042),Первоначальный[[#This Row],[Полученный платеж]]+Y1041),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платеж]]+Y1041,SUM(Первоначальный[[#This Row],[Остаток процентов на начало периода]],Первоначальный[[#This Row],[Проценты за период]])),
AND(S1041=0,Первоначальный[[#This Row],[Дата платежа из графика]]=""),0,
AND(S1041=0,Первоначальный[[#This Row],[Дата платежа из графика]]=1,MAX((0&lt;&gt;S$12:S1041)*ROW(S$12:S1041),ROW($S$12))&gt;=MAX((1=Z$12:Z1041)*ROW(Z$12:Z1041),ROW($T$12)),TYPE(VLOOKUP("Да",(INDIRECT("AA"&amp;(MAX((1=Z$12:Z1041)*ROW(Z$12:Z1041),ROW($T$12))&amp;":AA"&amp;(ROW()-1)))),1,0))=16),MIN(LOOKUP(,-1/($Z$12:Z1042=1),$C$12:C1042)+LOOKUP(,-1/($Z$12:Z1042=1),$H$12:H1042),Первоначальный[[#This Row],[Полученный платеж]]+Y1041),
AND(S1041=0,TYPE(VLOOKUP("Да",(INDIRECT("AA"&amp;(MAX((1=Z$12:Z1041)*ROW(Z$12:Z1041),ROW($T$12))&amp;":AA"&amp;(ROW()-1)))),1,0))&lt;&gt;16),MIN(LOOKUP(,-1/($Z$12:Z1042=1),$C$12:C1042)+LOOKUP(,-1/($Z$12:Z1042=1),$H$12:H1042)-IF(AA1041="Да",0,SUM(INDIRECT("T"&amp;(MAX(("Да"=AA$12:AA1041)*ROW(AA$12:AA1041)+1,ROW($T$12))&amp;":T"&amp;(ROW()-1))))),Первоначальный[[#This Row],[Полученный платеж]]+Y1041),
AND(S1041=0,MAX((0&lt;&gt;N$12:N1041)*ROW(N$12:N1041),ROW($S$12))&gt;=MAX((1=Z$12:Z1041)*ROW(Z$12:Z1041),ROW($T$12))),MIN(LOOKUP(,-1/($Z$12:Z1042=1),$C$12:C1042)+LOOKUP(,-1/($Z$12:Z1042=1),$H$12:H1042)-IF(N1041&lt;&gt;0,0,SUM(INDIRECT("T"&amp;(MAX((0&lt;&gt;N$12:N1041)*ROW(N$12:N1041)+1,ROW($T$12))&amp;":T"&amp;(ROW()-1))))),Первоначальный[[#This Row],[Полученный платеж]]+Y1041),
AND(S1041=0,Первоначальный[[#This Row],[Дата платежа из графика]]=1),MIN(LOOKUP(,-1/($Z$12:Z1042=1),$C$12:C1042)+LOOKUP(,-1/($Z$12:Z1042=1),$H$12:H1042)-IF(Z1041=1,0,SUM(INDIRECT("T"&amp;(MAX((1=Z$12:Z1041)*ROW(Z$12:Z1041)+1,ROW($T$12))&amp;":T"&amp;(ROW()-1))))),Первоначальный[[#This Row],[Полученный платеж]]+Y1041),
AND(Z1041&gt;0,Первоначальный[[#This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платеж]]+Y1041),
AND(S1041&gt;0,MAX((0&lt;&gt;S$12:S1041)*ROW(S$12:S1041),ROW($S$12))&gt;=MAX((1=Z$12:Z1041)*ROW(Z$12:Z1041),ROW($T$12)),TYPE(VLOOKUP("Да",(INDIRECT("AA"&amp;(MAX((1=Z$12:Z1041)*ROW(Z$12:Z1041),ROW($T$12))&amp;":AA"&amp;(ROW()-1)))),1,0))=16),MIN(LOOKUP(,-1/($Z$12:Z1042=1),$C$12:C1042)+LOOKUP(,-1/($Z$12:Z1042=1),$H$12:H1042)-SUM(INDIRECT("T"&amp;(MAX((1=Z$12:Z1041)*ROW(Z$12:Z1041),ROW($T$12))&amp;":T"&amp;(ROW()-1)))),Первоначальный[[#This Row],[Полученный платеж]]+Y1041),
S1041&gt;0,MIN(LOOKUP(,-1/($Z$12:Z1042=1),$C$12:C1042)+LOOKUP(,-1/($Z$12:Z1042=1),$H$12:H1042)-IF(Z1041=1,0,SUM(INDIRECT("T"&amp;(MAX((1=Z$12:Z1041)*ROW(Z$12:Z1041)+1,ROW($T$12))&amp;":T"&amp;(ROW()-1))))),Первоначальный[[#This Row],[Полученный платеж]]+Y1041)
)
)
)</f>
        <v>0</v>
      </c>
      <c r="U104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платеж]]+Y1041-Первоначальный[[#This Row],[Полученный платёж по процентам]])</f>
        <v>0</v>
      </c>
      <c r="V1042" s="55">
        <f t="shared" ca="1" si="195"/>
        <v>0</v>
      </c>
      <c r="W1042" s="55" cm="1">
        <f t="array" aca="1" ref="W1042" ca="1">IF(Первоначальный[[#This Row],[Итого остаток на начало периода]]&lt;1,0,
_xlfn.IFS(
AND(TYPE(VLOOKUP(1,$Z$12:Z1042,1,0))=16,Первоначальный[[#This Row],[Досрочное погашение (да/"")]]=""),0,
AND(S1041=0,Первоначальный[[#This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платеж]]+Y1041-SUM(Первоначальный[[#This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комиссиям]]),VLOOKUP(LOOKUP(,-1/($Z$12:Z1042=1),$A$12:A1042),График[[Срок конец]:[Возврат основной суммы долга]],3,0)),
AND(S1041=0,Первоначальный[[#This Row],[Дата платежа из графика]]="",Первоначальный[[#This Row],[Досрочное погашение (да/"")]]&lt;&gt;"Да"),0,
AND(S1041=0,Первоначальный[[#This Row],[Досрочное погашение (да/"")]]=""),MIN(Первоначальный[[#This Row],[Полученный платеж]]+Y1041-SUM(Первоначальный[[#This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комиссиям]]),VLOOKUP(LOOKUP(,-1/($Z$12:Z1042=1),$A$12:A1042),График[[Срок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платеж]]+Y1041-SUM(Первоначальный[[#This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S1041&gt;0,MIN(Первоначальный[[#This Row],[Полученный платеж]]+Y1041-SUM(Первоначальный[[#This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комиссиям]]),SUM(INDIRECT("M"&amp;(MAX((1=S$12:S1041)*ROW(S$12:S1041),ROW($W$12))&amp;":M"&amp;(ROW()))))-SUM(INDIRECT("W"&amp;(MAX((1=S$12:S1041)*ROW(S$12:S1041),ROW($W$12))&amp;":W"&amp;(ROW()-1)))))
)
)</f>
        <v>0</v>
      </c>
      <c r="X1042" s="55">
        <f t="shared" ca="1" si="196"/>
        <v>0</v>
      </c>
      <c r="Y1042" s="101">
        <f t="shared" ca="1" si="203"/>
        <v>0</v>
      </c>
      <c r="Z1042" s="133" t="str">
        <f>IF(TYPE((VLOOKUP(Первоначальный[[#This Row],[Дата платежа]],График[Срок конец],1,0)))=16,"",1)</f>
        <v/>
      </c>
      <c r="AA1042" s="57"/>
      <c r="AB1042" s="134"/>
      <c r="AC104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4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74893.38999999981</v>
      </c>
      <c r="AE104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4063.2300000000005</v>
      </c>
      <c r="AF104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4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216749.10607540922</v>
      </c>
      <c r="AH1042" s="55"/>
      <c r="AI1042" s="55"/>
      <c r="AJ1042" s="55"/>
      <c r="AK1042" s="101">
        <f t="shared" ca="1" si="204"/>
        <v>445339.06607540906</v>
      </c>
      <c r="AL1042" s="129">
        <f t="array" ref="AL1042">MAX((УслРестрактов[Характеристика]="Дата реструктуризации")*(УслРестрактов[Значение]=Первоначальный!$A1042),0)</f>
        <v>0</v>
      </c>
    </row>
    <row r="1043" spans="1:38" x14ac:dyDescent="0.25">
      <c r="A1043" s="97">
        <f t="shared" si="197"/>
        <v>45174</v>
      </c>
      <c r="B1043" s="100">
        <f t="shared" ca="1" si="198"/>
        <v>149633.34</v>
      </c>
      <c r="C1043" s="55">
        <f t="shared" ca="1" si="194"/>
        <v>74893.38999999981</v>
      </c>
      <c r="D1043" s="55">
        <f t="shared" ca="1" si="194"/>
        <v>4063.2300000000005</v>
      </c>
      <c r="E1043" s="55">
        <f t="shared" ca="1" si="199"/>
        <v>0</v>
      </c>
      <c r="F1043" s="55">
        <f t="shared" ca="1" si="200"/>
        <v>216749.10607540922</v>
      </c>
      <c r="G1043" s="101">
        <f t="shared" ca="1" si="201"/>
        <v>445339.06607540906</v>
      </c>
      <c r="H1043" s="100">
        <f ca="1">ROUND($B1043*VLOOKUP($A1043,$A$1:$B$10,2,1)/(365+IF(MOD(YEAR($A1043),4),0,1)*($A1043-$A1042)),2)-Первоначальный[[#This Row],[Проценты на просроченный платеж по ОД за период]]</f>
        <v>72.429999999999993</v>
      </c>
      <c r="I1043" s="55">
        <f t="shared" ca="1" si="202"/>
        <v>9.15</v>
      </c>
      <c r="J1043" s="55">
        <v>0</v>
      </c>
      <c r="K1043" s="55">
        <f t="shared" ca="1" si="205"/>
        <v>448.96850327868839</v>
      </c>
      <c r="L1043" s="55">
        <v>0</v>
      </c>
      <c r="M1043" s="113">
        <f>SUMIFS(График[Возврат основной суммы долга],График[Дата с учетом нерабочих дней],$A1043)</f>
        <v>0</v>
      </c>
      <c r="N1043" s="56">
        <f>SUMIFS(График[Возврат начисленных %],График[Дата с учетом нерабочих дней],$A1043)</f>
        <v>0</v>
      </c>
      <c r="O1043" s="101">
        <v>0</v>
      </c>
      <c r="P1043" s="100" cm="1">
        <f t="array" aca="1" ref="P1043" ca="1">MAX(IF(AA1042="Да",0,SUM(INDIRECT("M"&amp;(MAX(("Да"=AA$12:AA1042)*ROW(AA$12:AA1042)+1,ROW($P$12))&amp;":M"&amp;(ROW()))))-SUM(INDIRECT("W"&amp;(MAX(("Да"=AA$12:AA1042)*ROW(AA$12:AA1042)+1,ROW($P$12))&amp;":W"&amp;(ROW()))))),0)</f>
        <v>16786.23</v>
      </c>
      <c r="Q1043" s="99">
        <f ca="1">MAX(SUM($N$13:N1043)-SUM($T$13:T1043),0)</f>
        <v>73007.470655737678</v>
      </c>
      <c r="R1043" s="99">
        <f ca="1">Первоначальный[[#This Row],[Просроченный платеж по ОД]]+Первоначальный[[#This Row],[Просроченный платеж по процентам]]</f>
        <v>89793.700655737674</v>
      </c>
      <c r="S1043" s="120">
        <f ca="1">IF(Первоначальный[[#This Row],[Просроченный платеж]]&lt;1,0,S1042+1)</f>
        <v>939</v>
      </c>
      <c r="T1043" s="100" cm="1">
        <f t="array" aca="1" ref="T1043" ca="1">IF(Первоначальный[[#This Row],[Итого остаток на начало периода]]&lt;1,0,
IF(
AND(TYPE(VLOOKUP(1,$Z$12:Z1043,1,0))=16,Первоначальный[[#This Row],[Досрочное погашение (да/"")]]=""),0,
_xlfn.IFS(AND(S1042=0,Первоначальный[[#This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платеж]]&lt;&gt;0),MIN(LOOKUP(,-1/($Z$12:Z1043=1),$C$12:C1043)+LOOKUP(,-1/($Z$12:Z1043=1),$H$12:H1043),Первоначальный[[#This Row],[Полученный платеж]]+Y1042),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платеж]]+Y1042,SUM(Первоначальный[[#This Row],[Остаток процентов на начало периода]],Первоначальный[[#This Row],[Проценты за период]])),
AND(S1042=0,Первоначальный[[#This Row],[Дата платежа из графика]]=""),0,
AND(S1042=0,Первоначальный[[#This Row],[Дата платежа из графика]]=1,MAX((0&lt;&gt;S$12:S1042)*ROW(S$12:S1042),ROW($S$12))&gt;=MAX((1=Z$12:Z1042)*ROW(Z$12:Z1042),ROW($T$12)),TYPE(VLOOKUP("Да",(INDIRECT("AA"&amp;(MAX((1=Z$12:Z1042)*ROW(Z$12:Z1042),ROW($T$12))&amp;":AA"&amp;(ROW()-1)))),1,0))=16),MIN(LOOKUP(,-1/($Z$12:Z1043=1),$C$12:C1043)+LOOKUP(,-1/($Z$12:Z1043=1),$H$12:H1043),Первоначальный[[#This Row],[Полученный платеж]]+Y1042),
AND(S1042=0,TYPE(VLOOKUP("Да",(INDIRECT("AA"&amp;(MAX((1=Z$12:Z1042)*ROW(Z$12:Z1042),ROW($T$12))&amp;":AA"&amp;(ROW()-1)))),1,0))&lt;&gt;16),MIN(LOOKUP(,-1/($Z$12:Z1043=1),$C$12:C1043)+LOOKUP(,-1/($Z$12:Z1043=1),$H$12:H1043)-IF(AA1042="Да",0,SUM(INDIRECT("T"&amp;(MAX(("Да"=AA$12:AA1042)*ROW(AA$12:AA1042)+1,ROW($T$12))&amp;":T"&amp;(ROW()-1))))),Первоначальный[[#This Row],[Полученный платеж]]+Y1042),
AND(S1042=0,MAX((0&lt;&gt;N$12:N1042)*ROW(N$12:N1042),ROW($S$12))&gt;=MAX((1=Z$12:Z1042)*ROW(Z$12:Z1042),ROW($T$12))),MIN(LOOKUP(,-1/($Z$12:Z1043=1),$C$12:C1043)+LOOKUP(,-1/($Z$12:Z1043=1),$H$12:H1043)-IF(N1042&lt;&gt;0,0,SUM(INDIRECT("T"&amp;(MAX((0&lt;&gt;N$12:N1042)*ROW(N$12:N1042)+1,ROW($T$12))&amp;":T"&amp;(ROW()-1))))),Первоначальный[[#This Row],[Полученный платеж]]+Y1042),
AND(S1042=0,Первоначальный[[#This Row],[Дата платежа из графика]]=1),MIN(LOOKUP(,-1/($Z$12:Z1043=1),$C$12:C1043)+LOOKUP(,-1/($Z$12:Z1043=1),$H$12:H1043)-IF(Z1042=1,0,SUM(INDIRECT("T"&amp;(MAX((1=Z$12:Z1042)*ROW(Z$12:Z1042)+1,ROW($T$12))&amp;":T"&amp;(ROW()-1))))),Первоначальный[[#This Row],[Полученный платеж]]+Y1042),
AND(Z1042&gt;0,Первоначальный[[#This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платеж]]+Y1042),
AND(S1042&gt;0,MAX((0&lt;&gt;S$12:S1042)*ROW(S$12:S1042),ROW($S$12))&gt;=MAX((1=Z$12:Z1042)*ROW(Z$12:Z1042),ROW($T$12)),TYPE(VLOOKUP("Да",(INDIRECT("AA"&amp;(MAX((1=Z$12:Z1042)*ROW(Z$12:Z1042),ROW($T$12))&amp;":AA"&amp;(ROW()-1)))),1,0))=16),MIN(LOOKUP(,-1/($Z$12:Z1043=1),$C$12:C1043)+LOOKUP(,-1/($Z$12:Z1043=1),$H$12:H1043)-SUM(INDIRECT("T"&amp;(MAX((1=Z$12:Z1042)*ROW(Z$12:Z1042),ROW($T$12))&amp;":T"&amp;(ROW()-1)))),Первоначальный[[#This Row],[Полученный платеж]]+Y1042),
S1042&gt;0,MIN(LOOKUP(,-1/($Z$12:Z1043=1),$C$12:C1043)+LOOKUP(,-1/($Z$12:Z1043=1),$H$12:H1043)-IF(Z1042=1,0,SUM(INDIRECT("T"&amp;(MAX((1=Z$12:Z1042)*ROW(Z$12:Z1042)+1,ROW($T$12))&amp;":T"&amp;(ROW()-1))))),Первоначальный[[#This Row],[Полученный платеж]]+Y1042)
)
)
)</f>
        <v>0</v>
      </c>
      <c r="U104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платеж]]+Y1042-Первоначальный[[#This Row],[Полученный платёж по процентам]])</f>
        <v>0</v>
      </c>
      <c r="V1043" s="55">
        <f t="shared" ca="1" si="195"/>
        <v>0</v>
      </c>
      <c r="W1043" s="55" cm="1">
        <f t="array" aca="1" ref="W1043" ca="1">IF(Первоначальный[[#This Row],[Итого остаток на начало периода]]&lt;1,0,
_xlfn.IFS(
AND(TYPE(VLOOKUP(1,$Z$12:Z1043,1,0))=16,Первоначальный[[#This Row],[Досрочное погашение (да/"")]]=""),0,
AND(S1042=0,Первоначальный[[#This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платеж]]+Y1042-SUM(Первоначальный[[#This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комиссиям]]),VLOOKUP(LOOKUP(,-1/($Z$12:Z1043=1),$A$12:A1043),График[[Срок конец]:[Возврат основной суммы долга]],3,0)),
AND(S1042=0,Первоначальный[[#This Row],[Дата платежа из графика]]="",Первоначальный[[#This Row],[Досрочное погашение (да/"")]]&lt;&gt;"Да"),0,
AND(S1042=0,Первоначальный[[#This Row],[Досрочное погашение (да/"")]]=""),MIN(Первоначальный[[#This Row],[Полученный платеж]]+Y1042-SUM(Первоначальный[[#This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комиссиям]]),VLOOKUP(LOOKUP(,-1/($Z$12:Z1043=1),$A$12:A1043),График[[Срок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платеж]]+Y1042-SUM(Первоначальный[[#This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S1042&gt;0,MIN(Первоначальный[[#This Row],[Полученный платеж]]+Y1042-SUM(Первоначальный[[#This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комиссиям]]),SUM(INDIRECT("M"&amp;(MAX((1=S$12:S1042)*ROW(S$12:S1042),ROW($W$12))&amp;":M"&amp;(ROW()))))-SUM(INDIRECT("W"&amp;(MAX((1=S$12:S1042)*ROW(S$12:S1042),ROW($W$12))&amp;":W"&amp;(ROW()-1)))))
)
)</f>
        <v>0</v>
      </c>
      <c r="X1043" s="55">
        <f t="shared" ca="1" si="196"/>
        <v>0</v>
      </c>
      <c r="Y1043" s="101">
        <f t="shared" ca="1" si="203"/>
        <v>0</v>
      </c>
      <c r="Z1043" s="133" t="str">
        <f>IF(TYPE((VLOOKUP(Первоначальный[[#This Row],[Дата платежа]],График[Срок конец],1,0)))=16,"",1)</f>
        <v/>
      </c>
      <c r="AA1043" s="57"/>
      <c r="AB1043" s="134"/>
      <c r="AC104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4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74965.819999999803</v>
      </c>
      <c r="AE104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4072.3800000000006</v>
      </c>
      <c r="AF104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4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217198.0745786879</v>
      </c>
      <c r="AH1043" s="55"/>
      <c r="AI1043" s="55"/>
      <c r="AJ1043" s="55"/>
      <c r="AK1043" s="101">
        <f t="shared" ca="1" si="204"/>
        <v>445869.6145786877</v>
      </c>
      <c r="AL1043" s="129">
        <f t="array" ref="AL1043">MAX((УслРестрактов[Характеристика]="Дата реструктуризации")*(УслРестрактов[Значение]=Первоначальный!$A1043),0)</f>
        <v>0</v>
      </c>
    </row>
    <row r="1044" spans="1:38" x14ac:dyDescent="0.25">
      <c r="A1044" s="97">
        <f t="shared" si="197"/>
        <v>45175</v>
      </c>
      <c r="B1044" s="100">
        <f t="shared" ca="1" si="198"/>
        <v>149633.34</v>
      </c>
      <c r="C1044" s="55">
        <f t="shared" ca="1" si="194"/>
        <v>74965.819999999803</v>
      </c>
      <c r="D1044" s="55">
        <f t="shared" ca="1" si="194"/>
        <v>4072.3800000000006</v>
      </c>
      <c r="E1044" s="55">
        <f t="shared" ca="1" si="199"/>
        <v>0</v>
      </c>
      <c r="F1044" s="55">
        <f t="shared" ca="1" si="200"/>
        <v>217198.0745786879</v>
      </c>
      <c r="G1044" s="101">
        <f t="shared" ca="1" si="201"/>
        <v>445869.6145786877</v>
      </c>
      <c r="H1044" s="100">
        <f ca="1">ROUND($B1044*VLOOKUP($A1044,$A$1:$B$10,2,1)/(365+IF(MOD(YEAR($A1044),4),0,1)*($A1044-$A1043)),2)-Первоначальный[[#This Row],[Проценты на просроченный платеж по ОД за период]]</f>
        <v>72.429999999999993</v>
      </c>
      <c r="I1044" s="55">
        <f t="shared" ca="1" si="202"/>
        <v>9.15</v>
      </c>
      <c r="J1044" s="55">
        <v>0</v>
      </c>
      <c r="K1044" s="55">
        <f t="shared" ca="1" si="205"/>
        <v>448.96850327868839</v>
      </c>
      <c r="L1044" s="55">
        <v>0</v>
      </c>
      <c r="M1044" s="113">
        <f>SUMIFS(График[Возврат основной суммы долга],График[Дата с учетом нерабочих дней],$A1044)</f>
        <v>0</v>
      </c>
      <c r="N1044" s="56">
        <f>SUMIFS(График[Возврат начисленных %],График[Дата с учетом нерабочих дней],$A1044)</f>
        <v>0</v>
      </c>
      <c r="O1044" s="101">
        <v>0</v>
      </c>
      <c r="P1044" s="100" cm="1">
        <f t="array" aca="1" ref="P1044" ca="1">MAX(IF(AA1043="Да",0,SUM(INDIRECT("M"&amp;(MAX(("Да"=AA$12:AA1043)*ROW(AA$12:AA1043)+1,ROW($P$12))&amp;":M"&amp;(ROW()))))-SUM(INDIRECT("W"&amp;(MAX(("Да"=AA$12:AA1043)*ROW(AA$12:AA1043)+1,ROW($P$12))&amp;":W"&amp;(ROW()))))),0)</f>
        <v>16786.23</v>
      </c>
      <c r="Q1044" s="99">
        <f ca="1">MAX(SUM($N$13:N1044)-SUM($T$13:T1044),0)</f>
        <v>73007.470655737678</v>
      </c>
      <c r="R1044" s="99">
        <f ca="1">Первоначальный[[#This Row],[Просроченный платеж по ОД]]+Первоначальный[[#This Row],[Просроченный платеж по процентам]]</f>
        <v>89793.700655737674</v>
      </c>
      <c r="S1044" s="120">
        <f ca="1">IF(Первоначальный[[#This Row],[Просроченный платеж]]&lt;1,0,S1043+1)</f>
        <v>940</v>
      </c>
      <c r="T1044" s="100" cm="1">
        <f t="array" aca="1" ref="T1044" ca="1">IF(Первоначальный[[#This Row],[Итого остаток на начало периода]]&lt;1,0,
IF(
AND(TYPE(VLOOKUP(1,$Z$12:Z1044,1,0))=16,Первоначальный[[#This Row],[Досрочное погашение (да/"")]]=""),0,
_xlfn.IFS(AND(S1043=0,Первоначальный[[#This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платеж]]&lt;&gt;0),MIN(LOOKUP(,-1/($Z$12:Z1044=1),$C$12:C1044)+LOOKUP(,-1/($Z$12:Z1044=1),$H$12:H1044),Первоначальный[[#This Row],[Полученный платеж]]+Y1043),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платеж]]+Y1043,SUM(Первоначальный[[#This Row],[Остаток процентов на начало периода]],Первоначальный[[#This Row],[Проценты за период]])),
AND(S1043=0,Первоначальный[[#This Row],[Дата платежа из графика]]=""),0,
AND(S1043=0,Первоначальный[[#This Row],[Дата платежа из графика]]=1,MAX((0&lt;&gt;S$12:S1043)*ROW(S$12:S1043),ROW($S$12))&gt;=MAX((1=Z$12:Z1043)*ROW(Z$12:Z1043),ROW($T$12)),TYPE(VLOOKUP("Да",(INDIRECT("AA"&amp;(MAX((1=Z$12:Z1043)*ROW(Z$12:Z1043),ROW($T$12))&amp;":AA"&amp;(ROW()-1)))),1,0))=16),MIN(LOOKUP(,-1/($Z$12:Z1044=1),$C$12:C1044)+LOOKUP(,-1/($Z$12:Z1044=1),$H$12:H1044),Первоначальный[[#This Row],[Полученный платеж]]+Y1043),
AND(S1043=0,TYPE(VLOOKUP("Да",(INDIRECT("AA"&amp;(MAX((1=Z$12:Z1043)*ROW(Z$12:Z1043),ROW($T$12))&amp;":AA"&amp;(ROW()-1)))),1,0))&lt;&gt;16),MIN(LOOKUP(,-1/($Z$12:Z1044=1),$C$12:C1044)+LOOKUP(,-1/($Z$12:Z1044=1),$H$12:H1044)-IF(AA1043="Да",0,SUM(INDIRECT("T"&amp;(MAX(("Да"=AA$12:AA1043)*ROW(AA$12:AA1043)+1,ROW($T$12))&amp;":T"&amp;(ROW()-1))))),Первоначальный[[#This Row],[Полученный платеж]]+Y1043),
AND(S1043=0,MAX((0&lt;&gt;N$12:N1043)*ROW(N$12:N1043),ROW($S$12))&gt;=MAX((1=Z$12:Z1043)*ROW(Z$12:Z1043),ROW($T$12))),MIN(LOOKUP(,-1/($Z$12:Z1044=1),$C$12:C1044)+LOOKUP(,-1/($Z$12:Z1044=1),$H$12:H1044)-IF(N1043&lt;&gt;0,0,SUM(INDIRECT("T"&amp;(MAX((0&lt;&gt;N$12:N1043)*ROW(N$12:N1043)+1,ROW($T$12))&amp;":T"&amp;(ROW()-1))))),Первоначальный[[#This Row],[Полученный платеж]]+Y1043),
AND(S1043=0,Первоначальный[[#This Row],[Дата платежа из графика]]=1),MIN(LOOKUP(,-1/($Z$12:Z1044=1),$C$12:C1044)+LOOKUP(,-1/($Z$12:Z1044=1),$H$12:H1044)-IF(Z1043=1,0,SUM(INDIRECT("T"&amp;(MAX((1=Z$12:Z1043)*ROW(Z$12:Z1043)+1,ROW($T$12))&amp;":T"&amp;(ROW()-1))))),Первоначальный[[#This Row],[Полученный платеж]]+Y1043),
AND(Z1043&gt;0,Первоначальный[[#This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платеж]]+Y1043),
AND(S1043&gt;0,MAX((0&lt;&gt;S$12:S1043)*ROW(S$12:S1043),ROW($S$12))&gt;=MAX((1=Z$12:Z1043)*ROW(Z$12:Z1043),ROW($T$12)),TYPE(VLOOKUP("Да",(INDIRECT("AA"&amp;(MAX((1=Z$12:Z1043)*ROW(Z$12:Z1043),ROW($T$12))&amp;":AA"&amp;(ROW()-1)))),1,0))=16),MIN(LOOKUP(,-1/($Z$12:Z1044=1),$C$12:C1044)+LOOKUP(,-1/($Z$12:Z1044=1),$H$12:H1044)-SUM(INDIRECT("T"&amp;(MAX((1=Z$12:Z1043)*ROW(Z$12:Z1043),ROW($T$12))&amp;":T"&amp;(ROW()-1)))),Первоначальный[[#This Row],[Полученный платеж]]+Y1043),
S1043&gt;0,MIN(LOOKUP(,-1/($Z$12:Z1044=1),$C$12:C1044)+LOOKUP(,-1/($Z$12:Z1044=1),$H$12:H1044)-IF(Z1043=1,0,SUM(INDIRECT("T"&amp;(MAX((1=Z$12:Z1043)*ROW(Z$12:Z1043)+1,ROW($T$12))&amp;":T"&amp;(ROW()-1))))),Первоначальный[[#This Row],[Полученный платеж]]+Y1043)
)
)
)</f>
        <v>0</v>
      </c>
      <c r="U104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платеж]]+Y1043-Первоначальный[[#This Row],[Полученный платёж по процентам]])</f>
        <v>0</v>
      </c>
      <c r="V1044" s="55">
        <f t="shared" ca="1" si="195"/>
        <v>0</v>
      </c>
      <c r="W1044" s="55" cm="1">
        <f t="array" aca="1" ref="W1044" ca="1">IF(Первоначальный[[#This Row],[Итого остаток на начало периода]]&lt;1,0,
_xlfn.IFS(
AND(TYPE(VLOOKUP(1,$Z$12:Z1044,1,0))=16,Первоначальный[[#This Row],[Досрочное погашение (да/"")]]=""),0,
AND(S1043=0,Первоначальный[[#This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платеж]]+Y1043-SUM(Первоначальный[[#This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комиссиям]]),VLOOKUP(LOOKUP(,-1/($Z$12:Z1044=1),$A$12:A1044),График[[Срок конец]:[Возврат основной суммы долга]],3,0)),
AND(S1043=0,Первоначальный[[#This Row],[Дата платежа из графика]]="",Первоначальный[[#This Row],[Досрочное погашение (да/"")]]&lt;&gt;"Да"),0,
AND(S1043=0,Первоначальный[[#This Row],[Досрочное погашение (да/"")]]=""),MIN(Первоначальный[[#This Row],[Полученный платеж]]+Y1043-SUM(Первоначальный[[#This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комиссиям]]),VLOOKUP(LOOKUP(,-1/($Z$12:Z1044=1),$A$12:A1044),График[[Срок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платеж]]+Y1043-SUM(Первоначальный[[#This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S1043&gt;0,MIN(Первоначальный[[#This Row],[Полученный платеж]]+Y1043-SUM(Первоначальный[[#This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комиссиям]]),SUM(INDIRECT("M"&amp;(MAX((1=S$12:S1043)*ROW(S$12:S1043),ROW($W$12))&amp;":M"&amp;(ROW()))))-SUM(INDIRECT("W"&amp;(MAX((1=S$12:S1043)*ROW(S$12:S1043),ROW($W$12))&amp;":W"&amp;(ROW()-1)))))
)
)</f>
        <v>0</v>
      </c>
      <c r="X1044" s="55">
        <f t="shared" ca="1" si="196"/>
        <v>0</v>
      </c>
      <c r="Y1044" s="101">
        <f t="shared" ca="1" si="203"/>
        <v>0</v>
      </c>
      <c r="Z1044" s="133" t="str">
        <f>IF(TYPE((VLOOKUP(Первоначальный[[#This Row],[Дата платежа]],График[Срок конец],1,0)))=16,"",1)</f>
        <v/>
      </c>
      <c r="AA1044" s="57"/>
      <c r="AB1044" s="134"/>
      <c r="AC104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4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75038.249999999796</v>
      </c>
      <c r="AE104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4081.5300000000007</v>
      </c>
      <c r="AF104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4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217647.04308196658</v>
      </c>
      <c r="AH1044" s="55"/>
      <c r="AI1044" s="55"/>
      <c r="AJ1044" s="55"/>
      <c r="AK1044" s="101">
        <f t="shared" ca="1" si="204"/>
        <v>446400.16308196634</v>
      </c>
      <c r="AL1044" s="129">
        <f t="array" ref="AL1044">MAX((УслРестрактов[Характеристика]="Дата реструктуризации")*(УслРестрактов[Значение]=Первоначальный!$A1044),0)</f>
        <v>0</v>
      </c>
    </row>
    <row r="1045" spans="1:38" x14ac:dyDescent="0.25">
      <c r="A1045" s="97">
        <f t="shared" si="197"/>
        <v>45176</v>
      </c>
      <c r="B1045" s="100">
        <f t="shared" ca="1" si="198"/>
        <v>149633.34</v>
      </c>
      <c r="C1045" s="55">
        <f t="shared" ca="1" si="194"/>
        <v>75038.249999999796</v>
      </c>
      <c r="D1045" s="55">
        <f t="shared" ca="1" si="194"/>
        <v>4081.5300000000007</v>
      </c>
      <c r="E1045" s="55">
        <f t="shared" ca="1" si="199"/>
        <v>0</v>
      </c>
      <c r="F1045" s="55">
        <f t="shared" ca="1" si="200"/>
        <v>217647.04308196658</v>
      </c>
      <c r="G1045" s="101">
        <f t="shared" ca="1" si="201"/>
        <v>446400.16308196634</v>
      </c>
      <c r="H1045" s="100">
        <f ca="1">ROUND($B1045*VLOOKUP($A1045,$A$1:$B$10,2,1)/(365+IF(MOD(YEAR($A1045),4),0,1)*($A1045-$A1044)),2)-Первоначальный[[#This Row],[Проценты на просроченный платеж по ОД за период]]</f>
        <v>72.429999999999993</v>
      </c>
      <c r="I1045" s="55">
        <f t="shared" ca="1" si="202"/>
        <v>9.15</v>
      </c>
      <c r="J1045" s="55">
        <v>0</v>
      </c>
      <c r="K1045" s="55">
        <f t="shared" ca="1" si="205"/>
        <v>448.96850327868839</v>
      </c>
      <c r="L1045" s="55">
        <v>0</v>
      </c>
      <c r="M1045" s="113">
        <f>SUMIFS(График[Возврат основной суммы долга],График[Дата с учетом нерабочих дней],$A1045)</f>
        <v>0</v>
      </c>
      <c r="N1045" s="56">
        <f>SUMIFS(График[Возврат начисленных %],График[Дата с учетом нерабочих дней],$A1045)</f>
        <v>0</v>
      </c>
      <c r="O1045" s="101">
        <v>0</v>
      </c>
      <c r="P1045" s="100" cm="1">
        <f t="array" aca="1" ref="P1045" ca="1">MAX(IF(AA1044="Да",0,SUM(INDIRECT("M"&amp;(MAX(("Да"=AA$12:AA1044)*ROW(AA$12:AA1044)+1,ROW($P$12))&amp;":M"&amp;(ROW()))))-SUM(INDIRECT("W"&amp;(MAX(("Да"=AA$12:AA1044)*ROW(AA$12:AA1044)+1,ROW($P$12))&amp;":W"&amp;(ROW()))))),0)</f>
        <v>16786.23</v>
      </c>
      <c r="Q1045" s="99">
        <f ca="1">MAX(SUM($N$13:N1045)-SUM($T$13:T1045),0)</f>
        <v>73007.470655737678</v>
      </c>
      <c r="R1045" s="99">
        <f ca="1">Первоначальный[[#This Row],[Просроченный платеж по ОД]]+Первоначальный[[#This Row],[Просроченный платеж по процентам]]</f>
        <v>89793.700655737674</v>
      </c>
      <c r="S1045" s="120">
        <f ca="1">IF(Первоначальный[[#This Row],[Просроченный платеж]]&lt;1,0,S1044+1)</f>
        <v>941</v>
      </c>
      <c r="T1045" s="100" cm="1">
        <f t="array" aca="1" ref="T1045" ca="1">IF(Первоначальный[[#This Row],[Итого остаток на начало периода]]&lt;1,0,
IF(
AND(TYPE(VLOOKUP(1,$Z$12:Z1045,1,0))=16,Первоначальный[[#This Row],[Досрочное погашение (да/"")]]=""),0,
_xlfn.IFS(AND(S1044=0,Первоначальный[[#This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платеж]]&lt;&gt;0),MIN(LOOKUP(,-1/($Z$12:Z1045=1),$C$12:C1045)+LOOKUP(,-1/($Z$12:Z1045=1),$H$12:H1045),Первоначальный[[#This Row],[Полученный платеж]]+Y1044),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платеж]]+Y1044,SUM(Первоначальный[[#This Row],[Остаток процентов на начало периода]],Первоначальный[[#This Row],[Проценты за период]])),
AND(S1044=0,Первоначальный[[#This Row],[Дата платежа из графика]]=""),0,
AND(S1044=0,Первоначальный[[#This Row],[Дата платежа из графика]]=1,MAX((0&lt;&gt;S$12:S1044)*ROW(S$12:S1044),ROW($S$12))&gt;=MAX((1=Z$12:Z1044)*ROW(Z$12:Z1044),ROW($T$12)),TYPE(VLOOKUP("Да",(INDIRECT("AA"&amp;(MAX((1=Z$12:Z1044)*ROW(Z$12:Z1044),ROW($T$12))&amp;":AA"&amp;(ROW()-1)))),1,0))=16),MIN(LOOKUP(,-1/($Z$12:Z1045=1),$C$12:C1045)+LOOKUP(,-1/($Z$12:Z1045=1),$H$12:H1045),Первоначальный[[#This Row],[Полученный платеж]]+Y1044),
AND(S1044=0,TYPE(VLOOKUP("Да",(INDIRECT("AA"&amp;(MAX((1=Z$12:Z1044)*ROW(Z$12:Z1044),ROW($T$12))&amp;":AA"&amp;(ROW()-1)))),1,0))&lt;&gt;16),MIN(LOOKUP(,-1/($Z$12:Z1045=1),$C$12:C1045)+LOOKUP(,-1/($Z$12:Z1045=1),$H$12:H1045)-IF(AA1044="Да",0,SUM(INDIRECT("T"&amp;(MAX(("Да"=AA$12:AA1044)*ROW(AA$12:AA1044)+1,ROW($T$12))&amp;":T"&amp;(ROW()-1))))),Первоначальный[[#This Row],[Полученный платеж]]+Y1044),
AND(S1044=0,MAX((0&lt;&gt;N$12:N1044)*ROW(N$12:N1044),ROW($S$12))&gt;=MAX((1=Z$12:Z1044)*ROW(Z$12:Z1044),ROW($T$12))),MIN(LOOKUP(,-1/($Z$12:Z1045=1),$C$12:C1045)+LOOKUP(,-1/($Z$12:Z1045=1),$H$12:H1045)-IF(N1044&lt;&gt;0,0,SUM(INDIRECT("T"&amp;(MAX((0&lt;&gt;N$12:N1044)*ROW(N$12:N1044)+1,ROW($T$12))&amp;":T"&amp;(ROW()-1))))),Первоначальный[[#This Row],[Полученный платеж]]+Y1044),
AND(S1044=0,Первоначальный[[#This Row],[Дата платежа из графика]]=1),MIN(LOOKUP(,-1/($Z$12:Z1045=1),$C$12:C1045)+LOOKUP(,-1/($Z$12:Z1045=1),$H$12:H1045)-IF(Z1044=1,0,SUM(INDIRECT("T"&amp;(MAX((1=Z$12:Z1044)*ROW(Z$12:Z1044)+1,ROW($T$12))&amp;":T"&amp;(ROW()-1))))),Первоначальный[[#This Row],[Полученный платеж]]+Y1044),
AND(Z1044&gt;0,Первоначальный[[#This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платеж]]+Y1044),
AND(S1044&gt;0,MAX((0&lt;&gt;S$12:S1044)*ROW(S$12:S1044),ROW($S$12))&gt;=MAX((1=Z$12:Z1044)*ROW(Z$12:Z1044),ROW($T$12)),TYPE(VLOOKUP("Да",(INDIRECT("AA"&amp;(MAX((1=Z$12:Z1044)*ROW(Z$12:Z1044),ROW($T$12))&amp;":AA"&amp;(ROW()-1)))),1,0))=16),MIN(LOOKUP(,-1/($Z$12:Z1045=1),$C$12:C1045)+LOOKUP(,-1/($Z$12:Z1045=1),$H$12:H1045)-SUM(INDIRECT("T"&amp;(MAX((1=Z$12:Z1044)*ROW(Z$12:Z1044),ROW($T$12))&amp;":T"&amp;(ROW()-1)))),Первоначальный[[#This Row],[Полученный платеж]]+Y1044),
S1044&gt;0,MIN(LOOKUP(,-1/($Z$12:Z1045=1),$C$12:C1045)+LOOKUP(,-1/($Z$12:Z1045=1),$H$12:H1045)-IF(Z1044=1,0,SUM(INDIRECT("T"&amp;(MAX((1=Z$12:Z1044)*ROW(Z$12:Z1044)+1,ROW($T$12))&amp;":T"&amp;(ROW()-1))))),Первоначальный[[#This Row],[Полученный платеж]]+Y1044)
)
)
)</f>
        <v>0</v>
      </c>
      <c r="U104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платеж]]+Y1044-Первоначальный[[#This Row],[Полученный платёж по процентам]])</f>
        <v>0</v>
      </c>
      <c r="V1045" s="55">
        <f t="shared" ca="1" si="195"/>
        <v>0</v>
      </c>
      <c r="W1045" s="55" cm="1">
        <f t="array" aca="1" ref="W1045" ca="1">IF(Первоначальный[[#This Row],[Итого остаток на начало периода]]&lt;1,0,
_xlfn.IFS(
AND(TYPE(VLOOKUP(1,$Z$12:Z1045,1,0))=16,Первоначальный[[#This Row],[Досрочное погашение (да/"")]]=""),0,
AND(S1044=0,Первоначальный[[#This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платеж]]+Y1044-SUM(Первоначальный[[#This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комиссиям]]),VLOOKUP(LOOKUP(,-1/($Z$12:Z1045=1),$A$12:A1045),График[[Срок конец]:[Возврат основной суммы долга]],3,0)),
AND(S1044=0,Первоначальный[[#This Row],[Дата платежа из графика]]="",Первоначальный[[#This Row],[Досрочное погашение (да/"")]]&lt;&gt;"Да"),0,
AND(S1044=0,Первоначальный[[#This Row],[Досрочное погашение (да/"")]]=""),MIN(Первоначальный[[#This Row],[Полученный платеж]]+Y1044-SUM(Первоначальный[[#This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комиссиям]]),VLOOKUP(LOOKUP(,-1/($Z$12:Z1045=1),$A$12:A1045),График[[Срок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платеж]]+Y1044-SUM(Первоначальный[[#This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S1044&gt;0,MIN(Первоначальный[[#This Row],[Полученный платеж]]+Y1044-SUM(Первоначальный[[#This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комиссиям]]),SUM(INDIRECT("M"&amp;(MAX((1=S$12:S1044)*ROW(S$12:S1044),ROW($W$12))&amp;":M"&amp;(ROW()))))-SUM(INDIRECT("W"&amp;(MAX((1=S$12:S1044)*ROW(S$12:S1044),ROW($W$12))&amp;":W"&amp;(ROW()-1)))))
)
)</f>
        <v>0</v>
      </c>
      <c r="X1045" s="55">
        <f t="shared" ca="1" si="196"/>
        <v>0</v>
      </c>
      <c r="Y1045" s="101">
        <f t="shared" ca="1" si="203"/>
        <v>0</v>
      </c>
      <c r="Z1045" s="133" t="str">
        <f>IF(TYPE((VLOOKUP(Первоначальный[[#This Row],[Дата платежа]],График[Срок конец],1,0)))=16,"",1)</f>
        <v/>
      </c>
      <c r="AA1045" s="57"/>
      <c r="AB1045" s="134"/>
      <c r="AC104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4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75110.679999999789</v>
      </c>
      <c r="AE104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4090.6800000000007</v>
      </c>
      <c r="AF104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4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218096.01158524526</v>
      </c>
      <c r="AH1045" s="55"/>
      <c r="AI1045" s="55"/>
      <c r="AJ1045" s="55"/>
      <c r="AK1045" s="101">
        <f t="shared" ca="1" si="204"/>
        <v>446930.71158524504</v>
      </c>
      <c r="AL1045" s="129">
        <f t="array" ref="AL1045">MAX((УслРестрактов[Характеристика]="Дата реструктуризации")*(УслРестрактов[Значение]=Первоначальный!$A1045),0)</f>
        <v>0</v>
      </c>
    </row>
    <row r="1046" spans="1:38" x14ac:dyDescent="0.25">
      <c r="A1046" s="97">
        <f t="shared" si="197"/>
        <v>45177</v>
      </c>
      <c r="B1046" s="100">
        <f t="shared" ca="1" si="198"/>
        <v>149633.34</v>
      </c>
      <c r="C1046" s="55">
        <f t="shared" ca="1" si="194"/>
        <v>75110.679999999789</v>
      </c>
      <c r="D1046" s="55">
        <f t="shared" ca="1" si="194"/>
        <v>4090.6800000000007</v>
      </c>
      <c r="E1046" s="55">
        <f t="shared" ca="1" si="199"/>
        <v>0</v>
      </c>
      <c r="F1046" s="55">
        <f t="shared" ca="1" si="200"/>
        <v>218096.01158524526</v>
      </c>
      <c r="G1046" s="101">
        <f t="shared" ca="1" si="201"/>
        <v>446930.71158524504</v>
      </c>
      <c r="H1046" s="100">
        <f ca="1">ROUND($B1046*VLOOKUP($A1046,$A$1:$B$10,2,1)/(365+IF(MOD(YEAR($A1046),4),0,1)*($A1046-$A1045)),2)-Первоначальный[[#This Row],[Проценты на просроченный платеж по ОД за период]]</f>
        <v>72.429999999999993</v>
      </c>
      <c r="I1046" s="55">
        <f t="shared" ca="1" si="202"/>
        <v>9.15</v>
      </c>
      <c r="J1046" s="55">
        <v>0</v>
      </c>
      <c r="K1046" s="55">
        <f t="shared" ca="1" si="205"/>
        <v>448.96850327868839</v>
      </c>
      <c r="L1046" s="55">
        <v>0</v>
      </c>
      <c r="M1046" s="113">
        <f>SUMIFS(График[Возврат основной суммы долга],График[Дата с учетом нерабочих дней],$A1046)</f>
        <v>0</v>
      </c>
      <c r="N1046" s="56">
        <f>SUMIFS(График[Возврат начисленных %],График[Дата с учетом нерабочих дней],$A1046)</f>
        <v>0</v>
      </c>
      <c r="O1046" s="101">
        <v>0</v>
      </c>
      <c r="P1046" s="100" cm="1">
        <f t="array" aca="1" ref="P1046" ca="1">MAX(IF(AA1045="Да",0,SUM(INDIRECT("M"&amp;(MAX(("Да"=AA$12:AA1045)*ROW(AA$12:AA1045)+1,ROW($P$12))&amp;":M"&amp;(ROW()))))-SUM(INDIRECT("W"&amp;(MAX(("Да"=AA$12:AA1045)*ROW(AA$12:AA1045)+1,ROW($P$12))&amp;":W"&amp;(ROW()))))),0)</f>
        <v>16786.23</v>
      </c>
      <c r="Q1046" s="99">
        <f ca="1">MAX(SUM($N$13:N1046)-SUM($T$13:T1046),0)</f>
        <v>73007.470655737678</v>
      </c>
      <c r="R1046" s="99">
        <f ca="1">Первоначальный[[#This Row],[Просроченный платеж по ОД]]+Первоначальный[[#This Row],[Просроченный платеж по процентам]]</f>
        <v>89793.700655737674</v>
      </c>
      <c r="S1046" s="120">
        <f ca="1">IF(Первоначальный[[#This Row],[Просроченный платеж]]&lt;1,0,S1045+1)</f>
        <v>942</v>
      </c>
      <c r="T1046" s="100" cm="1">
        <f t="array" aca="1" ref="T1046" ca="1">IF(Первоначальный[[#This Row],[Итого остаток на начало периода]]&lt;1,0,
IF(
AND(TYPE(VLOOKUP(1,$Z$12:Z1046,1,0))=16,Первоначальный[[#This Row],[Досрочное погашение (да/"")]]=""),0,
_xlfn.IFS(AND(S1045=0,Первоначальный[[#This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платеж]]&lt;&gt;0),MIN(LOOKUP(,-1/($Z$12:Z1046=1),$C$12:C1046)+LOOKUP(,-1/($Z$12:Z1046=1),$H$12:H1046),Первоначальный[[#This Row],[Полученный платеж]]+Y1045),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платеж]]+Y1045,SUM(Первоначальный[[#This Row],[Остаток процентов на начало периода]],Первоначальный[[#This Row],[Проценты за период]])),
AND(S1045=0,Первоначальный[[#This Row],[Дата платежа из графика]]=""),0,
AND(S1045=0,Первоначальный[[#This Row],[Дата платежа из графика]]=1,MAX((0&lt;&gt;S$12:S1045)*ROW(S$12:S1045),ROW($S$12))&gt;=MAX((1=Z$12:Z1045)*ROW(Z$12:Z1045),ROW($T$12)),TYPE(VLOOKUP("Да",(INDIRECT("AA"&amp;(MAX((1=Z$12:Z1045)*ROW(Z$12:Z1045),ROW($T$12))&amp;":AA"&amp;(ROW()-1)))),1,0))=16),MIN(LOOKUP(,-1/($Z$12:Z1046=1),$C$12:C1046)+LOOKUP(,-1/($Z$12:Z1046=1),$H$12:H1046),Первоначальный[[#This Row],[Полученный платеж]]+Y1045),
AND(S1045=0,TYPE(VLOOKUP("Да",(INDIRECT("AA"&amp;(MAX((1=Z$12:Z1045)*ROW(Z$12:Z1045),ROW($T$12))&amp;":AA"&amp;(ROW()-1)))),1,0))&lt;&gt;16),MIN(LOOKUP(,-1/($Z$12:Z1046=1),$C$12:C1046)+LOOKUP(,-1/($Z$12:Z1046=1),$H$12:H1046)-IF(AA1045="Да",0,SUM(INDIRECT("T"&amp;(MAX(("Да"=AA$12:AA1045)*ROW(AA$12:AA1045)+1,ROW($T$12))&amp;":T"&amp;(ROW()-1))))),Первоначальный[[#This Row],[Полученный платеж]]+Y1045),
AND(S1045=0,MAX((0&lt;&gt;N$12:N1045)*ROW(N$12:N1045),ROW($S$12))&gt;=MAX((1=Z$12:Z1045)*ROW(Z$12:Z1045),ROW($T$12))),MIN(LOOKUP(,-1/($Z$12:Z1046=1),$C$12:C1046)+LOOKUP(,-1/($Z$12:Z1046=1),$H$12:H1046)-IF(N1045&lt;&gt;0,0,SUM(INDIRECT("T"&amp;(MAX((0&lt;&gt;N$12:N1045)*ROW(N$12:N1045)+1,ROW($T$12))&amp;":T"&amp;(ROW()-1))))),Первоначальный[[#This Row],[Полученный платеж]]+Y1045),
AND(S1045=0,Первоначальный[[#This Row],[Дата платежа из графика]]=1),MIN(LOOKUP(,-1/($Z$12:Z1046=1),$C$12:C1046)+LOOKUP(,-1/($Z$12:Z1046=1),$H$12:H1046)-IF(Z1045=1,0,SUM(INDIRECT("T"&amp;(MAX((1=Z$12:Z1045)*ROW(Z$12:Z1045)+1,ROW($T$12))&amp;":T"&amp;(ROW()-1))))),Первоначальный[[#This Row],[Полученный платеж]]+Y1045),
AND(Z1045&gt;0,Первоначальный[[#This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платеж]]+Y1045),
AND(S1045&gt;0,MAX((0&lt;&gt;S$12:S1045)*ROW(S$12:S1045),ROW($S$12))&gt;=MAX((1=Z$12:Z1045)*ROW(Z$12:Z1045),ROW($T$12)),TYPE(VLOOKUP("Да",(INDIRECT("AA"&amp;(MAX((1=Z$12:Z1045)*ROW(Z$12:Z1045),ROW($T$12))&amp;":AA"&amp;(ROW()-1)))),1,0))=16),MIN(LOOKUP(,-1/($Z$12:Z1046=1),$C$12:C1046)+LOOKUP(,-1/($Z$12:Z1046=1),$H$12:H1046)-SUM(INDIRECT("T"&amp;(MAX((1=Z$12:Z1045)*ROW(Z$12:Z1045),ROW($T$12))&amp;":T"&amp;(ROW()-1)))),Первоначальный[[#This Row],[Полученный платеж]]+Y1045),
S1045&gt;0,MIN(LOOKUP(,-1/($Z$12:Z1046=1),$C$12:C1046)+LOOKUP(,-1/($Z$12:Z1046=1),$H$12:H1046)-IF(Z1045=1,0,SUM(INDIRECT("T"&amp;(MAX((1=Z$12:Z1045)*ROW(Z$12:Z1045)+1,ROW($T$12))&amp;":T"&amp;(ROW()-1))))),Первоначальный[[#This Row],[Полученный платеж]]+Y1045)
)
)
)</f>
        <v>0</v>
      </c>
      <c r="U104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платеж]]+Y1045-Первоначальный[[#This Row],[Полученный платёж по процентам]])</f>
        <v>0</v>
      </c>
      <c r="V1046" s="55">
        <f t="shared" ca="1" si="195"/>
        <v>0</v>
      </c>
      <c r="W1046" s="55" cm="1">
        <f t="array" aca="1" ref="W1046" ca="1">IF(Первоначальный[[#This Row],[Итого остаток на начало периода]]&lt;1,0,
_xlfn.IFS(
AND(TYPE(VLOOKUP(1,$Z$12:Z1046,1,0))=16,Первоначальный[[#This Row],[Досрочное погашение (да/"")]]=""),0,
AND(S1045=0,Первоначальный[[#This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платеж]]+Y1045-SUM(Первоначальный[[#This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комиссиям]]),VLOOKUP(LOOKUP(,-1/($Z$12:Z1046=1),$A$12:A1046),График[[Срок конец]:[Возврат основной суммы долга]],3,0)),
AND(S1045=0,Первоначальный[[#This Row],[Дата платежа из графика]]="",Первоначальный[[#This Row],[Досрочное погашение (да/"")]]&lt;&gt;"Да"),0,
AND(S1045=0,Первоначальный[[#This Row],[Досрочное погашение (да/"")]]=""),MIN(Первоначальный[[#This Row],[Полученный платеж]]+Y1045-SUM(Первоначальный[[#This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комиссиям]]),VLOOKUP(LOOKUP(,-1/($Z$12:Z1046=1),$A$12:A1046),График[[Срок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платеж]]+Y1045-SUM(Первоначальный[[#This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S1045&gt;0,MIN(Первоначальный[[#This Row],[Полученный платеж]]+Y1045-SUM(Первоначальный[[#This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комиссиям]]),SUM(INDIRECT("M"&amp;(MAX((1=S$12:S1045)*ROW(S$12:S1045),ROW($W$12))&amp;":M"&amp;(ROW()))))-SUM(INDIRECT("W"&amp;(MAX((1=S$12:S1045)*ROW(S$12:S1045),ROW($W$12))&amp;":W"&amp;(ROW()-1)))))
)
)</f>
        <v>0</v>
      </c>
      <c r="X1046" s="55">
        <f t="shared" ca="1" si="196"/>
        <v>0</v>
      </c>
      <c r="Y1046" s="101">
        <f t="shared" ca="1" si="203"/>
        <v>0</v>
      </c>
      <c r="Z1046" s="133" t="str">
        <f>IF(TYPE((VLOOKUP(Первоначальный[[#This Row],[Дата платежа]],График[Срок конец],1,0)))=16,"",1)</f>
        <v/>
      </c>
      <c r="AA1046" s="57"/>
      <c r="AB1046" s="134"/>
      <c r="AC104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4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75183.109999999782</v>
      </c>
      <c r="AE104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4099.8300000000008</v>
      </c>
      <c r="AF104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4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218544.98008852394</v>
      </c>
      <c r="AH1046" s="55"/>
      <c r="AI1046" s="55"/>
      <c r="AJ1046" s="55"/>
      <c r="AK1046" s="101">
        <f t="shared" ca="1" si="204"/>
        <v>447461.26008852373</v>
      </c>
      <c r="AL1046" s="129">
        <f t="array" ref="AL1046">MAX((УслРестрактов[Характеристика]="Дата реструктуризации")*(УслРестрактов[Значение]=Первоначальный!$A1046),0)</f>
        <v>0</v>
      </c>
    </row>
    <row r="1047" spans="1:38" x14ac:dyDescent="0.25">
      <c r="A1047" s="97">
        <f t="shared" si="197"/>
        <v>45178</v>
      </c>
      <c r="B1047" s="100">
        <f t="shared" ca="1" si="198"/>
        <v>149633.34</v>
      </c>
      <c r="C1047" s="55">
        <f t="shared" ca="1" si="194"/>
        <v>75183.109999999782</v>
      </c>
      <c r="D1047" s="55">
        <f t="shared" ca="1" si="194"/>
        <v>4099.8300000000008</v>
      </c>
      <c r="E1047" s="55">
        <f t="shared" ca="1" si="199"/>
        <v>0</v>
      </c>
      <c r="F1047" s="55">
        <f t="shared" ca="1" si="200"/>
        <v>218544.98008852394</v>
      </c>
      <c r="G1047" s="101">
        <f t="shared" ca="1" si="201"/>
        <v>447461.26008852373</v>
      </c>
      <c r="H1047" s="100">
        <f ca="1">ROUND($B1047*VLOOKUP($A1047,$A$1:$B$10,2,1)/(365+IF(MOD(YEAR($A1047),4),0,1)*($A1047-$A1046)),2)-Первоначальный[[#This Row],[Проценты на просроченный платеж по ОД за период]]</f>
        <v>72.429999999999993</v>
      </c>
      <c r="I1047" s="55">
        <f t="shared" ca="1" si="202"/>
        <v>9.15</v>
      </c>
      <c r="J1047" s="55">
        <v>0</v>
      </c>
      <c r="K1047" s="55">
        <f t="shared" ca="1" si="205"/>
        <v>448.96850327868839</v>
      </c>
      <c r="L1047" s="55">
        <v>0</v>
      </c>
      <c r="M1047" s="113">
        <f>SUMIFS(График[Возврат основной суммы долга],График[Дата с учетом нерабочих дней],$A1047)</f>
        <v>0</v>
      </c>
      <c r="N1047" s="56">
        <f>SUMIFS(График[Возврат начисленных %],График[Дата с учетом нерабочих дней],$A1047)</f>
        <v>0</v>
      </c>
      <c r="O1047" s="101">
        <v>0</v>
      </c>
      <c r="P1047" s="100" cm="1">
        <f t="array" aca="1" ref="P1047" ca="1">MAX(IF(AA1046="Да",0,SUM(INDIRECT("M"&amp;(MAX(("Да"=AA$12:AA1046)*ROW(AA$12:AA1046)+1,ROW($P$12))&amp;":M"&amp;(ROW()))))-SUM(INDIRECT("W"&amp;(MAX(("Да"=AA$12:AA1046)*ROW(AA$12:AA1046)+1,ROW($P$12))&amp;":W"&amp;(ROW()))))),0)</f>
        <v>16786.23</v>
      </c>
      <c r="Q1047" s="99">
        <f ca="1">MAX(SUM($N$13:N1047)-SUM($T$13:T1047),0)</f>
        <v>73007.470655737678</v>
      </c>
      <c r="R1047" s="99">
        <f ca="1">Первоначальный[[#This Row],[Просроченный платеж по ОД]]+Первоначальный[[#This Row],[Просроченный платеж по процентам]]</f>
        <v>89793.700655737674</v>
      </c>
      <c r="S1047" s="120">
        <f ca="1">IF(Первоначальный[[#This Row],[Просроченный платеж]]&lt;1,0,S1046+1)</f>
        <v>943</v>
      </c>
      <c r="T1047" s="100" cm="1">
        <f t="array" aca="1" ref="T1047" ca="1">IF(Первоначальный[[#This Row],[Итого остаток на начало периода]]&lt;1,0,
IF(
AND(TYPE(VLOOKUP(1,$Z$12:Z1047,1,0))=16,Первоначальный[[#This Row],[Досрочное погашение (да/"")]]=""),0,
_xlfn.IFS(AND(S1046=0,Первоначальный[[#This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платеж]]&lt;&gt;0),MIN(LOOKUP(,-1/($Z$12:Z1047=1),$C$12:C1047)+LOOKUP(,-1/($Z$12:Z1047=1),$H$12:H1047),Первоначальный[[#This Row],[Полученный платеж]]+Y1046),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платеж]]+Y1046,SUM(Первоначальный[[#This Row],[Остаток процентов на начало периода]],Первоначальный[[#This Row],[Проценты за период]])),
AND(S1046=0,Первоначальный[[#This Row],[Дата платежа из графика]]=""),0,
AND(S1046=0,Первоначальный[[#This Row],[Дата платежа из графика]]=1,MAX((0&lt;&gt;S$12:S1046)*ROW(S$12:S1046),ROW($S$12))&gt;=MAX((1=Z$12:Z1046)*ROW(Z$12:Z1046),ROW($T$12)),TYPE(VLOOKUP("Да",(INDIRECT("AA"&amp;(MAX((1=Z$12:Z1046)*ROW(Z$12:Z1046),ROW($T$12))&amp;":AA"&amp;(ROW()-1)))),1,0))=16),MIN(LOOKUP(,-1/($Z$12:Z1047=1),$C$12:C1047)+LOOKUP(,-1/($Z$12:Z1047=1),$H$12:H1047),Первоначальный[[#This Row],[Полученный платеж]]+Y1046),
AND(S1046=0,TYPE(VLOOKUP("Да",(INDIRECT("AA"&amp;(MAX((1=Z$12:Z1046)*ROW(Z$12:Z1046),ROW($T$12))&amp;":AA"&amp;(ROW()-1)))),1,0))&lt;&gt;16),MIN(LOOKUP(,-1/($Z$12:Z1047=1),$C$12:C1047)+LOOKUP(,-1/($Z$12:Z1047=1),$H$12:H1047)-IF(AA1046="Да",0,SUM(INDIRECT("T"&amp;(MAX(("Да"=AA$12:AA1046)*ROW(AA$12:AA1046)+1,ROW($T$12))&amp;":T"&amp;(ROW()-1))))),Первоначальный[[#This Row],[Полученный платеж]]+Y1046),
AND(S1046=0,MAX((0&lt;&gt;N$12:N1046)*ROW(N$12:N1046),ROW($S$12))&gt;=MAX((1=Z$12:Z1046)*ROW(Z$12:Z1046),ROW($T$12))),MIN(LOOKUP(,-1/($Z$12:Z1047=1),$C$12:C1047)+LOOKUP(,-1/($Z$12:Z1047=1),$H$12:H1047)-IF(N1046&lt;&gt;0,0,SUM(INDIRECT("T"&amp;(MAX((0&lt;&gt;N$12:N1046)*ROW(N$12:N1046)+1,ROW($T$12))&amp;":T"&amp;(ROW()-1))))),Первоначальный[[#This Row],[Полученный платеж]]+Y1046),
AND(S1046=0,Первоначальный[[#This Row],[Дата платежа из графика]]=1),MIN(LOOKUP(,-1/($Z$12:Z1047=1),$C$12:C1047)+LOOKUP(,-1/($Z$12:Z1047=1),$H$12:H1047)-IF(Z1046=1,0,SUM(INDIRECT("T"&amp;(MAX((1=Z$12:Z1046)*ROW(Z$12:Z1046)+1,ROW($T$12))&amp;":T"&amp;(ROW()-1))))),Первоначальный[[#This Row],[Полученный платеж]]+Y1046),
AND(Z1046&gt;0,Первоначальный[[#This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платеж]]+Y1046),
AND(S1046&gt;0,MAX((0&lt;&gt;S$12:S1046)*ROW(S$12:S1046),ROW($S$12))&gt;=MAX((1=Z$12:Z1046)*ROW(Z$12:Z1046),ROW($T$12)),TYPE(VLOOKUP("Да",(INDIRECT("AA"&amp;(MAX((1=Z$12:Z1046)*ROW(Z$12:Z1046),ROW($T$12))&amp;":AA"&amp;(ROW()-1)))),1,0))=16),MIN(LOOKUP(,-1/($Z$12:Z1047=1),$C$12:C1047)+LOOKUP(,-1/($Z$12:Z1047=1),$H$12:H1047)-SUM(INDIRECT("T"&amp;(MAX((1=Z$12:Z1046)*ROW(Z$12:Z1046),ROW($T$12))&amp;":T"&amp;(ROW()-1)))),Первоначальный[[#This Row],[Полученный платеж]]+Y1046),
S1046&gt;0,MIN(LOOKUP(,-1/($Z$12:Z1047=1),$C$12:C1047)+LOOKUP(,-1/($Z$12:Z1047=1),$H$12:H1047)-IF(Z1046=1,0,SUM(INDIRECT("T"&amp;(MAX((1=Z$12:Z1046)*ROW(Z$12:Z1046)+1,ROW($T$12))&amp;":T"&amp;(ROW()-1))))),Первоначальный[[#This Row],[Полученный платеж]]+Y1046)
)
)
)</f>
        <v>0</v>
      </c>
      <c r="U104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платеж]]+Y1046-Первоначальный[[#This Row],[Полученный платёж по процентам]])</f>
        <v>0</v>
      </c>
      <c r="V1047" s="55">
        <f t="shared" ca="1" si="195"/>
        <v>0</v>
      </c>
      <c r="W1047" s="55" cm="1">
        <f t="array" aca="1" ref="W1047" ca="1">IF(Первоначальный[[#This Row],[Итого остаток на начало периода]]&lt;1,0,
_xlfn.IFS(
AND(TYPE(VLOOKUP(1,$Z$12:Z1047,1,0))=16,Первоначальный[[#This Row],[Досрочное погашение (да/"")]]=""),0,
AND(S1046=0,Первоначальный[[#This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платеж]]+Y1046-SUM(Первоначальный[[#This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комиссиям]]),VLOOKUP(LOOKUP(,-1/($Z$12:Z1047=1),$A$12:A1047),График[[Срок конец]:[Возврат основной суммы долга]],3,0)),
AND(S1046=0,Первоначальный[[#This Row],[Дата платежа из графика]]="",Первоначальный[[#This Row],[Досрочное погашение (да/"")]]&lt;&gt;"Да"),0,
AND(S1046=0,Первоначальный[[#This Row],[Досрочное погашение (да/"")]]=""),MIN(Первоначальный[[#This Row],[Полученный платеж]]+Y1046-SUM(Первоначальный[[#This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комиссиям]]),VLOOKUP(LOOKUP(,-1/($Z$12:Z1047=1),$A$12:A1047),График[[Срок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платеж]]+Y1046-SUM(Первоначальный[[#This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S1046&gt;0,MIN(Первоначальный[[#This Row],[Полученный платеж]]+Y1046-SUM(Первоначальный[[#This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комиссиям]]),SUM(INDIRECT("M"&amp;(MAX((1=S$12:S1046)*ROW(S$12:S1046),ROW($W$12))&amp;":M"&amp;(ROW()))))-SUM(INDIRECT("W"&amp;(MAX((1=S$12:S1046)*ROW(S$12:S1046),ROW($W$12))&amp;":W"&amp;(ROW()-1)))))
)
)</f>
        <v>0</v>
      </c>
      <c r="X1047" s="55">
        <f t="shared" ca="1" si="196"/>
        <v>0</v>
      </c>
      <c r="Y1047" s="101">
        <f t="shared" ca="1" si="203"/>
        <v>0</v>
      </c>
      <c r="Z1047" s="133">
        <f>IF(TYPE((VLOOKUP(Первоначальный[[#This Row],[Дата платежа]],График[Срок конец],1,0)))=16,"",1)</f>
        <v>1</v>
      </c>
      <c r="AA1047" s="57"/>
      <c r="AB1047" s="134"/>
      <c r="AC104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4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75255.539999999775</v>
      </c>
      <c r="AE104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4108.9800000000005</v>
      </c>
      <c r="AF104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4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218993.94859180262</v>
      </c>
      <c r="AH1047" s="55"/>
      <c r="AI1047" s="55"/>
      <c r="AJ1047" s="55"/>
      <c r="AK1047" s="101">
        <f t="shared" ca="1" si="204"/>
        <v>447991.80859180237</v>
      </c>
      <c r="AL1047" s="129">
        <f t="array" ref="AL1047">MAX((УслРестрактов[Характеристика]="Дата реструктуризации")*(УслРестрактов[Значение]=Первоначальный!$A1047),0)</f>
        <v>0</v>
      </c>
    </row>
    <row r="1048" spans="1:38" x14ac:dyDescent="0.25">
      <c r="A1048" s="97">
        <f t="shared" si="197"/>
        <v>45179</v>
      </c>
      <c r="B1048" s="100">
        <f t="shared" ca="1" si="198"/>
        <v>149633.34</v>
      </c>
      <c r="C1048" s="55">
        <f t="shared" ca="1" si="194"/>
        <v>75255.539999999775</v>
      </c>
      <c r="D1048" s="55">
        <f t="shared" ca="1" si="194"/>
        <v>4108.9800000000005</v>
      </c>
      <c r="E1048" s="55">
        <f t="shared" ca="1" si="199"/>
        <v>0</v>
      </c>
      <c r="F1048" s="55">
        <f t="shared" ca="1" si="200"/>
        <v>218993.94859180262</v>
      </c>
      <c r="G1048" s="101">
        <f t="shared" ca="1" si="201"/>
        <v>447991.80859180237</v>
      </c>
      <c r="H1048" s="100">
        <f ca="1">ROUND($B1048*VLOOKUP($A1048,$A$1:$B$10,2,1)/(365+IF(MOD(YEAR($A1048),4),0,1)*($A1048-$A1047)),2)-Первоначальный[[#This Row],[Проценты на просроченный платеж по ОД за период]]</f>
        <v>72.429999999999993</v>
      </c>
      <c r="I1048" s="55">
        <f t="shared" ca="1" si="202"/>
        <v>9.15</v>
      </c>
      <c r="J1048" s="55">
        <v>0</v>
      </c>
      <c r="K1048" s="55">
        <f t="shared" ca="1" si="205"/>
        <v>448.96850327868839</v>
      </c>
      <c r="L1048" s="55">
        <v>0</v>
      </c>
      <c r="M1048" s="113">
        <f>SUMIFS(График[Возврат основной суммы долга],График[Дата с учетом нерабочих дней],$A1048)</f>
        <v>0</v>
      </c>
      <c r="N1048" s="56">
        <f>SUMIFS(График[Возврат начисленных %],График[Дата с учетом нерабочих дней],$A1048)</f>
        <v>0</v>
      </c>
      <c r="O1048" s="101">
        <v>0</v>
      </c>
      <c r="P1048" s="100" cm="1">
        <f t="array" aca="1" ref="P1048" ca="1">MAX(IF(AA1047="Да",0,SUM(INDIRECT("M"&amp;(MAX(("Да"=AA$12:AA1047)*ROW(AA$12:AA1047)+1,ROW($P$12))&amp;":M"&amp;(ROW()))))-SUM(INDIRECT("W"&amp;(MAX(("Да"=AA$12:AA1047)*ROW(AA$12:AA1047)+1,ROW($P$12))&amp;":W"&amp;(ROW()))))),0)</f>
        <v>16786.23</v>
      </c>
      <c r="Q1048" s="99">
        <f ca="1">MAX(SUM($N$13:N1048)-SUM($T$13:T1048),0)</f>
        <v>73007.470655737678</v>
      </c>
      <c r="R1048" s="99">
        <f ca="1">Первоначальный[[#This Row],[Просроченный платеж по ОД]]+Первоначальный[[#This Row],[Просроченный платеж по процентам]]</f>
        <v>89793.700655737674</v>
      </c>
      <c r="S1048" s="120">
        <f ca="1">IF(Первоначальный[[#This Row],[Просроченный платеж]]&lt;1,0,S1047+1)</f>
        <v>944</v>
      </c>
      <c r="T1048" s="100" cm="1">
        <f t="array" aca="1" ref="T1048" ca="1">IF(Первоначальный[[#This Row],[Итого остаток на начало периода]]&lt;1,0,
IF(
AND(TYPE(VLOOKUP(1,$Z$12:Z1048,1,0))=16,Первоначальный[[#This Row],[Досрочное погашение (да/"")]]=""),0,
_xlfn.IFS(AND(S1047=0,Первоначальный[[#This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платеж]]&lt;&gt;0),MIN(LOOKUP(,-1/($Z$12:Z1048=1),$C$12:C1048)+LOOKUP(,-1/($Z$12:Z1048=1),$H$12:H1048),Первоначальный[[#This Row],[Полученный платеж]]+Y1047),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платеж]]+Y1047,SUM(Первоначальный[[#This Row],[Остаток процентов на начало периода]],Первоначальный[[#This Row],[Проценты за период]])),
AND(S1047=0,Первоначальный[[#This Row],[Дата платежа из графика]]=""),0,
AND(S1047=0,Первоначальный[[#This Row],[Дата платежа из графика]]=1,MAX((0&lt;&gt;S$12:S1047)*ROW(S$12:S1047),ROW($S$12))&gt;=MAX((1=Z$12:Z1047)*ROW(Z$12:Z1047),ROW($T$12)),TYPE(VLOOKUP("Да",(INDIRECT("AA"&amp;(MAX((1=Z$12:Z1047)*ROW(Z$12:Z1047),ROW($T$12))&amp;":AA"&amp;(ROW()-1)))),1,0))=16),MIN(LOOKUP(,-1/($Z$12:Z1048=1),$C$12:C1048)+LOOKUP(,-1/($Z$12:Z1048=1),$H$12:H1048),Первоначальный[[#This Row],[Полученный платеж]]+Y1047),
AND(S1047=0,TYPE(VLOOKUP("Да",(INDIRECT("AA"&amp;(MAX((1=Z$12:Z1047)*ROW(Z$12:Z1047),ROW($T$12))&amp;":AA"&amp;(ROW()-1)))),1,0))&lt;&gt;16),MIN(LOOKUP(,-1/($Z$12:Z1048=1),$C$12:C1048)+LOOKUP(,-1/($Z$12:Z1048=1),$H$12:H1048)-IF(AA1047="Да",0,SUM(INDIRECT("T"&amp;(MAX(("Да"=AA$12:AA1047)*ROW(AA$12:AA1047)+1,ROW($T$12))&amp;":T"&amp;(ROW()-1))))),Первоначальный[[#This Row],[Полученный платеж]]+Y1047),
AND(S1047=0,MAX((0&lt;&gt;N$12:N1047)*ROW(N$12:N1047),ROW($S$12))&gt;=MAX((1=Z$12:Z1047)*ROW(Z$12:Z1047),ROW($T$12))),MIN(LOOKUP(,-1/($Z$12:Z1048=1),$C$12:C1048)+LOOKUP(,-1/($Z$12:Z1048=1),$H$12:H1048)-IF(N1047&lt;&gt;0,0,SUM(INDIRECT("T"&amp;(MAX((0&lt;&gt;N$12:N1047)*ROW(N$12:N1047)+1,ROW($T$12))&amp;":T"&amp;(ROW()-1))))),Первоначальный[[#This Row],[Полученный платеж]]+Y1047),
AND(S1047=0,Первоначальный[[#This Row],[Дата платежа из графика]]=1),MIN(LOOKUP(,-1/($Z$12:Z1048=1),$C$12:C1048)+LOOKUP(,-1/($Z$12:Z1048=1),$H$12:H1048)-IF(Z1047=1,0,SUM(INDIRECT("T"&amp;(MAX((1=Z$12:Z1047)*ROW(Z$12:Z1047)+1,ROW($T$12))&amp;":T"&amp;(ROW()-1))))),Первоначальный[[#This Row],[Полученный платеж]]+Y1047),
AND(Z1047&gt;0,Первоначальный[[#This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платеж]]+Y1047),
AND(S1047&gt;0,MAX((0&lt;&gt;S$12:S1047)*ROW(S$12:S1047),ROW($S$12))&gt;=MAX((1=Z$12:Z1047)*ROW(Z$12:Z1047),ROW($T$12)),TYPE(VLOOKUP("Да",(INDIRECT("AA"&amp;(MAX((1=Z$12:Z1047)*ROW(Z$12:Z1047),ROW($T$12))&amp;":AA"&amp;(ROW()-1)))),1,0))=16),MIN(LOOKUP(,-1/($Z$12:Z1048=1),$C$12:C1048)+LOOKUP(,-1/($Z$12:Z1048=1),$H$12:H1048)-SUM(INDIRECT("T"&amp;(MAX((1=Z$12:Z1047)*ROW(Z$12:Z1047),ROW($T$12))&amp;":T"&amp;(ROW()-1)))),Первоначальный[[#This Row],[Полученный платеж]]+Y1047),
S1047&gt;0,MIN(LOOKUP(,-1/($Z$12:Z1048=1),$C$12:C1048)+LOOKUP(,-1/($Z$12:Z1048=1),$H$12:H1048)-IF(Z1047=1,0,SUM(INDIRECT("T"&amp;(MAX((1=Z$12:Z1047)*ROW(Z$12:Z1047)+1,ROW($T$12))&amp;":T"&amp;(ROW()-1))))),Первоначальный[[#This Row],[Полученный платеж]]+Y1047)
)
)
)</f>
        <v>0</v>
      </c>
      <c r="U104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платеж]]+Y1047-Первоначальный[[#This Row],[Полученный платёж по процентам]])</f>
        <v>0</v>
      </c>
      <c r="V1048" s="55">
        <f t="shared" ca="1" si="195"/>
        <v>0</v>
      </c>
      <c r="W1048" s="55" cm="1">
        <f t="array" aca="1" ref="W1048" ca="1">IF(Первоначальный[[#This Row],[Итого остаток на начало периода]]&lt;1,0,
_xlfn.IFS(
AND(TYPE(VLOOKUP(1,$Z$12:Z1048,1,0))=16,Первоначальный[[#This Row],[Досрочное погашение (да/"")]]=""),0,
AND(S1047=0,Первоначальный[[#This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платеж]]+Y1047-SUM(Первоначальный[[#This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комиссиям]]),VLOOKUP(LOOKUP(,-1/($Z$12:Z1048=1),$A$12:A1048),График[[Срок конец]:[Возврат основной суммы долга]],3,0)),
AND(S1047=0,Первоначальный[[#This Row],[Дата платежа из графика]]="",Первоначальный[[#This Row],[Досрочное погашение (да/"")]]&lt;&gt;"Да"),0,
AND(S1047=0,Первоначальный[[#This Row],[Досрочное погашение (да/"")]]=""),MIN(Первоначальный[[#This Row],[Полученный платеж]]+Y1047-SUM(Первоначальный[[#This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комиссиям]]),VLOOKUP(LOOKUP(,-1/($Z$12:Z1048=1),$A$12:A1048),График[[Срок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платеж]]+Y1047-SUM(Первоначальный[[#This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S1047&gt;0,MIN(Первоначальный[[#This Row],[Полученный платеж]]+Y1047-SUM(Первоначальный[[#This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комиссиям]]),SUM(INDIRECT("M"&amp;(MAX((1=S$12:S1047)*ROW(S$12:S1047),ROW($W$12))&amp;":M"&amp;(ROW()))))-SUM(INDIRECT("W"&amp;(MAX((1=S$12:S1047)*ROW(S$12:S1047),ROW($W$12))&amp;":W"&amp;(ROW()-1)))))
)
)</f>
        <v>0</v>
      </c>
      <c r="X1048" s="55">
        <f t="shared" ca="1" si="196"/>
        <v>0</v>
      </c>
      <c r="Y1048" s="101">
        <f t="shared" ca="1" si="203"/>
        <v>0</v>
      </c>
      <c r="Z1048" s="133" t="str">
        <f>IF(TYPE((VLOOKUP(Первоначальный[[#This Row],[Дата платежа]],График[Срок конец],1,0)))=16,"",1)</f>
        <v/>
      </c>
      <c r="AA1048" s="57"/>
      <c r="AB1048" s="134"/>
      <c r="AC104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4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75327.969999999768</v>
      </c>
      <c r="AE104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4118.13</v>
      </c>
      <c r="AF104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4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219442.9170950813</v>
      </c>
      <c r="AH1048" s="55"/>
      <c r="AI1048" s="55"/>
      <c r="AJ1048" s="55"/>
      <c r="AK1048" s="101">
        <f t="shared" ca="1" si="204"/>
        <v>448522.35709508107</v>
      </c>
      <c r="AL1048" s="129">
        <f t="array" ref="AL1048">MAX((УслРестрактов[Характеристика]="Дата реструктуризации")*(УслРестрактов[Значение]=Первоначальный!$A1048),0)</f>
        <v>0</v>
      </c>
    </row>
    <row r="1049" spans="1:38" x14ac:dyDescent="0.25">
      <c r="A1049" s="97">
        <f t="shared" si="197"/>
        <v>45180</v>
      </c>
      <c r="B1049" s="100">
        <f t="shared" ca="1" si="198"/>
        <v>149633.34</v>
      </c>
      <c r="C1049" s="55">
        <f t="shared" ca="1" si="194"/>
        <v>75327.969999999768</v>
      </c>
      <c r="D1049" s="55">
        <f t="shared" ca="1" si="194"/>
        <v>4118.13</v>
      </c>
      <c r="E1049" s="55">
        <f t="shared" ca="1" si="199"/>
        <v>0</v>
      </c>
      <c r="F1049" s="55">
        <f t="shared" ca="1" si="200"/>
        <v>219442.9170950813</v>
      </c>
      <c r="G1049" s="101">
        <f t="shared" ca="1" si="201"/>
        <v>448522.35709508107</v>
      </c>
      <c r="H1049" s="100">
        <f ca="1">ROUND($B1049*VLOOKUP($A1049,$A$1:$B$10,2,1)/(365+IF(MOD(YEAR($A1049),4),0,1)*($A1049-$A1048)),2)-Первоначальный[[#This Row],[Проценты на просроченный платеж по ОД за период]]</f>
        <v>72.429999999999993</v>
      </c>
      <c r="I1049" s="55">
        <f t="shared" ca="1" si="202"/>
        <v>9.15</v>
      </c>
      <c r="J1049" s="55">
        <v>0</v>
      </c>
      <c r="K1049" s="55">
        <f t="shared" ca="1" si="205"/>
        <v>463.45350327868846</v>
      </c>
      <c r="L1049" s="55">
        <v>0</v>
      </c>
      <c r="M1049" s="113">
        <f>SUMIFS(График[Возврат основной суммы долга],График[Дата с учетом нерабочих дней],$A1049)</f>
        <v>651.69999999999982</v>
      </c>
      <c r="N1049" s="56">
        <f>SUMIFS(График[Возврат начисленных %],График[Дата с учетом нерабочих дней],$A1049)</f>
        <v>2245.3000000000002</v>
      </c>
      <c r="O1049" s="101">
        <v>0</v>
      </c>
      <c r="P1049" s="100" cm="1">
        <f t="array" aca="1" ref="P1049" ca="1">MAX(IF(AA1048="Да",0,SUM(INDIRECT("M"&amp;(MAX(("Да"=AA$12:AA1048)*ROW(AA$12:AA1048)+1,ROW($P$12))&amp;":M"&amp;(ROW()))))-SUM(INDIRECT("W"&amp;(MAX(("Да"=AA$12:AA1048)*ROW(AA$12:AA1048)+1,ROW($P$12))&amp;":W"&amp;(ROW()))))),0)</f>
        <v>17437.93</v>
      </c>
      <c r="Q1049" s="99">
        <f ca="1">MAX(SUM($N$13:N1049)-SUM($T$13:T1049),0)</f>
        <v>75252.77065573768</v>
      </c>
      <c r="R1049" s="99">
        <f ca="1">Первоначальный[[#This Row],[Просроченный платеж по ОД]]+Первоначальный[[#This Row],[Просроченный платеж по процентам]]</f>
        <v>92690.700655737688</v>
      </c>
      <c r="S1049" s="120">
        <f ca="1">IF(Первоначальный[[#This Row],[Просроченный платеж]]&lt;1,0,S1048+1)</f>
        <v>945</v>
      </c>
      <c r="T1049" s="100" cm="1">
        <f t="array" aca="1" ref="T1049" ca="1">IF(Первоначальный[[#This Row],[Итого остаток на начало периода]]&lt;1,0,
IF(
AND(TYPE(VLOOKUP(1,$Z$12:Z1049,1,0))=16,Первоначальный[[#This Row],[Досрочное погашение (да/"")]]=""),0,
_xlfn.IFS(AND(S1048=0,Первоначальный[[#This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платеж]]&lt;&gt;0),MIN(LOOKUP(,-1/($Z$12:Z1049=1),$C$12:C1049)+LOOKUP(,-1/($Z$12:Z1049=1),$H$12:H1049),Первоначальный[[#This Row],[Полученный платеж]]+Y1048),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платеж]]+Y1048,SUM(Первоначальный[[#This Row],[Остаток процентов на начало периода]],Первоначальный[[#This Row],[Проценты за период]])),
AND(S1048=0,Первоначальный[[#This Row],[Дата платежа из графика]]=""),0,
AND(S1048=0,Первоначальный[[#This Row],[Дата платежа из графика]]=1,MAX((0&lt;&gt;S$12:S1048)*ROW(S$12:S1048),ROW($S$12))&gt;=MAX((1=Z$12:Z1048)*ROW(Z$12:Z1048),ROW($T$12)),TYPE(VLOOKUP("Да",(INDIRECT("AA"&amp;(MAX((1=Z$12:Z1048)*ROW(Z$12:Z1048),ROW($T$12))&amp;":AA"&amp;(ROW()-1)))),1,0))=16),MIN(LOOKUP(,-1/($Z$12:Z1049=1),$C$12:C1049)+LOOKUP(,-1/($Z$12:Z1049=1),$H$12:H1049),Первоначальный[[#This Row],[Полученный платеж]]+Y1048),
AND(S1048=0,TYPE(VLOOKUP("Да",(INDIRECT("AA"&amp;(MAX((1=Z$12:Z1048)*ROW(Z$12:Z1048),ROW($T$12))&amp;":AA"&amp;(ROW()-1)))),1,0))&lt;&gt;16),MIN(LOOKUP(,-1/($Z$12:Z1049=1),$C$12:C1049)+LOOKUP(,-1/($Z$12:Z1049=1),$H$12:H1049)-IF(AA1048="Да",0,SUM(INDIRECT("T"&amp;(MAX(("Да"=AA$12:AA1048)*ROW(AA$12:AA1048)+1,ROW($T$12))&amp;":T"&amp;(ROW()-1))))),Первоначальный[[#This Row],[Полученный платеж]]+Y1048),
AND(S1048=0,MAX((0&lt;&gt;N$12:N1048)*ROW(N$12:N1048),ROW($S$12))&gt;=MAX((1=Z$12:Z1048)*ROW(Z$12:Z1048),ROW($T$12))),MIN(LOOKUP(,-1/($Z$12:Z1049=1),$C$12:C1049)+LOOKUP(,-1/($Z$12:Z1049=1),$H$12:H1049)-IF(N1048&lt;&gt;0,0,SUM(INDIRECT("T"&amp;(MAX((0&lt;&gt;N$12:N1048)*ROW(N$12:N1048)+1,ROW($T$12))&amp;":T"&amp;(ROW()-1))))),Первоначальный[[#This Row],[Полученный платеж]]+Y1048),
AND(S1048=0,Первоначальный[[#This Row],[Дата платежа из графика]]=1),MIN(LOOKUP(,-1/($Z$12:Z1049=1),$C$12:C1049)+LOOKUP(,-1/($Z$12:Z1049=1),$H$12:H1049)-IF(Z1048=1,0,SUM(INDIRECT("T"&amp;(MAX((1=Z$12:Z1048)*ROW(Z$12:Z1048)+1,ROW($T$12))&amp;":T"&amp;(ROW()-1))))),Первоначальный[[#This Row],[Полученный платеж]]+Y1048),
AND(Z1048&gt;0,Первоначальный[[#This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платеж]]+Y1048),
AND(S1048&gt;0,MAX((0&lt;&gt;S$12:S1048)*ROW(S$12:S1048),ROW($S$12))&gt;=MAX((1=Z$12:Z1048)*ROW(Z$12:Z1048),ROW($T$12)),TYPE(VLOOKUP("Да",(INDIRECT("AA"&amp;(MAX((1=Z$12:Z1048)*ROW(Z$12:Z1048),ROW($T$12))&amp;":AA"&amp;(ROW()-1)))),1,0))=16),MIN(LOOKUP(,-1/($Z$12:Z1049=1),$C$12:C1049)+LOOKUP(,-1/($Z$12:Z1049=1),$H$12:H1049)-SUM(INDIRECT("T"&amp;(MAX((1=Z$12:Z1048)*ROW(Z$12:Z1048),ROW($T$12))&amp;":T"&amp;(ROW()-1)))),Первоначальный[[#This Row],[Полученный платеж]]+Y1048),
S1048&gt;0,MIN(LOOKUP(,-1/($Z$12:Z1049=1),$C$12:C1049)+LOOKUP(,-1/($Z$12:Z1049=1),$H$12:H1049)-IF(Z1048=1,0,SUM(INDIRECT("T"&amp;(MAX((1=Z$12:Z1048)*ROW(Z$12:Z1048)+1,ROW($T$12))&amp;":T"&amp;(ROW()-1))))),Первоначальный[[#This Row],[Полученный платеж]]+Y1048)
)
)
)</f>
        <v>0</v>
      </c>
      <c r="U104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платеж]]+Y1048-Первоначальный[[#This Row],[Полученный платёж по процентам]])</f>
        <v>0</v>
      </c>
      <c r="V1049" s="55">
        <f t="shared" ca="1" si="195"/>
        <v>0</v>
      </c>
      <c r="W1049" s="55" cm="1">
        <f t="array" aca="1" ref="W1049" ca="1">IF(Первоначальный[[#This Row],[Итого остаток на начало периода]]&lt;1,0,
_xlfn.IFS(
AND(TYPE(VLOOKUP(1,$Z$12:Z1049,1,0))=16,Первоначальный[[#This Row],[Досрочное погашение (да/"")]]=""),0,
AND(S1048=0,Первоначальный[[#This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платеж]]+Y1048-SUM(Первоначальный[[#This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комиссиям]]),VLOOKUP(LOOKUP(,-1/($Z$12:Z1049=1),$A$12:A1049),График[[Срок конец]:[Возврат основной суммы долга]],3,0)),
AND(S1048=0,Первоначальный[[#This Row],[Дата платежа из графика]]="",Первоначальный[[#This Row],[Досрочное погашение (да/"")]]&lt;&gt;"Да"),0,
AND(S1048=0,Первоначальный[[#This Row],[Досрочное погашение (да/"")]]=""),MIN(Первоначальный[[#This Row],[Полученный платеж]]+Y1048-SUM(Первоначальный[[#This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комиссиям]]),VLOOKUP(LOOKUP(,-1/($Z$12:Z1049=1),$A$12:A1049),График[[Срок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платеж]]+Y1048-SUM(Первоначальный[[#This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S1048&gt;0,MIN(Первоначальный[[#This Row],[Полученный платеж]]+Y1048-SUM(Первоначальный[[#This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комиссиям]]),SUM(INDIRECT("M"&amp;(MAX((1=S$12:S1048)*ROW(S$12:S1048),ROW($W$12))&amp;":M"&amp;(ROW()))))-SUM(INDIRECT("W"&amp;(MAX((1=S$12:S1048)*ROW(S$12:S1048),ROW($W$12))&amp;":W"&amp;(ROW()-1)))))
)
)</f>
        <v>0</v>
      </c>
      <c r="X1049" s="55">
        <f t="shared" ca="1" si="196"/>
        <v>0</v>
      </c>
      <c r="Y1049" s="101">
        <f t="shared" ca="1" si="203"/>
        <v>0</v>
      </c>
      <c r="Z1049" s="133" t="str">
        <f>IF(TYPE((VLOOKUP(Первоначальный[[#This Row],[Дата платежа]],График[Срок конец],1,0)))=16,"",1)</f>
        <v/>
      </c>
      <c r="AA1049" s="57"/>
      <c r="AB1049" s="134"/>
      <c r="AC104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4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75400.399999999761</v>
      </c>
      <c r="AE104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4127.28</v>
      </c>
      <c r="AF104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4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219906.37059835999</v>
      </c>
      <c r="AH1049" s="55"/>
      <c r="AI1049" s="55"/>
      <c r="AJ1049" s="55"/>
      <c r="AK1049" s="101">
        <f t="shared" ca="1" si="204"/>
        <v>449067.39059835975</v>
      </c>
      <c r="AL1049" s="129">
        <f t="array" ref="AL1049">MAX((УслРестрактов[Характеристика]="Дата реструктуризации")*(УслРестрактов[Значение]=Первоначальный!$A1049),0)</f>
        <v>0</v>
      </c>
    </row>
    <row r="1050" spans="1:38" x14ac:dyDescent="0.25">
      <c r="A1050" s="97">
        <f t="shared" si="197"/>
        <v>45181</v>
      </c>
      <c r="B1050" s="100">
        <f t="shared" ca="1" si="198"/>
        <v>149633.34</v>
      </c>
      <c r="C1050" s="55">
        <f t="shared" ca="1" si="194"/>
        <v>75400.399999999761</v>
      </c>
      <c r="D1050" s="55">
        <f t="shared" ca="1" si="194"/>
        <v>4127.28</v>
      </c>
      <c r="E1050" s="55">
        <f t="shared" ca="1" si="199"/>
        <v>0</v>
      </c>
      <c r="F1050" s="55">
        <f t="shared" ca="1" si="200"/>
        <v>219906.37059835999</v>
      </c>
      <c r="G1050" s="101">
        <f t="shared" ca="1" si="201"/>
        <v>449067.39059835975</v>
      </c>
      <c r="H1050" s="100">
        <f ca="1">ROUND($B1050*VLOOKUP($A1050,$A$1:$B$10,2,1)/(365+IF(MOD(YEAR($A1050),4),0,1)*($A1050-$A1049)),2)-Первоначальный[[#This Row],[Проценты на просроченный платеж по ОД за период]]</f>
        <v>72.069999999999993</v>
      </c>
      <c r="I1050" s="55">
        <f t="shared" ca="1" si="202"/>
        <v>9.51</v>
      </c>
      <c r="J1050" s="55">
        <v>0</v>
      </c>
      <c r="K1050" s="55">
        <f t="shared" ca="1" si="205"/>
        <v>463.45350327868846</v>
      </c>
      <c r="L1050" s="55">
        <v>0</v>
      </c>
      <c r="M1050" s="113">
        <f>SUMIFS(График[Возврат основной суммы долга],График[Дата с учетом нерабочих дней],$A1050)</f>
        <v>0</v>
      </c>
      <c r="N1050" s="56">
        <f>SUMIFS(График[Возврат начисленных %],График[Дата с учетом нерабочих дней],$A1050)</f>
        <v>0</v>
      </c>
      <c r="O1050" s="101">
        <v>0</v>
      </c>
      <c r="P1050" s="100" cm="1">
        <f t="array" aca="1" ref="P1050" ca="1">MAX(IF(AA1049="Да",0,SUM(INDIRECT("M"&amp;(MAX(("Да"=AA$12:AA1049)*ROW(AA$12:AA1049)+1,ROW($P$12))&amp;":M"&amp;(ROW()))))-SUM(INDIRECT("W"&amp;(MAX(("Да"=AA$12:AA1049)*ROW(AA$12:AA1049)+1,ROW($P$12))&amp;":W"&amp;(ROW()))))),0)</f>
        <v>17437.93</v>
      </c>
      <c r="Q1050" s="99">
        <f ca="1">MAX(SUM($N$13:N1050)-SUM($T$13:T1050),0)</f>
        <v>75252.77065573768</v>
      </c>
      <c r="R1050" s="99">
        <f ca="1">Первоначальный[[#This Row],[Просроченный платеж по ОД]]+Первоначальный[[#This Row],[Просроченный платеж по процентам]]</f>
        <v>92690.700655737688</v>
      </c>
      <c r="S1050" s="120">
        <f ca="1">IF(Первоначальный[[#This Row],[Просроченный платеж]]&lt;1,0,S1049+1)</f>
        <v>946</v>
      </c>
      <c r="T1050" s="100" cm="1">
        <f t="array" aca="1" ref="T1050" ca="1">IF(Первоначальный[[#This Row],[Итого остаток на начало периода]]&lt;1,0,
IF(
AND(TYPE(VLOOKUP(1,$Z$12:Z1050,1,0))=16,Первоначальный[[#This Row],[Досрочное погашение (да/"")]]=""),0,
_xlfn.IFS(AND(S1049=0,Первоначальный[[#This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платеж]]&lt;&gt;0),MIN(LOOKUP(,-1/($Z$12:Z1050=1),$C$12:C1050)+LOOKUP(,-1/($Z$12:Z1050=1),$H$12:H1050),Первоначальный[[#This Row],[Полученный платеж]]+Y1049),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платеж]]+Y1049,SUM(Первоначальный[[#This Row],[Остаток процентов на начало периода]],Первоначальный[[#This Row],[Проценты за период]])),
AND(S1049=0,Первоначальный[[#This Row],[Дата платежа из графика]]=""),0,
AND(S1049=0,Первоначальный[[#This Row],[Дата платежа из графика]]=1,MAX((0&lt;&gt;S$12:S1049)*ROW(S$12:S1049),ROW($S$12))&gt;=MAX((1=Z$12:Z1049)*ROW(Z$12:Z1049),ROW($T$12)),TYPE(VLOOKUP("Да",(INDIRECT("AA"&amp;(MAX((1=Z$12:Z1049)*ROW(Z$12:Z1049),ROW($T$12))&amp;":AA"&amp;(ROW()-1)))),1,0))=16),MIN(LOOKUP(,-1/($Z$12:Z1050=1),$C$12:C1050)+LOOKUP(,-1/($Z$12:Z1050=1),$H$12:H1050),Первоначальный[[#This Row],[Полученный платеж]]+Y1049),
AND(S1049=0,TYPE(VLOOKUP("Да",(INDIRECT("AA"&amp;(MAX((1=Z$12:Z1049)*ROW(Z$12:Z1049),ROW($T$12))&amp;":AA"&amp;(ROW()-1)))),1,0))&lt;&gt;16),MIN(LOOKUP(,-1/($Z$12:Z1050=1),$C$12:C1050)+LOOKUP(,-1/($Z$12:Z1050=1),$H$12:H1050)-IF(AA1049="Да",0,SUM(INDIRECT("T"&amp;(MAX(("Да"=AA$12:AA1049)*ROW(AA$12:AA1049)+1,ROW($T$12))&amp;":T"&amp;(ROW()-1))))),Первоначальный[[#This Row],[Полученный платеж]]+Y1049),
AND(S1049=0,MAX((0&lt;&gt;N$12:N1049)*ROW(N$12:N1049),ROW($S$12))&gt;=MAX((1=Z$12:Z1049)*ROW(Z$12:Z1049),ROW($T$12))),MIN(LOOKUP(,-1/($Z$12:Z1050=1),$C$12:C1050)+LOOKUP(,-1/($Z$12:Z1050=1),$H$12:H1050)-IF(N1049&lt;&gt;0,0,SUM(INDIRECT("T"&amp;(MAX((0&lt;&gt;N$12:N1049)*ROW(N$12:N1049)+1,ROW($T$12))&amp;":T"&amp;(ROW()-1))))),Первоначальный[[#This Row],[Полученный платеж]]+Y1049),
AND(S1049=0,Первоначальный[[#This Row],[Дата платежа из графика]]=1),MIN(LOOKUP(,-1/($Z$12:Z1050=1),$C$12:C1050)+LOOKUP(,-1/($Z$12:Z1050=1),$H$12:H1050)-IF(Z1049=1,0,SUM(INDIRECT("T"&amp;(MAX((1=Z$12:Z1049)*ROW(Z$12:Z1049)+1,ROW($T$12))&amp;":T"&amp;(ROW()-1))))),Первоначальный[[#This Row],[Полученный платеж]]+Y1049),
AND(Z1049&gt;0,Первоначальный[[#This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платеж]]+Y1049),
AND(S1049&gt;0,MAX((0&lt;&gt;S$12:S1049)*ROW(S$12:S1049),ROW($S$12))&gt;=MAX((1=Z$12:Z1049)*ROW(Z$12:Z1049),ROW($T$12)),TYPE(VLOOKUP("Да",(INDIRECT("AA"&amp;(MAX((1=Z$12:Z1049)*ROW(Z$12:Z1049),ROW($T$12))&amp;":AA"&amp;(ROW()-1)))),1,0))=16),MIN(LOOKUP(,-1/($Z$12:Z1050=1),$C$12:C1050)+LOOKUP(,-1/($Z$12:Z1050=1),$H$12:H1050)-SUM(INDIRECT("T"&amp;(MAX((1=Z$12:Z1049)*ROW(Z$12:Z1049),ROW($T$12))&amp;":T"&amp;(ROW()-1)))),Первоначальный[[#This Row],[Полученный платеж]]+Y1049),
S1049&gt;0,MIN(LOOKUP(,-1/($Z$12:Z1050=1),$C$12:C1050)+LOOKUP(,-1/($Z$12:Z1050=1),$H$12:H1050)-IF(Z1049=1,0,SUM(INDIRECT("T"&amp;(MAX((1=Z$12:Z1049)*ROW(Z$12:Z1049)+1,ROW($T$12))&amp;":T"&amp;(ROW()-1))))),Первоначальный[[#This Row],[Полученный платеж]]+Y1049)
)
)
)</f>
        <v>0</v>
      </c>
      <c r="U105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платеж]]+Y1049-Первоначальный[[#This Row],[Полученный платёж по процентам]])</f>
        <v>0</v>
      </c>
      <c r="V1050" s="55">
        <f t="shared" ca="1" si="195"/>
        <v>0</v>
      </c>
      <c r="W1050" s="55" cm="1">
        <f t="array" aca="1" ref="W1050" ca="1">IF(Первоначальный[[#This Row],[Итого остаток на начало периода]]&lt;1,0,
_xlfn.IFS(
AND(TYPE(VLOOKUP(1,$Z$12:Z1050,1,0))=16,Первоначальный[[#This Row],[Досрочное погашение (да/"")]]=""),0,
AND(S1049=0,Первоначальный[[#This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платеж]]+Y1049-SUM(Первоначальный[[#This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комиссиям]]),VLOOKUP(LOOKUP(,-1/($Z$12:Z1050=1),$A$12:A1050),График[[Срок конец]:[Возврат основной суммы долга]],3,0)),
AND(S1049=0,Первоначальный[[#This Row],[Дата платежа из графика]]="",Первоначальный[[#This Row],[Досрочное погашение (да/"")]]&lt;&gt;"Да"),0,
AND(S1049=0,Первоначальный[[#This Row],[Досрочное погашение (да/"")]]=""),MIN(Первоначальный[[#This Row],[Полученный платеж]]+Y1049-SUM(Первоначальный[[#This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комиссиям]]),VLOOKUP(LOOKUP(,-1/($Z$12:Z1050=1),$A$12:A1050),График[[Срок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платеж]]+Y1049-SUM(Первоначальный[[#This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S1049&gt;0,MIN(Первоначальный[[#This Row],[Полученный платеж]]+Y1049-SUM(Первоначальный[[#This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комиссиям]]),SUM(INDIRECT("M"&amp;(MAX((1=S$12:S1049)*ROW(S$12:S1049),ROW($W$12))&amp;":M"&amp;(ROW()))))-SUM(INDIRECT("W"&amp;(MAX((1=S$12:S1049)*ROW(S$12:S1049),ROW($W$12))&amp;":W"&amp;(ROW()-1)))))
)
)</f>
        <v>0</v>
      </c>
      <c r="X1050" s="55">
        <f t="shared" ca="1" si="196"/>
        <v>0</v>
      </c>
      <c r="Y1050" s="101">
        <f t="shared" ca="1" si="203"/>
        <v>0</v>
      </c>
      <c r="Z1050" s="133" t="str">
        <f>IF(TYPE((VLOOKUP(Первоначальный[[#This Row],[Дата платежа]],График[Срок конец],1,0)))=16,"",1)</f>
        <v/>
      </c>
      <c r="AA1050" s="57"/>
      <c r="AB1050" s="134"/>
      <c r="AC105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5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75472.469999999768</v>
      </c>
      <c r="AE105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4136.79</v>
      </c>
      <c r="AF105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5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220369.82410163869</v>
      </c>
      <c r="AH1050" s="55"/>
      <c r="AI1050" s="55"/>
      <c r="AJ1050" s="55"/>
      <c r="AK1050" s="101">
        <f t="shared" ca="1" si="204"/>
        <v>449612.42410163849</v>
      </c>
      <c r="AL1050" s="129">
        <f t="array" ref="AL1050">MAX((УслРестрактов[Характеристика]="Дата реструктуризации")*(УслРестрактов[Значение]=Первоначальный!$A1050),0)</f>
        <v>0</v>
      </c>
    </row>
    <row r="1051" spans="1:38" x14ac:dyDescent="0.25">
      <c r="A1051" s="97">
        <f t="shared" si="197"/>
        <v>45182</v>
      </c>
      <c r="B1051" s="100">
        <f t="shared" ca="1" si="198"/>
        <v>149633.34</v>
      </c>
      <c r="C1051" s="55">
        <f t="shared" ca="1" si="194"/>
        <v>75472.469999999768</v>
      </c>
      <c r="D1051" s="55">
        <f t="shared" ca="1" si="194"/>
        <v>4136.79</v>
      </c>
      <c r="E1051" s="55">
        <f t="shared" ca="1" si="199"/>
        <v>0</v>
      </c>
      <c r="F1051" s="55">
        <f t="shared" ca="1" si="200"/>
        <v>220369.82410163869</v>
      </c>
      <c r="G1051" s="101">
        <f t="shared" ca="1" si="201"/>
        <v>449612.42410163849</v>
      </c>
      <c r="H1051" s="100">
        <f ca="1">ROUND($B1051*VLOOKUP($A1051,$A$1:$B$10,2,1)/(365+IF(MOD(YEAR($A1051),4),0,1)*($A1051-$A1050)),2)-Первоначальный[[#This Row],[Проценты на просроченный платеж по ОД за период]]</f>
        <v>72.069999999999993</v>
      </c>
      <c r="I1051" s="55">
        <f t="shared" ca="1" si="202"/>
        <v>9.51</v>
      </c>
      <c r="J1051" s="55">
        <v>0</v>
      </c>
      <c r="K1051" s="55">
        <f t="shared" ca="1" si="205"/>
        <v>463.45350327868846</v>
      </c>
      <c r="L1051" s="55">
        <v>0</v>
      </c>
      <c r="M1051" s="113">
        <f>SUMIFS(График[Возврат основной суммы долга],График[Дата с учетом нерабочих дней],$A1051)</f>
        <v>0</v>
      </c>
      <c r="N1051" s="56">
        <f>SUMIFS(График[Возврат начисленных %],График[Дата с учетом нерабочих дней],$A1051)</f>
        <v>0</v>
      </c>
      <c r="O1051" s="101">
        <v>0</v>
      </c>
      <c r="P1051" s="100" cm="1">
        <f t="array" aca="1" ref="P1051" ca="1">MAX(IF(AA1050="Да",0,SUM(INDIRECT("M"&amp;(MAX(("Да"=AA$12:AA1050)*ROW(AA$12:AA1050)+1,ROW($P$12))&amp;":M"&amp;(ROW()))))-SUM(INDIRECT("W"&amp;(MAX(("Да"=AA$12:AA1050)*ROW(AA$12:AA1050)+1,ROW($P$12))&amp;":W"&amp;(ROW()))))),0)</f>
        <v>17437.93</v>
      </c>
      <c r="Q1051" s="99">
        <f ca="1">MAX(SUM($N$13:N1051)-SUM($T$13:T1051),0)</f>
        <v>75252.77065573768</v>
      </c>
      <c r="R1051" s="99">
        <f ca="1">Первоначальный[[#This Row],[Просроченный платеж по ОД]]+Первоначальный[[#This Row],[Просроченный платеж по процентам]]</f>
        <v>92690.700655737688</v>
      </c>
      <c r="S1051" s="120">
        <f ca="1">IF(Первоначальный[[#This Row],[Просроченный платеж]]&lt;1,0,S1050+1)</f>
        <v>947</v>
      </c>
      <c r="T1051" s="100" cm="1">
        <f t="array" aca="1" ref="T1051" ca="1">IF(Первоначальный[[#This Row],[Итого остаток на начало периода]]&lt;1,0,
IF(
AND(TYPE(VLOOKUP(1,$Z$12:Z1051,1,0))=16,Первоначальный[[#This Row],[Досрочное погашение (да/"")]]=""),0,
_xlfn.IFS(AND(S1050=0,Первоначальный[[#This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платеж]]&lt;&gt;0),MIN(LOOKUP(,-1/($Z$12:Z1051=1),$C$12:C1051)+LOOKUP(,-1/($Z$12:Z1051=1),$H$12:H1051),Первоначальный[[#This Row],[Полученный платеж]]+Y1050),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платеж]]+Y1050,SUM(Первоначальный[[#This Row],[Остаток процентов на начало периода]],Первоначальный[[#This Row],[Проценты за период]])),
AND(S1050=0,Первоначальный[[#This Row],[Дата платежа из графика]]=""),0,
AND(S1050=0,Первоначальный[[#This Row],[Дата платежа из графика]]=1,MAX((0&lt;&gt;S$12:S1050)*ROW(S$12:S1050),ROW($S$12))&gt;=MAX((1=Z$12:Z1050)*ROW(Z$12:Z1050),ROW($T$12)),TYPE(VLOOKUP("Да",(INDIRECT("AA"&amp;(MAX((1=Z$12:Z1050)*ROW(Z$12:Z1050),ROW($T$12))&amp;":AA"&amp;(ROW()-1)))),1,0))=16),MIN(LOOKUP(,-1/($Z$12:Z1051=1),$C$12:C1051)+LOOKUP(,-1/($Z$12:Z1051=1),$H$12:H1051),Первоначальный[[#This Row],[Полученный платеж]]+Y1050),
AND(S1050=0,TYPE(VLOOKUP("Да",(INDIRECT("AA"&amp;(MAX((1=Z$12:Z1050)*ROW(Z$12:Z1050),ROW($T$12))&amp;":AA"&amp;(ROW()-1)))),1,0))&lt;&gt;16),MIN(LOOKUP(,-1/($Z$12:Z1051=1),$C$12:C1051)+LOOKUP(,-1/($Z$12:Z1051=1),$H$12:H1051)-IF(AA1050="Да",0,SUM(INDIRECT("T"&amp;(MAX(("Да"=AA$12:AA1050)*ROW(AA$12:AA1050)+1,ROW($T$12))&amp;":T"&amp;(ROW()-1))))),Первоначальный[[#This Row],[Полученный платеж]]+Y1050),
AND(S1050=0,MAX((0&lt;&gt;N$12:N1050)*ROW(N$12:N1050),ROW($S$12))&gt;=MAX((1=Z$12:Z1050)*ROW(Z$12:Z1050),ROW($T$12))),MIN(LOOKUP(,-1/($Z$12:Z1051=1),$C$12:C1051)+LOOKUP(,-1/($Z$12:Z1051=1),$H$12:H1051)-IF(N1050&lt;&gt;0,0,SUM(INDIRECT("T"&amp;(MAX((0&lt;&gt;N$12:N1050)*ROW(N$12:N1050)+1,ROW($T$12))&amp;":T"&amp;(ROW()-1))))),Первоначальный[[#This Row],[Полученный платеж]]+Y1050),
AND(S1050=0,Первоначальный[[#This Row],[Дата платежа из графика]]=1),MIN(LOOKUP(,-1/($Z$12:Z1051=1),$C$12:C1051)+LOOKUP(,-1/($Z$12:Z1051=1),$H$12:H1051)-IF(Z1050=1,0,SUM(INDIRECT("T"&amp;(MAX((1=Z$12:Z1050)*ROW(Z$12:Z1050)+1,ROW($T$12))&amp;":T"&amp;(ROW()-1))))),Первоначальный[[#This Row],[Полученный платеж]]+Y1050),
AND(Z1050&gt;0,Первоначальный[[#This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платеж]]+Y1050),
AND(S1050&gt;0,MAX((0&lt;&gt;S$12:S1050)*ROW(S$12:S1050),ROW($S$12))&gt;=MAX((1=Z$12:Z1050)*ROW(Z$12:Z1050),ROW($T$12)),TYPE(VLOOKUP("Да",(INDIRECT("AA"&amp;(MAX((1=Z$12:Z1050)*ROW(Z$12:Z1050),ROW($T$12))&amp;":AA"&amp;(ROW()-1)))),1,0))=16),MIN(LOOKUP(,-1/($Z$12:Z1051=1),$C$12:C1051)+LOOKUP(,-1/($Z$12:Z1051=1),$H$12:H1051)-SUM(INDIRECT("T"&amp;(MAX((1=Z$12:Z1050)*ROW(Z$12:Z1050),ROW($T$12))&amp;":T"&amp;(ROW()-1)))),Первоначальный[[#This Row],[Полученный платеж]]+Y1050),
S1050&gt;0,MIN(LOOKUP(,-1/($Z$12:Z1051=1),$C$12:C1051)+LOOKUP(,-1/($Z$12:Z1051=1),$H$12:H1051)-IF(Z1050=1,0,SUM(INDIRECT("T"&amp;(MAX((1=Z$12:Z1050)*ROW(Z$12:Z1050)+1,ROW($T$12))&amp;":T"&amp;(ROW()-1))))),Первоначальный[[#This Row],[Полученный платеж]]+Y1050)
)
)
)</f>
        <v>0</v>
      </c>
      <c r="U105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платеж]]+Y1050-Первоначальный[[#This Row],[Полученный платёж по процентам]])</f>
        <v>0</v>
      </c>
      <c r="V1051" s="55">
        <f t="shared" ca="1" si="195"/>
        <v>0</v>
      </c>
      <c r="W1051" s="55" cm="1">
        <f t="array" aca="1" ref="W1051" ca="1">IF(Первоначальный[[#This Row],[Итого остаток на начало периода]]&lt;1,0,
_xlfn.IFS(
AND(TYPE(VLOOKUP(1,$Z$12:Z1051,1,0))=16,Первоначальный[[#This Row],[Досрочное погашение (да/"")]]=""),0,
AND(S1050=0,Первоначальный[[#This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платеж]]+Y1050-SUM(Первоначальный[[#This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комиссиям]]),VLOOKUP(LOOKUP(,-1/($Z$12:Z1051=1),$A$12:A1051),График[[Срок конец]:[Возврат основной суммы долга]],3,0)),
AND(S1050=0,Первоначальный[[#This Row],[Дата платежа из графика]]="",Первоначальный[[#This Row],[Досрочное погашение (да/"")]]&lt;&gt;"Да"),0,
AND(S1050=0,Первоначальный[[#This Row],[Досрочное погашение (да/"")]]=""),MIN(Первоначальный[[#This Row],[Полученный платеж]]+Y1050-SUM(Первоначальный[[#This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комиссиям]]),VLOOKUP(LOOKUP(,-1/($Z$12:Z1051=1),$A$12:A1051),График[[Срок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платеж]]+Y1050-SUM(Первоначальный[[#This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S1050&gt;0,MIN(Первоначальный[[#This Row],[Полученный платеж]]+Y1050-SUM(Первоначальный[[#This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комиссиям]]),SUM(INDIRECT("M"&amp;(MAX((1=S$12:S1050)*ROW(S$12:S1050),ROW($W$12))&amp;":M"&amp;(ROW()))))-SUM(INDIRECT("W"&amp;(MAX((1=S$12:S1050)*ROW(S$12:S1050),ROW($W$12))&amp;":W"&amp;(ROW()-1)))))
)
)</f>
        <v>0</v>
      </c>
      <c r="X1051" s="55">
        <f t="shared" ca="1" si="196"/>
        <v>0</v>
      </c>
      <c r="Y1051" s="101">
        <f t="shared" ca="1" si="203"/>
        <v>0</v>
      </c>
      <c r="Z1051" s="133" t="str">
        <f>IF(TYPE((VLOOKUP(Первоначальный[[#This Row],[Дата платежа]],График[Срок конец],1,0)))=16,"",1)</f>
        <v/>
      </c>
      <c r="AA1051" s="57"/>
      <c r="AB1051" s="134"/>
      <c r="AC105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5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75544.539999999775</v>
      </c>
      <c r="AE105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4146.3</v>
      </c>
      <c r="AF105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5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220833.27760491738</v>
      </c>
      <c r="AH1051" s="55"/>
      <c r="AI1051" s="55"/>
      <c r="AJ1051" s="55"/>
      <c r="AK1051" s="101">
        <f t="shared" ca="1" si="204"/>
        <v>450157.45760491712</v>
      </c>
      <c r="AL1051" s="129">
        <f t="array" ref="AL1051">MAX((УслРестрактов[Характеристика]="Дата реструктуризации")*(УслРестрактов[Значение]=Первоначальный!$A1051),0)</f>
        <v>0</v>
      </c>
    </row>
    <row r="1052" spans="1:38" x14ac:dyDescent="0.25">
      <c r="A1052" s="97">
        <f t="shared" si="197"/>
        <v>45183</v>
      </c>
      <c r="B1052" s="100">
        <f t="shared" ca="1" si="198"/>
        <v>149633.34</v>
      </c>
      <c r="C1052" s="55">
        <f t="shared" ca="1" si="194"/>
        <v>75544.539999999775</v>
      </c>
      <c r="D1052" s="55">
        <f t="shared" ca="1" si="194"/>
        <v>4146.3</v>
      </c>
      <c r="E1052" s="55">
        <f t="shared" ca="1" si="199"/>
        <v>0</v>
      </c>
      <c r="F1052" s="55">
        <f t="shared" ca="1" si="200"/>
        <v>220833.27760491738</v>
      </c>
      <c r="G1052" s="101">
        <f t="shared" ca="1" si="201"/>
        <v>450157.45760491712</v>
      </c>
      <c r="H1052" s="100">
        <f ca="1">ROUND($B1052*VLOOKUP($A1052,$A$1:$B$10,2,1)/(365+IF(MOD(YEAR($A1052),4),0,1)*($A1052-$A1051)),2)-Первоначальный[[#This Row],[Проценты на просроченный платеж по ОД за период]]</f>
        <v>72.069999999999993</v>
      </c>
      <c r="I1052" s="55">
        <f t="shared" ca="1" si="202"/>
        <v>9.51</v>
      </c>
      <c r="J1052" s="55">
        <v>0</v>
      </c>
      <c r="K1052" s="55">
        <f t="shared" ca="1" si="205"/>
        <v>463.45350327868846</v>
      </c>
      <c r="L1052" s="55">
        <v>0</v>
      </c>
      <c r="M1052" s="113">
        <f>SUMIFS(График[Возврат основной суммы долга],График[Дата с учетом нерабочих дней],$A1052)</f>
        <v>0</v>
      </c>
      <c r="N1052" s="56">
        <f>SUMIFS(График[Возврат начисленных %],График[Дата с учетом нерабочих дней],$A1052)</f>
        <v>0</v>
      </c>
      <c r="O1052" s="101">
        <v>0</v>
      </c>
      <c r="P1052" s="100" cm="1">
        <f t="array" aca="1" ref="P1052" ca="1">MAX(IF(AA1051="Да",0,SUM(INDIRECT("M"&amp;(MAX(("Да"=AA$12:AA1051)*ROW(AA$12:AA1051)+1,ROW($P$12))&amp;":M"&amp;(ROW()))))-SUM(INDIRECT("W"&amp;(MAX(("Да"=AA$12:AA1051)*ROW(AA$12:AA1051)+1,ROW($P$12))&amp;":W"&amp;(ROW()))))),0)</f>
        <v>17437.93</v>
      </c>
      <c r="Q1052" s="99">
        <f ca="1">MAX(SUM($N$13:N1052)-SUM($T$13:T1052),0)</f>
        <v>75252.77065573768</v>
      </c>
      <c r="R1052" s="99">
        <f ca="1">Первоначальный[[#This Row],[Просроченный платеж по ОД]]+Первоначальный[[#This Row],[Просроченный платеж по процентам]]</f>
        <v>92690.700655737688</v>
      </c>
      <c r="S1052" s="120">
        <f ca="1">IF(Первоначальный[[#This Row],[Просроченный платеж]]&lt;1,0,S1051+1)</f>
        <v>948</v>
      </c>
      <c r="T1052" s="100" cm="1">
        <f t="array" aca="1" ref="T1052" ca="1">IF(Первоначальный[[#This Row],[Итого остаток на начало периода]]&lt;1,0,
IF(
AND(TYPE(VLOOKUP(1,$Z$12:Z1052,1,0))=16,Первоначальный[[#This Row],[Досрочное погашение (да/"")]]=""),0,
_xlfn.IFS(AND(S1051=0,Первоначальный[[#This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платеж]]&lt;&gt;0),MIN(LOOKUP(,-1/($Z$12:Z1052=1),$C$12:C1052)+LOOKUP(,-1/($Z$12:Z1052=1),$H$12:H1052),Первоначальный[[#This Row],[Полученный платеж]]+Y1051),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платеж]]+Y1051,SUM(Первоначальный[[#This Row],[Остаток процентов на начало периода]],Первоначальный[[#This Row],[Проценты за период]])),
AND(S1051=0,Первоначальный[[#This Row],[Дата платежа из графика]]=""),0,
AND(S1051=0,Первоначальный[[#This Row],[Дата платежа из графика]]=1,MAX((0&lt;&gt;S$12:S1051)*ROW(S$12:S1051),ROW($S$12))&gt;=MAX((1=Z$12:Z1051)*ROW(Z$12:Z1051),ROW($T$12)),TYPE(VLOOKUP("Да",(INDIRECT("AA"&amp;(MAX((1=Z$12:Z1051)*ROW(Z$12:Z1051),ROW($T$12))&amp;":AA"&amp;(ROW()-1)))),1,0))=16),MIN(LOOKUP(,-1/($Z$12:Z1052=1),$C$12:C1052)+LOOKUP(,-1/($Z$12:Z1052=1),$H$12:H1052),Первоначальный[[#This Row],[Полученный платеж]]+Y1051),
AND(S1051=0,TYPE(VLOOKUP("Да",(INDIRECT("AA"&amp;(MAX((1=Z$12:Z1051)*ROW(Z$12:Z1051),ROW($T$12))&amp;":AA"&amp;(ROW()-1)))),1,0))&lt;&gt;16),MIN(LOOKUP(,-1/($Z$12:Z1052=1),$C$12:C1052)+LOOKUP(,-1/($Z$12:Z1052=1),$H$12:H1052)-IF(AA1051="Да",0,SUM(INDIRECT("T"&amp;(MAX(("Да"=AA$12:AA1051)*ROW(AA$12:AA1051)+1,ROW($T$12))&amp;":T"&amp;(ROW()-1))))),Первоначальный[[#This Row],[Полученный платеж]]+Y1051),
AND(S1051=0,MAX((0&lt;&gt;N$12:N1051)*ROW(N$12:N1051),ROW($S$12))&gt;=MAX((1=Z$12:Z1051)*ROW(Z$12:Z1051),ROW($T$12))),MIN(LOOKUP(,-1/($Z$12:Z1052=1),$C$12:C1052)+LOOKUP(,-1/($Z$12:Z1052=1),$H$12:H1052)-IF(N1051&lt;&gt;0,0,SUM(INDIRECT("T"&amp;(MAX((0&lt;&gt;N$12:N1051)*ROW(N$12:N1051)+1,ROW($T$12))&amp;":T"&amp;(ROW()-1))))),Первоначальный[[#This Row],[Полученный платеж]]+Y1051),
AND(S1051=0,Первоначальный[[#This Row],[Дата платежа из графика]]=1),MIN(LOOKUP(,-1/($Z$12:Z1052=1),$C$12:C1052)+LOOKUP(,-1/($Z$12:Z1052=1),$H$12:H1052)-IF(Z1051=1,0,SUM(INDIRECT("T"&amp;(MAX((1=Z$12:Z1051)*ROW(Z$12:Z1051)+1,ROW($T$12))&amp;":T"&amp;(ROW()-1))))),Первоначальный[[#This Row],[Полученный платеж]]+Y1051),
AND(Z1051&gt;0,Первоначальный[[#This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платеж]]+Y1051),
AND(S1051&gt;0,MAX((0&lt;&gt;S$12:S1051)*ROW(S$12:S1051),ROW($S$12))&gt;=MAX((1=Z$12:Z1051)*ROW(Z$12:Z1051),ROW($T$12)),TYPE(VLOOKUP("Да",(INDIRECT("AA"&amp;(MAX((1=Z$12:Z1051)*ROW(Z$12:Z1051),ROW($T$12))&amp;":AA"&amp;(ROW()-1)))),1,0))=16),MIN(LOOKUP(,-1/($Z$12:Z1052=1),$C$12:C1052)+LOOKUP(,-1/($Z$12:Z1052=1),$H$12:H1052)-SUM(INDIRECT("T"&amp;(MAX((1=Z$12:Z1051)*ROW(Z$12:Z1051),ROW($T$12))&amp;":T"&amp;(ROW()-1)))),Первоначальный[[#This Row],[Полученный платеж]]+Y1051),
S1051&gt;0,MIN(LOOKUP(,-1/($Z$12:Z1052=1),$C$12:C1052)+LOOKUP(,-1/($Z$12:Z1052=1),$H$12:H1052)-IF(Z1051=1,0,SUM(INDIRECT("T"&amp;(MAX((1=Z$12:Z1051)*ROW(Z$12:Z1051)+1,ROW($T$12))&amp;":T"&amp;(ROW()-1))))),Первоначальный[[#This Row],[Полученный платеж]]+Y1051)
)
)
)</f>
        <v>0</v>
      </c>
      <c r="U105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платеж]]+Y1051-Первоначальный[[#This Row],[Полученный платёж по процентам]])</f>
        <v>0</v>
      </c>
      <c r="V1052" s="55">
        <f t="shared" ca="1" si="195"/>
        <v>0</v>
      </c>
      <c r="W1052" s="55" cm="1">
        <f t="array" aca="1" ref="W1052" ca="1">IF(Первоначальный[[#This Row],[Итого остаток на начало периода]]&lt;1,0,
_xlfn.IFS(
AND(TYPE(VLOOKUP(1,$Z$12:Z1052,1,0))=16,Первоначальный[[#This Row],[Досрочное погашение (да/"")]]=""),0,
AND(S1051=0,Первоначальный[[#This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платеж]]+Y1051-SUM(Первоначальный[[#This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комиссиям]]),VLOOKUP(LOOKUP(,-1/($Z$12:Z1052=1),$A$12:A1052),График[[Срок конец]:[Возврат основной суммы долга]],3,0)),
AND(S1051=0,Первоначальный[[#This Row],[Дата платежа из графика]]="",Первоначальный[[#This Row],[Досрочное погашение (да/"")]]&lt;&gt;"Да"),0,
AND(S1051=0,Первоначальный[[#This Row],[Досрочное погашение (да/"")]]=""),MIN(Первоначальный[[#This Row],[Полученный платеж]]+Y1051-SUM(Первоначальный[[#This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комиссиям]]),VLOOKUP(LOOKUP(,-1/($Z$12:Z1052=1),$A$12:A1052),График[[Срок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платеж]]+Y1051-SUM(Первоначальный[[#This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S1051&gt;0,MIN(Первоначальный[[#This Row],[Полученный платеж]]+Y1051-SUM(Первоначальный[[#This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комиссиям]]),SUM(INDIRECT("M"&amp;(MAX((1=S$12:S1051)*ROW(S$12:S1051),ROW($W$12))&amp;":M"&amp;(ROW()))))-SUM(INDIRECT("W"&amp;(MAX((1=S$12:S1051)*ROW(S$12:S1051),ROW($W$12))&amp;":W"&amp;(ROW()-1)))))
)
)</f>
        <v>0</v>
      </c>
      <c r="X1052" s="55">
        <f t="shared" ca="1" si="196"/>
        <v>0</v>
      </c>
      <c r="Y1052" s="101">
        <f t="shared" ca="1" si="203"/>
        <v>0</v>
      </c>
      <c r="Z1052" s="133" t="str">
        <f>IF(TYPE((VLOOKUP(Первоначальный[[#This Row],[Дата платежа]],График[Срок конец],1,0)))=16,"",1)</f>
        <v/>
      </c>
      <c r="AA1052" s="57"/>
      <c r="AB1052" s="134"/>
      <c r="AC105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5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75616.609999999782</v>
      </c>
      <c r="AE105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4155.8100000000004</v>
      </c>
      <c r="AF105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5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221296.73110819608</v>
      </c>
      <c r="AH1052" s="55"/>
      <c r="AI1052" s="55"/>
      <c r="AJ1052" s="55"/>
      <c r="AK1052" s="101">
        <f t="shared" ca="1" si="204"/>
        <v>450702.49110819586</v>
      </c>
      <c r="AL1052" s="129">
        <f t="array" ref="AL1052">MAX((УслРестрактов[Характеристика]="Дата реструктуризации")*(УслРестрактов[Значение]=Первоначальный!$A1052),0)</f>
        <v>0</v>
      </c>
    </row>
    <row r="1053" spans="1:38" x14ac:dyDescent="0.25">
      <c r="A1053" s="97">
        <f t="shared" si="197"/>
        <v>45184</v>
      </c>
      <c r="B1053" s="100">
        <f t="shared" ca="1" si="198"/>
        <v>149633.34</v>
      </c>
      <c r="C1053" s="55">
        <f t="shared" ca="1" si="194"/>
        <v>75616.609999999782</v>
      </c>
      <c r="D1053" s="55">
        <f t="shared" ca="1" si="194"/>
        <v>4155.8100000000004</v>
      </c>
      <c r="E1053" s="55">
        <f t="shared" ca="1" si="199"/>
        <v>0</v>
      </c>
      <c r="F1053" s="55">
        <f t="shared" ca="1" si="200"/>
        <v>221296.73110819608</v>
      </c>
      <c r="G1053" s="101">
        <f t="shared" ca="1" si="201"/>
        <v>450702.49110819586</v>
      </c>
      <c r="H1053" s="100">
        <f ca="1">ROUND($B1053*VLOOKUP($A1053,$A$1:$B$10,2,1)/(365+IF(MOD(YEAR($A1053),4),0,1)*($A1053-$A1052)),2)-Первоначальный[[#This Row],[Проценты на просроченный платеж по ОД за период]]</f>
        <v>72.069999999999993</v>
      </c>
      <c r="I1053" s="55">
        <f t="shared" ca="1" si="202"/>
        <v>9.51</v>
      </c>
      <c r="J1053" s="55">
        <v>0</v>
      </c>
      <c r="K1053" s="55">
        <f t="shared" ca="1" si="205"/>
        <v>463.45350327868846</v>
      </c>
      <c r="L1053" s="55">
        <v>0</v>
      </c>
      <c r="M1053" s="113">
        <f>SUMIFS(График[Возврат основной суммы долга],График[Дата с учетом нерабочих дней],$A1053)</f>
        <v>0</v>
      </c>
      <c r="N1053" s="56">
        <f>SUMIFS(График[Возврат начисленных %],График[Дата с учетом нерабочих дней],$A1053)</f>
        <v>0</v>
      </c>
      <c r="O1053" s="101">
        <v>0</v>
      </c>
      <c r="P1053" s="100" cm="1">
        <f t="array" aca="1" ref="P1053" ca="1">MAX(IF(AA1052="Да",0,SUM(INDIRECT("M"&amp;(MAX(("Да"=AA$12:AA1052)*ROW(AA$12:AA1052)+1,ROW($P$12))&amp;":M"&amp;(ROW()))))-SUM(INDIRECT("W"&amp;(MAX(("Да"=AA$12:AA1052)*ROW(AA$12:AA1052)+1,ROW($P$12))&amp;":W"&amp;(ROW()))))),0)</f>
        <v>17437.93</v>
      </c>
      <c r="Q1053" s="99">
        <f ca="1">MAX(SUM($N$13:N1053)-SUM($T$13:T1053),0)</f>
        <v>75252.77065573768</v>
      </c>
      <c r="R1053" s="99">
        <f ca="1">Первоначальный[[#This Row],[Просроченный платеж по ОД]]+Первоначальный[[#This Row],[Просроченный платеж по процентам]]</f>
        <v>92690.700655737688</v>
      </c>
      <c r="S1053" s="120">
        <f ca="1">IF(Первоначальный[[#This Row],[Просроченный платеж]]&lt;1,0,S1052+1)</f>
        <v>949</v>
      </c>
      <c r="T1053" s="100" cm="1">
        <f t="array" aca="1" ref="T1053" ca="1">IF(Первоначальный[[#This Row],[Итого остаток на начало периода]]&lt;1,0,
IF(
AND(TYPE(VLOOKUP(1,$Z$12:Z1053,1,0))=16,Первоначальный[[#This Row],[Досрочное погашение (да/"")]]=""),0,
_xlfn.IFS(AND(S1052=0,Первоначальный[[#This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платеж]]&lt;&gt;0),MIN(LOOKUP(,-1/($Z$12:Z1053=1),$C$12:C1053)+LOOKUP(,-1/($Z$12:Z1053=1),$H$12:H1053),Первоначальный[[#This Row],[Полученный платеж]]+Y1052),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платеж]]+Y1052,SUM(Первоначальный[[#This Row],[Остаток процентов на начало периода]],Первоначальный[[#This Row],[Проценты за период]])),
AND(S1052=0,Первоначальный[[#This Row],[Дата платежа из графика]]=""),0,
AND(S1052=0,Первоначальный[[#This Row],[Дата платежа из графика]]=1,MAX((0&lt;&gt;S$12:S1052)*ROW(S$12:S1052),ROW($S$12))&gt;=MAX((1=Z$12:Z1052)*ROW(Z$12:Z1052),ROW($T$12)),TYPE(VLOOKUP("Да",(INDIRECT("AA"&amp;(MAX((1=Z$12:Z1052)*ROW(Z$12:Z1052),ROW($T$12))&amp;":AA"&amp;(ROW()-1)))),1,0))=16),MIN(LOOKUP(,-1/($Z$12:Z1053=1),$C$12:C1053)+LOOKUP(,-1/($Z$12:Z1053=1),$H$12:H1053),Первоначальный[[#This Row],[Полученный платеж]]+Y1052),
AND(S1052=0,TYPE(VLOOKUP("Да",(INDIRECT("AA"&amp;(MAX((1=Z$12:Z1052)*ROW(Z$12:Z1052),ROW($T$12))&amp;":AA"&amp;(ROW()-1)))),1,0))&lt;&gt;16),MIN(LOOKUP(,-1/($Z$12:Z1053=1),$C$12:C1053)+LOOKUP(,-1/($Z$12:Z1053=1),$H$12:H1053)-IF(AA1052="Да",0,SUM(INDIRECT("T"&amp;(MAX(("Да"=AA$12:AA1052)*ROW(AA$12:AA1052)+1,ROW($T$12))&amp;":T"&amp;(ROW()-1))))),Первоначальный[[#This Row],[Полученный платеж]]+Y1052),
AND(S1052=0,MAX((0&lt;&gt;N$12:N1052)*ROW(N$12:N1052),ROW($S$12))&gt;=MAX((1=Z$12:Z1052)*ROW(Z$12:Z1052),ROW($T$12))),MIN(LOOKUP(,-1/($Z$12:Z1053=1),$C$12:C1053)+LOOKUP(,-1/($Z$12:Z1053=1),$H$12:H1053)-IF(N1052&lt;&gt;0,0,SUM(INDIRECT("T"&amp;(MAX((0&lt;&gt;N$12:N1052)*ROW(N$12:N1052)+1,ROW($T$12))&amp;":T"&amp;(ROW()-1))))),Первоначальный[[#This Row],[Полученный платеж]]+Y1052),
AND(S1052=0,Первоначальный[[#This Row],[Дата платежа из графика]]=1),MIN(LOOKUP(,-1/($Z$12:Z1053=1),$C$12:C1053)+LOOKUP(,-1/($Z$12:Z1053=1),$H$12:H1053)-IF(Z1052=1,0,SUM(INDIRECT("T"&amp;(MAX((1=Z$12:Z1052)*ROW(Z$12:Z1052)+1,ROW($T$12))&amp;":T"&amp;(ROW()-1))))),Первоначальный[[#This Row],[Полученный платеж]]+Y1052),
AND(Z1052&gt;0,Первоначальный[[#This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платеж]]+Y1052),
AND(S1052&gt;0,MAX((0&lt;&gt;S$12:S1052)*ROW(S$12:S1052),ROW($S$12))&gt;=MAX((1=Z$12:Z1052)*ROW(Z$12:Z1052),ROW($T$12)),TYPE(VLOOKUP("Да",(INDIRECT("AA"&amp;(MAX((1=Z$12:Z1052)*ROW(Z$12:Z1052),ROW($T$12))&amp;":AA"&amp;(ROW()-1)))),1,0))=16),MIN(LOOKUP(,-1/($Z$12:Z1053=1),$C$12:C1053)+LOOKUP(,-1/($Z$12:Z1053=1),$H$12:H1053)-SUM(INDIRECT("T"&amp;(MAX((1=Z$12:Z1052)*ROW(Z$12:Z1052),ROW($T$12))&amp;":T"&amp;(ROW()-1)))),Первоначальный[[#This Row],[Полученный платеж]]+Y1052),
S1052&gt;0,MIN(LOOKUP(,-1/($Z$12:Z1053=1),$C$12:C1053)+LOOKUP(,-1/($Z$12:Z1053=1),$H$12:H1053)-IF(Z1052=1,0,SUM(INDIRECT("T"&amp;(MAX((1=Z$12:Z1052)*ROW(Z$12:Z1052)+1,ROW($T$12))&amp;":T"&amp;(ROW()-1))))),Первоначальный[[#This Row],[Полученный платеж]]+Y1052)
)
)
)</f>
        <v>0</v>
      </c>
      <c r="U105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платеж]]+Y1052-Первоначальный[[#This Row],[Полученный платёж по процентам]])</f>
        <v>0</v>
      </c>
      <c r="V1053" s="55">
        <f t="shared" ca="1" si="195"/>
        <v>0</v>
      </c>
      <c r="W1053" s="55" cm="1">
        <f t="array" aca="1" ref="W1053" ca="1">IF(Первоначальный[[#This Row],[Итого остаток на начало периода]]&lt;1,0,
_xlfn.IFS(
AND(TYPE(VLOOKUP(1,$Z$12:Z1053,1,0))=16,Первоначальный[[#This Row],[Досрочное погашение (да/"")]]=""),0,
AND(S1052=0,Первоначальный[[#This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платеж]]+Y1052-SUM(Первоначальный[[#This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комиссиям]]),VLOOKUP(LOOKUP(,-1/($Z$12:Z1053=1),$A$12:A1053),График[[Срок конец]:[Возврат основной суммы долга]],3,0)),
AND(S1052=0,Первоначальный[[#This Row],[Дата платежа из графика]]="",Первоначальный[[#This Row],[Досрочное погашение (да/"")]]&lt;&gt;"Да"),0,
AND(S1052=0,Первоначальный[[#This Row],[Досрочное погашение (да/"")]]=""),MIN(Первоначальный[[#This Row],[Полученный платеж]]+Y1052-SUM(Первоначальный[[#This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комиссиям]]),VLOOKUP(LOOKUP(,-1/($Z$12:Z1053=1),$A$12:A1053),График[[Срок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платеж]]+Y1052-SUM(Первоначальный[[#This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S1052&gt;0,MIN(Первоначальный[[#This Row],[Полученный платеж]]+Y1052-SUM(Первоначальный[[#This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комиссиям]]),SUM(INDIRECT("M"&amp;(MAX((1=S$12:S1052)*ROW(S$12:S1052),ROW($W$12))&amp;":M"&amp;(ROW()))))-SUM(INDIRECT("W"&amp;(MAX((1=S$12:S1052)*ROW(S$12:S1052),ROW($W$12))&amp;":W"&amp;(ROW()-1)))))
)
)</f>
        <v>0</v>
      </c>
      <c r="X1053" s="55">
        <f t="shared" ca="1" si="196"/>
        <v>0</v>
      </c>
      <c r="Y1053" s="101">
        <f t="shared" ca="1" si="203"/>
        <v>0</v>
      </c>
      <c r="Z1053" s="133" t="str">
        <f>IF(TYPE((VLOOKUP(Первоначальный[[#This Row],[Дата платежа]],График[Срок конец],1,0)))=16,"",1)</f>
        <v/>
      </c>
      <c r="AA1053" s="57"/>
      <c r="AB1053" s="134"/>
      <c r="AC105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5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75688.679999999789</v>
      </c>
      <c r="AE105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4165.3200000000006</v>
      </c>
      <c r="AF105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5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221760.18461147478</v>
      </c>
      <c r="AH1053" s="55"/>
      <c r="AI1053" s="55"/>
      <c r="AJ1053" s="55"/>
      <c r="AK1053" s="101">
        <f t="shared" ca="1" si="204"/>
        <v>451247.5246114746</v>
      </c>
      <c r="AL1053" s="129">
        <f t="array" ref="AL1053">MAX((УслРестрактов[Характеристика]="Дата реструктуризации")*(УслРестрактов[Значение]=Первоначальный!$A1053),0)</f>
        <v>0</v>
      </c>
    </row>
    <row r="1054" spans="1:38" x14ac:dyDescent="0.25">
      <c r="A1054" s="97">
        <f t="shared" si="197"/>
        <v>45185</v>
      </c>
      <c r="B1054" s="100">
        <f t="shared" ca="1" si="198"/>
        <v>149633.34</v>
      </c>
      <c r="C1054" s="55">
        <f t="shared" ca="1" si="194"/>
        <v>75688.679999999789</v>
      </c>
      <c r="D1054" s="55">
        <f t="shared" ca="1" si="194"/>
        <v>4165.3200000000006</v>
      </c>
      <c r="E1054" s="55">
        <f t="shared" ca="1" si="199"/>
        <v>0</v>
      </c>
      <c r="F1054" s="55">
        <f t="shared" ca="1" si="200"/>
        <v>221760.18461147478</v>
      </c>
      <c r="G1054" s="101">
        <f t="shared" ca="1" si="201"/>
        <v>451247.5246114746</v>
      </c>
      <c r="H1054" s="100">
        <f ca="1">ROUND($B1054*VLOOKUP($A1054,$A$1:$B$10,2,1)/(365+IF(MOD(YEAR($A1054),4),0,1)*($A1054-$A1053)),2)-Первоначальный[[#This Row],[Проценты на просроченный платеж по ОД за период]]</f>
        <v>72.069999999999993</v>
      </c>
      <c r="I1054" s="55">
        <f t="shared" ca="1" si="202"/>
        <v>9.51</v>
      </c>
      <c r="J1054" s="55">
        <v>0</v>
      </c>
      <c r="K1054" s="55">
        <f t="shared" ca="1" si="205"/>
        <v>463.45350327868846</v>
      </c>
      <c r="L1054" s="55">
        <v>0</v>
      </c>
      <c r="M1054" s="113">
        <f>SUMIFS(График[Возврат основной суммы долга],График[Дата с учетом нерабочих дней],$A1054)</f>
        <v>0</v>
      </c>
      <c r="N1054" s="56">
        <f>SUMIFS(График[Возврат начисленных %],График[Дата с учетом нерабочих дней],$A1054)</f>
        <v>0</v>
      </c>
      <c r="O1054" s="101">
        <v>0</v>
      </c>
      <c r="P1054" s="100" cm="1">
        <f t="array" aca="1" ref="P1054" ca="1">MAX(IF(AA1053="Да",0,SUM(INDIRECT("M"&amp;(MAX(("Да"=AA$12:AA1053)*ROW(AA$12:AA1053)+1,ROW($P$12))&amp;":M"&amp;(ROW()))))-SUM(INDIRECT("W"&amp;(MAX(("Да"=AA$12:AA1053)*ROW(AA$12:AA1053)+1,ROW($P$12))&amp;":W"&amp;(ROW()))))),0)</f>
        <v>17437.93</v>
      </c>
      <c r="Q1054" s="99">
        <f ca="1">MAX(SUM($N$13:N1054)-SUM($T$13:T1054),0)</f>
        <v>75252.77065573768</v>
      </c>
      <c r="R1054" s="99">
        <f ca="1">Первоначальный[[#This Row],[Просроченный платеж по ОД]]+Первоначальный[[#This Row],[Просроченный платеж по процентам]]</f>
        <v>92690.700655737688</v>
      </c>
      <c r="S1054" s="120">
        <f ca="1">IF(Первоначальный[[#This Row],[Просроченный платеж]]&lt;1,0,S1053+1)</f>
        <v>950</v>
      </c>
      <c r="T1054" s="100" cm="1">
        <f t="array" aca="1" ref="T1054" ca="1">IF(Первоначальный[[#This Row],[Итого остаток на начало периода]]&lt;1,0,
IF(
AND(TYPE(VLOOKUP(1,$Z$12:Z1054,1,0))=16,Первоначальный[[#This Row],[Досрочное погашение (да/"")]]=""),0,
_xlfn.IFS(AND(S1053=0,Первоначальный[[#This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платеж]]&lt;&gt;0),MIN(LOOKUP(,-1/($Z$12:Z1054=1),$C$12:C1054)+LOOKUP(,-1/($Z$12:Z1054=1),$H$12:H1054),Первоначальный[[#This Row],[Полученный платеж]]+Y1053),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платеж]]+Y1053,SUM(Первоначальный[[#This Row],[Остаток процентов на начало периода]],Первоначальный[[#This Row],[Проценты за период]])),
AND(S1053=0,Первоначальный[[#This Row],[Дата платежа из графика]]=""),0,
AND(S1053=0,Первоначальный[[#This Row],[Дата платежа из графика]]=1,MAX((0&lt;&gt;S$12:S1053)*ROW(S$12:S1053),ROW($S$12))&gt;=MAX((1=Z$12:Z1053)*ROW(Z$12:Z1053),ROW($T$12)),TYPE(VLOOKUP("Да",(INDIRECT("AA"&amp;(MAX((1=Z$12:Z1053)*ROW(Z$12:Z1053),ROW($T$12))&amp;":AA"&amp;(ROW()-1)))),1,0))=16),MIN(LOOKUP(,-1/($Z$12:Z1054=1),$C$12:C1054)+LOOKUP(,-1/($Z$12:Z1054=1),$H$12:H1054),Первоначальный[[#This Row],[Полученный платеж]]+Y1053),
AND(S1053=0,TYPE(VLOOKUP("Да",(INDIRECT("AA"&amp;(MAX((1=Z$12:Z1053)*ROW(Z$12:Z1053),ROW($T$12))&amp;":AA"&amp;(ROW()-1)))),1,0))&lt;&gt;16),MIN(LOOKUP(,-1/($Z$12:Z1054=1),$C$12:C1054)+LOOKUP(,-1/($Z$12:Z1054=1),$H$12:H1054)-IF(AA1053="Да",0,SUM(INDIRECT("T"&amp;(MAX(("Да"=AA$12:AA1053)*ROW(AA$12:AA1053)+1,ROW($T$12))&amp;":T"&amp;(ROW()-1))))),Первоначальный[[#This Row],[Полученный платеж]]+Y1053),
AND(S1053=0,MAX((0&lt;&gt;N$12:N1053)*ROW(N$12:N1053),ROW($S$12))&gt;=MAX((1=Z$12:Z1053)*ROW(Z$12:Z1053),ROW($T$12))),MIN(LOOKUP(,-1/($Z$12:Z1054=1),$C$12:C1054)+LOOKUP(,-1/($Z$12:Z1054=1),$H$12:H1054)-IF(N1053&lt;&gt;0,0,SUM(INDIRECT("T"&amp;(MAX((0&lt;&gt;N$12:N1053)*ROW(N$12:N1053)+1,ROW($T$12))&amp;":T"&amp;(ROW()-1))))),Первоначальный[[#This Row],[Полученный платеж]]+Y1053),
AND(S1053=0,Первоначальный[[#This Row],[Дата платежа из графика]]=1),MIN(LOOKUP(,-1/($Z$12:Z1054=1),$C$12:C1054)+LOOKUP(,-1/($Z$12:Z1054=1),$H$12:H1054)-IF(Z1053=1,0,SUM(INDIRECT("T"&amp;(MAX((1=Z$12:Z1053)*ROW(Z$12:Z1053)+1,ROW($T$12))&amp;":T"&amp;(ROW()-1))))),Первоначальный[[#This Row],[Полученный платеж]]+Y1053),
AND(Z1053&gt;0,Первоначальный[[#This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платеж]]+Y1053),
AND(S1053&gt;0,MAX((0&lt;&gt;S$12:S1053)*ROW(S$12:S1053),ROW($S$12))&gt;=MAX((1=Z$12:Z1053)*ROW(Z$12:Z1053),ROW($T$12)),TYPE(VLOOKUP("Да",(INDIRECT("AA"&amp;(MAX((1=Z$12:Z1053)*ROW(Z$12:Z1053),ROW($T$12))&amp;":AA"&amp;(ROW()-1)))),1,0))=16),MIN(LOOKUP(,-1/($Z$12:Z1054=1),$C$12:C1054)+LOOKUP(,-1/($Z$12:Z1054=1),$H$12:H1054)-SUM(INDIRECT("T"&amp;(MAX((1=Z$12:Z1053)*ROW(Z$12:Z1053),ROW($T$12))&amp;":T"&amp;(ROW()-1)))),Первоначальный[[#This Row],[Полученный платеж]]+Y1053),
S1053&gt;0,MIN(LOOKUP(,-1/($Z$12:Z1054=1),$C$12:C1054)+LOOKUP(,-1/($Z$12:Z1054=1),$H$12:H1054)-IF(Z1053=1,0,SUM(INDIRECT("T"&amp;(MAX((1=Z$12:Z1053)*ROW(Z$12:Z1053)+1,ROW($T$12))&amp;":T"&amp;(ROW()-1))))),Первоначальный[[#This Row],[Полученный платеж]]+Y1053)
)
)
)</f>
        <v>0</v>
      </c>
      <c r="U105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платеж]]+Y1053-Первоначальный[[#This Row],[Полученный платёж по процентам]])</f>
        <v>0</v>
      </c>
      <c r="V1054" s="55">
        <f t="shared" ca="1" si="195"/>
        <v>0</v>
      </c>
      <c r="W1054" s="55" cm="1">
        <f t="array" aca="1" ref="W1054" ca="1">IF(Первоначальный[[#This Row],[Итого остаток на начало периода]]&lt;1,0,
_xlfn.IFS(
AND(TYPE(VLOOKUP(1,$Z$12:Z1054,1,0))=16,Первоначальный[[#This Row],[Досрочное погашение (да/"")]]=""),0,
AND(S1053=0,Первоначальный[[#This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платеж]]+Y1053-SUM(Первоначальный[[#This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комиссиям]]),VLOOKUP(LOOKUP(,-1/($Z$12:Z1054=1),$A$12:A1054),График[[Срок конец]:[Возврат основной суммы долга]],3,0)),
AND(S1053=0,Первоначальный[[#This Row],[Дата платежа из графика]]="",Первоначальный[[#This Row],[Досрочное погашение (да/"")]]&lt;&gt;"Да"),0,
AND(S1053=0,Первоначальный[[#This Row],[Досрочное погашение (да/"")]]=""),MIN(Первоначальный[[#This Row],[Полученный платеж]]+Y1053-SUM(Первоначальный[[#This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комиссиям]]),VLOOKUP(LOOKUP(,-1/($Z$12:Z1054=1),$A$12:A1054),График[[Срок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платеж]]+Y1053-SUM(Первоначальный[[#This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S1053&gt;0,MIN(Первоначальный[[#This Row],[Полученный платеж]]+Y1053-SUM(Первоначальный[[#This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комиссиям]]),SUM(INDIRECT("M"&amp;(MAX((1=S$12:S1053)*ROW(S$12:S1053),ROW($W$12))&amp;":M"&amp;(ROW()))))-SUM(INDIRECT("W"&amp;(MAX((1=S$12:S1053)*ROW(S$12:S1053),ROW($W$12))&amp;":W"&amp;(ROW()-1)))))
)
)</f>
        <v>0</v>
      </c>
      <c r="X1054" s="55">
        <f t="shared" ca="1" si="196"/>
        <v>0</v>
      </c>
      <c r="Y1054" s="101">
        <f t="shared" ca="1" si="203"/>
        <v>0</v>
      </c>
      <c r="Z1054" s="133" t="str">
        <f>IF(TYPE((VLOOKUP(Первоначальный[[#This Row],[Дата платежа]],График[Срок конец],1,0)))=16,"",1)</f>
        <v/>
      </c>
      <c r="AA1054" s="57"/>
      <c r="AB1054" s="134"/>
      <c r="AC105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5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75760.749999999796</v>
      </c>
      <c r="AE105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4174.8300000000008</v>
      </c>
      <c r="AF105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5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222223.63811475347</v>
      </c>
      <c r="AH1054" s="55"/>
      <c r="AI1054" s="55"/>
      <c r="AJ1054" s="55"/>
      <c r="AK1054" s="101">
        <f t="shared" ca="1" si="204"/>
        <v>451792.55811475322</v>
      </c>
      <c r="AL1054" s="129">
        <f t="array" ref="AL1054">MAX((УслРестрактов[Характеристика]="Дата реструктуризации")*(УслРестрактов[Значение]=Первоначальный!$A1054),0)</f>
        <v>0</v>
      </c>
    </row>
    <row r="1055" spans="1:38" x14ac:dyDescent="0.25">
      <c r="A1055" s="97">
        <f t="shared" si="197"/>
        <v>45186</v>
      </c>
      <c r="B1055" s="100">
        <f t="shared" ca="1" si="198"/>
        <v>149633.34</v>
      </c>
      <c r="C1055" s="55">
        <f t="shared" ca="1" si="194"/>
        <v>75760.749999999796</v>
      </c>
      <c r="D1055" s="55">
        <f t="shared" ca="1" si="194"/>
        <v>4174.8300000000008</v>
      </c>
      <c r="E1055" s="55">
        <f t="shared" ca="1" si="199"/>
        <v>0</v>
      </c>
      <c r="F1055" s="55">
        <f t="shared" ca="1" si="200"/>
        <v>222223.63811475347</v>
      </c>
      <c r="G1055" s="101">
        <f t="shared" ca="1" si="201"/>
        <v>451792.55811475322</v>
      </c>
      <c r="H1055" s="100">
        <f ca="1">ROUND($B1055*VLOOKUP($A1055,$A$1:$B$10,2,1)/(365+IF(MOD(YEAR($A1055),4),0,1)*($A1055-$A1054)),2)-Первоначальный[[#This Row],[Проценты на просроченный платеж по ОД за период]]</f>
        <v>72.069999999999993</v>
      </c>
      <c r="I1055" s="55">
        <f t="shared" ca="1" si="202"/>
        <v>9.51</v>
      </c>
      <c r="J1055" s="55">
        <v>0</v>
      </c>
      <c r="K1055" s="55">
        <f t="shared" ca="1" si="205"/>
        <v>463.45350327868846</v>
      </c>
      <c r="L1055" s="55">
        <v>0</v>
      </c>
      <c r="M1055" s="113">
        <f>SUMIFS(График[Возврат основной суммы долга],График[Дата с учетом нерабочих дней],$A1055)</f>
        <v>0</v>
      </c>
      <c r="N1055" s="56">
        <f>SUMIFS(График[Возврат начисленных %],График[Дата с учетом нерабочих дней],$A1055)</f>
        <v>0</v>
      </c>
      <c r="O1055" s="101">
        <v>0</v>
      </c>
      <c r="P1055" s="100" cm="1">
        <f t="array" aca="1" ref="P1055" ca="1">MAX(IF(AA1054="Да",0,SUM(INDIRECT("M"&amp;(MAX(("Да"=AA$12:AA1054)*ROW(AA$12:AA1054)+1,ROW($P$12))&amp;":M"&amp;(ROW()))))-SUM(INDIRECT("W"&amp;(MAX(("Да"=AA$12:AA1054)*ROW(AA$12:AA1054)+1,ROW($P$12))&amp;":W"&amp;(ROW()))))),0)</f>
        <v>17437.93</v>
      </c>
      <c r="Q1055" s="99">
        <f ca="1">MAX(SUM($N$13:N1055)-SUM($T$13:T1055),0)</f>
        <v>75252.77065573768</v>
      </c>
      <c r="R1055" s="99">
        <f ca="1">Первоначальный[[#This Row],[Просроченный платеж по ОД]]+Первоначальный[[#This Row],[Просроченный платеж по процентам]]</f>
        <v>92690.700655737688</v>
      </c>
      <c r="S1055" s="120">
        <f ca="1">IF(Первоначальный[[#This Row],[Просроченный платеж]]&lt;1,0,S1054+1)</f>
        <v>951</v>
      </c>
      <c r="T1055" s="100" cm="1">
        <f t="array" aca="1" ref="T1055" ca="1">IF(Первоначальный[[#This Row],[Итого остаток на начало периода]]&lt;1,0,
IF(
AND(TYPE(VLOOKUP(1,$Z$12:Z1055,1,0))=16,Первоначальный[[#This Row],[Досрочное погашение (да/"")]]=""),0,
_xlfn.IFS(AND(S1054=0,Первоначальный[[#This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платеж]]&lt;&gt;0),MIN(LOOKUP(,-1/($Z$12:Z1055=1),$C$12:C1055)+LOOKUP(,-1/($Z$12:Z1055=1),$H$12:H1055),Первоначальный[[#This Row],[Полученный платеж]]+Y1054),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платеж]]+Y1054,SUM(Первоначальный[[#This Row],[Остаток процентов на начало периода]],Первоначальный[[#This Row],[Проценты за период]])),
AND(S1054=0,Первоначальный[[#This Row],[Дата платежа из графика]]=""),0,
AND(S1054=0,Первоначальный[[#This Row],[Дата платежа из графика]]=1,MAX((0&lt;&gt;S$12:S1054)*ROW(S$12:S1054),ROW($S$12))&gt;=MAX((1=Z$12:Z1054)*ROW(Z$12:Z1054),ROW($T$12)),TYPE(VLOOKUP("Да",(INDIRECT("AA"&amp;(MAX((1=Z$12:Z1054)*ROW(Z$12:Z1054),ROW($T$12))&amp;":AA"&amp;(ROW()-1)))),1,0))=16),MIN(LOOKUP(,-1/($Z$12:Z1055=1),$C$12:C1055)+LOOKUP(,-1/($Z$12:Z1055=1),$H$12:H1055),Первоначальный[[#This Row],[Полученный платеж]]+Y1054),
AND(S1054=0,TYPE(VLOOKUP("Да",(INDIRECT("AA"&amp;(MAX((1=Z$12:Z1054)*ROW(Z$12:Z1054),ROW($T$12))&amp;":AA"&amp;(ROW()-1)))),1,0))&lt;&gt;16),MIN(LOOKUP(,-1/($Z$12:Z1055=1),$C$12:C1055)+LOOKUP(,-1/($Z$12:Z1055=1),$H$12:H1055)-IF(AA1054="Да",0,SUM(INDIRECT("T"&amp;(MAX(("Да"=AA$12:AA1054)*ROW(AA$12:AA1054)+1,ROW($T$12))&amp;":T"&amp;(ROW()-1))))),Первоначальный[[#This Row],[Полученный платеж]]+Y1054),
AND(S1054=0,MAX((0&lt;&gt;N$12:N1054)*ROW(N$12:N1054),ROW($S$12))&gt;=MAX((1=Z$12:Z1054)*ROW(Z$12:Z1054),ROW($T$12))),MIN(LOOKUP(,-1/($Z$12:Z1055=1),$C$12:C1055)+LOOKUP(,-1/($Z$12:Z1055=1),$H$12:H1055)-IF(N1054&lt;&gt;0,0,SUM(INDIRECT("T"&amp;(MAX((0&lt;&gt;N$12:N1054)*ROW(N$12:N1054)+1,ROW($T$12))&amp;":T"&amp;(ROW()-1))))),Первоначальный[[#This Row],[Полученный платеж]]+Y1054),
AND(S1054=0,Первоначальный[[#This Row],[Дата платежа из графика]]=1),MIN(LOOKUP(,-1/($Z$12:Z1055=1),$C$12:C1055)+LOOKUP(,-1/($Z$12:Z1055=1),$H$12:H1055)-IF(Z1054=1,0,SUM(INDIRECT("T"&amp;(MAX((1=Z$12:Z1054)*ROW(Z$12:Z1054)+1,ROW($T$12))&amp;":T"&amp;(ROW()-1))))),Первоначальный[[#This Row],[Полученный платеж]]+Y1054),
AND(Z1054&gt;0,Первоначальный[[#This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платеж]]+Y1054),
AND(S1054&gt;0,MAX((0&lt;&gt;S$12:S1054)*ROW(S$12:S1054),ROW($S$12))&gt;=MAX((1=Z$12:Z1054)*ROW(Z$12:Z1054),ROW($T$12)),TYPE(VLOOKUP("Да",(INDIRECT("AA"&amp;(MAX((1=Z$12:Z1054)*ROW(Z$12:Z1054),ROW($T$12))&amp;":AA"&amp;(ROW()-1)))),1,0))=16),MIN(LOOKUP(,-1/($Z$12:Z1055=1),$C$12:C1055)+LOOKUP(,-1/($Z$12:Z1055=1),$H$12:H1055)-SUM(INDIRECT("T"&amp;(MAX((1=Z$12:Z1054)*ROW(Z$12:Z1054),ROW($T$12))&amp;":T"&amp;(ROW()-1)))),Первоначальный[[#This Row],[Полученный платеж]]+Y1054),
S1054&gt;0,MIN(LOOKUP(,-1/($Z$12:Z1055=1),$C$12:C1055)+LOOKUP(,-1/($Z$12:Z1055=1),$H$12:H1055)-IF(Z1054=1,0,SUM(INDIRECT("T"&amp;(MAX((1=Z$12:Z1054)*ROW(Z$12:Z1054)+1,ROW($T$12))&amp;":T"&amp;(ROW()-1))))),Первоначальный[[#This Row],[Полученный платеж]]+Y1054)
)
)
)</f>
        <v>0</v>
      </c>
      <c r="U105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платеж]]+Y1054-Первоначальный[[#This Row],[Полученный платёж по процентам]])</f>
        <v>0</v>
      </c>
      <c r="V1055" s="55">
        <f t="shared" ca="1" si="195"/>
        <v>0</v>
      </c>
      <c r="W1055" s="55" cm="1">
        <f t="array" aca="1" ref="W1055" ca="1">IF(Первоначальный[[#This Row],[Итого остаток на начало периода]]&lt;1,0,
_xlfn.IFS(
AND(TYPE(VLOOKUP(1,$Z$12:Z1055,1,0))=16,Первоначальный[[#This Row],[Досрочное погашение (да/"")]]=""),0,
AND(S1054=0,Первоначальный[[#This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платеж]]+Y1054-SUM(Первоначальный[[#This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комиссиям]]),VLOOKUP(LOOKUP(,-1/($Z$12:Z1055=1),$A$12:A1055),График[[Срок конец]:[Возврат основной суммы долга]],3,0)),
AND(S1054=0,Первоначальный[[#This Row],[Дата платежа из графика]]="",Первоначальный[[#This Row],[Досрочное погашение (да/"")]]&lt;&gt;"Да"),0,
AND(S1054=0,Первоначальный[[#This Row],[Досрочное погашение (да/"")]]=""),MIN(Первоначальный[[#This Row],[Полученный платеж]]+Y1054-SUM(Первоначальный[[#This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комиссиям]]),VLOOKUP(LOOKUP(,-1/($Z$12:Z1055=1),$A$12:A1055),График[[Срок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платеж]]+Y1054-SUM(Первоначальный[[#This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S1054&gt;0,MIN(Первоначальный[[#This Row],[Полученный платеж]]+Y1054-SUM(Первоначальный[[#This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комиссиям]]),SUM(INDIRECT("M"&amp;(MAX((1=S$12:S1054)*ROW(S$12:S1054),ROW($W$12))&amp;":M"&amp;(ROW()))))-SUM(INDIRECT("W"&amp;(MAX((1=S$12:S1054)*ROW(S$12:S1054),ROW($W$12))&amp;":W"&amp;(ROW()-1)))))
)
)</f>
        <v>0</v>
      </c>
      <c r="X1055" s="55">
        <f t="shared" ca="1" si="196"/>
        <v>0</v>
      </c>
      <c r="Y1055" s="101">
        <f t="shared" ca="1" si="203"/>
        <v>0</v>
      </c>
      <c r="Z1055" s="133" t="str">
        <f>IF(TYPE((VLOOKUP(Первоначальный[[#This Row],[Дата платежа]],График[Срок конец],1,0)))=16,"",1)</f>
        <v/>
      </c>
      <c r="AA1055" s="57"/>
      <c r="AB1055" s="134"/>
      <c r="AC105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5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75832.819999999803</v>
      </c>
      <c r="AE105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4184.3400000000011</v>
      </c>
      <c r="AF105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5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222687.09161803217</v>
      </c>
      <c r="AH1055" s="55"/>
      <c r="AI1055" s="55"/>
      <c r="AJ1055" s="55"/>
      <c r="AK1055" s="101">
        <f t="shared" ca="1" si="204"/>
        <v>452337.59161803196</v>
      </c>
      <c r="AL1055" s="129">
        <f t="array" ref="AL1055">MAX((УслРестрактов[Характеристика]="Дата реструктуризации")*(УслРестрактов[Значение]=Первоначальный!$A1055),0)</f>
        <v>0</v>
      </c>
    </row>
    <row r="1056" spans="1:38" x14ac:dyDescent="0.25">
      <c r="A1056" s="97">
        <f t="shared" si="197"/>
        <v>45187</v>
      </c>
      <c r="B1056" s="100">
        <f t="shared" ca="1" si="198"/>
        <v>149633.34</v>
      </c>
      <c r="C1056" s="55">
        <f t="shared" ca="1" si="194"/>
        <v>75832.819999999803</v>
      </c>
      <c r="D1056" s="55">
        <f t="shared" ca="1" si="194"/>
        <v>4184.3400000000011</v>
      </c>
      <c r="E1056" s="55">
        <f t="shared" ca="1" si="199"/>
        <v>0</v>
      </c>
      <c r="F1056" s="55">
        <f t="shared" ca="1" si="200"/>
        <v>222687.09161803217</v>
      </c>
      <c r="G1056" s="101">
        <f t="shared" ca="1" si="201"/>
        <v>452337.59161803196</v>
      </c>
      <c r="H1056" s="100">
        <f ca="1">ROUND($B1056*VLOOKUP($A1056,$A$1:$B$10,2,1)/(365+IF(MOD(YEAR($A1056),4),0,1)*($A1056-$A1055)),2)-Первоначальный[[#This Row],[Проценты на просроченный платеж по ОД за период]]</f>
        <v>72.069999999999993</v>
      </c>
      <c r="I1056" s="55">
        <f t="shared" ca="1" si="202"/>
        <v>9.51</v>
      </c>
      <c r="J1056" s="55">
        <v>0</v>
      </c>
      <c r="K1056" s="55">
        <f t="shared" ca="1" si="205"/>
        <v>463.45350327868846</v>
      </c>
      <c r="L1056" s="55">
        <v>0</v>
      </c>
      <c r="M1056" s="113">
        <f>SUMIFS(График[Возврат основной суммы долга],График[Дата с учетом нерабочих дней],$A1056)</f>
        <v>0</v>
      </c>
      <c r="N1056" s="56">
        <f>SUMIFS(График[Возврат начисленных %],График[Дата с учетом нерабочих дней],$A1056)</f>
        <v>0</v>
      </c>
      <c r="O1056" s="101">
        <v>0</v>
      </c>
      <c r="P1056" s="100" cm="1">
        <f t="array" aca="1" ref="P1056" ca="1">MAX(IF(AA1055="Да",0,SUM(INDIRECT("M"&amp;(MAX(("Да"=AA$12:AA1055)*ROW(AA$12:AA1055)+1,ROW($P$12))&amp;":M"&amp;(ROW()))))-SUM(INDIRECT("W"&amp;(MAX(("Да"=AA$12:AA1055)*ROW(AA$12:AA1055)+1,ROW($P$12))&amp;":W"&amp;(ROW()))))),0)</f>
        <v>17437.93</v>
      </c>
      <c r="Q1056" s="99">
        <f ca="1">MAX(SUM($N$13:N1056)-SUM($T$13:T1056),0)</f>
        <v>75252.77065573768</v>
      </c>
      <c r="R1056" s="99">
        <f ca="1">Первоначальный[[#This Row],[Просроченный платеж по ОД]]+Первоначальный[[#This Row],[Просроченный платеж по процентам]]</f>
        <v>92690.700655737688</v>
      </c>
      <c r="S1056" s="120">
        <f ca="1">IF(Первоначальный[[#This Row],[Просроченный платеж]]&lt;1,0,S1055+1)</f>
        <v>952</v>
      </c>
      <c r="T1056" s="100" cm="1">
        <f t="array" aca="1" ref="T1056" ca="1">IF(Первоначальный[[#This Row],[Итого остаток на начало периода]]&lt;1,0,
IF(
AND(TYPE(VLOOKUP(1,$Z$12:Z1056,1,0))=16,Первоначальный[[#This Row],[Досрочное погашение (да/"")]]=""),0,
_xlfn.IFS(AND(S1055=0,Первоначальный[[#This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платеж]]&lt;&gt;0),MIN(LOOKUP(,-1/($Z$12:Z1056=1),$C$12:C1056)+LOOKUP(,-1/($Z$12:Z1056=1),$H$12:H1056),Первоначальный[[#This Row],[Полученный платеж]]+Y1055),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платеж]]+Y1055,SUM(Первоначальный[[#This Row],[Остаток процентов на начало периода]],Первоначальный[[#This Row],[Проценты за период]])),
AND(S1055=0,Первоначальный[[#This Row],[Дата платежа из графика]]=""),0,
AND(S1055=0,Первоначальный[[#This Row],[Дата платежа из графика]]=1,MAX((0&lt;&gt;S$12:S1055)*ROW(S$12:S1055),ROW($S$12))&gt;=MAX((1=Z$12:Z1055)*ROW(Z$12:Z1055),ROW($T$12)),TYPE(VLOOKUP("Да",(INDIRECT("AA"&amp;(MAX((1=Z$12:Z1055)*ROW(Z$12:Z1055),ROW($T$12))&amp;":AA"&amp;(ROW()-1)))),1,0))=16),MIN(LOOKUP(,-1/($Z$12:Z1056=1),$C$12:C1056)+LOOKUP(,-1/($Z$12:Z1056=1),$H$12:H1056),Первоначальный[[#This Row],[Полученный платеж]]+Y1055),
AND(S1055=0,TYPE(VLOOKUP("Да",(INDIRECT("AA"&amp;(MAX((1=Z$12:Z1055)*ROW(Z$12:Z1055),ROW($T$12))&amp;":AA"&amp;(ROW()-1)))),1,0))&lt;&gt;16),MIN(LOOKUP(,-1/($Z$12:Z1056=1),$C$12:C1056)+LOOKUP(,-1/($Z$12:Z1056=1),$H$12:H1056)-IF(AA1055="Да",0,SUM(INDIRECT("T"&amp;(MAX(("Да"=AA$12:AA1055)*ROW(AA$12:AA1055)+1,ROW($T$12))&amp;":T"&amp;(ROW()-1))))),Первоначальный[[#This Row],[Полученный платеж]]+Y1055),
AND(S1055=0,MAX((0&lt;&gt;N$12:N1055)*ROW(N$12:N1055),ROW($S$12))&gt;=MAX((1=Z$12:Z1055)*ROW(Z$12:Z1055),ROW($T$12))),MIN(LOOKUP(,-1/($Z$12:Z1056=1),$C$12:C1056)+LOOKUP(,-1/($Z$12:Z1056=1),$H$12:H1056)-IF(N1055&lt;&gt;0,0,SUM(INDIRECT("T"&amp;(MAX((0&lt;&gt;N$12:N1055)*ROW(N$12:N1055)+1,ROW($T$12))&amp;":T"&amp;(ROW()-1))))),Первоначальный[[#This Row],[Полученный платеж]]+Y1055),
AND(S1055=0,Первоначальный[[#This Row],[Дата платежа из графика]]=1),MIN(LOOKUP(,-1/($Z$12:Z1056=1),$C$12:C1056)+LOOKUP(,-1/($Z$12:Z1056=1),$H$12:H1056)-IF(Z1055=1,0,SUM(INDIRECT("T"&amp;(MAX((1=Z$12:Z1055)*ROW(Z$12:Z1055)+1,ROW($T$12))&amp;":T"&amp;(ROW()-1))))),Первоначальный[[#This Row],[Полученный платеж]]+Y1055),
AND(Z1055&gt;0,Первоначальный[[#This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платеж]]+Y1055),
AND(S1055&gt;0,MAX((0&lt;&gt;S$12:S1055)*ROW(S$12:S1055),ROW($S$12))&gt;=MAX((1=Z$12:Z1055)*ROW(Z$12:Z1055),ROW($T$12)),TYPE(VLOOKUP("Да",(INDIRECT("AA"&amp;(MAX((1=Z$12:Z1055)*ROW(Z$12:Z1055),ROW($T$12))&amp;":AA"&amp;(ROW()-1)))),1,0))=16),MIN(LOOKUP(,-1/($Z$12:Z1056=1),$C$12:C1056)+LOOKUP(,-1/($Z$12:Z1056=1),$H$12:H1056)-SUM(INDIRECT("T"&amp;(MAX((1=Z$12:Z1055)*ROW(Z$12:Z1055),ROW($T$12))&amp;":T"&amp;(ROW()-1)))),Первоначальный[[#This Row],[Полученный платеж]]+Y1055),
S1055&gt;0,MIN(LOOKUP(,-1/($Z$12:Z1056=1),$C$12:C1056)+LOOKUP(,-1/($Z$12:Z1056=1),$H$12:H1056)-IF(Z1055=1,0,SUM(INDIRECT("T"&amp;(MAX((1=Z$12:Z1055)*ROW(Z$12:Z1055)+1,ROW($T$12))&amp;":T"&amp;(ROW()-1))))),Первоначальный[[#This Row],[Полученный платеж]]+Y1055)
)
)
)</f>
        <v>0</v>
      </c>
      <c r="U105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платеж]]+Y1055-Первоначальный[[#This Row],[Полученный платёж по процентам]])</f>
        <v>0</v>
      </c>
      <c r="V1056" s="55">
        <f t="shared" ca="1" si="195"/>
        <v>0</v>
      </c>
      <c r="W1056" s="55" cm="1">
        <f t="array" aca="1" ref="W1056" ca="1">IF(Первоначальный[[#This Row],[Итого остаток на начало периода]]&lt;1,0,
_xlfn.IFS(
AND(TYPE(VLOOKUP(1,$Z$12:Z1056,1,0))=16,Первоначальный[[#This Row],[Досрочное погашение (да/"")]]=""),0,
AND(S1055=0,Первоначальный[[#This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платеж]]+Y1055-SUM(Первоначальный[[#This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комиссиям]]),VLOOKUP(LOOKUP(,-1/($Z$12:Z1056=1),$A$12:A1056),График[[Срок конец]:[Возврат основной суммы долга]],3,0)),
AND(S1055=0,Первоначальный[[#This Row],[Дата платежа из графика]]="",Первоначальный[[#This Row],[Досрочное погашение (да/"")]]&lt;&gt;"Да"),0,
AND(S1055=0,Первоначальный[[#This Row],[Досрочное погашение (да/"")]]=""),MIN(Первоначальный[[#This Row],[Полученный платеж]]+Y1055-SUM(Первоначальный[[#This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комиссиям]]),VLOOKUP(LOOKUP(,-1/($Z$12:Z1056=1),$A$12:A1056),График[[Срок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платеж]]+Y1055-SUM(Первоначальный[[#This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S1055&gt;0,MIN(Первоначальный[[#This Row],[Полученный платеж]]+Y1055-SUM(Первоначальный[[#This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комиссиям]]),SUM(INDIRECT("M"&amp;(MAX((1=S$12:S1055)*ROW(S$12:S1055),ROW($W$12))&amp;":M"&amp;(ROW()))))-SUM(INDIRECT("W"&amp;(MAX((1=S$12:S1055)*ROW(S$12:S1055),ROW($W$12))&amp;":W"&amp;(ROW()-1)))))
)
)</f>
        <v>0</v>
      </c>
      <c r="X1056" s="55">
        <f t="shared" ca="1" si="196"/>
        <v>0</v>
      </c>
      <c r="Y1056" s="101">
        <f t="shared" ca="1" si="203"/>
        <v>0</v>
      </c>
      <c r="Z1056" s="133" t="str">
        <f>IF(TYPE((VLOOKUP(Первоначальный[[#This Row],[Дата платежа]],График[Срок конец],1,0)))=16,"",1)</f>
        <v/>
      </c>
      <c r="AA1056" s="57"/>
      <c r="AB1056" s="134"/>
      <c r="AC105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5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75904.88999999981</v>
      </c>
      <c r="AE105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4193.8500000000013</v>
      </c>
      <c r="AF105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5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223150.54512131086</v>
      </c>
      <c r="AH1056" s="55"/>
      <c r="AI1056" s="55"/>
      <c r="AJ1056" s="55"/>
      <c r="AK1056" s="101">
        <f t="shared" ca="1" si="204"/>
        <v>452882.6251213107</v>
      </c>
      <c r="AL1056" s="129">
        <f t="array" ref="AL1056">MAX((УслРестрактов[Характеристика]="Дата реструктуризации")*(УслРестрактов[Значение]=Первоначальный!$A1056),0)</f>
        <v>0</v>
      </c>
    </row>
    <row r="1057" spans="1:38" x14ac:dyDescent="0.25">
      <c r="A1057" s="97">
        <f t="shared" si="197"/>
        <v>45188</v>
      </c>
      <c r="B1057" s="100">
        <f t="shared" ca="1" si="198"/>
        <v>149633.34</v>
      </c>
      <c r="C1057" s="55">
        <f t="shared" ca="1" si="194"/>
        <v>75904.88999999981</v>
      </c>
      <c r="D1057" s="55">
        <f t="shared" ca="1" si="194"/>
        <v>4193.8500000000013</v>
      </c>
      <c r="E1057" s="55">
        <f t="shared" ca="1" si="199"/>
        <v>0</v>
      </c>
      <c r="F1057" s="55">
        <f t="shared" ca="1" si="200"/>
        <v>223150.54512131086</v>
      </c>
      <c r="G1057" s="101">
        <f t="shared" ca="1" si="201"/>
        <v>452882.6251213107</v>
      </c>
      <c r="H1057" s="100">
        <f ca="1">ROUND($B1057*VLOOKUP($A1057,$A$1:$B$10,2,1)/(365+IF(MOD(YEAR($A1057),4),0,1)*($A1057-$A1056)),2)-Первоначальный[[#This Row],[Проценты на просроченный платеж по ОД за период]]</f>
        <v>72.069999999999993</v>
      </c>
      <c r="I1057" s="55">
        <f t="shared" ca="1" si="202"/>
        <v>9.51</v>
      </c>
      <c r="J1057" s="55">
        <v>0</v>
      </c>
      <c r="K1057" s="55">
        <f t="shared" ca="1" si="205"/>
        <v>463.45350327868846</v>
      </c>
      <c r="L1057" s="55">
        <v>0</v>
      </c>
      <c r="M1057" s="113">
        <f>SUMIFS(График[Возврат основной суммы долга],График[Дата с учетом нерабочих дней],$A1057)</f>
        <v>0</v>
      </c>
      <c r="N1057" s="56">
        <f>SUMIFS(График[Возврат начисленных %],График[Дата с учетом нерабочих дней],$A1057)</f>
        <v>0</v>
      </c>
      <c r="O1057" s="101">
        <v>0</v>
      </c>
      <c r="P1057" s="100" cm="1">
        <f t="array" aca="1" ref="P1057" ca="1">MAX(IF(AA1056="Да",0,SUM(INDIRECT("M"&amp;(MAX(("Да"=AA$12:AA1056)*ROW(AA$12:AA1056)+1,ROW($P$12))&amp;":M"&amp;(ROW()))))-SUM(INDIRECT("W"&amp;(MAX(("Да"=AA$12:AA1056)*ROW(AA$12:AA1056)+1,ROW($P$12))&amp;":W"&amp;(ROW()))))),0)</f>
        <v>17437.93</v>
      </c>
      <c r="Q1057" s="99">
        <f ca="1">MAX(SUM($N$13:N1057)-SUM($T$13:T1057),0)</f>
        <v>75252.77065573768</v>
      </c>
      <c r="R1057" s="99">
        <f ca="1">Первоначальный[[#This Row],[Просроченный платеж по ОД]]+Первоначальный[[#This Row],[Просроченный платеж по процентам]]</f>
        <v>92690.700655737688</v>
      </c>
      <c r="S1057" s="120">
        <f ca="1">IF(Первоначальный[[#This Row],[Просроченный платеж]]&lt;1,0,S1056+1)</f>
        <v>953</v>
      </c>
      <c r="T1057" s="100" cm="1">
        <f t="array" aca="1" ref="T1057" ca="1">IF(Первоначальный[[#This Row],[Итого остаток на начало периода]]&lt;1,0,
IF(
AND(TYPE(VLOOKUP(1,$Z$12:Z1057,1,0))=16,Первоначальный[[#This Row],[Досрочное погашение (да/"")]]=""),0,
_xlfn.IFS(AND(S1056=0,Первоначальный[[#This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платеж]]&lt;&gt;0),MIN(LOOKUP(,-1/($Z$12:Z1057=1),$C$12:C1057)+LOOKUP(,-1/($Z$12:Z1057=1),$H$12:H1057),Первоначальный[[#This Row],[Полученный платеж]]+Y1056),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платеж]]+Y1056,SUM(Первоначальный[[#This Row],[Остаток процентов на начало периода]],Первоначальный[[#This Row],[Проценты за период]])),
AND(S1056=0,Первоначальный[[#This Row],[Дата платежа из графика]]=""),0,
AND(S1056=0,Первоначальный[[#This Row],[Дата платежа из графика]]=1,MAX((0&lt;&gt;S$12:S1056)*ROW(S$12:S1056),ROW($S$12))&gt;=MAX((1=Z$12:Z1056)*ROW(Z$12:Z1056),ROW($T$12)),TYPE(VLOOKUP("Да",(INDIRECT("AA"&amp;(MAX((1=Z$12:Z1056)*ROW(Z$12:Z1056),ROW($T$12))&amp;":AA"&amp;(ROW()-1)))),1,0))=16),MIN(LOOKUP(,-1/($Z$12:Z1057=1),$C$12:C1057)+LOOKUP(,-1/($Z$12:Z1057=1),$H$12:H1057),Первоначальный[[#This Row],[Полученный платеж]]+Y1056),
AND(S1056=0,TYPE(VLOOKUP("Да",(INDIRECT("AA"&amp;(MAX((1=Z$12:Z1056)*ROW(Z$12:Z1056),ROW($T$12))&amp;":AA"&amp;(ROW()-1)))),1,0))&lt;&gt;16),MIN(LOOKUP(,-1/($Z$12:Z1057=1),$C$12:C1057)+LOOKUP(,-1/($Z$12:Z1057=1),$H$12:H1057)-IF(AA1056="Да",0,SUM(INDIRECT("T"&amp;(MAX(("Да"=AA$12:AA1056)*ROW(AA$12:AA1056)+1,ROW($T$12))&amp;":T"&amp;(ROW()-1))))),Первоначальный[[#This Row],[Полученный платеж]]+Y1056),
AND(S1056=0,MAX((0&lt;&gt;N$12:N1056)*ROW(N$12:N1056),ROW($S$12))&gt;=MAX((1=Z$12:Z1056)*ROW(Z$12:Z1056),ROW($T$12))),MIN(LOOKUP(,-1/($Z$12:Z1057=1),$C$12:C1057)+LOOKUP(,-1/($Z$12:Z1057=1),$H$12:H1057)-IF(N1056&lt;&gt;0,0,SUM(INDIRECT("T"&amp;(MAX((0&lt;&gt;N$12:N1056)*ROW(N$12:N1056)+1,ROW($T$12))&amp;":T"&amp;(ROW()-1))))),Первоначальный[[#This Row],[Полученный платеж]]+Y1056),
AND(S1056=0,Первоначальный[[#This Row],[Дата платежа из графика]]=1),MIN(LOOKUP(,-1/($Z$12:Z1057=1),$C$12:C1057)+LOOKUP(,-1/($Z$12:Z1057=1),$H$12:H1057)-IF(Z1056=1,0,SUM(INDIRECT("T"&amp;(MAX((1=Z$12:Z1056)*ROW(Z$12:Z1056)+1,ROW($T$12))&amp;":T"&amp;(ROW()-1))))),Первоначальный[[#This Row],[Полученный платеж]]+Y1056),
AND(Z1056&gt;0,Первоначальный[[#This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платеж]]+Y1056),
AND(S1056&gt;0,MAX((0&lt;&gt;S$12:S1056)*ROW(S$12:S1056),ROW($S$12))&gt;=MAX((1=Z$12:Z1056)*ROW(Z$12:Z1056),ROW($T$12)),TYPE(VLOOKUP("Да",(INDIRECT("AA"&amp;(MAX((1=Z$12:Z1056)*ROW(Z$12:Z1056),ROW($T$12))&amp;":AA"&amp;(ROW()-1)))),1,0))=16),MIN(LOOKUP(,-1/($Z$12:Z1057=1),$C$12:C1057)+LOOKUP(,-1/($Z$12:Z1057=1),$H$12:H1057)-SUM(INDIRECT("T"&amp;(MAX((1=Z$12:Z1056)*ROW(Z$12:Z1056),ROW($T$12))&amp;":T"&amp;(ROW()-1)))),Первоначальный[[#This Row],[Полученный платеж]]+Y1056),
S1056&gt;0,MIN(LOOKUP(,-1/($Z$12:Z1057=1),$C$12:C1057)+LOOKUP(,-1/($Z$12:Z1057=1),$H$12:H1057)-IF(Z1056=1,0,SUM(INDIRECT("T"&amp;(MAX((1=Z$12:Z1056)*ROW(Z$12:Z1056)+1,ROW($T$12))&amp;":T"&amp;(ROW()-1))))),Первоначальный[[#This Row],[Полученный платеж]]+Y1056)
)
)
)</f>
        <v>0</v>
      </c>
      <c r="U105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платеж]]+Y1056-Первоначальный[[#This Row],[Полученный платёж по процентам]])</f>
        <v>0</v>
      </c>
      <c r="V1057" s="55">
        <f t="shared" ca="1" si="195"/>
        <v>0</v>
      </c>
      <c r="W1057" s="55" cm="1">
        <f t="array" aca="1" ref="W1057" ca="1">IF(Первоначальный[[#This Row],[Итого остаток на начало периода]]&lt;1,0,
_xlfn.IFS(
AND(TYPE(VLOOKUP(1,$Z$12:Z1057,1,0))=16,Первоначальный[[#This Row],[Досрочное погашение (да/"")]]=""),0,
AND(S1056=0,Первоначальный[[#This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платеж]]+Y1056-SUM(Первоначальный[[#This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комиссиям]]),VLOOKUP(LOOKUP(,-1/($Z$12:Z1057=1),$A$12:A1057),График[[Срок конец]:[Возврат основной суммы долга]],3,0)),
AND(S1056=0,Первоначальный[[#This Row],[Дата платежа из графика]]="",Первоначальный[[#This Row],[Досрочное погашение (да/"")]]&lt;&gt;"Да"),0,
AND(S1056=0,Первоначальный[[#This Row],[Досрочное погашение (да/"")]]=""),MIN(Первоначальный[[#This Row],[Полученный платеж]]+Y1056-SUM(Первоначальный[[#This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комиссиям]]),VLOOKUP(LOOKUP(,-1/($Z$12:Z1057=1),$A$12:A1057),График[[Срок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платеж]]+Y1056-SUM(Первоначальный[[#This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S1056&gt;0,MIN(Первоначальный[[#This Row],[Полученный платеж]]+Y1056-SUM(Первоначальный[[#This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комиссиям]]),SUM(INDIRECT("M"&amp;(MAX((1=S$12:S1056)*ROW(S$12:S1056),ROW($W$12))&amp;":M"&amp;(ROW()))))-SUM(INDIRECT("W"&amp;(MAX((1=S$12:S1056)*ROW(S$12:S1056),ROW($W$12))&amp;":W"&amp;(ROW()-1)))))
)
)</f>
        <v>0</v>
      </c>
      <c r="X1057" s="55">
        <f t="shared" ca="1" si="196"/>
        <v>0</v>
      </c>
      <c r="Y1057" s="101">
        <f t="shared" ca="1" si="203"/>
        <v>0</v>
      </c>
      <c r="Z1057" s="133" t="str">
        <f>IF(TYPE((VLOOKUP(Первоначальный[[#This Row],[Дата платежа]],График[Срок конец],1,0)))=16,"",1)</f>
        <v/>
      </c>
      <c r="AA1057" s="57"/>
      <c r="AB1057" s="134"/>
      <c r="AC105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5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75976.959999999817</v>
      </c>
      <c r="AE105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4203.3600000000015</v>
      </c>
      <c r="AF105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5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223613.99862458956</v>
      </c>
      <c r="AH1057" s="55"/>
      <c r="AI1057" s="55"/>
      <c r="AJ1057" s="55"/>
      <c r="AK1057" s="101">
        <f t="shared" ca="1" si="204"/>
        <v>453427.65862458938</v>
      </c>
      <c r="AL1057" s="129">
        <f t="array" ref="AL1057">MAX((УслРестрактов[Характеристика]="Дата реструктуризации")*(УслРестрактов[Значение]=Первоначальный!$A1057),0)</f>
        <v>0</v>
      </c>
    </row>
    <row r="1058" spans="1:38" x14ac:dyDescent="0.25">
      <c r="A1058" s="97">
        <f t="shared" si="197"/>
        <v>45189</v>
      </c>
      <c r="B1058" s="100">
        <f t="shared" ca="1" si="198"/>
        <v>149633.34</v>
      </c>
      <c r="C1058" s="55">
        <f t="shared" ca="1" si="194"/>
        <v>75976.959999999817</v>
      </c>
      <c r="D1058" s="55">
        <f t="shared" ca="1" si="194"/>
        <v>4203.3600000000015</v>
      </c>
      <c r="E1058" s="55">
        <f t="shared" ca="1" si="199"/>
        <v>0</v>
      </c>
      <c r="F1058" s="55">
        <f t="shared" ca="1" si="200"/>
        <v>223613.99862458956</v>
      </c>
      <c r="G1058" s="101">
        <f t="shared" ca="1" si="201"/>
        <v>453427.65862458938</v>
      </c>
      <c r="H1058" s="100">
        <f ca="1">ROUND($B1058*VLOOKUP($A1058,$A$1:$B$10,2,1)/(365+IF(MOD(YEAR($A1058),4),0,1)*($A1058-$A1057)),2)-Первоначальный[[#This Row],[Проценты на просроченный платеж по ОД за период]]</f>
        <v>72.069999999999993</v>
      </c>
      <c r="I1058" s="55">
        <f t="shared" ca="1" si="202"/>
        <v>9.51</v>
      </c>
      <c r="J1058" s="55">
        <v>0</v>
      </c>
      <c r="K1058" s="55">
        <f t="shared" ca="1" si="205"/>
        <v>463.45350327868846</v>
      </c>
      <c r="L1058" s="55">
        <v>0</v>
      </c>
      <c r="M1058" s="113">
        <f>SUMIFS(График[Возврат основной суммы долга],График[Дата с учетом нерабочих дней],$A1058)</f>
        <v>0</v>
      </c>
      <c r="N1058" s="56">
        <f>SUMIFS(График[Возврат начисленных %],График[Дата с учетом нерабочих дней],$A1058)</f>
        <v>0</v>
      </c>
      <c r="O1058" s="101">
        <v>0</v>
      </c>
      <c r="P1058" s="100" cm="1">
        <f t="array" aca="1" ref="P1058" ca="1">MAX(IF(AA1057="Да",0,SUM(INDIRECT("M"&amp;(MAX(("Да"=AA$12:AA1057)*ROW(AA$12:AA1057)+1,ROW($P$12))&amp;":M"&amp;(ROW()))))-SUM(INDIRECT("W"&amp;(MAX(("Да"=AA$12:AA1057)*ROW(AA$12:AA1057)+1,ROW($P$12))&amp;":W"&amp;(ROW()))))),0)</f>
        <v>17437.93</v>
      </c>
      <c r="Q1058" s="99">
        <f ca="1">MAX(SUM($N$13:N1058)-SUM($T$13:T1058),0)</f>
        <v>75252.77065573768</v>
      </c>
      <c r="R1058" s="99">
        <f ca="1">Первоначальный[[#This Row],[Просроченный платеж по ОД]]+Первоначальный[[#This Row],[Просроченный платеж по процентам]]</f>
        <v>92690.700655737688</v>
      </c>
      <c r="S1058" s="120">
        <f ca="1">IF(Первоначальный[[#This Row],[Просроченный платеж]]&lt;1,0,S1057+1)</f>
        <v>954</v>
      </c>
      <c r="T1058" s="100" cm="1">
        <f t="array" aca="1" ref="T1058" ca="1">IF(Первоначальный[[#This Row],[Итого остаток на начало периода]]&lt;1,0,
IF(
AND(TYPE(VLOOKUP(1,$Z$12:Z1058,1,0))=16,Первоначальный[[#This Row],[Досрочное погашение (да/"")]]=""),0,
_xlfn.IFS(AND(S1057=0,Первоначальный[[#This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платеж]]&lt;&gt;0),MIN(LOOKUP(,-1/($Z$12:Z1058=1),$C$12:C1058)+LOOKUP(,-1/($Z$12:Z1058=1),$H$12:H1058),Первоначальный[[#This Row],[Полученный платеж]]+Y1057),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платеж]]+Y1057,SUM(Первоначальный[[#This Row],[Остаток процентов на начало периода]],Первоначальный[[#This Row],[Проценты за период]])),
AND(S1057=0,Первоначальный[[#This Row],[Дата платежа из графика]]=""),0,
AND(S1057=0,Первоначальный[[#This Row],[Дата платежа из графика]]=1,MAX((0&lt;&gt;S$12:S1057)*ROW(S$12:S1057),ROW($S$12))&gt;=MAX((1=Z$12:Z1057)*ROW(Z$12:Z1057),ROW($T$12)),TYPE(VLOOKUP("Да",(INDIRECT("AA"&amp;(MAX((1=Z$12:Z1057)*ROW(Z$12:Z1057),ROW($T$12))&amp;":AA"&amp;(ROW()-1)))),1,0))=16),MIN(LOOKUP(,-1/($Z$12:Z1058=1),$C$12:C1058)+LOOKUP(,-1/($Z$12:Z1058=1),$H$12:H1058),Первоначальный[[#This Row],[Полученный платеж]]+Y1057),
AND(S1057=0,TYPE(VLOOKUP("Да",(INDIRECT("AA"&amp;(MAX((1=Z$12:Z1057)*ROW(Z$12:Z1057),ROW($T$12))&amp;":AA"&amp;(ROW()-1)))),1,0))&lt;&gt;16),MIN(LOOKUP(,-1/($Z$12:Z1058=1),$C$12:C1058)+LOOKUP(,-1/($Z$12:Z1058=1),$H$12:H1058)-IF(AA1057="Да",0,SUM(INDIRECT("T"&amp;(MAX(("Да"=AA$12:AA1057)*ROW(AA$12:AA1057)+1,ROW($T$12))&amp;":T"&amp;(ROW()-1))))),Первоначальный[[#This Row],[Полученный платеж]]+Y1057),
AND(S1057=0,MAX((0&lt;&gt;N$12:N1057)*ROW(N$12:N1057),ROW($S$12))&gt;=MAX((1=Z$12:Z1057)*ROW(Z$12:Z1057),ROW($T$12))),MIN(LOOKUP(,-1/($Z$12:Z1058=1),$C$12:C1058)+LOOKUP(,-1/($Z$12:Z1058=1),$H$12:H1058)-IF(N1057&lt;&gt;0,0,SUM(INDIRECT("T"&amp;(MAX((0&lt;&gt;N$12:N1057)*ROW(N$12:N1057)+1,ROW($T$12))&amp;":T"&amp;(ROW()-1))))),Первоначальный[[#This Row],[Полученный платеж]]+Y1057),
AND(S1057=0,Первоначальный[[#This Row],[Дата платежа из графика]]=1),MIN(LOOKUP(,-1/($Z$12:Z1058=1),$C$12:C1058)+LOOKUP(,-1/($Z$12:Z1058=1),$H$12:H1058)-IF(Z1057=1,0,SUM(INDIRECT("T"&amp;(MAX((1=Z$12:Z1057)*ROW(Z$12:Z1057)+1,ROW($T$12))&amp;":T"&amp;(ROW()-1))))),Первоначальный[[#This Row],[Полученный платеж]]+Y1057),
AND(Z1057&gt;0,Первоначальный[[#This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платеж]]+Y1057),
AND(S1057&gt;0,MAX((0&lt;&gt;S$12:S1057)*ROW(S$12:S1057),ROW($S$12))&gt;=MAX((1=Z$12:Z1057)*ROW(Z$12:Z1057),ROW($T$12)),TYPE(VLOOKUP("Да",(INDIRECT("AA"&amp;(MAX((1=Z$12:Z1057)*ROW(Z$12:Z1057),ROW($T$12))&amp;":AA"&amp;(ROW()-1)))),1,0))=16),MIN(LOOKUP(,-1/($Z$12:Z1058=1),$C$12:C1058)+LOOKUP(,-1/($Z$12:Z1058=1),$H$12:H1058)-SUM(INDIRECT("T"&amp;(MAX((1=Z$12:Z1057)*ROW(Z$12:Z1057),ROW($T$12))&amp;":T"&amp;(ROW()-1)))),Первоначальный[[#This Row],[Полученный платеж]]+Y1057),
S1057&gt;0,MIN(LOOKUP(,-1/($Z$12:Z1058=1),$C$12:C1058)+LOOKUP(,-1/($Z$12:Z1058=1),$H$12:H1058)-IF(Z1057=1,0,SUM(INDIRECT("T"&amp;(MAX((1=Z$12:Z1057)*ROW(Z$12:Z1057)+1,ROW($T$12))&amp;":T"&amp;(ROW()-1))))),Первоначальный[[#This Row],[Полученный платеж]]+Y1057)
)
)
)</f>
        <v>0</v>
      </c>
      <c r="U105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платеж]]+Y1057-Первоначальный[[#This Row],[Полученный платёж по процентам]])</f>
        <v>0</v>
      </c>
      <c r="V1058" s="55">
        <f t="shared" ca="1" si="195"/>
        <v>0</v>
      </c>
      <c r="W1058" s="55" cm="1">
        <f t="array" aca="1" ref="W1058" ca="1">IF(Первоначальный[[#This Row],[Итого остаток на начало периода]]&lt;1,0,
_xlfn.IFS(
AND(TYPE(VLOOKUP(1,$Z$12:Z1058,1,0))=16,Первоначальный[[#This Row],[Досрочное погашение (да/"")]]=""),0,
AND(S1057=0,Первоначальный[[#This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платеж]]+Y1057-SUM(Первоначальный[[#This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комиссиям]]),VLOOKUP(LOOKUP(,-1/($Z$12:Z1058=1),$A$12:A1058),График[[Срок конец]:[Возврат основной суммы долга]],3,0)),
AND(S1057=0,Первоначальный[[#This Row],[Дата платежа из графика]]="",Первоначальный[[#This Row],[Досрочное погашение (да/"")]]&lt;&gt;"Да"),0,
AND(S1057=0,Первоначальный[[#This Row],[Досрочное погашение (да/"")]]=""),MIN(Первоначальный[[#This Row],[Полученный платеж]]+Y1057-SUM(Первоначальный[[#This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комиссиям]]),VLOOKUP(LOOKUP(,-1/($Z$12:Z1058=1),$A$12:A1058),График[[Срок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платеж]]+Y1057-SUM(Первоначальный[[#This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S1057&gt;0,MIN(Первоначальный[[#This Row],[Полученный платеж]]+Y1057-SUM(Первоначальный[[#This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комиссиям]]),SUM(INDIRECT("M"&amp;(MAX((1=S$12:S1057)*ROW(S$12:S1057),ROW($W$12))&amp;":M"&amp;(ROW()))))-SUM(INDIRECT("W"&amp;(MAX((1=S$12:S1057)*ROW(S$12:S1057),ROW($W$12))&amp;":W"&amp;(ROW()-1)))))
)
)</f>
        <v>0</v>
      </c>
      <c r="X1058" s="55">
        <f t="shared" ca="1" si="196"/>
        <v>0</v>
      </c>
      <c r="Y1058" s="101">
        <f t="shared" ca="1" si="203"/>
        <v>0</v>
      </c>
      <c r="Z1058" s="133" t="str">
        <f>IF(TYPE((VLOOKUP(Первоначальный[[#This Row],[Дата платежа]],График[Срок конец],1,0)))=16,"",1)</f>
        <v/>
      </c>
      <c r="AA1058" s="57"/>
      <c r="AB1058" s="134"/>
      <c r="AC105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5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76049.029999999824</v>
      </c>
      <c r="AE105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4212.8700000000017</v>
      </c>
      <c r="AF105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5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224077.45212786825</v>
      </c>
      <c r="AH1058" s="55"/>
      <c r="AI1058" s="55"/>
      <c r="AJ1058" s="55"/>
      <c r="AK1058" s="101">
        <f t="shared" ca="1" si="204"/>
        <v>453972.69212786807</v>
      </c>
      <c r="AL1058" s="129">
        <f t="array" ref="AL1058">MAX((УслРестрактов[Характеристика]="Дата реструктуризации")*(УслРестрактов[Значение]=Первоначальный!$A1058),0)</f>
        <v>0</v>
      </c>
    </row>
    <row r="1059" spans="1:38" x14ac:dyDescent="0.25">
      <c r="A1059" s="97">
        <f t="shared" si="197"/>
        <v>45190</v>
      </c>
      <c r="B1059" s="100">
        <f t="shared" ca="1" si="198"/>
        <v>149633.34</v>
      </c>
      <c r="C1059" s="55">
        <f t="shared" ca="1" si="194"/>
        <v>76049.029999999824</v>
      </c>
      <c r="D1059" s="55">
        <f t="shared" ca="1" si="194"/>
        <v>4212.8700000000017</v>
      </c>
      <c r="E1059" s="55">
        <f t="shared" ca="1" si="199"/>
        <v>0</v>
      </c>
      <c r="F1059" s="55">
        <f t="shared" ca="1" si="200"/>
        <v>224077.45212786825</v>
      </c>
      <c r="G1059" s="101">
        <f t="shared" ca="1" si="201"/>
        <v>453972.69212786807</v>
      </c>
      <c r="H1059" s="100">
        <f ca="1">ROUND($B1059*VLOOKUP($A1059,$A$1:$B$10,2,1)/(365+IF(MOD(YEAR($A1059),4),0,1)*($A1059-$A1058)),2)-Первоначальный[[#This Row],[Проценты на просроченный платеж по ОД за период]]</f>
        <v>72.069999999999993</v>
      </c>
      <c r="I1059" s="55">
        <f t="shared" ca="1" si="202"/>
        <v>9.51</v>
      </c>
      <c r="J1059" s="55">
        <v>0</v>
      </c>
      <c r="K1059" s="55">
        <f t="shared" ca="1" si="205"/>
        <v>463.45350327868846</v>
      </c>
      <c r="L1059" s="55">
        <v>0</v>
      </c>
      <c r="M1059" s="113">
        <f>SUMIFS(График[Возврат основной суммы долга],График[Дата с учетом нерабочих дней],$A1059)</f>
        <v>0</v>
      </c>
      <c r="N1059" s="56">
        <f>SUMIFS(График[Возврат начисленных %],График[Дата с учетом нерабочих дней],$A1059)</f>
        <v>0</v>
      </c>
      <c r="O1059" s="101">
        <v>0</v>
      </c>
      <c r="P1059" s="100" cm="1">
        <f t="array" aca="1" ref="P1059" ca="1">MAX(IF(AA1058="Да",0,SUM(INDIRECT("M"&amp;(MAX(("Да"=AA$12:AA1058)*ROW(AA$12:AA1058)+1,ROW($P$12))&amp;":M"&amp;(ROW()))))-SUM(INDIRECT("W"&amp;(MAX(("Да"=AA$12:AA1058)*ROW(AA$12:AA1058)+1,ROW($P$12))&amp;":W"&amp;(ROW()))))),0)</f>
        <v>17437.93</v>
      </c>
      <c r="Q1059" s="99">
        <f ca="1">MAX(SUM($N$13:N1059)-SUM($T$13:T1059),0)</f>
        <v>75252.77065573768</v>
      </c>
      <c r="R1059" s="99">
        <f ca="1">Первоначальный[[#This Row],[Просроченный платеж по ОД]]+Первоначальный[[#This Row],[Просроченный платеж по процентам]]</f>
        <v>92690.700655737688</v>
      </c>
      <c r="S1059" s="120">
        <f ca="1">IF(Первоначальный[[#This Row],[Просроченный платеж]]&lt;1,0,S1058+1)</f>
        <v>955</v>
      </c>
      <c r="T1059" s="100" cm="1">
        <f t="array" aca="1" ref="T1059" ca="1">IF(Первоначальный[[#This Row],[Итого остаток на начало периода]]&lt;1,0,
IF(
AND(TYPE(VLOOKUP(1,$Z$12:Z1059,1,0))=16,Первоначальный[[#This Row],[Досрочное погашение (да/"")]]=""),0,
_xlfn.IFS(AND(S1058=0,Первоначальный[[#This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платеж]]&lt;&gt;0),MIN(LOOKUP(,-1/($Z$12:Z1059=1),$C$12:C1059)+LOOKUP(,-1/($Z$12:Z1059=1),$H$12:H1059),Первоначальный[[#This Row],[Полученный платеж]]+Y1058),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платеж]]+Y1058,SUM(Первоначальный[[#This Row],[Остаток процентов на начало периода]],Первоначальный[[#This Row],[Проценты за период]])),
AND(S1058=0,Первоначальный[[#This Row],[Дата платежа из графика]]=""),0,
AND(S1058=0,Первоначальный[[#This Row],[Дата платежа из графика]]=1,MAX((0&lt;&gt;S$12:S1058)*ROW(S$12:S1058),ROW($S$12))&gt;=MAX((1=Z$12:Z1058)*ROW(Z$12:Z1058),ROW($T$12)),TYPE(VLOOKUP("Да",(INDIRECT("AA"&amp;(MAX((1=Z$12:Z1058)*ROW(Z$12:Z1058),ROW($T$12))&amp;":AA"&amp;(ROW()-1)))),1,0))=16),MIN(LOOKUP(,-1/($Z$12:Z1059=1),$C$12:C1059)+LOOKUP(,-1/($Z$12:Z1059=1),$H$12:H1059),Первоначальный[[#This Row],[Полученный платеж]]+Y1058),
AND(S1058=0,TYPE(VLOOKUP("Да",(INDIRECT("AA"&amp;(MAX((1=Z$12:Z1058)*ROW(Z$12:Z1058),ROW($T$12))&amp;":AA"&amp;(ROW()-1)))),1,0))&lt;&gt;16),MIN(LOOKUP(,-1/($Z$12:Z1059=1),$C$12:C1059)+LOOKUP(,-1/($Z$12:Z1059=1),$H$12:H1059)-IF(AA1058="Да",0,SUM(INDIRECT("T"&amp;(MAX(("Да"=AA$12:AA1058)*ROW(AA$12:AA1058)+1,ROW($T$12))&amp;":T"&amp;(ROW()-1))))),Первоначальный[[#This Row],[Полученный платеж]]+Y1058),
AND(S1058=0,MAX((0&lt;&gt;N$12:N1058)*ROW(N$12:N1058),ROW($S$12))&gt;=MAX((1=Z$12:Z1058)*ROW(Z$12:Z1058),ROW($T$12))),MIN(LOOKUP(,-1/($Z$12:Z1059=1),$C$12:C1059)+LOOKUP(,-1/($Z$12:Z1059=1),$H$12:H1059)-IF(N1058&lt;&gt;0,0,SUM(INDIRECT("T"&amp;(MAX((0&lt;&gt;N$12:N1058)*ROW(N$12:N1058)+1,ROW($T$12))&amp;":T"&amp;(ROW()-1))))),Первоначальный[[#This Row],[Полученный платеж]]+Y1058),
AND(S1058=0,Первоначальный[[#This Row],[Дата платежа из графика]]=1),MIN(LOOKUP(,-1/($Z$12:Z1059=1),$C$12:C1059)+LOOKUP(,-1/($Z$12:Z1059=1),$H$12:H1059)-IF(Z1058=1,0,SUM(INDIRECT("T"&amp;(MAX((1=Z$12:Z1058)*ROW(Z$12:Z1058)+1,ROW($T$12))&amp;":T"&amp;(ROW()-1))))),Первоначальный[[#This Row],[Полученный платеж]]+Y1058),
AND(Z1058&gt;0,Первоначальный[[#This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платеж]]+Y1058),
AND(S1058&gt;0,MAX((0&lt;&gt;S$12:S1058)*ROW(S$12:S1058),ROW($S$12))&gt;=MAX((1=Z$12:Z1058)*ROW(Z$12:Z1058),ROW($T$12)),TYPE(VLOOKUP("Да",(INDIRECT("AA"&amp;(MAX((1=Z$12:Z1058)*ROW(Z$12:Z1058),ROW($T$12))&amp;":AA"&amp;(ROW()-1)))),1,0))=16),MIN(LOOKUP(,-1/($Z$12:Z1059=1),$C$12:C1059)+LOOKUP(,-1/($Z$12:Z1059=1),$H$12:H1059)-SUM(INDIRECT("T"&amp;(MAX((1=Z$12:Z1058)*ROW(Z$12:Z1058),ROW($T$12))&amp;":T"&amp;(ROW()-1)))),Первоначальный[[#This Row],[Полученный платеж]]+Y1058),
S1058&gt;0,MIN(LOOKUP(,-1/($Z$12:Z1059=1),$C$12:C1059)+LOOKUP(,-1/($Z$12:Z1059=1),$H$12:H1059)-IF(Z1058=1,0,SUM(INDIRECT("T"&amp;(MAX((1=Z$12:Z1058)*ROW(Z$12:Z1058)+1,ROW($T$12))&amp;":T"&amp;(ROW()-1))))),Первоначальный[[#This Row],[Полученный платеж]]+Y1058)
)
)
)</f>
        <v>0</v>
      </c>
      <c r="U105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платеж]]+Y1058-Первоначальный[[#This Row],[Полученный платёж по процентам]])</f>
        <v>0</v>
      </c>
      <c r="V1059" s="55">
        <f t="shared" ca="1" si="195"/>
        <v>0</v>
      </c>
      <c r="W1059" s="55" cm="1">
        <f t="array" aca="1" ref="W1059" ca="1">IF(Первоначальный[[#This Row],[Итого остаток на начало периода]]&lt;1,0,
_xlfn.IFS(
AND(TYPE(VLOOKUP(1,$Z$12:Z1059,1,0))=16,Первоначальный[[#This Row],[Досрочное погашение (да/"")]]=""),0,
AND(S1058=0,Первоначальный[[#This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платеж]]+Y1058-SUM(Первоначальный[[#This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комиссиям]]),VLOOKUP(LOOKUP(,-1/($Z$12:Z1059=1),$A$12:A1059),График[[Срок конец]:[Возврат основной суммы долга]],3,0)),
AND(S1058=0,Первоначальный[[#This Row],[Дата платежа из графика]]="",Первоначальный[[#This Row],[Досрочное погашение (да/"")]]&lt;&gt;"Да"),0,
AND(S1058=0,Первоначальный[[#This Row],[Досрочное погашение (да/"")]]=""),MIN(Первоначальный[[#This Row],[Полученный платеж]]+Y1058-SUM(Первоначальный[[#This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комиссиям]]),VLOOKUP(LOOKUP(,-1/($Z$12:Z1059=1),$A$12:A1059),График[[Срок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платеж]]+Y1058-SUM(Первоначальный[[#This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S1058&gt;0,MIN(Первоначальный[[#This Row],[Полученный платеж]]+Y1058-SUM(Первоначальный[[#This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комиссиям]]),SUM(INDIRECT("M"&amp;(MAX((1=S$12:S1058)*ROW(S$12:S1058),ROW($W$12))&amp;":M"&amp;(ROW()))))-SUM(INDIRECT("W"&amp;(MAX((1=S$12:S1058)*ROW(S$12:S1058),ROW($W$12))&amp;":W"&amp;(ROW()-1)))))
)
)</f>
        <v>0</v>
      </c>
      <c r="X1059" s="55">
        <f t="shared" ca="1" si="196"/>
        <v>0</v>
      </c>
      <c r="Y1059" s="101">
        <f t="shared" ca="1" si="203"/>
        <v>0</v>
      </c>
      <c r="Z1059" s="133" t="str">
        <f>IF(TYPE((VLOOKUP(Первоначальный[[#This Row],[Дата платежа]],График[Срок конец],1,0)))=16,"",1)</f>
        <v/>
      </c>
      <c r="AA1059" s="57"/>
      <c r="AB1059" s="134"/>
      <c r="AC105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5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76121.099999999831</v>
      </c>
      <c r="AE105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4222.3800000000019</v>
      </c>
      <c r="AF105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5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224540.90563114695</v>
      </c>
      <c r="AH1059" s="55"/>
      <c r="AI1059" s="55"/>
      <c r="AJ1059" s="55"/>
      <c r="AK1059" s="101">
        <f t="shared" ca="1" si="204"/>
        <v>454517.72563114681</v>
      </c>
      <c r="AL1059" s="129">
        <f t="array" ref="AL1059">MAX((УслРестрактов[Характеристика]="Дата реструктуризации")*(УслРестрактов[Значение]=Первоначальный!$A1059),0)</f>
        <v>0</v>
      </c>
    </row>
    <row r="1060" spans="1:38" x14ac:dyDescent="0.25">
      <c r="A1060" s="97">
        <f t="shared" si="197"/>
        <v>45191</v>
      </c>
      <c r="B1060" s="100">
        <f t="shared" ca="1" si="198"/>
        <v>149633.34</v>
      </c>
      <c r="C1060" s="55">
        <f t="shared" ca="1" si="194"/>
        <v>76121.099999999831</v>
      </c>
      <c r="D1060" s="55">
        <f t="shared" ca="1" si="194"/>
        <v>4222.3800000000019</v>
      </c>
      <c r="E1060" s="55">
        <f t="shared" ca="1" si="199"/>
        <v>0</v>
      </c>
      <c r="F1060" s="55">
        <f t="shared" ca="1" si="200"/>
        <v>224540.90563114695</v>
      </c>
      <c r="G1060" s="101">
        <f t="shared" ca="1" si="201"/>
        <v>454517.72563114681</v>
      </c>
      <c r="H1060" s="100">
        <f ca="1">ROUND($B1060*VLOOKUP($A1060,$A$1:$B$10,2,1)/(365+IF(MOD(YEAR($A1060),4),0,1)*($A1060-$A1059)),2)-Первоначальный[[#This Row],[Проценты на просроченный платеж по ОД за период]]</f>
        <v>72.069999999999993</v>
      </c>
      <c r="I1060" s="55">
        <f t="shared" ca="1" si="202"/>
        <v>9.51</v>
      </c>
      <c r="J1060" s="55">
        <v>0</v>
      </c>
      <c r="K1060" s="55">
        <f t="shared" ca="1" si="205"/>
        <v>463.45350327868846</v>
      </c>
      <c r="L1060" s="55">
        <v>0</v>
      </c>
      <c r="M1060" s="113">
        <f>SUMIFS(График[Возврат основной суммы долга],График[Дата с учетом нерабочих дней],$A1060)</f>
        <v>0</v>
      </c>
      <c r="N1060" s="56">
        <f>SUMIFS(График[Возврат начисленных %],График[Дата с учетом нерабочих дней],$A1060)</f>
        <v>0</v>
      </c>
      <c r="O1060" s="101">
        <v>0</v>
      </c>
      <c r="P1060" s="100" cm="1">
        <f t="array" aca="1" ref="P1060" ca="1">MAX(IF(AA1059="Да",0,SUM(INDIRECT("M"&amp;(MAX(("Да"=AA$12:AA1059)*ROW(AA$12:AA1059)+1,ROW($P$12))&amp;":M"&amp;(ROW()))))-SUM(INDIRECT("W"&amp;(MAX(("Да"=AA$12:AA1059)*ROW(AA$12:AA1059)+1,ROW($P$12))&amp;":W"&amp;(ROW()))))),0)</f>
        <v>17437.93</v>
      </c>
      <c r="Q1060" s="99">
        <f ca="1">MAX(SUM($N$13:N1060)-SUM($T$13:T1060),0)</f>
        <v>75252.77065573768</v>
      </c>
      <c r="R1060" s="99">
        <f ca="1">Первоначальный[[#This Row],[Просроченный платеж по ОД]]+Первоначальный[[#This Row],[Просроченный платеж по процентам]]</f>
        <v>92690.700655737688</v>
      </c>
      <c r="S1060" s="120">
        <f ca="1">IF(Первоначальный[[#This Row],[Просроченный платеж]]&lt;1,0,S1059+1)</f>
        <v>956</v>
      </c>
      <c r="T1060" s="100" cm="1">
        <f t="array" aca="1" ref="T1060" ca="1">IF(Первоначальный[[#This Row],[Итого остаток на начало периода]]&lt;1,0,
IF(
AND(TYPE(VLOOKUP(1,$Z$12:Z1060,1,0))=16,Первоначальный[[#This Row],[Досрочное погашение (да/"")]]=""),0,
_xlfn.IFS(AND(S1059=0,Первоначальный[[#This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платеж]]&lt;&gt;0),MIN(LOOKUP(,-1/($Z$12:Z1060=1),$C$12:C1060)+LOOKUP(,-1/($Z$12:Z1060=1),$H$12:H1060),Первоначальный[[#This Row],[Полученный платеж]]+Y1059),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платеж]]+Y1059,SUM(Первоначальный[[#This Row],[Остаток процентов на начало периода]],Первоначальный[[#This Row],[Проценты за период]])),
AND(S1059=0,Первоначальный[[#This Row],[Дата платежа из графика]]=""),0,
AND(S1059=0,Первоначальный[[#This Row],[Дата платежа из графика]]=1,MAX((0&lt;&gt;S$12:S1059)*ROW(S$12:S1059),ROW($S$12))&gt;=MAX((1=Z$12:Z1059)*ROW(Z$12:Z1059),ROW($T$12)),TYPE(VLOOKUP("Да",(INDIRECT("AA"&amp;(MAX((1=Z$12:Z1059)*ROW(Z$12:Z1059),ROW($T$12))&amp;":AA"&amp;(ROW()-1)))),1,0))=16),MIN(LOOKUP(,-1/($Z$12:Z1060=1),$C$12:C1060)+LOOKUP(,-1/($Z$12:Z1060=1),$H$12:H1060),Первоначальный[[#This Row],[Полученный платеж]]+Y1059),
AND(S1059=0,TYPE(VLOOKUP("Да",(INDIRECT("AA"&amp;(MAX((1=Z$12:Z1059)*ROW(Z$12:Z1059),ROW($T$12))&amp;":AA"&amp;(ROW()-1)))),1,0))&lt;&gt;16),MIN(LOOKUP(,-1/($Z$12:Z1060=1),$C$12:C1060)+LOOKUP(,-1/($Z$12:Z1060=1),$H$12:H1060)-IF(AA1059="Да",0,SUM(INDIRECT("T"&amp;(MAX(("Да"=AA$12:AA1059)*ROW(AA$12:AA1059)+1,ROW($T$12))&amp;":T"&amp;(ROW()-1))))),Первоначальный[[#This Row],[Полученный платеж]]+Y1059),
AND(S1059=0,MAX((0&lt;&gt;N$12:N1059)*ROW(N$12:N1059),ROW($S$12))&gt;=MAX((1=Z$12:Z1059)*ROW(Z$12:Z1059),ROW($T$12))),MIN(LOOKUP(,-1/($Z$12:Z1060=1),$C$12:C1060)+LOOKUP(,-1/($Z$12:Z1060=1),$H$12:H1060)-IF(N1059&lt;&gt;0,0,SUM(INDIRECT("T"&amp;(MAX((0&lt;&gt;N$12:N1059)*ROW(N$12:N1059)+1,ROW($T$12))&amp;":T"&amp;(ROW()-1))))),Первоначальный[[#This Row],[Полученный платеж]]+Y1059),
AND(S1059=0,Первоначальный[[#This Row],[Дата платежа из графика]]=1),MIN(LOOKUP(,-1/($Z$12:Z1060=1),$C$12:C1060)+LOOKUP(,-1/($Z$12:Z1060=1),$H$12:H1060)-IF(Z1059=1,0,SUM(INDIRECT("T"&amp;(MAX((1=Z$12:Z1059)*ROW(Z$12:Z1059)+1,ROW($T$12))&amp;":T"&amp;(ROW()-1))))),Первоначальный[[#This Row],[Полученный платеж]]+Y1059),
AND(Z1059&gt;0,Первоначальный[[#This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платеж]]+Y1059),
AND(S1059&gt;0,MAX((0&lt;&gt;S$12:S1059)*ROW(S$12:S1059),ROW($S$12))&gt;=MAX((1=Z$12:Z1059)*ROW(Z$12:Z1059),ROW($T$12)),TYPE(VLOOKUP("Да",(INDIRECT("AA"&amp;(MAX((1=Z$12:Z1059)*ROW(Z$12:Z1059),ROW($T$12))&amp;":AA"&amp;(ROW()-1)))),1,0))=16),MIN(LOOKUP(,-1/($Z$12:Z1060=1),$C$12:C1060)+LOOKUP(,-1/($Z$12:Z1060=1),$H$12:H1060)-SUM(INDIRECT("T"&amp;(MAX((1=Z$12:Z1059)*ROW(Z$12:Z1059),ROW($T$12))&amp;":T"&amp;(ROW()-1)))),Первоначальный[[#This Row],[Полученный платеж]]+Y1059),
S1059&gt;0,MIN(LOOKUP(,-1/($Z$12:Z1060=1),$C$12:C1060)+LOOKUP(,-1/($Z$12:Z1060=1),$H$12:H1060)-IF(Z1059=1,0,SUM(INDIRECT("T"&amp;(MAX((1=Z$12:Z1059)*ROW(Z$12:Z1059)+1,ROW($T$12))&amp;":T"&amp;(ROW()-1))))),Первоначальный[[#This Row],[Полученный платеж]]+Y1059)
)
)
)</f>
        <v>0</v>
      </c>
      <c r="U106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платеж]]+Y1059-Первоначальный[[#This Row],[Полученный платёж по процентам]])</f>
        <v>0</v>
      </c>
      <c r="V1060" s="55">
        <f t="shared" ca="1" si="195"/>
        <v>0</v>
      </c>
      <c r="W1060" s="55" cm="1">
        <f t="array" aca="1" ref="W1060" ca="1">IF(Первоначальный[[#This Row],[Итого остаток на начало периода]]&lt;1,0,
_xlfn.IFS(
AND(TYPE(VLOOKUP(1,$Z$12:Z1060,1,0))=16,Первоначальный[[#This Row],[Досрочное погашение (да/"")]]=""),0,
AND(S1059=0,Первоначальный[[#This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платеж]]+Y1059-SUM(Первоначальный[[#This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комиссиям]]),VLOOKUP(LOOKUP(,-1/($Z$12:Z1060=1),$A$12:A1060),График[[Срок конец]:[Возврат основной суммы долга]],3,0)),
AND(S1059=0,Первоначальный[[#This Row],[Дата платежа из графика]]="",Первоначальный[[#This Row],[Досрочное погашение (да/"")]]&lt;&gt;"Да"),0,
AND(S1059=0,Первоначальный[[#This Row],[Досрочное погашение (да/"")]]=""),MIN(Первоначальный[[#This Row],[Полученный платеж]]+Y1059-SUM(Первоначальный[[#This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комиссиям]]),VLOOKUP(LOOKUP(,-1/($Z$12:Z1060=1),$A$12:A1060),График[[Срок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платеж]]+Y1059-SUM(Первоначальный[[#This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S1059&gt;0,MIN(Первоначальный[[#This Row],[Полученный платеж]]+Y1059-SUM(Первоначальный[[#This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комиссиям]]),SUM(INDIRECT("M"&amp;(MAX((1=S$12:S1059)*ROW(S$12:S1059),ROW($W$12))&amp;":M"&amp;(ROW()))))-SUM(INDIRECT("W"&amp;(MAX((1=S$12:S1059)*ROW(S$12:S1059),ROW($W$12))&amp;":W"&amp;(ROW()-1)))))
)
)</f>
        <v>0</v>
      </c>
      <c r="X1060" s="55">
        <f t="shared" ca="1" si="196"/>
        <v>0</v>
      </c>
      <c r="Y1060" s="101">
        <f t="shared" ca="1" si="203"/>
        <v>0</v>
      </c>
      <c r="Z1060" s="133" t="str">
        <f>IF(TYPE((VLOOKUP(Первоначальный[[#This Row],[Дата платежа]],График[Срок конец],1,0)))=16,"",1)</f>
        <v/>
      </c>
      <c r="AA1060" s="57"/>
      <c r="AB1060" s="134"/>
      <c r="AC106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6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76193.169999999838</v>
      </c>
      <c r="AE106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4231.8900000000021</v>
      </c>
      <c r="AF106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6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225004.35913442564</v>
      </c>
      <c r="AH1060" s="55"/>
      <c r="AI1060" s="55"/>
      <c r="AJ1060" s="55"/>
      <c r="AK1060" s="101">
        <f t="shared" ca="1" si="204"/>
        <v>455062.75913442549</v>
      </c>
      <c r="AL1060" s="129">
        <f t="array" ref="AL1060">MAX((УслРестрактов[Характеристика]="Дата реструктуризации")*(УслРестрактов[Значение]=Первоначальный!$A1060),0)</f>
        <v>0</v>
      </c>
    </row>
    <row r="1061" spans="1:38" x14ac:dyDescent="0.25">
      <c r="A1061" s="97">
        <f t="shared" si="197"/>
        <v>45192</v>
      </c>
      <c r="B1061" s="100">
        <f t="shared" ca="1" si="198"/>
        <v>149633.34</v>
      </c>
      <c r="C1061" s="55">
        <f t="shared" ca="1" si="194"/>
        <v>76193.169999999838</v>
      </c>
      <c r="D1061" s="55">
        <f t="shared" ca="1" si="194"/>
        <v>4231.8900000000021</v>
      </c>
      <c r="E1061" s="55">
        <f t="shared" ca="1" si="199"/>
        <v>0</v>
      </c>
      <c r="F1061" s="55">
        <f t="shared" ca="1" si="200"/>
        <v>225004.35913442564</v>
      </c>
      <c r="G1061" s="101">
        <f t="shared" ca="1" si="201"/>
        <v>455062.75913442549</v>
      </c>
      <c r="H1061" s="100">
        <f ca="1">ROUND($B1061*VLOOKUP($A1061,$A$1:$B$10,2,1)/(365+IF(MOD(YEAR($A1061),4),0,1)*($A1061-$A1060)),2)-Первоначальный[[#This Row],[Проценты на просроченный платеж по ОД за период]]</f>
        <v>72.069999999999993</v>
      </c>
      <c r="I1061" s="55">
        <f t="shared" ca="1" si="202"/>
        <v>9.51</v>
      </c>
      <c r="J1061" s="55">
        <v>0</v>
      </c>
      <c r="K1061" s="55">
        <f t="shared" ca="1" si="205"/>
        <v>463.45350327868846</v>
      </c>
      <c r="L1061" s="55">
        <v>0</v>
      </c>
      <c r="M1061" s="113">
        <f>SUMIFS(График[Возврат основной суммы долга],График[Дата с учетом нерабочих дней],$A1061)</f>
        <v>0</v>
      </c>
      <c r="N1061" s="56">
        <f>SUMIFS(График[Возврат начисленных %],График[Дата с учетом нерабочих дней],$A1061)</f>
        <v>0</v>
      </c>
      <c r="O1061" s="101">
        <v>0</v>
      </c>
      <c r="P1061" s="100" cm="1">
        <f t="array" aca="1" ref="P1061" ca="1">MAX(IF(AA1060="Да",0,SUM(INDIRECT("M"&amp;(MAX(("Да"=AA$12:AA1060)*ROW(AA$12:AA1060)+1,ROW($P$12))&amp;":M"&amp;(ROW()))))-SUM(INDIRECT("W"&amp;(MAX(("Да"=AA$12:AA1060)*ROW(AA$12:AA1060)+1,ROW($P$12))&amp;":W"&amp;(ROW()))))),0)</f>
        <v>17437.93</v>
      </c>
      <c r="Q1061" s="99">
        <f ca="1">MAX(SUM($N$13:N1061)-SUM($T$13:T1061),0)</f>
        <v>75252.77065573768</v>
      </c>
      <c r="R1061" s="99">
        <f ca="1">Первоначальный[[#This Row],[Просроченный платеж по ОД]]+Первоначальный[[#This Row],[Просроченный платеж по процентам]]</f>
        <v>92690.700655737688</v>
      </c>
      <c r="S1061" s="120">
        <f ca="1">IF(Первоначальный[[#This Row],[Просроченный платеж]]&lt;1,0,S1060+1)</f>
        <v>957</v>
      </c>
      <c r="T1061" s="100" cm="1">
        <f t="array" aca="1" ref="T1061" ca="1">IF(Первоначальный[[#This Row],[Итого остаток на начало периода]]&lt;1,0,
IF(
AND(TYPE(VLOOKUP(1,$Z$12:Z1061,1,0))=16,Первоначальный[[#This Row],[Досрочное погашение (да/"")]]=""),0,
_xlfn.IFS(AND(S1060=0,Первоначальный[[#This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платеж]]&lt;&gt;0),MIN(LOOKUP(,-1/($Z$12:Z1061=1),$C$12:C1061)+LOOKUP(,-1/($Z$12:Z1061=1),$H$12:H1061),Первоначальный[[#This Row],[Полученный платеж]]+Y1060),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платеж]]+Y1060,SUM(Первоначальный[[#This Row],[Остаток процентов на начало периода]],Первоначальный[[#This Row],[Проценты за период]])),
AND(S1060=0,Первоначальный[[#This Row],[Дата платежа из графика]]=""),0,
AND(S1060=0,Первоначальный[[#This Row],[Дата платежа из графика]]=1,MAX((0&lt;&gt;S$12:S1060)*ROW(S$12:S1060),ROW($S$12))&gt;=MAX((1=Z$12:Z1060)*ROW(Z$12:Z1060),ROW($T$12)),TYPE(VLOOKUP("Да",(INDIRECT("AA"&amp;(MAX((1=Z$12:Z1060)*ROW(Z$12:Z1060),ROW($T$12))&amp;":AA"&amp;(ROW()-1)))),1,0))=16),MIN(LOOKUP(,-1/($Z$12:Z1061=1),$C$12:C1061)+LOOKUP(,-1/($Z$12:Z1061=1),$H$12:H1061),Первоначальный[[#This Row],[Полученный платеж]]+Y1060),
AND(S1060=0,TYPE(VLOOKUP("Да",(INDIRECT("AA"&amp;(MAX((1=Z$12:Z1060)*ROW(Z$12:Z1060),ROW($T$12))&amp;":AA"&amp;(ROW()-1)))),1,0))&lt;&gt;16),MIN(LOOKUP(,-1/($Z$12:Z1061=1),$C$12:C1061)+LOOKUP(,-1/($Z$12:Z1061=1),$H$12:H1061)-IF(AA1060="Да",0,SUM(INDIRECT("T"&amp;(MAX(("Да"=AA$12:AA1060)*ROW(AA$12:AA1060)+1,ROW($T$12))&amp;":T"&amp;(ROW()-1))))),Первоначальный[[#This Row],[Полученный платеж]]+Y1060),
AND(S1060=0,MAX((0&lt;&gt;N$12:N1060)*ROW(N$12:N1060),ROW($S$12))&gt;=MAX((1=Z$12:Z1060)*ROW(Z$12:Z1060),ROW($T$12))),MIN(LOOKUP(,-1/($Z$12:Z1061=1),$C$12:C1061)+LOOKUP(,-1/($Z$12:Z1061=1),$H$12:H1061)-IF(N1060&lt;&gt;0,0,SUM(INDIRECT("T"&amp;(MAX((0&lt;&gt;N$12:N1060)*ROW(N$12:N1060)+1,ROW($T$12))&amp;":T"&amp;(ROW()-1))))),Первоначальный[[#This Row],[Полученный платеж]]+Y1060),
AND(S1060=0,Первоначальный[[#This Row],[Дата платежа из графика]]=1),MIN(LOOKUP(,-1/($Z$12:Z1061=1),$C$12:C1061)+LOOKUP(,-1/($Z$12:Z1061=1),$H$12:H1061)-IF(Z1060=1,0,SUM(INDIRECT("T"&amp;(MAX((1=Z$12:Z1060)*ROW(Z$12:Z1060)+1,ROW($T$12))&amp;":T"&amp;(ROW()-1))))),Первоначальный[[#This Row],[Полученный платеж]]+Y1060),
AND(Z1060&gt;0,Первоначальный[[#This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платеж]]+Y1060),
AND(S1060&gt;0,MAX((0&lt;&gt;S$12:S1060)*ROW(S$12:S1060),ROW($S$12))&gt;=MAX((1=Z$12:Z1060)*ROW(Z$12:Z1060),ROW($T$12)),TYPE(VLOOKUP("Да",(INDIRECT("AA"&amp;(MAX((1=Z$12:Z1060)*ROW(Z$12:Z1060),ROW($T$12))&amp;":AA"&amp;(ROW()-1)))),1,0))=16),MIN(LOOKUP(,-1/($Z$12:Z1061=1),$C$12:C1061)+LOOKUP(,-1/($Z$12:Z1061=1),$H$12:H1061)-SUM(INDIRECT("T"&amp;(MAX((1=Z$12:Z1060)*ROW(Z$12:Z1060),ROW($T$12))&amp;":T"&amp;(ROW()-1)))),Первоначальный[[#This Row],[Полученный платеж]]+Y1060),
S1060&gt;0,MIN(LOOKUP(,-1/($Z$12:Z1061=1),$C$12:C1061)+LOOKUP(,-1/($Z$12:Z1061=1),$H$12:H1061)-IF(Z1060=1,0,SUM(INDIRECT("T"&amp;(MAX((1=Z$12:Z1060)*ROW(Z$12:Z1060)+1,ROW($T$12))&amp;":T"&amp;(ROW()-1))))),Первоначальный[[#This Row],[Полученный платеж]]+Y1060)
)
)
)</f>
        <v>0</v>
      </c>
      <c r="U106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платеж]]+Y1060-Первоначальный[[#This Row],[Полученный платёж по процентам]])</f>
        <v>0</v>
      </c>
      <c r="V1061" s="55">
        <f t="shared" ca="1" si="195"/>
        <v>0</v>
      </c>
      <c r="W1061" s="55" cm="1">
        <f t="array" aca="1" ref="W1061" ca="1">IF(Первоначальный[[#This Row],[Итого остаток на начало периода]]&lt;1,0,
_xlfn.IFS(
AND(TYPE(VLOOKUP(1,$Z$12:Z1061,1,0))=16,Первоначальный[[#This Row],[Досрочное погашение (да/"")]]=""),0,
AND(S1060=0,Первоначальный[[#This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платеж]]+Y1060-SUM(Первоначальный[[#This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комиссиям]]),VLOOKUP(LOOKUP(,-1/($Z$12:Z1061=1),$A$12:A1061),График[[Срок конец]:[Возврат основной суммы долга]],3,0)),
AND(S1060=0,Первоначальный[[#This Row],[Дата платежа из графика]]="",Первоначальный[[#This Row],[Досрочное погашение (да/"")]]&lt;&gt;"Да"),0,
AND(S1060=0,Первоначальный[[#This Row],[Досрочное погашение (да/"")]]=""),MIN(Первоначальный[[#This Row],[Полученный платеж]]+Y1060-SUM(Первоначальный[[#This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комиссиям]]),VLOOKUP(LOOKUP(,-1/($Z$12:Z1061=1),$A$12:A1061),График[[Срок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платеж]]+Y1060-SUM(Первоначальный[[#This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S1060&gt;0,MIN(Первоначальный[[#This Row],[Полученный платеж]]+Y1060-SUM(Первоначальный[[#This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комиссиям]]),SUM(INDIRECT("M"&amp;(MAX((1=S$12:S1060)*ROW(S$12:S1060),ROW($W$12))&amp;":M"&amp;(ROW()))))-SUM(INDIRECT("W"&amp;(MAX((1=S$12:S1060)*ROW(S$12:S1060),ROW($W$12))&amp;":W"&amp;(ROW()-1)))))
)
)</f>
        <v>0</v>
      </c>
      <c r="X1061" s="55">
        <f t="shared" ca="1" si="196"/>
        <v>0</v>
      </c>
      <c r="Y1061" s="101">
        <f t="shared" ca="1" si="203"/>
        <v>0</v>
      </c>
      <c r="Z1061" s="133" t="str">
        <f>IF(TYPE((VLOOKUP(Первоначальный[[#This Row],[Дата платежа]],График[Срок конец],1,0)))=16,"",1)</f>
        <v/>
      </c>
      <c r="AA1061" s="57"/>
      <c r="AB1061" s="134"/>
      <c r="AC106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6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76265.239999999845</v>
      </c>
      <c r="AE106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4241.4000000000024</v>
      </c>
      <c r="AF106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6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225467.81263770434</v>
      </c>
      <c r="AH1061" s="55"/>
      <c r="AI1061" s="55"/>
      <c r="AJ1061" s="55"/>
      <c r="AK1061" s="101">
        <f t="shared" ca="1" si="204"/>
        <v>455607.79263770417</v>
      </c>
      <c r="AL1061" s="129">
        <f t="array" ref="AL1061">MAX((УслРестрактов[Характеристика]="Дата реструктуризации")*(УслРестрактов[Значение]=Первоначальный!$A1061),0)</f>
        <v>0</v>
      </c>
    </row>
    <row r="1062" spans="1:38" x14ac:dyDescent="0.25">
      <c r="A1062" s="97">
        <f t="shared" si="197"/>
        <v>45193</v>
      </c>
      <c r="B1062" s="100">
        <f t="shared" ca="1" si="198"/>
        <v>149633.34</v>
      </c>
      <c r="C1062" s="55">
        <f t="shared" ca="1" si="194"/>
        <v>76265.239999999845</v>
      </c>
      <c r="D1062" s="55">
        <f t="shared" ca="1" si="194"/>
        <v>4241.4000000000024</v>
      </c>
      <c r="E1062" s="55">
        <f t="shared" ca="1" si="199"/>
        <v>0</v>
      </c>
      <c r="F1062" s="55">
        <f t="shared" ca="1" si="200"/>
        <v>225467.81263770434</v>
      </c>
      <c r="G1062" s="101">
        <f t="shared" ca="1" si="201"/>
        <v>455607.79263770417</v>
      </c>
      <c r="H1062" s="100">
        <f ca="1">ROUND($B1062*VLOOKUP($A1062,$A$1:$B$10,2,1)/(365+IF(MOD(YEAR($A1062),4),0,1)*($A1062-$A1061)),2)-Первоначальный[[#This Row],[Проценты на просроченный платеж по ОД за период]]</f>
        <v>72.069999999999993</v>
      </c>
      <c r="I1062" s="55">
        <f t="shared" ca="1" si="202"/>
        <v>9.51</v>
      </c>
      <c r="J1062" s="55">
        <v>0</v>
      </c>
      <c r="K1062" s="55">
        <f t="shared" ca="1" si="205"/>
        <v>463.45350327868846</v>
      </c>
      <c r="L1062" s="55">
        <v>0</v>
      </c>
      <c r="M1062" s="113">
        <f>SUMIFS(График[Возврат основной суммы долга],График[Дата с учетом нерабочих дней],$A1062)</f>
        <v>0</v>
      </c>
      <c r="N1062" s="56">
        <f>SUMIFS(График[Возврат начисленных %],График[Дата с учетом нерабочих дней],$A1062)</f>
        <v>0</v>
      </c>
      <c r="O1062" s="101">
        <v>0</v>
      </c>
      <c r="P1062" s="100" cm="1">
        <f t="array" aca="1" ref="P1062" ca="1">MAX(IF(AA1061="Да",0,SUM(INDIRECT("M"&amp;(MAX(("Да"=AA$12:AA1061)*ROW(AA$12:AA1061)+1,ROW($P$12))&amp;":M"&amp;(ROW()))))-SUM(INDIRECT("W"&amp;(MAX(("Да"=AA$12:AA1061)*ROW(AA$12:AA1061)+1,ROW($P$12))&amp;":W"&amp;(ROW()))))),0)</f>
        <v>17437.93</v>
      </c>
      <c r="Q1062" s="99">
        <f ca="1">MAX(SUM($N$13:N1062)-SUM($T$13:T1062),0)</f>
        <v>75252.77065573768</v>
      </c>
      <c r="R1062" s="99">
        <f ca="1">Первоначальный[[#This Row],[Просроченный платеж по ОД]]+Первоначальный[[#This Row],[Просроченный платеж по процентам]]</f>
        <v>92690.700655737688</v>
      </c>
      <c r="S1062" s="120">
        <f ca="1">IF(Первоначальный[[#This Row],[Просроченный платеж]]&lt;1,0,S1061+1)</f>
        <v>958</v>
      </c>
      <c r="T1062" s="100" cm="1">
        <f t="array" aca="1" ref="T1062" ca="1">IF(Первоначальный[[#This Row],[Итого остаток на начало периода]]&lt;1,0,
IF(
AND(TYPE(VLOOKUP(1,$Z$12:Z1062,1,0))=16,Первоначальный[[#This Row],[Досрочное погашение (да/"")]]=""),0,
_xlfn.IFS(AND(S1061=0,Первоначальный[[#This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платеж]]&lt;&gt;0),MIN(LOOKUP(,-1/($Z$12:Z1062=1),$C$12:C1062)+LOOKUP(,-1/($Z$12:Z1062=1),$H$12:H1062),Первоначальный[[#This Row],[Полученный платеж]]+Y1061),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платеж]]+Y1061,SUM(Первоначальный[[#This Row],[Остаток процентов на начало периода]],Первоначальный[[#This Row],[Проценты за период]])),
AND(S1061=0,Первоначальный[[#This Row],[Дата платежа из графика]]=""),0,
AND(S1061=0,Первоначальный[[#This Row],[Дата платежа из графика]]=1,MAX((0&lt;&gt;S$12:S1061)*ROW(S$12:S1061),ROW($S$12))&gt;=MAX((1=Z$12:Z1061)*ROW(Z$12:Z1061),ROW($T$12)),TYPE(VLOOKUP("Да",(INDIRECT("AA"&amp;(MAX((1=Z$12:Z1061)*ROW(Z$12:Z1061),ROW($T$12))&amp;":AA"&amp;(ROW()-1)))),1,0))=16),MIN(LOOKUP(,-1/($Z$12:Z1062=1),$C$12:C1062)+LOOKUP(,-1/($Z$12:Z1062=1),$H$12:H1062),Первоначальный[[#This Row],[Полученный платеж]]+Y1061),
AND(S1061=0,TYPE(VLOOKUP("Да",(INDIRECT("AA"&amp;(MAX((1=Z$12:Z1061)*ROW(Z$12:Z1061),ROW($T$12))&amp;":AA"&amp;(ROW()-1)))),1,0))&lt;&gt;16),MIN(LOOKUP(,-1/($Z$12:Z1062=1),$C$12:C1062)+LOOKUP(,-1/($Z$12:Z1062=1),$H$12:H1062)-IF(AA1061="Да",0,SUM(INDIRECT("T"&amp;(MAX(("Да"=AA$12:AA1061)*ROW(AA$12:AA1061)+1,ROW($T$12))&amp;":T"&amp;(ROW()-1))))),Первоначальный[[#This Row],[Полученный платеж]]+Y1061),
AND(S1061=0,MAX((0&lt;&gt;N$12:N1061)*ROW(N$12:N1061),ROW($S$12))&gt;=MAX((1=Z$12:Z1061)*ROW(Z$12:Z1061),ROW($T$12))),MIN(LOOKUP(,-1/($Z$12:Z1062=1),$C$12:C1062)+LOOKUP(,-1/($Z$12:Z1062=1),$H$12:H1062)-IF(N1061&lt;&gt;0,0,SUM(INDIRECT("T"&amp;(MAX((0&lt;&gt;N$12:N1061)*ROW(N$12:N1061)+1,ROW($T$12))&amp;":T"&amp;(ROW()-1))))),Первоначальный[[#This Row],[Полученный платеж]]+Y1061),
AND(S1061=0,Первоначальный[[#This Row],[Дата платежа из графика]]=1),MIN(LOOKUP(,-1/($Z$12:Z1062=1),$C$12:C1062)+LOOKUP(,-1/($Z$12:Z1062=1),$H$12:H1062)-IF(Z1061=1,0,SUM(INDIRECT("T"&amp;(MAX((1=Z$12:Z1061)*ROW(Z$12:Z1061)+1,ROW($T$12))&amp;":T"&amp;(ROW()-1))))),Первоначальный[[#This Row],[Полученный платеж]]+Y1061),
AND(Z1061&gt;0,Первоначальный[[#This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платеж]]+Y1061),
AND(S1061&gt;0,MAX((0&lt;&gt;S$12:S1061)*ROW(S$12:S1061),ROW($S$12))&gt;=MAX((1=Z$12:Z1061)*ROW(Z$12:Z1061),ROW($T$12)),TYPE(VLOOKUP("Да",(INDIRECT("AA"&amp;(MAX((1=Z$12:Z1061)*ROW(Z$12:Z1061),ROW($T$12))&amp;":AA"&amp;(ROW()-1)))),1,0))=16),MIN(LOOKUP(,-1/($Z$12:Z1062=1),$C$12:C1062)+LOOKUP(,-1/($Z$12:Z1062=1),$H$12:H1062)-SUM(INDIRECT("T"&amp;(MAX((1=Z$12:Z1061)*ROW(Z$12:Z1061),ROW($T$12))&amp;":T"&amp;(ROW()-1)))),Первоначальный[[#This Row],[Полученный платеж]]+Y1061),
S1061&gt;0,MIN(LOOKUP(,-1/($Z$12:Z1062=1),$C$12:C1062)+LOOKUP(,-1/($Z$12:Z1062=1),$H$12:H1062)-IF(Z1061=1,0,SUM(INDIRECT("T"&amp;(MAX((1=Z$12:Z1061)*ROW(Z$12:Z1061)+1,ROW($T$12))&amp;":T"&amp;(ROW()-1))))),Первоначальный[[#This Row],[Полученный платеж]]+Y1061)
)
)
)</f>
        <v>0</v>
      </c>
      <c r="U106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платеж]]+Y1061-Первоначальный[[#This Row],[Полученный платёж по процентам]])</f>
        <v>0</v>
      </c>
      <c r="V1062" s="55">
        <f t="shared" ca="1" si="195"/>
        <v>0</v>
      </c>
      <c r="W1062" s="55" cm="1">
        <f t="array" aca="1" ref="W1062" ca="1">IF(Первоначальный[[#This Row],[Итого остаток на начало периода]]&lt;1,0,
_xlfn.IFS(
AND(TYPE(VLOOKUP(1,$Z$12:Z1062,1,0))=16,Первоначальный[[#This Row],[Досрочное погашение (да/"")]]=""),0,
AND(S1061=0,Первоначальный[[#This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платеж]]+Y1061-SUM(Первоначальный[[#This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комиссиям]]),VLOOKUP(LOOKUP(,-1/($Z$12:Z1062=1),$A$12:A1062),График[[Срок конец]:[Возврат основной суммы долга]],3,0)),
AND(S1061=0,Первоначальный[[#This Row],[Дата платежа из графика]]="",Первоначальный[[#This Row],[Досрочное погашение (да/"")]]&lt;&gt;"Да"),0,
AND(S1061=0,Первоначальный[[#This Row],[Досрочное погашение (да/"")]]=""),MIN(Первоначальный[[#This Row],[Полученный платеж]]+Y1061-SUM(Первоначальный[[#This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комиссиям]]),VLOOKUP(LOOKUP(,-1/($Z$12:Z1062=1),$A$12:A1062),График[[Срок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платеж]]+Y1061-SUM(Первоначальный[[#This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S1061&gt;0,MIN(Первоначальный[[#This Row],[Полученный платеж]]+Y1061-SUM(Первоначальный[[#This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комиссиям]]),SUM(INDIRECT("M"&amp;(MAX((1=S$12:S1061)*ROW(S$12:S1061),ROW($W$12))&amp;":M"&amp;(ROW()))))-SUM(INDIRECT("W"&amp;(MAX((1=S$12:S1061)*ROW(S$12:S1061),ROW($W$12))&amp;":W"&amp;(ROW()-1)))))
)
)</f>
        <v>0</v>
      </c>
      <c r="X1062" s="55">
        <f t="shared" ca="1" si="196"/>
        <v>0</v>
      </c>
      <c r="Y1062" s="101">
        <f t="shared" ca="1" si="203"/>
        <v>0</v>
      </c>
      <c r="Z1062" s="133" t="str">
        <f>IF(TYPE((VLOOKUP(Первоначальный[[#This Row],[Дата платежа]],График[Срок конец],1,0)))=16,"",1)</f>
        <v/>
      </c>
      <c r="AA1062" s="57"/>
      <c r="AB1062" s="134"/>
      <c r="AC106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6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76337.309999999852</v>
      </c>
      <c r="AE106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4250.9100000000026</v>
      </c>
      <c r="AF106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6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225931.26614098303</v>
      </c>
      <c r="AH1062" s="55"/>
      <c r="AI1062" s="55"/>
      <c r="AJ1062" s="55"/>
      <c r="AK1062" s="101">
        <f t="shared" ca="1" si="204"/>
        <v>456152.82614098291</v>
      </c>
      <c r="AL1062" s="129">
        <f t="array" ref="AL1062">MAX((УслРестрактов[Характеристика]="Дата реструктуризации")*(УслРестрактов[Значение]=Первоначальный!$A1062),0)</f>
        <v>0</v>
      </c>
    </row>
    <row r="1063" spans="1:38" x14ac:dyDescent="0.25">
      <c r="A1063" s="97">
        <f t="shared" si="197"/>
        <v>45194</v>
      </c>
      <c r="B1063" s="100">
        <f t="shared" ca="1" si="198"/>
        <v>149633.34</v>
      </c>
      <c r="C1063" s="55">
        <f t="shared" ca="1" si="194"/>
        <v>76337.309999999852</v>
      </c>
      <c r="D1063" s="55">
        <f t="shared" ca="1" si="194"/>
        <v>4250.9100000000026</v>
      </c>
      <c r="E1063" s="55">
        <f t="shared" ca="1" si="199"/>
        <v>0</v>
      </c>
      <c r="F1063" s="55">
        <f t="shared" ca="1" si="200"/>
        <v>225931.26614098303</v>
      </c>
      <c r="G1063" s="101">
        <f t="shared" ca="1" si="201"/>
        <v>456152.82614098291</v>
      </c>
      <c r="H1063" s="100">
        <f ca="1">ROUND($B1063*VLOOKUP($A1063,$A$1:$B$10,2,1)/(365+IF(MOD(YEAR($A1063),4),0,1)*($A1063-$A1062)),2)-Первоначальный[[#This Row],[Проценты на просроченный платеж по ОД за период]]</f>
        <v>72.069999999999993</v>
      </c>
      <c r="I1063" s="55">
        <f t="shared" ca="1" si="202"/>
        <v>9.51</v>
      </c>
      <c r="J1063" s="55">
        <v>0</v>
      </c>
      <c r="K1063" s="55">
        <f t="shared" ca="1" si="205"/>
        <v>463.45350327868846</v>
      </c>
      <c r="L1063" s="55">
        <v>0</v>
      </c>
      <c r="M1063" s="113">
        <f>SUMIFS(График[Возврат основной суммы долга],График[Дата с учетом нерабочих дней],$A1063)</f>
        <v>0</v>
      </c>
      <c r="N1063" s="56">
        <f>SUMIFS(График[Возврат начисленных %],График[Дата с учетом нерабочих дней],$A1063)</f>
        <v>0</v>
      </c>
      <c r="O1063" s="101">
        <v>0</v>
      </c>
      <c r="P1063" s="100" cm="1">
        <f t="array" aca="1" ref="P1063" ca="1">MAX(IF(AA1062="Да",0,SUM(INDIRECT("M"&amp;(MAX(("Да"=AA$12:AA1062)*ROW(AA$12:AA1062)+1,ROW($P$12))&amp;":M"&amp;(ROW()))))-SUM(INDIRECT("W"&amp;(MAX(("Да"=AA$12:AA1062)*ROW(AA$12:AA1062)+1,ROW($P$12))&amp;":W"&amp;(ROW()))))),0)</f>
        <v>17437.93</v>
      </c>
      <c r="Q1063" s="99">
        <f ca="1">MAX(SUM($N$13:N1063)-SUM($T$13:T1063),0)</f>
        <v>75252.77065573768</v>
      </c>
      <c r="R1063" s="99">
        <f ca="1">Первоначальный[[#This Row],[Просроченный платеж по ОД]]+Первоначальный[[#This Row],[Просроченный платеж по процентам]]</f>
        <v>92690.700655737688</v>
      </c>
      <c r="S1063" s="120">
        <f ca="1">IF(Первоначальный[[#This Row],[Просроченный платеж]]&lt;1,0,S1062+1)</f>
        <v>959</v>
      </c>
      <c r="T1063" s="100" cm="1">
        <f t="array" aca="1" ref="T1063" ca="1">IF(Первоначальный[[#This Row],[Итого остаток на начало периода]]&lt;1,0,
IF(
AND(TYPE(VLOOKUP(1,$Z$12:Z1063,1,0))=16,Первоначальный[[#This Row],[Досрочное погашение (да/"")]]=""),0,
_xlfn.IFS(AND(S1062=0,Первоначальный[[#This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платеж]]&lt;&gt;0),MIN(LOOKUP(,-1/($Z$12:Z1063=1),$C$12:C1063)+LOOKUP(,-1/($Z$12:Z1063=1),$H$12:H1063),Первоначальный[[#This Row],[Полученный платеж]]+Y1062),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платеж]]+Y1062,SUM(Первоначальный[[#This Row],[Остаток процентов на начало периода]],Первоначальный[[#This Row],[Проценты за период]])),
AND(S1062=0,Первоначальный[[#This Row],[Дата платежа из графика]]=""),0,
AND(S1062=0,Первоначальный[[#This Row],[Дата платежа из графика]]=1,MAX((0&lt;&gt;S$12:S1062)*ROW(S$12:S1062),ROW($S$12))&gt;=MAX((1=Z$12:Z1062)*ROW(Z$12:Z1062),ROW($T$12)),TYPE(VLOOKUP("Да",(INDIRECT("AA"&amp;(MAX((1=Z$12:Z1062)*ROW(Z$12:Z1062),ROW($T$12))&amp;":AA"&amp;(ROW()-1)))),1,0))=16),MIN(LOOKUP(,-1/($Z$12:Z1063=1),$C$12:C1063)+LOOKUP(,-1/($Z$12:Z1063=1),$H$12:H1063),Первоначальный[[#This Row],[Полученный платеж]]+Y1062),
AND(S1062=0,TYPE(VLOOKUP("Да",(INDIRECT("AA"&amp;(MAX((1=Z$12:Z1062)*ROW(Z$12:Z1062),ROW($T$12))&amp;":AA"&amp;(ROW()-1)))),1,0))&lt;&gt;16),MIN(LOOKUP(,-1/($Z$12:Z1063=1),$C$12:C1063)+LOOKUP(,-1/($Z$12:Z1063=1),$H$12:H1063)-IF(AA1062="Да",0,SUM(INDIRECT("T"&amp;(MAX(("Да"=AA$12:AA1062)*ROW(AA$12:AA1062)+1,ROW($T$12))&amp;":T"&amp;(ROW()-1))))),Первоначальный[[#This Row],[Полученный платеж]]+Y1062),
AND(S1062=0,MAX((0&lt;&gt;N$12:N1062)*ROW(N$12:N1062),ROW($S$12))&gt;=MAX((1=Z$12:Z1062)*ROW(Z$12:Z1062),ROW($T$12))),MIN(LOOKUP(,-1/($Z$12:Z1063=1),$C$12:C1063)+LOOKUP(,-1/($Z$12:Z1063=1),$H$12:H1063)-IF(N1062&lt;&gt;0,0,SUM(INDIRECT("T"&amp;(MAX((0&lt;&gt;N$12:N1062)*ROW(N$12:N1062)+1,ROW($T$12))&amp;":T"&amp;(ROW()-1))))),Первоначальный[[#This Row],[Полученный платеж]]+Y1062),
AND(S1062=0,Первоначальный[[#This Row],[Дата платежа из графика]]=1),MIN(LOOKUP(,-1/($Z$12:Z1063=1),$C$12:C1063)+LOOKUP(,-1/($Z$12:Z1063=1),$H$12:H1063)-IF(Z1062=1,0,SUM(INDIRECT("T"&amp;(MAX((1=Z$12:Z1062)*ROW(Z$12:Z1062)+1,ROW($T$12))&amp;":T"&amp;(ROW()-1))))),Первоначальный[[#This Row],[Полученный платеж]]+Y1062),
AND(Z1062&gt;0,Первоначальный[[#This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платеж]]+Y1062),
AND(S1062&gt;0,MAX((0&lt;&gt;S$12:S1062)*ROW(S$12:S1062),ROW($S$12))&gt;=MAX((1=Z$12:Z1062)*ROW(Z$12:Z1062),ROW($T$12)),TYPE(VLOOKUP("Да",(INDIRECT("AA"&amp;(MAX((1=Z$12:Z1062)*ROW(Z$12:Z1062),ROW($T$12))&amp;":AA"&amp;(ROW()-1)))),1,0))=16),MIN(LOOKUP(,-1/($Z$12:Z1063=1),$C$12:C1063)+LOOKUP(,-1/($Z$12:Z1063=1),$H$12:H1063)-SUM(INDIRECT("T"&amp;(MAX((1=Z$12:Z1062)*ROW(Z$12:Z1062),ROW($T$12))&amp;":T"&amp;(ROW()-1)))),Первоначальный[[#This Row],[Полученный платеж]]+Y1062),
S1062&gt;0,MIN(LOOKUP(,-1/($Z$12:Z1063=1),$C$12:C1063)+LOOKUP(,-1/($Z$12:Z1063=1),$H$12:H1063)-IF(Z1062=1,0,SUM(INDIRECT("T"&amp;(MAX((1=Z$12:Z1062)*ROW(Z$12:Z1062)+1,ROW($T$12))&amp;":T"&amp;(ROW()-1))))),Первоначальный[[#This Row],[Полученный платеж]]+Y1062)
)
)
)</f>
        <v>0</v>
      </c>
      <c r="U106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платеж]]+Y1062-Первоначальный[[#This Row],[Полученный платёж по процентам]])</f>
        <v>0</v>
      </c>
      <c r="V1063" s="55">
        <f t="shared" ca="1" si="195"/>
        <v>0</v>
      </c>
      <c r="W1063" s="55" cm="1">
        <f t="array" aca="1" ref="W1063" ca="1">IF(Первоначальный[[#This Row],[Итого остаток на начало периода]]&lt;1,0,
_xlfn.IFS(
AND(TYPE(VLOOKUP(1,$Z$12:Z1063,1,0))=16,Первоначальный[[#This Row],[Досрочное погашение (да/"")]]=""),0,
AND(S1062=0,Первоначальный[[#This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платеж]]+Y1062-SUM(Первоначальный[[#This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комиссиям]]),VLOOKUP(LOOKUP(,-1/($Z$12:Z1063=1),$A$12:A1063),График[[Срок конец]:[Возврат основной суммы долга]],3,0)),
AND(S1062=0,Первоначальный[[#This Row],[Дата платежа из графика]]="",Первоначальный[[#This Row],[Досрочное погашение (да/"")]]&lt;&gt;"Да"),0,
AND(S1062=0,Первоначальный[[#This Row],[Досрочное погашение (да/"")]]=""),MIN(Первоначальный[[#This Row],[Полученный платеж]]+Y1062-SUM(Первоначальный[[#This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комиссиям]]),VLOOKUP(LOOKUP(,-1/($Z$12:Z1063=1),$A$12:A1063),График[[Срок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платеж]]+Y1062-SUM(Первоначальный[[#This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S1062&gt;0,MIN(Первоначальный[[#This Row],[Полученный платеж]]+Y1062-SUM(Первоначальный[[#This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комиссиям]]),SUM(INDIRECT("M"&amp;(MAX((1=S$12:S1062)*ROW(S$12:S1062),ROW($W$12))&amp;":M"&amp;(ROW()))))-SUM(INDIRECT("W"&amp;(MAX((1=S$12:S1062)*ROW(S$12:S1062),ROW($W$12))&amp;":W"&amp;(ROW()-1)))))
)
)</f>
        <v>0</v>
      </c>
      <c r="X1063" s="55">
        <f t="shared" ca="1" si="196"/>
        <v>0</v>
      </c>
      <c r="Y1063" s="101">
        <f t="shared" ca="1" si="203"/>
        <v>0</v>
      </c>
      <c r="Z1063" s="133" t="str">
        <f>IF(TYPE((VLOOKUP(Первоначальный[[#This Row],[Дата платежа]],График[Срок конец],1,0)))=16,"",1)</f>
        <v/>
      </c>
      <c r="AA1063" s="57"/>
      <c r="AB1063" s="134"/>
      <c r="AC106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6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76409.379999999859</v>
      </c>
      <c r="AE106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4260.4200000000028</v>
      </c>
      <c r="AF106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6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226394.71964426173</v>
      </c>
      <c r="AH1063" s="55"/>
      <c r="AI1063" s="55"/>
      <c r="AJ1063" s="55"/>
      <c r="AK1063" s="101">
        <f t="shared" ca="1" si="204"/>
        <v>456697.8596442616</v>
      </c>
      <c r="AL1063" s="129">
        <f t="array" ref="AL1063">MAX((УслРестрактов[Характеристика]="Дата реструктуризации")*(УслРестрактов[Значение]=Первоначальный!$A1063),0)</f>
        <v>0</v>
      </c>
    </row>
    <row r="1064" spans="1:38" x14ac:dyDescent="0.25">
      <c r="A1064" s="97">
        <f t="shared" si="197"/>
        <v>45195</v>
      </c>
      <c r="B1064" s="100">
        <f t="shared" ca="1" si="198"/>
        <v>149633.34</v>
      </c>
      <c r="C1064" s="55">
        <f t="shared" ca="1" si="194"/>
        <v>76409.379999999859</v>
      </c>
      <c r="D1064" s="55">
        <f t="shared" ca="1" si="194"/>
        <v>4260.4200000000028</v>
      </c>
      <c r="E1064" s="55">
        <f t="shared" ca="1" si="199"/>
        <v>0</v>
      </c>
      <c r="F1064" s="55">
        <f t="shared" ca="1" si="200"/>
        <v>226394.71964426173</v>
      </c>
      <c r="G1064" s="101">
        <f t="shared" ca="1" si="201"/>
        <v>456697.8596442616</v>
      </c>
      <c r="H1064" s="100">
        <f ca="1">ROUND($B1064*VLOOKUP($A1064,$A$1:$B$10,2,1)/(365+IF(MOD(YEAR($A1064),4),0,1)*($A1064-$A1063)),2)-Первоначальный[[#This Row],[Проценты на просроченный платеж по ОД за период]]</f>
        <v>72.069999999999993</v>
      </c>
      <c r="I1064" s="55">
        <f t="shared" ca="1" si="202"/>
        <v>9.51</v>
      </c>
      <c r="J1064" s="55">
        <v>0</v>
      </c>
      <c r="K1064" s="55">
        <f t="shared" ca="1" si="205"/>
        <v>463.45350327868846</v>
      </c>
      <c r="L1064" s="55">
        <v>0</v>
      </c>
      <c r="M1064" s="113">
        <f>SUMIFS(График[Возврат основной суммы долга],График[Дата с учетом нерабочих дней],$A1064)</f>
        <v>0</v>
      </c>
      <c r="N1064" s="56">
        <f>SUMIFS(График[Возврат начисленных %],График[Дата с учетом нерабочих дней],$A1064)</f>
        <v>0</v>
      </c>
      <c r="O1064" s="101">
        <v>0</v>
      </c>
      <c r="P1064" s="100" cm="1">
        <f t="array" aca="1" ref="P1064" ca="1">MAX(IF(AA1063="Да",0,SUM(INDIRECT("M"&amp;(MAX(("Да"=AA$12:AA1063)*ROW(AA$12:AA1063)+1,ROW($P$12))&amp;":M"&amp;(ROW()))))-SUM(INDIRECT("W"&amp;(MAX(("Да"=AA$12:AA1063)*ROW(AA$12:AA1063)+1,ROW($P$12))&amp;":W"&amp;(ROW()))))),0)</f>
        <v>17437.93</v>
      </c>
      <c r="Q1064" s="99">
        <f ca="1">MAX(SUM($N$13:N1064)-SUM($T$13:T1064),0)</f>
        <v>75252.77065573768</v>
      </c>
      <c r="R1064" s="99">
        <f ca="1">Первоначальный[[#This Row],[Просроченный платеж по ОД]]+Первоначальный[[#This Row],[Просроченный платеж по процентам]]</f>
        <v>92690.700655737688</v>
      </c>
      <c r="S1064" s="120">
        <f ca="1">IF(Первоначальный[[#This Row],[Просроченный платеж]]&lt;1,0,S1063+1)</f>
        <v>960</v>
      </c>
      <c r="T1064" s="100" cm="1">
        <f t="array" aca="1" ref="T1064" ca="1">IF(Первоначальный[[#This Row],[Итого остаток на начало периода]]&lt;1,0,
IF(
AND(TYPE(VLOOKUP(1,$Z$12:Z1064,1,0))=16,Первоначальный[[#This Row],[Досрочное погашение (да/"")]]=""),0,
_xlfn.IFS(AND(S1063=0,Первоначальный[[#This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платеж]]&lt;&gt;0),MIN(LOOKUP(,-1/($Z$12:Z1064=1),$C$12:C1064)+LOOKUP(,-1/($Z$12:Z1064=1),$H$12:H1064),Первоначальный[[#This Row],[Полученный платеж]]+Y1063),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платеж]]+Y1063,SUM(Первоначальный[[#This Row],[Остаток процентов на начало периода]],Первоначальный[[#This Row],[Проценты за период]])),
AND(S1063=0,Первоначальный[[#This Row],[Дата платежа из графика]]=""),0,
AND(S1063=0,Первоначальный[[#This Row],[Дата платежа из графика]]=1,MAX((0&lt;&gt;S$12:S1063)*ROW(S$12:S1063),ROW($S$12))&gt;=MAX((1=Z$12:Z1063)*ROW(Z$12:Z1063),ROW($T$12)),TYPE(VLOOKUP("Да",(INDIRECT("AA"&amp;(MAX((1=Z$12:Z1063)*ROW(Z$12:Z1063),ROW($T$12))&amp;":AA"&amp;(ROW()-1)))),1,0))=16),MIN(LOOKUP(,-1/($Z$12:Z1064=1),$C$12:C1064)+LOOKUP(,-1/($Z$12:Z1064=1),$H$12:H1064),Первоначальный[[#This Row],[Полученный платеж]]+Y1063),
AND(S1063=0,TYPE(VLOOKUP("Да",(INDIRECT("AA"&amp;(MAX((1=Z$12:Z1063)*ROW(Z$12:Z1063),ROW($T$12))&amp;":AA"&amp;(ROW()-1)))),1,0))&lt;&gt;16),MIN(LOOKUP(,-1/($Z$12:Z1064=1),$C$12:C1064)+LOOKUP(,-1/($Z$12:Z1064=1),$H$12:H1064)-IF(AA1063="Да",0,SUM(INDIRECT("T"&amp;(MAX(("Да"=AA$12:AA1063)*ROW(AA$12:AA1063)+1,ROW($T$12))&amp;":T"&amp;(ROW()-1))))),Первоначальный[[#This Row],[Полученный платеж]]+Y1063),
AND(S1063=0,MAX((0&lt;&gt;N$12:N1063)*ROW(N$12:N1063),ROW($S$12))&gt;=MAX((1=Z$12:Z1063)*ROW(Z$12:Z1063),ROW($T$12))),MIN(LOOKUP(,-1/($Z$12:Z1064=1),$C$12:C1064)+LOOKUP(,-1/($Z$12:Z1064=1),$H$12:H1064)-IF(N1063&lt;&gt;0,0,SUM(INDIRECT("T"&amp;(MAX((0&lt;&gt;N$12:N1063)*ROW(N$12:N1063)+1,ROW($T$12))&amp;":T"&amp;(ROW()-1))))),Первоначальный[[#This Row],[Полученный платеж]]+Y1063),
AND(S1063=0,Первоначальный[[#This Row],[Дата платежа из графика]]=1),MIN(LOOKUP(,-1/($Z$12:Z1064=1),$C$12:C1064)+LOOKUP(,-1/($Z$12:Z1064=1),$H$12:H1064)-IF(Z1063=1,0,SUM(INDIRECT("T"&amp;(MAX((1=Z$12:Z1063)*ROW(Z$12:Z1063)+1,ROW($T$12))&amp;":T"&amp;(ROW()-1))))),Первоначальный[[#This Row],[Полученный платеж]]+Y1063),
AND(Z1063&gt;0,Первоначальный[[#This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платеж]]+Y1063),
AND(S1063&gt;0,MAX((0&lt;&gt;S$12:S1063)*ROW(S$12:S1063),ROW($S$12))&gt;=MAX((1=Z$12:Z1063)*ROW(Z$12:Z1063),ROW($T$12)),TYPE(VLOOKUP("Да",(INDIRECT("AA"&amp;(MAX((1=Z$12:Z1063)*ROW(Z$12:Z1063),ROW($T$12))&amp;":AA"&amp;(ROW()-1)))),1,0))=16),MIN(LOOKUP(,-1/($Z$12:Z1064=1),$C$12:C1064)+LOOKUP(,-1/($Z$12:Z1064=1),$H$12:H1064)-SUM(INDIRECT("T"&amp;(MAX((1=Z$12:Z1063)*ROW(Z$12:Z1063),ROW($T$12))&amp;":T"&amp;(ROW()-1)))),Первоначальный[[#This Row],[Полученный платеж]]+Y1063),
S1063&gt;0,MIN(LOOKUP(,-1/($Z$12:Z1064=1),$C$12:C1064)+LOOKUP(,-1/($Z$12:Z1064=1),$H$12:H1064)-IF(Z1063=1,0,SUM(INDIRECT("T"&amp;(MAX((1=Z$12:Z1063)*ROW(Z$12:Z1063)+1,ROW($T$12))&amp;":T"&amp;(ROW()-1))))),Первоначальный[[#This Row],[Полученный платеж]]+Y1063)
)
)
)</f>
        <v>0</v>
      </c>
      <c r="U106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платеж]]+Y1063-Первоначальный[[#This Row],[Полученный платёж по процентам]])</f>
        <v>0</v>
      </c>
      <c r="V1064" s="55">
        <f t="shared" ca="1" si="195"/>
        <v>0</v>
      </c>
      <c r="W1064" s="55" cm="1">
        <f t="array" aca="1" ref="W1064" ca="1">IF(Первоначальный[[#This Row],[Итого остаток на начало периода]]&lt;1,0,
_xlfn.IFS(
AND(TYPE(VLOOKUP(1,$Z$12:Z1064,1,0))=16,Первоначальный[[#This Row],[Досрочное погашение (да/"")]]=""),0,
AND(S1063=0,Первоначальный[[#This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платеж]]+Y1063-SUM(Первоначальный[[#This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комиссиям]]),VLOOKUP(LOOKUP(,-1/($Z$12:Z1064=1),$A$12:A1064),График[[Срок конец]:[Возврат основной суммы долга]],3,0)),
AND(S1063=0,Первоначальный[[#This Row],[Дата платежа из графика]]="",Первоначальный[[#This Row],[Досрочное погашение (да/"")]]&lt;&gt;"Да"),0,
AND(S1063=0,Первоначальный[[#This Row],[Досрочное погашение (да/"")]]=""),MIN(Первоначальный[[#This Row],[Полученный платеж]]+Y1063-SUM(Первоначальный[[#This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комиссиям]]),VLOOKUP(LOOKUP(,-1/($Z$12:Z1064=1),$A$12:A1064),График[[Срок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платеж]]+Y1063-SUM(Первоначальный[[#This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S1063&gt;0,MIN(Первоначальный[[#This Row],[Полученный платеж]]+Y1063-SUM(Первоначальный[[#This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комиссиям]]),SUM(INDIRECT("M"&amp;(MAX((1=S$12:S1063)*ROW(S$12:S1063),ROW($W$12))&amp;":M"&amp;(ROW()))))-SUM(INDIRECT("W"&amp;(MAX((1=S$12:S1063)*ROW(S$12:S1063),ROW($W$12))&amp;":W"&amp;(ROW()-1)))))
)
)</f>
        <v>0</v>
      </c>
      <c r="X1064" s="55">
        <f t="shared" ca="1" si="196"/>
        <v>0</v>
      </c>
      <c r="Y1064" s="101">
        <f t="shared" ca="1" si="203"/>
        <v>0</v>
      </c>
      <c r="Z1064" s="133" t="str">
        <f>IF(TYPE((VLOOKUP(Первоначальный[[#This Row],[Дата платежа]],График[Срок конец],1,0)))=16,"",1)</f>
        <v/>
      </c>
      <c r="AA1064" s="57"/>
      <c r="AB1064" s="134"/>
      <c r="AC106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6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76481.449999999866</v>
      </c>
      <c r="AE106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4269.930000000003</v>
      </c>
      <c r="AF106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6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226858.17314754042</v>
      </c>
      <c r="AH1064" s="55"/>
      <c r="AI1064" s="55"/>
      <c r="AJ1064" s="55"/>
      <c r="AK1064" s="101">
        <f t="shared" ca="1" si="204"/>
        <v>457242.89314754028</v>
      </c>
      <c r="AL1064" s="129">
        <f t="array" ref="AL1064">MAX((УслРестрактов[Характеристика]="Дата реструктуризации")*(УслРестрактов[Значение]=Первоначальный!$A1064),0)</f>
        <v>0</v>
      </c>
    </row>
    <row r="1065" spans="1:38" x14ac:dyDescent="0.25">
      <c r="A1065" s="97">
        <f t="shared" si="197"/>
        <v>45196</v>
      </c>
      <c r="B1065" s="100">
        <f t="shared" ca="1" si="198"/>
        <v>149633.34</v>
      </c>
      <c r="C1065" s="55">
        <f t="shared" ca="1" si="194"/>
        <v>76481.449999999866</v>
      </c>
      <c r="D1065" s="55">
        <f t="shared" ca="1" si="194"/>
        <v>4269.930000000003</v>
      </c>
      <c r="E1065" s="55">
        <f t="shared" ca="1" si="199"/>
        <v>0</v>
      </c>
      <c r="F1065" s="55">
        <f t="shared" ca="1" si="200"/>
        <v>226858.17314754042</v>
      </c>
      <c r="G1065" s="101">
        <f t="shared" ca="1" si="201"/>
        <v>457242.89314754028</v>
      </c>
      <c r="H1065" s="100">
        <f ca="1">ROUND($B1065*VLOOKUP($A1065,$A$1:$B$10,2,1)/(365+IF(MOD(YEAR($A1065),4),0,1)*($A1065-$A1064)),2)-Первоначальный[[#This Row],[Проценты на просроченный платеж по ОД за период]]</f>
        <v>72.069999999999993</v>
      </c>
      <c r="I1065" s="55">
        <f t="shared" ca="1" si="202"/>
        <v>9.51</v>
      </c>
      <c r="J1065" s="55">
        <v>0</v>
      </c>
      <c r="K1065" s="55">
        <f t="shared" ca="1" si="205"/>
        <v>463.45350327868846</v>
      </c>
      <c r="L1065" s="55">
        <v>0</v>
      </c>
      <c r="M1065" s="113">
        <f>SUMIFS(График[Возврат основной суммы долга],График[Дата с учетом нерабочих дней],$A1065)</f>
        <v>0</v>
      </c>
      <c r="N1065" s="56">
        <f>SUMIFS(График[Возврат начисленных %],График[Дата с учетом нерабочих дней],$A1065)</f>
        <v>0</v>
      </c>
      <c r="O1065" s="101">
        <v>0</v>
      </c>
      <c r="P1065" s="100" cm="1">
        <f t="array" aca="1" ref="P1065" ca="1">MAX(IF(AA1064="Да",0,SUM(INDIRECT("M"&amp;(MAX(("Да"=AA$12:AA1064)*ROW(AA$12:AA1064)+1,ROW($P$12))&amp;":M"&amp;(ROW()))))-SUM(INDIRECT("W"&amp;(MAX(("Да"=AA$12:AA1064)*ROW(AA$12:AA1064)+1,ROW($P$12))&amp;":W"&amp;(ROW()))))),0)</f>
        <v>17437.93</v>
      </c>
      <c r="Q1065" s="99">
        <f ca="1">MAX(SUM($N$13:N1065)-SUM($T$13:T1065),0)</f>
        <v>75252.77065573768</v>
      </c>
      <c r="R1065" s="99">
        <f ca="1">Первоначальный[[#This Row],[Просроченный платеж по ОД]]+Первоначальный[[#This Row],[Просроченный платеж по процентам]]</f>
        <v>92690.700655737688</v>
      </c>
      <c r="S1065" s="120">
        <f ca="1">IF(Первоначальный[[#This Row],[Просроченный платеж]]&lt;1,0,S1064+1)</f>
        <v>961</v>
      </c>
      <c r="T1065" s="100" cm="1">
        <f t="array" aca="1" ref="T1065" ca="1">IF(Первоначальный[[#This Row],[Итого остаток на начало периода]]&lt;1,0,
IF(
AND(TYPE(VLOOKUP(1,$Z$12:Z1065,1,0))=16,Первоначальный[[#This Row],[Досрочное погашение (да/"")]]=""),0,
_xlfn.IFS(AND(S1064=0,Первоначальный[[#This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платеж]]&lt;&gt;0),MIN(LOOKUP(,-1/($Z$12:Z1065=1),$C$12:C1065)+LOOKUP(,-1/($Z$12:Z1065=1),$H$12:H1065),Первоначальный[[#This Row],[Полученный платеж]]+Y1064),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платеж]]+Y1064,SUM(Первоначальный[[#This Row],[Остаток процентов на начало периода]],Первоначальный[[#This Row],[Проценты за период]])),
AND(S1064=0,Первоначальный[[#This Row],[Дата платежа из графика]]=""),0,
AND(S1064=0,Первоначальный[[#This Row],[Дата платежа из графика]]=1,MAX((0&lt;&gt;S$12:S1064)*ROW(S$12:S1064),ROW($S$12))&gt;=MAX((1=Z$12:Z1064)*ROW(Z$12:Z1064),ROW($T$12)),TYPE(VLOOKUP("Да",(INDIRECT("AA"&amp;(MAX((1=Z$12:Z1064)*ROW(Z$12:Z1064),ROW($T$12))&amp;":AA"&amp;(ROW()-1)))),1,0))=16),MIN(LOOKUP(,-1/($Z$12:Z1065=1),$C$12:C1065)+LOOKUP(,-1/($Z$12:Z1065=1),$H$12:H1065),Первоначальный[[#This Row],[Полученный платеж]]+Y1064),
AND(S1064=0,TYPE(VLOOKUP("Да",(INDIRECT("AA"&amp;(MAX((1=Z$12:Z1064)*ROW(Z$12:Z1064),ROW($T$12))&amp;":AA"&amp;(ROW()-1)))),1,0))&lt;&gt;16),MIN(LOOKUP(,-1/($Z$12:Z1065=1),$C$12:C1065)+LOOKUP(,-1/($Z$12:Z1065=1),$H$12:H1065)-IF(AA1064="Да",0,SUM(INDIRECT("T"&amp;(MAX(("Да"=AA$12:AA1064)*ROW(AA$12:AA1064)+1,ROW($T$12))&amp;":T"&amp;(ROW()-1))))),Первоначальный[[#This Row],[Полученный платеж]]+Y1064),
AND(S1064=0,MAX((0&lt;&gt;N$12:N1064)*ROW(N$12:N1064),ROW($S$12))&gt;=MAX((1=Z$12:Z1064)*ROW(Z$12:Z1064),ROW($T$12))),MIN(LOOKUP(,-1/($Z$12:Z1065=1),$C$12:C1065)+LOOKUP(,-1/($Z$12:Z1065=1),$H$12:H1065)-IF(N1064&lt;&gt;0,0,SUM(INDIRECT("T"&amp;(MAX((0&lt;&gt;N$12:N1064)*ROW(N$12:N1064)+1,ROW($T$12))&amp;":T"&amp;(ROW()-1))))),Первоначальный[[#This Row],[Полученный платеж]]+Y1064),
AND(S1064=0,Первоначальный[[#This Row],[Дата платежа из графика]]=1),MIN(LOOKUP(,-1/($Z$12:Z1065=1),$C$12:C1065)+LOOKUP(,-1/($Z$12:Z1065=1),$H$12:H1065)-IF(Z1064=1,0,SUM(INDIRECT("T"&amp;(MAX((1=Z$12:Z1064)*ROW(Z$12:Z1064)+1,ROW($T$12))&amp;":T"&amp;(ROW()-1))))),Первоначальный[[#This Row],[Полученный платеж]]+Y1064),
AND(Z1064&gt;0,Первоначальный[[#This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платеж]]+Y1064),
AND(S1064&gt;0,MAX((0&lt;&gt;S$12:S1064)*ROW(S$12:S1064),ROW($S$12))&gt;=MAX((1=Z$12:Z1064)*ROW(Z$12:Z1064),ROW($T$12)),TYPE(VLOOKUP("Да",(INDIRECT("AA"&amp;(MAX((1=Z$12:Z1064)*ROW(Z$12:Z1064),ROW($T$12))&amp;":AA"&amp;(ROW()-1)))),1,0))=16),MIN(LOOKUP(,-1/($Z$12:Z1065=1),$C$12:C1065)+LOOKUP(,-1/($Z$12:Z1065=1),$H$12:H1065)-SUM(INDIRECT("T"&amp;(MAX((1=Z$12:Z1064)*ROW(Z$12:Z1064),ROW($T$12))&amp;":T"&amp;(ROW()-1)))),Первоначальный[[#This Row],[Полученный платеж]]+Y1064),
S1064&gt;0,MIN(LOOKUP(,-1/($Z$12:Z1065=1),$C$12:C1065)+LOOKUP(,-1/($Z$12:Z1065=1),$H$12:H1065)-IF(Z1064=1,0,SUM(INDIRECT("T"&amp;(MAX((1=Z$12:Z1064)*ROW(Z$12:Z1064)+1,ROW($T$12))&amp;":T"&amp;(ROW()-1))))),Первоначальный[[#This Row],[Полученный платеж]]+Y1064)
)
)
)</f>
        <v>0</v>
      </c>
      <c r="U106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платеж]]+Y1064-Первоначальный[[#This Row],[Полученный платёж по процентам]])</f>
        <v>0</v>
      </c>
      <c r="V1065" s="55">
        <f t="shared" ca="1" si="195"/>
        <v>0</v>
      </c>
      <c r="W1065" s="55" cm="1">
        <f t="array" aca="1" ref="W1065" ca="1">IF(Первоначальный[[#This Row],[Итого остаток на начало периода]]&lt;1,0,
_xlfn.IFS(
AND(TYPE(VLOOKUP(1,$Z$12:Z1065,1,0))=16,Первоначальный[[#This Row],[Досрочное погашение (да/"")]]=""),0,
AND(S1064=0,Первоначальный[[#This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платеж]]+Y1064-SUM(Первоначальный[[#This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комиссиям]]),VLOOKUP(LOOKUP(,-1/($Z$12:Z1065=1),$A$12:A1065),График[[Срок конец]:[Возврат основной суммы долга]],3,0)),
AND(S1064=0,Первоначальный[[#This Row],[Дата платежа из графика]]="",Первоначальный[[#This Row],[Досрочное погашение (да/"")]]&lt;&gt;"Да"),0,
AND(S1064=0,Первоначальный[[#This Row],[Досрочное погашение (да/"")]]=""),MIN(Первоначальный[[#This Row],[Полученный платеж]]+Y1064-SUM(Первоначальный[[#This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комиссиям]]),VLOOKUP(LOOKUP(,-1/($Z$12:Z1065=1),$A$12:A1065),График[[Срок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платеж]]+Y1064-SUM(Первоначальный[[#This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S1064&gt;0,MIN(Первоначальный[[#This Row],[Полученный платеж]]+Y1064-SUM(Первоначальный[[#This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комиссиям]]),SUM(INDIRECT("M"&amp;(MAX((1=S$12:S1064)*ROW(S$12:S1064),ROW($W$12))&amp;":M"&amp;(ROW()))))-SUM(INDIRECT("W"&amp;(MAX((1=S$12:S1064)*ROW(S$12:S1064),ROW($W$12))&amp;":W"&amp;(ROW()-1)))))
)
)</f>
        <v>0</v>
      </c>
      <c r="X1065" s="55">
        <f t="shared" ca="1" si="196"/>
        <v>0</v>
      </c>
      <c r="Y1065" s="101">
        <f t="shared" ca="1" si="203"/>
        <v>0</v>
      </c>
      <c r="Z1065" s="133" t="str">
        <f>IF(TYPE((VLOOKUP(Первоначальный[[#This Row],[Дата платежа]],График[Срок конец],1,0)))=16,"",1)</f>
        <v/>
      </c>
      <c r="AA1065" s="57"/>
      <c r="AB1065" s="134"/>
      <c r="AC106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6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76553.519999999873</v>
      </c>
      <c r="AE106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4279.4400000000032</v>
      </c>
      <c r="AF106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6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227321.62665081912</v>
      </c>
      <c r="AH1065" s="55"/>
      <c r="AI1065" s="55"/>
      <c r="AJ1065" s="55"/>
      <c r="AK1065" s="101">
        <f t="shared" ca="1" si="204"/>
        <v>457787.92665081902</v>
      </c>
      <c r="AL1065" s="129">
        <f t="array" ref="AL1065">MAX((УслРестрактов[Характеристика]="Дата реструктуризации")*(УслРестрактов[Значение]=Первоначальный!$A1065),0)</f>
        <v>0</v>
      </c>
    </row>
    <row r="1066" spans="1:38" x14ac:dyDescent="0.25">
      <c r="A1066" s="97">
        <f t="shared" si="197"/>
        <v>45197</v>
      </c>
      <c r="B1066" s="100">
        <f t="shared" ca="1" si="198"/>
        <v>149633.34</v>
      </c>
      <c r="C1066" s="55">
        <f t="shared" ca="1" si="194"/>
        <v>76553.519999999873</v>
      </c>
      <c r="D1066" s="55">
        <f t="shared" ca="1" si="194"/>
        <v>4279.4400000000032</v>
      </c>
      <c r="E1066" s="55">
        <f t="shared" ca="1" si="199"/>
        <v>0</v>
      </c>
      <c r="F1066" s="55">
        <f t="shared" ca="1" si="200"/>
        <v>227321.62665081912</v>
      </c>
      <c r="G1066" s="101">
        <f t="shared" ca="1" si="201"/>
        <v>457787.92665081902</v>
      </c>
      <c r="H1066" s="100">
        <f ca="1">ROUND($B1066*VLOOKUP($A1066,$A$1:$B$10,2,1)/(365+IF(MOD(YEAR($A1066),4),0,1)*($A1066-$A1065)),2)-Первоначальный[[#This Row],[Проценты на просроченный платеж по ОД за период]]</f>
        <v>72.069999999999993</v>
      </c>
      <c r="I1066" s="55">
        <f t="shared" ca="1" si="202"/>
        <v>9.51</v>
      </c>
      <c r="J1066" s="55">
        <v>0</v>
      </c>
      <c r="K1066" s="55">
        <f t="shared" ca="1" si="205"/>
        <v>463.45350327868846</v>
      </c>
      <c r="L1066" s="55">
        <v>0</v>
      </c>
      <c r="M1066" s="113">
        <f>SUMIFS(График[Возврат основной суммы долга],График[Дата с учетом нерабочих дней],$A1066)</f>
        <v>0</v>
      </c>
      <c r="N1066" s="56">
        <f>SUMIFS(График[Возврат начисленных %],График[Дата с учетом нерабочих дней],$A1066)</f>
        <v>0</v>
      </c>
      <c r="O1066" s="101">
        <v>0</v>
      </c>
      <c r="P1066" s="100" cm="1">
        <f t="array" aca="1" ref="P1066" ca="1">MAX(IF(AA1065="Да",0,SUM(INDIRECT("M"&amp;(MAX(("Да"=AA$12:AA1065)*ROW(AA$12:AA1065)+1,ROW($P$12))&amp;":M"&amp;(ROW()))))-SUM(INDIRECT("W"&amp;(MAX(("Да"=AA$12:AA1065)*ROW(AA$12:AA1065)+1,ROW($P$12))&amp;":W"&amp;(ROW()))))),0)</f>
        <v>17437.93</v>
      </c>
      <c r="Q1066" s="99">
        <f ca="1">MAX(SUM($N$13:N1066)-SUM($T$13:T1066),0)</f>
        <v>75252.77065573768</v>
      </c>
      <c r="R1066" s="99">
        <f ca="1">Первоначальный[[#This Row],[Просроченный платеж по ОД]]+Первоначальный[[#This Row],[Просроченный платеж по процентам]]</f>
        <v>92690.700655737688</v>
      </c>
      <c r="S1066" s="120">
        <f ca="1">IF(Первоначальный[[#This Row],[Просроченный платеж]]&lt;1,0,S1065+1)</f>
        <v>962</v>
      </c>
      <c r="T1066" s="100" cm="1">
        <f t="array" aca="1" ref="T1066" ca="1">IF(Первоначальный[[#This Row],[Итого остаток на начало периода]]&lt;1,0,
IF(
AND(TYPE(VLOOKUP(1,$Z$12:Z1066,1,0))=16,Первоначальный[[#This Row],[Досрочное погашение (да/"")]]=""),0,
_xlfn.IFS(AND(S1065=0,Первоначальный[[#This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платеж]]&lt;&gt;0),MIN(LOOKUP(,-1/($Z$12:Z1066=1),$C$12:C1066)+LOOKUP(,-1/($Z$12:Z1066=1),$H$12:H1066),Первоначальный[[#This Row],[Полученный платеж]]+Y1065),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платеж]]+Y1065,SUM(Первоначальный[[#This Row],[Остаток процентов на начало периода]],Первоначальный[[#This Row],[Проценты за период]])),
AND(S1065=0,Первоначальный[[#This Row],[Дата платежа из графика]]=""),0,
AND(S1065=0,Первоначальный[[#This Row],[Дата платежа из графика]]=1,MAX((0&lt;&gt;S$12:S1065)*ROW(S$12:S1065),ROW($S$12))&gt;=MAX((1=Z$12:Z1065)*ROW(Z$12:Z1065),ROW($T$12)),TYPE(VLOOKUP("Да",(INDIRECT("AA"&amp;(MAX((1=Z$12:Z1065)*ROW(Z$12:Z1065),ROW($T$12))&amp;":AA"&amp;(ROW()-1)))),1,0))=16),MIN(LOOKUP(,-1/($Z$12:Z1066=1),$C$12:C1066)+LOOKUP(,-1/($Z$12:Z1066=1),$H$12:H1066),Первоначальный[[#This Row],[Полученный платеж]]+Y1065),
AND(S1065=0,TYPE(VLOOKUP("Да",(INDIRECT("AA"&amp;(MAX((1=Z$12:Z1065)*ROW(Z$12:Z1065),ROW($T$12))&amp;":AA"&amp;(ROW()-1)))),1,0))&lt;&gt;16),MIN(LOOKUP(,-1/($Z$12:Z1066=1),$C$12:C1066)+LOOKUP(,-1/($Z$12:Z1066=1),$H$12:H1066)-IF(AA1065="Да",0,SUM(INDIRECT("T"&amp;(MAX(("Да"=AA$12:AA1065)*ROW(AA$12:AA1065)+1,ROW($T$12))&amp;":T"&amp;(ROW()-1))))),Первоначальный[[#This Row],[Полученный платеж]]+Y1065),
AND(S1065=0,MAX((0&lt;&gt;N$12:N1065)*ROW(N$12:N1065),ROW($S$12))&gt;=MAX((1=Z$12:Z1065)*ROW(Z$12:Z1065),ROW($T$12))),MIN(LOOKUP(,-1/($Z$12:Z1066=1),$C$12:C1066)+LOOKUP(,-1/($Z$12:Z1066=1),$H$12:H1066)-IF(N1065&lt;&gt;0,0,SUM(INDIRECT("T"&amp;(MAX((0&lt;&gt;N$12:N1065)*ROW(N$12:N1065)+1,ROW($T$12))&amp;":T"&amp;(ROW()-1))))),Первоначальный[[#This Row],[Полученный платеж]]+Y1065),
AND(S1065=0,Первоначальный[[#This Row],[Дата платежа из графика]]=1),MIN(LOOKUP(,-1/($Z$12:Z1066=1),$C$12:C1066)+LOOKUP(,-1/($Z$12:Z1066=1),$H$12:H1066)-IF(Z1065=1,0,SUM(INDIRECT("T"&amp;(MAX((1=Z$12:Z1065)*ROW(Z$12:Z1065)+1,ROW($T$12))&amp;":T"&amp;(ROW()-1))))),Первоначальный[[#This Row],[Полученный платеж]]+Y1065),
AND(Z1065&gt;0,Первоначальный[[#This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платеж]]+Y1065),
AND(S1065&gt;0,MAX((0&lt;&gt;S$12:S1065)*ROW(S$12:S1065),ROW($S$12))&gt;=MAX((1=Z$12:Z1065)*ROW(Z$12:Z1065),ROW($T$12)),TYPE(VLOOKUP("Да",(INDIRECT("AA"&amp;(MAX((1=Z$12:Z1065)*ROW(Z$12:Z1065),ROW($T$12))&amp;":AA"&amp;(ROW()-1)))),1,0))=16),MIN(LOOKUP(,-1/($Z$12:Z1066=1),$C$12:C1066)+LOOKUP(,-1/($Z$12:Z1066=1),$H$12:H1066)-SUM(INDIRECT("T"&amp;(MAX((1=Z$12:Z1065)*ROW(Z$12:Z1065),ROW($T$12))&amp;":T"&amp;(ROW()-1)))),Первоначальный[[#This Row],[Полученный платеж]]+Y1065),
S1065&gt;0,MIN(LOOKUP(,-1/($Z$12:Z1066=1),$C$12:C1066)+LOOKUP(,-1/($Z$12:Z1066=1),$H$12:H1066)-IF(Z1065=1,0,SUM(INDIRECT("T"&amp;(MAX((1=Z$12:Z1065)*ROW(Z$12:Z1065)+1,ROW($T$12))&amp;":T"&amp;(ROW()-1))))),Первоначальный[[#This Row],[Полученный платеж]]+Y1065)
)
)
)</f>
        <v>0</v>
      </c>
      <c r="U106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платеж]]+Y1065-Первоначальный[[#This Row],[Полученный платёж по процентам]])</f>
        <v>0</v>
      </c>
      <c r="V1066" s="55">
        <f t="shared" ca="1" si="195"/>
        <v>0</v>
      </c>
      <c r="W1066" s="55" cm="1">
        <f t="array" aca="1" ref="W1066" ca="1">IF(Первоначальный[[#This Row],[Итого остаток на начало периода]]&lt;1,0,
_xlfn.IFS(
AND(TYPE(VLOOKUP(1,$Z$12:Z1066,1,0))=16,Первоначальный[[#This Row],[Досрочное погашение (да/"")]]=""),0,
AND(S1065=0,Первоначальный[[#This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платеж]]+Y1065-SUM(Первоначальный[[#This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комиссиям]]),VLOOKUP(LOOKUP(,-1/($Z$12:Z1066=1),$A$12:A1066),График[[Срок конец]:[Возврат основной суммы долга]],3,0)),
AND(S1065=0,Первоначальный[[#This Row],[Дата платежа из графика]]="",Первоначальный[[#This Row],[Досрочное погашение (да/"")]]&lt;&gt;"Да"),0,
AND(S1065=0,Первоначальный[[#This Row],[Досрочное погашение (да/"")]]=""),MIN(Первоначальный[[#This Row],[Полученный платеж]]+Y1065-SUM(Первоначальный[[#This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комиссиям]]),VLOOKUP(LOOKUP(,-1/($Z$12:Z1066=1),$A$12:A1066),График[[Срок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платеж]]+Y1065-SUM(Первоначальный[[#This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S1065&gt;0,MIN(Первоначальный[[#This Row],[Полученный платеж]]+Y1065-SUM(Первоначальный[[#This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комиссиям]]),SUM(INDIRECT("M"&amp;(MAX((1=S$12:S1065)*ROW(S$12:S1065),ROW($W$12))&amp;":M"&amp;(ROW()))))-SUM(INDIRECT("W"&amp;(MAX((1=S$12:S1065)*ROW(S$12:S1065),ROW($W$12))&amp;":W"&amp;(ROW()-1)))))
)
)</f>
        <v>0</v>
      </c>
      <c r="X1066" s="55">
        <f t="shared" ca="1" si="196"/>
        <v>0</v>
      </c>
      <c r="Y1066" s="101">
        <f t="shared" ca="1" si="203"/>
        <v>0</v>
      </c>
      <c r="Z1066" s="133" t="str">
        <f>IF(TYPE((VLOOKUP(Первоначальный[[#This Row],[Дата платежа]],График[Срок конец],1,0)))=16,"",1)</f>
        <v/>
      </c>
      <c r="AA1066" s="57"/>
      <c r="AB1066" s="134"/>
      <c r="AC106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6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76625.58999999988</v>
      </c>
      <c r="AE106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4288.9500000000035</v>
      </c>
      <c r="AF106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6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227785.08015409781</v>
      </c>
      <c r="AH1066" s="55"/>
      <c r="AI1066" s="55"/>
      <c r="AJ1066" s="55"/>
      <c r="AK1066" s="101">
        <f t="shared" ca="1" si="204"/>
        <v>458332.9601540977</v>
      </c>
      <c r="AL1066" s="129">
        <f t="array" ref="AL1066">MAX((УслРестрактов[Характеристика]="Дата реструктуризации")*(УслРестрактов[Значение]=Первоначальный!$A1066),0)</f>
        <v>0</v>
      </c>
    </row>
    <row r="1067" spans="1:38" x14ac:dyDescent="0.25">
      <c r="A1067" s="97">
        <f t="shared" si="197"/>
        <v>45198</v>
      </c>
      <c r="B1067" s="100">
        <f t="shared" ca="1" si="198"/>
        <v>149633.34</v>
      </c>
      <c r="C1067" s="55">
        <f t="shared" ca="1" si="194"/>
        <v>76625.58999999988</v>
      </c>
      <c r="D1067" s="55">
        <f t="shared" ca="1" si="194"/>
        <v>4288.9500000000035</v>
      </c>
      <c r="E1067" s="55">
        <f t="shared" ca="1" si="199"/>
        <v>0</v>
      </c>
      <c r="F1067" s="55">
        <f t="shared" ca="1" si="200"/>
        <v>227785.08015409781</v>
      </c>
      <c r="G1067" s="101">
        <f t="shared" ca="1" si="201"/>
        <v>458332.9601540977</v>
      </c>
      <c r="H1067" s="100">
        <f ca="1">ROUND($B1067*VLOOKUP($A1067,$A$1:$B$10,2,1)/(365+IF(MOD(YEAR($A1067),4),0,1)*($A1067-$A1066)),2)-Первоначальный[[#This Row],[Проценты на просроченный платеж по ОД за период]]</f>
        <v>72.069999999999993</v>
      </c>
      <c r="I1067" s="55">
        <f t="shared" ca="1" si="202"/>
        <v>9.51</v>
      </c>
      <c r="J1067" s="55">
        <v>0</v>
      </c>
      <c r="K1067" s="55">
        <f t="shared" ca="1" si="205"/>
        <v>463.45350327868846</v>
      </c>
      <c r="L1067" s="55">
        <v>0</v>
      </c>
      <c r="M1067" s="113">
        <f>SUMIFS(График[Возврат основной суммы долга],График[Дата с учетом нерабочих дней],$A1067)</f>
        <v>0</v>
      </c>
      <c r="N1067" s="56">
        <f>SUMIFS(График[Возврат начисленных %],График[Дата с учетом нерабочих дней],$A1067)</f>
        <v>0</v>
      </c>
      <c r="O1067" s="101">
        <v>0</v>
      </c>
      <c r="P1067" s="100" cm="1">
        <f t="array" aca="1" ref="P1067" ca="1">MAX(IF(AA1066="Да",0,SUM(INDIRECT("M"&amp;(MAX(("Да"=AA$12:AA1066)*ROW(AA$12:AA1066)+1,ROW($P$12))&amp;":M"&amp;(ROW()))))-SUM(INDIRECT("W"&amp;(MAX(("Да"=AA$12:AA1066)*ROW(AA$12:AA1066)+1,ROW($P$12))&amp;":W"&amp;(ROW()))))),0)</f>
        <v>17437.93</v>
      </c>
      <c r="Q1067" s="99">
        <f ca="1">MAX(SUM($N$13:N1067)-SUM($T$13:T1067),0)</f>
        <v>75252.77065573768</v>
      </c>
      <c r="R1067" s="99">
        <f ca="1">Первоначальный[[#This Row],[Просроченный платеж по ОД]]+Первоначальный[[#This Row],[Просроченный платеж по процентам]]</f>
        <v>92690.700655737688</v>
      </c>
      <c r="S1067" s="120">
        <f ca="1">IF(Первоначальный[[#This Row],[Просроченный платеж]]&lt;1,0,S1066+1)</f>
        <v>963</v>
      </c>
      <c r="T1067" s="100" cm="1">
        <f t="array" aca="1" ref="T1067" ca="1">IF(Первоначальный[[#This Row],[Итого остаток на начало периода]]&lt;1,0,
IF(
AND(TYPE(VLOOKUP(1,$Z$12:Z1067,1,0))=16,Первоначальный[[#This Row],[Досрочное погашение (да/"")]]=""),0,
_xlfn.IFS(AND(S1066=0,Первоначальный[[#This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платеж]]&lt;&gt;0),MIN(LOOKUP(,-1/($Z$12:Z1067=1),$C$12:C1067)+LOOKUP(,-1/($Z$12:Z1067=1),$H$12:H1067),Первоначальный[[#This Row],[Полученный платеж]]+Y1066),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платеж]]+Y1066,SUM(Первоначальный[[#This Row],[Остаток процентов на начало периода]],Первоначальный[[#This Row],[Проценты за период]])),
AND(S1066=0,Первоначальный[[#This Row],[Дата платежа из графика]]=""),0,
AND(S1066=0,Первоначальный[[#This Row],[Дата платежа из графика]]=1,MAX((0&lt;&gt;S$12:S1066)*ROW(S$12:S1066),ROW($S$12))&gt;=MAX((1=Z$12:Z1066)*ROW(Z$12:Z1066),ROW($T$12)),TYPE(VLOOKUP("Да",(INDIRECT("AA"&amp;(MAX((1=Z$12:Z1066)*ROW(Z$12:Z1066),ROW($T$12))&amp;":AA"&amp;(ROW()-1)))),1,0))=16),MIN(LOOKUP(,-1/($Z$12:Z1067=1),$C$12:C1067)+LOOKUP(,-1/($Z$12:Z1067=1),$H$12:H1067),Первоначальный[[#This Row],[Полученный платеж]]+Y1066),
AND(S1066=0,TYPE(VLOOKUP("Да",(INDIRECT("AA"&amp;(MAX((1=Z$12:Z1066)*ROW(Z$12:Z1066),ROW($T$12))&amp;":AA"&amp;(ROW()-1)))),1,0))&lt;&gt;16),MIN(LOOKUP(,-1/($Z$12:Z1067=1),$C$12:C1067)+LOOKUP(,-1/($Z$12:Z1067=1),$H$12:H1067)-IF(AA1066="Да",0,SUM(INDIRECT("T"&amp;(MAX(("Да"=AA$12:AA1066)*ROW(AA$12:AA1066)+1,ROW($T$12))&amp;":T"&amp;(ROW()-1))))),Первоначальный[[#This Row],[Полученный платеж]]+Y1066),
AND(S1066=0,MAX((0&lt;&gt;N$12:N1066)*ROW(N$12:N1066),ROW($S$12))&gt;=MAX((1=Z$12:Z1066)*ROW(Z$12:Z1066),ROW($T$12))),MIN(LOOKUP(,-1/($Z$12:Z1067=1),$C$12:C1067)+LOOKUP(,-1/($Z$12:Z1067=1),$H$12:H1067)-IF(N1066&lt;&gt;0,0,SUM(INDIRECT("T"&amp;(MAX((0&lt;&gt;N$12:N1066)*ROW(N$12:N1066)+1,ROW($T$12))&amp;":T"&amp;(ROW()-1))))),Первоначальный[[#This Row],[Полученный платеж]]+Y1066),
AND(S1066=0,Первоначальный[[#This Row],[Дата платежа из графика]]=1),MIN(LOOKUP(,-1/($Z$12:Z1067=1),$C$12:C1067)+LOOKUP(,-1/($Z$12:Z1067=1),$H$12:H1067)-IF(Z1066=1,0,SUM(INDIRECT("T"&amp;(MAX((1=Z$12:Z1066)*ROW(Z$12:Z1066)+1,ROW($T$12))&amp;":T"&amp;(ROW()-1))))),Первоначальный[[#This Row],[Полученный платеж]]+Y1066),
AND(Z1066&gt;0,Первоначальный[[#This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платеж]]+Y1066),
AND(S1066&gt;0,MAX((0&lt;&gt;S$12:S1066)*ROW(S$12:S1066),ROW($S$12))&gt;=MAX((1=Z$12:Z1066)*ROW(Z$12:Z1066),ROW($T$12)),TYPE(VLOOKUP("Да",(INDIRECT("AA"&amp;(MAX((1=Z$12:Z1066)*ROW(Z$12:Z1066),ROW($T$12))&amp;":AA"&amp;(ROW()-1)))),1,0))=16),MIN(LOOKUP(,-1/($Z$12:Z1067=1),$C$12:C1067)+LOOKUP(,-1/($Z$12:Z1067=1),$H$12:H1067)-SUM(INDIRECT("T"&amp;(MAX((1=Z$12:Z1066)*ROW(Z$12:Z1066),ROW($T$12))&amp;":T"&amp;(ROW()-1)))),Первоначальный[[#This Row],[Полученный платеж]]+Y1066),
S1066&gt;0,MIN(LOOKUP(,-1/($Z$12:Z1067=1),$C$12:C1067)+LOOKUP(,-1/($Z$12:Z1067=1),$H$12:H1067)-IF(Z1066=1,0,SUM(INDIRECT("T"&amp;(MAX((1=Z$12:Z1066)*ROW(Z$12:Z1066)+1,ROW($T$12))&amp;":T"&amp;(ROW()-1))))),Первоначальный[[#This Row],[Полученный платеж]]+Y1066)
)
)
)</f>
        <v>0</v>
      </c>
      <c r="U106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платеж]]+Y1066-Первоначальный[[#This Row],[Полученный платёж по процентам]])</f>
        <v>0</v>
      </c>
      <c r="V1067" s="55">
        <f t="shared" ca="1" si="195"/>
        <v>0</v>
      </c>
      <c r="W1067" s="55" cm="1">
        <f t="array" aca="1" ref="W1067" ca="1">IF(Первоначальный[[#This Row],[Итого остаток на начало периода]]&lt;1,0,
_xlfn.IFS(
AND(TYPE(VLOOKUP(1,$Z$12:Z1067,1,0))=16,Первоначальный[[#This Row],[Досрочное погашение (да/"")]]=""),0,
AND(S1066=0,Первоначальный[[#This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платеж]]+Y1066-SUM(Первоначальный[[#This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комиссиям]]),VLOOKUP(LOOKUP(,-1/($Z$12:Z1067=1),$A$12:A1067),График[[Срок конец]:[Возврат основной суммы долга]],3,0)),
AND(S1066=0,Первоначальный[[#This Row],[Дата платежа из графика]]="",Первоначальный[[#This Row],[Досрочное погашение (да/"")]]&lt;&gt;"Да"),0,
AND(S1066=0,Первоначальный[[#This Row],[Досрочное погашение (да/"")]]=""),MIN(Первоначальный[[#This Row],[Полученный платеж]]+Y1066-SUM(Первоначальный[[#This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комиссиям]]),VLOOKUP(LOOKUP(,-1/($Z$12:Z1067=1),$A$12:A1067),График[[Срок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платеж]]+Y1066-SUM(Первоначальный[[#This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S1066&gt;0,MIN(Первоначальный[[#This Row],[Полученный платеж]]+Y1066-SUM(Первоначальный[[#This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комиссиям]]),SUM(INDIRECT("M"&amp;(MAX((1=S$12:S1066)*ROW(S$12:S1066),ROW($W$12))&amp;":M"&amp;(ROW()))))-SUM(INDIRECT("W"&amp;(MAX((1=S$12:S1066)*ROW(S$12:S1066),ROW($W$12))&amp;":W"&amp;(ROW()-1)))))
)
)</f>
        <v>0</v>
      </c>
      <c r="X1067" s="55">
        <f t="shared" ca="1" si="196"/>
        <v>0</v>
      </c>
      <c r="Y1067" s="101">
        <f t="shared" ca="1" si="203"/>
        <v>0</v>
      </c>
      <c r="Z1067" s="133" t="str">
        <f>IF(TYPE((VLOOKUP(Первоначальный[[#This Row],[Дата платежа]],График[Срок конец],1,0)))=16,"",1)</f>
        <v/>
      </c>
      <c r="AA1067" s="57"/>
      <c r="AB1067" s="134"/>
      <c r="AC106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6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76697.659999999887</v>
      </c>
      <c r="AE106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4298.4600000000037</v>
      </c>
      <c r="AF106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6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228248.53365737651</v>
      </c>
      <c r="AH1067" s="55"/>
      <c r="AI1067" s="55"/>
      <c r="AJ1067" s="55"/>
      <c r="AK1067" s="101">
        <f t="shared" ca="1" si="204"/>
        <v>458877.99365737638</v>
      </c>
      <c r="AL1067" s="129">
        <f t="array" ref="AL1067">MAX((УслРестрактов[Характеристика]="Дата реструктуризации")*(УслРестрактов[Значение]=Первоначальный!$A1067),0)</f>
        <v>0</v>
      </c>
    </row>
    <row r="1068" spans="1:38" x14ac:dyDescent="0.25">
      <c r="A1068" s="97">
        <f t="shared" si="197"/>
        <v>45199</v>
      </c>
      <c r="B1068" s="100">
        <f t="shared" ca="1" si="198"/>
        <v>149633.34</v>
      </c>
      <c r="C1068" s="55">
        <f t="shared" ca="1" si="194"/>
        <v>76697.659999999887</v>
      </c>
      <c r="D1068" s="55">
        <f t="shared" ca="1" si="194"/>
        <v>4298.4600000000037</v>
      </c>
      <c r="E1068" s="55">
        <f t="shared" ca="1" si="199"/>
        <v>0</v>
      </c>
      <c r="F1068" s="55">
        <f t="shared" ca="1" si="200"/>
        <v>228248.53365737651</v>
      </c>
      <c r="G1068" s="101">
        <f t="shared" ca="1" si="201"/>
        <v>458877.99365737638</v>
      </c>
      <c r="H1068" s="100">
        <f ca="1">ROUND($B1068*VLOOKUP($A1068,$A$1:$B$10,2,1)/(365+IF(MOD(YEAR($A1068),4),0,1)*($A1068-$A1067)),2)-Первоначальный[[#This Row],[Проценты на просроченный платеж по ОД за период]]</f>
        <v>72.069999999999993</v>
      </c>
      <c r="I1068" s="55">
        <f t="shared" ca="1" si="202"/>
        <v>9.51</v>
      </c>
      <c r="J1068" s="55">
        <v>0</v>
      </c>
      <c r="K1068" s="55">
        <f t="shared" ca="1" si="205"/>
        <v>463.45350327868846</v>
      </c>
      <c r="L1068" s="55">
        <v>0</v>
      </c>
      <c r="M1068" s="113">
        <f>SUMIFS(График[Возврат основной суммы долга],График[Дата с учетом нерабочих дней],$A1068)</f>
        <v>0</v>
      </c>
      <c r="N1068" s="56">
        <f>SUMIFS(График[Возврат начисленных %],График[Дата с учетом нерабочих дней],$A1068)</f>
        <v>0</v>
      </c>
      <c r="O1068" s="101">
        <v>0</v>
      </c>
      <c r="P1068" s="100" cm="1">
        <f t="array" aca="1" ref="P1068" ca="1">MAX(IF(AA1067="Да",0,SUM(INDIRECT("M"&amp;(MAX(("Да"=AA$12:AA1067)*ROW(AA$12:AA1067)+1,ROW($P$12))&amp;":M"&amp;(ROW()))))-SUM(INDIRECT("W"&amp;(MAX(("Да"=AA$12:AA1067)*ROW(AA$12:AA1067)+1,ROW($P$12))&amp;":W"&amp;(ROW()))))),0)</f>
        <v>17437.93</v>
      </c>
      <c r="Q1068" s="99">
        <f ca="1">MAX(SUM($N$13:N1068)-SUM($T$13:T1068),0)</f>
        <v>75252.77065573768</v>
      </c>
      <c r="R1068" s="99">
        <f ca="1">Первоначальный[[#This Row],[Просроченный платеж по ОД]]+Первоначальный[[#This Row],[Просроченный платеж по процентам]]</f>
        <v>92690.700655737688</v>
      </c>
      <c r="S1068" s="120">
        <f ca="1">IF(Первоначальный[[#This Row],[Просроченный платеж]]&lt;1,0,S1067+1)</f>
        <v>964</v>
      </c>
      <c r="T1068" s="100" cm="1">
        <f t="array" aca="1" ref="T1068" ca="1">IF(Первоначальный[[#This Row],[Итого остаток на начало периода]]&lt;1,0,
IF(
AND(TYPE(VLOOKUP(1,$Z$12:Z1068,1,0))=16,Первоначальный[[#This Row],[Досрочное погашение (да/"")]]=""),0,
_xlfn.IFS(AND(S1067=0,Первоначальный[[#This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платеж]]&lt;&gt;0),MIN(LOOKUP(,-1/($Z$12:Z1068=1),$C$12:C1068)+LOOKUP(,-1/($Z$12:Z1068=1),$H$12:H1068),Первоначальный[[#This Row],[Полученный платеж]]+Y1067),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платеж]]+Y1067,SUM(Первоначальный[[#This Row],[Остаток процентов на начало периода]],Первоначальный[[#This Row],[Проценты за период]])),
AND(S1067=0,Первоначальный[[#This Row],[Дата платежа из графика]]=""),0,
AND(S1067=0,Первоначальный[[#This Row],[Дата платежа из графика]]=1,MAX((0&lt;&gt;S$12:S1067)*ROW(S$12:S1067),ROW($S$12))&gt;=MAX((1=Z$12:Z1067)*ROW(Z$12:Z1067),ROW($T$12)),TYPE(VLOOKUP("Да",(INDIRECT("AA"&amp;(MAX((1=Z$12:Z1067)*ROW(Z$12:Z1067),ROW($T$12))&amp;":AA"&amp;(ROW()-1)))),1,0))=16),MIN(LOOKUP(,-1/($Z$12:Z1068=1),$C$12:C1068)+LOOKUP(,-1/($Z$12:Z1068=1),$H$12:H1068),Первоначальный[[#This Row],[Полученный платеж]]+Y1067),
AND(S1067=0,TYPE(VLOOKUP("Да",(INDIRECT("AA"&amp;(MAX((1=Z$12:Z1067)*ROW(Z$12:Z1067),ROW($T$12))&amp;":AA"&amp;(ROW()-1)))),1,0))&lt;&gt;16),MIN(LOOKUP(,-1/($Z$12:Z1068=1),$C$12:C1068)+LOOKUP(,-1/($Z$12:Z1068=1),$H$12:H1068)-IF(AA1067="Да",0,SUM(INDIRECT("T"&amp;(MAX(("Да"=AA$12:AA1067)*ROW(AA$12:AA1067)+1,ROW($T$12))&amp;":T"&amp;(ROW()-1))))),Первоначальный[[#This Row],[Полученный платеж]]+Y1067),
AND(S1067=0,MAX((0&lt;&gt;N$12:N1067)*ROW(N$12:N1067),ROW($S$12))&gt;=MAX((1=Z$12:Z1067)*ROW(Z$12:Z1067),ROW($T$12))),MIN(LOOKUP(,-1/($Z$12:Z1068=1),$C$12:C1068)+LOOKUP(,-1/($Z$12:Z1068=1),$H$12:H1068)-IF(N1067&lt;&gt;0,0,SUM(INDIRECT("T"&amp;(MAX((0&lt;&gt;N$12:N1067)*ROW(N$12:N1067)+1,ROW($T$12))&amp;":T"&amp;(ROW()-1))))),Первоначальный[[#This Row],[Полученный платеж]]+Y1067),
AND(S1067=0,Первоначальный[[#This Row],[Дата платежа из графика]]=1),MIN(LOOKUP(,-1/($Z$12:Z1068=1),$C$12:C1068)+LOOKUP(,-1/($Z$12:Z1068=1),$H$12:H1068)-IF(Z1067=1,0,SUM(INDIRECT("T"&amp;(MAX((1=Z$12:Z1067)*ROW(Z$12:Z1067)+1,ROW($T$12))&amp;":T"&amp;(ROW()-1))))),Первоначальный[[#This Row],[Полученный платеж]]+Y1067),
AND(Z1067&gt;0,Первоначальный[[#This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платеж]]+Y1067),
AND(S1067&gt;0,MAX((0&lt;&gt;S$12:S1067)*ROW(S$12:S1067),ROW($S$12))&gt;=MAX((1=Z$12:Z1067)*ROW(Z$12:Z1067),ROW($T$12)),TYPE(VLOOKUP("Да",(INDIRECT("AA"&amp;(MAX((1=Z$12:Z1067)*ROW(Z$12:Z1067),ROW($T$12))&amp;":AA"&amp;(ROW()-1)))),1,0))=16),MIN(LOOKUP(,-1/($Z$12:Z1068=1),$C$12:C1068)+LOOKUP(,-1/($Z$12:Z1068=1),$H$12:H1068)-SUM(INDIRECT("T"&amp;(MAX((1=Z$12:Z1067)*ROW(Z$12:Z1067),ROW($T$12))&amp;":T"&amp;(ROW()-1)))),Первоначальный[[#This Row],[Полученный платеж]]+Y1067),
S1067&gt;0,MIN(LOOKUP(,-1/($Z$12:Z1068=1),$C$12:C1068)+LOOKUP(,-1/($Z$12:Z1068=1),$H$12:H1068)-IF(Z1067=1,0,SUM(INDIRECT("T"&amp;(MAX((1=Z$12:Z1067)*ROW(Z$12:Z1067)+1,ROW($T$12))&amp;":T"&amp;(ROW()-1))))),Первоначальный[[#This Row],[Полученный платеж]]+Y1067)
)
)
)</f>
        <v>0</v>
      </c>
      <c r="U106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платеж]]+Y1067-Первоначальный[[#This Row],[Полученный платёж по процентам]])</f>
        <v>0</v>
      </c>
      <c r="V1068" s="55">
        <f t="shared" ca="1" si="195"/>
        <v>0</v>
      </c>
      <c r="W1068" s="55" cm="1">
        <f t="array" aca="1" ref="W1068" ca="1">IF(Первоначальный[[#This Row],[Итого остаток на начало периода]]&lt;1,0,
_xlfn.IFS(
AND(TYPE(VLOOKUP(1,$Z$12:Z1068,1,0))=16,Первоначальный[[#This Row],[Досрочное погашение (да/"")]]=""),0,
AND(S1067=0,Первоначальный[[#This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платеж]]+Y1067-SUM(Первоначальный[[#This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комиссиям]]),VLOOKUP(LOOKUP(,-1/($Z$12:Z1068=1),$A$12:A1068),График[[Срок конец]:[Возврат основной суммы долга]],3,0)),
AND(S1067=0,Первоначальный[[#This Row],[Дата платежа из графика]]="",Первоначальный[[#This Row],[Досрочное погашение (да/"")]]&lt;&gt;"Да"),0,
AND(S1067=0,Первоначальный[[#This Row],[Досрочное погашение (да/"")]]=""),MIN(Первоначальный[[#This Row],[Полученный платеж]]+Y1067-SUM(Первоначальный[[#This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комиссиям]]),VLOOKUP(LOOKUP(,-1/($Z$12:Z1068=1),$A$12:A1068),График[[Срок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платеж]]+Y1067-SUM(Первоначальный[[#This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S1067&gt;0,MIN(Первоначальный[[#This Row],[Полученный платеж]]+Y1067-SUM(Первоначальный[[#This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комиссиям]]),SUM(INDIRECT("M"&amp;(MAX((1=S$12:S1067)*ROW(S$12:S1067),ROW($W$12))&amp;":M"&amp;(ROW()))))-SUM(INDIRECT("W"&amp;(MAX((1=S$12:S1067)*ROW(S$12:S1067),ROW($W$12))&amp;":W"&amp;(ROW()-1)))))
)
)</f>
        <v>0</v>
      </c>
      <c r="X1068" s="55">
        <f t="shared" ca="1" si="196"/>
        <v>0</v>
      </c>
      <c r="Y1068" s="101">
        <f t="shared" ca="1" si="203"/>
        <v>0</v>
      </c>
      <c r="Z1068" s="133" t="str">
        <f>IF(TYPE((VLOOKUP(Первоначальный[[#This Row],[Дата платежа]],График[Срок конец],1,0)))=16,"",1)</f>
        <v/>
      </c>
      <c r="AA1068" s="57"/>
      <c r="AB1068" s="134"/>
      <c r="AC106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6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76769.729999999894</v>
      </c>
      <c r="AE106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4307.9700000000039</v>
      </c>
      <c r="AF106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6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228711.9871606552</v>
      </c>
      <c r="AH1068" s="55"/>
      <c r="AI1068" s="55"/>
      <c r="AJ1068" s="55"/>
      <c r="AK1068" s="101">
        <f t="shared" ca="1" si="204"/>
        <v>459423.02716065513</v>
      </c>
      <c r="AL1068" s="129">
        <f t="array" ref="AL1068">MAX((УслРестрактов[Характеристика]="Дата реструктуризации")*(УслРестрактов[Значение]=Первоначальный!$A1068),0)</f>
        <v>0</v>
      </c>
    </row>
    <row r="1069" spans="1:38" x14ac:dyDescent="0.25">
      <c r="A1069" s="97">
        <f t="shared" si="197"/>
        <v>45200</v>
      </c>
      <c r="B1069" s="100">
        <f t="shared" ca="1" si="198"/>
        <v>149633.34</v>
      </c>
      <c r="C1069" s="55">
        <f t="shared" ca="1" si="194"/>
        <v>76769.729999999894</v>
      </c>
      <c r="D1069" s="55">
        <f t="shared" ca="1" si="194"/>
        <v>4307.9700000000039</v>
      </c>
      <c r="E1069" s="55">
        <f t="shared" ca="1" si="199"/>
        <v>0</v>
      </c>
      <c r="F1069" s="55">
        <f t="shared" ca="1" si="200"/>
        <v>228711.9871606552</v>
      </c>
      <c r="G1069" s="101">
        <f t="shared" ca="1" si="201"/>
        <v>459423.02716065513</v>
      </c>
      <c r="H1069" s="100">
        <f ca="1">ROUND($B1069*VLOOKUP($A1069,$A$1:$B$10,2,1)/(365+IF(MOD(YEAR($A1069),4),0,1)*($A1069-$A1068)),2)-Первоначальный[[#This Row],[Проценты на просроченный платеж по ОД за период]]</f>
        <v>72.069999999999993</v>
      </c>
      <c r="I1069" s="55">
        <f t="shared" ca="1" si="202"/>
        <v>9.51</v>
      </c>
      <c r="J1069" s="55">
        <v>0</v>
      </c>
      <c r="K1069" s="55">
        <f t="shared" ca="1" si="205"/>
        <v>463.45350327868846</v>
      </c>
      <c r="L1069" s="55">
        <v>0</v>
      </c>
      <c r="M1069" s="113">
        <f>SUMIFS(График[Возврат основной суммы долга],График[Дата с учетом нерабочих дней],$A1069)</f>
        <v>0</v>
      </c>
      <c r="N1069" s="56">
        <f>SUMIFS(График[Возврат начисленных %],График[Дата с учетом нерабочих дней],$A1069)</f>
        <v>0</v>
      </c>
      <c r="O1069" s="101">
        <v>0</v>
      </c>
      <c r="P1069" s="100" cm="1">
        <f t="array" aca="1" ref="P1069" ca="1">MAX(IF(AA1068="Да",0,SUM(INDIRECT("M"&amp;(MAX(("Да"=AA$12:AA1068)*ROW(AA$12:AA1068)+1,ROW($P$12))&amp;":M"&amp;(ROW()))))-SUM(INDIRECT("W"&amp;(MAX(("Да"=AA$12:AA1068)*ROW(AA$12:AA1068)+1,ROW($P$12))&amp;":W"&amp;(ROW()))))),0)</f>
        <v>17437.93</v>
      </c>
      <c r="Q1069" s="99">
        <f ca="1">MAX(SUM($N$13:N1069)-SUM($T$13:T1069),0)</f>
        <v>75252.77065573768</v>
      </c>
      <c r="R1069" s="99">
        <f ca="1">Первоначальный[[#This Row],[Просроченный платеж по ОД]]+Первоначальный[[#This Row],[Просроченный платеж по процентам]]</f>
        <v>92690.700655737688</v>
      </c>
      <c r="S1069" s="120">
        <f ca="1">IF(Первоначальный[[#This Row],[Просроченный платеж]]&lt;1,0,S1068+1)</f>
        <v>965</v>
      </c>
      <c r="T1069" s="100" cm="1">
        <f t="array" aca="1" ref="T1069" ca="1">IF(Первоначальный[[#This Row],[Итого остаток на начало периода]]&lt;1,0,
IF(
AND(TYPE(VLOOKUP(1,$Z$12:Z1069,1,0))=16,Первоначальный[[#This Row],[Досрочное погашение (да/"")]]=""),0,
_xlfn.IFS(AND(S1068=0,Первоначальный[[#This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платеж]]&lt;&gt;0),MIN(LOOKUP(,-1/($Z$12:Z1069=1),$C$12:C1069)+LOOKUP(,-1/($Z$12:Z1069=1),$H$12:H1069),Первоначальный[[#This Row],[Полученный платеж]]+Y1068),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платеж]]+Y1068,SUM(Первоначальный[[#This Row],[Остаток процентов на начало периода]],Первоначальный[[#This Row],[Проценты за период]])),
AND(S1068=0,Первоначальный[[#This Row],[Дата платежа из графика]]=""),0,
AND(S1068=0,Первоначальный[[#This Row],[Дата платежа из графика]]=1,MAX((0&lt;&gt;S$12:S1068)*ROW(S$12:S1068),ROW($S$12))&gt;=MAX((1=Z$12:Z1068)*ROW(Z$12:Z1068),ROW($T$12)),TYPE(VLOOKUP("Да",(INDIRECT("AA"&amp;(MAX((1=Z$12:Z1068)*ROW(Z$12:Z1068),ROW($T$12))&amp;":AA"&amp;(ROW()-1)))),1,0))=16),MIN(LOOKUP(,-1/($Z$12:Z1069=1),$C$12:C1069)+LOOKUP(,-1/($Z$12:Z1069=1),$H$12:H1069),Первоначальный[[#This Row],[Полученный платеж]]+Y1068),
AND(S1068=0,TYPE(VLOOKUP("Да",(INDIRECT("AA"&amp;(MAX((1=Z$12:Z1068)*ROW(Z$12:Z1068),ROW($T$12))&amp;":AA"&amp;(ROW()-1)))),1,0))&lt;&gt;16),MIN(LOOKUP(,-1/($Z$12:Z1069=1),$C$12:C1069)+LOOKUP(,-1/($Z$12:Z1069=1),$H$12:H1069)-IF(AA1068="Да",0,SUM(INDIRECT("T"&amp;(MAX(("Да"=AA$12:AA1068)*ROW(AA$12:AA1068)+1,ROW($T$12))&amp;":T"&amp;(ROW()-1))))),Первоначальный[[#This Row],[Полученный платеж]]+Y1068),
AND(S1068=0,MAX((0&lt;&gt;N$12:N1068)*ROW(N$12:N1068),ROW($S$12))&gt;=MAX((1=Z$12:Z1068)*ROW(Z$12:Z1068),ROW($T$12))),MIN(LOOKUP(,-1/($Z$12:Z1069=1),$C$12:C1069)+LOOKUP(,-1/($Z$12:Z1069=1),$H$12:H1069)-IF(N1068&lt;&gt;0,0,SUM(INDIRECT("T"&amp;(MAX((0&lt;&gt;N$12:N1068)*ROW(N$12:N1068)+1,ROW($T$12))&amp;":T"&amp;(ROW()-1))))),Первоначальный[[#This Row],[Полученный платеж]]+Y1068),
AND(S1068=0,Первоначальный[[#This Row],[Дата платежа из графика]]=1),MIN(LOOKUP(,-1/($Z$12:Z1069=1),$C$12:C1069)+LOOKUP(,-1/($Z$12:Z1069=1),$H$12:H1069)-IF(Z1068=1,0,SUM(INDIRECT("T"&amp;(MAX((1=Z$12:Z1068)*ROW(Z$12:Z1068)+1,ROW($T$12))&amp;":T"&amp;(ROW()-1))))),Первоначальный[[#This Row],[Полученный платеж]]+Y1068),
AND(Z1068&gt;0,Первоначальный[[#This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платеж]]+Y1068),
AND(S1068&gt;0,MAX((0&lt;&gt;S$12:S1068)*ROW(S$12:S1068),ROW($S$12))&gt;=MAX((1=Z$12:Z1068)*ROW(Z$12:Z1068),ROW($T$12)),TYPE(VLOOKUP("Да",(INDIRECT("AA"&amp;(MAX((1=Z$12:Z1068)*ROW(Z$12:Z1068),ROW($T$12))&amp;":AA"&amp;(ROW()-1)))),1,0))=16),MIN(LOOKUP(,-1/($Z$12:Z1069=1),$C$12:C1069)+LOOKUP(,-1/($Z$12:Z1069=1),$H$12:H1069)-SUM(INDIRECT("T"&amp;(MAX((1=Z$12:Z1068)*ROW(Z$12:Z1068),ROW($T$12))&amp;":T"&amp;(ROW()-1)))),Первоначальный[[#This Row],[Полученный платеж]]+Y1068),
S1068&gt;0,MIN(LOOKUP(,-1/($Z$12:Z1069=1),$C$12:C1069)+LOOKUP(,-1/($Z$12:Z1069=1),$H$12:H1069)-IF(Z1068=1,0,SUM(INDIRECT("T"&amp;(MAX((1=Z$12:Z1068)*ROW(Z$12:Z1068)+1,ROW($T$12))&amp;":T"&amp;(ROW()-1))))),Первоначальный[[#This Row],[Полученный платеж]]+Y1068)
)
)
)</f>
        <v>0</v>
      </c>
      <c r="U106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платеж]]+Y1068-Первоначальный[[#This Row],[Полученный платёж по процентам]])</f>
        <v>0</v>
      </c>
      <c r="V1069" s="55">
        <f t="shared" ca="1" si="195"/>
        <v>0</v>
      </c>
      <c r="W1069" s="55" cm="1">
        <f t="array" aca="1" ref="W1069" ca="1">IF(Первоначальный[[#This Row],[Итого остаток на начало периода]]&lt;1,0,
_xlfn.IFS(
AND(TYPE(VLOOKUP(1,$Z$12:Z1069,1,0))=16,Первоначальный[[#This Row],[Досрочное погашение (да/"")]]=""),0,
AND(S1068=0,Первоначальный[[#This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платеж]]+Y1068-SUM(Первоначальный[[#This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комиссиям]]),VLOOKUP(LOOKUP(,-1/($Z$12:Z1069=1),$A$12:A1069),График[[Срок конец]:[Возврат основной суммы долга]],3,0)),
AND(S1068=0,Первоначальный[[#This Row],[Дата платежа из графика]]="",Первоначальный[[#This Row],[Досрочное погашение (да/"")]]&lt;&gt;"Да"),0,
AND(S1068=0,Первоначальный[[#This Row],[Досрочное погашение (да/"")]]=""),MIN(Первоначальный[[#This Row],[Полученный платеж]]+Y1068-SUM(Первоначальный[[#This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комиссиям]]),VLOOKUP(LOOKUP(,-1/($Z$12:Z1069=1),$A$12:A1069),График[[Срок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платеж]]+Y1068-SUM(Первоначальный[[#This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S1068&gt;0,MIN(Первоначальный[[#This Row],[Полученный платеж]]+Y1068-SUM(Первоначальный[[#This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комиссиям]]),SUM(INDIRECT("M"&amp;(MAX((1=S$12:S1068)*ROW(S$12:S1068),ROW($W$12))&amp;":M"&amp;(ROW()))))-SUM(INDIRECT("W"&amp;(MAX((1=S$12:S1068)*ROW(S$12:S1068),ROW($W$12))&amp;":W"&amp;(ROW()-1)))))
)
)</f>
        <v>0</v>
      </c>
      <c r="X1069" s="55">
        <f t="shared" ca="1" si="196"/>
        <v>0</v>
      </c>
      <c r="Y1069" s="101">
        <f t="shared" ca="1" si="203"/>
        <v>0</v>
      </c>
      <c r="Z1069" s="133" t="str">
        <f>IF(TYPE((VLOOKUP(Первоначальный[[#This Row],[Дата платежа]],График[Срок конец],1,0)))=16,"",1)</f>
        <v/>
      </c>
      <c r="AA1069" s="57"/>
      <c r="AB1069" s="134"/>
      <c r="AC106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6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76841.799999999901</v>
      </c>
      <c r="AE106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4317.4800000000041</v>
      </c>
      <c r="AF106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6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229175.4406639339</v>
      </c>
      <c r="AH1069" s="55"/>
      <c r="AI1069" s="55"/>
      <c r="AJ1069" s="55"/>
      <c r="AK1069" s="101">
        <f t="shared" ca="1" si="204"/>
        <v>459968.06066393381</v>
      </c>
      <c r="AL1069" s="129">
        <f t="array" ref="AL1069">MAX((УслРестрактов[Характеристика]="Дата реструктуризации")*(УслРестрактов[Значение]=Первоначальный!$A1069),0)</f>
        <v>0</v>
      </c>
    </row>
    <row r="1070" spans="1:38" x14ac:dyDescent="0.25">
      <c r="A1070" s="97">
        <f t="shared" si="197"/>
        <v>45201</v>
      </c>
      <c r="B1070" s="100">
        <f t="shared" ca="1" si="198"/>
        <v>149633.34</v>
      </c>
      <c r="C1070" s="55">
        <f t="shared" ca="1" si="194"/>
        <v>76841.799999999901</v>
      </c>
      <c r="D1070" s="55">
        <f t="shared" ca="1" si="194"/>
        <v>4317.4800000000041</v>
      </c>
      <c r="E1070" s="55">
        <f t="shared" ca="1" si="199"/>
        <v>0</v>
      </c>
      <c r="F1070" s="55">
        <f t="shared" ca="1" si="200"/>
        <v>229175.4406639339</v>
      </c>
      <c r="G1070" s="101">
        <f t="shared" ca="1" si="201"/>
        <v>459968.06066393381</v>
      </c>
      <c r="H1070" s="100">
        <f ca="1">ROUND($B1070*VLOOKUP($A1070,$A$1:$B$10,2,1)/(365+IF(MOD(YEAR($A1070),4),0,1)*($A1070-$A1069)),2)-Первоначальный[[#This Row],[Проценты на просроченный платеж по ОД за период]]</f>
        <v>72.069999999999993</v>
      </c>
      <c r="I1070" s="55">
        <f t="shared" ca="1" si="202"/>
        <v>9.51</v>
      </c>
      <c r="J1070" s="55">
        <v>0</v>
      </c>
      <c r="K1070" s="55">
        <f t="shared" ca="1" si="205"/>
        <v>463.45350327868846</v>
      </c>
      <c r="L1070" s="55">
        <v>0</v>
      </c>
      <c r="M1070" s="113">
        <f>SUMIFS(График[Возврат основной суммы долга],График[Дата с учетом нерабочих дней],$A1070)</f>
        <v>0</v>
      </c>
      <c r="N1070" s="56">
        <f>SUMIFS(График[Возврат начисленных %],График[Дата с учетом нерабочих дней],$A1070)</f>
        <v>0</v>
      </c>
      <c r="O1070" s="101">
        <v>0</v>
      </c>
      <c r="P1070" s="100" cm="1">
        <f t="array" aca="1" ref="P1070" ca="1">MAX(IF(AA1069="Да",0,SUM(INDIRECT("M"&amp;(MAX(("Да"=AA$12:AA1069)*ROW(AA$12:AA1069)+1,ROW($P$12))&amp;":M"&amp;(ROW()))))-SUM(INDIRECT("W"&amp;(MAX(("Да"=AA$12:AA1069)*ROW(AA$12:AA1069)+1,ROW($P$12))&amp;":W"&amp;(ROW()))))),0)</f>
        <v>17437.93</v>
      </c>
      <c r="Q1070" s="99">
        <f ca="1">MAX(SUM($N$13:N1070)-SUM($T$13:T1070),0)</f>
        <v>75252.77065573768</v>
      </c>
      <c r="R1070" s="99">
        <f ca="1">Первоначальный[[#This Row],[Просроченный платеж по ОД]]+Первоначальный[[#This Row],[Просроченный платеж по процентам]]</f>
        <v>92690.700655737688</v>
      </c>
      <c r="S1070" s="120">
        <f ca="1">IF(Первоначальный[[#This Row],[Просроченный платеж]]&lt;1,0,S1069+1)</f>
        <v>966</v>
      </c>
      <c r="T1070" s="100" cm="1">
        <f t="array" aca="1" ref="T1070" ca="1">IF(Первоначальный[[#This Row],[Итого остаток на начало периода]]&lt;1,0,
IF(
AND(TYPE(VLOOKUP(1,$Z$12:Z1070,1,0))=16,Первоначальный[[#This Row],[Досрочное погашение (да/"")]]=""),0,
_xlfn.IFS(AND(S1069=0,Первоначальный[[#This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платеж]]&lt;&gt;0),MIN(LOOKUP(,-1/($Z$12:Z1070=1),$C$12:C1070)+LOOKUP(,-1/($Z$12:Z1070=1),$H$12:H1070),Первоначальный[[#This Row],[Полученный платеж]]+Y1069),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платеж]]+Y1069,SUM(Первоначальный[[#This Row],[Остаток процентов на начало периода]],Первоначальный[[#This Row],[Проценты за период]])),
AND(S1069=0,Первоначальный[[#This Row],[Дата платежа из графика]]=""),0,
AND(S1069=0,Первоначальный[[#This Row],[Дата платежа из графика]]=1,MAX((0&lt;&gt;S$12:S1069)*ROW(S$12:S1069),ROW($S$12))&gt;=MAX((1=Z$12:Z1069)*ROW(Z$12:Z1069),ROW($T$12)),TYPE(VLOOKUP("Да",(INDIRECT("AA"&amp;(MAX((1=Z$12:Z1069)*ROW(Z$12:Z1069),ROW($T$12))&amp;":AA"&amp;(ROW()-1)))),1,0))=16),MIN(LOOKUP(,-1/($Z$12:Z1070=1),$C$12:C1070)+LOOKUP(,-1/($Z$12:Z1070=1),$H$12:H1070),Первоначальный[[#This Row],[Полученный платеж]]+Y1069),
AND(S1069=0,TYPE(VLOOKUP("Да",(INDIRECT("AA"&amp;(MAX((1=Z$12:Z1069)*ROW(Z$12:Z1069),ROW($T$12))&amp;":AA"&amp;(ROW()-1)))),1,0))&lt;&gt;16),MIN(LOOKUP(,-1/($Z$12:Z1070=1),$C$12:C1070)+LOOKUP(,-1/($Z$12:Z1070=1),$H$12:H1070)-IF(AA1069="Да",0,SUM(INDIRECT("T"&amp;(MAX(("Да"=AA$12:AA1069)*ROW(AA$12:AA1069)+1,ROW($T$12))&amp;":T"&amp;(ROW()-1))))),Первоначальный[[#This Row],[Полученный платеж]]+Y1069),
AND(S1069=0,MAX((0&lt;&gt;N$12:N1069)*ROW(N$12:N1069),ROW($S$12))&gt;=MAX((1=Z$12:Z1069)*ROW(Z$12:Z1069),ROW($T$12))),MIN(LOOKUP(,-1/($Z$12:Z1070=1),$C$12:C1070)+LOOKUP(,-1/($Z$12:Z1070=1),$H$12:H1070)-IF(N1069&lt;&gt;0,0,SUM(INDIRECT("T"&amp;(MAX((0&lt;&gt;N$12:N1069)*ROW(N$12:N1069)+1,ROW($T$12))&amp;":T"&amp;(ROW()-1))))),Первоначальный[[#This Row],[Полученный платеж]]+Y1069),
AND(S1069=0,Первоначальный[[#This Row],[Дата платежа из графика]]=1),MIN(LOOKUP(,-1/($Z$12:Z1070=1),$C$12:C1070)+LOOKUP(,-1/($Z$12:Z1070=1),$H$12:H1070)-IF(Z1069=1,0,SUM(INDIRECT("T"&amp;(MAX((1=Z$12:Z1069)*ROW(Z$12:Z1069)+1,ROW($T$12))&amp;":T"&amp;(ROW()-1))))),Первоначальный[[#This Row],[Полученный платеж]]+Y1069),
AND(Z1069&gt;0,Первоначальный[[#This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платеж]]+Y1069),
AND(S1069&gt;0,MAX((0&lt;&gt;S$12:S1069)*ROW(S$12:S1069),ROW($S$12))&gt;=MAX((1=Z$12:Z1069)*ROW(Z$12:Z1069),ROW($T$12)),TYPE(VLOOKUP("Да",(INDIRECT("AA"&amp;(MAX((1=Z$12:Z1069)*ROW(Z$12:Z1069),ROW($T$12))&amp;":AA"&amp;(ROW()-1)))),1,0))=16),MIN(LOOKUP(,-1/($Z$12:Z1070=1),$C$12:C1070)+LOOKUP(,-1/($Z$12:Z1070=1),$H$12:H1070)-SUM(INDIRECT("T"&amp;(MAX((1=Z$12:Z1069)*ROW(Z$12:Z1069),ROW($T$12))&amp;":T"&amp;(ROW()-1)))),Первоначальный[[#This Row],[Полученный платеж]]+Y1069),
S1069&gt;0,MIN(LOOKUP(,-1/($Z$12:Z1070=1),$C$12:C1070)+LOOKUP(,-1/($Z$12:Z1070=1),$H$12:H1070)-IF(Z1069=1,0,SUM(INDIRECT("T"&amp;(MAX((1=Z$12:Z1069)*ROW(Z$12:Z1069)+1,ROW($T$12))&amp;":T"&amp;(ROW()-1))))),Первоначальный[[#This Row],[Полученный платеж]]+Y1069)
)
)
)</f>
        <v>0</v>
      </c>
      <c r="U107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платеж]]+Y1069-Первоначальный[[#This Row],[Полученный платёж по процентам]])</f>
        <v>0</v>
      </c>
      <c r="V1070" s="55">
        <f t="shared" ca="1" si="195"/>
        <v>0</v>
      </c>
      <c r="W1070" s="55" cm="1">
        <f t="array" aca="1" ref="W1070" ca="1">IF(Первоначальный[[#This Row],[Итого остаток на начало периода]]&lt;1,0,
_xlfn.IFS(
AND(TYPE(VLOOKUP(1,$Z$12:Z1070,1,0))=16,Первоначальный[[#This Row],[Досрочное погашение (да/"")]]=""),0,
AND(S1069=0,Первоначальный[[#This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платеж]]+Y1069-SUM(Первоначальный[[#This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комиссиям]]),VLOOKUP(LOOKUP(,-1/($Z$12:Z1070=1),$A$12:A1070),График[[Срок конец]:[Возврат основной суммы долга]],3,0)),
AND(S1069=0,Первоначальный[[#This Row],[Дата платежа из графика]]="",Первоначальный[[#This Row],[Досрочное погашение (да/"")]]&lt;&gt;"Да"),0,
AND(S1069=0,Первоначальный[[#This Row],[Досрочное погашение (да/"")]]=""),MIN(Первоначальный[[#This Row],[Полученный платеж]]+Y1069-SUM(Первоначальный[[#This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комиссиям]]),VLOOKUP(LOOKUP(,-1/($Z$12:Z1070=1),$A$12:A1070),График[[Срок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платеж]]+Y1069-SUM(Первоначальный[[#This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S1069&gt;0,MIN(Первоначальный[[#This Row],[Полученный платеж]]+Y1069-SUM(Первоначальный[[#This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комиссиям]]),SUM(INDIRECT("M"&amp;(MAX((1=S$12:S1069)*ROW(S$12:S1069),ROW($W$12))&amp;":M"&amp;(ROW()))))-SUM(INDIRECT("W"&amp;(MAX((1=S$12:S1069)*ROW(S$12:S1069),ROW($W$12))&amp;":W"&amp;(ROW()-1)))))
)
)</f>
        <v>0</v>
      </c>
      <c r="X1070" s="55">
        <f t="shared" ca="1" si="196"/>
        <v>0</v>
      </c>
      <c r="Y1070" s="101">
        <f t="shared" ca="1" si="203"/>
        <v>0</v>
      </c>
      <c r="Z1070" s="133" t="str">
        <f>IF(TYPE((VLOOKUP(Первоначальный[[#This Row],[Дата платежа]],График[Срок конец],1,0)))=16,"",1)</f>
        <v/>
      </c>
      <c r="AA1070" s="57"/>
      <c r="AB1070" s="134"/>
      <c r="AC107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7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76913.869999999908</v>
      </c>
      <c r="AE107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4326.9900000000043</v>
      </c>
      <c r="AF107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7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229638.89416721259</v>
      </c>
      <c r="AH1070" s="55"/>
      <c r="AI1070" s="55"/>
      <c r="AJ1070" s="55"/>
      <c r="AK1070" s="101">
        <f t="shared" ca="1" si="204"/>
        <v>460513.09416721249</v>
      </c>
      <c r="AL1070" s="129">
        <f t="array" ref="AL1070">MAX((УслРестрактов[Характеристика]="Дата реструктуризации")*(УслРестрактов[Значение]=Первоначальный!$A1070),0)</f>
        <v>0</v>
      </c>
    </row>
    <row r="1071" spans="1:38" x14ac:dyDescent="0.25">
      <c r="A1071" s="97">
        <f t="shared" si="197"/>
        <v>45202</v>
      </c>
      <c r="B1071" s="100">
        <f t="shared" ca="1" si="198"/>
        <v>149633.34</v>
      </c>
      <c r="C1071" s="55">
        <f t="shared" ca="1" si="194"/>
        <v>76913.869999999908</v>
      </c>
      <c r="D1071" s="55">
        <f t="shared" ca="1" si="194"/>
        <v>4326.9900000000043</v>
      </c>
      <c r="E1071" s="55">
        <f t="shared" ca="1" si="199"/>
        <v>0</v>
      </c>
      <c r="F1071" s="55">
        <f t="shared" ca="1" si="200"/>
        <v>229638.89416721259</v>
      </c>
      <c r="G1071" s="101">
        <f t="shared" ca="1" si="201"/>
        <v>460513.09416721249</v>
      </c>
      <c r="H1071" s="100">
        <f ca="1">ROUND($B1071*VLOOKUP($A1071,$A$1:$B$10,2,1)/(365+IF(MOD(YEAR($A1071),4),0,1)*($A1071-$A1070)),2)-Первоначальный[[#This Row],[Проценты на просроченный платеж по ОД за период]]</f>
        <v>72.069999999999993</v>
      </c>
      <c r="I1071" s="55">
        <f t="shared" ca="1" si="202"/>
        <v>9.51</v>
      </c>
      <c r="J1071" s="55">
        <v>0</v>
      </c>
      <c r="K1071" s="55">
        <f t="shared" ca="1" si="205"/>
        <v>463.45350327868846</v>
      </c>
      <c r="L1071" s="55">
        <v>0</v>
      </c>
      <c r="M1071" s="113">
        <f>SUMIFS(График[Возврат основной суммы долга],График[Дата с учетом нерабочих дней],$A1071)</f>
        <v>0</v>
      </c>
      <c r="N1071" s="56">
        <f>SUMIFS(График[Возврат начисленных %],График[Дата с учетом нерабочих дней],$A1071)</f>
        <v>0</v>
      </c>
      <c r="O1071" s="101">
        <v>0</v>
      </c>
      <c r="P1071" s="100" cm="1">
        <f t="array" aca="1" ref="P1071" ca="1">MAX(IF(AA1070="Да",0,SUM(INDIRECT("M"&amp;(MAX(("Да"=AA$12:AA1070)*ROW(AA$12:AA1070)+1,ROW($P$12))&amp;":M"&amp;(ROW()))))-SUM(INDIRECT("W"&amp;(MAX(("Да"=AA$12:AA1070)*ROW(AA$12:AA1070)+1,ROW($P$12))&amp;":W"&amp;(ROW()))))),0)</f>
        <v>17437.93</v>
      </c>
      <c r="Q1071" s="99">
        <f ca="1">MAX(SUM($N$13:N1071)-SUM($T$13:T1071),0)</f>
        <v>75252.77065573768</v>
      </c>
      <c r="R1071" s="99">
        <f ca="1">Первоначальный[[#This Row],[Просроченный платеж по ОД]]+Первоначальный[[#This Row],[Просроченный платеж по процентам]]</f>
        <v>92690.700655737688</v>
      </c>
      <c r="S1071" s="120">
        <f ca="1">IF(Первоначальный[[#This Row],[Просроченный платеж]]&lt;1,0,S1070+1)</f>
        <v>967</v>
      </c>
      <c r="T1071" s="100" cm="1">
        <f t="array" aca="1" ref="T1071" ca="1">IF(Первоначальный[[#This Row],[Итого остаток на начало периода]]&lt;1,0,
IF(
AND(TYPE(VLOOKUP(1,$Z$12:Z1071,1,0))=16,Первоначальный[[#This Row],[Досрочное погашение (да/"")]]=""),0,
_xlfn.IFS(AND(S1070=0,Первоначальный[[#This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платеж]]&lt;&gt;0),MIN(LOOKUP(,-1/($Z$12:Z1071=1),$C$12:C1071)+LOOKUP(,-1/($Z$12:Z1071=1),$H$12:H1071),Первоначальный[[#This Row],[Полученный платеж]]+Y1070),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платеж]]+Y1070,SUM(Первоначальный[[#This Row],[Остаток процентов на начало периода]],Первоначальный[[#This Row],[Проценты за период]])),
AND(S1070=0,Первоначальный[[#This Row],[Дата платежа из графика]]=""),0,
AND(S1070=0,Первоначальный[[#This Row],[Дата платежа из графика]]=1,MAX((0&lt;&gt;S$12:S1070)*ROW(S$12:S1070),ROW($S$12))&gt;=MAX((1=Z$12:Z1070)*ROW(Z$12:Z1070),ROW($T$12)),TYPE(VLOOKUP("Да",(INDIRECT("AA"&amp;(MAX((1=Z$12:Z1070)*ROW(Z$12:Z1070),ROW($T$12))&amp;":AA"&amp;(ROW()-1)))),1,0))=16),MIN(LOOKUP(,-1/($Z$12:Z1071=1),$C$12:C1071)+LOOKUP(,-1/($Z$12:Z1071=1),$H$12:H1071),Первоначальный[[#This Row],[Полученный платеж]]+Y1070),
AND(S1070=0,TYPE(VLOOKUP("Да",(INDIRECT("AA"&amp;(MAX((1=Z$12:Z1070)*ROW(Z$12:Z1070),ROW($T$12))&amp;":AA"&amp;(ROW()-1)))),1,0))&lt;&gt;16),MIN(LOOKUP(,-1/($Z$12:Z1071=1),$C$12:C1071)+LOOKUP(,-1/($Z$12:Z1071=1),$H$12:H1071)-IF(AA1070="Да",0,SUM(INDIRECT("T"&amp;(MAX(("Да"=AA$12:AA1070)*ROW(AA$12:AA1070)+1,ROW($T$12))&amp;":T"&amp;(ROW()-1))))),Первоначальный[[#This Row],[Полученный платеж]]+Y1070),
AND(S1070=0,MAX((0&lt;&gt;N$12:N1070)*ROW(N$12:N1070),ROW($S$12))&gt;=MAX((1=Z$12:Z1070)*ROW(Z$12:Z1070),ROW($T$12))),MIN(LOOKUP(,-1/($Z$12:Z1071=1),$C$12:C1071)+LOOKUP(,-1/($Z$12:Z1071=1),$H$12:H1071)-IF(N1070&lt;&gt;0,0,SUM(INDIRECT("T"&amp;(MAX((0&lt;&gt;N$12:N1070)*ROW(N$12:N1070)+1,ROW($T$12))&amp;":T"&amp;(ROW()-1))))),Первоначальный[[#This Row],[Полученный платеж]]+Y1070),
AND(S1070=0,Первоначальный[[#This Row],[Дата платежа из графика]]=1),MIN(LOOKUP(,-1/($Z$12:Z1071=1),$C$12:C1071)+LOOKUP(,-1/($Z$12:Z1071=1),$H$12:H1071)-IF(Z1070=1,0,SUM(INDIRECT("T"&amp;(MAX((1=Z$12:Z1070)*ROW(Z$12:Z1070)+1,ROW($T$12))&amp;":T"&amp;(ROW()-1))))),Первоначальный[[#This Row],[Полученный платеж]]+Y1070),
AND(Z1070&gt;0,Первоначальный[[#This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платеж]]+Y1070),
AND(S1070&gt;0,MAX((0&lt;&gt;S$12:S1070)*ROW(S$12:S1070),ROW($S$12))&gt;=MAX((1=Z$12:Z1070)*ROW(Z$12:Z1070),ROW($T$12)),TYPE(VLOOKUP("Да",(INDIRECT("AA"&amp;(MAX((1=Z$12:Z1070)*ROW(Z$12:Z1070),ROW($T$12))&amp;":AA"&amp;(ROW()-1)))),1,0))=16),MIN(LOOKUP(,-1/($Z$12:Z1071=1),$C$12:C1071)+LOOKUP(,-1/($Z$12:Z1071=1),$H$12:H1071)-SUM(INDIRECT("T"&amp;(MAX((1=Z$12:Z1070)*ROW(Z$12:Z1070),ROW($T$12))&amp;":T"&amp;(ROW()-1)))),Первоначальный[[#This Row],[Полученный платеж]]+Y1070),
S1070&gt;0,MIN(LOOKUP(,-1/($Z$12:Z1071=1),$C$12:C1071)+LOOKUP(,-1/($Z$12:Z1071=1),$H$12:H1071)-IF(Z1070=1,0,SUM(INDIRECT("T"&amp;(MAX((1=Z$12:Z1070)*ROW(Z$12:Z1070)+1,ROW($T$12))&amp;":T"&amp;(ROW()-1))))),Первоначальный[[#This Row],[Полученный платеж]]+Y1070)
)
)
)</f>
        <v>0</v>
      </c>
      <c r="U107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платеж]]+Y1070-Первоначальный[[#This Row],[Полученный платёж по процентам]])</f>
        <v>0</v>
      </c>
      <c r="V1071" s="55">
        <f t="shared" ca="1" si="195"/>
        <v>0</v>
      </c>
      <c r="W1071" s="55" cm="1">
        <f t="array" aca="1" ref="W1071" ca="1">IF(Первоначальный[[#This Row],[Итого остаток на начало периода]]&lt;1,0,
_xlfn.IFS(
AND(TYPE(VLOOKUP(1,$Z$12:Z1071,1,0))=16,Первоначальный[[#This Row],[Досрочное погашение (да/"")]]=""),0,
AND(S1070=0,Первоначальный[[#This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платеж]]+Y1070-SUM(Первоначальный[[#This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комиссиям]]),VLOOKUP(LOOKUP(,-1/($Z$12:Z1071=1),$A$12:A1071),График[[Срок конец]:[Возврат основной суммы долга]],3,0)),
AND(S1070=0,Первоначальный[[#This Row],[Дата платежа из графика]]="",Первоначальный[[#This Row],[Досрочное погашение (да/"")]]&lt;&gt;"Да"),0,
AND(S1070=0,Первоначальный[[#This Row],[Досрочное погашение (да/"")]]=""),MIN(Первоначальный[[#This Row],[Полученный платеж]]+Y1070-SUM(Первоначальный[[#This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комиссиям]]),VLOOKUP(LOOKUP(,-1/($Z$12:Z1071=1),$A$12:A1071),График[[Срок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платеж]]+Y1070-SUM(Первоначальный[[#This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S1070&gt;0,MIN(Первоначальный[[#This Row],[Полученный платеж]]+Y1070-SUM(Первоначальный[[#This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комиссиям]]),SUM(INDIRECT("M"&amp;(MAX((1=S$12:S1070)*ROW(S$12:S1070),ROW($W$12))&amp;":M"&amp;(ROW()))))-SUM(INDIRECT("W"&amp;(MAX((1=S$12:S1070)*ROW(S$12:S1070),ROW($W$12))&amp;":W"&amp;(ROW()-1)))))
)
)</f>
        <v>0</v>
      </c>
      <c r="X1071" s="55">
        <f t="shared" ca="1" si="196"/>
        <v>0</v>
      </c>
      <c r="Y1071" s="101">
        <f t="shared" ca="1" si="203"/>
        <v>0</v>
      </c>
      <c r="Z1071" s="133" t="str">
        <f>IF(TYPE((VLOOKUP(Первоначальный[[#This Row],[Дата платежа]],График[Срок конец],1,0)))=16,"",1)</f>
        <v/>
      </c>
      <c r="AA1071" s="57"/>
      <c r="AB1071" s="134"/>
      <c r="AC107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7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76985.939999999915</v>
      </c>
      <c r="AE107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4336.5000000000045</v>
      </c>
      <c r="AF107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7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230102.34767049129</v>
      </c>
      <c r="AH1071" s="55"/>
      <c r="AI1071" s="55"/>
      <c r="AJ1071" s="55"/>
      <c r="AK1071" s="101">
        <f t="shared" ca="1" si="204"/>
        <v>461058.12767049123</v>
      </c>
      <c r="AL1071" s="129">
        <f t="array" ref="AL1071">MAX((УслРестрактов[Характеристика]="Дата реструктуризации")*(УслРестрактов[Значение]=Первоначальный!$A1071),0)</f>
        <v>0</v>
      </c>
    </row>
    <row r="1072" spans="1:38" x14ac:dyDescent="0.25">
      <c r="A1072" s="97">
        <f t="shared" si="197"/>
        <v>45203</v>
      </c>
      <c r="B1072" s="100">
        <f t="shared" ca="1" si="198"/>
        <v>149633.34</v>
      </c>
      <c r="C1072" s="55">
        <f t="shared" ca="1" si="194"/>
        <v>76985.939999999915</v>
      </c>
      <c r="D1072" s="55">
        <f t="shared" ca="1" si="194"/>
        <v>4336.5000000000045</v>
      </c>
      <c r="E1072" s="55">
        <f t="shared" ca="1" si="199"/>
        <v>0</v>
      </c>
      <c r="F1072" s="55">
        <f t="shared" ca="1" si="200"/>
        <v>230102.34767049129</v>
      </c>
      <c r="G1072" s="101">
        <f t="shared" ca="1" si="201"/>
        <v>461058.12767049123</v>
      </c>
      <c r="H1072" s="100">
        <f ca="1">ROUND($B1072*VLOOKUP($A1072,$A$1:$B$10,2,1)/(365+IF(MOD(YEAR($A1072),4),0,1)*($A1072-$A1071)),2)-Первоначальный[[#This Row],[Проценты на просроченный платеж по ОД за период]]</f>
        <v>72.069999999999993</v>
      </c>
      <c r="I1072" s="55">
        <f t="shared" ca="1" si="202"/>
        <v>9.51</v>
      </c>
      <c r="J1072" s="55">
        <v>0</v>
      </c>
      <c r="K1072" s="55">
        <f t="shared" ca="1" si="205"/>
        <v>463.45350327868846</v>
      </c>
      <c r="L1072" s="55">
        <v>0</v>
      </c>
      <c r="M1072" s="113">
        <f>SUMIFS(График[Возврат основной суммы долга],График[Дата с учетом нерабочих дней],$A1072)</f>
        <v>0</v>
      </c>
      <c r="N1072" s="56">
        <f>SUMIFS(График[Возврат начисленных %],График[Дата с учетом нерабочих дней],$A1072)</f>
        <v>0</v>
      </c>
      <c r="O1072" s="101">
        <v>0</v>
      </c>
      <c r="P1072" s="100" cm="1">
        <f t="array" aca="1" ref="P1072" ca="1">MAX(IF(AA1071="Да",0,SUM(INDIRECT("M"&amp;(MAX(("Да"=AA$12:AA1071)*ROW(AA$12:AA1071)+1,ROW($P$12))&amp;":M"&amp;(ROW()))))-SUM(INDIRECT("W"&amp;(MAX(("Да"=AA$12:AA1071)*ROW(AA$12:AA1071)+1,ROW($P$12))&amp;":W"&amp;(ROW()))))),0)</f>
        <v>17437.93</v>
      </c>
      <c r="Q1072" s="99">
        <f ca="1">MAX(SUM($N$13:N1072)-SUM($T$13:T1072),0)</f>
        <v>75252.77065573768</v>
      </c>
      <c r="R1072" s="99">
        <f ca="1">Первоначальный[[#This Row],[Просроченный платеж по ОД]]+Первоначальный[[#This Row],[Просроченный платеж по процентам]]</f>
        <v>92690.700655737688</v>
      </c>
      <c r="S1072" s="120">
        <f ca="1">IF(Первоначальный[[#This Row],[Просроченный платеж]]&lt;1,0,S1071+1)</f>
        <v>968</v>
      </c>
      <c r="T1072" s="100" cm="1">
        <f t="array" aca="1" ref="T1072" ca="1">IF(Первоначальный[[#This Row],[Итого остаток на начало периода]]&lt;1,0,
IF(
AND(TYPE(VLOOKUP(1,$Z$12:Z1072,1,0))=16,Первоначальный[[#This Row],[Досрочное погашение (да/"")]]=""),0,
_xlfn.IFS(AND(S1071=0,Первоначальный[[#This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платеж]]&lt;&gt;0),MIN(LOOKUP(,-1/($Z$12:Z1072=1),$C$12:C1072)+LOOKUP(,-1/($Z$12:Z1072=1),$H$12:H1072),Первоначальный[[#This Row],[Полученный платеж]]+Y1071),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платеж]]+Y1071,SUM(Первоначальный[[#This Row],[Остаток процентов на начало периода]],Первоначальный[[#This Row],[Проценты за период]])),
AND(S1071=0,Первоначальный[[#This Row],[Дата платежа из графика]]=""),0,
AND(S1071=0,Первоначальный[[#This Row],[Дата платежа из графика]]=1,MAX((0&lt;&gt;S$12:S1071)*ROW(S$12:S1071),ROW($S$12))&gt;=MAX((1=Z$12:Z1071)*ROW(Z$12:Z1071),ROW($T$12)),TYPE(VLOOKUP("Да",(INDIRECT("AA"&amp;(MAX((1=Z$12:Z1071)*ROW(Z$12:Z1071),ROW($T$12))&amp;":AA"&amp;(ROW()-1)))),1,0))=16),MIN(LOOKUP(,-1/($Z$12:Z1072=1),$C$12:C1072)+LOOKUP(,-1/($Z$12:Z1072=1),$H$12:H1072),Первоначальный[[#This Row],[Полученный платеж]]+Y1071),
AND(S1071=0,TYPE(VLOOKUP("Да",(INDIRECT("AA"&amp;(MAX((1=Z$12:Z1071)*ROW(Z$12:Z1071),ROW($T$12))&amp;":AA"&amp;(ROW()-1)))),1,0))&lt;&gt;16),MIN(LOOKUP(,-1/($Z$12:Z1072=1),$C$12:C1072)+LOOKUP(,-1/($Z$12:Z1072=1),$H$12:H1072)-IF(AA1071="Да",0,SUM(INDIRECT("T"&amp;(MAX(("Да"=AA$12:AA1071)*ROW(AA$12:AA1071)+1,ROW($T$12))&amp;":T"&amp;(ROW()-1))))),Первоначальный[[#This Row],[Полученный платеж]]+Y1071),
AND(S1071=0,MAX((0&lt;&gt;N$12:N1071)*ROW(N$12:N1071),ROW($S$12))&gt;=MAX((1=Z$12:Z1071)*ROW(Z$12:Z1071),ROW($T$12))),MIN(LOOKUP(,-1/($Z$12:Z1072=1),$C$12:C1072)+LOOKUP(,-1/($Z$12:Z1072=1),$H$12:H1072)-IF(N1071&lt;&gt;0,0,SUM(INDIRECT("T"&amp;(MAX((0&lt;&gt;N$12:N1071)*ROW(N$12:N1071)+1,ROW($T$12))&amp;":T"&amp;(ROW()-1))))),Первоначальный[[#This Row],[Полученный платеж]]+Y1071),
AND(S1071=0,Первоначальный[[#This Row],[Дата платежа из графика]]=1),MIN(LOOKUP(,-1/($Z$12:Z1072=1),$C$12:C1072)+LOOKUP(,-1/($Z$12:Z1072=1),$H$12:H1072)-IF(Z1071=1,0,SUM(INDIRECT("T"&amp;(MAX((1=Z$12:Z1071)*ROW(Z$12:Z1071)+1,ROW($T$12))&amp;":T"&amp;(ROW()-1))))),Первоначальный[[#This Row],[Полученный платеж]]+Y1071),
AND(Z1071&gt;0,Первоначальный[[#This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платеж]]+Y1071),
AND(S1071&gt;0,MAX((0&lt;&gt;S$12:S1071)*ROW(S$12:S1071),ROW($S$12))&gt;=MAX((1=Z$12:Z1071)*ROW(Z$12:Z1071),ROW($T$12)),TYPE(VLOOKUP("Да",(INDIRECT("AA"&amp;(MAX((1=Z$12:Z1071)*ROW(Z$12:Z1071),ROW($T$12))&amp;":AA"&amp;(ROW()-1)))),1,0))=16),MIN(LOOKUP(,-1/($Z$12:Z1072=1),$C$12:C1072)+LOOKUP(,-1/($Z$12:Z1072=1),$H$12:H1072)-SUM(INDIRECT("T"&amp;(MAX((1=Z$12:Z1071)*ROW(Z$12:Z1071),ROW($T$12))&amp;":T"&amp;(ROW()-1)))),Первоначальный[[#This Row],[Полученный платеж]]+Y1071),
S1071&gt;0,MIN(LOOKUP(,-1/($Z$12:Z1072=1),$C$12:C1072)+LOOKUP(,-1/($Z$12:Z1072=1),$H$12:H1072)-IF(Z1071=1,0,SUM(INDIRECT("T"&amp;(MAX((1=Z$12:Z1071)*ROW(Z$12:Z1071)+1,ROW($T$12))&amp;":T"&amp;(ROW()-1))))),Первоначальный[[#This Row],[Полученный платеж]]+Y1071)
)
)
)</f>
        <v>0</v>
      </c>
      <c r="U107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платеж]]+Y1071-Первоначальный[[#This Row],[Полученный платёж по процентам]])</f>
        <v>0</v>
      </c>
      <c r="V1072" s="55">
        <f t="shared" ca="1" si="195"/>
        <v>0</v>
      </c>
      <c r="W1072" s="55" cm="1">
        <f t="array" aca="1" ref="W1072" ca="1">IF(Первоначальный[[#This Row],[Итого остаток на начало периода]]&lt;1,0,
_xlfn.IFS(
AND(TYPE(VLOOKUP(1,$Z$12:Z1072,1,0))=16,Первоначальный[[#This Row],[Досрочное погашение (да/"")]]=""),0,
AND(S1071=0,Первоначальный[[#This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платеж]]+Y1071-SUM(Первоначальный[[#This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комиссиям]]),VLOOKUP(LOOKUP(,-1/($Z$12:Z1072=1),$A$12:A1072),График[[Срок конец]:[Возврат основной суммы долга]],3,0)),
AND(S1071=0,Первоначальный[[#This Row],[Дата платежа из графика]]="",Первоначальный[[#This Row],[Досрочное погашение (да/"")]]&lt;&gt;"Да"),0,
AND(S1071=0,Первоначальный[[#This Row],[Досрочное погашение (да/"")]]=""),MIN(Первоначальный[[#This Row],[Полученный платеж]]+Y1071-SUM(Первоначальный[[#This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комиссиям]]),VLOOKUP(LOOKUP(,-1/($Z$12:Z1072=1),$A$12:A1072),График[[Срок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платеж]]+Y1071-SUM(Первоначальный[[#This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S1071&gt;0,MIN(Первоначальный[[#This Row],[Полученный платеж]]+Y1071-SUM(Первоначальный[[#This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комиссиям]]),SUM(INDIRECT("M"&amp;(MAX((1=S$12:S1071)*ROW(S$12:S1071),ROW($W$12))&amp;":M"&amp;(ROW()))))-SUM(INDIRECT("W"&amp;(MAX((1=S$12:S1071)*ROW(S$12:S1071),ROW($W$12))&amp;":W"&amp;(ROW()-1)))))
)
)</f>
        <v>0</v>
      </c>
      <c r="X1072" s="55">
        <f t="shared" ca="1" si="196"/>
        <v>0</v>
      </c>
      <c r="Y1072" s="101">
        <f t="shared" ca="1" si="203"/>
        <v>0</v>
      </c>
      <c r="Z1072" s="133" t="str">
        <f>IF(TYPE((VLOOKUP(Первоначальный[[#This Row],[Дата платежа]],График[Срок конец],1,0)))=16,"",1)</f>
        <v/>
      </c>
      <c r="AA1072" s="57"/>
      <c r="AB1072" s="134"/>
      <c r="AC107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7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77058.009999999922</v>
      </c>
      <c r="AE107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4346.0100000000048</v>
      </c>
      <c r="AF107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7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230565.80117376999</v>
      </c>
      <c r="AH1072" s="55"/>
      <c r="AI1072" s="55"/>
      <c r="AJ1072" s="55"/>
      <c r="AK1072" s="101">
        <f t="shared" ca="1" si="204"/>
        <v>461603.16117376991</v>
      </c>
      <c r="AL1072" s="129">
        <f t="array" ref="AL1072">MAX((УслРестрактов[Характеристика]="Дата реструктуризации")*(УслРестрактов[Значение]=Первоначальный!$A1072),0)</f>
        <v>0</v>
      </c>
    </row>
    <row r="1073" spans="1:38" x14ac:dyDescent="0.25">
      <c r="A1073" s="97">
        <f t="shared" si="197"/>
        <v>45204</v>
      </c>
      <c r="B1073" s="100">
        <f t="shared" ca="1" si="198"/>
        <v>149633.34</v>
      </c>
      <c r="C1073" s="55">
        <f t="shared" ca="1" si="194"/>
        <v>77058.009999999922</v>
      </c>
      <c r="D1073" s="55">
        <f t="shared" ca="1" si="194"/>
        <v>4346.0100000000048</v>
      </c>
      <c r="E1073" s="55">
        <f t="shared" ca="1" si="199"/>
        <v>0</v>
      </c>
      <c r="F1073" s="55">
        <f t="shared" ca="1" si="200"/>
        <v>230565.80117376999</v>
      </c>
      <c r="G1073" s="101">
        <f t="shared" ca="1" si="201"/>
        <v>461603.16117376991</v>
      </c>
      <c r="H1073" s="100">
        <f ca="1">ROUND($B1073*VLOOKUP($A1073,$A$1:$B$10,2,1)/(365+IF(MOD(YEAR($A1073),4),0,1)*($A1073-$A1072)),2)-Первоначальный[[#This Row],[Проценты на просроченный платеж по ОД за период]]</f>
        <v>72.069999999999993</v>
      </c>
      <c r="I1073" s="55">
        <f t="shared" ca="1" si="202"/>
        <v>9.51</v>
      </c>
      <c r="J1073" s="55">
        <v>0</v>
      </c>
      <c r="K1073" s="55">
        <f t="shared" ca="1" si="205"/>
        <v>463.45350327868846</v>
      </c>
      <c r="L1073" s="55">
        <v>0</v>
      </c>
      <c r="M1073" s="113">
        <f>SUMIFS(График[Возврат основной суммы долга],График[Дата с учетом нерабочих дней],$A1073)</f>
        <v>0</v>
      </c>
      <c r="N1073" s="56">
        <f>SUMIFS(График[Возврат начисленных %],График[Дата с учетом нерабочих дней],$A1073)</f>
        <v>0</v>
      </c>
      <c r="O1073" s="101">
        <v>0</v>
      </c>
      <c r="P1073" s="100" cm="1">
        <f t="array" aca="1" ref="P1073" ca="1">MAX(IF(AA1072="Да",0,SUM(INDIRECT("M"&amp;(MAX(("Да"=AA$12:AA1072)*ROW(AA$12:AA1072)+1,ROW($P$12))&amp;":M"&amp;(ROW()))))-SUM(INDIRECT("W"&amp;(MAX(("Да"=AA$12:AA1072)*ROW(AA$12:AA1072)+1,ROW($P$12))&amp;":W"&amp;(ROW()))))),0)</f>
        <v>17437.93</v>
      </c>
      <c r="Q1073" s="99">
        <f ca="1">MAX(SUM($N$13:N1073)-SUM($T$13:T1073),0)</f>
        <v>75252.77065573768</v>
      </c>
      <c r="R1073" s="99">
        <f ca="1">Первоначальный[[#This Row],[Просроченный платеж по ОД]]+Первоначальный[[#This Row],[Просроченный платеж по процентам]]</f>
        <v>92690.700655737688</v>
      </c>
      <c r="S1073" s="120">
        <f ca="1">IF(Первоначальный[[#This Row],[Просроченный платеж]]&lt;1,0,S1072+1)</f>
        <v>969</v>
      </c>
      <c r="T1073" s="100" cm="1">
        <f t="array" aca="1" ref="T1073" ca="1">IF(Первоначальный[[#This Row],[Итого остаток на начало периода]]&lt;1,0,
IF(
AND(TYPE(VLOOKUP(1,$Z$12:Z1073,1,0))=16,Первоначальный[[#This Row],[Досрочное погашение (да/"")]]=""),0,
_xlfn.IFS(AND(S1072=0,Первоначальный[[#This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платеж]]&lt;&gt;0),MIN(LOOKUP(,-1/($Z$12:Z1073=1),$C$12:C1073)+LOOKUP(,-1/($Z$12:Z1073=1),$H$12:H1073),Первоначальный[[#This Row],[Полученный платеж]]+Y1072),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платеж]]+Y1072,SUM(Первоначальный[[#This Row],[Остаток процентов на начало периода]],Первоначальный[[#This Row],[Проценты за период]])),
AND(S1072=0,Первоначальный[[#This Row],[Дата платежа из графика]]=""),0,
AND(S1072=0,Первоначальный[[#This Row],[Дата платежа из графика]]=1,MAX((0&lt;&gt;S$12:S1072)*ROW(S$12:S1072),ROW($S$12))&gt;=MAX((1=Z$12:Z1072)*ROW(Z$12:Z1072),ROW($T$12)),TYPE(VLOOKUP("Да",(INDIRECT("AA"&amp;(MAX((1=Z$12:Z1072)*ROW(Z$12:Z1072),ROW($T$12))&amp;":AA"&amp;(ROW()-1)))),1,0))=16),MIN(LOOKUP(,-1/($Z$12:Z1073=1),$C$12:C1073)+LOOKUP(,-1/($Z$12:Z1073=1),$H$12:H1073),Первоначальный[[#This Row],[Полученный платеж]]+Y1072),
AND(S1072=0,TYPE(VLOOKUP("Да",(INDIRECT("AA"&amp;(MAX((1=Z$12:Z1072)*ROW(Z$12:Z1072),ROW($T$12))&amp;":AA"&amp;(ROW()-1)))),1,0))&lt;&gt;16),MIN(LOOKUP(,-1/($Z$12:Z1073=1),$C$12:C1073)+LOOKUP(,-1/($Z$12:Z1073=1),$H$12:H1073)-IF(AA1072="Да",0,SUM(INDIRECT("T"&amp;(MAX(("Да"=AA$12:AA1072)*ROW(AA$12:AA1072)+1,ROW($T$12))&amp;":T"&amp;(ROW()-1))))),Первоначальный[[#This Row],[Полученный платеж]]+Y1072),
AND(S1072=0,MAX((0&lt;&gt;N$12:N1072)*ROW(N$12:N1072),ROW($S$12))&gt;=MAX((1=Z$12:Z1072)*ROW(Z$12:Z1072),ROW($T$12))),MIN(LOOKUP(,-1/($Z$12:Z1073=1),$C$12:C1073)+LOOKUP(,-1/($Z$12:Z1073=1),$H$12:H1073)-IF(N1072&lt;&gt;0,0,SUM(INDIRECT("T"&amp;(MAX((0&lt;&gt;N$12:N1072)*ROW(N$12:N1072)+1,ROW($T$12))&amp;":T"&amp;(ROW()-1))))),Первоначальный[[#This Row],[Полученный платеж]]+Y1072),
AND(S1072=0,Первоначальный[[#This Row],[Дата платежа из графика]]=1),MIN(LOOKUP(,-1/($Z$12:Z1073=1),$C$12:C1073)+LOOKUP(,-1/($Z$12:Z1073=1),$H$12:H1073)-IF(Z1072=1,0,SUM(INDIRECT("T"&amp;(MAX((1=Z$12:Z1072)*ROW(Z$12:Z1072)+1,ROW($T$12))&amp;":T"&amp;(ROW()-1))))),Первоначальный[[#This Row],[Полученный платеж]]+Y1072),
AND(Z1072&gt;0,Первоначальный[[#This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платеж]]+Y1072),
AND(S1072&gt;0,MAX((0&lt;&gt;S$12:S1072)*ROW(S$12:S1072),ROW($S$12))&gt;=MAX((1=Z$12:Z1072)*ROW(Z$12:Z1072),ROW($T$12)),TYPE(VLOOKUP("Да",(INDIRECT("AA"&amp;(MAX((1=Z$12:Z1072)*ROW(Z$12:Z1072),ROW($T$12))&amp;":AA"&amp;(ROW()-1)))),1,0))=16),MIN(LOOKUP(,-1/($Z$12:Z1073=1),$C$12:C1073)+LOOKUP(,-1/($Z$12:Z1073=1),$H$12:H1073)-SUM(INDIRECT("T"&amp;(MAX((1=Z$12:Z1072)*ROW(Z$12:Z1072),ROW($T$12))&amp;":T"&amp;(ROW()-1)))),Первоначальный[[#This Row],[Полученный платеж]]+Y1072),
S1072&gt;0,MIN(LOOKUP(,-1/($Z$12:Z1073=1),$C$12:C1073)+LOOKUP(,-1/($Z$12:Z1073=1),$H$12:H1073)-IF(Z1072=1,0,SUM(INDIRECT("T"&amp;(MAX((1=Z$12:Z1072)*ROW(Z$12:Z1072)+1,ROW($T$12))&amp;":T"&amp;(ROW()-1))))),Первоначальный[[#This Row],[Полученный платеж]]+Y1072)
)
)
)</f>
        <v>0</v>
      </c>
      <c r="U107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платеж]]+Y1072-Первоначальный[[#This Row],[Полученный платёж по процентам]])</f>
        <v>0</v>
      </c>
      <c r="V1073" s="55">
        <f t="shared" ca="1" si="195"/>
        <v>0</v>
      </c>
      <c r="W1073" s="55" cm="1">
        <f t="array" aca="1" ref="W1073" ca="1">IF(Первоначальный[[#This Row],[Итого остаток на начало периода]]&lt;1,0,
_xlfn.IFS(
AND(TYPE(VLOOKUP(1,$Z$12:Z1073,1,0))=16,Первоначальный[[#This Row],[Досрочное погашение (да/"")]]=""),0,
AND(S1072=0,Первоначальный[[#This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платеж]]+Y1072-SUM(Первоначальный[[#This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комиссиям]]),VLOOKUP(LOOKUP(,-1/($Z$12:Z1073=1),$A$12:A1073),График[[Срок конец]:[Возврат основной суммы долга]],3,0)),
AND(S1072=0,Первоначальный[[#This Row],[Дата платежа из графика]]="",Первоначальный[[#This Row],[Досрочное погашение (да/"")]]&lt;&gt;"Да"),0,
AND(S1072=0,Первоначальный[[#This Row],[Досрочное погашение (да/"")]]=""),MIN(Первоначальный[[#This Row],[Полученный платеж]]+Y1072-SUM(Первоначальный[[#This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комиссиям]]),VLOOKUP(LOOKUP(,-1/($Z$12:Z1073=1),$A$12:A1073),График[[Срок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платеж]]+Y1072-SUM(Первоначальный[[#This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S1072&gt;0,MIN(Первоначальный[[#This Row],[Полученный платеж]]+Y1072-SUM(Первоначальный[[#This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комиссиям]]),SUM(INDIRECT("M"&amp;(MAX((1=S$12:S1072)*ROW(S$12:S1072),ROW($W$12))&amp;":M"&amp;(ROW()))))-SUM(INDIRECT("W"&amp;(MAX((1=S$12:S1072)*ROW(S$12:S1072),ROW($W$12))&amp;":W"&amp;(ROW()-1)))))
)
)</f>
        <v>0</v>
      </c>
      <c r="X1073" s="55">
        <f t="shared" ca="1" si="196"/>
        <v>0</v>
      </c>
      <c r="Y1073" s="101">
        <f t="shared" ca="1" si="203"/>
        <v>0</v>
      </c>
      <c r="Z1073" s="133" t="str">
        <f>IF(TYPE((VLOOKUP(Первоначальный[[#This Row],[Дата платежа]],График[Срок конец],1,0)))=16,"",1)</f>
        <v/>
      </c>
      <c r="AA1073" s="57"/>
      <c r="AB1073" s="134"/>
      <c r="AC107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7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77130.079999999929</v>
      </c>
      <c r="AE107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4355.520000000005</v>
      </c>
      <c r="AF107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7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231029.25467704868</v>
      </c>
      <c r="AH1073" s="55"/>
      <c r="AI1073" s="55"/>
      <c r="AJ1073" s="55"/>
      <c r="AK1073" s="101">
        <f t="shared" ca="1" si="204"/>
        <v>462148.1946770486</v>
      </c>
      <c r="AL1073" s="129">
        <f t="array" ref="AL1073">MAX((УслРестрактов[Характеристика]="Дата реструктуризации")*(УслРестрактов[Значение]=Первоначальный!$A1073),0)</f>
        <v>0</v>
      </c>
    </row>
    <row r="1074" spans="1:38" x14ac:dyDescent="0.25">
      <c r="A1074" s="97">
        <f t="shared" si="197"/>
        <v>45205</v>
      </c>
      <c r="B1074" s="100">
        <f t="shared" ca="1" si="198"/>
        <v>149633.34</v>
      </c>
      <c r="C1074" s="55">
        <f t="shared" ca="1" si="194"/>
        <v>77130.079999999929</v>
      </c>
      <c r="D1074" s="55">
        <f t="shared" ca="1" si="194"/>
        <v>4355.520000000005</v>
      </c>
      <c r="E1074" s="55">
        <f t="shared" ca="1" si="199"/>
        <v>0</v>
      </c>
      <c r="F1074" s="55">
        <f t="shared" ca="1" si="200"/>
        <v>231029.25467704868</v>
      </c>
      <c r="G1074" s="101">
        <f t="shared" ca="1" si="201"/>
        <v>462148.1946770486</v>
      </c>
      <c r="H1074" s="100">
        <f ca="1">ROUND($B1074*VLOOKUP($A1074,$A$1:$B$10,2,1)/(365+IF(MOD(YEAR($A1074),4),0,1)*($A1074-$A1073)),2)-Первоначальный[[#This Row],[Проценты на просроченный платеж по ОД за период]]</f>
        <v>72.069999999999993</v>
      </c>
      <c r="I1074" s="55">
        <f t="shared" ca="1" si="202"/>
        <v>9.51</v>
      </c>
      <c r="J1074" s="55">
        <v>0</v>
      </c>
      <c r="K1074" s="55">
        <f t="shared" ca="1" si="205"/>
        <v>463.45350327868846</v>
      </c>
      <c r="L1074" s="55">
        <v>0</v>
      </c>
      <c r="M1074" s="113">
        <f>SUMIFS(График[Возврат основной суммы долга],График[Дата с учетом нерабочих дней],$A1074)</f>
        <v>0</v>
      </c>
      <c r="N1074" s="56">
        <f>SUMIFS(График[Возврат начисленных %],График[Дата с учетом нерабочих дней],$A1074)</f>
        <v>0</v>
      </c>
      <c r="O1074" s="101">
        <v>0</v>
      </c>
      <c r="P1074" s="100" cm="1">
        <f t="array" aca="1" ref="P1074" ca="1">MAX(IF(AA1073="Да",0,SUM(INDIRECT("M"&amp;(MAX(("Да"=AA$12:AA1073)*ROW(AA$12:AA1073)+1,ROW($P$12))&amp;":M"&amp;(ROW()))))-SUM(INDIRECT("W"&amp;(MAX(("Да"=AA$12:AA1073)*ROW(AA$12:AA1073)+1,ROW($P$12))&amp;":W"&amp;(ROW()))))),0)</f>
        <v>17437.93</v>
      </c>
      <c r="Q1074" s="99">
        <f ca="1">MAX(SUM($N$13:N1074)-SUM($T$13:T1074),0)</f>
        <v>75252.77065573768</v>
      </c>
      <c r="R1074" s="99">
        <f ca="1">Первоначальный[[#This Row],[Просроченный платеж по ОД]]+Первоначальный[[#This Row],[Просроченный платеж по процентам]]</f>
        <v>92690.700655737688</v>
      </c>
      <c r="S1074" s="120">
        <f ca="1">IF(Первоначальный[[#This Row],[Просроченный платеж]]&lt;1,0,S1073+1)</f>
        <v>970</v>
      </c>
      <c r="T1074" s="100" cm="1">
        <f t="array" aca="1" ref="T1074" ca="1">IF(Первоначальный[[#This Row],[Итого остаток на начало периода]]&lt;1,0,
IF(
AND(TYPE(VLOOKUP(1,$Z$12:Z1074,1,0))=16,Первоначальный[[#This Row],[Досрочное погашение (да/"")]]=""),0,
_xlfn.IFS(AND(S1073=0,Первоначальный[[#This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платеж]]&lt;&gt;0),MIN(LOOKUP(,-1/($Z$12:Z1074=1),$C$12:C1074)+LOOKUP(,-1/($Z$12:Z1074=1),$H$12:H1074),Первоначальный[[#This Row],[Полученный платеж]]+Y1073),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платеж]]+Y1073,SUM(Первоначальный[[#This Row],[Остаток процентов на начало периода]],Первоначальный[[#This Row],[Проценты за период]])),
AND(S1073=0,Первоначальный[[#This Row],[Дата платежа из графика]]=""),0,
AND(S1073=0,Первоначальный[[#This Row],[Дата платежа из графика]]=1,MAX((0&lt;&gt;S$12:S1073)*ROW(S$12:S1073),ROW($S$12))&gt;=MAX((1=Z$12:Z1073)*ROW(Z$12:Z1073),ROW($T$12)),TYPE(VLOOKUP("Да",(INDIRECT("AA"&amp;(MAX((1=Z$12:Z1073)*ROW(Z$12:Z1073),ROW($T$12))&amp;":AA"&amp;(ROW()-1)))),1,0))=16),MIN(LOOKUP(,-1/($Z$12:Z1074=1),$C$12:C1074)+LOOKUP(,-1/($Z$12:Z1074=1),$H$12:H1074),Первоначальный[[#This Row],[Полученный платеж]]+Y1073),
AND(S1073=0,TYPE(VLOOKUP("Да",(INDIRECT("AA"&amp;(MAX((1=Z$12:Z1073)*ROW(Z$12:Z1073),ROW($T$12))&amp;":AA"&amp;(ROW()-1)))),1,0))&lt;&gt;16),MIN(LOOKUP(,-1/($Z$12:Z1074=1),$C$12:C1074)+LOOKUP(,-1/($Z$12:Z1074=1),$H$12:H1074)-IF(AA1073="Да",0,SUM(INDIRECT("T"&amp;(MAX(("Да"=AA$12:AA1073)*ROW(AA$12:AA1073)+1,ROW($T$12))&amp;":T"&amp;(ROW()-1))))),Первоначальный[[#This Row],[Полученный платеж]]+Y1073),
AND(S1073=0,MAX((0&lt;&gt;N$12:N1073)*ROW(N$12:N1073),ROW($S$12))&gt;=MAX((1=Z$12:Z1073)*ROW(Z$12:Z1073),ROW($T$12))),MIN(LOOKUP(,-1/($Z$12:Z1074=1),$C$12:C1074)+LOOKUP(,-1/($Z$12:Z1074=1),$H$12:H1074)-IF(N1073&lt;&gt;0,0,SUM(INDIRECT("T"&amp;(MAX((0&lt;&gt;N$12:N1073)*ROW(N$12:N1073)+1,ROW($T$12))&amp;":T"&amp;(ROW()-1))))),Первоначальный[[#This Row],[Полученный платеж]]+Y1073),
AND(S1073=0,Первоначальный[[#This Row],[Дата платежа из графика]]=1),MIN(LOOKUP(,-1/($Z$12:Z1074=1),$C$12:C1074)+LOOKUP(,-1/($Z$12:Z1074=1),$H$12:H1074)-IF(Z1073=1,0,SUM(INDIRECT("T"&amp;(MAX((1=Z$12:Z1073)*ROW(Z$12:Z1073)+1,ROW($T$12))&amp;":T"&amp;(ROW()-1))))),Первоначальный[[#This Row],[Полученный платеж]]+Y1073),
AND(Z1073&gt;0,Первоначальный[[#This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платеж]]+Y1073),
AND(S1073&gt;0,MAX((0&lt;&gt;S$12:S1073)*ROW(S$12:S1073),ROW($S$12))&gt;=MAX((1=Z$12:Z1073)*ROW(Z$12:Z1073),ROW($T$12)),TYPE(VLOOKUP("Да",(INDIRECT("AA"&amp;(MAX((1=Z$12:Z1073)*ROW(Z$12:Z1073),ROW($T$12))&amp;":AA"&amp;(ROW()-1)))),1,0))=16),MIN(LOOKUP(,-1/($Z$12:Z1074=1),$C$12:C1074)+LOOKUP(,-1/($Z$12:Z1074=1),$H$12:H1074)-SUM(INDIRECT("T"&amp;(MAX((1=Z$12:Z1073)*ROW(Z$12:Z1073),ROW($T$12))&amp;":T"&amp;(ROW()-1)))),Первоначальный[[#This Row],[Полученный платеж]]+Y1073),
S1073&gt;0,MIN(LOOKUP(,-1/($Z$12:Z1074=1),$C$12:C1074)+LOOKUP(,-1/($Z$12:Z1074=1),$H$12:H1074)-IF(Z1073=1,0,SUM(INDIRECT("T"&amp;(MAX((1=Z$12:Z1073)*ROW(Z$12:Z1073)+1,ROW($T$12))&amp;":T"&amp;(ROW()-1))))),Первоначальный[[#This Row],[Полученный платеж]]+Y1073)
)
)
)</f>
        <v>0</v>
      </c>
      <c r="U107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платеж]]+Y1073-Первоначальный[[#This Row],[Полученный платёж по процентам]])</f>
        <v>0</v>
      </c>
      <c r="V1074" s="55">
        <f t="shared" ca="1" si="195"/>
        <v>0</v>
      </c>
      <c r="W1074" s="55" cm="1">
        <f t="array" aca="1" ref="W1074" ca="1">IF(Первоначальный[[#This Row],[Итого остаток на начало периода]]&lt;1,0,
_xlfn.IFS(
AND(TYPE(VLOOKUP(1,$Z$12:Z1074,1,0))=16,Первоначальный[[#This Row],[Досрочное погашение (да/"")]]=""),0,
AND(S1073=0,Первоначальный[[#This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платеж]]+Y1073-SUM(Первоначальный[[#This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комиссиям]]),VLOOKUP(LOOKUP(,-1/($Z$12:Z1074=1),$A$12:A1074),График[[Срок конец]:[Возврат основной суммы долга]],3,0)),
AND(S1073=0,Первоначальный[[#This Row],[Дата платежа из графика]]="",Первоначальный[[#This Row],[Досрочное погашение (да/"")]]&lt;&gt;"Да"),0,
AND(S1073=0,Первоначальный[[#This Row],[Досрочное погашение (да/"")]]=""),MIN(Первоначальный[[#This Row],[Полученный платеж]]+Y1073-SUM(Первоначальный[[#This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комиссиям]]),VLOOKUP(LOOKUP(,-1/($Z$12:Z1074=1),$A$12:A1074),График[[Срок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платеж]]+Y1073-SUM(Первоначальный[[#This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S1073&gt;0,MIN(Первоначальный[[#This Row],[Полученный платеж]]+Y1073-SUM(Первоначальный[[#This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комиссиям]]),SUM(INDIRECT("M"&amp;(MAX((1=S$12:S1073)*ROW(S$12:S1073),ROW($W$12))&amp;":M"&amp;(ROW()))))-SUM(INDIRECT("W"&amp;(MAX((1=S$12:S1073)*ROW(S$12:S1073),ROW($W$12))&amp;":W"&amp;(ROW()-1)))))
)
)</f>
        <v>0</v>
      </c>
      <c r="X1074" s="55">
        <f t="shared" ca="1" si="196"/>
        <v>0</v>
      </c>
      <c r="Y1074" s="101">
        <f t="shared" ca="1" si="203"/>
        <v>0</v>
      </c>
      <c r="Z1074" s="133" t="str">
        <f>IF(TYPE((VLOOKUP(Первоначальный[[#This Row],[Дата платежа]],График[Срок конец],1,0)))=16,"",1)</f>
        <v/>
      </c>
      <c r="AA1074" s="57"/>
      <c r="AB1074" s="134"/>
      <c r="AC107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7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77202.149999999936</v>
      </c>
      <c r="AE107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4365.0300000000052</v>
      </c>
      <c r="AF107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7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231492.70818032738</v>
      </c>
      <c r="AH1074" s="55"/>
      <c r="AI1074" s="55"/>
      <c r="AJ1074" s="55"/>
      <c r="AK1074" s="101">
        <f t="shared" ca="1" si="204"/>
        <v>462693.22818032734</v>
      </c>
      <c r="AL1074" s="129">
        <f t="array" ref="AL1074">MAX((УслРестрактов[Характеристика]="Дата реструктуризации")*(УслРестрактов[Значение]=Первоначальный!$A1074),0)</f>
        <v>0</v>
      </c>
    </row>
    <row r="1075" spans="1:38" x14ac:dyDescent="0.25">
      <c r="A1075" s="97">
        <f t="shared" si="197"/>
        <v>45206</v>
      </c>
      <c r="B1075" s="100">
        <f t="shared" ca="1" si="198"/>
        <v>149633.34</v>
      </c>
      <c r="C1075" s="55">
        <f t="shared" ca="1" si="194"/>
        <v>77202.149999999936</v>
      </c>
      <c r="D1075" s="55">
        <f t="shared" ca="1" si="194"/>
        <v>4365.0300000000052</v>
      </c>
      <c r="E1075" s="55">
        <f t="shared" ca="1" si="199"/>
        <v>0</v>
      </c>
      <c r="F1075" s="55">
        <f t="shared" ca="1" si="200"/>
        <v>231492.70818032738</v>
      </c>
      <c r="G1075" s="101">
        <f t="shared" ca="1" si="201"/>
        <v>462693.22818032734</v>
      </c>
      <c r="H1075" s="100">
        <f ca="1">ROUND($B1075*VLOOKUP($A1075,$A$1:$B$10,2,1)/(365+IF(MOD(YEAR($A1075),4),0,1)*($A1075-$A1074)),2)-Первоначальный[[#This Row],[Проценты на просроченный платеж по ОД за период]]</f>
        <v>72.069999999999993</v>
      </c>
      <c r="I1075" s="55">
        <f t="shared" ca="1" si="202"/>
        <v>9.51</v>
      </c>
      <c r="J1075" s="55">
        <v>0</v>
      </c>
      <c r="K1075" s="55">
        <f t="shared" ca="1" si="205"/>
        <v>463.45350327868846</v>
      </c>
      <c r="L1075" s="55">
        <v>0</v>
      </c>
      <c r="M1075" s="113">
        <f>SUMIFS(График[Возврат основной суммы долга],График[Дата с учетом нерабочих дней],$A1075)</f>
        <v>0</v>
      </c>
      <c r="N1075" s="56">
        <f>SUMIFS(График[Возврат начисленных %],График[Дата с учетом нерабочих дней],$A1075)</f>
        <v>0</v>
      </c>
      <c r="O1075" s="101">
        <v>0</v>
      </c>
      <c r="P1075" s="100" cm="1">
        <f t="array" aca="1" ref="P1075" ca="1">MAX(IF(AA1074="Да",0,SUM(INDIRECT("M"&amp;(MAX(("Да"=AA$12:AA1074)*ROW(AA$12:AA1074)+1,ROW($P$12))&amp;":M"&amp;(ROW()))))-SUM(INDIRECT("W"&amp;(MAX(("Да"=AA$12:AA1074)*ROW(AA$12:AA1074)+1,ROW($P$12))&amp;":W"&amp;(ROW()))))),0)</f>
        <v>17437.93</v>
      </c>
      <c r="Q1075" s="99">
        <f ca="1">MAX(SUM($N$13:N1075)-SUM($T$13:T1075),0)</f>
        <v>75252.77065573768</v>
      </c>
      <c r="R1075" s="99">
        <f ca="1">Первоначальный[[#This Row],[Просроченный платеж по ОД]]+Первоначальный[[#This Row],[Просроченный платеж по процентам]]</f>
        <v>92690.700655737688</v>
      </c>
      <c r="S1075" s="120">
        <f ca="1">IF(Первоначальный[[#This Row],[Просроченный платеж]]&lt;1,0,S1074+1)</f>
        <v>971</v>
      </c>
      <c r="T1075" s="100" cm="1">
        <f t="array" aca="1" ref="T1075" ca="1">IF(Первоначальный[[#This Row],[Итого остаток на начало периода]]&lt;1,0,
IF(
AND(TYPE(VLOOKUP(1,$Z$12:Z1075,1,0))=16,Первоначальный[[#This Row],[Досрочное погашение (да/"")]]=""),0,
_xlfn.IFS(AND(S1074=0,Первоначальный[[#This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платеж]]&lt;&gt;0),MIN(LOOKUP(,-1/($Z$12:Z1075=1),$C$12:C1075)+LOOKUP(,-1/($Z$12:Z1075=1),$H$12:H1075),Первоначальный[[#This Row],[Полученный платеж]]+Y1074),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платеж]]+Y1074,SUM(Первоначальный[[#This Row],[Остаток процентов на начало периода]],Первоначальный[[#This Row],[Проценты за период]])),
AND(S1074=0,Первоначальный[[#This Row],[Дата платежа из графика]]=""),0,
AND(S1074=0,Первоначальный[[#This Row],[Дата платежа из графика]]=1,MAX((0&lt;&gt;S$12:S1074)*ROW(S$12:S1074),ROW($S$12))&gt;=MAX((1=Z$12:Z1074)*ROW(Z$12:Z1074),ROW($T$12)),TYPE(VLOOKUP("Да",(INDIRECT("AA"&amp;(MAX((1=Z$12:Z1074)*ROW(Z$12:Z1074),ROW($T$12))&amp;":AA"&amp;(ROW()-1)))),1,0))=16),MIN(LOOKUP(,-1/($Z$12:Z1075=1),$C$12:C1075)+LOOKUP(,-1/($Z$12:Z1075=1),$H$12:H1075),Первоначальный[[#This Row],[Полученный платеж]]+Y1074),
AND(S1074=0,TYPE(VLOOKUP("Да",(INDIRECT("AA"&amp;(MAX((1=Z$12:Z1074)*ROW(Z$12:Z1074),ROW($T$12))&amp;":AA"&amp;(ROW()-1)))),1,0))&lt;&gt;16),MIN(LOOKUP(,-1/($Z$12:Z1075=1),$C$12:C1075)+LOOKUP(,-1/($Z$12:Z1075=1),$H$12:H1075)-IF(AA1074="Да",0,SUM(INDIRECT("T"&amp;(MAX(("Да"=AA$12:AA1074)*ROW(AA$12:AA1074)+1,ROW($T$12))&amp;":T"&amp;(ROW()-1))))),Первоначальный[[#This Row],[Полученный платеж]]+Y1074),
AND(S1074=0,MAX((0&lt;&gt;N$12:N1074)*ROW(N$12:N1074),ROW($S$12))&gt;=MAX((1=Z$12:Z1074)*ROW(Z$12:Z1074),ROW($T$12))),MIN(LOOKUP(,-1/($Z$12:Z1075=1),$C$12:C1075)+LOOKUP(,-1/($Z$12:Z1075=1),$H$12:H1075)-IF(N1074&lt;&gt;0,0,SUM(INDIRECT("T"&amp;(MAX((0&lt;&gt;N$12:N1074)*ROW(N$12:N1074)+1,ROW($T$12))&amp;":T"&amp;(ROW()-1))))),Первоначальный[[#This Row],[Полученный платеж]]+Y1074),
AND(S1074=0,Первоначальный[[#This Row],[Дата платежа из графика]]=1),MIN(LOOKUP(,-1/($Z$12:Z1075=1),$C$12:C1075)+LOOKUP(,-1/($Z$12:Z1075=1),$H$12:H1075)-IF(Z1074=1,0,SUM(INDIRECT("T"&amp;(MAX((1=Z$12:Z1074)*ROW(Z$12:Z1074)+1,ROW($T$12))&amp;":T"&amp;(ROW()-1))))),Первоначальный[[#This Row],[Полученный платеж]]+Y1074),
AND(Z1074&gt;0,Первоначальный[[#This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платеж]]+Y1074),
AND(S1074&gt;0,MAX((0&lt;&gt;S$12:S1074)*ROW(S$12:S1074),ROW($S$12))&gt;=MAX((1=Z$12:Z1074)*ROW(Z$12:Z1074),ROW($T$12)),TYPE(VLOOKUP("Да",(INDIRECT("AA"&amp;(MAX((1=Z$12:Z1074)*ROW(Z$12:Z1074),ROW($T$12))&amp;":AA"&amp;(ROW()-1)))),1,0))=16),MIN(LOOKUP(,-1/($Z$12:Z1075=1),$C$12:C1075)+LOOKUP(,-1/($Z$12:Z1075=1),$H$12:H1075)-SUM(INDIRECT("T"&amp;(MAX((1=Z$12:Z1074)*ROW(Z$12:Z1074),ROW($T$12))&amp;":T"&amp;(ROW()-1)))),Первоначальный[[#This Row],[Полученный платеж]]+Y1074),
S1074&gt;0,MIN(LOOKUP(,-1/($Z$12:Z1075=1),$C$12:C1075)+LOOKUP(,-1/($Z$12:Z1075=1),$H$12:H1075)-IF(Z1074=1,0,SUM(INDIRECT("T"&amp;(MAX((1=Z$12:Z1074)*ROW(Z$12:Z1074)+1,ROW($T$12))&amp;":T"&amp;(ROW()-1))))),Первоначальный[[#This Row],[Полученный платеж]]+Y1074)
)
)
)</f>
        <v>0</v>
      </c>
      <c r="U107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платеж]]+Y1074-Первоначальный[[#This Row],[Полученный платёж по процентам]])</f>
        <v>0</v>
      </c>
      <c r="V1075" s="55">
        <f t="shared" ca="1" si="195"/>
        <v>0</v>
      </c>
      <c r="W1075" s="55" cm="1">
        <f t="array" aca="1" ref="W1075" ca="1">IF(Первоначальный[[#This Row],[Итого остаток на начало периода]]&lt;1,0,
_xlfn.IFS(
AND(TYPE(VLOOKUP(1,$Z$12:Z1075,1,0))=16,Первоначальный[[#This Row],[Досрочное погашение (да/"")]]=""),0,
AND(S1074=0,Первоначальный[[#This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платеж]]+Y1074-SUM(Первоначальный[[#This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комиссиям]]),VLOOKUP(LOOKUP(,-1/($Z$12:Z1075=1),$A$12:A1075),График[[Срок конец]:[Возврат основной суммы долга]],3,0)),
AND(S1074=0,Первоначальный[[#This Row],[Дата платежа из графика]]="",Первоначальный[[#This Row],[Досрочное погашение (да/"")]]&lt;&gt;"Да"),0,
AND(S1074=0,Первоначальный[[#This Row],[Досрочное погашение (да/"")]]=""),MIN(Первоначальный[[#This Row],[Полученный платеж]]+Y1074-SUM(Первоначальный[[#This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комиссиям]]),VLOOKUP(LOOKUP(,-1/($Z$12:Z1075=1),$A$12:A1075),График[[Срок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платеж]]+Y1074-SUM(Первоначальный[[#This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S1074&gt;0,MIN(Первоначальный[[#This Row],[Полученный платеж]]+Y1074-SUM(Первоначальный[[#This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комиссиям]]),SUM(INDIRECT("M"&amp;(MAX((1=S$12:S1074)*ROW(S$12:S1074),ROW($W$12))&amp;":M"&amp;(ROW()))))-SUM(INDIRECT("W"&amp;(MAX((1=S$12:S1074)*ROW(S$12:S1074),ROW($W$12))&amp;":W"&amp;(ROW()-1)))))
)
)</f>
        <v>0</v>
      </c>
      <c r="X1075" s="55">
        <f t="shared" ca="1" si="196"/>
        <v>0</v>
      </c>
      <c r="Y1075" s="101">
        <f t="shared" ca="1" si="203"/>
        <v>0</v>
      </c>
      <c r="Z1075" s="133" t="str">
        <f>IF(TYPE((VLOOKUP(Первоначальный[[#This Row],[Дата платежа]],График[Срок конец],1,0)))=16,"",1)</f>
        <v/>
      </c>
      <c r="AA1075" s="57"/>
      <c r="AB1075" s="134"/>
      <c r="AC107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7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77274.219999999943</v>
      </c>
      <c r="AE107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4374.5400000000054</v>
      </c>
      <c r="AF107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7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231956.16168360607</v>
      </c>
      <c r="AH1075" s="55"/>
      <c r="AI1075" s="55"/>
      <c r="AJ1075" s="55"/>
      <c r="AK1075" s="101">
        <f t="shared" ca="1" si="204"/>
        <v>463238.26168360602</v>
      </c>
      <c r="AL1075" s="129">
        <f t="array" ref="AL1075">MAX((УслРестрактов[Характеристика]="Дата реструктуризации")*(УслРестрактов[Значение]=Первоначальный!$A1075),0)</f>
        <v>0</v>
      </c>
    </row>
    <row r="1076" spans="1:38" x14ac:dyDescent="0.25">
      <c r="A1076" s="97">
        <f t="shared" si="197"/>
        <v>45207</v>
      </c>
      <c r="B1076" s="100">
        <f t="shared" ca="1" si="198"/>
        <v>149633.34</v>
      </c>
      <c r="C1076" s="55">
        <f t="shared" ca="1" si="194"/>
        <v>77274.219999999943</v>
      </c>
      <c r="D1076" s="55">
        <f t="shared" ca="1" si="194"/>
        <v>4374.5400000000054</v>
      </c>
      <c r="E1076" s="55">
        <f t="shared" ca="1" si="199"/>
        <v>0</v>
      </c>
      <c r="F1076" s="55">
        <f t="shared" ca="1" si="200"/>
        <v>231956.16168360607</v>
      </c>
      <c r="G1076" s="101">
        <f t="shared" ca="1" si="201"/>
        <v>463238.26168360602</v>
      </c>
      <c r="H1076" s="100">
        <f ca="1">ROUND($B1076*VLOOKUP($A1076,$A$1:$B$10,2,1)/(365+IF(MOD(YEAR($A1076),4),0,1)*($A1076-$A1075)),2)-Первоначальный[[#This Row],[Проценты на просроченный платеж по ОД за период]]</f>
        <v>72.069999999999993</v>
      </c>
      <c r="I1076" s="55">
        <f t="shared" ca="1" si="202"/>
        <v>9.51</v>
      </c>
      <c r="J1076" s="55">
        <v>0</v>
      </c>
      <c r="K1076" s="55">
        <f t="shared" ca="1" si="205"/>
        <v>463.45350327868846</v>
      </c>
      <c r="L1076" s="55">
        <v>0</v>
      </c>
      <c r="M1076" s="113">
        <f>SUMIFS(График[Возврат основной суммы долга],График[Дата с учетом нерабочих дней],$A1076)</f>
        <v>0</v>
      </c>
      <c r="N1076" s="56">
        <f>SUMIFS(График[Возврат начисленных %],График[Дата с учетом нерабочих дней],$A1076)</f>
        <v>0</v>
      </c>
      <c r="O1076" s="101">
        <v>0</v>
      </c>
      <c r="P1076" s="100" cm="1">
        <f t="array" aca="1" ref="P1076" ca="1">MAX(IF(AA1075="Да",0,SUM(INDIRECT("M"&amp;(MAX(("Да"=AA$12:AA1075)*ROW(AA$12:AA1075)+1,ROW($P$12))&amp;":M"&amp;(ROW()))))-SUM(INDIRECT("W"&amp;(MAX(("Да"=AA$12:AA1075)*ROW(AA$12:AA1075)+1,ROW($P$12))&amp;":W"&amp;(ROW()))))),0)</f>
        <v>17437.93</v>
      </c>
      <c r="Q1076" s="99">
        <f ca="1">MAX(SUM($N$13:N1076)-SUM($T$13:T1076),0)</f>
        <v>75252.77065573768</v>
      </c>
      <c r="R1076" s="99">
        <f ca="1">Первоначальный[[#This Row],[Просроченный платеж по ОД]]+Первоначальный[[#This Row],[Просроченный платеж по процентам]]</f>
        <v>92690.700655737688</v>
      </c>
      <c r="S1076" s="120">
        <f ca="1">IF(Первоначальный[[#This Row],[Просроченный платеж]]&lt;1,0,S1075+1)</f>
        <v>972</v>
      </c>
      <c r="T1076" s="100" cm="1">
        <f t="array" aca="1" ref="T1076" ca="1">IF(Первоначальный[[#This Row],[Итого остаток на начало периода]]&lt;1,0,
IF(
AND(TYPE(VLOOKUP(1,$Z$12:Z1076,1,0))=16,Первоначальный[[#This Row],[Досрочное погашение (да/"")]]=""),0,
_xlfn.IFS(AND(S1075=0,Первоначальный[[#This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платеж]]&lt;&gt;0),MIN(LOOKUP(,-1/($Z$12:Z1076=1),$C$12:C1076)+LOOKUP(,-1/($Z$12:Z1076=1),$H$12:H1076),Первоначальный[[#This Row],[Полученный платеж]]+Y1075),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платеж]]+Y1075,SUM(Первоначальный[[#This Row],[Остаток процентов на начало периода]],Первоначальный[[#This Row],[Проценты за период]])),
AND(S1075=0,Первоначальный[[#This Row],[Дата платежа из графика]]=""),0,
AND(S1075=0,Первоначальный[[#This Row],[Дата платежа из графика]]=1,MAX((0&lt;&gt;S$12:S1075)*ROW(S$12:S1075),ROW($S$12))&gt;=MAX((1=Z$12:Z1075)*ROW(Z$12:Z1075),ROW($T$12)),TYPE(VLOOKUP("Да",(INDIRECT("AA"&amp;(MAX((1=Z$12:Z1075)*ROW(Z$12:Z1075),ROW($T$12))&amp;":AA"&amp;(ROW()-1)))),1,0))=16),MIN(LOOKUP(,-1/($Z$12:Z1076=1),$C$12:C1076)+LOOKUP(,-1/($Z$12:Z1076=1),$H$12:H1076),Первоначальный[[#This Row],[Полученный платеж]]+Y1075),
AND(S1075=0,TYPE(VLOOKUP("Да",(INDIRECT("AA"&amp;(MAX((1=Z$12:Z1075)*ROW(Z$12:Z1075),ROW($T$12))&amp;":AA"&amp;(ROW()-1)))),1,0))&lt;&gt;16),MIN(LOOKUP(,-1/($Z$12:Z1076=1),$C$12:C1076)+LOOKUP(,-1/($Z$12:Z1076=1),$H$12:H1076)-IF(AA1075="Да",0,SUM(INDIRECT("T"&amp;(MAX(("Да"=AA$12:AA1075)*ROW(AA$12:AA1075)+1,ROW($T$12))&amp;":T"&amp;(ROW()-1))))),Первоначальный[[#This Row],[Полученный платеж]]+Y1075),
AND(S1075=0,MAX((0&lt;&gt;N$12:N1075)*ROW(N$12:N1075),ROW($S$12))&gt;=MAX((1=Z$12:Z1075)*ROW(Z$12:Z1075),ROW($T$12))),MIN(LOOKUP(,-1/($Z$12:Z1076=1),$C$12:C1076)+LOOKUP(,-1/($Z$12:Z1076=1),$H$12:H1076)-IF(N1075&lt;&gt;0,0,SUM(INDIRECT("T"&amp;(MAX((0&lt;&gt;N$12:N1075)*ROW(N$12:N1075)+1,ROW($T$12))&amp;":T"&amp;(ROW()-1))))),Первоначальный[[#This Row],[Полученный платеж]]+Y1075),
AND(S1075=0,Первоначальный[[#This Row],[Дата платежа из графика]]=1),MIN(LOOKUP(,-1/($Z$12:Z1076=1),$C$12:C1076)+LOOKUP(,-1/($Z$12:Z1076=1),$H$12:H1076)-IF(Z1075=1,0,SUM(INDIRECT("T"&amp;(MAX((1=Z$12:Z1075)*ROW(Z$12:Z1075)+1,ROW($T$12))&amp;":T"&amp;(ROW()-1))))),Первоначальный[[#This Row],[Полученный платеж]]+Y1075),
AND(Z1075&gt;0,Первоначальный[[#This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платеж]]+Y1075),
AND(S1075&gt;0,MAX((0&lt;&gt;S$12:S1075)*ROW(S$12:S1075),ROW($S$12))&gt;=MAX((1=Z$12:Z1075)*ROW(Z$12:Z1075),ROW($T$12)),TYPE(VLOOKUP("Да",(INDIRECT("AA"&amp;(MAX((1=Z$12:Z1075)*ROW(Z$12:Z1075),ROW($T$12))&amp;":AA"&amp;(ROW()-1)))),1,0))=16),MIN(LOOKUP(,-1/($Z$12:Z1076=1),$C$12:C1076)+LOOKUP(,-1/($Z$12:Z1076=1),$H$12:H1076)-SUM(INDIRECT("T"&amp;(MAX((1=Z$12:Z1075)*ROW(Z$12:Z1075),ROW($T$12))&amp;":T"&amp;(ROW()-1)))),Первоначальный[[#This Row],[Полученный платеж]]+Y1075),
S1075&gt;0,MIN(LOOKUP(,-1/($Z$12:Z1076=1),$C$12:C1076)+LOOKUP(,-1/($Z$12:Z1076=1),$H$12:H1076)-IF(Z1075=1,0,SUM(INDIRECT("T"&amp;(MAX((1=Z$12:Z1075)*ROW(Z$12:Z1075)+1,ROW($T$12))&amp;":T"&amp;(ROW()-1))))),Первоначальный[[#This Row],[Полученный платеж]]+Y1075)
)
)
)</f>
        <v>0</v>
      </c>
      <c r="U107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платеж]]+Y1075-Первоначальный[[#This Row],[Полученный платёж по процентам]])</f>
        <v>0</v>
      </c>
      <c r="V1076" s="55">
        <f t="shared" ca="1" si="195"/>
        <v>0</v>
      </c>
      <c r="W1076" s="55" cm="1">
        <f t="array" aca="1" ref="W1076" ca="1">IF(Первоначальный[[#This Row],[Итого остаток на начало периода]]&lt;1,0,
_xlfn.IFS(
AND(TYPE(VLOOKUP(1,$Z$12:Z1076,1,0))=16,Первоначальный[[#This Row],[Досрочное погашение (да/"")]]=""),0,
AND(S1075=0,Первоначальный[[#This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платеж]]+Y1075-SUM(Первоначальный[[#This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комиссиям]]),VLOOKUP(LOOKUP(,-1/($Z$12:Z1076=1),$A$12:A1076),График[[Срок конец]:[Возврат основной суммы долга]],3,0)),
AND(S1075=0,Первоначальный[[#This Row],[Дата платежа из графика]]="",Первоначальный[[#This Row],[Досрочное погашение (да/"")]]&lt;&gt;"Да"),0,
AND(S1075=0,Первоначальный[[#This Row],[Досрочное погашение (да/"")]]=""),MIN(Первоначальный[[#This Row],[Полученный платеж]]+Y1075-SUM(Первоначальный[[#This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комиссиям]]),VLOOKUP(LOOKUP(,-1/($Z$12:Z1076=1),$A$12:A1076),График[[Срок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платеж]]+Y1075-SUM(Первоначальный[[#This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S1075&gt;0,MIN(Первоначальный[[#This Row],[Полученный платеж]]+Y1075-SUM(Первоначальный[[#This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комиссиям]]),SUM(INDIRECT("M"&amp;(MAX((1=S$12:S1075)*ROW(S$12:S1075),ROW($W$12))&amp;":M"&amp;(ROW()))))-SUM(INDIRECT("W"&amp;(MAX((1=S$12:S1075)*ROW(S$12:S1075),ROW($W$12))&amp;":W"&amp;(ROW()-1)))))
)
)</f>
        <v>0</v>
      </c>
      <c r="X1076" s="55">
        <f t="shared" ca="1" si="196"/>
        <v>0</v>
      </c>
      <c r="Y1076" s="101">
        <f t="shared" ca="1" si="203"/>
        <v>0</v>
      </c>
      <c r="Z1076" s="133" t="str">
        <f>IF(TYPE((VLOOKUP(Первоначальный[[#This Row],[Дата платежа]],График[Срок конец],1,0)))=16,"",1)</f>
        <v/>
      </c>
      <c r="AA1076" s="57"/>
      <c r="AB1076" s="134"/>
      <c r="AC107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7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77346.28999999995</v>
      </c>
      <c r="AE107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4384.0500000000056</v>
      </c>
      <c r="AF107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7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232419.61518688477</v>
      </c>
      <c r="AH1076" s="55"/>
      <c r="AI1076" s="55"/>
      <c r="AJ1076" s="55"/>
      <c r="AK1076" s="101">
        <f t="shared" ca="1" si="204"/>
        <v>463783.2951868847</v>
      </c>
      <c r="AL1076" s="129">
        <f t="array" ref="AL1076">MAX((УслРестрактов[Характеристика]="Дата реструктуризации")*(УслРестрактов[Значение]=Первоначальный!$A1076),0)</f>
        <v>0</v>
      </c>
    </row>
    <row r="1077" spans="1:38" x14ac:dyDescent="0.25">
      <c r="A1077" s="97">
        <f t="shared" si="197"/>
        <v>45208</v>
      </c>
      <c r="B1077" s="100">
        <f t="shared" ca="1" si="198"/>
        <v>149633.34</v>
      </c>
      <c r="C1077" s="55">
        <f t="shared" ca="1" si="194"/>
        <v>77346.28999999995</v>
      </c>
      <c r="D1077" s="55">
        <f t="shared" ca="1" si="194"/>
        <v>4384.0500000000056</v>
      </c>
      <c r="E1077" s="55">
        <f t="shared" ca="1" si="199"/>
        <v>0</v>
      </c>
      <c r="F1077" s="55">
        <f t="shared" ca="1" si="200"/>
        <v>232419.61518688477</v>
      </c>
      <c r="G1077" s="101">
        <f t="shared" ca="1" si="201"/>
        <v>463783.2951868847</v>
      </c>
      <c r="H1077" s="100">
        <f ca="1">ROUND($B1077*VLOOKUP($A1077,$A$1:$B$10,2,1)/(365+IF(MOD(YEAR($A1077),4),0,1)*($A1077-$A1076)),2)-Первоначальный[[#This Row],[Проценты на просроченный платеж по ОД за период]]</f>
        <v>72.069999999999993</v>
      </c>
      <c r="I1077" s="55">
        <f t="shared" ca="1" si="202"/>
        <v>9.51</v>
      </c>
      <c r="J1077" s="55">
        <v>0</v>
      </c>
      <c r="K1077" s="55">
        <f t="shared" ca="1" si="205"/>
        <v>477.93850327868847</v>
      </c>
      <c r="L1077" s="55">
        <v>0</v>
      </c>
      <c r="M1077" s="113">
        <f>SUMIFS(График[Возврат основной суммы долга],График[Дата с учетом нерабочих дней],$A1077)</f>
        <v>734.79</v>
      </c>
      <c r="N1077" s="56">
        <f>SUMIFS(График[Возврат начисленных %],График[Дата с учетом нерабочих дней],$A1077)</f>
        <v>2162.21</v>
      </c>
      <c r="O1077" s="101">
        <v>0</v>
      </c>
      <c r="P1077" s="100" cm="1">
        <f t="array" aca="1" ref="P1077" ca="1">MAX(IF(AA1076="Да",0,SUM(INDIRECT("M"&amp;(MAX(("Да"=AA$12:AA1076)*ROW(AA$12:AA1076)+1,ROW($P$12))&amp;":M"&amp;(ROW()))))-SUM(INDIRECT("W"&amp;(MAX(("Да"=AA$12:AA1076)*ROW(AA$12:AA1076)+1,ROW($P$12))&amp;":W"&amp;(ROW()))))),0)</f>
        <v>18172.72</v>
      </c>
      <c r="Q1077" s="99">
        <f ca="1">MAX(SUM($N$13:N1077)-SUM($T$13:T1077),0)</f>
        <v>77414.980655737687</v>
      </c>
      <c r="R1077" s="99">
        <f ca="1">Первоначальный[[#This Row],[Просроченный платеж по ОД]]+Первоначальный[[#This Row],[Просроченный платеж по процентам]]</f>
        <v>95587.700655737688</v>
      </c>
      <c r="S1077" s="120">
        <f ca="1">IF(Первоначальный[[#This Row],[Просроченный платеж]]&lt;1,0,S1076+1)</f>
        <v>973</v>
      </c>
      <c r="T1077" s="100" cm="1">
        <f t="array" aca="1" ref="T1077" ca="1">IF(Первоначальный[[#This Row],[Итого остаток на начало периода]]&lt;1,0,
IF(
AND(TYPE(VLOOKUP(1,$Z$12:Z1077,1,0))=16,Первоначальный[[#This Row],[Досрочное погашение (да/"")]]=""),0,
_xlfn.IFS(AND(S1076=0,Первоначальный[[#This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платеж]]&lt;&gt;0),MIN(LOOKUP(,-1/($Z$12:Z1077=1),$C$12:C1077)+LOOKUP(,-1/($Z$12:Z1077=1),$H$12:H1077),Первоначальный[[#This Row],[Полученный платеж]]+Y1076),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платеж]]+Y1076,SUM(Первоначальный[[#This Row],[Остаток процентов на начало периода]],Первоначальный[[#This Row],[Проценты за период]])),
AND(S1076=0,Первоначальный[[#This Row],[Дата платежа из графика]]=""),0,
AND(S1076=0,Первоначальный[[#This Row],[Дата платежа из графика]]=1,MAX((0&lt;&gt;S$12:S1076)*ROW(S$12:S1076),ROW($S$12))&gt;=MAX((1=Z$12:Z1076)*ROW(Z$12:Z1076),ROW($T$12)),TYPE(VLOOKUP("Да",(INDIRECT("AA"&amp;(MAX((1=Z$12:Z1076)*ROW(Z$12:Z1076),ROW($T$12))&amp;":AA"&amp;(ROW()-1)))),1,0))=16),MIN(LOOKUP(,-1/($Z$12:Z1077=1),$C$12:C1077)+LOOKUP(,-1/($Z$12:Z1077=1),$H$12:H1077),Первоначальный[[#This Row],[Полученный платеж]]+Y1076),
AND(S1076=0,TYPE(VLOOKUP("Да",(INDIRECT("AA"&amp;(MAX((1=Z$12:Z1076)*ROW(Z$12:Z1076),ROW($T$12))&amp;":AA"&amp;(ROW()-1)))),1,0))&lt;&gt;16),MIN(LOOKUP(,-1/($Z$12:Z1077=1),$C$12:C1077)+LOOKUP(,-1/($Z$12:Z1077=1),$H$12:H1077)-IF(AA1076="Да",0,SUM(INDIRECT("T"&amp;(MAX(("Да"=AA$12:AA1076)*ROW(AA$12:AA1076)+1,ROW($T$12))&amp;":T"&amp;(ROW()-1))))),Первоначальный[[#This Row],[Полученный платеж]]+Y1076),
AND(S1076=0,MAX((0&lt;&gt;N$12:N1076)*ROW(N$12:N1076),ROW($S$12))&gt;=MAX((1=Z$12:Z1076)*ROW(Z$12:Z1076),ROW($T$12))),MIN(LOOKUP(,-1/($Z$12:Z1077=1),$C$12:C1077)+LOOKUP(,-1/($Z$12:Z1077=1),$H$12:H1077)-IF(N1076&lt;&gt;0,0,SUM(INDIRECT("T"&amp;(MAX((0&lt;&gt;N$12:N1076)*ROW(N$12:N1076)+1,ROW($T$12))&amp;":T"&amp;(ROW()-1))))),Первоначальный[[#This Row],[Полученный платеж]]+Y1076),
AND(S1076=0,Первоначальный[[#This Row],[Дата платежа из графика]]=1),MIN(LOOKUP(,-1/($Z$12:Z1077=1),$C$12:C1077)+LOOKUP(,-1/($Z$12:Z1077=1),$H$12:H1077)-IF(Z1076=1,0,SUM(INDIRECT("T"&amp;(MAX((1=Z$12:Z1076)*ROW(Z$12:Z1076)+1,ROW($T$12))&amp;":T"&amp;(ROW()-1))))),Первоначальный[[#This Row],[Полученный платеж]]+Y1076),
AND(Z1076&gt;0,Первоначальный[[#This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платеж]]+Y1076),
AND(S1076&gt;0,MAX((0&lt;&gt;S$12:S1076)*ROW(S$12:S1076),ROW($S$12))&gt;=MAX((1=Z$12:Z1076)*ROW(Z$12:Z1076),ROW($T$12)),TYPE(VLOOKUP("Да",(INDIRECT("AA"&amp;(MAX((1=Z$12:Z1076)*ROW(Z$12:Z1076),ROW($T$12))&amp;":AA"&amp;(ROW()-1)))),1,0))=16),MIN(LOOKUP(,-1/($Z$12:Z1077=1),$C$12:C1077)+LOOKUP(,-1/($Z$12:Z1077=1),$H$12:H1077)-SUM(INDIRECT("T"&amp;(MAX((1=Z$12:Z1076)*ROW(Z$12:Z1076),ROW($T$12))&amp;":T"&amp;(ROW()-1)))),Первоначальный[[#This Row],[Полученный платеж]]+Y1076),
S1076&gt;0,MIN(LOOKUP(,-1/($Z$12:Z1077=1),$C$12:C1077)+LOOKUP(,-1/($Z$12:Z1077=1),$H$12:H1077)-IF(Z1076=1,0,SUM(INDIRECT("T"&amp;(MAX((1=Z$12:Z1076)*ROW(Z$12:Z1076)+1,ROW($T$12))&amp;":T"&amp;(ROW()-1))))),Первоначальный[[#This Row],[Полученный платеж]]+Y1076)
)
)
)</f>
        <v>0</v>
      </c>
      <c r="U107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платеж]]+Y1076-Первоначальный[[#This Row],[Полученный платёж по процентам]])</f>
        <v>0</v>
      </c>
      <c r="V1077" s="55">
        <f t="shared" ca="1" si="195"/>
        <v>0</v>
      </c>
      <c r="W1077" s="55" cm="1">
        <f t="array" aca="1" ref="W1077" ca="1">IF(Первоначальный[[#This Row],[Итого остаток на начало периода]]&lt;1,0,
_xlfn.IFS(
AND(TYPE(VLOOKUP(1,$Z$12:Z1077,1,0))=16,Первоначальный[[#This Row],[Досрочное погашение (да/"")]]=""),0,
AND(S1076=0,Первоначальный[[#This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платеж]]+Y1076-SUM(Первоначальный[[#This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комиссиям]]),VLOOKUP(LOOKUP(,-1/($Z$12:Z1077=1),$A$12:A1077),График[[Срок конец]:[Возврат основной суммы долга]],3,0)),
AND(S1076=0,Первоначальный[[#This Row],[Дата платежа из графика]]="",Первоначальный[[#This Row],[Досрочное погашение (да/"")]]&lt;&gt;"Да"),0,
AND(S1076=0,Первоначальный[[#This Row],[Досрочное погашение (да/"")]]=""),MIN(Первоначальный[[#This Row],[Полученный платеж]]+Y1076-SUM(Первоначальный[[#This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комиссиям]]),VLOOKUP(LOOKUP(,-1/($Z$12:Z1077=1),$A$12:A1077),График[[Срок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платеж]]+Y1076-SUM(Первоначальный[[#This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S1076&gt;0,MIN(Первоначальный[[#This Row],[Полученный платеж]]+Y1076-SUM(Первоначальный[[#This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комиссиям]]),SUM(INDIRECT("M"&amp;(MAX((1=S$12:S1076)*ROW(S$12:S1076),ROW($W$12))&amp;":M"&amp;(ROW()))))-SUM(INDIRECT("W"&amp;(MAX((1=S$12:S1076)*ROW(S$12:S1076),ROW($W$12))&amp;":W"&amp;(ROW()-1)))))
)
)</f>
        <v>0</v>
      </c>
      <c r="X1077" s="55">
        <f t="shared" ca="1" si="196"/>
        <v>0</v>
      </c>
      <c r="Y1077" s="101">
        <f t="shared" ca="1" si="203"/>
        <v>0</v>
      </c>
      <c r="Z1077" s="133">
        <f>IF(TYPE((VLOOKUP(Первоначальный[[#This Row],[Дата платежа]],График[Срок конец],1,0)))=16,"",1)</f>
        <v>1</v>
      </c>
      <c r="AA1077" s="57"/>
      <c r="AB1077" s="134"/>
      <c r="AC107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7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77418.359999999957</v>
      </c>
      <c r="AE107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4393.5600000000059</v>
      </c>
      <c r="AF107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7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232897.55369016345</v>
      </c>
      <c r="AH1077" s="55"/>
      <c r="AI1077" s="55"/>
      <c r="AJ1077" s="55"/>
      <c r="AK1077" s="101">
        <f t="shared" ca="1" si="204"/>
        <v>464342.81369016343</v>
      </c>
      <c r="AL1077" s="129">
        <f t="array" ref="AL1077">MAX((УслРестрактов[Характеристика]="Дата реструктуризации")*(УслРестрактов[Значение]=Первоначальный!$A1077),0)</f>
        <v>0</v>
      </c>
    </row>
    <row r="1078" spans="1:38" x14ac:dyDescent="0.25">
      <c r="A1078" s="97">
        <f t="shared" si="197"/>
        <v>45209</v>
      </c>
      <c r="B1078" s="100">
        <f t="shared" ca="1" si="198"/>
        <v>149633.34</v>
      </c>
      <c r="C1078" s="55">
        <f t="shared" ca="1" si="194"/>
        <v>77418.359999999957</v>
      </c>
      <c r="D1078" s="55">
        <f t="shared" ca="1" si="194"/>
        <v>4393.5600000000059</v>
      </c>
      <c r="E1078" s="55">
        <f t="shared" ca="1" si="199"/>
        <v>0</v>
      </c>
      <c r="F1078" s="55">
        <f t="shared" ca="1" si="200"/>
        <v>232897.55369016345</v>
      </c>
      <c r="G1078" s="101">
        <f t="shared" ca="1" si="201"/>
        <v>464342.81369016343</v>
      </c>
      <c r="H1078" s="100">
        <f ca="1">ROUND($B1078*VLOOKUP($A1078,$A$1:$B$10,2,1)/(365+IF(MOD(YEAR($A1078),4),0,1)*($A1078-$A1077)),2)-Первоначальный[[#This Row],[Проценты на просроченный платеж по ОД за период]]</f>
        <v>71.67</v>
      </c>
      <c r="I1078" s="55">
        <f t="shared" ca="1" si="202"/>
        <v>9.91</v>
      </c>
      <c r="J1078" s="55">
        <v>0</v>
      </c>
      <c r="K1078" s="55">
        <f t="shared" ca="1" si="205"/>
        <v>477.93850327868847</v>
      </c>
      <c r="L1078" s="55">
        <v>0</v>
      </c>
      <c r="M1078" s="113">
        <f>SUMIFS(График[Возврат основной суммы долга],График[Дата с учетом нерабочих дней],$A1078)</f>
        <v>0</v>
      </c>
      <c r="N1078" s="56">
        <f>SUMIFS(График[Возврат начисленных %],График[Дата с учетом нерабочих дней],$A1078)</f>
        <v>0</v>
      </c>
      <c r="O1078" s="101">
        <v>0</v>
      </c>
      <c r="P1078" s="100" cm="1">
        <f t="array" aca="1" ref="P1078" ca="1">MAX(IF(AA1077="Да",0,SUM(INDIRECT("M"&amp;(MAX(("Да"=AA$12:AA1077)*ROW(AA$12:AA1077)+1,ROW($P$12))&amp;":M"&amp;(ROW()))))-SUM(INDIRECT("W"&amp;(MAX(("Да"=AA$12:AA1077)*ROW(AA$12:AA1077)+1,ROW($P$12))&amp;":W"&amp;(ROW()))))),0)</f>
        <v>18172.72</v>
      </c>
      <c r="Q1078" s="99">
        <f ca="1">MAX(SUM($N$13:N1078)-SUM($T$13:T1078),0)</f>
        <v>77414.980655737687</v>
      </c>
      <c r="R1078" s="99">
        <f ca="1">Первоначальный[[#This Row],[Просроченный платеж по ОД]]+Первоначальный[[#This Row],[Просроченный платеж по процентам]]</f>
        <v>95587.700655737688</v>
      </c>
      <c r="S1078" s="120">
        <f ca="1">IF(Первоначальный[[#This Row],[Просроченный платеж]]&lt;1,0,S1077+1)</f>
        <v>974</v>
      </c>
      <c r="T1078" s="100" cm="1">
        <f t="array" aca="1" ref="T1078" ca="1">IF(Первоначальный[[#This Row],[Итого остаток на начало периода]]&lt;1,0,
IF(
AND(TYPE(VLOOKUP(1,$Z$12:Z1078,1,0))=16,Первоначальный[[#This Row],[Досрочное погашение (да/"")]]=""),0,
_xlfn.IFS(AND(S1077=0,Первоначальный[[#This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платеж]]&lt;&gt;0),MIN(LOOKUP(,-1/($Z$12:Z1078=1),$C$12:C1078)+LOOKUP(,-1/($Z$12:Z1078=1),$H$12:H1078),Первоначальный[[#This Row],[Полученный платеж]]+Y1077),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платеж]]+Y1077,SUM(Первоначальный[[#This Row],[Остаток процентов на начало периода]],Первоначальный[[#This Row],[Проценты за период]])),
AND(S1077=0,Первоначальный[[#This Row],[Дата платежа из графика]]=""),0,
AND(S1077=0,Первоначальный[[#This Row],[Дата платежа из графика]]=1,MAX((0&lt;&gt;S$12:S1077)*ROW(S$12:S1077),ROW($S$12))&gt;=MAX((1=Z$12:Z1077)*ROW(Z$12:Z1077),ROW($T$12)),TYPE(VLOOKUP("Да",(INDIRECT("AA"&amp;(MAX((1=Z$12:Z1077)*ROW(Z$12:Z1077),ROW($T$12))&amp;":AA"&amp;(ROW()-1)))),1,0))=16),MIN(LOOKUP(,-1/($Z$12:Z1078=1),$C$12:C1078)+LOOKUP(,-1/($Z$12:Z1078=1),$H$12:H1078),Первоначальный[[#This Row],[Полученный платеж]]+Y1077),
AND(S1077=0,TYPE(VLOOKUP("Да",(INDIRECT("AA"&amp;(MAX((1=Z$12:Z1077)*ROW(Z$12:Z1077),ROW($T$12))&amp;":AA"&amp;(ROW()-1)))),1,0))&lt;&gt;16),MIN(LOOKUP(,-1/($Z$12:Z1078=1),$C$12:C1078)+LOOKUP(,-1/($Z$12:Z1078=1),$H$12:H1078)-IF(AA1077="Да",0,SUM(INDIRECT("T"&amp;(MAX(("Да"=AA$12:AA1077)*ROW(AA$12:AA1077)+1,ROW($T$12))&amp;":T"&amp;(ROW()-1))))),Первоначальный[[#This Row],[Полученный платеж]]+Y1077),
AND(S1077=0,MAX((0&lt;&gt;N$12:N1077)*ROW(N$12:N1077),ROW($S$12))&gt;=MAX((1=Z$12:Z1077)*ROW(Z$12:Z1077),ROW($T$12))),MIN(LOOKUP(,-1/($Z$12:Z1078=1),$C$12:C1078)+LOOKUP(,-1/($Z$12:Z1078=1),$H$12:H1078)-IF(N1077&lt;&gt;0,0,SUM(INDIRECT("T"&amp;(MAX((0&lt;&gt;N$12:N1077)*ROW(N$12:N1077)+1,ROW($T$12))&amp;":T"&amp;(ROW()-1))))),Первоначальный[[#This Row],[Полученный платеж]]+Y1077),
AND(S1077=0,Первоначальный[[#This Row],[Дата платежа из графика]]=1),MIN(LOOKUP(,-1/($Z$12:Z1078=1),$C$12:C1078)+LOOKUP(,-1/($Z$12:Z1078=1),$H$12:H1078)-IF(Z1077=1,0,SUM(INDIRECT("T"&amp;(MAX((1=Z$12:Z1077)*ROW(Z$12:Z1077)+1,ROW($T$12))&amp;":T"&amp;(ROW()-1))))),Первоначальный[[#This Row],[Полученный платеж]]+Y1077),
AND(Z1077&gt;0,Первоначальный[[#This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платеж]]+Y1077),
AND(S1077&gt;0,MAX((0&lt;&gt;S$12:S1077)*ROW(S$12:S1077),ROW($S$12))&gt;=MAX((1=Z$12:Z1077)*ROW(Z$12:Z1077),ROW($T$12)),TYPE(VLOOKUP("Да",(INDIRECT("AA"&amp;(MAX((1=Z$12:Z1077)*ROW(Z$12:Z1077),ROW($T$12))&amp;":AA"&amp;(ROW()-1)))),1,0))=16),MIN(LOOKUP(,-1/($Z$12:Z1078=1),$C$12:C1078)+LOOKUP(,-1/($Z$12:Z1078=1),$H$12:H1078)-SUM(INDIRECT("T"&amp;(MAX((1=Z$12:Z1077)*ROW(Z$12:Z1077),ROW($T$12))&amp;":T"&amp;(ROW()-1)))),Первоначальный[[#This Row],[Полученный платеж]]+Y1077),
S1077&gt;0,MIN(LOOKUP(,-1/($Z$12:Z1078=1),$C$12:C1078)+LOOKUP(,-1/($Z$12:Z1078=1),$H$12:H1078)-IF(Z1077=1,0,SUM(INDIRECT("T"&amp;(MAX((1=Z$12:Z1077)*ROW(Z$12:Z1077)+1,ROW($T$12))&amp;":T"&amp;(ROW()-1))))),Первоначальный[[#This Row],[Полученный платеж]]+Y1077)
)
)
)</f>
        <v>0</v>
      </c>
      <c r="U107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платеж]]+Y1077-Первоначальный[[#This Row],[Полученный платёж по процентам]])</f>
        <v>0</v>
      </c>
      <c r="V1078" s="55">
        <f t="shared" ca="1" si="195"/>
        <v>0</v>
      </c>
      <c r="W1078" s="55" cm="1">
        <f t="array" aca="1" ref="W1078" ca="1">IF(Первоначальный[[#This Row],[Итого остаток на начало периода]]&lt;1,0,
_xlfn.IFS(
AND(TYPE(VLOOKUP(1,$Z$12:Z1078,1,0))=16,Первоначальный[[#This Row],[Досрочное погашение (да/"")]]=""),0,
AND(S1077=0,Первоначальный[[#This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платеж]]+Y1077-SUM(Первоначальный[[#This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комиссиям]]),VLOOKUP(LOOKUP(,-1/($Z$12:Z1078=1),$A$12:A1078),График[[Срок конец]:[Возврат основной суммы долга]],3,0)),
AND(S1077=0,Первоначальный[[#This Row],[Дата платежа из графика]]="",Первоначальный[[#This Row],[Досрочное погашение (да/"")]]&lt;&gt;"Да"),0,
AND(S1077=0,Первоначальный[[#This Row],[Досрочное погашение (да/"")]]=""),MIN(Первоначальный[[#This Row],[Полученный платеж]]+Y1077-SUM(Первоначальный[[#This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комиссиям]]),VLOOKUP(LOOKUP(,-1/($Z$12:Z1078=1),$A$12:A1078),График[[Срок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платеж]]+Y1077-SUM(Первоначальный[[#This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S1077&gt;0,MIN(Первоначальный[[#This Row],[Полученный платеж]]+Y1077-SUM(Первоначальный[[#This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комиссиям]]),SUM(INDIRECT("M"&amp;(MAX((1=S$12:S1077)*ROW(S$12:S1077),ROW($W$12))&amp;":M"&amp;(ROW()))))-SUM(INDIRECT("W"&amp;(MAX((1=S$12:S1077)*ROW(S$12:S1077),ROW($W$12))&amp;":W"&amp;(ROW()-1)))))
)
)</f>
        <v>0</v>
      </c>
      <c r="X1078" s="55">
        <f t="shared" ca="1" si="196"/>
        <v>0</v>
      </c>
      <c r="Y1078" s="101">
        <f t="shared" ca="1" si="203"/>
        <v>0</v>
      </c>
      <c r="Z1078" s="133" t="str">
        <f>IF(TYPE((VLOOKUP(Первоначальный[[#This Row],[Дата платежа]],График[Срок конец],1,0)))=16,"",1)</f>
        <v/>
      </c>
      <c r="AA1078" s="57"/>
      <c r="AB1078" s="134"/>
      <c r="AC107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7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77490.029999999955</v>
      </c>
      <c r="AE107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4403.4700000000057</v>
      </c>
      <c r="AF107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7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233375.49219344213</v>
      </c>
      <c r="AH1078" s="55"/>
      <c r="AI1078" s="55"/>
      <c r="AJ1078" s="55"/>
      <c r="AK1078" s="101">
        <f t="shared" ca="1" si="204"/>
        <v>464902.33219344204</v>
      </c>
      <c r="AL1078" s="129">
        <f t="array" ref="AL1078">MAX((УслРестрактов[Характеристика]="Дата реструктуризации")*(УслРестрактов[Значение]=Первоначальный!$A1078),0)</f>
        <v>0</v>
      </c>
    </row>
    <row r="1079" spans="1:38" x14ac:dyDescent="0.25">
      <c r="A1079" s="97">
        <f t="shared" si="197"/>
        <v>45210</v>
      </c>
      <c r="B1079" s="100">
        <f t="shared" ca="1" si="198"/>
        <v>149633.34</v>
      </c>
      <c r="C1079" s="55">
        <f t="shared" ca="1" si="194"/>
        <v>77490.029999999955</v>
      </c>
      <c r="D1079" s="55">
        <f t="shared" ca="1" si="194"/>
        <v>4403.4700000000057</v>
      </c>
      <c r="E1079" s="55">
        <f t="shared" ca="1" si="199"/>
        <v>0</v>
      </c>
      <c r="F1079" s="55">
        <f t="shared" ca="1" si="200"/>
        <v>233375.49219344213</v>
      </c>
      <c r="G1079" s="101">
        <f t="shared" ca="1" si="201"/>
        <v>464902.33219344204</v>
      </c>
      <c r="H1079" s="100">
        <f ca="1">ROUND($B1079*VLOOKUP($A1079,$A$1:$B$10,2,1)/(365+IF(MOD(YEAR($A1079),4),0,1)*($A1079-$A1078)),2)-Первоначальный[[#This Row],[Проценты на просроченный платеж по ОД за период]]</f>
        <v>71.67</v>
      </c>
      <c r="I1079" s="55">
        <f t="shared" ca="1" si="202"/>
        <v>9.91</v>
      </c>
      <c r="J1079" s="55">
        <v>0</v>
      </c>
      <c r="K1079" s="55">
        <f t="shared" ca="1" si="205"/>
        <v>477.93850327868847</v>
      </c>
      <c r="L1079" s="55">
        <v>0</v>
      </c>
      <c r="M1079" s="113">
        <f>SUMIFS(График[Возврат основной суммы долга],График[Дата с учетом нерабочих дней],$A1079)</f>
        <v>0</v>
      </c>
      <c r="N1079" s="56">
        <f>SUMIFS(График[Возврат начисленных %],График[Дата с учетом нерабочих дней],$A1079)</f>
        <v>0</v>
      </c>
      <c r="O1079" s="101">
        <v>0</v>
      </c>
      <c r="P1079" s="100" cm="1">
        <f t="array" aca="1" ref="P1079" ca="1">MAX(IF(AA1078="Да",0,SUM(INDIRECT("M"&amp;(MAX(("Да"=AA$12:AA1078)*ROW(AA$12:AA1078)+1,ROW($P$12))&amp;":M"&amp;(ROW()))))-SUM(INDIRECT("W"&amp;(MAX(("Да"=AA$12:AA1078)*ROW(AA$12:AA1078)+1,ROW($P$12))&amp;":W"&amp;(ROW()))))),0)</f>
        <v>18172.72</v>
      </c>
      <c r="Q1079" s="99">
        <f ca="1">MAX(SUM($N$13:N1079)-SUM($T$13:T1079),0)</f>
        <v>77414.980655737687</v>
      </c>
      <c r="R1079" s="99">
        <f ca="1">Первоначальный[[#This Row],[Просроченный платеж по ОД]]+Первоначальный[[#This Row],[Просроченный платеж по процентам]]</f>
        <v>95587.700655737688</v>
      </c>
      <c r="S1079" s="120">
        <f ca="1">IF(Первоначальный[[#This Row],[Просроченный платеж]]&lt;1,0,S1078+1)</f>
        <v>975</v>
      </c>
      <c r="T1079" s="100" cm="1">
        <f t="array" aca="1" ref="T1079" ca="1">IF(Первоначальный[[#This Row],[Итого остаток на начало периода]]&lt;1,0,
IF(
AND(TYPE(VLOOKUP(1,$Z$12:Z1079,1,0))=16,Первоначальный[[#This Row],[Досрочное погашение (да/"")]]=""),0,
_xlfn.IFS(AND(S1078=0,Первоначальный[[#This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платеж]]&lt;&gt;0),MIN(LOOKUP(,-1/($Z$12:Z1079=1),$C$12:C1079)+LOOKUP(,-1/($Z$12:Z1079=1),$H$12:H1079),Первоначальный[[#This Row],[Полученный платеж]]+Y1078),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платеж]]+Y1078,SUM(Первоначальный[[#This Row],[Остаток процентов на начало периода]],Первоначальный[[#This Row],[Проценты за период]])),
AND(S1078=0,Первоначальный[[#This Row],[Дата платежа из графика]]=""),0,
AND(S1078=0,Первоначальный[[#This Row],[Дата платежа из графика]]=1,MAX((0&lt;&gt;S$12:S1078)*ROW(S$12:S1078),ROW($S$12))&gt;=MAX((1=Z$12:Z1078)*ROW(Z$12:Z1078),ROW($T$12)),TYPE(VLOOKUP("Да",(INDIRECT("AA"&amp;(MAX((1=Z$12:Z1078)*ROW(Z$12:Z1078),ROW($T$12))&amp;":AA"&amp;(ROW()-1)))),1,0))=16),MIN(LOOKUP(,-1/($Z$12:Z1079=1),$C$12:C1079)+LOOKUP(,-1/($Z$12:Z1079=1),$H$12:H1079),Первоначальный[[#This Row],[Полученный платеж]]+Y1078),
AND(S1078=0,TYPE(VLOOKUP("Да",(INDIRECT("AA"&amp;(MAX((1=Z$12:Z1078)*ROW(Z$12:Z1078),ROW($T$12))&amp;":AA"&amp;(ROW()-1)))),1,0))&lt;&gt;16),MIN(LOOKUP(,-1/($Z$12:Z1079=1),$C$12:C1079)+LOOKUP(,-1/($Z$12:Z1079=1),$H$12:H1079)-IF(AA1078="Да",0,SUM(INDIRECT("T"&amp;(MAX(("Да"=AA$12:AA1078)*ROW(AA$12:AA1078)+1,ROW($T$12))&amp;":T"&amp;(ROW()-1))))),Первоначальный[[#This Row],[Полученный платеж]]+Y1078),
AND(S1078=0,MAX((0&lt;&gt;N$12:N1078)*ROW(N$12:N1078),ROW($S$12))&gt;=MAX((1=Z$12:Z1078)*ROW(Z$12:Z1078),ROW($T$12))),MIN(LOOKUP(,-1/($Z$12:Z1079=1),$C$12:C1079)+LOOKUP(,-1/($Z$12:Z1079=1),$H$12:H1079)-IF(N1078&lt;&gt;0,0,SUM(INDIRECT("T"&amp;(MAX((0&lt;&gt;N$12:N1078)*ROW(N$12:N1078)+1,ROW($T$12))&amp;":T"&amp;(ROW()-1))))),Первоначальный[[#This Row],[Полученный платеж]]+Y1078),
AND(S1078=0,Первоначальный[[#This Row],[Дата платежа из графика]]=1),MIN(LOOKUP(,-1/($Z$12:Z1079=1),$C$12:C1079)+LOOKUP(,-1/($Z$12:Z1079=1),$H$12:H1079)-IF(Z1078=1,0,SUM(INDIRECT("T"&amp;(MAX((1=Z$12:Z1078)*ROW(Z$12:Z1078)+1,ROW($T$12))&amp;":T"&amp;(ROW()-1))))),Первоначальный[[#This Row],[Полученный платеж]]+Y1078),
AND(Z1078&gt;0,Первоначальный[[#This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платеж]]+Y1078),
AND(S1078&gt;0,MAX((0&lt;&gt;S$12:S1078)*ROW(S$12:S1078),ROW($S$12))&gt;=MAX((1=Z$12:Z1078)*ROW(Z$12:Z1078),ROW($T$12)),TYPE(VLOOKUP("Да",(INDIRECT("AA"&amp;(MAX((1=Z$12:Z1078)*ROW(Z$12:Z1078),ROW($T$12))&amp;":AA"&amp;(ROW()-1)))),1,0))=16),MIN(LOOKUP(,-1/($Z$12:Z1079=1),$C$12:C1079)+LOOKUP(,-1/($Z$12:Z1079=1),$H$12:H1079)-SUM(INDIRECT("T"&amp;(MAX((1=Z$12:Z1078)*ROW(Z$12:Z1078),ROW($T$12))&amp;":T"&amp;(ROW()-1)))),Первоначальный[[#This Row],[Полученный платеж]]+Y1078),
S1078&gt;0,MIN(LOOKUP(,-1/($Z$12:Z1079=1),$C$12:C1079)+LOOKUP(,-1/($Z$12:Z1079=1),$H$12:H1079)-IF(Z1078=1,0,SUM(INDIRECT("T"&amp;(MAX((1=Z$12:Z1078)*ROW(Z$12:Z1078)+1,ROW($T$12))&amp;":T"&amp;(ROW()-1))))),Первоначальный[[#This Row],[Полученный платеж]]+Y1078)
)
)
)</f>
        <v>0</v>
      </c>
      <c r="U107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платеж]]+Y1078-Первоначальный[[#This Row],[Полученный платёж по процентам]])</f>
        <v>0</v>
      </c>
      <c r="V1079" s="55">
        <f t="shared" ca="1" si="195"/>
        <v>0</v>
      </c>
      <c r="W1079" s="55" cm="1">
        <f t="array" aca="1" ref="W1079" ca="1">IF(Первоначальный[[#This Row],[Итого остаток на начало периода]]&lt;1,0,
_xlfn.IFS(
AND(TYPE(VLOOKUP(1,$Z$12:Z1079,1,0))=16,Первоначальный[[#This Row],[Досрочное погашение (да/"")]]=""),0,
AND(S1078=0,Первоначальный[[#This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платеж]]+Y1078-SUM(Первоначальный[[#This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комиссиям]]),VLOOKUP(LOOKUP(,-1/($Z$12:Z1079=1),$A$12:A1079),График[[Срок конец]:[Возврат основной суммы долга]],3,0)),
AND(S1078=0,Первоначальный[[#This Row],[Дата платежа из графика]]="",Первоначальный[[#This Row],[Досрочное погашение (да/"")]]&lt;&gt;"Да"),0,
AND(S1078=0,Первоначальный[[#This Row],[Досрочное погашение (да/"")]]=""),MIN(Первоначальный[[#This Row],[Полученный платеж]]+Y1078-SUM(Первоначальный[[#This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комиссиям]]),VLOOKUP(LOOKUP(,-1/($Z$12:Z1079=1),$A$12:A1079),График[[Срок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платеж]]+Y1078-SUM(Первоначальный[[#This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S1078&gt;0,MIN(Первоначальный[[#This Row],[Полученный платеж]]+Y1078-SUM(Первоначальный[[#This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комиссиям]]),SUM(INDIRECT("M"&amp;(MAX((1=S$12:S1078)*ROW(S$12:S1078),ROW($W$12))&amp;":M"&amp;(ROW()))))-SUM(INDIRECT("W"&amp;(MAX((1=S$12:S1078)*ROW(S$12:S1078),ROW($W$12))&amp;":W"&amp;(ROW()-1)))))
)
)</f>
        <v>0</v>
      </c>
      <c r="X1079" s="55">
        <f t="shared" ca="1" si="196"/>
        <v>0</v>
      </c>
      <c r="Y1079" s="101">
        <f t="shared" ca="1" si="203"/>
        <v>0</v>
      </c>
      <c r="Z1079" s="133" t="str">
        <f>IF(TYPE((VLOOKUP(Первоначальный[[#This Row],[Дата платежа]],График[Срок конец],1,0)))=16,"",1)</f>
        <v/>
      </c>
      <c r="AA1079" s="57"/>
      <c r="AB1079" s="134"/>
      <c r="AC107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7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77561.699999999953</v>
      </c>
      <c r="AE107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4413.3800000000056</v>
      </c>
      <c r="AF107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7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233853.43069672081</v>
      </c>
      <c r="AH1079" s="55"/>
      <c r="AI1079" s="55"/>
      <c r="AJ1079" s="55"/>
      <c r="AK1079" s="101">
        <f t="shared" ca="1" si="204"/>
        <v>465461.85069672076</v>
      </c>
      <c r="AL1079" s="129">
        <f t="array" ref="AL1079">MAX((УслРестрактов[Характеристика]="Дата реструктуризации")*(УслРестрактов[Значение]=Первоначальный!$A1079),0)</f>
        <v>0</v>
      </c>
    </row>
    <row r="1080" spans="1:38" x14ac:dyDescent="0.25">
      <c r="A1080" s="97">
        <f t="shared" si="197"/>
        <v>45211</v>
      </c>
      <c r="B1080" s="100">
        <f t="shared" ca="1" si="198"/>
        <v>149633.34</v>
      </c>
      <c r="C1080" s="55">
        <f t="shared" ca="1" si="194"/>
        <v>77561.699999999953</v>
      </c>
      <c r="D1080" s="55">
        <f t="shared" ca="1" si="194"/>
        <v>4413.3800000000056</v>
      </c>
      <c r="E1080" s="55">
        <f t="shared" ca="1" si="199"/>
        <v>0</v>
      </c>
      <c r="F1080" s="55">
        <f t="shared" ca="1" si="200"/>
        <v>233853.43069672081</v>
      </c>
      <c r="G1080" s="101">
        <f t="shared" ca="1" si="201"/>
        <v>465461.85069672076</v>
      </c>
      <c r="H1080" s="100">
        <f ca="1">ROUND($B1080*VLOOKUP($A1080,$A$1:$B$10,2,1)/(365+IF(MOD(YEAR($A1080),4),0,1)*($A1080-$A1079)),2)-Первоначальный[[#This Row],[Проценты на просроченный платеж по ОД за период]]</f>
        <v>71.67</v>
      </c>
      <c r="I1080" s="55">
        <f t="shared" ca="1" si="202"/>
        <v>9.91</v>
      </c>
      <c r="J1080" s="55">
        <v>0</v>
      </c>
      <c r="K1080" s="55">
        <f t="shared" ca="1" si="205"/>
        <v>477.93850327868847</v>
      </c>
      <c r="L1080" s="55">
        <v>0</v>
      </c>
      <c r="M1080" s="113">
        <f>SUMIFS(График[Возврат основной суммы долга],График[Дата с учетом нерабочих дней],$A1080)</f>
        <v>0</v>
      </c>
      <c r="N1080" s="56">
        <f>SUMIFS(График[Возврат начисленных %],График[Дата с учетом нерабочих дней],$A1080)</f>
        <v>0</v>
      </c>
      <c r="O1080" s="101">
        <v>0</v>
      </c>
      <c r="P1080" s="100" cm="1">
        <f t="array" aca="1" ref="P1080" ca="1">MAX(IF(AA1079="Да",0,SUM(INDIRECT("M"&amp;(MAX(("Да"=AA$12:AA1079)*ROW(AA$12:AA1079)+1,ROW($P$12))&amp;":M"&amp;(ROW()))))-SUM(INDIRECT("W"&amp;(MAX(("Да"=AA$12:AA1079)*ROW(AA$12:AA1079)+1,ROW($P$12))&amp;":W"&amp;(ROW()))))),0)</f>
        <v>18172.72</v>
      </c>
      <c r="Q1080" s="99">
        <f ca="1">MAX(SUM($N$13:N1080)-SUM($T$13:T1080),0)</f>
        <v>77414.980655737687</v>
      </c>
      <c r="R1080" s="99">
        <f ca="1">Первоначальный[[#This Row],[Просроченный платеж по ОД]]+Первоначальный[[#This Row],[Просроченный платеж по процентам]]</f>
        <v>95587.700655737688</v>
      </c>
      <c r="S1080" s="120">
        <f ca="1">IF(Первоначальный[[#This Row],[Просроченный платеж]]&lt;1,0,S1079+1)</f>
        <v>976</v>
      </c>
      <c r="T1080" s="100" cm="1">
        <f t="array" aca="1" ref="T1080" ca="1">IF(Первоначальный[[#This Row],[Итого остаток на начало периода]]&lt;1,0,
IF(
AND(TYPE(VLOOKUP(1,$Z$12:Z1080,1,0))=16,Первоначальный[[#This Row],[Досрочное погашение (да/"")]]=""),0,
_xlfn.IFS(AND(S1079=0,Первоначальный[[#This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платеж]]&lt;&gt;0),MIN(LOOKUP(,-1/($Z$12:Z1080=1),$C$12:C1080)+LOOKUP(,-1/($Z$12:Z1080=1),$H$12:H1080),Первоначальный[[#This Row],[Полученный платеж]]+Y1079),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платеж]]+Y1079,SUM(Первоначальный[[#This Row],[Остаток процентов на начало периода]],Первоначальный[[#This Row],[Проценты за период]])),
AND(S1079=0,Первоначальный[[#This Row],[Дата платежа из графика]]=""),0,
AND(S1079=0,Первоначальный[[#This Row],[Дата платежа из графика]]=1,MAX((0&lt;&gt;S$12:S1079)*ROW(S$12:S1079),ROW($S$12))&gt;=MAX((1=Z$12:Z1079)*ROW(Z$12:Z1079),ROW($T$12)),TYPE(VLOOKUP("Да",(INDIRECT("AA"&amp;(MAX((1=Z$12:Z1079)*ROW(Z$12:Z1079),ROW($T$12))&amp;":AA"&amp;(ROW()-1)))),1,0))=16),MIN(LOOKUP(,-1/($Z$12:Z1080=1),$C$12:C1080)+LOOKUP(,-1/($Z$12:Z1080=1),$H$12:H1080),Первоначальный[[#This Row],[Полученный платеж]]+Y1079),
AND(S1079=0,TYPE(VLOOKUP("Да",(INDIRECT("AA"&amp;(MAX((1=Z$12:Z1079)*ROW(Z$12:Z1079),ROW($T$12))&amp;":AA"&amp;(ROW()-1)))),1,0))&lt;&gt;16),MIN(LOOKUP(,-1/($Z$12:Z1080=1),$C$12:C1080)+LOOKUP(,-1/($Z$12:Z1080=1),$H$12:H1080)-IF(AA1079="Да",0,SUM(INDIRECT("T"&amp;(MAX(("Да"=AA$12:AA1079)*ROW(AA$12:AA1079)+1,ROW($T$12))&amp;":T"&amp;(ROW()-1))))),Первоначальный[[#This Row],[Полученный платеж]]+Y1079),
AND(S1079=0,MAX((0&lt;&gt;N$12:N1079)*ROW(N$12:N1079),ROW($S$12))&gt;=MAX((1=Z$12:Z1079)*ROW(Z$12:Z1079),ROW($T$12))),MIN(LOOKUP(,-1/($Z$12:Z1080=1),$C$12:C1080)+LOOKUP(,-1/($Z$12:Z1080=1),$H$12:H1080)-IF(N1079&lt;&gt;0,0,SUM(INDIRECT("T"&amp;(MAX((0&lt;&gt;N$12:N1079)*ROW(N$12:N1079)+1,ROW($T$12))&amp;":T"&amp;(ROW()-1))))),Первоначальный[[#This Row],[Полученный платеж]]+Y1079),
AND(S1079=0,Первоначальный[[#This Row],[Дата платежа из графика]]=1),MIN(LOOKUP(,-1/($Z$12:Z1080=1),$C$12:C1080)+LOOKUP(,-1/($Z$12:Z1080=1),$H$12:H1080)-IF(Z1079=1,0,SUM(INDIRECT("T"&amp;(MAX((1=Z$12:Z1079)*ROW(Z$12:Z1079)+1,ROW($T$12))&amp;":T"&amp;(ROW()-1))))),Первоначальный[[#This Row],[Полученный платеж]]+Y1079),
AND(Z1079&gt;0,Первоначальный[[#This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платеж]]+Y1079),
AND(S1079&gt;0,MAX((0&lt;&gt;S$12:S1079)*ROW(S$12:S1079),ROW($S$12))&gt;=MAX((1=Z$12:Z1079)*ROW(Z$12:Z1079),ROW($T$12)),TYPE(VLOOKUP("Да",(INDIRECT("AA"&amp;(MAX((1=Z$12:Z1079)*ROW(Z$12:Z1079),ROW($T$12))&amp;":AA"&amp;(ROW()-1)))),1,0))=16),MIN(LOOKUP(,-1/($Z$12:Z1080=1),$C$12:C1080)+LOOKUP(,-1/($Z$12:Z1080=1),$H$12:H1080)-SUM(INDIRECT("T"&amp;(MAX((1=Z$12:Z1079)*ROW(Z$12:Z1079),ROW($T$12))&amp;":T"&amp;(ROW()-1)))),Первоначальный[[#This Row],[Полученный платеж]]+Y1079),
S1079&gt;0,MIN(LOOKUP(,-1/($Z$12:Z1080=1),$C$12:C1080)+LOOKUP(,-1/($Z$12:Z1080=1),$H$12:H1080)-IF(Z1079=1,0,SUM(INDIRECT("T"&amp;(MAX((1=Z$12:Z1079)*ROW(Z$12:Z1079)+1,ROW($T$12))&amp;":T"&amp;(ROW()-1))))),Первоначальный[[#This Row],[Полученный платеж]]+Y1079)
)
)
)</f>
        <v>0</v>
      </c>
      <c r="U108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платеж]]+Y1079-Первоначальный[[#This Row],[Полученный платёж по процентам]])</f>
        <v>0</v>
      </c>
      <c r="V1080" s="55">
        <f t="shared" ca="1" si="195"/>
        <v>0</v>
      </c>
      <c r="W1080" s="55" cm="1">
        <f t="array" aca="1" ref="W1080" ca="1">IF(Первоначальный[[#This Row],[Итого остаток на начало периода]]&lt;1,0,
_xlfn.IFS(
AND(TYPE(VLOOKUP(1,$Z$12:Z1080,1,0))=16,Первоначальный[[#This Row],[Досрочное погашение (да/"")]]=""),0,
AND(S1079=0,Первоначальный[[#This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платеж]]+Y1079-SUM(Первоначальный[[#This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комиссиям]]),VLOOKUP(LOOKUP(,-1/($Z$12:Z1080=1),$A$12:A1080),График[[Срок конец]:[Возврат основной суммы долга]],3,0)),
AND(S1079=0,Первоначальный[[#This Row],[Дата платежа из графика]]="",Первоначальный[[#This Row],[Досрочное погашение (да/"")]]&lt;&gt;"Да"),0,
AND(S1079=0,Первоначальный[[#This Row],[Досрочное погашение (да/"")]]=""),MIN(Первоначальный[[#This Row],[Полученный платеж]]+Y1079-SUM(Первоначальный[[#This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комиссиям]]),VLOOKUP(LOOKUP(,-1/($Z$12:Z1080=1),$A$12:A1080),График[[Срок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платеж]]+Y1079-SUM(Первоначальный[[#This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S1079&gt;0,MIN(Первоначальный[[#This Row],[Полученный платеж]]+Y1079-SUM(Первоначальный[[#This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комиссиям]]),SUM(INDIRECT("M"&amp;(MAX((1=S$12:S1079)*ROW(S$12:S1079),ROW($W$12))&amp;":M"&amp;(ROW()))))-SUM(INDIRECT("W"&amp;(MAX((1=S$12:S1079)*ROW(S$12:S1079),ROW($W$12))&amp;":W"&amp;(ROW()-1)))))
)
)</f>
        <v>0</v>
      </c>
      <c r="X1080" s="55">
        <f t="shared" ca="1" si="196"/>
        <v>0</v>
      </c>
      <c r="Y1080" s="101">
        <f t="shared" ca="1" si="203"/>
        <v>0</v>
      </c>
      <c r="Z1080" s="133" t="str">
        <f>IF(TYPE((VLOOKUP(Первоначальный[[#This Row],[Дата платежа]],График[Срок конец],1,0)))=16,"",1)</f>
        <v/>
      </c>
      <c r="AA1080" s="57"/>
      <c r="AB1080" s="134"/>
      <c r="AC108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8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77633.369999999952</v>
      </c>
      <c r="AE108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4423.2900000000054</v>
      </c>
      <c r="AF108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8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234331.36919999949</v>
      </c>
      <c r="AH1080" s="55"/>
      <c r="AI1080" s="55"/>
      <c r="AJ1080" s="55"/>
      <c r="AK1080" s="101">
        <f t="shared" ca="1" si="204"/>
        <v>466021.36919999949</v>
      </c>
      <c r="AL1080" s="129">
        <f t="array" ref="AL1080">MAX((УслРестрактов[Характеристика]="Дата реструктуризации")*(УслРестрактов[Значение]=Первоначальный!$A1080),0)</f>
        <v>0</v>
      </c>
    </row>
    <row r="1081" spans="1:38" x14ac:dyDescent="0.25">
      <c r="A1081" s="97">
        <f t="shared" si="197"/>
        <v>45212</v>
      </c>
      <c r="B1081" s="100">
        <f t="shared" ca="1" si="198"/>
        <v>149633.34</v>
      </c>
      <c r="C1081" s="55">
        <f t="shared" ca="1" si="194"/>
        <v>77633.369999999952</v>
      </c>
      <c r="D1081" s="55">
        <f t="shared" ca="1" si="194"/>
        <v>4423.2900000000054</v>
      </c>
      <c r="E1081" s="55">
        <f t="shared" ca="1" si="199"/>
        <v>0</v>
      </c>
      <c r="F1081" s="55">
        <f t="shared" ca="1" si="200"/>
        <v>234331.36919999949</v>
      </c>
      <c r="G1081" s="101">
        <f t="shared" ca="1" si="201"/>
        <v>466021.36919999949</v>
      </c>
      <c r="H1081" s="100">
        <f ca="1">ROUND($B1081*VLOOKUP($A1081,$A$1:$B$10,2,1)/(365+IF(MOD(YEAR($A1081),4),0,1)*($A1081-$A1080)),2)-Первоначальный[[#This Row],[Проценты на просроченный платеж по ОД за период]]</f>
        <v>71.67</v>
      </c>
      <c r="I1081" s="55">
        <f t="shared" ca="1" si="202"/>
        <v>9.91</v>
      </c>
      <c r="J1081" s="55">
        <v>0</v>
      </c>
      <c r="K1081" s="55">
        <f t="shared" ca="1" si="205"/>
        <v>477.93850327868847</v>
      </c>
      <c r="L1081" s="55">
        <v>0</v>
      </c>
      <c r="M1081" s="113">
        <f>SUMIFS(График[Возврат основной суммы долга],График[Дата с учетом нерабочих дней],$A1081)</f>
        <v>0</v>
      </c>
      <c r="N1081" s="56">
        <f>SUMIFS(График[Возврат начисленных %],График[Дата с учетом нерабочих дней],$A1081)</f>
        <v>0</v>
      </c>
      <c r="O1081" s="101">
        <v>0</v>
      </c>
      <c r="P1081" s="100" cm="1">
        <f t="array" aca="1" ref="P1081" ca="1">MAX(IF(AA1080="Да",0,SUM(INDIRECT("M"&amp;(MAX(("Да"=AA$12:AA1080)*ROW(AA$12:AA1080)+1,ROW($P$12))&amp;":M"&amp;(ROW()))))-SUM(INDIRECT("W"&amp;(MAX(("Да"=AA$12:AA1080)*ROW(AA$12:AA1080)+1,ROW($P$12))&amp;":W"&amp;(ROW()))))),0)</f>
        <v>18172.72</v>
      </c>
      <c r="Q1081" s="99">
        <f ca="1">MAX(SUM($N$13:N1081)-SUM($T$13:T1081),0)</f>
        <v>77414.980655737687</v>
      </c>
      <c r="R1081" s="99">
        <f ca="1">Первоначальный[[#This Row],[Просроченный платеж по ОД]]+Первоначальный[[#This Row],[Просроченный платеж по процентам]]</f>
        <v>95587.700655737688</v>
      </c>
      <c r="S1081" s="120">
        <f ca="1">IF(Первоначальный[[#This Row],[Просроченный платеж]]&lt;1,0,S1080+1)</f>
        <v>977</v>
      </c>
      <c r="T1081" s="100" cm="1">
        <f t="array" aca="1" ref="T1081" ca="1">IF(Первоначальный[[#This Row],[Итого остаток на начало периода]]&lt;1,0,
IF(
AND(TYPE(VLOOKUP(1,$Z$12:Z1081,1,0))=16,Первоначальный[[#This Row],[Досрочное погашение (да/"")]]=""),0,
_xlfn.IFS(AND(S1080=0,Первоначальный[[#This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платеж]]&lt;&gt;0),MIN(LOOKUP(,-1/($Z$12:Z1081=1),$C$12:C1081)+LOOKUP(,-1/($Z$12:Z1081=1),$H$12:H1081),Первоначальный[[#This Row],[Полученный платеж]]+Y1080),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платеж]]+Y1080,SUM(Первоначальный[[#This Row],[Остаток процентов на начало периода]],Первоначальный[[#This Row],[Проценты за период]])),
AND(S1080=0,Первоначальный[[#This Row],[Дата платежа из графика]]=""),0,
AND(S1080=0,Первоначальный[[#This Row],[Дата платежа из графика]]=1,MAX((0&lt;&gt;S$12:S1080)*ROW(S$12:S1080),ROW($S$12))&gt;=MAX((1=Z$12:Z1080)*ROW(Z$12:Z1080),ROW($T$12)),TYPE(VLOOKUP("Да",(INDIRECT("AA"&amp;(MAX((1=Z$12:Z1080)*ROW(Z$12:Z1080),ROW($T$12))&amp;":AA"&amp;(ROW()-1)))),1,0))=16),MIN(LOOKUP(,-1/($Z$12:Z1081=1),$C$12:C1081)+LOOKUP(,-1/($Z$12:Z1081=1),$H$12:H1081),Первоначальный[[#This Row],[Полученный платеж]]+Y1080),
AND(S1080=0,TYPE(VLOOKUP("Да",(INDIRECT("AA"&amp;(MAX((1=Z$12:Z1080)*ROW(Z$12:Z1080),ROW($T$12))&amp;":AA"&amp;(ROW()-1)))),1,0))&lt;&gt;16),MIN(LOOKUP(,-1/($Z$12:Z1081=1),$C$12:C1081)+LOOKUP(,-1/($Z$12:Z1081=1),$H$12:H1081)-IF(AA1080="Да",0,SUM(INDIRECT("T"&amp;(MAX(("Да"=AA$12:AA1080)*ROW(AA$12:AA1080)+1,ROW($T$12))&amp;":T"&amp;(ROW()-1))))),Первоначальный[[#This Row],[Полученный платеж]]+Y1080),
AND(S1080=0,MAX((0&lt;&gt;N$12:N1080)*ROW(N$12:N1080),ROW($S$12))&gt;=MAX((1=Z$12:Z1080)*ROW(Z$12:Z1080),ROW($T$12))),MIN(LOOKUP(,-1/($Z$12:Z1081=1),$C$12:C1081)+LOOKUP(,-1/($Z$12:Z1081=1),$H$12:H1081)-IF(N1080&lt;&gt;0,0,SUM(INDIRECT("T"&amp;(MAX((0&lt;&gt;N$12:N1080)*ROW(N$12:N1080)+1,ROW($T$12))&amp;":T"&amp;(ROW()-1))))),Первоначальный[[#This Row],[Полученный платеж]]+Y1080),
AND(S1080=0,Первоначальный[[#This Row],[Дата платежа из графика]]=1),MIN(LOOKUP(,-1/($Z$12:Z1081=1),$C$12:C1081)+LOOKUP(,-1/($Z$12:Z1081=1),$H$12:H1081)-IF(Z1080=1,0,SUM(INDIRECT("T"&amp;(MAX((1=Z$12:Z1080)*ROW(Z$12:Z1080)+1,ROW($T$12))&amp;":T"&amp;(ROW()-1))))),Первоначальный[[#This Row],[Полученный платеж]]+Y1080),
AND(Z1080&gt;0,Первоначальный[[#This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платеж]]+Y1080),
AND(S1080&gt;0,MAX((0&lt;&gt;S$12:S1080)*ROW(S$12:S1080),ROW($S$12))&gt;=MAX((1=Z$12:Z1080)*ROW(Z$12:Z1080),ROW($T$12)),TYPE(VLOOKUP("Да",(INDIRECT("AA"&amp;(MAX((1=Z$12:Z1080)*ROW(Z$12:Z1080),ROW($T$12))&amp;":AA"&amp;(ROW()-1)))),1,0))=16),MIN(LOOKUP(,-1/($Z$12:Z1081=1),$C$12:C1081)+LOOKUP(,-1/($Z$12:Z1081=1),$H$12:H1081)-SUM(INDIRECT("T"&amp;(MAX((1=Z$12:Z1080)*ROW(Z$12:Z1080),ROW($T$12))&amp;":T"&amp;(ROW()-1)))),Первоначальный[[#This Row],[Полученный платеж]]+Y1080),
S1080&gt;0,MIN(LOOKUP(,-1/($Z$12:Z1081=1),$C$12:C1081)+LOOKUP(,-1/($Z$12:Z1081=1),$H$12:H1081)-IF(Z1080=1,0,SUM(INDIRECT("T"&amp;(MAX((1=Z$12:Z1080)*ROW(Z$12:Z1080)+1,ROW($T$12))&amp;":T"&amp;(ROW()-1))))),Первоначальный[[#This Row],[Полученный платеж]]+Y1080)
)
)
)</f>
        <v>0</v>
      </c>
      <c r="U108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платеж]]+Y1080-Первоначальный[[#This Row],[Полученный платёж по процентам]])</f>
        <v>0</v>
      </c>
      <c r="V1081" s="55">
        <f t="shared" ca="1" si="195"/>
        <v>0</v>
      </c>
      <c r="W1081" s="55" cm="1">
        <f t="array" aca="1" ref="W1081" ca="1">IF(Первоначальный[[#This Row],[Итого остаток на начало периода]]&lt;1,0,
_xlfn.IFS(
AND(TYPE(VLOOKUP(1,$Z$12:Z1081,1,0))=16,Первоначальный[[#This Row],[Досрочное погашение (да/"")]]=""),0,
AND(S1080=0,Первоначальный[[#This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платеж]]+Y1080-SUM(Первоначальный[[#This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комиссиям]]),VLOOKUP(LOOKUP(,-1/($Z$12:Z1081=1),$A$12:A1081),График[[Срок конец]:[Возврат основной суммы долга]],3,0)),
AND(S1080=0,Первоначальный[[#This Row],[Дата платежа из графика]]="",Первоначальный[[#This Row],[Досрочное погашение (да/"")]]&lt;&gt;"Да"),0,
AND(S1080=0,Первоначальный[[#This Row],[Досрочное погашение (да/"")]]=""),MIN(Первоначальный[[#This Row],[Полученный платеж]]+Y1080-SUM(Первоначальный[[#This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комиссиям]]),VLOOKUP(LOOKUP(,-1/($Z$12:Z1081=1),$A$12:A1081),График[[Срок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платеж]]+Y1080-SUM(Первоначальный[[#This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S1080&gt;0,MIN(Первоначальный[[#This Row],[Полученный платеж]]+Y1080-SUM(Первоначальный[[#This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комиссиям]]),SUM(INDIRECT("M"&amp;(MAX((1=S$12:S1080)*ROW(S$12:S1080),ROW($W$12))&amp;":M"&amp;(ROW()))))-SUM(INDIRECT("W"&amp;(MAX((1=S$12:S1080)*ROW(S$12:S1080),ROW($W$12))&amp;":W"&amp;(ROW()-1)))))
)
)</f>
        <v>0</v>
      </c>
      <c r="X1081" s="55">
        <f t="shared" ca="1" si="196"/>
        <v>0</v>
      </c>
      <c r="Y1081" s="101">
        <f t="shared" ca="1" si="203"/>
        <v>0</v>
      </c>
      <c r="Z1081" s="133" t="str">
        <f>IF(TYPE((VLOOKUP(Первоначальный[[#This Row],[Дата платежа]],График[Срок конец],1,0)))=16,"",1)</f>
        <v/>
      </c>
      <c r="AA1081" s="57"/>
      <c r="AB1081" s="134"/>
      <c r="AC108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8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77705.03999999995</v>
      </c>
      <c r="AE108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4433.2000000000053</v>
      </c>
      <c r="AF108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8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234809.30770327817</v>
      </c>
      <c r="AH1081" s="55"/>
      <c r="AI1081" s="55"/>
      <c r="AJ1081" s="55"/>
      <c r="AK1081" s="101">
        <f t="shared" ca="1" si="204"/>
        <v>466580.8877032781</v>
      </c>
      <c r="AL1081" s="129">
        <f t="array" ref="AL1081">MAX((УслРестрактов[Характеристика]="Дата реструктуризации")*(УслРестрактов[Значение]=Первоначальный!$A1081),0)</f>
        <v>0</v>
      </c>
    </row>
    <row r="1082" spans="1:38" x14ac:dyDescent="0.25">
      <c r="A1082" s="97">
        <f t="shared" si="197"/>
        <v>45213</v>
      </c>
      <c r="B1082" s="100">
        <f t="shared" ca="1" si="198"/>
        <v>149633.34</v>
      </c>
      <c r="C1082" s="55">
        <f t="shared" ca="1" si="194"/>
        <v>77705.03999999995</v>
      </c>
      <c r="D1082" s="55">
        <f t="shared" ca="1" si="194"/>
        <v>4433.2000000000053</v>
      </c>
      <c r="E1082" s="55">
        <f t="shared" ca="1" si="199"/>
        <v>0</v>
      </c>
      <c r="F1082" s="55">
        <f t="shared" ca="1" si="200"/>
        <v>234809.30770327817</v>
      </c>
      <c r="G1082" s="101">
        <f t="shared" ca="1" si="201"/>
        <v>466580.8877032781</v>
      </c>
      <c r="H1082" s="100">
        <f ca="1">ROUND($B1082*VLOOKUP($A1082,$A$1:$B$10,2,1)/(365+IF(MOD(YEAR($A1082),4),0,1)*($A1082-$A1081)),2)-Первоначальный[[#This Row],[Проценты на просроченный платеж по ОД за период]]</f>
        <v>71.67</v>
      </c>
      <c r="I1082" s="55">
        <f t="shared" ca="1" si="202"/>
        <v>9.91</v>
      </c>
      <c r="J1082" s="55">
        <v>0</v>
      </c>
      <c r="K1082" s="55">
        <f t="shared" ca="1" si="205"/>
        <v>477.93850327868847</v>
      </c>
      <c r="L1082" s="55">
        <v>0</v>
      </c>
      <c r="M1082" s="113">
        <f>SUMIFS(График[Возврат основной суммы долга],График[Дата с учетом нерабочих дней],$A1082)</f>
        <v>0</v>
      </c>
      <c r="N1082" s="56">
        <f>SUMIFS(График[Возврат начисленных %],График[Дата с учетом нерабочих дней],$A1082)</f>
        <v>0</v>
      </c>
      <c r="O1082" s="101">
        <v>0</v>
      </c>
      <c r="P1082" s="100" cm="1">
        <f t="array" aca="1" ref="P1082" ca="1">MAX(IF(AA1081="Да",0,SUM(INDIRECT("M"&amp;(MAX(("Да"=AA$12:AA1081)*ROW(AA$12:AA1081)+1,ROW($P$12))&amp;":M"&amp;(ROW()))))-SUM(INDIRECT("W"&amp;(MAX(("Да"=AA$12:AA1081)*ROW(AA$12:AA1081)+1,ROW($P$12))&amp;":W"&amp;(ROW()))))),0)</f>
        <v>18172.72</v>
      </c>
      <c r="Q1082" s="99">
        <f ca="1">MAX(SUM($N$13:N1082)-SUM($T$13:T1082),0)</f>
        <v>77414.980655737687</v>
      </c>
      <c r="R1082" s="99">
        <f ca="1">Первоначальный[[#This Row],[Просроченный платеж по ОД]]+Первоначальный[[#This Row],[Просроченный платеж по процентам]]</f>
        <v>95587.700655737688</v>
      </c>
      <c r="S1082" s="120">
        <f ca="1">IF(Первоначальный[[#This Row],[Просроченный платеж]]&lt;1,0,S1081+1)</f>
        <v>978</v>
      </c>
      <c r="T1082" s="100" cm="1">
        <f t="array" aca="1" ref="T1082" ca="1">IF(Первоначальный[[#This Row],[Итого остаток на начало периода]]&lt;1,0,
IF(
AND(TYPE(VLOOKUP(1,$Z$12:Z1082,1,0))=16,Первоначальный[[#This Row],[Досрочное погашение (да/"")]]=""),0,
_xlfn.IFS(AND(S1081=0,Первоначальный[[#This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платеж]]&lt;&gt;0),MIN(LOOKUP(,-1/($Z$12:Z1082=1),$C$12:C1082)+LOOKUP(,-1/($Z$12:Z1082=1),$H$12:H1082),Первоначальный[[#This Row],[Полученный платеж]]+Y1081),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платеж]]+Y1081,SUM(Первоначальный[[#This Row],[Остаток процентов на начало периода]],Первоначальный[[#This Row],[Проценты за период]])),
AND(S1081=0,Первоначальный[[#This Row],[Дата платежа из графика]]=""),0,
AND(S1081=0,Первоначальный[[#This Row],[Дата платежа из графика]]=1,MAX((0&lt;&gt;S$12:S1081)*ROW(S$12:S1081),ROW($S$12))&gt;=MAX((1=Z$12:Z1081)*ROW(Z$12:Z1081),ROW($T$12)),TYPE(VLOOKUP("Да",(INDIRECT("AA"&amp;(MAX((1=Z$12:Z1081)*ROW(Z$12:Z1081),ROW($T$12))&amp;":AA"&amp;(ROW()-1)))),1,0))=16),MIN(LOOKUP(,-1/($Z$12:Z1082=1),$C$12:C1082)+LOOKUP(,-1/($Z$12:Z1082=1),$H$12:H1082),Первоначальный[[#This Row],[Полученный платеж]]+Y1081),
AND(S1081=0,TYPE(VLOOKUP("Да",(INDIRECT("AA"&amp;(MAX((1=Z$12:Z1081)*ROW(Z$12:Z1081),ROW($T$12))&amp;":AA"&amp;(ROW()-1)))),1,0))&lt;&gt;16),MIN(LOOKUP(,-1/($Z$12:Z1082=1),$C$12:C1082)+LOOKUP(,-1/($Z$12:Z1082=1),$H$12:H1082)-IF(AA1081="Да",0,SUM(INDIRECT("T"&amp;(MAX(("Да"=AA$12:AA1081)*ROW(AA$12:AA1081)+1,ROW($T$12))&amp;":T"&amp;(ROW()-1))))),Первоначальный[[#This Row],[Полученный платеж]]+Y1081),
AND(S1081=0,MAX((0&lt;&gt;N$12:N1081)*ROW(N$12:N1081),ROW($S$12))&gt;=MAX((1=Z$12:Z1081)*ROW(Z$12:Z1081),ROW($T$12))),MIN(LOOKUP(,-1/($Z$12:Z1082=1),$C$12:C1082)+LOOKUP(,-1/($Z$12:Z1082=1),$H$12:H1082)-IF(N1081&lt;&gt;0,0,SUM(INDIRECT("T"&amp;(MAX((0&lt;&gt;N$12:N1081)*ROW(N$12:N1081)+1,ROW($T$12))&amp;":T"&amp;(ROW()-1))))),Первоначальный[[#This Row],[Полученный платеж]]+Y1081),
AND(S1081=0,Первоначальный[[#This Row],[Дата платежа из графика]]=1),MIN(LOOKUP(,-1/($Z$12:Z1082=1),$C$12:C1082)+LOOKUP(,-1/($Z$12:Z1082=1),$H$12:H1082)-IF(Z1081=1,0,SUM(INDIRECT("T"&amp;(MAX((1=Z$12:Z1081)*ROW(Z$12:Z1081)+1,ROW($T$12))&amp;":T"&amp;(ROW()-1))))),Первоначальный[[#This Row],[Полученный платеж]]+Y1081),
AND(Z1081&gt;0,Первоначальный[[#This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платеж]]+Y1081),
AND(S1081&gt;0,MAX((0&lt;&gt;S$12:S1081)*ROW(S$12:S1081),ROW($S$12))&gt;=MAX((1=Z$12:Z1081)*ROW(Z$12:Z1081),ROW($T$12)),TYPE(VLOOKUP("Да",(INDIRECT("AA"&amp;(MAX((1=Z$12:Z1081)*ROW(Z$12:Z1081),ROW($T$12))&amp;":AA"&amp;(ROW()-1)))),1,0))=16),MIN(LOOKUP(,-1/($Z$12:Z1082=1),$C$12:C1082)+LOOKUP(,-1/($Z$12:Z1082=1),$H$12:H1082)-SUM(INDIRECT("T"&amp;(MAX((1=Z$12:Z1081)*ROW(Z$12:Z1081),ROW($T$12))&amp;":T"&amp;(ROW()-1)))),Первоначальный[[#This Row],[Полученный платеж]]+Y1081),
S1081&gt;0,MIN(LOOKUP(,-1/($Z$12:Z1082=1),$C$12:C1082)+LOOKUP(,-1/($Z$12:Z1082=1),$H$12:H1082)-IF(Z1081=1,0,SUM(INDIRECT("T"&amp;(MAX((1=Z$12:Z1081)*ROW(Z$12:Z1081)+1,ROW($T$12))&amp;":T"&amp;(ROW()-1))))),Первоначальный[[#This Row],[Полученный платеж]]+Y1081)
)
)
)</f>
        <v>0</v>
      </c>
      <c r="U108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платеж]]+Y1081-Первоначальный[[#This Row],[Полученный платёж по процентам]])</f>
        <v>0</v>
      </c>
      <c r="V1082" s="55">
        <f t="shared" ca="1" si="195"/>
        <v>0</v>
      </c>
      <c r="W1082" s="55" cm="1">
        <f t="array" aca="1" ref="W1082" ca="1">IF(Первоначальный[[#This Row],[Итого остаток на начало периода]]&lt;1,0,
_xlfn.IFS(
AND(TYPE(VLOOKUP(1,$Z$12:Z1082,1,0))=16,Первоначальный[[#This Row],[Досрочное погашение (да/"")]]=""),0,
AND(S1081=0,Первоначальный[[#This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платеж]]+Y1081-SUM(Первоначальный[[#This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комиссиям]]),VLOOKUP(LOOKUP(,-1/($Z$12:Z1082=1),$A$12:A1082),График[[Срок конец]:[Возврат основной суммы долга]],3,0)),
AND(S1081=0,Первоначальный[[#This Row],[Дата платежа из графика]]="",Первоначальный[[#This Row],[Досрочное погашение (да/"")]]&lt;&gt;"Да"),0,
AND(S1081=0,Первоначальный[[#This Row],[Досрочное погашение (да/"")]]=""),MIN(Первоначальный[[#This Row],[Полученный платеж]]+Y1081-SUM(Первоначальный[[#This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комиссиям]]),VLOOKUP(LOOKUP(,-1/($Z$12:Z1082=1),$A$12:A1082),График[[Срок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платеж]]+Y1081-SUM(Первоначальный[[#This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S1081&gt;0,MIN(Первоначальный[[#This Row],[Полученный платеж]]+Y1081-SUM(Первоначальный[[#This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комиссиям]]),SUM(INDIRECT("M"&amp;(MAX((1=S$12:S1081)*ROW(S$12:S1081),ROW($W$12))&amp;":M"&amp;(ROW()))))-SUM(INDIRECT("W"&amp;(MAX((1=S$12:S1081)*ROW(S$12:S1081),ROW($W$12))&amp;":W"&amp;(ROW()-1)))))
)
)</f>
        <v>0</v>
      </c>
      <c r="X1082" s="55">
        <f t="shared" ca="1" si="196"/>
        <v>0</v>
      </c>
      <c r="Y1082" s="101">
        <f t="shared" ca="1" si="203"/>
        <v>0</v>
      </c>
      <c r="Z1082" s="133" t="str">
        <f>IF(TYPE((VLOOKUP(Первоначальный[[#This Row],[Дата платежа]],График[Срок конец],1,0)))=16,"",1)</f>
        <v/>
      </c>
      <c r="AA1082" s="57"/>
      <c r="AB1082" s="134"/>
      <c r="AC108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8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77776.709999999948</v>
      </c>
      <c r="AE108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4443.1100000000051</v>
      </c>
      <c r="AF108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8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235287.24620655685</v>
      </c>
      <c r="AH1082" s="55"/>
      <c r="AI1082" s="55"/>
      <c r="AJ1082" s="55"/>
      <c r="AK1082" s="101">
        <f t="shared" ca="1" si="204"/>
        <v>467140.40620655683</v>
      </c>
      <c r="AL1082" s="129">
        <f t="array" ref="AL1082">MAX((УслРестрактов[Характеристика]="Дата реструктуризации")*(УслРестрактов[Значение]=Первоначальный!$A1082),0)</f>
        <v>0</v>
      </c>
    </row>
    <row r="1083" spans="1:38" x14ac:dyDescent="0.25">
      <c r="A1083" s="97">
        <f t="shared" si="197"/>
        <v>45214</v>
      </c>
      <c r="B1083" s="100">
        <f t="shared" ca="1" si="198"/>
        <v>149633.34</v>
      </c>
      <c r="C1083" s="55">
        <f t="shared" ca="1" si="194"/>
        <v>77776.709999999948</v>
      </c>
      <c r="D1083" s="55">
        <f t="shared" ca="1" si="194"/>
        <v>4443.1100000000051</v>
      </c>
      <c r="E1083" s="55">
        <f t="shared" ca="1" si="199"/>
        <v>0</v>
      </c>
      <c r="F1083" s="55">
        <f t="shared" ca="1" si="200"/>
        <v>235287.24620655685</v>
      </c>
      <c r="G1083" s="101">
        <f t="shared" ca="1" si="201"/>
        <v>467140.40620655683</v>
      </c>
      <c r="H1083" s="100">
        <f ca="1">ROUND($B1083*VLOOKUP($A1083,$A$1:$B$10,2,1)/(365+IF(MOD(YEAR($A1083),4),0,1)*($A1083-$A1082)),2)-Первоначальный[[#This Row],[Проценты на просроченный платеж по ОД за период]]</f>
        <v>71.67</v>
      </c>
      <c r="I1083" s="55">
        <f t="shared" ca="1" si="202"/>
        <v>9.91</v>
      </c>
      <c r="J1083" s="55">
        <v>0</v>
      </c>
      <c r="K1083" s="55">
        <f t="shared" ca="1" si="205"/>
        <v>477.93850327868847</v>
      </c>
      <c r="L1083" s="55">
        <v>0</v>
      </c>
      <c r="M1083" s="113">
        <f>SUMIFS(График[Возврат основной суммы долга],График[Дата с учетом нерабочих дней],$A1083)</f>
        <v>0</v>
      </c>
      <c r="N1083" s="56">
        <f>SUMIFS(График[Возврат начисленных %],График[Дата с учетом нерабочих дней],$A1083)</f>
        <v>0</v>
      </c>
      <c r="O1083" s="101">
        <v>0</v>
      </c>
      <c r="P1083" s="100" cm="1">
        <f t="array" aca="1" ref="P1083" ca="1">MAX(IF(AA1082="Да",0,SUM(INDIRECT("M"&amp;(MAX(("Да"=AA$12:AA1082)*ROW(AA$12:AA1082)+1,ROW($P$12))&amp;":M"&amp;(ROW()))))-SUM(INDIRECT("W"&amp;(MAX(("Да"=AA$12:AA1082)*ROW(AA$12:AA1082)+1,ROW($P$12))&amp;":W"&amp;(ROW()))))),0)</f>
        <v>18172.72</v>
      </c>
      <c r="Q1083" s="99">
        <f ca="1">MAX(SUM($N$13:N1083)-SUM($T$13:T1083),0)</f>
        <v>77414.980655737687</v>
      </c>
      <c r="R1083" s="99">
        <f ca="1">Первоначальный[[#This Row],[Просроченный платеж по ОД]]+Первоначальный[[#This Row],[Просроченный платеж по процентам]]</f>
        <v>95587.700655737688</v>
      </c>
      <c r="S1083" s="120">
        <f ca="1">IF(Первоначальный[[#This Row],[Просроченный платеж]]&lt;1,0,S1082+1)</f>
        <v>979</v>
      </c>
      <c r="T1083" s="100" cm="1">
        <f t="array" aca="1" ref="T1083" ca="1">IF(Первоначальный[[#This Row],[Итого остаток на начало периода]]&lt;1,0,
IF(
AND(TYPE(VLOOKUP(1,$Z$12:Z1083,1,0))=16,Первоначальный[[#This Row],[Досрочное погашение (да/"")]]=""),0,
_xlfn.IFS(AND(S1082=0,Первоначальный[[#This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платеж]]&lt;&gt;0),MIN(LOOKUP(,-1/($Z$12:Z1083=1),$C$12:C1083)+LOOKUP(,-1/($Z$12:Z1083=1),$H$12:H1083),Первоначальный[[#This Row],[Полученный платеж]]+Y1082),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платеж]]+Y1082,SUM(Первоначальный[[#This Row],[Остаток процентов на начало периода]],Первоначальный[[#This Row],[Проценты за период]])),
AND(S1082=0,Первоначальный[[#This Row],[Дата платежа из графика]]=""),0,
AND(S1082=0,Первоначальный[[#This Row],[Дата платежа из графика]]=1,MAX((0&lt;&gt;S$12:S1082)*ROW(S$12:S1082),ROW($S$12))&gt;=MAX((1=Z$12:Z1082)*ROW(Z$12:Z1082),ROW($T$12)),TYPE(VLOOKUP("Да",(INDIRECT("AA"&amp;(MAX((1=Z$12:Z1082)*ROW(Z$12:Z1082),ROW($T$12))&amp;":AA"&amp;(ROW()-1)))),1,0))=16),MIN(LOOKUP(,-1/($Z$12:Z1083=1),$C$12:C1083)+LOOKUP(,-1/($Z$12:Z1083=1),$H$12:H1083),Первоначальный[[#This Row],[Полученный платеж]]+Y1082),
AND(S1082=0,TYPE(VLOOKUP("Да",(INDIRECT("AA"&amp;(MAX((1=Z$12:Z1082)*ROW(Z$12:Z1082),ROW($T$12))&amp;":AA"&amp;(ROW()-1)))),1,0))&lt;&gt;16),MIN(LOOKUP(,-1/($Z$12:Z1083=1),$C$12:C1083)+LOOKUP(,-1/($Z$12:Z1083=1),$H$12:H1083)-IF(AA1082="Да",0,SUM(INDIRECT("T"&amp;(MAX(("Да"=AA$12:AA1082)*ROW(AA$12:AA1082)+1,ROW($T$12))&amp;":T"&amp;(ROW()-1))))),Первоначальный[[#This Row],[Полученный платеж]]+Y1082),
AND(S1082=0,MAX((0&lt;&gt;N$12:N1082)*ROW(N$12:N1082),ROW($S$12))&gt;=MAX((1=Z$12:Z1082)*ROW(Z$12:Z1082),ROW($T$12))),MIN(LOOKUP(,-1/($Z$12:Z1083=1),$C$12:C1083)+LOOKUP(,-1/($Z$12:Z1083=1),$H$12:H1083)-IF(N1082&lt;&gt;0,0,SUM(INDIRECT("T"&amp;(MAX((0&lt;&gt;N$12:N1082)*ROW(N$12:N1082)+1,ROW($T$12))&amp;":T"&amp;(ROW()-1))))),Первоначальный[[#This Row],[Полученный платеж]]+Y1082),
AND(S1082=0,Первоначальный[[#This Row],[Дата платежа из графика]]=1),MIN(LOOKUP(,-1/($Z$12:Z1083=1),$C$12:C1083)+LOOKUP(,-1/($Z$12:Z1083=1),$H$12:H1083)-IF(Z1082=1,0,SUM(INDIRECT("T"&amp;(MAX((1=Z$12:Z1082)*ROW(Z$12:Z1082)+1,ROW($T$12))&amp;":T"&amp;(ROW()-1))))),Первоначальный[[#This Row],[Полученный платеж]]+Y1082),
AND(Z1082&gt;0,Первоначальный[[#This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платеж]]+Y1082),
AND(S1082&gt;0,MAX((0&lt;&gt;S$12:S1082)*ROW(S$12:S1082),ROW($S$12))&gt;=MAX((1=Z$12:Z1082)*ROW(Z$12:Z1082),ROW($T$12)),TYPE(VLOOKUP("Да",(INDIRECT("AA"&amp;(MAX((1=Z$12:Z1082)*ROW(Z$12:Z1082),ROW($T$12))&amp;":AA"&amp;(ROW()-1)))),1,0))=16),MIN(LOOKUP(,-1/($Z$12:Z1083=1),$C$12:C1083)+LOOKUP(,-1/($Z$12:Z1083=1),$H$12:H1083)-SUM(INDIRECT("T"&amp;(MAX((1=Z$12:Z1082)*ROW(Z$12:Z1082),ROW($T$12))&amp;":T"&amp;(ROW()-1)))),Первоначальный[[#This Row],[Полученный платеж]]+Y1082),
S1082&gt;0,MIN(LOOKUP(,-1/($Z$12:Z1083=1),$C$12:C1083)+LOOKUP(,-1/($Z$12:Z1083=1),$H$12:H1083)-IF(Z1082=1,0,SUM(INDIRECT("T"&amp;(MAX((1=Z$12:Z1082)*ROW(Z$12:Z1082)+1,ROW($T$12))&amp;":T"&amp;(ROW()-1))))),Первоначальный[[#This Row],[Полученный платеж]]+Y1082)
)
)
)</f>
        <v>0</v>
      </c>
      <c r="U108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платеж]]+Y1082-Первоначальный[[#This Row],[Полученный платёж по процентам]])</f>
        <v>0</v>
      </c>
      <c r="V1083" s="55">
        <f t="shared" ca="1" si="195"/>
        <v>0</v>
      </c>
      <c r="W1083" s="55" cm="1">
        <f t="array" aca="1" ref="W1083" ca="1">IF(Первоначальный[[#This Row],[Итого остаток на начало периода]]&lt;1,0,
_xlfn.IFS(
AND(TYPE(VLOOKUP(1,$Z$12:Z1083,1,0))=16,Первоначальный[[#This Row],[Досрочное погашение (да/"")]]=""),0,
AND(S1082=0,Первоначальный[[#This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платеж]]+Y1082-SUM(Первоначальный[[#This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комиссиям]]),VLOOKUP(LOOKUP(,-1/($Z$12:Z1083=1),$A$12:A1083),График[[Срок конец]:[Возврат основной суммы долга]],3,0)),
AND(S1082=0,Первоначальный[[#This Row],[Дата платежа из графика]]="",Первоначальный[[#This Row],[Досрочное погашение (да/"")]]&lt;&gt;"Да"),0,
AND(S1082=0,Первоначальный[[#This Row],[Досрочное погашение (да/"")]]=""),MIN(Первоначальный[[#This Row],[Полученный платеж]]+Y1082-SUM(Первоначальный[[#This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комиссиям]]),VLOOKUP(LOOKUP(,-1/($Z$12:Z1083=1),$A$12:A1083),График[[Срок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платеж]]+Y1082-SUM(Первоначальный[[#This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S1082&gt;0,MIN(Первоначальный[[#This Row],[Полученный платеж]]+Y1082-SUM(Первоначальный[[#This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комиссиям]]),SUM(INDIRECT("M"&amp;(MAX((1=S$12:S1082)*ROW(S$12:S1082),ROW($W$12))&amp;":M"&amp;(ROW()))))-SUM(INDIRECT("W"&amp;(MAX((1=S$12:S1082)*ROW(S$12:S1082),ROW($W$12))&amp;":W"&amp;(ROW()-1)))))
)
)</f>
        <v>0</v>
      </c>
      <c r="X1083" s="55">
        <f t="shared" ca="1" si="196"/>
        <v>0</v>
      </c>
      <c r="Y1083" s="101">
        <f t="shared" ca="1" si="203"/>
        <v>0</v>
      </c>
      <c r="Z1083" s="133" t="str">
        <f>IF(TYPE((VLOOKUP(Первоначальный[[#This Row],[Дата платежа]],График[Срок конец],1,0)))=16,"",1)</f>
        <v/>
      </c>
      <c r="AA1083" s="57"/>
      <c r="AB1083" s="134"/>
      <c r="AC108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8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77848.379999999946</v>
      </c>
      <c r="AE108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4453.020000000005</v>
      </c>
      <c r="AF108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8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235765.18470983554</v>
      </c>
      <c r="AH1083" s="55"/>
      <c r="AI1083" s="55"/>
      <c r="AJ1083" s="55"/>
      <c r="AK1083" s="101">
        <f t="shared" ca="1" si="204"/>
        <v>467699.9247098355</v>
      </c>
      <c r="AL1083" s="129">
        <f t="array" ref="AL1083">MAX((УслРестрактов[Характеристика]="Дата реструктуризации")*(УслРестрактов[Значение]=Первоначальный!$A1083),0)</f>
        <v>0</v>
      </c>
    </row>
    <row r="1084" spans="1:38" x14ac:dyDescent="0.25">
      <c r="A1084" s="97">
        <f t="shared" si="197"/>
        <v>45215</v>
      </c>
      <c r="B1084" s="100">
        <f t="shared" ca="1" si="198"/>
        <v>149633.34</v>
      </c>
      <c r="C1084" s="55">
        <f t="shared" ca="1" si="194"/>
        <v>77848.379999999946</v>
      </c>
      <c r="D1084" s="55">
        <f t="shared" ca="1" si="194"/>
        <v>4453.020000000005</v>
      </c>
      <c r="E1084" s="55">
        <f t="shared" ca="1" si="199"/>
        <v>0</v>
      </c>
      <c r="F1084" s="55">
        <f t="shared" ca="1" si="200"/>
        <v>235765.18470983554</v>
      </c>
      <c r="G1084" s="101">
        <f t="shared" ca="1" si="201"/>
        <v>467699.9247098355</v>
      </c>
      <c r="H1084" s="100">
        <f ca="1">ROUND($B1084*VLOOKUP($A1084,$A$1:$B$10,2,1)/(365+IF(MOD(YEAR($A1084),4),0,1)*($A1084-$A1083)),2)-Первоначальный[[#This Row],[Проценты на просроченный платеж по ОД за период]]</f>
        <v>71.67</v>
      </c>
      <c r="I1084" s="55">
        <f t="shared" ca="1" si="202"/>
        <v>9.91</v>
      </c>
      <c r="J1084" s="55">
        <v>0</v>
      </c>
      <c r="K1084" s="55">
        <f t="shared" ca="1" si="205"/>
        <v>477.93850327868847</v>
      </c>
      <c r="L1084" s="55">
        <v>0</v>
      </c>
      <c r="M1084" s="113">
        <f>SUMIFS(График[Возврат основной суммы долга],График[Дата с учетом нерабочих дней],$A1084)</f>
        <v>0</v>
      </c>
      <c r="N1084" s="56">
        <f>SUMIFS(График[Возврат начисленных %],График[Дата с учетом нерабочих дней],$A1084)</f>
        <v>0</v>
      </c>
      <c r="O1084" s="101">
        <v>0</v>
      </c>
      <c r="P1084" s="100" cm="1">
        <f t="array" aca="1" ref="P1084" ca="1">MAX(IF(AA1083="Да",0,SUM(INDIRECT("M"&amp;(MAX(("Да"=AA$12:AA1083)*ROW(AA$12:AA1083)+1,ROW($P$12))&amp;":M"&amp;(ROW()))))-SUM(INDIRECT("W"&amp;(MAX(("Да"=AA$12:AA1083)*ROW(AA$12:AA1083)+1,ROW($P$12))&amp;":W"&amp;(ROW()))))),0)</f>
        <v>18172.72</v>
      </c>
      <c r="Q1084" s="99">
        <f ca="1">MAX(SUM($N$13:N1084)-SUM($T$13:T1084),0)</f>
        <v>77414.980655737687</v>
      </c>
      <c r="R1084" s="99">
        <f ca="1">Первоначальный[[#This Row],[Просроченный платеж по ОД]]+Первоначальный[[#This Row],[Просроченный платеж по процентам]]</f>
        <v>95587.700655737688</v>
      </c>
      <c r="S1084" s="120">
        <f ca="1">IF(Первоначальный[[#This Row],[Просроченный платеж]]&lt;1,0,S1083+1)</f>
        <v>980</v>
      </c>
      <c r="T1084" s="100" cm="1">
        <f t="array" aca="1" ref="T1084" ca="1">IF(Первоначальный[[#This Row],[Итого остаток на начало периода]]&lt;1,0,
IF(
AND(TYPE(VLOOKUP(1,$Z$12:Z1084,1,0))=16,Первоначальный[[#This Row],[Досрочное погашение (да/"")]]=""),0,
_xlfn.IFS(AND(S1083=0,Первоначальный[[#This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платеж]]&lt;&gt;0),MIN(LOOKUP(,-1/($Z$12:Z1084=1),$C$12:C1084)+LOOKUP(,-1/($Z$12:Z1084=1),$H$12:H1084),Первоначальный[[#This Row],[Полученный платеж]]+Y1083),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платеж]]+Y1083,SUM(Первоначальный[[#This Row],[Остаток процентов на начало периода]],Первоначальный[[#This Row],[Проценты за период]])),
AND(S1083=0,Первоначальный[[#This Row],[Дата платежа из графика]]=""),0,
AND(S1083=0,Первоначальный[[#This Row],[Дата платежа из графика]]=1,MAX((0&lt;&gt;S$12:S1083)*ROW(S$12:S1083),ROW($S$12))&gt;=MAX((1=Z$12:Z1083)*ROW(Z$12:Z1083),ROW($T$12)),TYPE(VLOOKUP("Да",(INDIRECT("AA"&amp;(MAX((1=Z$12:Z1083)*ROW(Z$12:Z1083),ROW($T$12))&amp;":AA"&amp;(ROW()-1)))),1,0))=16),MIN(LOOKUP(,-1/($Z$12:Z1084=1),$C$12:C1084)+LOOKUP(,-1/($Z$12:Z1084=1),$H$12:H1084),Первоначальный[[#This Row],[Полученный платеж]]+Y1083),
AND(S1083=0,TYPE(VLOOKUP("Да",(INDIRECT("AA"&amp;(MAX((1=Z$12:Z1083)*ROW(Z$12:Z1083),ROW($T$12))&amp;":AA"&amp;(ROW()-1)))),1,0))&lt;&gt;16),MIN(LOOKUP(,-1/($Z$12:Z1084=1),$C$12:C1084)+LOOKUP(,-1/($Z$12:Z1084=1),$H$12:H1084)-IF(AA1083="Да",0,SUM(INDIRECT("T"&amp;(MAX(("Да"=AA$12:AA1083)*ROW(AA$12:AA1083)+1,ROW($T$12))&amp;":T"&amp;(ROW()-1))))),Первоначальный[[#This Row],[Полученный платеж]]+Y1083),
AND(S1083=0,MAX((0&lt;&gt;N$12:N1083)*ROW(N$12:N1083),ROW($S$12))&gt;=MAX((1=Z$12:Z1083)*ROW(Z$12:Z1083),ROW($T$12))),MIN(LOOKUP(,-1/($Z$12:Z1084=1),$C$12:C1084)+LOOKUP(,-1/($Z$12:Z1084=1),$H$12:H1084)-IF(N1083&lt;&gt;0,0,SUM(INDIRECT("T"&amp;(MAX((0&lt;&gt;N$12:N1083)*ROW(N$12:N1083)+1,ROW($T$12))&amp;":T"&amp;(ROW()-1))))),Первоначальный[[#This Row],[Полученный платеж]]+Y1083),
AND(S1083=0,Первоначальный[[#This Row],[Дата платежа из графика]]=1),MIN(LOOKUP(,-1/($Z$12:Z1084=1),$C$12:C1084)+LOOKUP(,-1/($Z$12:Z1084=1),$H$12:H1084)-IF(Z1083=1,0,SUM(INDIRECT("T"&amp;(MAX((1=Z$12:Z1083)*ROW(Z$12:Z1083)+1,ROW($T$12))&amp;":T"&amp;(ROW()-1))))),Первоначальный[[#This Row],[Полученный платеж]]+Y1083),
AND(Z1083&gt;0,Первоначальный[[#This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платеж]]+Y1083),
AND(S1083&gt;0,MAX((0&lt;&gt;S$12:S1083)*ROW(S$12:S1083),ROW($S$12))&gt;=MAX((1=Z$12:Z1083)*ROW(Z$12:Z1083),ROW($T$12)),TYPE(VLOOKUP("Да",(INDIRECT("AA"&amp;(MAX((1=Z$12:Z1083)*ROW(Z$12:Z1083),ROW($T$12))&amp;":AA"&amp;(ROW()-1)))),1,0))=16),MIN(LOOKUP(,-1/($Z$12:Z1084=1),$C$12:C1084)+LOOKUP(,-1/($Z$12:Z1084=1),$H$12:H1084)-SUM(INDIRECT("T"&amp;(MAX((1=Z$12:Z1083)*ROW(Z$12:Z1083),ROW($T$12))&amp;":T"&amp;(ROW()-1)))),Первоначальный[[#This Row],[Полученный платеж]]+Y1083),
S1083&gt;0,MIN(LOOKUP(,-1/($Z$12:Z1084=1),$C$12:C1084)+LOOKUP(,-1/($Z$12:Z1084=1),$H$12:H1084)-IF(Z1083=1,0,SUM(INDIRECT("T"&amp;(MAX((1=Z$12:Z1083)*ROW(Z$12:Z1083)+1,ROW($T$12))&amp;":T"&amp;(ROW()-1))))),Первоначальный[[#This Row],[Полученный платеж]]+Y1083)
)
)
)</f>
        <v>0</v>
      </c>
      <c r="U108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платеж]]+Y1083-Первоначальный[[#This Row],[Полученный платёж по процентам]])</f>
        <v>0</v>
      </c>
      <c r="V1084" s="55">
        <f t="shared" ca="1" si="195"/>
        <v>0</v>
      </c>
      <c r="W1084" s="55" cm="1">
        <f t="array" aca="1" ref="W1084" ca="1">IF(Первоначальный[[#This Row],[Итого остаток на начало периода]]&lt;1,0,
_xlfn.IFS(
AND(TYPE(VLOOKUP(1,$Z$12:Z1084,1,0))=16,Первоначальный[[#This Row],[Досрочное погашение (да/"")]]=""),0,
AND(S1083=0,Первоначальный[[#This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платеж]]+Y1083-SUM(Первоначальный[[#This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комиссиям]]),VLOOKUP(LOOKUP(,-1/($Z$12:Z1084=1),$A$12:A1084),График[[Срок конец]:[Возврат основной суммы долга]],3,0)),
AND(S1083=0,Первоначальный[[#This Row],[Дата платежа из графика]]="",Первоначальный[[#This Row],[Досрочное погашение (да/"")]]&lt;&gt;"Да"),0,
AND(S1083=0,Первоначальный[[#This Row],[Досрочное погашение (да/"")]]=""),MIN(Первоначальный[[#This Row],[Полученный платеж]]+Y1083-SUM(Первоначальный[[#This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комиссиям]]),VLOOKUP(LOOKUP(,-1/($Z$12:Z1084=1),$A$12:A1084),График[[Срок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платеж]]+Y1083-SUM(Первоначальный[[#This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S1083&gt;0,MIN(Первоначальный[[#This Row],[Полученный платеж]]+Y1083-SUM(Первоначальный[[#This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комиссиям]]),SUM(INDIRECT("M"&amp;(MAX((1=S$12:S1083)*ROW(S$12:S1083),ROW($W$12))&amp;":M"&amp;(ROW()))))-SUM(INDIRECT("W"&amp;(MAX((1=S$12:S1083)*ROW(S$12:S1083),ROW($W$12))&amp;":W"&amp;(ROW()-1)))))
)
)</f>
        <v>0</v>
      </c>
      <c r="X1084" s="55">
        <f t="shared" ca="1" si="196"/>
        <v>0</v>
      </c>
      <c r="Y1084" s="101">
        <f t="shared" ca="1" si="203"/>
        <v>0</v>
      </c>
      <c r="Z1084" s="133" t="str">
        <f>IF(TYPE((VLOOKUP(Первоначальный[[#This Row],[Дата платежа]],График[Срок конец],1,0)))=16,"",1)</f>
        <v/>
      </c>
      <c r="AA1084" s="57"/>
      <c r="AB1084" s="134"/>
      <c r="AC108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8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77920.049999999945</v>
      </c>
      <c r="AE108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4462.9300000000048</v>
      </c>
      <c r="AF108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8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236243.12321311422</v>
      </c>
      <c r="AH1084" s="55"/>
      <c r="AI1084" s="55"/>
      <c r="AJ1084" s="55"/>
      <c r="AK1084" s="101">
        <f t="shared" ca="1" si="204"/>
        <v>468259.44321311417</v>
      </c>
      <c r="AL1084" s="129">
        <f t="array" ref="AL1084">MAX((УслРестрактов[Характеристика]="Дата реструктуризации")*(УслРестрактов[Значение]=Первоначальный!$A1084),0)</f>
        <v>0</v>
      </c>
    </row>
    <row r="1085" spans="1:38" x14ac:dyDescent="0.25">
      <c r="A1085" s="97">
        <f t="shared" si="197"/>
        <v>45216</v>
      </c>
      <c r="B1085" s="100">
        <f t="shared" ca="1" si="198"/>
        <v>149633.34</v>
      </c>
      <c r="C1085" s="55">
        <f t="shared" ca="1" si="194"/>
        <v>77920.049999999945</v>
      </c>
      <c r="D1085" s="55">
        <f t="shared" ca="1" si="194"/>
        <v>4462.9300000000048</v>
      </c>
      <c r="E1085" s="55">
        <f t="shared" ca="1" si="199"/>
        <v>0</v>
      </c>
      <c r="F1085" s="55">
        <f t="shared" ca="1" si="200"/>
        <v>236243.12321311422</v>
      </c>
      <c r="G1085" s="101">
        <f t="shared" ca="1" si="201"/>
        <v>468259.44321311417</v>
      </c>
      <c r="H1085" s="100">
        <f ca="1">ROUND($B1085*VLOOKUP($A1085,$A$1:$B$10,2,1)/(365+IF(MOD(YEAR($A1085),4),0,1)*($A1085-$A1084)),2)-Первоначальный[[#This Row],[Проценты на просроченный платеж по ОД за период]]</f>
        <v>71.67</v>
      </c>
      <c r="I1085" s="55">
        <f t="shared" ca="1" si="202"/>
        <v>9.91</v>
      </c>
      <c r="J1085" s="55">
        <v>0</v>
      </c>
      <c r="K1085" s="55">
        <f t="shared" ca="1" si="205"/>
        <v>477.93850327868847</v>
      </c>
      <c r="L1085" s="55">
        <v>0</v>
      </c>
      <c r="M1085" s="113">
        <f>SUMIFS(График[Возврат основной суммы долга],График[Дата с учетом нерабочих дней],$A1085)</f>
        <v>0</v>
      </c>
      <c r="N1085" s="56">
        <f>SUMIFS(График[Возврат начисленных %],График[Дата с учетом нерабочих дней],$A1085)</f>
        <v>0</v>
      </c>
      <c r="O1085" s="101">
        <v>0</v>
      </c>
      <c r="P1085" s="100" cm="1">
        <f t="array" aca="1" ref="P1085" ca="1">MAX(IF(AA1084="Да",0,SUM(INDIRECT("M"&amp;(MAX(("Да"=AA$12:AA1084)*ROW(AA$12:AA1084)+1,ROW($P$12))&amp;":M"&amp;(ROW()))))-SUM(INDIRECT("W"&amp;(MAX(("Да"=AA$12:AA1084)*ROW(AA$12:AA1084)+1,ROW($P$12))&amp;":W"&amp;(ROW()))))),0)</f>
        <v>18172.72</v>
      </c>
      <c r="Q1085" s="99">
        <f ca="1">MAX(SUM($N$13:N1085)-SUM($T$13:T1085),0)</f>
        <v>77414.980655737687</v>
      </c>
      <c r="R1085" s="99">
        <f ca="1">Первоначальный[[#This Row],[Просроченный платеж по ОД]]+Первоначальный[[#This Row],[Просроченный платеж по процентам]]</f>
        <v>95587.700655737688</v>
      </c>
      <c r="S1085" s="120">
        <f ca="1">IF(Первоначальный[[#This Row],[Просроченный платеж]]&lt;1,0,S1084+1)</f>
        <v>981</v>
      </c>
      <c r="T1085" s="100" cm="1">
        <f t="array" aca="1" ref="T1085" ca="1">IF(Первоначальный[[#This Row],[Итого остаток на начало периода]]&lt;1,0,
IF(
AND(TYPE(VLOOKUP(1,$Z$12:Z1085,1,0))=16,Первоначальный[[#This Row],[Досрочное погашение (да/"")]]=""),0,
_xlfn.IFS(AND(S1084=0,Первоначальный[[#This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платеж]]&lt;&gt;0),MIN(LOOKUP(,-1/($Z$12:Z1085=1),$C$12:C1085)+LOOKUP(,-1/($Z$12:Z1085=1),$H$12:H1085),Первоначальный[[#This Row],[Полученный платеж]]+Y1084),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платеж]]+Y1084,SUM(Первоначальный[[#This Row],[Остаток процентов на начало периода]],Первоначальный[[#This Row],[Проценты за период]])),
AND(S1084=0,Первоначальный[[#This Row],[Дата платежа из графика]]=""),0,
AND(S1084=0,Первоначальный[[#This Row],[Дата платежа из графика]]=1,MAX((0&lt;&gt;S$12:S1084)*ROW(S$12:S1084),ROW($S$12))&gt;=MAX((1=Z$12:Z1084)*ROW(Z$12:Z1084),ROW($T$12)),TYPE(VLOOKUP("Да",(INDIRECT("AA"&amp;(MAX((1=Z$12:Z1084)*ROW(Z$12:Z1084),ROW($T$12))&amp;":AA"&amp;(ROW()-1)))),1,0))=16),MIN(LOOKUP(,-1/($Z$12:Z1085=1),$C$12:C1085)+LOOKUP(,-1/($Z$12:Z1085=1),$H$12:H1085),Первоначальный[[#This Row],[Полученный платеж]]+Y1084),
AND(S1084=0,TYPE(VLOOKUP("Да",(INDIRECT("AA"&amp;(MAX((1=Z$12:Z1084)*ROW(Z$12:Z1084),ROW($T$12))&amp;":AA"&amp;(ROW()-1)))),1,0))&lt;&gt;16),MIN(LOOKUP(,-1/($Z$12:Z1085=1),$C$12:C1085)+LOOKUP(,-1/($Z$12:Z1085=1),$H$12:H1085)-IF(AA1084="Да",0,SUM(INDIRECT("T"&amp;(MAX(("Да"=AA$12:AA1084)*ROW(AA$12:AA1084)+1,ROW($T$12))&amp;":T"&amp;(ROW()-1))))),Первоначальный[[#This Row],[Полученный платеж]]+Y1084),
AND(S1084=0,MAX((0&lt;&gt;N$12:N1084)*ROW(N$12:N1084),ROW($S$12))&gt;=MAX((1=Z$12:Z1084)*ROW(Z$12:Z1084),ROW($T$12))),MIN(LOOKUP(,-1/($Z$12:Z1085=1),$C$12:C1085)+LOOKUP(,-1/($Z$12:Z1085=1),$H$12:H1085)-IF(N1084&lt;&gt;0,0,SUM(INDIRECT("T"&amp;(MAX((0&lt;&gt;N$12:N1084)*ROW(N$12:N1084)+1,ROW($T$12))&amp;":T"&amp;(ROW()-1))))),Первоначальный[[#This Row],[Полученный платеж]]+Y1084),
AND(S1084=0,Первоначальный[[#This Row],[Дата платежа из графика]]=1),MIN(LOOKUP(,-1/($Z$12:Z1085=1),$C$12:C1085)+LOOKUP(,-1/($Z$12:Z1085=1),$H$12:H1085)-IF(Z1084=1,0,SUM(INDIRECT("T"&amp;(MAX((1=Z$12:Z1084)*ROW(Z$12:Z1084)+1,ROW($T$12))&amp;":T"&amp;(ROW()-1))))),Первоначальный[[#This Row],[Полученный платеж]]+Y1084),
AND(Z1084&gt;0,Первоначальный[[#This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платеж]]+Y1084),
AND(S1084&gt;0,MAX((0&lt;&gt;S$12:S1084)*ROW(S$12:S1084),ROW($S$12))&gt;=MAX((1=Z$12:Z1084)*ROW(Z$12:Z1084),ROW($T$12)),TYPE(VLOOKUP("Да",(INDIRECT("AA"&amp;(MAX((1=Z$12:Z1084)*ROW(Z$12:Z1084),ROW($T$12))&amp;":AA"&amp;(ROW()-1)))),1,0))=16),MIN(LOOKUP(,-1/($Z$12:Z1085=1),$C$12:C1085)+LOOKUP(,-1/($Z$12:Z1085=1),$H$12:H1085)-SUM(INDIRECT("T"&amp;(MAX((1=Z$12:Z1084)*ROW(Z$12:Z1084),ROW($T$12))&amp;":T"&amp;(ROW()-1)))),Первоначальный[[#This Row],[Полученный платеж]]+Y1084),
S1084&gt;0,MIN(LOOKUP(,-1/($Z$12:Z1085=1),$C$12:C1085)+LOOKUP(,-1/($Z$12:Z1085=1),$H$12:H1085)-IF(Z1084=1,0,SUM(INDIRECT("T"&amp;(MAX((1=Z$12:Z1084)*ROW(Z$12:Z1084)+1,ROW($T$12))&amp;":T"&amp;(ROW()-1))))),Первоначальный[[#This Row],[Полученный платеж]]+Y1084)
)
)
)</f>
        <v>0</v>
      </c>
      <c r="U108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платеж]]+Y1084-Первоначальный[[#This Row],[Полученный платёж по процентам]])</f>
        <v>0</v>
      </c>
      <c r="V1085" s="55">
        <f t="shared" ca="1" si="195"/>
        <v>0</v>
      </c>
      <c r="W1085" s="55" cm="1">
        <f t="array" aca="1" ref="W1085" ca="1">IF(Первоначальный[[#This Row],[Итого остаток на начало периода]]&lt;1,0,
_xlfn.IFS(
AND(TYPE(VLOOKUP(1,$Z$12:Z1085,1,0))=16,Первоначальный[[#This Row],[Досрочное погашение (да/"")]]=""),0,
AND(S1084=0,Первоначальный[[#This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платеж]]+Y1084-SUM(Первоначальный[[#This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комиссиям]]),VLOOKUP(LOOKUP(,-1/($Z$12:Z1085=1),$A$12:A1085),График[[Срок конец]:[Возврат основной суммы долга]],3,0)),
AND(S1084=0,Первоначальный[[#This Row],[Дата платежа из графика]]="",Первоначальный[[#This Row],[Досрочное погашение (да/"")]]&lt;&gt;"Да"),0,
AND(S1084=0,Первоначальный[[#This Row],[Досрочное погашение (да/"")]]=""),MIN(Первоначальный[[#This Row],[Полученный платеж]]+Y1084-SUM(Первоначальный[[#This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комиссиям]]),VLOOKUP(LOOKUP(,-1/($Z$12:Z1085=1),$A$12:A1085),График[[Срок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платеж]]+Y1084-SUM(Первоначальный[[#This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S1084&gt;0,MIN(Первоначальный[[#This Row],[Полученный платеж]]+Y1084-SUM(Первоначальный[[#This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комиссиям]]),SUM(INDIRECT("M"&amp;(MAX((1=S$12:S1084)*ROW(S$12:S1084),ROW($W$12))&amp;":M"&amp;(ROW()))))-SUM(INDIRECT("W"&amp;(MAX((1=S$12:S1084)*ROW(S$12:S1084),ROW($W$12))&amp;":W"&amp;(ROW()-1)))))
)
)</f>
        <v>0</v>
      </c>
      <c r="X1085" s="55">
        <f t="shared" ca="1" si="196"/>
        <v>0</v>
      </c>
      <c r="Y1085" s="101">
        <f t="shared" ca="1" si="203"/>
        <v>0</v>
      </c>
      <c r="Z1085" s="133" t="str">
        <f>IF(TYPE((VLOOKUP(Первоначальный[[#This Row],[Дата платежа]],График[Срок конец],1,0)))=16,"",1)</f>
        <v/>
      </c>
      <c r="AA1085" s="57"/>
      <c r="AB1085" s="134"/>
      <c r="AC108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8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77991.719999999943</v>
      </c>
      <c r="AE108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4472.8400000000047</v>
      </c>
      <c r="AF108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8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236721.0617163929</v>
      </c>
      <c r="AH1085" s="55"/>
      <c r="AI1085" s="55"/>
      <c r="AJ1085" s="55"/>
      <c r="AK1085" s="101">
        <f t="shared" ca="1" si="204"/>
        <v>468818.96171639283</v>
      </c>
      <c r="AL1085" s="129">
        <f t="array" ref="AL1085">MAX((УслРестрактов[Характеристика]="Дата реструктуризации")*(УслРестрактов[Значение]=Первоначальный!$A1085),0)</f>
        <v>0</v>
      </c>
    </row>
    <row r="1086" spans="1:38" x14ac:dyDescent="0.25">
      <c r="A1086" s="97">
        <f t="shared" si="197"/>
        <v>45217</v>
      </c>
      <c r="B1086" s="100">
        <f t="shared" ca="1" si="198"/>
        <v>149633.34</v>
      </c>
      <c r="C1086" s="55">
        <f t="shared" ca="1" si="194"/>
        <v>77991.719999999943</v>
      </c>
      <c r="D1086" s="55">
        <f t="shared" ca="1" si="194"/>
        <v>4472.8400000000047</v>
      </c>
      <c r="E1086" s="55">
        <f t="shared" ca="1" si="199"/>
        <v>0</v>
      </c>
      <c r="F1086" s="55">
        <f t="shared" ca="1" si="200"/>
        <v>236721.0617163929</v>
      </c>
      <c r="G1086" s="101">
        <f t="shared" ca="1" si="201"/>
        <v>468818.96171639283</v>
      </c>
      <c r="H1086" s="100">
        <f ca="1">ROUND($B1086*VLOOKUP($A1086,$A$1:$B$10,2,1)/(365+IF(MOD(YEAR($A1086),4),0,1)*($A1086-$A1085)),2)-Первоначальный[[#This Row],[Проценты на просроченный платеж по ОД за период]]</f>
        <v>71.67</v>
      </c>
      <c r="I1086" s="55">
        <f t="shared" ca="1" si="202"/>
        <v>9.91</v>
      </c>
      <c r="J1086" s="55">
        <v>0</v>
      </c>
      <c r="K1086" s="55">
        <f t="shared" ca="1" si="205"/>
        <v>477.93850327868847</v>
      </c>
      <c r="L1086" s="55">
        <v>0</v>
      </c>
      <c r="M1086" s="113">
        <f>SUMIFS(График[Возврат основной суммы долга],График[Дата с учетом нерабочих дней],$A1086)</f>
        <v>0</v>
      </c>
      <c r="N1086" s="56">
        <f>SUMIFS(График[Возврат начисленных %],График[Дата с учетом нерабочих дней],$A1086)</f>
        <v>0</v>
      </c>
      <c r="O1086" s="101">
        <v>0</v>
      </c>
      <c r="P1086" s="100" cm="1">
        <f t="array" aca="1" ref="P1086" ca="1">MAX(IF(AA1085="Да",0,SUM(INDIRECT("M"&amp;(MAX(("Да"=AA$12:AA1085)*ROW(AA$12:AA1085)+1,ROW($P$12))&amp;":M"&amp;(ROW()))))-SUM(INDIRECT("W"&amp;(MAX(("Да"=AA$12:AA1085)*ROW(AA$12:AA1085)+1,ROW($P$12))&amp;":W"&amp;(ROW()))))),0)</f>
        <v>18172.72</v>
      </c>
      <c r="Q1086" s="99">
        <f ca="1">MAX(SUM($N$13:N1086)-SUM($T$13:T1086),0)</f>
        <v>77414.980655737687</v>
      </c>
      <c r="R1086" s="99">
        <f ca="1">Первоначальный[[#This Row],[Просроченный платеж по ОД]]+Первоначальный[[#This Row],[Просроченный платеж по процентам]]</f>
        <v>95587.700655737688</v>
      </c>
      <c r="S1086" s="120">
        <f ca="1">IF(Первоначальный[[#This Row],[Просроченный платеж]]&lt;1,0,S1085+1)</f>
        <v>982</v>
      </c>
      <c r="T1086" s="100" cm="1">
        <f t="array" aca="1" ref="T1086" ca="1">IF(Первоначальный[[#This Row],[Итого остаток на начало периода]]&lt;1,0,
IF(
AND(TYPE(VLOOKUP(1,$Z$12:Z1086,1,0))=16,Первоначальный[[#This Row],[Досрочное погашение (да/"")]]=""),0,
_xlfn.IFS(AND(S1085=0,Первоначальный[[#This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платеж]]&lt;&gt;0),MIN(LOOKUP(,-1/($Z$12:Z1086=1),$C$12:C1086)+LOOKUP(,-1/($Z$12:Z1086=1),$H$12:H1086),Первоначальный[[#This Row],[Полученный платеж]]+Y1085),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платеж]]+Y1085,SUM(Первоначальный[[#This Row],[Остаток процентов на начало периода]],Первоначальный[[#This Row],[Проценты за период]])),
AND(S1085=0,Первоначальный[[#This Row],[Дата платежа из графика]]=""),0,
AND(S1085=0,Первоначальный[[#This Row],[Дата платежа из графика]]=1,MAX((0&lt;&gt;S$12:S1085)*ROW(S$12:S1085),ROW($S$12))&gt;=MAX((1=Z$12:Z1085)*ROW(Z$12:Z1085),ROW($T$12)),TYPE(VLOOKUP("Да",(INDIRECT("AA"&amp;(MAX((1=Z$12:Z1085)*ROW(Z$12:Z1085),ROW($T$12))&amp;":AA"&amp;(ROW()-1)))),1,0))=16),MIN(LOOKUP(,-1/($Z$12:Z1086=1),$C$12:C1086)+LOOKUP(,-1/($Z$12:Z1086=1),$H$12:H1086),Первоначальный[[#This Row],[Полученный платеж]]+Y1085),
AND(S1085=0,TYPE(VLOOKUP("Да",(INDIRECT("AA"&amp;(MAX((1=Z$12:Z1085)*ROW(Z$12:Z1085),ROW($T$12))&amp;":AA"&amp;(ROW()-1)))),1,0))&lt;&gt;16),MIN(LOOKUP(,-1/($Z$12:Z1086=1),$C$12:C1086)+LOOKUP(,-1/($Z$12:Z1086=1),$H$12:H1086)-IF(AA1085="Да",0,SUM(INDIRECT("T"&amp;(MAX(("Да"=AA$12:AA1085)*ROW(AA$12:AA1085)+1,ROW($T$12))&amp;":T"&amp;(ROW()-1))))),Первоначальный[[#This Row],[Полученный платеж]]+Y1085),
AND(S1085=0,MAX((0&lt;&gt;N$12:N1085)*ROW(N$12:N1085),ROW($S$12))&gt;=MAX((1=Z$12:Z1085)*ROW(Z$12:Z1085),ROW($T$12))),MIN(LOOKUP(,-1/($Z$12:Z1086=1),$C$12:C1086)+LOOKUP(,-1/($Z$12:Z1086=1),$H$12:H1086)-IF(N1085&lt;&gt;0,0,SUM(INDIRECT("T"&amp;(MAX((0&lt;&gt;N$12:N1085)*ROW(N$12:N1085)+1,ROW($T$12))&amp;":T"&amp;(ROW()-1))))),Первоначальный[[#This Row],[Полученный платеж]]+Y1085),
AND(S1085=0,Первоначальный[[#This Row],[Дата платежа из графика]]=1),MIN(LOOKUP(,-1/($Z$12:Z1086=1),$C$12:C1086)+LOOKUP(,-1/($Z$12:Z1086=1),$H$12:H1086)-IF(Z1085=1,0,SUM(INDIRECT("T"&amp;(MAX((1=Z$12:Z1085)*ROW(Z$12:Z1085)+1,ROW($T$12))&amp;":T"&amp;(ROW()-1))))),Первоначальный[[#This Row],[Полученный платеж]]+Y1085),
AND(Z1085&gt;0,Первоначальный[[#This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платеж]]+Y1085),
AND(S1085&gt;0,MAX((0&lt;&gt;S$12:S1085)*ROW(S$12:S1085),ROW($S$12))&gt;=MAX((1=Z$12:Z1085)*ROW(Z$12:Z1085),ROW($T$12)),TYPE(VLOOKUP("Да",(INDIRECT("AA"&amp;(MAX((1=Z$12:Z1085)*ROW(Z$12:Z1085),ROW($T$12))&amp;":AA"&amp;(ROW()-1)))),1,0))=16),MIN(LOOKUP(,-1/($Z$12:Z1086=1),$C$12:C1086)+LOOKUP(,-1/($Z$12:Z1086=1),$H$12:H1086)-SUM(INDIRECT("T"&amp;(MAX((1=Z$12:Z1085)*ROW(Z$12:Z1085),ROW($T$12))&amp;":T"&amp;(ROW()-1)))),Первоначальный[[#This Row],[Полученный платеж]]+Y1085),
S1085&gt;0,MIN(LOOKUP(,-1/($Z$12:Z1086=1),$C$12:C1086)+LOOKUP(,-1/($Z$12:Z1086=1),$H$12:H1086)-IF(Z1085=1,0,SUM(INDIRECT("T"&amp;(MAX((1=Z$12:Z1085)*ROW(Z$12:Z1085)+1,ROW($T$12))&amp;":T"&amp;(ROW()-1))))),Первоначальный[[#This Row],[Полученный платеж]]+Y1085)
)
)
)</f>
        <v>0</v>
      </c>
      <c r="U108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платеж]]+Y1085-Первоначальный[[#This Row],[Полученный платёж по процентам]])</f>
        <v>0</v>
      </c>
      <c r="V1086" s="55">
        <f t="shared" ca="1" si="195"/>
        <v>0</v>
      </c>
      <c r="W1086" s="55" cm="1">
        <f t="array" aca="1" ref="W1086" ca="1">IF(Первоначальный[[#This Row],[Итого остаток на начало периода]]&lt;1,0,
_xlfn.IFS(
AND(TYPE(VLOOKUP(1,$Z$12:Z1086,1,0))=16,Первоначальный[[#This Row],[Досрочное погашение (да/"")]]=""),0,
AND(S1085=0,Первоначальный[[#This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платеж]]+Y1085-SUM(Первоначальный[[#This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комиссиям]]),VLOOKUP(LOOKUP(,-1/($Z$12:Z1086=1),$A$12:A1086),График[[Срок конец]:[Возврат основной суммы долга]],3,0)),
AND(S1085=0,Первоначальный[[#This Row],[Дата платежа из графика]]="",Первоначальный[[#This Row],[Досрочное погашение (да/"")]]&lt;&gt;"Да"),0,
AND(S1085=0,Первоначальный[[#This Row],[Досрочное погашение (да/"")]]=""),MIN(Первоначальный[[#This Row],[Полученный платеж]]+Y1085-SUM(Первоначальный[[#This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комиссиям]]),VLOOKUP(LOOKUP(,-1/($Z$12:Z1086=1),$A$12:A1086),График[[Срок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платеж]]+Y1085-SUM(Первоначальный[[#This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S1085&gt;0,MIN(Первоначальный[[#This Row],[Полученный платеж]]+Y1085-SUM(Первоначальный[[#This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комиссиям]]),SUM(INDIRECT("M"&amp;(MAX((1=S$12:S1085)*ROW(S$12:S1085),ROW($W$12))&amp;":M"&amp;(ROW()))))-SUM(INDIRECT("W"&amp;(MAX((1=S$12:S1085)*ROW(S$12:S1085),ROW($W$12))&amp;":W"&amp;(ROW()-1)))))
)
)</f>
        <v>0</v>
      </c>
      <c r="X1086" s="55">
        <f t="shared" ca="1" si="196"/>
        <v>0</v>
      </c>
      <c r="Y1086" s="101">
        <f t="shared" ca="1" si="203"/>
        <v>0</v>
      </c>
      <c r="Z1086" s="133" t="str">
        <f>IF(TYPE((VLOOKUP(Первоначальный[[#This Row],[Дата платежа]],График[Срок конец],1,0)))=16,"",1)</f>
        <v/>
      </c>
      <c r="AA1086" s="57"/>
      <c r="AB1086" s="134"/>
      <c r="AC108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8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78063.389999999941</v>
      </c>
      <c r="AE108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4482.7500000000045</v>
      </c>
      <c r="AF108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8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237199.00021967158</v>
      </c>
      <c r="AH1086" s="55"/>
      <c r="AI1086" s="55"/>
      <c r="AJ1086" s="55"/>
      <c r="AK1086" s="101">
        <f t="shared" ca="1" si="204"/>
        <v>469378.4802196715</v>
      </c>
      <c r="AL1086" s="129">
        <f t="array" ref="AL1086">MAX((УслРестрактов[Характеристика]="Дата реструктуризации")*(УслРестрактов[Значение]=Первоначальный!$A1086),0)</f>
        <v>0</v>
      </c>
    </row>
    <row r="1087" spans="1:38" x14ac:dyDescent="0.25">
      <c r="A1087" s="97">
        <f t="shared" si="197"/>
        <v>45218</v>
      </c>
      <c r="B1087" s="100">
        <f t="shared" ca="1" si="198"/>
        <v>149633.34</v>
      </c>
      <c r="C1087" s="55">
        <f t="shared" ca="1" si="194"/>
        <v>78063.389999999941</v>
      </c>
      <c r="D1087" s="55">
        <f t="shared" ca="1" si="194"/>
        <v>4482.7500000000045</v>
      </c>
      <c r="E1087" s="55">
        <f t="shared" ca="1" si="199"/>
        <v>0</v>
      </c>
      <c r="F1087" s="55">
        <f t="shared" ca="1" si="200"/>
        <v>237199.00021967158</v>
      </c>
      <c r="G1087" s="101">
        <f t="shared" ca="1" si="201"/>
        <v>469378.4802196715</v>
      </c>
      <c r="H1087" s="100">
        <f ca="1">ROUND($B1087*VLOOKUP($A1087,$A$1:$B$10,2,1)/(365+IF(MOD(YEAR($A1087),4),0,1)*($A1087-$A1086)),2)-Первоначальный[[#This Row],[Проценты на просроченный платеж по ОД за период]]</f>
        <v>71.67</v>
      </c>
      <c r="I1087" s="55">
        <f t="shared" ca="1" si="202"/>
        <v>9.91</v>
      </c>
      <c r="J1087" s="55">
        <v>0</v>
      </c>
      <c r="K1087" s="55">
        <f t="shared" ca="1" si="205"/>
        <v>477.93850327868847</v>
      </c>
      <c r="L1087" s="55">
        <v>0</v>
      </c>
      <c r="M1087" s="113">
        <f>SUMIFS(График[Возврат основной суммы долга],График[Дата с учетом нерабочих дней],$A1087)</f>
        <v>0</v>
      </c>
      <c r="N1087" s="56">
        <f>SUMIFS(График[Возврат начисленных %],График[Дата с учетом нерабочих дней],$A1087)</f>
        <v>0</v>
      </c>
      <c r="O1087" s="101">
        <v>0</v>
      </c>
      <c r="P1087" s="100" cm="1">
        <f t="array" aca="1" ref="P1087" ca="1">MAX(IF(AA1086="Да",0,SUM(INDIRECT("M"&amp;(MAX(("Да"=AA$12:AA1086)*ROW(AA$12:AA1086)+1,ROW($P$12))&amp;":M"&amp;(ROW()))))-SUM(INDIRECT("W"&amp;(MAX(("Да"=AA$12:AA1086)*ROW(AA$12:AA1086)+1,ROW($P$12))&amp;":W"&amp;(ROW()))))),0)</f>
        <v>18172.72</v>
      </c>
      <c r="Q1087" s="99">
        <f ca="1">MAX(SUM($N$13:N1087)-SUM($T$13:T1087),0)</f>
        <v>77414.980655737687</v>
      </c>
      <c r="R1087" s="99">
        <f ca="1">Первоначальный[[#This Row],[Просроченный платеж по ОД]]+Первоначальный[[#This Row],[Просроченный платеж по процентам]]</f>
        <v>95587.700655737688</v>
      </c>
      <c r="S1087" s="120">
        <f ca="1">IF(Первоначальный[[#This Row],[Просроченный платеж]]&lt;1,0,S1086+1)</f>
        <v>983</v>
      </c>
      <c r="T1087" s="100" cm="1">
        <f t="array" aca="1" ref="T1087" ca="1">IF(Первоначальный[[#This Row],[Итого остаток на начало периода]]&lt;1,0,
IF(
AND(TYPE(VLOOKUP(1,$Z$12:Z1087,1,0))=16,Первоначальный[[#This Row],[Досрочное погашение (да/"")]]=""),0,
_xlfn.IFS(AND(S1086=0,Первоначальный[[#This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платеж]]&lt;&gt;0),MIN(LOOKUP(,-1/($Z$12:Z1087=1),$C$12:C1087)+LOOKUP(,-1/($Z$12:Z1087=1),$H$12:H1087),Первоначальный[[#This Row],[Полученный платеж]]+Y1086),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платеж]]+Y1086,SUM(Первоначальный[[#This Row],[Остаток процентов на начало периода]],Первоначальный[[#This Row],[Проценты за период]])),
AND(S1086=0,Первоначальный[[#This Row],[Дата платежа из графика]]=""),0,
AND(S1086=0,Первоначальный[[#This Row],[Дата платежа из графика]]=1,MAX((0&lt;&gt;S$12:S1086)*ROW(S$12:S1086),ROW($S$12))&gt;=MAX((1=Z$12:Z1086)*ROW(Z$12:Z1086),ROW($T$12)),TYPE(VLOOKUP("Да",(INDIRECT("AA"&amp;(MAX((1=Z$12:Z1086)*ROW(Z$12:Z1086),ROW($T$12))&amp;":AA"&amp;(ROW()-1)))),1,0))=16),MIN(LOOKUP(,-1/($Z$12:Z1087=1),$C$12:C1087)+LOOKUP(,-1/($Z$12:Z1087=1),$H$12:H1087),Первоначальный[[#This Row],[Полученный платеж]]+Y1086),
AND(S1086=0,TYPE(VLOOKUP("Да",(INDIRECT("AA"&amp;(MAX((1=Z$12:Z1086)*ROW(Z$12:Z1086),ROW($T$12))&amp;":AA"&amp;(ROW()-1)))),1,0))&lt;&gt;16),MIN(LOOKUP(,-1/($Z$12:Z1087=1),$C$12:C1087)+LOOKUP(,-1/($Z$12:Z1087=1),$H$12:H1087)-IF(AA1086="Да",0,SUM(INDIRECT("T"&amp;(MAX(("Да"=AA$12:AA1086)*ROW(AA$12:AA1086)+1,ROW($T$12))&amp;":T"&amp;(ROW()-1))))),Первоначальный[[#This Row],[Полученный платеж]]+Y1086),
AND(S1086=0,MAX((0&lt;&gt;N$12:N1086)*ROW(N$12:N1086),ROW($S$12))&gt;=MAX((1=Z$12:Z1086)*ROW(Z$12:Z1086),ROW($T$12))),MIN(LOOKUP(,-1/($Z$12:Z1087=1),$C$12:C1087)+LOOKUP(,-1/($Z$12:Z1087=1),$H$12:H1087)-IF(N1086&lt;&gt;0,0,SUM(INDIRECT("T"&amp;(MAX((0&lt;&gt;N$12:N1086)*ROW(N$12:N1086)+1,ROW($T$12))&amp;":T"&amp;(ROW()-1))))),Первоначальный[[#This Row],[Полученный платеж]]+Y1086),
AND(S1086=0,Первоначальный[[#This Row],[Дата платежа из графика]]=1),MIN(LOOKUP(,-1/($Z$12:Z1087=1),$C$12:C1087)+LOOKUP(,-1/($Z$12:Z1087=1),$H$12:H1087)-IF(Z1086=1,0,SUM(INDIRECT("T"&amp;(MAX((1=Z$12:Z1086)*ROW(Z$12:Z1086)+1,ROW($T$12))&amp;":T"&amp;(ROW()-1))))),Первоначальный[[#This Row],[Полученный платеж]]+Y1086),
AND(Z1086&gt;0,Первоначальный[[#This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платеж]]+Y1086),
AND(S1086&gt;0,MAX((0&lt;&gt;S$12:S1086)*ROW(S$12:S1086),ROW($S$12))&gt;=MAX((1=Z$12:Z1086)*ROW(Z$12:Z1086),ROW($T$12)),TYPE(VLOOKUP("Да",(INDIRECT("AA"&amp;(MAX((1=Z$12:Z1086)*ROW(Z$12:Z1086),ROW($T$12))&amp;":AA"&amp;(ROW()-1)))),1,0))=16),MIN(LOOKUP(,-1/($Z$12:Z1087=1),$C$12:C1087)+LOOKUP(,-1/($Z$12:Z1087=1),$H$12:H1087)-SUM(INDIRECT("T"&amp;(MAX((1=Z$12:Z1086)*ROW(Z$12:Z1086),ROW($T$12))&amp;":T"&amp;(ROW()-1)))),Первоначальный[[#This Row],[Полученный платеж]]+Y1086),
S1086&gt;0,MIN(LOOKUP(,-1/($Z$12:Z1087=1),$C$12:C1087)+LOOKUP(,-1/($Z$12:Z1087=1),$H$12:H1087)-IF(Z1086=1,0,SUM(INDIRECT("T"&amp;(MAX((1=Z$12:Z1086)*ROW(Z$12:Z1086)+1,ROW($T$12))&amp;":T"&amp;(ROW()-1))))),Первоначальный[[#This Row],[Полученный платеж]]+Y1086)
)
)
)</f>
        <v>0</v>
      </c>
      <c r="U108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платеж]]+Y1086-Первоначальный[[#This Row],[Полученный платёж по процентам]])</f>
        <v>0</v>
      </c>
      <c r="V1087" s="55">
        <f t="shared" ca="1" si="195"/>
        <v>0</v>
      </c>
      <c r="W1087" s="55" cm="1">
        <f t="array" aca="1" ref="W1087" ca="1">IF(Первоначальный[[#This Row],[Итого остаток на начало периода]]&lt;1,0,
_xlfn.IFS(
AND(TYPE(VLOOKUP(1,$Z$12:Z1087,1,0))=16,Первоначальный[[#This Row],[Досрочное погашение (да/"")]]=""),0,
AND(S1086=0,Первоначальный[[#This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платеж]]+Y1086-SUM(Первоначальный[[#This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комиссиям]]),VLOOKUP(LOOKUP(,-1/($Z$12:Z1087=1),$A$12:A1087),График[[Срок конец]:[Возврат основной суммы долга]],3,0)),
AND(S1086=0,Первоначальный[[#This Row],[Дата платежа из графика]]="",Первоначальный[[#This Row],[Досрочное погашение (да/"")]]&lt;&gt;"Да"),0,
AND(S1086=0,Первоначальный[[#This Row],[Досрочное погашение (да/"")]]=""),MIN(Первоначальный[[#This Row],[Полученный платеж]]+Y1086-SUM(Первоначальный[[#This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комиссиям]]),VLOOKUP(LOOKUP(,-1/($Z$12:Z1087=1),$A$12:A1087),График[[Срок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платеж]]+Y1086-SUM(Первоначальный[[#This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S1086&gt;0,MIN(Первоначальный[[#This Row],[Полученный платеж]]+Y1086-SUM(Первоначальный[[#This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комиссиям]]),SUM(INDIRECT("M"&amp;(MAX((1=S$12:S1086)*ROW(S$12:S1086),ROW($W$12))&amp;":M"&amp;(ROW()))))-SUM(INDIRECT("W"&amp;(MAX((1=S$12:S1086)*ROW(S$12:S1086),ROW($W$12))&amp;":W"&amp;(ROW()-1)))))
)
)</f>
        <v>0</v>
      </c>
      <c r="X1087" s="55">
        <f t="shared" ca="1" si="196"/>
        <v>0</v>
      </c>
      <c r="Y1087" s="101">
        <f t="shared" ca="1" si="203"/>
        <v>0</v>
      </c>
      <c r="Z1087" s="133" t="str">
        <f>IF(TYPE((VLOOKUP(Первоначальный[[#This Row],[Дата платежа]],График[Срок конец],1,0)))=16,"",1)</f>
        <v/>
      </c>
      <c r="AA1087" s="57"/>
      <c r="AB1087" s="134"/>
      <c r="AC108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8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78135.059999999939</v>
      </c>
      <c r="AE108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4492.6600000000044</v>
      </c>
      <c r="AF108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8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237676.93872295026</v>
      </c>
      <c r="AH1087" s="55"/>
      <c r="AI1087" s="55"/>
      <c r="AJ1087" s="55"/>
      <c r="AK1087" s="101">
        <f t="shared" ca="1" si="204"/>
        <v>469937.99872295023</v>
      </c>
      <c r="AL1087" s="129">
        <f t="array" ref="AL1087">MAX((УслРестрактов[Характеристика]="Дата реструктуризации")*(УслРестрактов[Значение]=Первоначальный!$A1087),0)</f>
        <v>0</v>
      </c>
    </row>
    <row r="1088" spans="1:38" x14ac:dyDescent="0.25">
      <c r="A1088" s="97">
        <f t="shared" si="197"/>
        <v>45219</v>
      </c>
      <c r="B1088" s="100">
        <f t="shared" ca="1" si="198"/>
        <v>149633.34</v>
      </c>
      <c r="C1088" s="55">
        <f t="shared" ca="1" si="194"/>
        <v>78135.059999999939</v>
      </c>
      <c r="D1088" s="55">
        <f t="shared" ca="1" si="194"/>
        <v>4492.6600000000044</v>
      </c>
      <c r="E1088" s="55">
        <f t="shared" ca="1" si="199"/>
        <v>0</v>
      </c>
      <c r="F1088" s="55">
        <f t="shared" ca="1" si="200"/>
        <v>237676.93872295026</v>
      </c>
      <c r="G1088" s="101">
        <f t="shared" ca="1" si="201"/>
        <v>469937.99872295023</v>
      </c>
      <c r="H1088" s="100">
        <f ca="1">ROUND($B1088*VLOOKUP($A1088,$A$1:$B$10,2,1)/(365+IF(MOD(YEAR($A1088),4),0,1)*($A1088-$A1087)),2)-Первоначальный[[#This Row],[Проценты на просроченный платеж по ОД за период]]</f>
        <v>71.67</v>
      </c>
      <c r="I1088" s="55">
        <f t="shared" ca="1" si="202"/>
        <v>9.91</v>
      </c>
      <c r="J1088" s="55">
        <v>0</v>
      </c>
      <c r="K1088" s="55">
        <f t="shared" ca="1" si="205"/>
        <v>477.93850327868847</v>
      </c>
      <c r="L1088" s="55">
        <v>0</v>
      </c>
      <c r="M1088" s="113">
        <f>SUMIFS(График[Возврат основной суммы долга],График[Дата с учетом нерабочих дней],$A1088)</f>
        <v>0</v>
      </c>
      <c r="N1088" s="56">
        <f>SUMIFS(График[Возврат начисленных %],График[Дата с учетом нерабочих дней],$A1088)</f>
        <v>0</v>
      </c>
      <c r="O1088" s="101">
        <v>0</v>
      </c>
      <c r="P1088" s="100" cm="1">
        <f t="array" aca="1" ref="P1088" ca="1">MAX(IF(AA1087="Да",0,SUM(INDIRECT("M"&amp;(MAX(("Да"=AA$12:AA1087)*ROW(AA$12:AA1087)+1,ROW($P$12))&amp;":M"&amp;(ROW()))))-SUM(INDIRECT("W"&amp;(MAX(("Да"=AA$12:AA1087)*ROW(AA$12:AA1087)+1,ROW($P$12))&amp;":W"&amp;(ROW()))))),0)</f>
        <v>18172.72</v>
      </c>
      <c r="Q1088" s="99">
        <f ca="1">MAX(SUM($N$13:N1088)-SUM($T$13:T1088),0)</f>
        <v>77414.980655737687</v>
      </c>
      <c r="R1088" s="99">
        <f ca="1">Первоначальный[[#This Row],[Просроченный платеж по ОД]]+Первоначальный[[#This Row],[Просроченный платеж по процентам]]</f>
        <v>95587.700655737688</v>
      </c>
      <c r="S1088" s="120">
        <f ca="1">IF(Первоначальный[[#This Row],[Просроченный платеж]]&lt;1,0,S1087+1)</f>
        <v>984</v>
      </c>
      <c r="T1088" s="100" cm="1">
        <f t="array" aca="1" ref="T1088" ca="1">IF(Первоначальный[[#This Row],[Итого остаток на начало периода]]&lt;1,0,
IF(
AND(TYPE(VLOOKUP(1,$Z$12:Z1088,1,0))=16,Первоначальный[[#This Row],[Досрочное погашение (да/"")]]=""),0,
_xlfn.IFS(AND(S1087=0,Первоначальный[[#This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платеж]]&lt;&gt;0),MIN(LOOKUP(,-1/($Z$12:Z1088=1),$C$12:C1088)+LOOKUP(,-1/($Z$12:Z1088=1),$H$12:H1088),Первоначальный[[#This Row],[Полученный платеж]]+Y1087),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платеж]]+Y1087,SUM(Первоначальный[[#This Row],[Остаток процентов на начало периода]],Первоначальный[[#This Row],[Проценты за период]])),
AND(S1087=0,Первоначальный[[#This Row],[Дата платежа из графика]]=""),0,
AND(S1087=0,Первоначальный[[#This Row],[Дата платежа из графика]]=1,MAX((0&lt;&gt;S$12:S1087)*ROW(S$12:S1087),ROW($S$12))&gt;=MAX((1=Z$12:Z1087)*ROW(Z$12:Z1087),ROW($T$12)),TYPE(VLOOKUP("Да",(INDIRECT("AA"&amp;(MAX((1=Z$12:Z1087)*ROW(Z$12:Z1087),ROW($T$12))&amp;":AA"&amp;(ROW()-1)))),1,0))=16),MIN(LOOKUP(,-1/($Z$12:Z1088=1),$C$12:C1088)+LOOKUP(,-1/($Z$12:Z1088=1),$H$12:H1088),Первоначальный[[#This Row],[Полученный платеж]]+Y1087),
AND(S1087=0,TYPE(VLOOKUP("Да",(INDIRECT("AA"&amp;(MAX((1=Z$12:Z1087)*ROW(Z$12:Z1087),ROW($T$12))&amp;":AA"&amp;(ROW()-1)))),1,0))&lt;&gt;16),MIN(LOOKUP(,-1/($Z$12:Z1088=1),$C$12:C1088)+LOOKUP(,-1/($Z$12:Z1088=1),$H$12:H1088)-IF(AA1087="Да",0,SUM(INDIRECT("T"&amp;(MAX(("Да"=AA$12:AA1087)*ROW(AA$12:AA1087)+1,ROW($T$12))&amp;":T"&amp;(ROW()-1))))),Первоначальный[[#This Row],[Полученный платеж]]+Y1087),
AND(S1087=0,MAX((0&lt;&gt;N$12:N1087)*ROW(N$12:N1087),ROW($S$12))&gt;=MAX((1=Z$12:Z1087)*ROW(Z$12:Z1087),ROW($T$12))),MIN(LOOKUP(,-1/($Z$12:Z1088=1),$C$12:C1088)+LOOKUP(,-1/($Z$12:Z1088=1),$H$12:H1088)-IF(N1087&lt;&gt;0,0,SUM(INDIRECT("T"&amp;(MAX((0&lt;&gt;N$12:N1087)*ROW(N$12:N1087)+1,ROW($T$12))&amp;":T"&amp;(ROW()-1))))),Первоначальный[[#This Row],[Полученный платеж]]+Y1087),
AND(S1087=0,Первоначальный[[#This Row],[Дата платежа из графика]]=1),MIN(LOOKUP(,-1/($Z$12:Z1088=1),$C$12:C1088)+LOOKUP(,-1/($Z$12:Z1088=1),$H$12:H1088)-IF(Z1087=1,0,SUM(INDIRECT("T"&amp;(MAX((1=Z$12:Z1087)*ROW(Z$12:Z1087)+1,ROW($T$12))&amp;":T"&amp;(ROW()-1))))),Первоначальный[[#This Row],[Полученный платеж]]+Y1087),
AND(Z1087&gt;0,Первоначальный[[#This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платеж]]+Y1087),
AND(S1087&gt;0,MAX((0&lt;&gt;S$12:S1087)*ROW(S$12:S1087),ROW($S$12))&gt;=MAX((1=Z$12:Z1087)*ROW(Z$12:Z1087),ROW($T$12)),TYPE(VLOOKUP("Да",(INDIRECT("AA"&amp;(MAX((1=Z$12:Z1087)*ROW(Z$12:Z1087),ROW($T$12))&amp;":AA"&amp;(ROW()-1)))),1,0))=16),MIN(LOOKUP(,-1/($Z$12:Z1088=1),$C$12:C1088)+LOOKUP(,-1/($Z$12:Z1088=1),$H$12:H1088)-SUM(INDIRECT("T"&amp;(MAX((1=Z$12:Z1087)*ROW(Z$12:Z1087),ROW($T$12))&amp;":T"&amp;(ROW()-1)))),Первоначальный[[#This Row],[Полученный платеж]]+Y1087),
S1087&gt;0,MIN(LOOKUP(,-1/($Z$12:Z1088=1),$C$12:C1088)+LOOKUP(,-1/($Z$12:Z1088=1),$H$12:H1088)-IF(Z1087=1,0,SUM(INDIRECT("T"&amp;(MAX((1=Z$12:Z1087)*ROW(Z$12:Z1087)+1,ROW($T$12))&amp;":T"&amp;(ROW()-1))))),Первоначальный[[#This Row],[Полученный платеж]]+Y1087)
)
)
)</f>
        <v>0</v>
      </c>
      <c r="U108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платеж]]+Y1087-Первоначальный[[#This Row],[Полученный платёж по процентам]])</f>
        <v>0</v>
      </c>
      <c r="V1088" s="55">
        <f t="shared" ca="1" si="195"/>
        <v>0</v>
      </c>
      <c r="W1088" s="55" cm="1">
        <f t="array" aca="1" ref="W1088" ca="1">IF(Первоначальный[[#This Row],[Итого остаток на начало периода]]&lt;1,0,
_xlfn.IFS(
AND(TYPE(VLOOKUP(1,$Z$12:Z1088,1,0))=16,Первоначальный[[#This Row],[Досрочное погашение (да/"")]]=""),0,
AND(S1087=0,Первоначальный[[#This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платеж]]+Y1087-SUM(Первоначальный[[#This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комиссиям]]),VLOOKUP(LOOKUP(,-1/($Z$12:Z1088=1),$A$12:A1088),График[[Срок конец]:[Возврат основной суммы долга]],3,0)),
AND(S1087=0,Первоначальный[[#This Row],[Дата платежа из графика]]="",Первоначальный[[#This Row],[Досрочное погашение (да/"")]]&lt;&gt;"Да"),0,
AND(S1087=0,Первоначальный[[#This Row],[Досрочное погашение (да/"")]]=""),MIN(Первоначальный[[#This Row],[Полученный платеж]]+Y1087-SUM(Первоначальный[[#This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комиссиям]]),VLOOKUP(LOOKUP(,-1/($Z$12:Z1088=1),$A$12:A1088),График[[Срок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платеж]]+Y1087-SUM(Первоначальный[[#This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S1087&gt;0,MIN(Первоначальный[[#This Row],[Полученный платеж]]+Y1087-SUM(Первоначальный[[#This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комиссиям]]),SUM(INDIRECT("M"&amp;(MAX((1=S$12:S1087)*ROW(S$12:S1087),ROW($W$12))&amp;":M"&amp;(ROW()))))-SUM(INDIRECT("W"&amp;(MAX((1=S$12:S1087)*ROW(S$12:S1087),ROW($W$12))&amp;":W"&amp;(ROW()-1)))))
)
)</f>
        <v>0</v>
      </c>
      <c r="X1088" s="55">
        <f t="shared" ca="1" si="196"/>
        <v>0</v>
      </c>
      <c r="Y1088" s="101">
        <f t="shared" ca="1" si="203"/>
        <v>0</v>
      </c>
      <c r="Z1088" s="133" t="str">
        <f>IF(TYPE((VLOOKUP(Первоначальный[[#This Row],[Дата платежа]],График[Срок конец],1,0)))=16,"",1)</f>
        <v/>
      </c>
      <c r="AA1088" s="57"/>
      <c r="AB1088" s="134"/>
      <c r="AC108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8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78206.729999999938</v>
      </c>
      <c r="AE108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4502.5700000000043</v>
      </c>
      <c r="AF108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8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238154.87722622894</v>
      </c>
      <c r="AH1088" s="55"/>
      <c r="AI1088" s="55"/>
      <c r="AJ1088" s="55"/>
      <c r="AK1088" s="101">
        <f t="shared" ca="1" si="204"/>
        <v>470497.5172262289</v>
      </c>
      <c r="AL1088" s="129">
        <f t="array" ref="AL1088">MAX((УслРестрактов[Характеристика]="Дата реструктуризации")*(УслРестрактов[Значение]=Первоначальный!$A1088),0)</f>
        <v>0</v>
      </c>
    </row>
    <row r="1089" spans="1:38" x14ac:dyDescent="0.25">
      <c r="A1089" s="97">
        <f t="shared" si="197"/>
        <v>45220</v>
      </c>
      <c r="B1089" s="100">
        <f t="shared" ca="1" si="198"/>
        <v>149633.34</v>
      </c>
      <c r="C1089" s="55">
        <f t="shared" ref="C1089:D1152" ca="1" si="206">AD1088+AI1088</f>
        <v>78206.729999999938</v>
      </c>
      <c r="D1089" s="55">
        <f t="shared" ca="1" si="206"/>
        <v>4502.5700000000043</v>
      </c>
      <c r="E1089" s="55">
        <f t="shared" ca="1" si="199"/>
        <v>0</v>
      </c>
      <c r="F1089" s="55">
        <f t="shared" ca="1" si="200"/>
        <v>238154.87722622894</v>
      </c>
      <c r="G1089" s="101">
        <f t="shared" ca="1" si="201"/>
        <v>470497.5172262289</v>
      </c>
      <c r="H1089" s="100">
        <f ca="1">ROUND($B1089*VLOOKUP($A1089,$A$1:$B$10,2,1)/(365+IF(MOD(YEAR($A1089),4),0,1)*($A1089-$A1088)),2)-Первоначальный[[#This Row],[Проценты на просроченный платеж по ОД за период]]</f>
        <v>71.67</v>
      </c>
      <c r="I1089" s="55">
        <f t="shared" ca="1" si="202"/>
        <v>9.91</v>
      </c>
      <c r="J1089" s="55">
        <v>0</v>
      </c>
      <c r="K1089" s="55">
        <f t="shared" ca="1" si="205"/>
        <v>477.93850327868847</v>
      </c>
      <c r="L1089" s="55">
        <v>0</v>
      </c>
      <c r="M1089" s="113">
        <f>SUMIFS(График[Возврат основной суммы долга],График[Дата с учетом нерабочих дней],$A1089)</f>
        <v>0</v>
      </c>
      <c r="N1089" s="56">
        <f>SUMIFS(График[Возврат начисленных %],График[Дата с учетом нерабочих дней],$A1089)</f>
        <v>0</v>
      </c>
      <c r="O1089" s="101">
        <v>0</v>
      </c>
      <c r="P1089" s="100" cm="1">
        <f t="array" aca="1" ref="P1089" ca="1">MAX(IF(AA1088="Да",0,SUM(INDIRECT("M"&amp;(MAX(("Да"=AA$12:AA1088)*ROW(AA$12:AA1088)+1,ROW($P$12))&amp;":M"&amp;(ROW()))))-SUM(INDIRECT("W"&amp;(MAX(("Да"=AA$12:AA1088)*ROW(AA$12:AA1088)+1,ROW($P$12))&amp;":W"&amp;(ROW()))))),0)</f>
        <v>18172.72</v>
      </c>
      <c r="Q1089" s="99">
        <f ca="1">MAX(SUM($N$13:N1089)-SUM($T$13:T1089),0)</f>
        <v>77414.980655737687</v>
      </c>
      <c r="R1089" s="99">
        <f ca="1">Первоначальный[[#This Row],[Просроченный платеж по ОД]]+Первоначальный[[#This Row],[Просроченный платеж по процентам]]</f>
        <v>95587.700655737688</v>
      </c>
      <c r="S1089" s="120">
        <f ca="1">IF(Первоначальный[[#This Row],[Просроченный платеж]]&lt;1,0,S1088+1)</f>
        <v>985</v>
      </c>
      <c r="T1089" s="100" cm="1">
        <f t="array" aca="1" ref="T1089" ca="1">IF(Первоначальный[[#This Row],[Итого остаток на начало периода]]&lt;1,0,
IF(
AND(TYPE(VLOOKUP(1,$Z$12:Z1089,1,0))=16,Первоначальный[[#This Row],[Досрочное погашение (да/"")]]=""),0,
_xlfn.IFS(AND(S1088=0,Первоначальный[[#This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платеж]]&lt;&gt;0),MIN(LOOKUP(,-1/($Z$12:Z1089=1),$C$12:C1089)+LOOKUP(,-1/($Z$12:Z1089=1),$H$12:H1089),Первоначальный[[#This Row],[Полученный платеж]]+Y1088),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платеж]]+Y1088,SUM(Первоначальный[[#This Row],[Остаток процентов на начало периода]],Первоначальный[[#This Row],[Проценты за период]])),
AND(S1088=0,Первоначальный[[#This Row],[Дата платежа из графика]]=""),0,
AND(S1088=0,Первоначальный[[#This Row],[Дата платежа из графика]]=1,MAX((0&lt;&gt;S$12:S1088)*ROW(S$12:S1088),ROW($S$12))&gt;=MAX((1=Z$12:Z1088)*ROW(Z$12:Z1088),ROW($T$12)),TYPE(VLOOKUP("Да",(INDIRECT("AA"&amp;(MAX((1=Z$12:Z1088)*ROW(Z$12:Z1088),ROW($T$12))&amp;":AA"&amp;(ROW()-1)))),1,0))=16),MIN(LOOKUP(,-1/($Z$12:Z1089=1),$C$12:C1089)+LOOKUP(,-1/($Z$12:Z1089=1),$H$12:H1089),Первоначальный[[#This Row],[Полученный платеж]]+Y1088),
AND(S1088=0,TYPE(VLOOKUP("Да",(INDIRECT("AA"&amp;(MAX((1=Z$12:Z1088)*ROW(Z$12:Z1088),ROW($T$12))&amp;":AA"&amp;(ROW()-1)))),1,0))&lt;&gt;16),MIN(LOOKUP(,-1/($Z$12:Z1089=1),$C$12:C1089)+LOOKUP(,-1/($Z$12:Z1089=1),$H$12:H1089)-IF(AA1088="Да",0,SUM(INDIRECT("T"&amp;(MAX(("Да"=AA$12:AA1088)*ROW(AA$12:AA1088)+1,ROW($T$12))&amp;":T"&amp;(ROW()-1))))),Первоначальный[[#This Row],[Полученный платеж]]+Y1088),
AND(S1088=0,MAX((0&lt;&gt;N$12:N1088)*ROW(N$12:N1088),ROW($S$12))&gt;=MAX((1=Z$12:Z1088)*ROW(Z$12:Z1088),ROW($T$12))),MIN(LOOKUP(,-1/($Z$12:Z1089=1),$C$12:C1089)+LOOKUP(,-1/($Z$12:Z1089=1),$H$12:H1089)-IF(N1088&lt;&gt;0,0,SUM(INDIRECT("T"&amp;(MAX((0&lt;&gt;N$12:N1088)*ROW(N$12:N1088)+1,ROW($T$12))&amp;":T"&amp;(ROW()-1))))),Первоначальный[[#This Row],[Полученный платеж]]+Y1088),
AND(S1088=0,Первоначальный[[#This Row],[Дата платежа из графика]]=1),MIN(LOOKUP(,-1/($Z$12:Z1089=1),$C$12:C1089)+LOOKUP(,-1/($Z$12:Z1089=1),$H$12:H1089)-IF(Z1088=1,0,SUM(INDIRECT("T"&amp;(MAX((1=Z$12:Z1088)*ROW(Z$12:Z1088)+1,ROW($T$12))&amp;":T"&amp;(ROW()-1))))),Первоначальный[[#This Row],[Полученный платеж]]+Y1088),
AND(Z1088&gt;0,Первоначальный[[#This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платеж]]+Y1088),
AND(S1088&gt;0,MAX((0&lt;&gt;S$12:S1088)*ROW(S$12:S1088),ROW($S$12))&gt;=MAX((1=Z$12:Z1088)*ROW(Z$12:Z1088),ROW($T$12)),TYPE(VLOOKUP("Да",(INDIRECT("AA"&amp;(MAX((1=Z$12:Z1088)*ROW(Z$12:Z1088),ROW($T$12))&amp;":AA"&amp;(ROW()-1)))),1,0))=16),MIN(LOOKUP(,-1/($Z$12:Z1089=1),$C$12:C1089)+LOOKUP(,-1/($Z$12:Z1089=1),$H$12:H1089)-SUM(INDIRECT("T"&amp;(MAX((1=Z$12:Z1088)*ROW(Z$12:Z1088),ROW($T$12))&amp;":T"&amp;(ROW()-1)))),Первоначальный[[#This Row],[Полученный платеж]]+Y1088),
S1088&gt;0,MIN(LOOKUP(,-1/($Z$12:Z1089=1),$C$12:C1089)+LOOKUP(,-1/($Z$12:Z1089=1),$H$12:H1089)-IF(Z1088=1,0,SUM(INDIRECT("T"&amp;(MAX((1=Z$12:Z1088)*ROW(Z$12:Z1088)+1,ROW($T$12))&amp;":T"&amp;(ROW()-1))))),Первоначальный[[#This Row],[Полученный платеж]]+Y1088)
)
)
)</f>
        <v>0</v>
      </c>
      <c r="U108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платеж]]+Y1088-Первоначальный[[#This Row],[Полученный платёж по процентам]])</f>
        <v>0</v>
      </c>
      <c r="V1089" s="55">
        <f t="shared" ca="1" si="195"/>
        <v>0</v>
      </c>
      <c r="W1089" s="55" cm="1">
        <f t="array" aca="1" ref="W1089" ca="1">IF(Первоначальный[[#This Row],[Итого остаток на начало периода]]&lt;1,0,
_xlfn.IFS(
AND(TYPE(VLOOKUP(1,$Z$12:Z1089,1,0))=16,Первоначальный[[#This Row],[Досрочное погашение (да/"")]]=""),0,
AND(S1088=0,Первоначальный[[#This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платеж]]+Y1088-SUM(Первоначальный[[#This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комиссиям]]),VLOOKUP(LOOKUP(,-1/($Z$12:Z1089=1),$A$12:A1089),График[[Срок конец]:[Возврат основной суммы долга]],3,0)),
AND(S1088=0,Первоначальный[[#This Row],[Дата платежа из графика]]="",Первоначальный[[#This Row],[Досрочное погашение (да/"")]]&lt;&gt;"Да"),0,
AND(S1088=0,Первоначальный[[#This Row],[Досрочное погашение (да/"")]]=""),MIN(Первоначальный[[#This Row],[Полученный платеж]]+Y1088-SUM(Первоначальный[[#This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комиссиям]]),VLOOKUP(LOOKUP(,-1/($Z$12:Z1089=1),$A$12:A1089),График[[Срок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платеж]]+Y1088-SUM(Первоначальный[[#This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S1088&gt;0,MIN(Первоначальный[[#This Row],[Полученный платеж]]+Y1088-SUM(Первоначальный[[#This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комиссиям]]),SUM(INDIRECT("M"&amp;(MAX((1=S$12:S1088)*ROW(S$12:S1088),ROW($W$12))&amp;":M"&amp;(ROW()))))-SUM(INDIRECT("W"&amp;(MAX((1=S$12:S1088)*ROW(S$12:S1088),ROW($W$12))&amp;":W"&amp;(ROW()-1)))))
)
)</f>
        <v>0</v>
      </c>
      <c r="X1089" s="55">
        <f t="shared" ca="1" si="196"/>
        <v>0</v>
      </c>
      <c r="Y1089" s="101">
        <f t="shared" ca="1" si="203"/>
        <v>0</v>
      </c>
      <c r="Z1089" s="133" t="str">
        <f>IF(TYPE((VLOOKUP(Первоначальный[[#This Row],[Дата платежа]],График[Срок конец],1,0)))=16,"",1)</f>
        <v/>
      </c>
      <c r="AA1089" s="57"/>
      <c r="AB1089" s="134"/>
      <c r="AC108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8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78278.399999999936</v>
      </c>
      <c r="AE108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4512.4800000000041</v>
      </c>
      <c r="AF108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8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238632.81572950762</v>
      </c>
      <c r="AH1089" s="55"/>
      <c r="AI1089" s="55"/>
      <c r="AJ1089" s="55"/>
      <c r="AK1089" s="101">
        <f t="shared" ca="1" si="204"/>
        <v>471057.03572950757</v>
      </c>
      <c r="AL1089" s="129">
        <f t="array" ref="AL1089">MAX((УслРестрактов[Характеристика]="Дата реструктуризации")*(УслРестрактов[Значение]=Первоначальный!$A1089),0)</f>
        <v>0</v>
      </c>
    </row>
    <row r="1090" spans="1:38" x14ac:dyDescent="0.25">
      <c r="A1090" s="97">
        <f t="shared" si="197"/>
        <v>45221</v>
      </c>
      <c r="B1090" s="100">
        <f t="shared" ca="1" si="198"/>
        <v>149633.34</v>
      </c>
      <c r="C1090" s="55">
        <f t="shared" ca="1" si="206"/>
        <v>78278.399999999936</v>
      </c>
      <c r="D1090" s="55">
        <f t="shared" ca="1" si="206"/>
        <v>4512.4800000000041</v>
      </c>
      <c r="E1090" s="55">
        <f t="shared" ca="1" si="199"/>
        <v>0</v>
      </c>
      <c r="F1090" s="55">
        <f t="shared" ca="1" si="200"/>
        <v>238632.81572950762</v>
      </c>
      <c r="G1090" s="101">
        <f t="shared" ca="1" si="201"/>
        <v>471057.03572950757</v>
      </c>
      <c r="H1090" s="100">
        <f ca="1">ROUND($B1090*VLOOKUP($A1090,$A$1:$B$10,2,1)/(365+IF(MOD(YEAR($A1090),4),0,1)*($A1090-$A1089)),2)-Первоначальный[[#This Row],[Проценты на просроченный платеж по ОД за период]]</f>
        <v>71.67</v>
      </c>
      <c r="I1090" s="55">
        <f t="shared" ca="1" si="202"/>
        <v>9.91</v>
      </c>
      <c r="J1090" s="55">
        <v>0</v>
      </c>
      <c r="K1090" s="55">
        <f t="shared" ca="1" si="205"/>
        <v>477.93850327868847</v>
      </c>
      <c r="L1090" s="55">
        <v>0</v>
      </c>
      <c r="M1090" s="113">
        <f>SUMIFS(График[Возврат основной суммы долга],График[Дата с учетом нерабочих дней],$A1090)</f>
        <v>0</v>
      </c>
      <c r="N1090" s="56">
        <f>SUMIFS(График[Возврат начисленных %],График[Дата с учетом нерабочих дней],$A1090)</f>
        <v>0</v>
      </c>
      <c r="O1090" s="101">
        <v>0</v>
      </c>
      <c r="P1090" s="100" cm="1">
        <f t="array" aca="1" ref="P1090" ca="1">MAX(IF(AA1089="Да",0,SUM(INDIRECT("M"&amp;(MAX(("Да"=AA$12:AA1089)*ROW(AA$12:AA1089)+1,ROW($P$12))&amp;":M"&amp;(ROW()))))-SUM(INDIRECT("W"&amp;(MAX(("Да"=AA$12:AA1089)*ROW(AA$12:AA1089)+1,ROW($P$12))&amp;":W"&amp;(ROW()))))),0)</f>
        <v>18172.72</v>
      </c>
      <c r="Q1090" s="99">
        <f ca="1">MAX(SUM($N$13:N1090)-SUM($T$13:T1090),0)</f>
        <v>77414.980655737687</v>
      </c>
      <c r="R1090" s="99">
        <f ca="1">Первоначальный[[#This Row],[Просроченный платеж по ОД]]+Первоначальный[[#This Row],[Просроченный платеж по процентам]]</f>
        <v>95587.700655737688</v>
      </c>
      <c r="S1090" s="120">
        <f ca="1">IF(Первоначальный[[#This Row],[Просроченный платеж]]&lt;1,0,S1089+1)</f>
        <v>986</v>
      </c>
      <c r="T1090" s="100" cm="1">
        <f t="array" aca="1" ref="T1090" ca="1">IF(Первоначальный[[#This Row],[Итого остаток на начало периода]]&lt;1,0,
IF(
AND(TYPE(VLOOKUP(1,$Z$12:Z1090,1,0))=16,Первоначальный[[#This Row],[Досрочное погашение (да/"")]]=""),0,
_xlfn.IFS(AND(S1089=0,Первоначальный[[#This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платеж]]&lt;&gt;0),MIN(LOOKUP(,-1/($Z$12:Z1090=1),$C$12:C1090)+LOOKUP(,-1/($Z$12:Z1090=1),$H$12:H1090),Первоначальный[[#This Row],[Полученный платеж]]+Y1089),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платеж]]+Y1089,SUM(Первоначальный[[#This Row],[Остаток процентов на начало периода]],Первоначальный[[#This Row],[Проценты за период]])),
AND(S1089=0,Первоначальный[[#This Row],[Дата платежа из графика]]=""),0,
AND(S1089=0,Первоначальный[[#This Row],[Дата платежа из графика]]=1,MAX((0&lt;&gt;S$12:S1089)*ROW(S$12:S1089),ROW($S$12))&gt;=MAX((1=Z$12:Z1089)*ROW(Z$12:Z1089),ROW($T$12)),TYPE(VLOOKUP("Да",(INDIRECT("AA"&amp;(MAX((1=Z$12:Z1089)*ROW(Z$12:Z1089),ROW($T$12))&amp;":AA"&amp;(ROW()-1)))),1,0))=16),MIN(LOOKUP(,-1/($Z$12:Z1090=1),$C$12:C1090)+LOOKUP(,-1/($Z$12:Z1090=1),$H$12:H1090),Первоначальный[[#This Row],[Полученный платеж]]+Y1089),
AND(S1089=0,TYPE(VLOOKUP("Да",(INDIRECT("AA"&amp;(MAX((1=Z$12:Z1089)*ROW(Z$12:Z1089),ROW($T$12))&amp;":AA"&amp;(ROW()-1)))),1,0))&lt;&gt;16),MIN(LOOKUP(,-1/($Z$12:Z1090=1),$C$12:C1090)+LOOKUP(,-1/($Z$12:Z1090=1),$H$12:H1090)-IF(AA1089="Да",0,SUM(INDIRECT("T"&amp;(MAX(("Да"=AA$12:AA1089)*ROW(AA$12:AA1089)+1,ROW($T$12))&amp;":T"&amp;(ROW()-1))))),Первоначальный[[#This Row],[Полученный платеж]]+Y1089),
AND(S1089=0,MAX((0&lt;&gt;N$12:N1089)*ROW(N$12:N1089),ROW($S$12))&gt;=MAX((1=Z$12:Z1089)*ROW(Z$12:Z1089),ROW($T$12))),MIN(LOOKUP(,-1/($Z$12:Z1090=1),$C$12:C1090)+LOOKUP(,-1/($Z$12:Z1090=1),$H$12:H1090)-IF(N1089&lt;&gt;0,0,SUM(INDIRECT("T"&amp;(MAX((0&lt;&gt;N$12:N1089)*ROW(N$12:N1089)+1,ROW($T$12))&amp;":T"&amp;(ROW()-1))))),Первоначальный[[#This Row],[Полученный платеж]]+Y1089),
AND(S1089=0,Первоначальный[[#This Row],[Дата платежа из графика]]=1),MIN(LOOKUP(,-1/($Z$12:Z1090=1),$C$12:C1090)+LOOKUP(,-1/($Z$12:Z1090=1),$H$12:H1090)-IF(Z1089=1,0,SUM(INDIRECT("T"&amp;(MAX((1=Z$12:Z1089)*ROW(Z$12:Z1089)+1,ROW($T$12))&amp;":T"&amp;(ROW()-1))))),Первоначальный[[#This Row],[Полученный платеж]]+Y1089),
AND(Z1089&gt;0,Первоначальный[[#This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платеж]]+Y1089),
AND(S1089&gt;0,MAX((0&lt;&gt;S$12:S1089)*ROW(S$12:S1089),ROW($S$12))&gt;=MAX((1=Z$12:Z1089)*ROW(Z$12:Z1089),ROW($T$12)),TYPE(VLOOKUP("Да",(INDIRECT("AA"&amp;(MAX((1=Z$12:Z1089)*ROW(Z$12:Z1089),ROW($T$12))&amp;":AA"&amp;(ROW()-1)))),1,0))=16),MIN(LOOKUP(,-1/($Z$12:Z1090=1),$C$12:C1090)+LOOKUP(,-1/($Z$12:Z1090=1),$H$12:H1090)-SUM(INDIRECT("T"&amp;(MAX((1=Z$12:Z1089)*ROW(Z$12:Z1089),ROW($T$12))&amp;":T"&amp;(ROW()-1)))),Первоначальный[[#This Row],[Полученный платеж]]+Y1089),
S1089&gt;0,MIN(LOOKUP(,-1/($Z$12:Z1090=1),$C$12:C1090)+LOOKUP(,-1/($Z$12:Z1090=1),$H$12:H1090)-IF(Z1089=1,0,SUM(INDIRECT("T"&amp;(MAX((1=Z$12:Z1089)*ROW(Z$12:Z1089)+1,ROW($T$12))&amp;":T"&amp;(ROW()-1))))),Первоначальный[[#This Row],[Полученный платеж]]+Y1089)
)
)
)</f>
        <v>0</v>
      </c>
      <c r="U109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платеж]]+Y1089-Первоначальный[[#This Row],[Полученный платёж по процентам]])</f>
        <v>0</v>
      </c>
      <c r="V1090" s="55">
        <f t="shared" ca="1" si="195"/>
        <v>0</v>
      </c>
      <c r="W1090" s="55" cm="1">
        <f t="array" aca="1" ref="W1090" ca="1">IF(Первоначальный[[#This Row],[Итого остаток на начало периода]]&lt;1,0,
_xlfn.IFS(
AND(TYPE(VLOOKUP(1,$Z$12:Z1090,1,0))=16,Первоначальный[[#This Row],[Досрочное погашение (да/"")]]=""),0,
AND(S1089=0,Первоначальный[[#This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платеж]]+Y1089-SUM(Первоначальный[[#This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комиссиям]]),VLOOKUP(LOOKUP(,-1/($Z$12:Z1090=1),$A$12:A1090),График[[Срок конец]:[Возврат основной суммы долга]],3,0)),
AND(S1089=0,Первоначальный[[#This Row],[Дата платежа из графика]]="",Первоначальный[[#This Row],[Досрочное погашение (да/"")]]&lt;&gt;"Да"),0,
AND(S1089=0,Первоначальный[[#This Row],[Досрочное погашение (да/"")]]=""),MIN(Первоначальный[[#This Row],[Полученный платеж]]+Y1089-SUM(Первоначальный[[#This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комиссиям]]),VLOOKUP(LOOKUP(,-1/($Z$12:Z1090=1),$A$12:A1090),График[[Срок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платеж]]+Y1089-SUM(Первоначальный[[#This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S1089&gt;0,MIN(Первоначальный[[#This Row],[Полученный платеж]]+Y1089-SUM(Первоначальный[[#This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комиссиям]]),SUM(INDIRECT("M"&amp;(MAX((1=S$12:S1089)*ROW(S$12:S1089),ROW($W$12))&amp;":M"&amp;(ROW()))))-SUM(INDIRECT("W"&amp;(MAX((1=S$12:S1089)*ROW(S$12:S1089),ROW($W$12))&amp;":W"&amp;(ROW()-1)))))
)
)</f>
        <v>0</v>
      </c>
      <c r="X1090" s="55">
        <f t="shared" ca="1" si="196"/>
        <v>0</v>
      </c>
      <c r="Y1090" s="101">
        <f t="shared" ca="1" si="203"/>
        <v>0</v>
      </c>
      <c r="Z1090" s="133" t="str">
        <f>IF(TYPE((VLOOKUP(Первоначальный[[#This Row],[Дата платежа]],График[Срок конец],1,0)))=16,"",1)</f>
        <v/>
      </c>
      <c r="AA1090" s="57"/>
      <c r="AB1090" s="134"/>
      <c r="AC109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9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78350.069999999934</v>
      </c>
      <c r="AE109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4522.390000000004</v>
      </c>
      <c r="AF109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9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239110.7542327863</v>
      </c>
      <c r="AH1090" s="55"/>
      <c r="AI1090" s="55"/>
      <c r="AJ1090" s="55"/>
      <c r="AK1090" s="101">
        <f t="shared" ca="1" si="204"/>
        <v>471616.55423278623</v>
      </c>
      <c r="AL1090" s="129">
        <f t="array" ref="AL1090">MAX((УслРестрактов[Характеристика]="Дата реструктуризации")*(УслРестрактов[Значение]=Первоначальный!$A1090),0)</f>
        <v>0</v>
      </c>
    </row>
    <row r="1091" spans="1:38" x14ac:dyDescent="0.25">
      <c r="A1091" s="97">
        <f t="shared" si="197"/>
        <v>45222</v>
      </c>
      <c r="B1091" s="100">
        <f t="shared" ca="1" si="198"/>
        <v>149633.34</v>
      </c>
      <c r="C1091" s="55">
        <f t="shared" ca="1" si="206"/>
        <v>78350.069999999934</v>
      </c>
      <c r="D1091" s="55">
        <f t="shared" ca="1" si="206"/>
        <v>4522.390000000004</v>
      </c>
      <c r="E1091" s="55">
        <f t="shared" ca="1" si="199"/>
        <v>0</v>
      </c>
      <c r="F1091" s="55">
        <f t="shared" ca="1" si="200"/>
        <v>239110.7542327863</v>
      </c>
      <c r="G1091" s="101">
        <f t="shared" ca="1" si="201"/>
        <v>471616.55423278623</v>
      </c>
      <c r="H1091" s="100">
        <f ca="1">ROUND($B1091*VLOOKUP($A1091,$A$1:$B$10,2,1)/(365+IF(MOD(YEAR($A1091),4),0,1)*($A1091-$A1090)),2)-Первоначальный[[#This Row],[Проценты на просроченный платеж по ОД за период]]</f>
        <v>71.67</v>
      </c>
      <c r="I1091" s="55">
        <f t="shared" ca="1" si="202"/>
        <v>9.91</v>
      </c>
      <c r="J1091" s="55">
        <v>0</v>
      </c>
      <c r="K1091" s="55">
        <f t="shared" ca="1" si="205"/>
        <v>477.93850327868847</v>
      </c>
      <c r="L1091" s="55">
        <v>0</v>
      </c>
      <c r="M1091" s="113">
        <f>SUMIFS(График[Возврат основной суммы долга],График[Дата с учетом нерабочих дней],$A1091)</f>
        <v>0</v>
      </c>
      <c r="N1091" s="56">
        <f>SUMIFS(График[Возврат начисленных %],График[Дата с учетом нерабочих дней],$A1091)</f>
        <v>0</v>
      </c>
      <c r="O1091" s="101">
        <v>0</v>
      </c>
      <c r="P1091" s="100" cm="1">
        <f t="array" aca="1" ref="P1091" ca="1">MAX(IF(AA1090="Да",0,SUM(INDIRECT("M"&amp;(MAX(("Да"=AA$12:AA1090)*ROW(AA$12:AA1090)+1,ROW($P$12))&amp;":M"&amp;(ROW()))))-SUM(INDIRECT("W"&amp;(MAX(("Да"=AA$12:AA1090)*ROW(AA$12:AA1090)+1,ROW($P$12))&amp;":W"&amp;(ROW()))))),0)</f>
        <v>18172.72</v>
      </c>
      <c r="Q1091" s="99">
        <f ca="1">MAX(SUM($N$13:N1091)-SUM($T$13:T1091),0)</f>
        <v>77414.980655737687</v>
      </c>
      <c r="R1091" s="99">
        <f ca="1">Первоначальный[[#This Row],[Просроченный платеж по ОД]]+Первоначальный[[#This Row],[Просроченный платеж по процентам]]</f>
        <v>95587.700655737688</v>
      </c>
      <c r="S1091" s="120">
        <f ca="1">IF(Первоначальный[[#This Row],[Просроченный платеж]]&lt;1,0,S1090+1)</f>
        <v>987</v>
      </c>
      <c r="T1091" s="100" cm="1">
        <f t="array" aca="1" ref="T1091" ca="1">IF(Первоначальный[[#This Row],[Итого остаток на начало периода]]&lt;1,0,
IF(
AND(TYPE(VLOOKUP(1,$Z$12:Z1091,1,0))=16,Первоначальный[[#This Row],[Досрочное погашение (да/"")]]=""),0,
_xlfn.IFS(AND(S1090=0,Первоначальный[[#This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платеж]]&lt;&gt;0),MIN(LOOKUP(,-1/($Z$12:Z1091=1),$C$12:C1091)+LOOKUP(,-1/($Z$12:Z1091=1),$H$12:H1091),Первоначальный[[#This Row],[Полученный платеж]]+Y1090),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платеж]]+Y1090,SUM(Первоначальный[[#This Row],[Остаток процентов на начало периода]],Первоначальный[[#This Row],[Проценты за период]])),
AND(S1090=0,Первоначальный[[#This Row],[Дата платежа из графика]]=""),0,
AND(S1090=0,Первоначальный[[#This Row],[Дата платежа из графика]]=1,MAX((0&lt;&gt;S$12:S1090)*ROW(S$12:S1090),ROW($S$12))&gt;=MAX((1=Z$12:Z1090)*ROW(Z$12:Z1090),ROW($T$12)),TYPE(VLOOKUP("Да",(INDIRECT("AA"&amp;(MAX((1=Z$12:Z1090)*ROW(Z$12:Z1090),ROW($T$12))&amp;":AA"&amp;(ROW()-1)))),1,0))=16),MIN(LOOKUP(,-1/($Z$12:Z1091=1),$C$12:C1091)+LOOKUP(,-1/($Z$12:Z1091=1),$H$12:H1091),Первоначальный[[#This Row],[Полученный платеж]]+Y1090),
AND(S1090=0,TYPE(VLOOKUP("Да",(INDIRECT("AA"&amp;(MAX((1=Z$12:Z1090)*ROW(Z$12:Z1090),ROW($T$12))&amp;":AA"&amp;(ROW()-1)))),1,0))&lt;&gt;16),MIN(LOOKUP(,-1/($Z$12:Z1091=1),$C$12:C1091)+LOOKUP(,-1/($Z$12:Z1091=1),$H$12:H1091)-IF(AA1090="Да",0,SUM(INDIRECT("T"&amp;(MAX(("Да"=AA$12:AA1090)*ROW(AA$12:AA1090)+1,ROW($T$12))&amp;":T"&amp;(ROW()-1))))),Первоначальный[[#This Row],[Полученный платеж]]+Y1090),
AND(S1090=0,MAX((0&lt;&gt;N$12:N1090)*ROW(N$12:N1090),ROW($S$12))&gt;=MAX((1=Z$12:Z1090)*ROW(Z$12:Z1090),ROW($T$12))),MIN(LOOKUP(,-1/($Z$12:Z1091=1),$C$12:C1091)+LOOKUP(,-1/($Z$12:Z1091=1),$H$12:H1091)-IF(N1090&lt;&gt;0,0,SUM(INDIRECT("T"&amp;(MAX((0&lt;&gt;N$12:N1090)*ROW(N$12:N1090)+1,ROW($T$12))&amp;":T"&amp;(ROW()-1))))),Первоначальный[[#This Row],[Полученный платеж]]+Y1090),
AND(S1090=0,Первоначальный[[#This Row],[Дата платежа из графика]]=1),MIN(LOOKUP(,-1/($Z$12:Z1091=1),$C$12:C1091)+LOOKUP(,-1/($Z$12:Z1091=1),$H$12:H1091)-IF(Z1090=1,0,SUM(INDIRECT("T"&amp;(MAX((1=Z$12:Z1090)*ROW(Z$12:Z1090)+1,ROW($T$12))&amp;":T"&amp;(ROW()-1))))),Первоначальный[[#This Row],[Полученный платеж]]+Y1090),
AND(Z1090&gt;0,Первоначальный[[#This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платеж]]+Y1090),
AND(S1090&gt;0,MAX((0&lt;&gt;S$12:S1090)*ROW(S$12:S1090),ROW($S$12))&gt;=MAX((1=Z$12:Z1090)*ROW(Z$12:Z1090),ROW($T$12)),TYPE(VLOOKUP("Да",(INDIRECT("AA"&amp;(MAX((1=Z$12:Z1090)*ROW(Z$12:Z1090),ROW($T$12))&amp;":AA"&amp;(ROW()-1)))),1,0))=16),MIN(LOOKUP(,-1/($Z$12:Z1091=1),$C$12:C1091)+LOOKUP(,-1/($Z$12:Z1091=1),$H$12:H1091)-SUM(INDIRECT("T"&amp;(MAX((1=Z$12:Z1090)*ROW(Z$12:Z1090),ROW($T$12))&amp;":T"&amp;(ROW()-1)))),Первоначальный[[#This Row],[Полученный платеж]]+Y1090),
S1090&gt;0,MIN(LOOKUP(,-1/($Z$12:Z1091=1),$C$12:C1091)+LOOKUP(,-1/($Z$12:Z1091=1),$H$12:H1091)-IF(Z1090=1,0,SUM(INDIRECT("T"&amp;(MAX((1=Z$12:Z1090)*ROW(Z$12:Z1090)+1,ROW($T$12))&amp;":T"&amp;(ROW()-1))))),Первоначальный[[#This Row],[Полученный платеж]]+Y1090)
)
)
)</f>
        <v>0</v>
      </c>
      <c r="U109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платеж]]+Y1090-Первоначальный[[#This Row],[Полученный платёж по процентам]])</f>
        <v>0</v>
      </c>
      <c r="V1091" s="55">
        <f t="shared" ca="1" si="195"/>
        <v>0</v>
      </c>
      <c r="W1091" s="55" cm="1">
        <f t="array" aca="1" ref="W1091" ca="1">IF(Первоначальный[[#This Row],[Итого остаток на начало периода]]&lt;1,0,
_xlfn.IFS(
AND(TYPE(VLOOKUP(1,$Z$12:Z1091,1,0))=16,Первоначальный[[#This Row],[Досрочное погашение (да/"")]]=""),0,
AND(S1090=0,Первоначальный[[#This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платеж]]+Y1090-SUM(Первоначальный[[#This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комиссиям]]),VLOOKUP(LOOKUP(,-1/($Z$12:Z1091=1),$A$12:A1091),График[[Срок конец]:[Возврат основной суммы долга]],3,0)),
AND(S1090=0,Первоначальный[[#This Row],[Дата платежа из графика]]="",Первоначальный[[#This Row],[Досрочное погашение (да/"")]]&lt;&gt;"Да"),0,
AND(S1090=0,Первоначальный[[#This Row],[Досрочное погашение (да/"")]]=""),MIN(Первоначальный[[#This Row],[Полученный платеж]]+Y1090-SUM(Первоначальный[[#This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комиссиям]]),VLOOKUP(LOOKUP(,-1/($Z$12:Z1091=1),$A$12:A1091),График[[Срок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платеж]]+Y1090-SUM(Первоначальный[[#This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S1090&gt;0,MIN(Первоначальный[[#This Row],[Полученный платеж]]+Y1090-SUM(Первоначальный[[#This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комиссиям]]),SUM(INDIRECT("M"&amp;(MAX((1=S$12:S1090)*ROW(S$12:S1090),ROW($W$12))&amp;":M"&amp;(ROW()))))-SUM(INDIRECT("W"&amp;(MAX((1=S$12:S1090)*ROW(S$12:S1090),ROW($W$12))&amp;":W"&amp;(ROW()-1)))))
)
)</f>
        <v>0</v>
      </c>
      <c r="X1091" s="55">
        <f t="shared" ca="1" si="196"/>
        <v>0</v>
      </c>
      <c r="Y1091" s="101">
        <f t="shared" ca="1" si="203"/>
        <v>0</v>
      </c>
      <c r="Z1091" s="133" t="str">
        <f>IF(TYPE((VLOOKUP(Первоначальный[[#This Row],[Дата платежа]],График[Срок конец],1,0)))=16,"",1)</f>
        <v/>
      </c>
      <c r="AA1091" s="57"/>
      <c r="AB1091" s="134"/>
      <c r="AC109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9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78421.739999999932</v>
      </c>
      <c r="AE109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4532.3000000000038</v>
      </c>
      <c r="AF109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9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239588.69273606499</v>
      </c>
      <c r="AH1091" s="55"/>
      <c r="AI1091" s="55"/>
      <c r="AJ1091" s="55"/>
      <c r="AK1091" s="101">
        <f t="shared" ca="1" si="204"/>
        <v>472176.0727360649</v>
      </c>
      <c r="AL1091" s="129">
        <f t="array" ref="AL1091">MAX((УслРестрактов[Характеристика]="Дата реструктуризации")*(УслРестрактов[Значение]=Первоначальный!$A1091),0)</f>
        <v>0</v>
      </c>
    </row>
    <row r="1092" spans="1:38" x14ac:dyDescent="0.25">
      <c r="A1092" s="97">
        <f t="shared" si="197"/>
        <v>45223</v>
      </c>
      <c r="B1092" s="100">
        <f t="shared" ca="1" si="198"/>
        <v>149633.34</v>
      </c>
      <c r="C1092" s="55">
        <f t="shared" ca="1" si="206"/>
        <v>78421.739999999932</v>
      </c>
      <c r="D1092" s="55">
        <f t="shared" ca="1" si="206"/>
        <v>4532.3000000000038</v>
      </c>
      <c r="E1092" s="55">
        <f t="shared" ca="1" si="199"/>
        <v>0</v>
      </c>
      <c r="F1092" s="55">
        <f t="shared" ca="1" si="200"/>
        <v>239588.69273606499</v>
      </c>
      <c r="G1092" s="101">
        <f t="shared" ca="1" si="201"/>
        <v>472176.0727360649</v>
      </c>
      <c r="H1092" s="100">
        <f ca="1">ROUND($B1092*VLOOKUP($A1092,$A$1:$B$10,2,1)/(365+IF(MOD(YEAR($A1092),4),0,1)*($A1092-$A1091)),2)-Первоначальный[[#This Row],[Проценты на просроченный платеж по ОД за период]]</f>
        <v>71.67</v>
      </c>
      <c r="I1092" s="55">
        <f t="shared" ca="1" si="202"/>
        <v>9.91</v>
      </c>
      <c r="J1092" s="55">
        <v>0</v>
      </c>
      <c r="K1092" s="55">
        <f t="shared" ca="1" si="205"/>
        <v>477.93850327868847</v>
      </c>
      <c r="L1092" s="55">
        <v>0</v>
      </c>
      <c r="M1092" s="113">
        <f>SUMIFS(График[Возврат основной суммы долга],График[Дата с учетом нерабочих дней],$A1092)</f>
        <v>0</v>
      </c>
      <c r="N1092" s="56">
        <f>SUMIFS(График[Возврат начисленных %],График[Дата с учетом нерабочих дней],$A1092)</f>
        <v>0</v>
      </c>
      <c r="O1092" s="101">
        <v>0</v>
      </c>
      <c r="P1092" s="100" cm="1">
        <f t="array" aca="1" ref="P1092" ca="1">MAX(IF(AA1091="Да",0,SUM(INDIRECT("M"&amp;(MAX(("Да"=AA$12:AA1091)*ROW(AA$12:AA1091)+1,ROW($P$12))&amp;":M"&amp;(ROW()))))-SUM(INDIRECT("W"&amp;(MAX(("Да"=AA$12:AA1091)*ROW(AA$12:AA1091)+1,ROW($P$12))&amp;":W"&amp;(ROW()))))),0)</f>
        <v>18172.72</v>
      </c>
      <c r="Q1092" s="99">
        <f ca="1">MAX(SUM($N$13:N1092)-SUM($T$13:T1092),0)</f>
        <v>77414.980655737687</v>
      </c>
      <c r="R1092" s="99">
        <f ca="1">Первоначальный[[#This Row],[Просроченный платеж по ОД]]+Первоначальный[[#This Row],[Просроченный платеж по процентам]]</f>
        <v>95587.700655737688</v>
      </c>
      <c r="S1092" s="120">
        <f ca="1">IF(Первоначальный[[#This Row],[Просроченный платеж]]&lt;1,0,S1091+1)</f>
        <v>988</v>
      </c>
      <c r="T1092" s="100" cm="1">
        <f t="array" aca="1" ref="T1092" ca="1">IF(Первоначальный[[#This Row],[Итого остаток на начало периода]]&lt;1,0,
IF(
AND(TYPE(VLOOKUP(1,$Z$12:Z1092,1,0))=16,Первоначальный[[#This Row],[Досрочное погашение (да/"")]]=""),0,
_xlfn.IFS(AND(S1091=0,Первоначальный[[#This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платеж]]&lt;&gt;0),MIN(LOOKUP(,-1/($Z$12:Z1092=1),$C$12:C1092)+LOOKUP(,-1/($Z$12:Z1092=1),$H$12:H1092),Первоначальный[[#This Row],[Полученный платеж]]+Y1091),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платеж]]+Y1091,SUM(Первоначальный[[#This Row],[Остаток процентов на начало периода]],Первоначальный[[#This Row],[Проценты за период]])),
AND(S1091=0,Первоначальный[[#This Row],[Дата платежа из графика]]=""),0,
AND(S1091=0,Первоначальный[[#This Row],[Дата платежа из графика]]=1,MAX((0&lt;&gt;S$12:S1091)*ROW(S$12:S1091),ROW($S$12))&gt;=MAX((1=Z$12:Z1091)*ROW(Z$12:Z1091),ROW($T$12)),TYPE(VLOOKUP("Да",(INDIRECT("AA"&amp;(MAX((1=Z$12:Z1091)*ROW(Z$12:Z1091),ROW($T$12))&amp;":AA"&amp;(ROW()-1)))),1,0))=16),MIN(LOOKUP(,-1/($Z$12:Z1092=1),$C$12:C1092)+LOOKUP(,-1/($Z$12:Z1092=1),$H$12:H1092),Первоначальный[[#This Row],[Полученный платеж]]+Y1091),
AND(S1091=0,TYPE(VLOOKUP("Да",(INDIRECT("AA"&amp;(MAX((1=Z$12:Z1091)*ROW(Z$12:Z1091),ROW($T$12))&amp;":AA"&amp;(ROW()-1)))),1,0))&lt;&gt;16),MIN(LOOKUP(,-1/($Z$12:Z1092=1),$C$12:C1092)+LOOKUP(,-1/($Z$12:Z1092=1),$H$12:H1092)-IF(AA1091="Да",0,SUM(INDIRECT("T"&amp;(MAX(("Да"=AA$12:AA1091)*ROW(AA$12:AA1091)+1,ROW($T$12))&amp;":T"&amp;(ROW()-1))))),Первоначальный[[#This Row],[Полученный платеж]]+Y1091),
AND(S1091=0,MAX((0&lt;&gt;N$12:N1091)*ROW(N$12:N1091),ROW($S$12))&gt;=MAX((1=Z$12:Z1091)*ROW(Z$12:Z1091),ROW($T$12))),MIN(LOOKUP(,-1/($Z$12:Z1092=1),$C$12:C1092)+LOOKUP(,-1/($Z$12:Z1092=1),$H$12:H1092)-IF(N1091&lt;&gt;0,0,SUM(INDIRECT("T"&amp;(MAX((0&lt;&gt;N$12:N1091)*ROW(N$12:N1091)+1,ROW($T$12))&amp;":T"&amp;(ROW()-1))))),Первоначальный[[#This Row],[Полученный платеж]]+Y1091),
AND(S1091=0,Первоначальный[[#This Row],[Дата платежа из графика]]=1),MIN(LOOKUP(,-1/($Z$12:Z1092=1),$C$12:C1092)+LOOKUP(,-1/($Z$12:Z1092=1),$H$12:H1092)-IF(Z1091=1,0,SUM(INDIRECT("T"&amp;(MAX((1=Z$12:Z1091)*ROW(Z$12:Z1091)+1,ROW($T$12))&amp;":T"&amp;(ROW()-1))))),Первоначальный[[#This Row],[Полученный платеж]]+Y1091),
AND(Z1091&gt;0,Первоначальный[[#This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платеж]]+Y1091),
AND(S1091&gt;0,MAX((0&lt;&gt;S$12:S1091)*ROW(S$12:S1091),ROW($S$12))&gt;=MAX((1=Z$12:Z1091)*ROW(Z$12:Z1091),ROW($T$12)),TYPE(VLOOKUP("Да",(INDIRECT("AA"&amp;(MAX((1=Z$12:Z1091)*ROW(Z$12:Z1091),ROW($T$12))&amp;":AA"&amp;(ROW()-1)))),1,0))=16),MIN(LOOKUP(,-1/($Z$12:Z1092=1),$C$12:C1092)+LOOKUP(,-1/($Z$12:Z1092=1),$H$12:H1092)-SUM(INDIRECT("T"&amp;(MAX((1=Z$12:Z1091)*ROW(Z$12:Z1091),ROW($T$12))&amp;":T"&amp;(ROW()-1)))),Первоначальный[[#This Row],[Полученный платеж]]+Y1091),
S1091&gt;0,MIN(LOOKUP(,-1/($Z$12:Z1092=1),$C$12:C1092)+LOOKUP(,-1/($Z$12:Z1092=1),$H$12:H1092)-IF(Z1091=1,0,SUM(INDIRECT("T"&amp;(MAX((1=Z$12:Z1091)*ROW(Z$12:Z1091)+1,ROW($T$12))&amp;":T"&amp;(ROW()-1))))),Первоначальный[[#This Row],[Полученный платеж]]+Y1091)
)
)
)</f>
        <v>0</v>
      </c>
      <c r="U109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платеж]]+Y1091-Первоначальный[[#This Row],[Полученный платёж по процентам]])</f>
        <v>0</v>
      </c>
      <c r="V1092" s="55">
        <f t="shared" ca="1" si="195"/>
        <v>0</v>
      </c>
      <c r="W1092" s="55" cm="1">
        <f t="array" aca="1" ref="W1092" ca="1">IF(Первоначальный[[#This Row],[Итого остаток на начало периода]]&lt;1,0,
_xlfn.IFS(
AND(TYPE(VLOOKUP(1,$Z$12:Z1092,1,0))=16,Первоначальный[[#This Row],[Досрочное погашение (да/"")]]=""),0,
AND(S1091=0,Первоначальный[[#This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платеж]]+Y1091-SUM(Первоначальный[[#This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комиссиям]]),VLOOKUP(LOOKUP(,-1/($Z$12:Z1092=1),$A$12:A1092),График[[Срок конец]:[Возврат основной суммы долга]],3,0)),
AND(S1091=0,Первоначальный[[#This Row],[Дата платежа из графика]]="",Первоначальный[[#This Row],[Досрочное погашение (да/"")]]&lt;&gt;"Да"),0,
AND(S1091=0,Первоначальный[[#This Row],[Досрочное погашение (да/"")]]=""),MIN(Первоначальный[[#This Row],[Полученный платеж]]+Y1091-SUM(Первоначальный[[#This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комиссиям]]),VLOOKUP(LOOKUP(,-1/($Z$12:Z1092=1),$A$12:A1092),График[[Срок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платеж]]+Y1091-SUM(Первоначальный[[#This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S1091&gt;0,MIN(Первоначальный[[#This Row],[Полученный платеж]]+Y1091-SUM(Первоначальный[[#This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комиссиям]]),SUM(INDIRECT("M"&amp;(MAX((1=S$12:S1091)*ROW(S$12:S1091),ROW($W$12))&amp;":M"&amp;(ROW()))))-SUM(INDIRECT("W"&amp;(MAX((1=S$12:S1091)*ROW(S$12:S1091),ROW($W$12))&amp;":W"&amp;(ROW()-1)))))
)
)</f>
        <v>0</v>
      </c>
      <c r="X1092" s="55">
        <f t="shared" ca="1" si="196"/>
        <v>0</v>
      </c>
      <c r="Y1092" s="101">
        <f t="shared" ca="1" si="203"/>
        <v>0</v>
      </c>
      <c r="Z1092" s="133" t="str">
        <f>IF(TYPE((VLOOKUP(Первоначальный[[#This Row],[Дата платежа]],График[Срок конец],1,0)))=16,"",1)</f>
        <v/>
      </c>
      <c r="AA1092" s="57"/>
      <c r="AB1092" s="134"/>
      <c r="AC109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9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78493.409999999931</v>
      </c>
      <c r="AE109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4542.2100000000037</v>
      </c>
      <c r="AF109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9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240066.63123934367</v>
      </c>
      <c r="AH1092" s="55"/>
      <c r="AI1092" s="55"/>
      <c r="AJ1092" s="55"/>
      <c r="AK1092" s="101">
        <f t="shared" ca="1" si="204"/>
        <v>472735.59123934363</v>
      </c>
      <c r="AL1092" s="129">
        <f t="array" ref="AL1092">MAX((УслРестрактов[Характеристика]="Дата реструктуризации")*(УслРестрактов[Значение]=Первоначальный!$A1092),0)</f>
        <v>0</v>
      </c>
    </row>
    <row r="1093" spans="1:38" x14ac:dyDescent="0.25">
      <c r="A1093" s="97">
        <f t="shared" si="197"/>
        <v>45224</v>
      </c>
      <c r="B1093" s="100">
        <f t="shared" ca="1" si="198"/>
        <v>149633.34</v>
      </c>
      <c r="C1093" s="55">
        <f t="shared" ca="1" si="206"/>
        <v>78493.409999999931</v>
      </c>
      <c r="D1093" s="55">
        <f t="shared" ca="1" si="206"/>
        <v>4542.2100000000037</v>
      </c>
      <c r="E1093" s="55">
        <f t="shared" ca="1" si="199"/>
        <v>0</v>
      </c>
      <c r="F1093" s="55">
        <f t="shared" ca="1" si="200"/>
        <v>240066.63123934367</v>
      </c>
      <c r="G1093" s="101">
        <f t="shared" ca="1" si="201"/>
        <v>472735.59123934363</v>
      </c>
      <c r="H1093" s="100">
        <f ca="1">ROUND($B1093*VLOOKUP($A1093,$A$1:$B$10,2,1)/(365+IF(MOD(YEAR($A1093),4),0,1)*($A1093-$A1092)),2)-Первоначальный[[#This Row],[Проценты на просроченный платеж по ОД за период]]</f>
        <v>71.67</v>
      </c>
      <c r="I1093" s="55">
        <f t="shared" ca="1" si="202"/>
        <v>9.91</v>
      </c>
      <c r="J1093" s="55">
        <v>0</v>
      </c>
      <c r="K1093" s="55">
        <f t="shared" ca="1" si="205"/>
        <v>477.93850327868847</v>
      </c>
      <c r="L1093" s="55">
        <v>0</v>
      </c>
      <c r="M1093" s="113">
        <f>SUMIFS(График[Возврат основной суммы долга],График[Дата с учетом нерабочих дней],$A1093)</f>
        <v>0</v>
      </c>
      <c r="N1093" s="56">
        <f>SUMIFS(График[Возврат начисленных %],График[Дата с учетом нерабочих дней],$A1093)</f>
        <v>0</v>
      </c>
      <c r="O1093" s="101">
        <v>0</v>
      </c>
      <c r="P1093" s="100" cm="1">
        <f t="array" aca="1" ref="P1093" ca="1">MAX(IF(AA1092="Да",0,SUM(INDIRECT("M"&amp;(MAX(("Да"=AA$12:AA1092)*ROW(AA$12:AA1092)+1,ROW($P$12))&amp;":M"&amp;(ROW()))))-SUM(INDIRECT("W"&amp;(MAX(("Да"=AA$12:AA1092)*ROW(AA$12:AA1092)+1,ROW($P$12))&amp;":W"&amp;(ROW()))))),0)</f>
        <v>18172.72</v>
      </c>
      <c r="Q1093" s="99">
        <f ca="1">MAX(SUM($N$13:N1093)-SUM($T$13:T1093),0)</f>
        <v>77414.980655737687</v>
      </c>
      <c r="R1093" s="99">
        <f ca="1">Первоначальный[[#This Row],[Просроченный платеж по ОД]]+Первоначальный[[#This Row],[Просроченный платеж по процентам]]</f>
        <v>95587.700655737688</v>
      </c>
      <c r="S1093" s="120">
        <f ca="1">IF(Первоначальный[[#This Row],[Просроченный платеж]]&lt;1,0,S1092+1)</f>
        <v>989</v>
      </c>
      <c r="T1093" s="100" cm="1">
        <f t="array" aca="1" ref="T1093" ca="1">IF(Первоначальный[[#This Row],[Итого остаток на начало периода]]&lt;1,0,
IF(
AND(TYPE(VLOOKUP(1,$Z$12:Z1093,1,0))=16,Первоначальный[[#This Row],[Досрочное погашение (да/"")]]=""),0,
_xlfn.IFS(AND(S1092=0,Первоначальный[[#This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платеж]]&lt;&gt;0),MIN(LOOKUP(,-1/($Z$12:Z1093=1),$C$12:C1093)+LOOKUP(,-1/($Z$12:Z1093=1),$H$12:H1093),Первоначальный[[#This Row],[Полученный платеж]]+Y1092),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платеж]]+Y1092,SUM(Первоначальный[[#This Row],[Остаток процентов на начало периода]],Первоначальный[[#This Row],[Проценты за период]])),
AND(S1092=0,Первоначальный[[#This Row],[Дата платежа из графика]]=""),0,
AND(S1092=0,Первоначальный[[#This Row],[Дата платежа из графика]]=1,MAX((0&lt;&gt;S$12:S1092)*ROW(S$12:S1092),ROW($S$12))&gt;=MAX((1=Z$12:Z1092)*ROW(Z$12:Z1092),ROW($T$12)),TYPE(VLOOKUP("Да",(INDIRECT("AA"&amp;(MAX((1=Z$12:Z1092)*ROW(Z$12:Z1092),ROW($T$12))&amp;":AA"&amp;(ROW()-1)))),1,0))=16),MIN(LOOKUP(,-1/($Z$12:Z1093=1),$C$12:C1093)+LOOKUP(,-1/($Z$12:Z1093=1),$H$12:H1093),Первоначальный[[#This Row],[Полученный платеж]]+Y1092),
AND(S1092=0,TYPE(VLOOKUP("Да",(INDIRECT("AA"&amp;(MAX((1=Z$12:Z1092)*ROW(Z$12:Z1092),ROW($T$12))&amp;":AA"&amp;(ROW()-1)))),1,0))&lt;&gt;16),MIN(LOOKUP(,-1/($Z$12:Z1093=1),$C$12:C1093)+LOOKUP(,-1/($Z$12:Z1093=1),$H$12:H1093)-IF(AA1092="Да",0,SUM(INDIRECT("T"&amp;(MAX(("Да"=AA$12:AA1092)*ROW(AA$12:AA1092)+1,ROW($T$12))&amp;":T"&amp;(ROW()-1))))),Первоначальный[[#This Row],[Полученный платеж]]+Y1092),
AND(S1092=0,MAX((0&lt;&gt;N$12:N1092)*ROW(N$12:N1092),ROW($S$12))&gt;=MAX((1=Z$12:Z1092)*ROW(Z$12:Z1092),ROW($T$12))),MIN(LOOKUP(,-1/($Z$12:Z1093=1),$C$12:C1093)+LOOKUP(,-1/($Z$12:Z1093=1),$H$12:H1093)-IF(N1092&lt;&gt;0,0,SUM(INDIRECT("T"&amp;(MAX((0&lt;&gt;N$12:N1092)*ROW(N$12:N1092)+1,ROW($T$12))&amp;":T"&amp;(ROW()-1))))),Первоначальный[[#This Row],[Полученный платеж]]+Y1092),
AND(S1092=0,Первоначальный[[#This Row],[Дата платежа из графика]]=1),MIN(LOOKUP(,-1/($Z$12:Z1093=1),$C$12:C1093)+LOOKUP(,-1/($Z$12:Z1093=1),$H$12:H1093)-IF(Z1092=1,0,SUM(INDIRECT("T"&amp;(MAX((1=Z$12:Z1092)*ROW(Z$12:Z1092)+1,ROW($T$12))&amp;":T"&amp;(ROW()-1))))),Первоначальный[[#This Row],[Полученный платеж]]+Y1092),
AND(Z1092&gt;0,Первоначальный[[#This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платеж]]+Y1092),
AND(S1092&gt;0,MAX((0&lt;&gt;S$12:S1092)*ROW(S$12:S1092),ROW($S$12))&gt;=MAX((1=Z$12:Z1092)*ROW(Z$12:Z1092),ROW($T$12)),TYPE(VLOOKUP("Да",(INDIRECT("AA"&amp;(MAX((1=Z$12:Z1092)*ROW(Z$12:Z1092),ROW($T$12))&amp;":AA"&amp;(ROW()-1)))),1,0))=16),MIN(LOOKUP(,-1/($Z$12:Z1093=1),$C$12:C1093)+LOOKUP(,-1/($Z$12:Z1093=1),$H$12:H1093)-SUM(INDIRECT("T"&amp;(MAX((1=Z$12:Z1092)*ROW(Z$12:Z1092),ROW($T$12))&amp;":T"&amp;(ROW()-1)))),Первоначальный[[#This Row],[Полученный платеж]]+Y1092),
S1092&gt;0,MIN(LOOKUP(,-1/($Z$12:Z1093=1),$C$12:C1093)+LOOKUP(,-1/($Z$12:Z1093=1),$H$12:H1093)-IF(Z1092=1,0,SUM(INDIRECT("T"&amp;(MAX((1=Z$12:Z1092)*ROW(Z$12:Z1092)+1,ROW($T$12))&amp;":T"&amp;(ROW()-1))))),Первоначальный[[#This Row],[Полученный платеж]]+Y1092)
)
)
)</f>
        <v>0</v>
      </c>
      <c r="U109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платеж]]+Y1092-Первоначальный[[#This Row],[Полученный платёж по процентам]])</f>
        <v>0</v>
      </c>
      <c r="V1093" s="55">
        <f t="shared" ca="1" si="195"/>
        <v>0</v>
      </c>
      <c r="W1093" s="55" cm="1">
        <f t="array" aca="1" ref="W1093" ca="1">IF(Первоначальный[[#This Row],[Итого остаток на начало периода]]&lt;1,0,
_xlfn.IFS(
AND(TYPE(VLOOKUP(1,$Z$12:Z1093,1,0))=16,Первоначальный[[#This Row],[Досрочное погашение (да/"")]]=""),0,
AND(S1092=0,Первоначальный[[#This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платеж]]+Y1092-SUM(Первоначальный[[#This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комиссиям]]),VLOOKUP(LOOKUP(,-1/($Z$12:Z1093=1),$A$12:A1093),График[[Срок конец]:[Возврат основной суммы долга]],3,0)),
AND(S1092=0,Первоначальный[[#This Row],[Дата платежа из графика]]="",Первоначальный[[#This Row],[Досрочное погашение (да/"")]]&lt;&gt;"Да"),0,
AND(S1092=0,Первоначальный[[#This Row],[Досрочное погашение (да/"")]]=""),MIN(Первоначальный[[#This Row],[Полученный платеж]]+Y1092-SUM(Первоначальный[[#This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комиссиям]]),VLOOKUP(LOOKUP(,-1/($Z$12:Z1093=1),$A$12:A1093),График[[Срок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платеж]]+Y1092-SUM(Первоначальный[[#This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S1092&gt;0,MIN(Первоначальный[[#This Row],[Полученный платеж]]+Y1092-SUM(Первоначальный[[#This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комиссиям]]),SUM(INDIRECT("M"&amp;(MAX((1=S$12:S1092)*ROW(S$12:S1092),ROW($W$12))&amp;":M"&amp;(ROW()))))-SUM(INDIRECT("W"&amp;(MAX((1=S$12:S1092)*ROW(S$12:S1092),ROW($W$12))&amp;":W"&amp;(ROW()-1)))))
)
)</f>
        <v>0</v>
      </c>
      <c r="X1093" s="55">
        <f t="shared" ca="1" si="196"/>
        <v>0</v>
      </c>
      <c r="Y1093" s="101">
        <f t="shared" ca="1" si="203"/>
        <v>0</v>
      </c>
      <c r="Z1093" s="133" t="str">
        <f>IF(TYPE((VLOOKUP(Первоначальный[[#This Row],[Дата платежа]],График[Срок конец],1,0)))=16,"",1)</f>
        <v/>
      </c>
      <c r="AA1093" s="57"/>
      <c r="AB1093" s="134"/>
      <c r="AC109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9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78565.079999999929</v>
      </c>
      <c r="AE109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4552.1200000000035</v>
      </c>
      <c r="AF109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9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240544.56974262235</v>
      </c>
      <c r="AH1093" s="55"/>
      <c r="AI1093" s="55"/>
      <c r="AJ1093" s="55"/>
      <c r="AK1093" s="101">
        <f t="shared" ca="1" si="204"/>
        <v>473295.10974262224</v>
      </c>
      <c r="AL1093" s="129">
        <f t="array" ref="AL1093">MAX((УслРестрактов[Характеристика]="Дата реструктуризации")*(УслРестрактов[Значение]=Первоначальный!$A1093),0)</f>
        <v>0</v>
      </c>
    </row>
    <row r="1094" spans="1:38" x14ac:dyDescent="0.25">
      <c r="A1094" s="97">
        <f t="shared" si="197"/>
        <v>45225</v>
      </c>
      <c r="B1094" s="100">
        <f t="shared" ca="1" si="198"/>
        <v>149633.34</v>
      </c>
      <c r="C1094" s="55">
        <f t="shared" ca="1" si="206"/>
        <v>78565.079999999929</v>
      </c>
      <c r="D1094" s="55">
        <f t="shared" ca="1" si="206"/>
        <v>4552.1200000000035</v>
      </c>
      <c r="E1094" s="55">
        <f t="shared" ca="1" si="199"/>
        <v>0</v>
      </c>
      <c r="F1094" s="55">
        <f t="shared" ca="1" si="200"/>
        <v>240544.56974262235</v>
      </c>
      <c r="G1094" s="101">
        <f t="shared" ca="1" si="201"/>
        <v>473295.10974262224</v>
      </c>
      <c r="H1094" s="100">
        <f ca="1">ROUND($B1094*VLOOKUP($A1094,$A$1:$B$10,2,1)/(365+IF(MOD(YEAR($A1094),4),0,1)*($A1094-$A1093)),2)-Первоначальный[[#This Row],[Проценты на просроченный платеж по ОД за период]]</f>
        <v>71.67</v>
      </c>
      <c r="I1094" s="55">
        <f t="shared" ca="1" si="202"/>
        <v>9.91</v>
      </c>
      <c r="J1094" s="55">
        <v>0</v>
      </c>
      <c r="K1094" s="55">
        <f t="shared" ca="1" si="205"/>
        <v>477.93850327868847</v>
      </c>
      <c r="L1094" s="55">
        <v>0</v>
      </c>
      <c r="M1094" s="113">
        <f>SUMIFS(График[Возврат основной суммы долга],График[Дата с учетом нерабочих дней],$A1094)</f>
        <v>0</v>
      </c>
      <c r="N1094" s="56">
        <f>SUMIFS(График[Возврат начисленных %],График[Дата с учетом нерабочих дней],$A1094)</f>
        <v>0</v>
      </c>
      <c r="O1094" s="101">
        <v>0</v>
      </c>
      <c r="P1094" s="100" cm="1">
        <f t="array" aca="1" ref="P1094" ca="1">MAX(IF(AA1093="Да",0,SUM(INDIRECT("M"&amp;(MAX(("Да"=AA$12:AA1093)*ROW(AA$12:AA1093)+1,ROW($P$12))&amp;":M"&amp;(ROW()))))-SUM(INDIRECT("W"&amp;(MAX(("Да"=AA$12:AA1093)*ROW(AA$12:AA1093)+1,ROW($P$12))&amp;":W"&amp;(ROW()))))),0)</f>
        <v>18172.72</v>
      </c>
      <c r="Q1094" s="99">
        <f ca="1">MAX(SUM($N$13:N1094)-SUM($T$13:T1094),0)</f>
        <v>77414.980655737687</v>
      </c>
      <c r="R1094" s="99">
        <f ca="1">Первоначальный[[#This Row],[Просроченный платеж по ОД]]+Первоначальный[[#This Row],[Просроченный платеж по процентам]]</f>
        <v>95587.700655737688</v>
      </c>
      <c r="S1094" s="120">
        <f ca="1">IF(Первоначальный[[#This Row],[Просроченный платеж]]&lt;1,0,S1093+1)</f>
        <v>990</v>
      </c>
      <c r="T1094" s="100" cm="1">
        <f t="array" aca="1" ref="T1094" ca="1">IF(Первоначальный[[#This Row],[Итого остаток на начало периода]]&lt;1,0,
IF(
AND(TYPE(VLOOKUP(1,$Z$12:Z1094,1,0))=16,Первоначальный[[#This Row],[Досрочное погашение (да/"")]]=""),0,
_xlfn.IFS(AND(S1093=0,Первоначальный[[#This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платеж]]&lt;&gt;0),MIN(LOOKUP(,-1/($Z$12:Z1094=1),$C$12:C1094)+LOOKUP(,-1/($Z$12:Z1094=1),$H$12:H1094),Первоначальный[[#This Row],[Полученный платеж]]+Y1093),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платеж]]+Y1093,SUM(Первоначальный[[#This Row],[Остаток процентов на начало периода]],Первоначальный[[#This Row],[Проценты за период]])),
AND(S1093=0,Первоначальный[[#This Row],[Дата платежа из графика]]=""),0,
AND(S1093=0,Первоначальный[[#This Row],[Дата платежа из графика]]=1,MAX((0&lt;&gt;S$12:S1093)*ROW(S$12:S1093),ROW($S$12))&gt;=MAX((1=Z$12:Z1093)*ROW(Z$12:Z1093),ROW($T$12)),TYPE(VLOOKUP("Да",(INDIRECT("AA"&amp;(MAX((1=Z$12:Z1093)*ROW(Z$12:Z1093),ROW($T$12))&amp;":AA"&amp;(ROW()-1)))),1,0))=16),MIN(LOOKUP(,-1/($Z$12:Z1094=1),$C$12:C1094)+LOOKUP(,-1/($Z$12:Z1094=1),$H$12:H1094),Первоначальный[[#This Row],[Полученный платеж]]+Y1093),
AND(S1093=0,TYPE(VLOOKUP("Да",(INDIRECT("AA"&amp;(MAX((1=Z$12:Z1093)*ROW(Z$12:Z1093),ROW($T$12))&amp;":AA"&amp;(ROW()-1)))),1,0))&lt;&gt;16),MIN(LOOKUP(,-1/($Z$12:Z1094=1),$C$12:C1094)+LOOKUP(,-1/($Z$12:Z1094=1),$H$12:H1094)-IF(AA1093="Да",0,SUM(INDIRECT("T"&amp;(MAX(("Да"=AA$12:AA1093)*ROW(AA$12:AA1093)+1,ROW($T$12))&amp;":T"&amp;(ROW()-1))))),Первоначальный[[#This Row],[Полученный платеж]]+Y1093),
AND(S1093=0,MAX((0&lt;&gt;N$12:N1093)*ROW(N$12:N1093),ROW($S$12))&gt;=MAX((1=Z$12:Z1093)*ROW(Z$12:Z1093),ROW($T$12))),MIN(LOOKUP(,-1/($Z$12:Z1094=1),$C$12:C1094)+LOOKUP(,-1/($Z$12:Z1094=1),$H$12:H1094)-IF(N1093&lt;&gt;0,0,SUM(INDIRECT("T"&amp;(MAX((0&lt;&gt;N$12:N1093)*ROW(N$12:N1093)+1,ROW($T$12))&amp;":T"&amp;(ROW()-1))))),Первоначальный[[#This Row],[Полученный платеж]]+Y1093),
AND(S1093=0,Первоначальный[[#This Row],[Дата платежа из графика]]=1),MIN(LOOKUP(,-1/($Z$12:Z1094=1),$C$12:C1094)+LOOKUP(,-1/($Z$12:Z1094=1),$H$12:H1094)-IF(Z1093=1,0,SUM(INDIRECT("T"&amp;(MAX((1=Z$12:Z1093)*ROW(Z$12:Z1093)+1,ROW($T$12))&amp;":T"&amp;(ROW()-1))))),Первоначальный[[#This Row],[Полученный платеж]]+Y1093),
AND(Z1093&gt;0,Первоначальный[[#This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платеж]]+Y1093),
AND(S1093&gt;0,MAX((0&lt;&gt;S$12:S1093)*ROW(S$12:S1093),ROW($S$12))&gt;=MAX((1=Z$12:Z1093)*ROW(Z$12:Z1093),ROW($T$12)),TYPE(VLOOKUP("Да",(INDIRECT("AA"&amp;(MAX((1=Z$12:Z1093)*ROW(Z$12:Z1093),ROW($T$12))&amp;":AA"&amp;(ROW()-1)))),1,0))=16),MIN(LOOKUP(,-1/($Z$12:Z1094=1),$C$12:C1094)+LOOKUP(,-1/($Z$12:Z1094=1),$H$12:H1094)-SUM(INDIRECT("T"&amp;(MAX((1=Z$12:Z1093)*ROW(Z$12:Z1093),ROW($T$12))&amp;":T"&amp;(ROW()-1)))),Первоначальный[[#This Row],[Полученный платеж]]+Y1093),
S1093&gt;0,MIN(LOOKUP(,-1/($Z$12:Z1094=1),$C$12:C1094)+LOOKUP(,-1/($Z$12:Z1094=1),$H$12:H1094)-IF(Z1093=1,0,SUM(INDIRECT("T"&amp;(MAX((1=Z$12:Z1093)*ROW(Z$12:Z1093)+1,ROW($T$12))&amp;":T"&amp;(ROW()-1))))),Первоначальный[[#This Row],[Полученный платеж]]+Y1093)
)
)
)</f>
        <v>0</v>
      </c>
      <c r="U109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платеж]]+Y1093-Первоначальный[[#This Row],[Полученный платёж по процентам]])</f>
        <v>0</v>
      </c>
      <c r="V1094" s="55">
        <f t="shared" ca="1" si="195"/>
        <v>0</v>
      </c>
      <c r="W1094" s="55" cm="1">
        <f t="array" aca="1" ref="W1094" ca="1">IF(Первоначальный[[#This Row],[Итого остаток на начало периода]]&lt;1,0,
_xlfn.IFS(
AND(TYPE(VLOOKUP(1,$Z$12:Z1094,1,0))=16,Первоначальный[[#This Row],[Досрочное погашение (да/"")]]=""),0,
AND(S1093=0,Первоначальный[[#This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платеж]]+Y1093-SUM(Первоначальный[[#This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комиссиям]]),VLOOKUP(LOOKUP(,-1/($Z$12:Z1094=1),$A$12:A1094),График[[Срок конец]:[Возврат основной суммы долга]],3,0)),
AND(S1093=0,Первоначальный[[#This Row],[Дата платежа из графика]]="",Первоначальный[[#This Row],[Досрочное погашение (да/"")]]&lt;&gt;"Да"),0,
AND(S1093=0,Первоначальный[[#This Row],[Досрочное погашение (да/"")]]=""),MIN(Первоначальный[[#This Row],[Полученный платеж]]+Y1093-SUM(Первоначальный[[#This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комиссиям]]),VLOOKUP(LOOKUP(,-1/($Z$12:Z1094=1),$A$12:A1094),График[[Срок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платеж]]+Y1093-SUM(Первоначальный[[#This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S1093&gt;0,MIN(Первоначальный[[#This Row],[Полученный платеж]]+Y1093-SUM(Первоначальный[[#This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комиссиям]]),SUM(INDIRECT("M"&amp;(MAX((1=S$12:S1093)*ROW(S$12:S1093),ROW($W$12))&amp;":M"&amp;(ROW()))))-SUM(INDIRECT("W"&amp;(MAX((1=S$12:S1093)*ROW(S$12:S1093),ROW($W$12))&amp;":W"&amp;(ROW()-1)))))
)
)</f>
        <v>0</v>
      </c>
      <c r="X1094" s="55">
        <f t="shared" ca="1" si="196"/>
        <v>0</v>
      </c>
      <c r="Y1094" s="101">
        <f t="shared" ca="1" si="203"/>
        <v>0</v>
      </c>
      <c r="Z1094" s="133" t="str">
        <f>IF(TYPE((VLOOKUP(Первоначальный[[#This Row],[Дата платежа]],График[Срок конец],1,0)))=16,"",1)</f>
        <v/>
      </c>
      <c r="AA1094" s="57"/>
      <c r="AB1094" s="134"/>
      <c r="AC109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9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78636.749999999927</v>
      </c>
      <c r="AE109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4562.0300000000034</v>
      </c>
      <c r="AF109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9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241022.50824590103</v>
      </c>
      <c r="AH1094" s="55"/>
      <c r="AI1094" s="55"/>
      <c r="AJ1094" s="55"/>
      <c r="AK1094" s="101">
        <f t="shared" ca="1" si="204"/>
        <v>473854.62824590097</v>
      </c>
      <c r="AL1094" s="129">
        <f t="array" ref="AL1094">MAX((УслРестрактов[Характеристика]="Дата реструктуризации")*(УслРестрактов[Значение]=Первоначальный!$A1094),0)</f>
        <v>0</v>
      </c>
    </row>
    <row r="1095" spans="1:38" x14ac:dyDescent="0.25">
      <c r="A1095" s="97">
        <f t="shared" si="197"/>
        <v>45226</v>
      </c>
      <c r="B1095" s="100">
        <f t="shared" ca="1" si="198"/>
        <v>149633.34</v>
      </c>
      <c r="C1095" s="55">
        <f t="shared" ca="1" si="206"/>
        <v>78636.749999999927</v>
      </c>
      <c r="D1095" s="55">
        <f t="shared" ca="1" si="206"/>
        <v>4562.0300000000034</v>
      </c>
      <c r="E1095" s="55">
        <f t="shared" ca="1" si="199"/>
        <v>0</v>
      </c>
      <c r="F1095" s="55">
        <f t="shared" ca="1" si="200"/>
        <v>241022.50824590103</v>
      </c>
      <c r="G1095" s="101">
        <f t="shared" ca="1" si="201"/>
        <v>473854.62824590097</v>
      </c>
      <c r="H1095" s="100">
        <f ca="1">ROUND($B1095*VLOOKUP($A1095,$A$1:$B$10,2,1)/(365+IF(MOD(YEAR($A1095),4),0,1)*($A1095-$A1094)),2)-Первоначальный[[#This Row],[Проценты на просроченный платеж по ОД за период]]</f>
        <v>71.67</v>
      </c>
      <c r="I1095" s="55">
        <f t="shared" ca="1" si="202"/>
        <v>9.91</v>
      </c>
      <c r="J1095" s="55">
        <v>0</v>
      </c>
      <c r="K1095" s="55">
        <f t="shared" ca="1" si="205"/>
        <v>477.93850327868847</v>
      </c>
      <c r="L1095" s="55">
        <v>0</v>
      </c>
      <c r="M1095" s="113">
        <f>SUMIFS(График[Возврат основной суммы долга],График[Дата с учетом нерабочих дней],$A1095)</f>
        <v>0</v>
      </c>
      <c r="N1095" s="56">
        <f>SUMIFS(График[Возврат начисленных %],График[Дата с учетом нерабочих дней],$A1095)</f>
        <v>0</v>
      </c>
      <c r="O1095" s="101">
        <v>0</v>
      </c>
      <c r="P1095" s="100" cm="1">
        <f t="array" aca="1" ref="P1095" ca="1">MAX(IF(AA1094="Да",0,SUM(INDIRECT("M"&amp;(MAX(("Да"=AA$12:AA1094)*ROW(AA$12:AA1094)+1,ROW($P$12))&amp;":M"&amp;(ROW()))))-SUM(INDIRECT("W"&amp;(MAX(("Да"=AA$12:AA1094)*ROW(AA$12:AA1094)+1,ROW($P$12))&amp;":W"&amp;(ROW()))))),0)</f>
        <v>18172.72</v>
      </c>
      <c r="Q1095" s="99">
        <f ca="1">MAX(SUM($N$13:N1095)-SUM($T$13:T1095),0)</f>
        <v>77414.980655737687</v>
      </c>
      <c r="R1095" s="99">
        <f ca="1">Первоначальный[[#This Row],[Просроченный платеж по ОД]]+Первоначальный[[#This Row],[Просроченный платеж по процентам]]</f>
        <v>95587.700655737688</v>
      </c>
      <c r="S1095" s="120">
        <f ca="1">IF(Первоначальный[[#This Row],[Просроченный платеж]]&lt;1,0,S1094+1)</f>
        <v>991</v>
      </c>
      <c r="T1095" s="100" cm="1">
        <f t="array" aca="1" ref="T1095" ca="1">IF(Первоначальный[[#This Row],[Итого остаток на начало периода]]&lt;1,0,
IF(
AND(TYPE(VLOOKUP(1,$Z$12:Z1095,1,0))=16,Первоначальный[[#This Row],[Досрочное погашение (да/"")]]=""),0,
_xlfn.IFS(AND(S1094=0,Первоначальный[[#This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платеж]]&lt;&gt;0),MIN(LOOKUP(,-1/($Z$12:Z1095=1),$C$12:C1095)+LOOKUP(,-1/($Z$12:Z1095=1),$H$12:H1095),Первоначальный[[#This Row],[Полученный платеж]]+Y1094),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платеж]]+Y1094,SUM(Первоначальный[[#This Row],[Остаток процентов на начало периода]],Первоначальный[[#This Row],[Проценты за период]])),
AND(S1094=0,Первоначальный[[#This Row],[Дата платежа из графика]]=""),0,
AND(S1094=0,Первоначальный[[#This Row],[Дата платежа из графика]]=1,MAX((0&lt;&gt;S$12:S1094)*ROW(S$12:S1094),ROW($S$12))&gt;=MAX((1=Z$12:Z1094)*ROW(Z$12:Z1094),ROW($T$12)),TYPE(VLOOKUP("Да",(INDIRECT("AA"&amp;(MAX((1=Z$12:Z1094)*ROW(Z$12:Z1094),ROW($T$12))&amp;":AA"&amp;(ROW()-1)))),1,0))=16),MIN(LOOKUP(,-1/($Z$12:Z1095=1),$C$12:C1095)+LOOKUP(,-1/($Z$12:Z1095=1),$H$12:H1095),Первоначальный[[#This Row],[Полученный платеж]]+Y1094),
AND(S1094=0,TYPE(VLOOKUP("Да",(INDIRECT("AA"&amp;(MAX((1=Z$12:Z1094)*ROW(Z$12:Z1094),ROW($T$12))&amp;":AA"&amp;(ROW()-1)))),1,0))&lt;&gt;16),MIN(LOOKUP(,-1/($Z$12:Z1095=1),$C$12:C1095)+LOOKUP(,-1/($Z$12:Z1095=1),$H$12:H1095)-IF(AA1094="Да",0,SUM(INDIRECT("T"&amp;(MAX(("Да"=AA$12:AA1094)*ROW(AA$12:AA1094)+1,ROW($T$12))&amp;":T"&amp;(ROW()-1))))),Первоначальный[[#This Row],[Полученный платеж]]+Y1094),
AND(S1094=0,MAX((0&lt;&gt;N$12:N1094)*ROW(N$12:N1094),ROW($S$12))&gt;=MAX((1=Z$12:Z1094)*ROW(Z$12:Z1094),ROW($T$12))),MIN(LOOKUP(,-1/($Z$12:Z1095=1),$C$12:C1095)+LOOKUP(,-1/($Z$12:Z1095=1),$H$12:H1095)-IF(N1094&lt;&gt;0,0,SUM(INDIRECT("T"&amp;(MAX((0&lt;&gt;N$12:N1094)*ROW(N$12:N1094)+1,ROW($T$12))&amp;":T"&amp;(ROW()-1))))),Первоначальный[[#This Row],[Полученный платеж]]+Y1094),
AND(S1094=0,Первоначальный[[#This Row],[Дата платежа из графика]]=1),MIN(LOOKUP(,-1/($Z$12:Z1095=1),$C$12:C1095)+LOOKUP(,-1/($Z$12:Z1095=1),$H$12:H1095)-IF(Z1094=1,0,SUM(INDIRECT("T"&amp;(MAX((1=Z$12:Z1094)*ROW(Z$12:Z1094)+1,ROW($T$12))&amp;":T"&amp;(ROW()-1))))),Первоначальный[[#This Row],[Полученный платеж]]+Y1094),
AND(Z1094&gt;0,Первоначальный[[#This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платеж]]+Y1094),
AND(S1094&gt;0,MAX((0&lt;&gt;S$12:S1094)*ROW(S$12:S1094),ROW($S$12))&gt;=MAX((1=Z$12:Z1094)*ROW(Z$12:Z1094),ROW($T$12)),TYPE(VLOOKUP("Да",(INDIRECT("AA"&amp;(MAX((1=Z$12:Z1094)*ROW(Z$12:Z1094),ROW($T$12))&amp;":AA"&amp;(ROW()-1)))),1,0))=16),MIN(LOOKUP(,-1/($Z$12:Z1095=1),$C$12:C1095)+LOOKUP(,-1/($Z$12:Z1095=1),$H$12:H1095)-SUM(INDIRECT("T"&amp;(MAX((1=Z$12:Z1094)*ROW(Z$12:Z1094),ROW($T$12))&amp;":T"&amp;(ROW()-1)))),Первоначальный[[#This Row],[Полученный платеж]]+Y1094),
S1094&gt;0,MIN(LOOKUP(,-1/($Z$12:Z1095=1),$C$12:C1095)+LOOKUP(,-1/($Z$12:Z1095=1),$H$12:H1095)-IF(Z1094=1,0,SUM(INDIRECT("T"&amp;(MAX((1=Z$12:Z1094)*ROW(Z$12:Z1094)+1,ROW($T$12))&amp;":T"&amp;(ROW()-1))))),Первоначальный[[#This Row],[Полученный платеж]]+Y1094)
)
)
)</f>
        <v>0</v>
      </c>
      <c r="U109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платеж]]+Y1094-Первоначальный[[#This Row],[Полученный платёж по процентам]])</f>
        <v>0</v>
      </c>
      <c r="V1095" s="55">
        <f t="shared" ca="1" si="195"/>
        <v>0</v>
      </c>
      <c r="W1095" s="55" cm="1">
        <f t="array" aca="1" ref="W1095" ca="1">IF(Первоначальный[[#This Row],[Итого остаток на начало периода]]&lt;1,0,
_xlfn.IFS(
AND(TYPE(VLOOKUP(1,$Z$12:Z1095,1,0))=16,Первоначальный[[#This Row],[Досрочное погашение (да/"")]]=""),0,
AND(S1094=0,Первоначальный[[#This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платеж]]+Y1094-SUM(Первоначальный[[#This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комиссиям]]),VLOOKUP(LOOKUP(,-1/($Z$12:Z1095=1),$A$12:A1095),График[[Срок конец]:[Возврат основной суммы долга]],3,0)),
AND(S1094=0,Первоначальный[[#This Row],[Дата платежа из графика]]="",Первоначальный[[#This Row],[Досрочное погашение (да/"")]]&lt;&gt;"Да"),0,
AND(S1094=0,Первоначальный[[#This Row],[Досрочное погашение (да/"")]]=""),MIN(Первоначальный[[#This Row],[Полученный платеж]]+Y1094-SUM(Первоначальный[[#This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комиссиям]]),VLOOKUP(LOOKUP(,-1/($Z$12:Z1095=1),$A$12:A1095),График[[Срок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платеж]]+Y1094-SUM(Первоначальный[[#This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S1094&gt;0,MIN(Первоначальный[[#This Row],[Полученный платеж]]+Y1094-SUM(Первоначальный[[#This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комиссиям]]),SUM(INDIRECT("M"&amp;(MAX((1=S$12:S1094)*ROW(S$12:S1094),ROW($W$12))&amp;":M"&amp;(ROW()))))-SUM(INDIRECT("W"&amp;(MAX((1=S$12:S1094)*ROW(S$12:S1094),ROW($W$12))&amp;":W"&amp;(ROW()-1)))))
)
)</f>
        <v>0</v>
      </c>
      <c r="X1095" s="55">
        <f t="shared" ca="1" si="196"/>
        <v>0</v>
      </c>
      <c r="Y1095" s="101">
        <f t="shared" ca="1" si="203"/>
        <v>0</v>
      </c>
      <c r="Z1095" s="133" t="str">
        <f>IF(TYPE((VLOOKUP(Первоначальный[[#This Row],[Дата платежа]],График[Срок конец],1,0)))=16,"",1)</f>
        <v/>
      </c>
      <c r="AA1095" s="57"/>
      <c r="AB1095" s="134"/>
      <c r="AC109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9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78708.419999999925</v>
      </c>
      <c r="AE109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4571.9400000000032</v>
      </c>
      <c r="AF109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9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241500.44674917971</v>
      </c>
      <c r="AH1095" s="55"/>
      <c r="AI1095" s="55"/>
      <c r="AJ1095" s="55"/>
      <c r="AK1095" s="101">
        <f t="shared" ca="1" si="204"/>
        <v>474414.14674917964</v>
      </c>
      <c r="AL1095" s="129">
        <f t="array" ref="AL1095">MAX((УслРестрактов[Характеристика]="Дата реструктуризации")*(УслРестрактов[Значение]=Первоначальный!$A1095),0)</f>
        <v>0</v>
      </c>
    </row>
    <row r="1096" spans="1:38" x14ac:dyDescent="0.25">
      <c r="A1096" s="97">
        <f t="shared" si="197"/>
        <v>45227</v>
      </c>
      <c r="B1096" s="100">
        <f t="shared" ca="1" si="198"/>
        <v>149633.34</v>
      </c>
      <c r="C1096" s="55">
        <f t="shared" ca="1" si="206"/>
        <v>78708.419999999925</v>
      </c>
      <c r="D1096" s="55">
        <f t="shared" ca="1" si="206"/>
        <v>4571.9400000000032</v>
      </c>
      <c r="E1096" s="55">
        <f t="shared" ca="1" si="199"/>
        <v>0</v>
      </c>
      <c r="F1096" s="55">
        <f t="shared" ca="1" si="200"/>
        <v>241500.44674917971</v>
      </c>
      <c r="G1096" s="101">
        <f t="shared" ca="1" si="201"/>
        <v>474414.14674917964</v>
      </c>
      <c r="H1096" s="100">
        <f ca="1">ROUND($B1096*VLOOKUP($A1096,$A$1:$B$10,2,1)/(365+IF(MOD(YEAR($A1096),4),0,1)*($A1096-$A1095)),2)-Первоначальный[[#This Row],[Проценты на просроченный платеж по ОД за период]]</f>
        <v>71.67</v>
      </c>
      <c r="I1096" s="55">
        <f t="shared" ca="1" si="202"/>
        <v>9.91</v>
      </c>
      <c r="J1096" s="55">
        <v>0</v>
      </c>
      <c r="K1096" s="55">
        <f t="shared" ca="1" si="205"/>
        <v>477.93850327868847</v>
      </c>
      <c r="L1096" s="55">
        <v>0</v>
      </c>
      <c r="M1096" s="113">
        <f>SUMIFS(График[Возврат основной суммы долга],График[Дата с учетом нерабочих дней],$A1096)</f>
        <v>0</v>
      </c>
      <c r="N1096" s="56">
        <f>SUMIFS(График[Возврат начисленных %],График[Дата с учетом нерабочих дней],$A1096)</f>
        <v>0</v>
      </c>
      <c r="O1096" s="101">
        <v>0</v>
      </c>
      <c r="P1096" s="100" cm="1">
        <f t="array" aca="1" ref="P1096" ca="1">MAX(IF(AA1095="Да",0,SUM(INDIRECT("M"&amp;(MAX(("Да"=AA$12:AA1095)*ROW(AA$12:AA1095)+1,ROW($P$12))&amp;":M"&amp;(ROW()))))-SUM(INDIRECT("W"&amp;(MAX(("Да"=AA$12:AA1095)*ROW(AA$12:AA1095)+1,ROW($P$12))&amp;":W"&amp;(ROW()))))),0)</f>
        <v>18172.72</v>
      </c>
      <c r="Q1096" s="99">
        <f ca="1">MAX(SUM($N$13:N1096)-SUM($T$13:T1096),0)</f>
        <v>77414.980655737687</v>
      </c>
      <c r="R1096" s="99">
        <f ca="1">Первоначальный[[#This Row],[Просроченный платеж по ОД]]+Первоначальный[[#This Row],[Просроченный платеж по процентам]]</f>
        <v>95587.700655737688</v>
      </c>
      <c r="S1096" s="120">
        <f ca="1">IF(Первоначальный[[#This Row],[Просроченный платеж]]&lt;1,0,S1095+1)</f>
        <v>992</v>
      </c>
      <c r="T1096" s="100" cm="1">
        <f t="array" aca="1" ref="T1096" ca="1">IF(Первоначальный[[#This Row],[Итого остаток на начало периода]]&lt;1,0,
IF(
AND(TYPE(VLOOKUP(1,$Z$12:Z1096,1,0))=16,Первоначальный[[#This Row],[Досрочное погашение (да/"")]]=""),0,
_xlfn.IFS(AND(S1095=0,Первоначальный[[#This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платеж]]&lt;&gt;0),MIN(LOOKUP(,-1/($Z$12:Z1096=1),$C$12:C1096)+LOOKUP(,-1/($Z$12:Z1096=1),$H$12:H1096),Первоначальный[[#This Row],[Полученный платеж]]+Y1095),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платеж]]+Y1095,SUM(Первоначальный[[#This Row],[Остаток процентов на начало периода]],Первоначальный[[#This Row],[Проценты за период]])),
AND(S1095=0,Первоначальный[[#This Row],[Дата платежа из графика]]=""),0,
AND(S1095=0,Первоначальный[[#This Row],[Дата платежа из графика]]=1,MAX((0&lt;&gt;S$12:S1095)*ROW(S$12:S1095),ROW($S$12))&gt;=MAX((1=Z$12:Z1095)*ROW(Z$12:Z1095),ROW($T$12)),TYPE(VLOOKUP("Да",(INDIRECT("AA"&amp;(MAX((1=Z$12:Z1095)*ROW(Z$12:Z1095),ROW($T$12))&amp;":AA"&amp;(ROW()-1)))),1,0))=16),MIN(LOOKUP(,-1/($Z$12:Z1096=1),$C$12:C1096)+LOOKUP(,-1/($Z$12:Z1096=1),$H$12:H1096),Первоначальный[[#This Row],[Полученный платеж]]+Y1095),
AND(S1095=0,TYPE(VLOOKUP("Да",(INDIRECT("AA"&amp;(MAX((1=Z$12:Z1095)*ROW(Z$12:Z1095),ROW($T$12))&amp;":AA"&amp;(ROW()-1)))),1,0))&lt;&gt;16),MIN(LOOKUP(,-1/($Z$12:Z1096=1),$C$12:C1096)+LOOKUP(,-1/($Z$12:Z1096=1),$H$12:H1096)-IF(AA1095="Да",0,SUM(INDIRECT("T"&amp;(MAX(("Да"=AA$12:AA1095)*ROW(AA$12:AA1095)+1,ROW($T$12))&amp;":T"&amp;(ROW()-1))))),Первоначальный[[#This Row],[Полученный платеж]]+Y1095),
AND(S1095=0,MAX((0&lt;&gt;N$12:N1095)*ROW(N$12:N1095),ROW($S$12))&gt;=MAX((1=Z$12:Z1095)*ROW(Z$12:Z1095),ROW($T$12))),MIN(LOOKUP(,-1/($Z$12:Z1096=1),$C$12:C1096)+LOOKUP(,-1/($Z$12:Z1096=1),$H$12:H1096)-IF(N1095&lt;&gt;0,0,SUM(INDIRECT("T"&amp;(MAX((0&lt;&gt;N$12:N1095)*ROW(N$12:N1095)+1,ROW($T$12))&amp;":T"&amp;(ROW()-1))))),Первоначальный[[#This Row],[Полученный платеж]]+Y1095),
AND(S1095=0,Первоначальный[[#This Row],[Дата платежа из графика]]=1),MIN(LOOKUP(,-1/($Z$12:Z1096=1),$C$12:C1096)+LOOKUP(,-1/($Z$12:Z1096=1),$H$12:H1096)-IF(Z1095=1,0,SUM(INDIRECT("T"&amp;(MAX((1=Z$12:Z1095)*ROW(Z$12:Z1095)+1,ROW($T$12))&amp;":T"&amp;(ROW()-1))))),Первоначальный[[#This Row],[Полученный платеж]]+Y1095),
AND(Z1095&gt;0,Первоначальный[[#This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платеж]]+Y1095),
AND(S1095&gt;0,MAX((0&lt;&gt;S$12:S1095)*ROW(S$12:S1095),ROW($S$12))&gt;=MAX((1=Z$12:Z1095)*ROW(Z$12:Z1095),ROW($T$12)),TYPE(VLOOKUP("Да",(INDIRECT("AA"&amp;(MAX((1=Z$12:Z1095)*ROW(Z$12:Z1095),ROW($T$12))&amp;":AA"&amp;(ROW()-1)))),1,0))=16),MIN(LOOKUP(,-1/($Z$12:Z1096=1),$C$12:C1096)+LOOKUP(,-1/($Z$12:Z1096=1),$H$12:H1096)-SUM(INDIRECT("T"&amp;(MAX((1=Z$12:Z1095)*ROW(Z$12:Z1095),ROW($T$12))&amp;":T"&amp;(ROW()-1)))),Первоначальный[[#This Row],[Полученный платеж]]+Y1095),
S1095&gt;0,MIN(LOOKUP(,-1/($Z$12:Z1096=1),$C$12:C1096)+LOOKUP(,-1/($Z$12:Z1096=1),$H$12:H1096)-IF(Z1095=1,0,SUM(INDIRECT("T"&amp;(MAX((1=Z$12:Z1095)*ROW(Z$12:Z1095)+1,ROW($T$12))&amp;":T"&amp;(ROW()-1))))),Первоначальный[[#This Row],[Полученный платеж]]+Y1095)
)
)
)</f>
        <v>0</v>
      </c>
      <c r="U109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платеж]]+Y1095-Первоначальный[[#This Row],[Полученный платёж по процентам]])</f>
        <v>0</v>
      </c>
      <c r="V1096" s="55">
        <f t="shared" ca="1" si="195"/>
        <v>0</v>
      </c>
      <c r="W1096" s="55" cm="1">
        <f t="array" aca="1" ref="W1096" ca="1">IF(Первоначальный[[#This Row],[Итого остаток на начало периода]]&lt;1,0,
_xlfn.IFS(
AND(TYPE(VLOOKUP(1,$Z$12:Z1096,1,0))=16,Первоначальный[[#This Row],[Досрочное погашение (да/"")]]=""),0,
AND(S1095=0,Первоначальный[[#This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платеж]]+Y1095-SUM(Первоначальный[[#This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комиссиям]]),VLOOKUP(LOOKUP(,-1/($Z$12:Z1096=1),$A$12:A1096),График[[Срок конец]:[Возврат основной суммы долга]],3,0)),
AND(S1095=0,Первоначальный[[#This Row],[Дата платежа из графика]]="",Первоначальный[[#This Row],[Досрочное погашение (да/"")]]&lt;&gt;"Да"),0,
AND(S1095=0,Первоначальный[[#This Row],[Досрочное погашение (да/"")]]=""),MIN(Первоначальный[[#This Row],[Полученный платеж]]+Y1095-SUM(Первоначальный[[#This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комиссиям]]),VLOOKUP(LOOKUP(,-1/($Z$12:Z1096=1),$A$12:A1096),График[[Срок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платеж]]+Y1095-SUM(Первоначальный[[#This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S1095&gt;0,MIN(Первоначальный[[#This Row],[Полученный платеж]]+Y1095-SUM(Первоначальный[[#This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комиссиям]]),SUM(INDIRECT("M"&amp;(MAX((1=S$12:S1095)*ROW(S$12:S1095),ROW($W$12))&amp;":M"&amp;(ROW()))))-SUM(INDIRECT("W"&amp;(MAX((1=S$12:S1095)*ROW(S$12:S1095),ROW($W$12))&amp;":W"&amp;(ROW()-1)))))
)
)</f>
        <v>0</v>
      </c>
      <c r="X1096" s="55">
        <f t="shared" ca="1" si="196"/>
        <v>0</v>
      </c>
      <c r="Y1096" s="101">
        <f t="shared" ca="1" si="203"/>
        <v>0</v>
      </c>
      <c r="Z1096" s="133" t="str">
        <f>IF(TYPE((VLOOKUP(Первоначальный[[#This Row],[Дата платежа]],График[Срок конец],1,0)))=16,"",1)</f>
        <v/>
      </c>
      <c r="AA1096" s="57"/>
      <c r="AB1096" s="134"/>
      <c r="AC109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9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78780.089999999924</v>
      </c>
      <c r="AE109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4581.8500000000031</v>
      </c>
      <c r="AF109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9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241978.38525245839</v>
      </c>
      <c r="AH1096" s="55"/>
      <c r="AI1096" s="55"/>
      <c r="AJ1096" s="55"/>
      <c r="AK1096" s="101">
        <f t="shared" ca="1" si="204"/>
        <v>474973.6652524583</v>
      </c>
      <c r="AL1096" s="129">
        <f t="array" ref="AL1096">MAX((УслРестрактов[Характеристика]="Дата реструктуризации")*(УслРестрактов[Значение]=Первоначальный!$A1096),0)</f>
        <v>0</v>
      </c>
    </row>
    <row r="1097" spans="1:38" x14ac:dyDescent="0.25">
      <c r="A1097" s="97">
        <f t="shared" si="197"/>
        <v>45228</v>
      </c>
      <c r="B1097" s="100">
        <f t="shared" ca="1" si="198"/>
        <v>149633.34</v>
      </c>
      <c r="C1097" s="55">
        <f t="shared" ca="1" si="206"/>
        <v>78780.089999999924</v>
      </c>
      <c r="D1097" s="55">
        <f t="shared" ca="1" si="206"/>
        <v>4581.8500000000031</v>
      </c>
      <c r="E1097" s="55">
        <f t="shared" ca="1" si="199"/>
        <v>0</v>
      </c>
      <c r="F1097" s="55">
        <f t="shared" ca="1" si="200"/>
        <v>241978.38525245839</v>
      </c>
      <c r="G1097" s="101">
        <f t="shared" ca="1" si="201"/>
        <v>474973.6652524583</v>
      </c>
      <c r="H1097" s="100">
        <f ca="1">ROUND($B1097*VLOOKUP($A1097,$A$1:$B$10,2,1)/(365+IF(MOD(YEAR($A1097),4),0,1)*($A1097-$A1096)),2)-Первоначальный[[#This Row],[Проценты на просроченный платеж по ОД за период]]</f>
        <v>71.67</v>
      </c>
      <c r="I1097" s="55">
        <f t="shared" ca="1" si="202"/>
        <v>9.91</v>
      </c>
      <c r="J1097" s="55">
        <v>0</v>
      </c>
      <c r="K1097" s="55">
        <f t="shared" ca="1" si="205"/>
        <v>477.93850327868847</v>
      </c>
      <c r="L1097" s="55">
        <v>0</v>
      </c>
      <c r="M1097" s="113">
        <f>SUMIFS(График[Возврат основной суммы долга],График[Дата с учетом нерабочих дней],$A1097)</f>
        <v>0</v>
      </c>
      <c r="N1097" s="56">
        <f>SUMIFS(График[Возврат начисленных %],График[Дата с учетом нерабочих дней],$A1097)</f>
        <v>0</v>
      </c>
      <c r="O1097" s="101">
        <v>0</v>
      </c>
      <c r="P1097" s="100" cm="1">
        <f t="array" aca="1" ref="P1097" ca="1">MAX(IF(AA1096="Да",0,SUM(INDIRECT("M"&amp;(MAX(("Да"=AA$12:AA1096)*ROW(AA$12:AA1096)+1,ROW($P$12))&amp;":M"&amp;(ROW()))))-SUM(INDIRECT("W"&amp;(MAX(("Да"=AA$12:AA1096)*ROW(AA$12:AA1096)+1,ROW($P$12))&amp;":W"&amp;(ROW()))))),0)</f>
        <v>18172.72</v>
      </c>
      <c r="Q1097" s="99">
        <f ca="1">MAX(SUM($N$13:N1097)-SUM($T$13:T1097),0)</f>
        <v>77414.980655737687</v>
      </c>
      <c r="R1097" s="99">
        <f ca="1">Первоначальный[[#This Row],[Просроченный платеж по ОД]]+Первоначальный[[#This Row],[Просроченный платеж по процентам]]</f>
        <v>95587.700655737688</v>
      </c>
      <c r="S1097" s="120">
        <f ca="1">IF(Первоначальный[[#This Row],[Просроченный платеж]]&lt;1,0,S1096+1)</f>
        <v>993</v>
      </c>
      <c r="T1097" s="100" cm="1">
        <f t="array" aca="1" ref="T1097" ca="1">IF(Первоначальный[[#This Row],[Итого остаток на начало периода]]&lt;1,0,
IF(
AND(TYPE(VLOOKUP(1,$Z$12:Z1097,1,0))=16,Первоначальный[[#This Row],[Досрочное погашение (да/"")]]=""),0,
_xlfn.IFS(AND(S1096=0,Первоначальный[[#This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платеж]]&lt;&gt;0),MIN(LOOKUP(,-1/($Z$12:Z1097=1),$C$12:C1097)+LOOKUP(,-1/($Z$12:Z1097=1),$H$12:H1097),Первоначальный[[#This Row],[Полученный платеж]]+Y1096),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платеж]]+Y1096,SUM(Первоначальный[[#This Row],[Остаток процентов на начало периода]],Первоначальный[[#This Row],[Проценты за период]])),
AND(S1096=0,Первоначальный[[#This Row],[Дата платежа из графика]]=""),0,
AND(S1096=0,Первоначальный[[#This Row],[Дата платежа из графика]]=1,MAX((0&lt;&gt;S$12:S1096)*ROW(S$12:S1096),ROW($S$12))&gt;=MAX((1=Z$12:Z1096)*ROW(Z$12:Z1096),ROW($T$12)),TYPE(VLOOKUP("Да",(INDIRECT("AA"&amp;(MAX((1=Z$12:Z1096)*ROW(Z$12:Z1096),ROW($T$12))&amp;":AA"&amp;(ROW()-1)))),1,0))=16),MIN(LOOKUP(,-1/($Z$12:Z1097=1),$C$12:C1097)+LOOKUP(,-1/($Z$12:Z1097=1),$H$12:H1097),Первоначальный[[#This Row],[Полученный платеж]]+Y1096),
AND(S1096=0,TYPE(VLOOKUP("Да",(INDIRECT("AA"&amp;(MAX((1=Z$12:Z1096)*ROW(Z$12:Z1096),ROW($T$12))&amp;":AA"&amp;(ROW()-1)))),1,0))&lt;&gt;16),MIN(LOOKUP(,-1/($Z$12:Z1097=1),$C$12:C1097)+LOOKUP(,-1/($Z$12:Z1097=1),$H$12:H1097)-IF(AA1096="Да",0,SUM(INDIRECT("T"&amp;(MAX(("Да"=AA$12:AA1096)*ROW(AA$12:AA1096)+1,ROW($T$12))&amp;":T"&amp;(ROW()-1))))),Первоначальный[[#This Row],[Полученный платеж]]+Y1096),
AND(S1096=0,MAX((0&lt;&gt;N$12:N1096)*ROW(N$12:N1096),ROW($S$12))&gt;=MAX((1=Z$12:Z1096)*ROW(Z$12:Z1096),ROW($T$12))),MIN(LOOKUP(,-1/($Z$12:Z1097=1),$C$12:C1097)+LOOKUP(,-1/($Z$12:Z1097=1),$H$12:H1097)-IF(N1096&lt;&gt;0,0,SUM(INDIRECT("T"&amp;(MAX((0&lt;&gt;N$12:N1096)*ROW(N$12:N1096)+1,ROW($T$12))&amp;":T"&amp;(ROW()-1))))),Первоначальный[[#This Row],[Полученный платеж]]+Y1096),
AND(S1096=0,Первоначальный[[#This Row],[Дата платежа из графика]]=1),MIN(LOOKUP(,-1/($Z$12:Z1097=1),$C$12:C1097)+LOOKUP(,-1/($Z$12:Z1097=1),$H$12:H1097)-IF(Z1096=1,0,SUM(INDIRECT("T"&amp;(MAX((1=Z$12:Z1096)*ROW(Z$12:Z1096)+1,ROW($T$12))&amp;":T"&amp;(ROW()-1))))),Первоначальный[[#This Row],[Полученный платеж]]+Y1096),
AND(Z1096&gt;0,Первоначальный[[#This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платеж]]+Y1096),
AND(S1096&gt;0,MAX((0&lt;&gt;S$12:S1096)*ROW(S$12:S1096),ROW($S$12))&gt;=MAX((1=Z$12:Z1096)*ROW(Z$12:Z1096),ROW($T$12)),TYPE(VLOOKUP("Да",(INDIRECT("AA"&amp;(MAX((1=Z$12:Z1096)*ROW(Z$12:Z1096),ROW($T$12))&amp;":AA"&amp;(ROW()-1)))),1,0))=16),MIN(LOOKUP(,-1/($Z$12:Z1097=1),$C$12:C1097)+LOOKUP(,-1/($Z$12:Z1097=1),$H$12:H1097)-SUM(INDIRECT("T"&amp;(MAX((1=Z$12:Z1096)*ROW(Z$12:Z1096),ROW($T$12))&amp;":T"&amp;(ROW()-1)))),Первоначальный[[#This Row],[Полученный платеж]]+Y1096),
S1096&gt;0,MIN(LOOKUP(,-1/($Z$12:Z1097=1),$C$12:C1097)+LOOKUP(,-1/($Z$12:Z1097=1),$H$12:H1097)-IF(Z1096=1,0,SUM(INDIRECT("T"&amp;(MAX((1=Z$12:Z1096)*ROW(Z$12:Z1096)+1,ROW($T$12))&amp;":T"&amp;(ROW()-1))))),Первоначальный[[#This Row],[Полученный платеж]]+Y1096)
)
)
)</f>
        <v>0</v>
      </c>
      <c r="U109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платеж]]+Y1096-Первоначальный[[#This Row],[Полученный платёж по процентам]])</f>
        <v>0</v>
      </c>
      <c r="V1097" s="55">
        <f t="shared" ca="1" si="195"/>
        <v>0</v>
      </c>
      <c r="W1097" s="55" cm="1">
        <f t="array" aca="1" ref="W1097" ca="1">IF(Первоначальный[[#This Row],[Итого остаток на начало периода]]&lt;1,0,
_xlfn.IFS(
AND(TYPE(VLOOKUP(1,$Z$12:Z1097,1,0))=16,Первоначальный[[#This Row],[Досрочное погашение (да/"")]]=""),0,
AND(S1096=0,Первоначальный[[#This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платеж]]+Y1096-SUM(Первоначальный[[#This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комиссиям]]),VLOOKUP(LOOKUP(,-1/($Z$12:Z1097=1),$A$12:A1097),График[[Срок конец]:[Возврат основной суммы долга]],3,0)),
AND(S1096=0,Первоначальный[[#This Row],[Дата платежа из графика]]="",Первоначальный[[#This Row],[Досрочное погашение (да/"")]]&lt;&gt;"Да"),0,
AND(S1096=0,Первоначальный[[#This Row],[Досрочное погашение (да/"")]]=""),MIN(Первоначальный[[#This Row],[Полученный платеж]]+Y1096-SUM(Первоначальный[[#This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комиссиям]]),VLOOKUP(LOOKUP(,-1/($Z$12:Z1097=1),$A$12:A1097),График[[Срок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платеж]]+Y1096-SUM(Первоначальный[[#This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S1096&gt;0,MIN(Первоначальный[[#This Row],[Полученный платеж]]+Y1096-SUM(Первоначальный[[#This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комиссиям]]),SUM(INDIRECT("M"&amp;(MAX((1=S$12:S1096)*ROW(S$12:S1096),ROW($W$12))&amp;":M"&amp;(ROW()))))-SUM(INDIRECT("W"&amp;(MAX((1=S$12:S1096)*ROW(S$12:S1096),ROW($W$12))&amp;":W"&amp;(ROW()-1)))))
)
)</f>
        <v>0</v>
      </c>
      <c r="X1097" s="55">
        <f t="shared" ca="1" si="196"/>
        <v>0</v>
      </c>
      <c r="Y1097" s="101">
        <f t="shared" ca="1" si="203"/>
        <v>0</v>
      </c>
      <c r="Z1097" s="133" t="str">
        <f>IF(TYPE((VLOOKUP(Первоначальный[[#This Row],[Дата платежа]],График[Срок конец],1,0)))=16,"",1)</f>
        <v/>
      </c>
      <c r="AA1097" s="57"/>
      <c r="AB1097" s="134"/>
      <c r="AC109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9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78851.759999999922</v>
      </c>
      <c r="AE109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4591.7600000000029</v>
      </c>
      <c r="AF109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9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242456.32375573707</v>
      </c>
      <c r="AH1097" s="55"/>
      <c r="AI1097" s="55"/>
      <c r="AJ1097" s="55"/>
      <c r="AK1097" s="101">
        <f t="shared" ca="1" si="204"/>
        <v>475533.18375573703</v>
      </c>
      <c r="AL1097" s="129">
        <f t="array" ref="AL1097">MAX((УслРестрактов[Характеристика]="Дата реструктуризации")*(УслРестрактов[Значение]=Первоначальный!$A1097),0)</f>
        <v>0</v>
      </c>
    </row>
    <row r="1098" spans="1:38" x14ac:dyDescent="0.25">
      <c r="A1098" s="97">
        <f t="shared" si="197"/>
        <v>45229</v>
      </c>
      <c r="B1098" s="100">
        <f t="shared" ca="1" si="198"/>
        <v>149633.34</v>
      </c>
      <c r="C1098" s="55">
        <f t="shared" ca="1" si="206"/>
        <v>78851.759999999922</v>
      </c>
      <c r="D1098" s="55">
        <f t="shared" ca="1" si="206"/>
        <v>4591.7600000000029</v>
      </c>
      <c r="E1098" s="55">
        <f t="shared" ca="1" si="199"/>
        <v>0</v>
      </c>
      <c r="F1098" s="55">
        <f t="shared" ca="1" si="200"/>
        <v>242456.32375573707</v>
      </c>
      <c r="G1098" s="101">
        <f t="shared" ca="1" si="201"/>
        <v>475533.18375573703</v>
      </c>
      <c r="H1098" s="100">
        <f ca="1">ROUND($B1098*VLOOKUP($A1098,$A$1:$B$10,2,1)/(365+IF(MOD(YEAR($A1098),4),0,1)*($A1098-$A1097)),2)-Первоначальный[[#This Row],[Проценты на просроченный платеж по ОД за период]]</f>
        <v>71.67</v>
      </c>
      <c r="I1098" s="55">
        <f t="shared" ca="1" si="202"/>
        <v>9.91</v>
      </c>
      <c r="J1098" s="55">
        <v>0</v>
      </c>
      <c r="K1098" s="55">
        <f t="shared" ca="1" si="205"/>
        <v>477.93850327868847</v>
      </c>
      <c r="L1098" s="55">
        <v>0</v>
      </c>
      <c r="M1098" s="113">
        <f>SUMIFS(График[Возврат основной суммы долга],График[Дата с учетом нерабочих дней],$A1098)</f>
        <v>0</v>
      </c>
      <c r="N1098" s="56">
        <f>SUMIFS(График[Возврат начисленных %],График[Дата с учетом нерабочих дней],$A1098)</f>
        <v>0</v>
      </c>
      <c r="O1098" s="101">
        <v>0</v>
      </c>
      <c r="P1098" s="100" cm="1">
        <f t="array" aca="1" ref="P1098" ca="1">MAX(IF(AA1097="Да",0,SUM(INDIRECT("M"&amp;(MAX(("Да"=AA$12:AA1097)*ROW(AA$12:AA1097)+1,ROW($P$12))&amp;":M"&amp;(ROW()))))-SUM(INDIRECT("W"&amp;(MAX(("Да"=AA$12:AA1097)*ROW(AA$12:AA1097)+1,ROW($P$12))&amp;":W"&amp;(ROW()))))),0)</f>
        <v>18172.72</v>
      </c>
      <c r="Q1098" s="99">
        <f ca="1">MAX(SUM($N$13:N1098)-SUM($T$13:T1098),0)</f>
        <v>77414.980655737687</v>
      </c>
      <c r="R1098" s="99">
        <f ca="1">Первоначальный[[#This Row],[Просроченный платеж по ОД]]+Первоначальный[[#This Row],[Просроченный платеж по процентам]]</f>
        <v>95587.700655737688</v>
      </c>
      <c r="S1098" s="120">
        <f ca="1">IF(Первоначальный[[#This Row],[Просроченный платеж]]&lt;1,0,S1097+1)</f>
        <v>994</v>
      </c>
      <c r="T1098" s="100" cm="1">
        <f t="array" aca="1" ref="T1098" ca="1">IF(Первоначальный[[#This Row],[Итого остаток на начало периода]]&lt;1,0,
IF(
AND(TYPE(VLOOKUP(1,$Z$12:Z1098,1,0))=16,Первоначальный[[#This Row],[Досрочное погашение (да/"")]]=""),0,
_xlfn.IFS(AND(S1097=0,Первоначальный[[#This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платеж]]&lt;&gt;0),MIN(LOOKUP(,-1/($Z$12:Z1098=1),$C$12:C1098)+LOOKUP(,-1/($Z$12:Z1098=1),$H$12:H1098),Первоначальный[[#This Row],[Полученный платеж]]+Y1097),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платеж]]+Y1097,SUM(Первоначальный[[#This Row],[Остаток процентов на начало периода]],Первоначальный[[#This Row],[Проценты за период]])),
AND(S1097=0,Первоначальный[[#This Row],[Дата платежа из графика]]=""),0,
AND(S1097=0,Первоначальный[[#This Row],[Дата платежа из графика]]=1,MAX((0&lt;&gt;S$12:S1097)*ROW(S$12:S1097),ROW($S$12))&gt;=MAX((1=Z$12:Z1097)*ROW(Z$12:Z1097),ROW($T$12)),TYPE(VLOOKUP("Да",(INDIRECT("AA"&amp;(MAX((1=Z$12:Z1097)*ROW(Z$12:Z1097),ROW($T$12))&amp;":AA"&amp;(ROW()-1)))),1,0))=16),MIN(LOOKUP(,-1/($Z$12:Z1098=1),$C$12:C1098)+LOOKUP(,-1/($Z$12:Z1098=1),$H$12:H1098),Первоначальный[[#This Row],[Полученный платеж]]+Y1097),
AND(S1097=0,TYPE(VLOOKUP("Да",(INDIRECT("AA"&amp;(MAX((1=Z$12:Z1097)*ROW(Z$12:Z1097),ROW($T$12))&amp;":AA"&amp;(ROW()-1)))),1,0))&lt;&gt;16),MIN(LOOKUP(,-1/($Z$12:Z1098=1),$C$12:C1098)+LOOKUP(,-1/($Z$12:Z1098=1),$H$12:H1098)-IF(AA1097="Да",0,SUM(INDIRECT("T"&amp;(MAX(("Да"=AA$12:AA1097)*ROW(AA$12:AA1097)+1,ROW($T$12))&amp;":T"&amp;(ROW()-1))))),Первоначальный[[#This Row],[Полученный платеж]]+Y1097),
AND(S1097=0,MAX((0&lt;&gt;N$12:N1097)*ROW(N$12:N1097),ROW($S$12))&gt;=MAX((1=Z$12:Z1097)*ROW(Z$12:Z1097),ROW($T$12))),MIN(LOOKUP(,-1/($Z$12:Z1098=1),$C$12:C1098)+LOOKUP(,-1/($Z$12:Z1098=1),$H$12:H1098)-IF(N1097&lt;&gt;0,0,SUM(INDIRECT("T"&amp;(MAX((0&lt;&gt;N$12:N1097)*ROW(N$12:N1097)+1,ROW($T$12))&amp;":T"&amp;(ROW()-1))))),Первоначальный[[#This Row],[Полученный платеж]]+Y1097),
AND(S1097=0,Первоначальный[[#This Row],[Дата платежа из графика]]=1),MIN(LOOKUP(,-1/($Z$12:Z1098=1),$C$12:C1098)+LOOKUP(,-1/($Z$12:Z1098=1),$H$12:H1098)-IF(Z1097=1,0,SUM(INDIRECT("T"&amp;(MAX((1=Z$12:Z1097)*ROW(Z$12:Z1097)+1,ROW($T$12))&amp;":T"&amp;(ROW()-1))))),Первоначальный[[#This Row],[Полученный платеж]]+Y1097),
AND(Z1097&gt;0,Первоначальный[[#This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платеж]]+Y1097),
AND(S1097&gt;0,MAX((0&lt;&gt;S$12:S1097)*ROW(S$12:S1097),ROW($S$12))&gt;=MAX((1=Z$12:Z1097)*ROW(Z$12:Z1097),ROW($T$12)),TYPE(VLOOKUP("Да",(INDIRECT("AA"&amp;(MAX((1=Z$12:Z1097)*ROW(Z$12:Z1097),ROW($T$12))&amp;":AA"&amp;(ROW()-1)))),1,0))=16),MIN(LOOKUP(,-1/($Z$12:Z1098=1),$C$12:C1098)+LOOKUP(,-1/($Z$12:Z1098=1),$H$12:H1098)-SUM(INDIRECT("T"&amp;(MAX((1=Z$12:Z1097)*ROW(Z$12:Z1097),ROW($T$12))&amp;":T"&amp;(ROW()-1)))),Первоначальный[[#This Row],[Полученный платеж]]+Y1097),
S1097&gt;0,MIN(LOOKUP(,-1/($Z$12:Z1098=1),$C$12:C1098)+LOOKUP(,-1/($Z$12:Z1098=1),$H$12:H1098)-IF(Z1097=1,0,SUM(INDIRECT("T"&amp;(MAX((1=Z$12:Z1097)*ROW(Z$12:Z1097)+1,ROW($T$12))&amp;":T"&amp;(ROW()-1))))),Первоначальный[[#This Row],[Полученный платеж]]+Y1097)
)
)
)</f>
        <v>0</v>
      </c>
      <c r="U109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платеж]]+Y1097-Первоначальный[[#This Row],[Полученный платёж по процентам]])</f>
        <v>0</v>
      </c>
      <c r="V1098" s="55">
        <f t="shared" ca="1" si="195"/>
        <v>0</v>
      </c>
      <c r="W1098" s="55" cm="1">
        <f t="array" aca="1" ref="W1098" ca="1">IF(Первоначальный[[#This Row],[Итого остаток на начало периода]]&lt;1,0,
_xlfn.IFS(
AND(TYPE(VLOOKUP(1,$Z$12:Z1098,1,0))=16,Первоначальный[[#This Row],[Досрочное погашение (да/"")]]=""),0,
AND(S1097=0,Первоначальный[[#This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платеж]]+Y1097-SUM(Первоначальный[[#This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комиссиям]]),VLOOKUP(LOOKUP(,-1/($Z$12:Z1098=1),$A$12:A1098),График[[Срок конец]:[Возврат основной суммы долга]],3,0)),
AND(S1097=0,Первоначальный[[#This Row],[Дата платежа из графика]]="",Первоначальный[[#This Row],[Досрочное погашение (да/"")]]&lt;&gt;"Да"),0,
AND(S1097=0,Первоначальный[[#This Row],[Досрочное погашение (да/"")]]=""),MIN(Первоначальный[[#This Row],[Полученный платеж]]+Y1097-SUM(Первоначальный[[#This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комиссиям]]),VLOOKUP(LOOKUP(,-1/($Z$12:Z1098=1),$A$12:A1098),График[[Срок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платеж]]+Y1097-SUM(Первоначальный[[#This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S1097&gt;0,MIN(Первоначальный[[#This Row],[Полученный платеж]]+Y1097-SUM(Первоначальный[[#This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комиссиям]]),SUM(INDIRECT("M"&amp;(MAX((1=S$12:S1097)*ROW(S$12:S1097),ROW($W$12))&amp;":M"&amp;(ROW()))))-SUM(INDIRECT("W"&amp;(MAX((1=S$12:S1097)*ROW(S$12:S1097),ROW($W$12))&amp;":W"&amp;(ROW()-1)))))
)
)</f>
        <v>0</v>
      </c>
      <c r="X1098" s="55">
        <f t="shared" ca="1" si="196"/>
        <v>0</v>
      </c>
      <c r="Y1098" s="101">
        <f t="shared" ca="1" si="203"/>
        <v>0</v>
      </c>
      <c r="Z1098" s="133" t="str">
        <f>IF(TYPE((VLOOKUP(Первоначальный[[#This Row],[Дата платежа]],График[Срок конец],1,0)))=16,"",1)</f>
        <v/>
      </c>
      <c r="AA1098" s="57"/>
      <c r="AB1098" s="134"/>
      <c r="AC109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9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78923.42999999992</v>
      </c>
      <c r="AE109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4601.6700000000028</v>
      </c>
      <c r="AF109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9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242934.26225901576</v>
      </c>
      <c r="AH1098" s="55"/>
      <c r="AI1098" s="55"/>
      <c r="AJ1098" s="55"/>
      <c r="AK1098" s="101">
        <f t="shared" ca="1" si="204"/>
        <v>476092.70225901564</v>
      </c>
      <c r="AL1098" s="129">
        <f t="array" ref="AL1098">MAX((УслРестрактов[Характеристика]="Дата реструктуризации")*(УслРестрактов[Значение]=Первоначальный!$A1098),0)</f>
        <v>0</v>
      </c>
    </row>
    <row r="1099" spans="1:38" x14ac:dyDescent="0.25">
      <c r="A1099" s="97">
        <f t="shared" si="197"/>
        <v>45230</v>
      </c>
      <c r="B1099" s="100">
        <f t="shared" ca="1" si="198"/>
        <v>149633.34</v>
      </c>
      <c r="C1099" s="55">
        <f t="shared" ca="1" si="206"/>
        <v>78923.42999999992</v>
      </c>
      <c r="D1099" s="55">
        <f t="shared" ca="1" si="206"/>
        <v>4601.6700000000028</v>
      </c>
      <c r="E1099" s="55">
        <f t="shared" ca="1" si="199"/>
        <v>0</v>
      </c>
      <c r="F1099" s="55">
        <f t="shared" ca="1" si="200"/>
        <v>242934.26225901576</v>
      </c>
      <c r="G1099" s="101">
        <f t="shared" ca="1" si="201"/>
        <v>476092.70225901564</v>
      </c>
      <c r="H1099" s="100">
        <f ca="1">ROUND($B1099*VLOOKUP($A1099,$A$1:$B$10,2,1)/(365+IF(MOD(YEAR($A1099),4),0,1)*($A1099-$A1098)),2)-Первоначальный[[#This Row],[Проценты на просроченный платеж по ОД за период]]</f>
        <v>71.67</v>
      </c>
      <c r="I1099" s="55">
        <f t="shared" ca="1" si="202"/>
        <v>9.91</v>
      </c>
      <c r="J1099" s="55">
        <v>0</v>
      </c>
      <c r="K1099" s="55">
        <f t="shared" ca="1" si="205"/>
        <v>477.93850327868847</v>
      </c>
      <c r="L1099" s="55">
        <v>0</v>
      </c>
      <c r="M1099" s="113">
        <f>SUMIFS(График[Возврат основной суммы долга],График[Дата с учетом нерабочих дней],$A1099)</f>
        <v>0</v>
      </c>
      <c r="N1099" s="56">
        <f>SUMIFS(График[Возврат начисленных %],График[Дата с учетом нерабочих дней],$A1099)</f>
        <v>0</v>
      </c>
      <c r="O1099" s="101">
        <v>0</v>
      </c>
      <c r="P1099" s="100" cm="1">
        <f t="array" aca="1" ref="P1099" ca="1">MAX(IF(AA1098="Да",0,SUM(INDIRECT("M"&amp;(MAX(("Да"=AA$12:AA1098)*ROW(AA$12:AA1098)+1,ROW($P$12))&amp;":M"&amp;(ROW()))))-SUM(INDIRECT("W"&amp;(MAX(("Да"=AA$12:AA1098)*ROW(AA$12:AA1098)+1,ROW($P$12))&amp;":W"&amp;(ROW()))))),0)</f>
        <v>18172.72</v>
      </c>
      <c r="Q1099" s="99">
        <f ca="1">MAX(SUM($N$13:N1099)-SUM($T$13:T1099),0)</f>
        <v>77414.980655737687</v>
      </c>
      <c r="R1099" s="99">
        <f ca="1">Первоначальный[[#This Row],[Просроченный платеж по ОД]]+Первоначальный[[#This Row],[Просроченный платеж по процентам]]</f>
        <v>95587.700655737688</v>
      </c>
      <c r="S1099" s="120">
        <f ca="1">IF(Первоначальный[[#This Row],[Просроченный платеж]]&lt;1,0,S1098+1)</f>
        <v>995</v>
      </c>
      <c r="T1099" s="100" cm="1">
        <f t="array" aca="1" ref="T1099" ca="1">IF(Первоначальный[[#This Row],[Итого остаток на начало периода]]&lt;1,0,
IF(
AND(TYPE(VLOOKUP(1,$Z$12:Z1099,1,0))=16,Первоначальный[[#This Row],[Досрочное погашение (да/"")]]=""),0,
_xlfn.IFS(AND(S1098=0,Первоначальный[[#This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платеж]]&lt;&gt;0),MIN(LOOKUP(,-1/($Z$12:Z1099=1),$C$12:C1099)+LOOKUP(,-1/($Z$12:Z1099=1),$H$12:H1099),Первоначальный[[#This Row],[Полученный платеж]]+Y1098),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платеж]]+Y1098,SUM(Первоначальный[[#This Row],[Остаток процентов на начало периода]],Первоначальный[[#This Row],[Проценты за период]])),
AND(S1098=0,Первоначальный[[#This Row],[Дата платежа из графика]]=""),0,
AND(S1098=0,Первоначальный[[#This Row],[Дата платежа из графика]]=1,MAX((0&lt;&gt;S$12:S1098)*ROW(S$12:S1098),ROW($S$12))&gt;=MAX((1=Z$12:Z1098)*ROW(Z$12:Z1098),ROW($T$12)),TYPE(VLOOKUP("Да",(INDIRECT("AA"&amp;(MAX((1=Z$12:Z1098)*ROW(Z$12:Z1098),ROW($T$12))&amp;":AA"&amp;(ROW()-1)))),1,0))=16),MIN(LOOKUP(,-1/($Z$12:Z1099=1),$C$12:C1099)+LOOKUP(,-1/($Z$12:Z1099=1),$H$12:H1099),Первоначальный[[#This Row],[Полученный платеж]]+Y1098),
AND(S1098=0,TYPE(VLOOKUP("Да",(INDIRECT("AA"&amp;(MAX((1=Z$12:Z1098)*ROW(Z$12:Z1098),ROW($T$12))&amp;":AA"&amp;(ROW()-1)))),1,0))&lt;&gt;16),MIN(LOOKUP(,-1/($Z$12:Z1099=1),$C$12:C1099)+LOOKUP(,-1/($Z$12:Z1099=1),$H$12:H1099)-IF(AA1098="Да",0,SUM(INDIRECT("T"&amp;(MAX(("Да"=AA$12:AA1098)*ROW(AA$12:AA1098)+1,ROW($T$12))&amp;":T"&amp;(ROW()-1))))),Первоначальный[[#This Row],[Полученный платеж]]+Y1098),
AND(S1098=0,MAX((0&lt;&gt;N$12:N1098)*ROW(N$12:N1098),ROW($S$12))&gt;=MAX((1=Z$12:Z1098)*ROW(Z$12:Z1098),ROW($T$12))),MIN(LOOKUP(,-1/($Z$12:Z1099=1),$C$12:C1099)+LOOKUP(,-1/($Z$12:Z1099=1),$H$12:H1099)-IF(N1098&lt;&gt;0,0,SUM(INDIRECT("T"&amp;(MAX((0&lt;&gt;N$12:N1098)*ROW(N$12:N1098)+1,ROW($T$12))&amp;":T"&amp;(ROW()-1))))),Первоначальный[[#This Row],[Полученный платеж]]+Y1098),
AND(S1098=0,Первоначальный[[#This Row],[Дата платежа из графика]]=1),MIN(LOOKUP(,-1/($Z$12:Z1099=1),$C$12:C1099)+LOOKUP(,-1/($Z$12:Z1099=1),$H$12:H1099)-IF(Z1098=1,0,SUM(INDIRECT("T"&amp;(MAX((1=Z$12:Z1098)*ROW(Z$12:Z1098)+1,ROW($T$12))&amp;":T"&amp;(ROW()-1))))),Первоначальный[[#This Row],[Полученный платеж]]+Y1098),
AND(Z1098&gt;0,Первоначальный[[#This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платеж]]+Y1098),
AND(S1098&gt;0,MAX((0&lt;&gt;S$12:S1098)*ROW(S$12:S1098),ROW($S$12))&gt;=MAX((1=Z$12:Z1098)*ROW(Z$12:Z1098),ROW($T$12)),TYPE(VLOOKUP("Да",(INDIRECT("AA"&amp;(MAX((1=Z$12:Z1098)*ROW(Z$12:Z1098),ROW($T$12))&amp;":AA"&amp;(ROW()-1)))),1,0))=16),MIN(LOOKUP(,-1/($Z$12:Z1099=1),$C$12:C1099)+LOOKUP(,-1/($Z$12:Z1099=1),$H$12:H1099)-SUM(INDIRECT("T"&amp;(MAX((1=Z$12:Z1098)*ROW(Z$12:Z1098),ROW($T$12))&amp;":T"&amp;(ROW()-1)))),Первоначальный[[#This Row],[Полученный платеж]]+Y1098),
S1098&gt;0,MIN(LOOKUP(,-1/($Z$12:Z1099=1),$C$12:C1099)+LOOKUP(,-1/($Z$12:Z1099=1),$H$12:H1099)-IF(Z1098=1,0,SUM(INDIRECT("T"&amp;(MAX((1=Z$12:Z1098)*ROW(Z$12:Z1098)+1,ROW($T$12))&amp;":T"&amp;(ROW()-1))))),Первоначальный[[#This Row],[Полученный платеж]]+Y1098)
)
)
)</f>
        <v>0</v>
      </c>
      <c r="U109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платеж]]+Y1098-Первоначальный[[#This Row],[Полученный платёж по процентам]])</f>
        <v>0</v>
      </c>
      <c r="V1099" s="55">
        <f t="shared" ca="1" si="195"/>
        <v>0</v>
      </c>
      <c r="W1099" s="55" cm="1">
        <f t="array" aca="1" ref="W1099" ca="1">IF(Первоначальный[[#This Row],[Итого остаток на начало периода]]&lt;1,0,
_xlfn.IFS(
AND(TYPE(VLOOKUP(1,$Z$12:Z1099,1,0))=16,Первоначальный[[#This Row],[Досрочное погашение (да/"")]]=""),0,
AND(S1098=0,Первоначальный[[#This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платеж]]+Y1098-SUM(Первоначальный[[#This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комиссиям]]),VLOOKUP(LOOKUP(,-1/($Z$12:Z1099=1),$A$12:A1099),График[[Срок конец]:[Возврат основной суммы долга]],3,0)),
AND(S1098=0,Первоначальный[[#This Row],[Дата платежа из графика]]="",Первоначальный[[#This Row],[Досрочное погашение (да/"")]]&lt;&gt;"Да"),0,
AND(S1098=0,Первоначальный[[#This Row],[Досрочное погашение (да/"")]]=""),MIN(Первоначальный[[#This Row],[Полученный платеж]]+Y1098-SUM(Первоначальный[[#This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комиссиям]]),VLOOKUP(LOOKUP(,-1/($Z$12:Z1099=1),$A$12:A1099),График[[Срок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платеж]]+Y1098-SUM(Первоначальный[[#This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S1098&gt;0,MIN(Первоначальный[[#This Row],[Полученный платеж]]+Y1098-SUM(Первоначальный[[#This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комиссиям]]),SUM(INDIRECT("M"&amp;(MAX((1=S$12:S1098)*ROW(S$12:S1098),ROW($W$12))&amp;":M"&amp;(ROW()))))-SUM(INDIRECT("W"&amp;(MAX((1=S$12:S1098)*ROW(S$12:S1098),ROW($W$12))&amp;":W"&amp;(ROW()-1)))))
)
)</f>
        <v>0</v>
      </c>
      <c r="X1099" s="55">
        <f t="shared" ca="1" si="196"/>
        <v>0</v>
      </c>
      <c r="Y1099" s="101">
        <f t="shared" ca="1" si="203"/>
        <v>0</v>
      </c>
      <c r="Z1099" s="133" t="str">
        <f>IF(TYPE((VLOOKUP(Первоначальный[[#This Row],[Дата платежа]],График[Срок конец],1,0)))=16,"",1)</f>
        <v/>
      </c>
      <c r="AA1099" s="57"/>
      <c r="AB1099" s="134"/>
      <c r="AC109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09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78995.099999999919</v>
      </c>
      <c r="AE109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4611.5800000000027</v>
      </c>
      <c r="AF109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09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243412.20076229444</v>
      </c>
      <c r="AH1099" s="55"/>
      <c r="AI1099" s="55"/>
      <c r="AJ1099" s="55"/>
      <c r="AK1099" s="101">
        <f t="shared" ca="1" si="204"/>
        <v>476652.22076229437</v>
      </c>
      <c r="AL1099" s="129">
        <f t="array" ref="AL1099">MAX((УслРестрактов[Характеристика]="Дата реструктуризации")*(УслРестрактов[Значение]=Первоначальный!$A1099),0)</f>
        <v>0</v>
      </c>
    </row>
    <row r="1100" spans="1:38" x14ac:dyDescent="0.25">
      <c r="A1100" s="97">
        <f t="shared" si="197"/>
        <v>45231</v>
      </c>
      <c r="B1100" s="100">
        <f t="shared" ca="1" si="198"/>
        <v>149633.34</v>
      </c>
      <c r="C1100" s="55">
        <f t="shared" ca="1" si="206"/>
        <v>78995.099999999919</v>
      </c>
      <c r="D1100" s="55">
        <f t="shared" ca="1" si="206"/>
        <v>4611.5800000000027</v>
      </c>
      <c r="E1100" s="55">
        <f t="shared" ca="1" si="199"/>
        <v>0</v>
      </c>
      <c r="F1100" s="55">
        <f t="shared" ca="1" si="200"/>
        <v>243412.20076229444</v>
      </c>
      <c r="G1100" s="101">
        <f t="shared" ca="1" si="201"/>
        <v>476652.22076229437</v>
      </c>
      <c r="H1100" s="100">
        <f ca="1">ROUND($B1100*VLOOKUP($A1100,$A$1:$B$10,2,1)/(365+IF(MOD(YEAR($A1100),4),0,1)*($A1100-$A1099)),2)-Первоначальный[[#This Row],[Проценты на просроченный платеж по ОД за период]]</f>
        <v>71.67</v>
      </c>
      <c r="I1100" s="55">
        <f t="shared" ca="1" si="202"/>
        <v>9.91</v>
      </c>
      <c r="J1100" s="55">
        <v>0</v>
      </c>
      <c r="K1100" s="55">
        <f t="shared" ca="1" si="205"/>
        <v>477.93850327868847</v>
      </c>
      <c r="L1100" s="55">
        <v>0</v>
      </c>
      <c r="M1100" s="113">
        <f>SUMIFS(График[Возврат основной суммы долга],График[Дата с учетом нерабочих дней],$A1100)</f>
        <v>0</v>
      </c>
      <c r="N1100" s="56">
        <f>SUMIFS(График[Возврат начисленных %],График[Дата с учетом нерабочих дней],$A1100)</f>
        <v>0</v>
      </c>
      <c r="O1100" s="101">
        <v>0</v>
      </c>
      <c r="P1100" s="100" cm="1">
        <f t="array" aca="1" ref="P1100" ca="1">MAX(IF(AA1099="Да",0,SUM(INDIRECT("M"&amp;(MAX(("Да"=AA$12:AA1099)*ROW(AA$12:AA1099)+1,ROW($P$12))&amp;":M"&amp;(ROW()))))-SUM(INDIRECT("W"&amp;(MAX(("Да"=AA$12:AA1099)*ROW(AA$12:AA1099)+1,ROW($P$12))&amp;":W"&amp;(ROW()))))),0)</f>
        <v>18172.72</v>
      </c>
      <c r="Q1100" s="99">
        <f ca="1">MAX(SUM($N$13:N1100)-SUM($T$13:T1100),0)</f>
        <v>77414.980655737687</v>
      </c>
      <c r="R1100" s="99">
        <f ca="1">Первоначальный[[#This Row],[Просроченный платеж по ОД]]+Первоначальный[[#This Row],[Просроченный платеж по процентам]]</f>
        <v>95587.700655737688</v>
      </c>
      <c r="S1100" s="120">
        <f ca="1">IF(Первоначальный[[#This Row],[Просроченный платеж]]&lt;1,0,S1099+1)</f>
        <v>996</v>
      </c>
      <c r="T1100" s="100" cm="1">
        <f t="array" aca="1" ref="T1100" ca="1">IF(Первоначальный[[#This Row],[Итого остаток на начало периода]]&lt;1,0,
IF(
AND(TYPE(VLOOKUP(1,$Z$12:Z1100,1,0))=16,Первоначальный[[#This Row],[Досрочное погашение (да/"")]]=""),0,
_xlfn.IFS(AND(S1099=0,Первоначальный[[#This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платеж]]&lt;&gt;0),MIN(LOOKUP(,-1/($Z$12:Z1100=1),$C$12:C1100)+LOOKUP(,-1/($Z$12:Z1100=1),$H$12:H1100),Первоначальный[[#This Row],[Полученный платеж]]+Y1099),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платеж]]+Y1099,SUM(Первоначальный[[#This Row],[Остаток процентов на начало периода]],Первоначальный[[#This Row],[Проценты за период]])),
AND(S1099=0,Первоначальный[[#This Row],[Дата платежа из графика]]=""),0,
AND(S1099=0,Первоначальный[[#This Row],[Дата платежа из графика]]=1,MAX((0&lt;&gt;S$12:S1099)*ROW(S$12:S1099),ROW($S$12))&gt;=MAX((1=Z$12:Z1099)*ROW(Z$12:Z1099),ROW($T$12)),TYPE(VLOOKUP("Да",(INDIRECT("AA"&amp;(MAX((1=Z$12:Z1099)*ROW(Z$12:Z1099),ROW($T$12))&amp;":AA"&amp;(ROW()-1)))),1,0))=16),MIN(LOOKUP(,-1/($Z$12:Z1100=1),$C$12:C1100)+LOOKUP(,-1/($Z$12:Z1100=1),$H$12:H1100),Первоначальный[[#This Row],[Полученный платеж]]+Y1099),
AND(S1099=0,TYPE(VLOOKUP("Да",(INDIRECT("AA"&amp;(MAX((1=Z$12:Z1099)*ROW(Z$12:Z1099),ROW($T$12))&amp;":AA"&amp;(ROW()-1)))),1,0))&lt;&gt;16),MIN(LOOKUP(,-1/($Z$12:Z1100=1),$C$12:C1100)+LOOKUP(,-1/($Z$12:Z1100=1),$H$12:H1100)-IF(AA1099="Да",0,SUM(INDIRECT("T"&amp;(MAX(("Да"=AA$12:AA1099)*ROW(AA$12:AA1099)+1,ROW($T$12))&amp;":T"&amp;(ROW()-1))))),Первоначальный[[#This Row],[Полученный платеж]]+Y1099),
AND(S1099=0,MAX((0&lt;&gt;N$12:N1099)*ROW(N$12:N1099),ROW($S$12))&gt;=MAX((1=Z$12:Z1099)*ROW(Z$12:Z1099),ROW($T$12))),MIN(LOOKUP(,-1/($Z$12:Z1100=1),$C$12:C1100)+LOOKUP(,-1/($Z$12:Z1100=1),$H$12:H1100)-IF(N1099&lt;&gt;0,0,SUM(INDIRECT("T"&amp;(MAX((0&lt;&gt;N$12:N1099)*ROW(N$12:N1099)+1,ROW($T$12))&amp;":T"&amp;(ROW()-1))))),Первоначальный[[#This Row],[Полученный платеж]]+Y1099),
AND(S1099=0,Первоначальный[[#This Row],[Дата платежа из графика]]=1),MIN(LOOKUP(,-1/($Z$12:Z1100=1),$C$12:C1100)+LOOKUP(,-1/($Z$12:Z1100=1),$H$12:H1100)-IF(Z1099=1,0,SUM(INDIRECT("T"&amp;(MAX((1=Z$12:Z1099)*ROW(Z$12:Z1099)+1,ROW($T$12))&amp;":T"&amp;(ROW()-1))))),Первоначальный[[#This Row],[Полученный платеж]]+Y1099),
AND(Z1099&gt;0,Первоначальный[[#This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платеж]]+Y1099),
AND(S1099&gt;0,MAX((0&lt;&gt;S$12:S1099)*ROW(S$12:S1099),ROW($S$12))&gt;=MAX((1=Z$12:Z1099)*ROW(Z$12:Z1099),ROW($T$12)),TYPE(VLOOKUP("Да",(INDIRECT("AA"&amp;(MAX((1=Z$12:Z1099)*ROW(Z$12:Z1099),ROW($T$12))&amp;":AA"&amp;(ROW()-1)))),1,0))=16),MIN(LOOKUP(,-1/($Z$12:Z1100=1),$C$12:C1100)+LOOKUP(,-1/($Z$12:Z1100=1),$H$12:H1100)-SUM(INDIRECT("T"&amp;(MAX((1=Z$12:Z1099)*ROW(Z$12:Z1099),ROW($T$12))&amp;":T"&amp;(ROW()-1)))),Первоначальный[[#This Row],[Полученный платеж]]+Y1099),
S1099&gt;0,MIN(LOOKUP(,-1/($Z$12:Z1100=1),$C$12:C1100)+LOOKUP(,-1/($Z$12:Z1100=1),$H$12:H1100)-IF(Z1099=1,0,SUM(INDIRECT("T"&amp;(MAX((1=Z$12:Z1099)*ROW(Z$12:Z1099)+1,ROW($T$12))&amp;":T"&amp;(ROW()-1))))),Первоначальный[[#This Row],[Полученный платеж]]+Y1099)
)
)
)</f>
        <v>0</v>
      </c>
      <c r="U110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платеж]]+Y1099-Первоначальный[[#This Row],[Полученный платёж по процентам]])</f>
        <v>0</v>
      </c>
      <c r="V1100" s="55">
        <f t="shared" ca="1" si="195"/>
        <v>0</v>
      </c>
      <c r="W1100" s="55" cm="1">
        <f t="array" aca="1" ref="W1100" ca="1">IF(Первоначальный[[#This Row],[Итого остаток на начало периода]]&lt;1,0,
_xlfn.IFS(
AND(TYPE(VLOOKUP(1,$Z$12:Z1100,1,0))=16,Первоначальный[[#This Row],[Досрочное погашение (да/"")]]=""),0,
AND(S1099=0,Первоначальный[[#This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платеж]]+Y1099-SUM(Первоначальный[[#This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комиссиям]]),VLOOKUP(LOOKUP(,-1/($Z$12:Z1100=1),$A$12:A1100),График[[Срок конец]:[Возврат основной суммы долга]],3,0)),
AND(S1099=0,Первоначальный[[#This Row],[Дата платежа из графика]]="",Первоначальный[[#This Row],[Досрочное погашение (да/"")]]&lt;&gt;"Да"),0,
AND(S1099=0,Первоначальный[[#This Row],[Досрочное погашение (да/"")]]=""),MIN(Первоначальный[[#This Row],[Полученный платеж]]+Y1099-SUM(Первоначальный[[#This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комиссиям]]),VLOOKUP(LOOKUP(,-1/($Z$12:Z1100=1),$A$12:A1100),График[[Срок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платеж]]+Y1099-SUM(Первоначальный[[#This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S1099&gt;0,MIN(Первоначальный[[#This Row],[Полученный платеж]]+Y1099-SUM(Первоначальный[[#This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комиссиям]]),SUM(INDIRECT("M"&amp;(MAX((1=S$12:S1099)*ROW(S$12:S1099),ROW($W$12))&amp;":M"&amp;(ROW()))))-SUM(INDIRECT("W"&amp;(MAX((1=S$12:S1099)*ROW(S$12:S1099),ROW($W$12))&amp;":W"&amp;(ROW()-1)))))
)
)</f>
        <v>0</v>
      </c>
      <c r="X1100" s="55">
        <f t="shared" ca="1" si="196"/>
        <v>0</v>
      </c>
      <c r="Y1100" s="101">
        <f t="shared" ca="1" si="203"/>
        <v>0</v>
      </c>
      <c r="Z1100" s="133" t="str">
        <f>IF(TYPE((VLOOKUP(Первоначальный[[#This Row],[Дата платежа]],График[Срок конец],1,0)))=16,"",1)</f>
        <v/>
      </c>
      <c r="AA1100" s="57"/>
      <c r="AB1100" s="134"/>
      <c r="AC110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0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79066.769999999917</v>
      </c>
      <c r="AE110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4621.4900000000025</v>
      </c>
      <c r="AF110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0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243890.13926557312</v>
      </c>
      <c r="AH1100" s="55"/>
      <c r="AI1100" s="55"/>
      <c r="AJ1100" s="55"/>
      <c r="AK1100" s="101">
        <f t="shared" ca="1" si="204"/>
        <v>477211.73926557304</v>
      </c>
      <c r="AL1100" s="129">
        <f t="array" ref="AL1100">MAX((УслРестрактов[Характеристика]="Дата реструктуризации")*(УслРестрактов[Значение]=Первоначальный!$A1100),0)</f>
        <v>0</v>
      </c>
    </row>
    <row r="1101" spans="1:38" x14ac:dyDescent="0.25">
      <c r="A1101" s="97">
        <f t="shared" si="197"/>
        <v>45232</v>
      </c>
      <c r="B1101" s="100">
        <f t="shared" ca="1" si="198"/>
        <v>149633.34</v>
      </c>
      <c r="C1101" s="55">
        <f t="shared" ca="1" si="206"/>
        <v>79066.769999999917</v>
      </c>
      <c r="D1101" s="55">
        <f t="shared" ca="1" si="206"/>
        <v>4621.4900000000025</v>
      </c>
      <c r="E1101" s="55">
        <f t="shared" ca="1" si="199"/>
        <v>0</v>
      </c>
      <c r="F1101" s="55">
        <f t="shared" ca="1" si="200"/>
        <v>243890.13926557312</v>
      </c>
      <c r="G1101" s="101">
        <f t="shared" ca="1" si="201"/>
        <v>477211.73926557304</v>
      </c>
      <c r="H1101" s="100">
        <f ca="1">ROUND($B1101*VLOOKUP($A1101,$A$1:$B$10,2,1)/(365+IF(MOD(YEAR($A1101),4),0,1)*($A1101-$A1100)),2)-Первоначальный[[#This Row],[Проценты на просроченный платеж по ОД за период]]</f>
        <v>71.67</v>
      </c>
      <c r="I1101" s="55">
        <f t="shared" ca="1" si="202"/>
        <v>9.91</v>
      </c>
      <c r="J1101" s="55">
        <v>0</v>
      </c>
      <c r="K1101" s="55">
        <f t="shared" ca="1" si="205"/>
        <v>477.93850327868847</v>
      </c>
      <c r="L1101" s="55">
        <v>0</v>
      </c>
      <c r="M1101" s="113">
        <f>SUMIFS(График[Возврат основной суммы долга],График[Дата с учетом нерабочих дней],$A1101)</f>
        <v>0</v>
      </c>
      <c r="N1101" s="56">
        <f>SUMIFS(График[Возврат начисленных %],График[Дата с учетом нерабочих дней],$A1101)</f>
        <v>0</v>
      </c>
      <c r="O1101" s="101">
        <v>0</v>
      </c>
      <c r="P1101" s="100" cm="1">
        <f t="array" aca="1" ref="P1101" ca="1">MAX(IF(AA1100="Да",0,SUM(INDIRECT("M"&amp;(MAX(("Да"=AA$12:AA1100)*ROW(AA$12:AA1100)+1,ROW($P$12))&amp;":M"&amp;(ROW()))))-SUM(INDIRECT("W"&amp;(MAX(("Да"=AA$12:AA1100)*ROW(AA$12:AA1100)+1,ROW($P$12))&amp;":W"&amp;(ROW()))))),0)</f>
        <v>18172.72</v>
      </c>
      <c r="Q1101" s="99">
        <f ca="1">MAX(SUM($N$13:N1101)-SUM($T$13:T1101),0)</f>
        <v>77414.980655737687</v>
      </c>
      <c r="R1101" s="99">
        <f ca="1">Первоначальный[[#This Row],[Просроченный платеж по ОД]]+Первоначальный[[#This Row],[Просроченный платеж по процентам]]</f>
        <v>95587.700655737688</v>
      </c>
      <c r="S1101" s="120">
        <f ca="1">IF(Первоначальный[[#This Row],[Просроченный платеж]]&lt;1,0,S1100+1)</f>
        <v>997</v>
      </c>
      <c r="T1101" s="100" cm="1">
        <f t="array" aca="1" ref="T1101" ca="1">IF(Первоначальный[[#This Row],[Итого остаток на начало периода]]&lt;1,0,
IF(
AND(TYPE(VLOOKUP(1,$Z$12:Z1101,1,0))=16,Первоначальный[[#This Row],[Досрочное погашение (да/"")]]=""),0,
_xlfn.IFS(AND(S1100=0,Первоначальный[[#This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платеж]]&lt;&gt;0),MIN(LOOKUP(,-1/($Z$12:Z1101=1),$C$12:C1101)+LOOKUP(,-1/($Z$12:Z1101=1),$H$12:H1101),Первоначальный[[#This Row],[Полученный платеж]]+Y1100),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платеж]]+Y1100,SUM(Первоначальный[[#This Row],[Остаток процентов на начало периода]],Первоначальный[[#This Row],[Проценты за период]])),
AND(S1100=0,Первоначальный[[#This Row],[Дата платежа из графика]]=""),0,
AND(S1100=0,Первоначальный[[#This Row],[Дата платежа из графика]]=1,MAX((0&lt;&gt;S$12:S1100)*ROW(S$12:S1100),ROW($S$12))&gt;=MAX((1=Z$12:Z1100)*ROW(Z$12:Z1100),ROW($T$12)),TYPE(VLOOKUP("Да",(INDIRECT("AA"&amp;(MAX((1=Z$12:Z1100)*ROW(Z$12:Z1100),ROW($T$12))&amp;":AA"&amp;(ROW()-1)))),1,0))=16),MIN(LOOKUP(,-1/($Z$12:Z1101=1),$C$12:C1101)+LOOKUP(,-1/($Z$12:Z1101=1),$H$12:H1101),Первоначальный[[#This Row],[Полученный платеж]]+Y1100),
AND(S1100=0,TYPE(VLOOKUP("Да",(INDIRECT("AA"&amp;(MAX((1=Z$12:Z1100)*ROW(Z$12:Z1100),ROW($T$12))&amp;":AA"&amp;(ROW()-1)))),1,0))&lt;&gt;16),MIN(LOOKUP(,-1/($Z$12:Z1101=1),$C$12:C1101)+LOOKUP(,-1/($Z$12:Z1101=1),$H$12:H1101)-IF(AA1100="Да",0,SUM(INDIRECT("T"&amp;(MAX(("Да"=AA$12:AA1100)*ROW(AA$12:AA1100)+1,ROW($T$12))&amp;":T"&amp;(ROW()-1))))),Первоначальный[[#This Row],[Полученный платеж]]+Y1100),
AND(S1100=0,MAX((0&lt;&gt;N$12:N1100)*ROW(N$12:N1100),ROW($S$12))&gt;=MAX((1=Z$12:Z1100)*ROW(Z$12:Z1100),ROW($T$12))),MIN(LOOKUP(,-1/($Z$12:Z1101=1),$C$12:C1101)+LOOKUP(,-1/($Z$12:Z1101=1),$H$12:H1101)-IF(N1100&lt;&gt;0,0,SUM(INDIRECT("T"&amp;(MAX((0&lt;&gt;N$12:N1100)*ROW(N$12:N1100)+1,ROW($T$12))&amp;":T"&amp;(ROW()-1))))),Первоначальный[[#This Row],[Полученный платеж]]+Y1100),
AND(S1100=0,Первоначальный[[#This Row],[Дата платежа из графика]]=1),MIN(LOOKUP(,-1/($Z$12:Z1101=1),$C$12:C1101)+LOOKUP(,-1/($Z$12:Z1101=1),$H$12:H1101)-IF(Z1100=1,0,SUM(INDIRECT("T"&amp;(MAX((1=Z$12:Z1100)*ROW(Z$12:Z1100)+1,ROW($T$12))&amp;":T"&amp;(ROW()-1))))),Первоначальный[[#This Row],[Полученный платеж]]+Y1100),
AND(Z1100&gt;0,Первоначальный[[#This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платеж]]+Y1100),
AND(S1100&gt;0,MAX((0&lt;&gt;S$12:S1100)*ROW(S$12:S1100),ROW($S$12))&gt;=MAX((1=Z$12:Z1100)*ROW(Z$12:Z1100),ROW($T$12)),TYPE(VLOOKUP("Да",(INDIRECT("AA"&amp;(MAX((1=Z$12:Z1100)*ROW(Z$12:Z1100),ROW($T$12))&amp;":AA"&amp;(ROW()-1)))),1,0))=16),MIN(LOOKUP(,-1/($Z$12:Z1101=1),$C$12:C1101)+LOOKUP(,-1/($Z$12:Z1101=1),$H$12:H1101)-SUM(INDIRECT("T"&amp;(MAX((1=Z$12:Z1100)*ROW(Z$12:Z1100),ROW($T$12))&amp;":T"&amp;(ROW()-1)))),Первоначальный[[#This Row],[Полученный платеж]]+Y1100),
S1100&gt;0,MIN(LOOKUP(,-1/($Z$12:Z1101=1),$C$12:C1101)+LOOKUP(,-1/($Z$12:Z1101=1),$H$12:H1101)-IF(Z1100=1,0,SUM(INDIRECT("T"&amp;(MAX((1=Z$12:Z1100)*ROW(Z$12:Z1100)+1,ROW($T$12))&amp;":T"&amp;(ROW()-1))))),Первоначальный[[#This Row],[Полученный платеж]]+Y1100)
)
)
)</f>
        <v>0</v>
      </c>
      <c r="U110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платеж]]+Y1100-Первоначальный[[#This Row],[Полученный платёж по процентам]])</f>
        <v>0</v>
      </c>
      <c r="V1101" s="55">
        <f t="shared" ref="V1101:V1164" ca="1" si="207">MAX(MIN(SUM(O1101,Y1100)-SUM(T1101:T1101),SUM(E1101,J1101)),0)</f>
        <v>0</v>
      </c>
      <c r="W1101" s="55" cm="1">
        <f t="array" aca="1" ref="W1101" ca="1">IF(Первоначальный[[#This Row],[Итого остаток на начало периода]]&lt;1,0,
_xlfn.IFS(
AND(TYPE(VLOOKUP(1,$Z$12:Z1101,1,0))=16,Первоначальный[[#This Row],[Досрочное погашение (да/"")]]=""),0,
AND(S1100=0,Первоначальный[[#This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платеж]]+Y1100-SUM(Первоначальный[[#This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комиссиям]]),VLOOKUP(LOOKUP(,-1/($Z$12:Z1101=1),$A$12:A1101),График[[Срок конец]:[Возврат основной суммы долга]],3,0)),
AND(S1100=0,Первоначальный[[#This Row],[Дата платежа из графика]]="",Первоначальный[[#This Row],[Досрочное погашение (да/"")]]&lt;&gt;"Да"),0,
AND(S1100=0,Первоначальный[[#This Row],[Досрочное погашение (да/"")]]=""),MIN(Первоначальный[[#This Row],[Полученный платеж]]+Y1100-SUM(Первоначальный[[#This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комиссиям]]),VLOOKUP(LOOKUP(,-1/($Z$12:Z1101=1),$A$12:A1101),График[[Срок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платеж]]+Y1100-SUM(Первоначальный[[#This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S1100&gt;0,MIN(Первоначальный[[#This Row],[Полученный платеж]]+Y1100-SUM(Первоначальный[[#This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комиссиям]]),SUM(INDIRECT("M"&amp;(MAX((1=S$12:S1100)*ROW(S$12:S1100),ROW($W$12))&amp;":M"&amp;(ROW()))))-SUM(INDIRECT("W"&amp;(MAX((1=S$12:S1100)*ROW(S$12:S1100),ROW($W$12))&amp;":W"&amp;(ROW()-1)))))
)
)</f>
        <v>0</v>
      </c>
      <c r="X1101" s="55">
        <f t="shared" ref="X1101:X1164" ca="1" si="208">MAX(MIN(SUM(O1101,Y1100)-SUM(T1101:W1101),SUM(F1101,K1101)),0)</f>
        <v>0</v>
      </c>
      <c r="Y1101" s="101">
        <f t="shared" ca="1" si="203"/>
        <v>0</v>
      </c>
      <c r="Z1101" s="133" t="str">
        <f>IF(TYPE((VLOOKUP(Первоначальный[[#This Row],[Дата платежа]],График[Срок конец],1,0)))=16,"",1)</f>
        <v/>
      </c>
      <c r="AA1101" s="57"/>
      <c r="AB1101" s="134"/>
      <c r="AC110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0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79138.439999999915</v>
      </c>
      <c r="AE110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4631.4000000000024</v>
      </c>
      <c r="AF110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0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244368.0777688518</v>
      </c>
      <c r="AH1101" s="55"/>
      <c r="AI1101" s="55"/>
      <c r="AJ1101" s="55"/>
      <c r="AK1101" s="101">
        <f t="shared" ca="1" si="204"/>
        <v>477771.2577688517</v>
      </c>
      <c r="AL1101" s="129">
        <f t="array" ref="AL1101">MAX((УслРестрактов[Характеристика]="Дата реструктуризации")*(УслРестрактов[Значение]=Первоначальный!$A1101),0)</f>
        <v>0</v>
      </c>
    </row>
    <row r="1102" spans="1:38" x14ac:dyDescent="0.25">
      <c r="A1102" s="97">
        <f t="shared" ref="A1102:A1165" si="209">A1101+1</f>
        <v>45233</v>
      </c>
      <c r="B1102" s="100">
        <f t="shared" ref="B1102:B1165" ca="1" si="210">AC1101</f>
        <v>149633.34</v>
      </c>
      <c r="C1102" s="55">
        <f t="shared" ca="1" si="206"/>
        <v>79138.439999999915</v>
      </c>
      <c r="D1102" s="55">
        <f t="shared" ca="1" si="206"/>
        <v>4631.4000000000024</v>
      </c>
      <c r="E1102" s="55">
        <f t="shared" ref="E1102:E1165" ca="1" si="211">AF1101</f>
        <v>0</v>
      </c>
      <c r="F1102" s="55">
        <f t="shared" ref="F1102:F1165" ca="1" si="212">AG1101+AH1101</f>
        <v>244368.0777688518</v>
      </c>
      <c r="G1102" s="101">
        <f t="shared" ref="G1102:G1165" ca="1" si="213">AK1101</f>
        <v>477771.2577688517</v>
      </c>
      <c r="H1102" s="100">
        <f ca="1">ROUND($B1102*VLOOKUP($A1102,$A$1:$B$10,2,1)/(365+IF(MOD(YEAR($A1102),4),0,1)*($A1102-$A1101)),2)-Первоначальный[[#This Row],[Проценты на просроченный платеж по ОД за период]]</f>
        <v>71.67</v>
      </c>
      <c r="I1102" s="55">
        <f t="shared" ref="I1102:I1165" ca="1" si="214">ROUND(P1101*VLOOKUP($A1102,$A$1:$B$10,2,1)/(365+IF(MOD(YEAR($A1102),4),0,1)*($A1102-$A1101)),2)</f>
        <v>9.91</v>
      </c>
      <c r="J1102" s="55">
        <v>0</v>
      </c>
      <c r="K1102" s="55">
        <f t="shared" ca="1" si="205"/>
        <v>477.93850327868847</v>
      </c>
      <c r="L1102" s="55">
        <v>0</v>
      </c>
      <c r="M1102" s="113">
        <f>SUMIFS(График[Возврат основной суммы долга],График[Дата с учетом нерабочих дней],$A1102)</f>
        <v>0</v>
      </c>
      <c r="N1102" s="56">
        <f>SUMIFS(График[Возврат начисленных %],График[Дата с учетом нерабочих дней],$A1102)</f>
        <v>0</v>
      </c>
      <c r="O1102" s="101">
        <v>0</v>
      </c>
      <c r="P1102" s="100" cm="1">
        <f t="array" aca="1" ref="P1102" ca="1">MAX(IF(AA1101="Да",0,SUM(INDIRECT("M"&amp;(MAX(("Да"=AA$12:AA1101)*ROW(AA$12:AA1101)+1,ROW($P$12))&amp;":M"&amp;(ROW()))))-SUM(INDIRECT("W"&amp;(MAX(("Да"=AA$12:AA1101)*ROW(AA$12:AA1101)+1,ROW($P$12))&amp;":W"&amp;(ROW()))))),0)</f>
        <v>18172.72</v>
      </c>
      <c r="Q1102" s="99">
        <f ca="1">MAX(SUM($N$13:N1102)-SUM($T$13:T1102),0)</f>
        <v>77414.980655737687</v>
      </c>
      <c r="R1102" s="99">
        <f ca="1">Первоначальный[[#This Row],[Просроченный платеж по ОД]]+Первоначальный[[#This Row],[Просроченный платеж по процентам]]</f>
        <v>95587.700655737688</v>
      </c>
      <c r="S1102" s="120">
        <f ca="1">IF(Первоначальный[[#This Row],[Просроченный платеж]]&lt;1,0,S1101+1)</f>
        <v>998</v>
      </c>
      <c r="T1102" s="100" cm="1">
        <f t="array" aca="1" ref="T1102" ca="1">IF(Первоначальный[[#This Row],[Итого остаток на начало периода]]&lt;1,0,
IF(
AND(TYPE(VLOOKUP(1,$Z$12:Z1102,1,0))=16,Первоначальный[[#This Row],[Досрочное погашение (да/"")]]=""),0,
_xlfn.IFS(AND(S1101=0,Первоначальный[[#This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платеж]]&lt;&gt;0),MIN(LOOKUP(,-1/($Z$12:Z1102=1),$C$12:C1102)+LOOKUP(,-1/($Z$12:Z1102=1),$H$12:H1102),Первоначальный[[#This Row],[Полученный платеж]]+Y1101),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платеж]]+Y1101,SUM(Первоначальный[[#This Row],[Остаток процентов на начало периода]],Первоначальный[[#This Row],[Проценты за период]])),
AND(S1101=0,Первоначальный[[#This Row],[Дата платежа из графика]]=""),0,
AND(S1101=0,Первоначальный[[#This Row],[Дата платежа из графика]]=1,MAX((0&lt;&gt;S$12:S1101)*ROW(S$12:S1101),ROW($S$12))&gt;=MAX((1=Z$12:Z1101)*ROW(Z$12:Z1101),ROW($T$12)),TYPE(VLOOKUP("Да",(INDIRECT("AA"&amp;(MAX((1=Z$12:Z1101)*ROW(Z$12:Z1101),ROW($T$12))&amp;":AA"&amp;(ROW()-1)))),1,0))=16),MIN(LOOKUP(,-1/($Z$12:Z1102=1),$C$12:C1102)+LOOKUP(,-1/($Z$12:Z1102=1),$H$12:H1102),Первоначальный[[#This Row],[Полученный платеж]]+Y1101),
AND(S1101=0,TYPE(VLOOKUP("Да",(INDIRECT("AA"&amp;(MAX((1=Z$12:Z1101)*ROW(Z$12:Z1101),ROW($T$12))&amp;":AA"&amp;(ROW()-1)))),1,0))&lt;&gt;16),MIN(LOOKUP(,-1/($Z$12:Z1102=1),$C$12:C1102)+LOOKUP(,-1/($Z$12:Z1102=1),$H$12:H1102)-IF(AA1101="Да",0,SUM(INDIRECT("T"&amp;(MAX(("Да"=AA$12:AA1101)*ROW(AA$12:AA1101)+1,ROW($T$12))&amp;":T"&amp;(ROW()-1))))),Первоначальный[[#This Row],[Полученный платеж]]+Y1101),
AND(S1101=0,MAX((0&lt;&gt;N$12:N1101)*ROW(N$12:N1101),ROW($S$12))&gt;=MAX((1=Z$12:Z1101)*ROW(Z$12:Z1101),ROW($T$12))),MIN(LOOKUP(,-1/($Z$12:Z1102=1),$C$12:C1102)+LOOKUP(,-1/($Z$12:Z1102=1),$H$12:H1102)-IF(N1101&lt;&gt;0,0,SUM(INDIRECT("T"&amp;(MAX((0&lt;&gt;N$12:N1101)*ROW(N$12:N1101)+1,ROW($T$12))&amp;":T"&amp;(ROW()-1))))),Первоначальный[[#This Row],[Полученный платеж]]+Y1101),
AND(S1101=0,Первоначальный[[#This Row],[Дата платежа из графика]]=1),MIN(LOOKUP(,-1/($Z$12:Z1102=1),$C$12:C1102)+LOOKUP(,-1/($Z$12:Z1102=1),$H$12:H1102)-IF(Z1101=1,0,SUM(INDIRECT("T"&amp;(MAX((1=Z$12:Z1101)*ROW(Z$12:Z1101)+1,ROW($T$12))&amp;":T"&amp;(ROW()-1))))),Первоначальный[[#This Row],[Полученный платеж]]+Y1101),
AND(Z1101&gt;0,Первоначальный[[#This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платеж]]+Y1101),
AND(S1101&gt;0,MAX((0&lt;&gt;S$12:S1101)*ROW(S$12:S1101),ROW($S$12))&gt;=MAX((1=Z$12:Z1101)*ROW(Z$12:Z1101),ROW($T$12)),TYPE(VLOOKUP("Да",(INDIRECT("AA"&amp;(MAX((1=Z$12:Z1101)*ROW(Z$12:Z1101),ROW($T$12))&amp;":AA"&amp;(ROW()-1)))),1,0))=16),MIN(LOOKUP(,-1/($Z$12:Z1102=1),$C$12:C1102)+LOOKUP(,-1/($Z$12:Z1102=1),$H$12:H1102)-SUM(INDIRECT("T"&amp;(MAX((1=Z$12:Z1101)*ROW(Z$12:Z1101),ROW($T$12))&amp;":T"&amp;(ROW()-1)))),Первоначальный[[#This Row],[Полученный платеж]]+Y1101),
S1101&gt;0,MIN(LOOKUP(,-1/($Z$12:Z1102=1),$C$12:C1102)+LOOKUP(,-1/($Z$12:Z1102=1),$H$12:H1102)-IF(Z1101=1,0,SUM(INDIRECT("T"&amp;(MAX((1=Z$12:Z1101)*ROW(Z$12:Z1101)+1,ROW($T$12))&amp;":T"&amp;(ROW()-1))))),Первоначальный[[#This Row],[Полученный платеж]]+Y1101)
)
)
)</f>
        <v>0</v>
      </c>
      <c r="U110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платеж]]+Y1101-Первоначальный[[#This Row],[Полученный платёж по процентам]])</f>
        <v>0</v>
      </c>
      <c r="V1102" s="55">
        <f t="shared" ca="1" si="207"/>
        <v>0</v>
      </c>
      <c r="W1102" s="55" cm="1">
        <f t="array" aca="1" ref="W1102" ca="1">IF(Первоначальный[[#This Row],[Итого остаток на начало периода]]&lt;1,0,
_xlfn.IFS(
AND(TYPE(VLOOKUP(1,$Z$12:Z1102,1,0))=16,Первоначальный[[#This Row],[Досрочное погашение (да/"")]]=""),0,
AND(S1101=0,Первоначальный[[#This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платеж]]+Y1101-SUM(Первоначальный[[#This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комиссиям]]),VLOOKUP(LOOKUP(,-1/($Z$12:Z1102=1),$A$12:A1102),График[[Срок конец]:[Возврат основной суммы долга]],3,0)),
AND(S1101=0,Первоначальный[[#This Row],[Дата платежа из графика]]="",Первоначальный[[#This Row],[Досрочное погашение (да/"")]]&lt;&gt;"Да"),0,
AND(S1101=0,Первоначальный[[#This Row],[Досрочное погашение (да/"")]]=""),MIN(Первоначальный[[#This Row],[Полученный платеж]]+Y1101-SUM(Первоначальный[[#This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комиссиям]]),VLOOKUP(LOOKUP(,-1/($Z$12:Z1102=1),$A$12:A1102),График[[Срок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платеж]]+Y1101-SUM(Первоначальный[[#This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S1101&gt;0,MIN(Первоначальный[[#This Row],[Полученный платеж]]+Y1101-SUM(Первоначальный[[#This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комиссиям]]),SUM(INDIRECT("M"&amp;(MAX((1=S$12:S1101)*ROW(S$12:S1101),ROW($W$12))&amp;":M"&amp;(ROW()))))-SUM(INDIRECT("W"&amp;(MAX((1=S$12:S1101)*ROW(S$12:S1101),ROW($W$12))&amp;":W"&amp;(ROW()-1)))))
)
)</f>
        <v>0</v>
      </c>
      <c r="X1102" s="55">
        <f t="shared" ca="1" si="208"/>
        <v>0</v>
      </c>
      <c r="Y1102" s="101">
        <f t="shared" ref="Y1102:Y1165" ca="1" si="215">ROUND(Y1101+O1102-SUM(T1102:X1102),2)</f>
        <v>0</v>
      </c>
      <c r="Z1102" s="133" t="str">
        <f>IF(TYPE((VLOOKUP(Первоначальный[[#This Row],[Дата платежа]],График[Срок конец],1,0)))=16,"",1)</f>
        <v/>
      </c>
      <c r="AA1102" s="57"/>
      <c r="AB1102" s="134"/>
      <c r="AC110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0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79210.109999999913</v>
      </c>
      <c r="AE110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4641.3100000000022</v>
      </c>
      <c r="AF110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0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244846.01627213048</v>
      </c>
      <c r="AH1102" s="55"/>
      <c r="AI1102" s="55"/>
      <c r="AJ1102" s="55"/>
      <c r="AK1102" s="101">
        <f t="shared" ref="AK1102:AK1165" ca="1" si="216">SUM(AC1102:AJ1102)</f>
        <v>478330.77627213037</v>
      </c>
      <c r="AL1102" s="129">
        <f t="array" ref="AL1102">MAX((УслРестрактов[Характеристика]="Дата реструктуризации")*(УслРестрактов[Значение]=Первоначальный!$A1102),0)</f>
        <v>0</v>
      </c>
    </row>
    <row r="1103" spans="1:38" x14ac:dyDescent="0.25">
      <c r="A1103" s="97">
        <f t="shared" si="209"/>
        <v>45234</v>
      </c>
      <c r="B1103" s="100">
        <f t="shared" ca="1" si="210"/>
        <v>149633.34</v>
      </c>
      <c r="C1103" s="55">
        <f t="shared" ca="1" si="206"/>
        <v>79210.109999999913</v>
      </c>
      <c r="D1103" s="55">
        <f t="shared" ca="1" si="206"/>
        <v>4641.3100000000022</v>
      </c>
      <c r="E1103" s="55">
        <f t="shared" ca="1" si="211"/>
        <v>0</v>
      </c>
      <c r="F1103" s="55">
        <f t="shared" ca="1" si="212"/>
        <v>244846.01627213048</v>
      </c>
      <c r="G1103" s="101">
        <f t="shared" ca="1" si="213"/>
        <v>478330.77627213037</v>
      </c>
      <c r="H1103" s="100">
        <f ca="1">ROUND($B1103*VLOOKUP($A1103,$A$1:$B$10,2,1)/(365+IF(MOD(YEAR($A1103),4),0,1)*($A1103-$A1102)),2)-Первоначальный[[#This Row],[Проценты на просроченный платеж по ОД за период]]</f>
        <v>71.67</v>
      </c>
      <c r="I1103" s="55">
        <f t="shared" ca="1" si="214"/>
        <v>9.91</v>
      </c>
      <c r="J1103" s="55">
        <v>0</v>
      </c>
      <c r="K1103" s="55">
        <f t="shared" ref="K1103:K1166" ca="1" si="217">IF(S1103&lt;&gt;0,R1103*$B$7,0)</f>
        <v>477.93850327868847</v>
      </c>
      <c r="L1103" s="55">
        <v>0</v>
      </c>
      <c r="M1103" s="113">
        <f>SUMIFS(График[Возврат основной суммы долга],График[Дата с учетом нерабочих дней],$A1103)</f>
        <v>0</v>
      </c>
      <c r="N1103" s="56">
        <f>SUMIFS(График[Возврат начисленных %],График[Дата с учетом нерабочих дней],$A1103)</f>
        <v>0</v>
      </c>
      <c r="O1103" s="101">
        <v>0</v>
      </c>
      <c r="P1103" s="100" cm="1">
        <f t="array" aca="1" ref="P1103" ca="1">MAX(IF(AA1102="Да",0,SUM(INDIRECT("M"&amp;(MAX(("Да"=AA$12:AA1102)*ROW(AA$12:AA1102)+1,ROW($P$12))&amp;":M"&amp;(ROW()))))-SUM(INDIRECT("W"&amp;(MAX(("Да"=AA$12:AA1102)*ROW(AA$12:AA1102)+1,ROW($P$12))&amp;":W"&amp;(ROW()))))),0)</f>
        <v>18172.72</v>
      </c>
      <c r="Q1103" s="99">
        <f ca="1">MAX(SUM($N$13:N1103)-SUM($T$13:T1103),0)</f>
        <v>77414.980655737687</v>
      </c>
      <c r="R1103" s="99">
        <f ca="1">Первоначальный[[#This Row],[Просроченный платеж по ОД]]+Первоначальный[[#This Row],[Просроченный платеж по процентам]]</f>
        <v>95587.700655737688</v>
      </c>
      <c r="S1103" s="120">
        <f ca="1">IF(Первоначальный[[#This Row],[Просроченный платеж]]&lt;1,0,S1102+1)</f>
        <v>999</v>
      </c>
      <c r="T1103" s="100" cm="1">
        <f t="array" aca="1" ref="T1103" ca="1">IF(Первоначальный[[#This Row],[Итого остаток на начало периода]]&lt;1,0,
IF(
AND(TYPE(VLOOKUP(1,$Z$12:Z1103,1,0))=16,Первоначальный[[#This Row],[Досрочное погашение (да/"")]]=""),0,
_xlfn.IFS(AND(S1102=0,Первоначальный[[#This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платеж]]&lt;&gt;0),MIN(LOOKUP(,-1/($Z$12:Z1103=1),$C$12:C1103)+LOOKUP(,-1/($Z$12:Z1103=1),$H$12:H1103),Первоначальный[[#This Row],[Полученный платеж]]+Y1102),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платеж]]+Y1102,SUM(Первоначальный[[#This Row],[Остаток процентов на начало периода]],Первоначальный[[#This Row],[Проценты за период]])),
AND(S1102=0,Первоначальный[[#This Row],[Дата платежа из графика]]=""),0,
AND(S1102=0,Первоначальный[[#This Row],[Дата платежа из графика]]=1,MAX((0&lt;&gt;S$12:S1102)*ROW(S$12:S1102),ROW($S$12))&gt;=MAX((1=Z$12:Z1102)*ROW(Z$12:Z1102),ROW($T$12)),TYPE(VLOOKUP("Да",(INDIRECT("AA"&amp;(MAX((1=Z$12:Z1102)*ROW(Z$12:Z1102),ROW($T$12))&amp;":AA"&amp;(ROW()-1)))),1,0))=16),MIN(LOOKUP(,-1/($Z$12:Z1103=1),$C$12:C1103)+LOOKUP(,-1/($Z$12:Z1103=1),$H$12:H1103),Первоначальный[[#This Row],[Полученный платеж]]+Y1102),
AND(S1102=0,TYPE(VLOOKUP("Да",(INDIRECT("AA"&amp;(MAX((1=Z$12:Z1102)*ROW(Z$12:Z1102),ROW($T$12))&amp;":AA"&amp;(ROW()-1)))),1,0))&lt;&gt;16),MIN(LOOKUP(,-1/($Z$12:Z1103=1),$C$12:C1103)+LOOKUP(,-1/($Z$12:Z1103=1),$H$12:H1103)-IF(AA1102="Да",0,SUM(INDIRECT("T"&amp;(MAX(("Да"=AA$12:AA1102)*ROW(AA$12:AA1102)+1,ROW($T$12))&amp;":T"&amp;(ROW()-1))))),Первоначальный[[#This Row],[Полученный платеж]]+Y1102),
AND(S1102=0,MAX((0&lt;&gt;N$12:N1102)*ROW(N$12:N1102),ROW($S$12))&gt;=MAX((1=Z$12:Z1102)*ROW(Z$12:Z1102),ROW($T$12))),MIN(LOOKUP(,-1/($Z$12:Z1103=1),$C$12:C1103)+LOOKUP(,-1/($Z$12:Z1103=1),$H$12:H1103)-IF(N1102&lt;&gt;0,0,SUM(INDIRECT("T"&amp;(MAX((0&lt;&gt;N$12:N1102)*ROW(N$12:N1102)+1,ROW($T$12))&amp;":T"&amp;(ROW()-1))))),Первоначальный[[#This Row],[Полученный платеж]]+Y1102),
AND(S1102=0,Первоначальный[[#This Row],[Дата платежа из графика]]=1),MIN(LOOKUP(,-1/($Z$12:Z1103=1),$C$12:C1103)+LOOKUP(,-1/($Z$12:Z1103=1),$H$12:H1103)-IF(Z1102=1,0,SUM(INDIRECT("T"&amp;(MAX((1=Z$12:Z1102)*ROW(Z$12:Z1102)+1,ROW($T$12))&amp;":T"&amp;(ROW()-1))))),Первоначальный[[#This Row],[Полученный платеж]]+Y1102),
AND(Z1102&gt;0,Первоначальный[[#This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платеж]]+Y1102),
AND(S1102&gt;0,MAX((0&lt;&gt;S$12:S1102)*ROW(S$12:S1102),ROW($S$12))&gt;=MAX((1=Z$12:Z1102)*ROW(Z$12:Z1102),ROW($T$12)),TYPE(VLOOKUP("Да",(INDIRECT("AA"&amp;(MAX((1=Z$12:Z1102)*ROW(Z$12:Z1102),ROW($T$12))&amp;":AA"&amp;(ROW()-1)))),1,0))=16),MIN(LOOKUP(,-1/($Z$12:Z1103=1),$C$12:C1103)+LOOKUP(,-1/($Z$12:Z1103=1),$H$12:H1103)-SUM(INDIRECT("T"&amp;(MAX((1=Z$12:Z1102)*ROW(Z$12:Z1102),ROW($T$12))&amp;":T"&amp;(ROW()-1)))),Первоначальный[[#This Row],[Полученный платеж]]+Y1102),
S1102&gt;0,MIN(LOOKUP(,-1/($Z$12:Z1103=1),$C$12:C1103)+LOOKUP(,-1/($Z$12:Z1103=1),$H$12:H1103)-IF(Z1102=1,0,SUM(INDIRECT("T"&amp;(MAX((1=Z$12:Z1102)*ROW(Z$12:Z1102)+1,ROW($T$12))&amp;":T"&amp;(ROW()-1))))),Первоначальный[[#This Row],[Полученный платеж]]+Y1102)
)
)
)</f>
        <v>0</v>
      </c>
      <c r="U110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платеж]]+Y1102-Первоначальный[[#This Row],[Полученный платёж по процентам]])</f>
        <v>0</v>
      </c>
      <c r="V1103" s="55">
        <f t="shared" ca="1" si="207"/>
        <v>0</v>
      </c>
      <c r="W1103" s="55" cm="1">
        <f t="array" aca="1" ref="W1103" ca="1">IF(Первоначальный[[#This Row],[Итого остаток на начало периода]]&lt;1,0,
_xlfn.IFS(
AND(TYPE(VLOOKUP(1,$Z$12:Z1103,1,0))=16,Первоначальный[[#This Row],[Досрочное погашение (да/"")]]=""),0,
AND(S1102=0,Первоначальный[[#This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платеж]]+Y1102-SUM(Первоначальный[[#This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комиссиям]]),VLOOKUP(LOOKUP(,-1/($Z$12:Z1103=1),$A$12:A1103),График[[Срок конец]:[Возврат основной суммы долга]],3,0)),
AND(S1102=0,Первоначальный[[#This Row],[Дата платежа из графика]]="",Первоначальный[[#This Row],[Досрочное погашение (да/"")]]&lt;&gt;"Да"),0,
AND(S1102=0,Первоначальный[[#This Row],[Досрочное погашение (да/"")]]=""),MIN(Первоначальный[[#This Row],[Полученный платеж]]+Y1102-SUM(Первоначальный[[#This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комиссиям]]),VLOOKUP(LOOKUP(,-1/($Z$12:Z1103=1),$A$12:A1103),График[[Срок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платеж]]+Y1102-SUM(Первоначальный[[#This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S1102&gt;0,MIN(Первоначальный[[#This Row],[Полученный платеж]]+Y1102-SUM(Первоначальный[[#This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комиссиям]]),SUM(INDIRECT("M"&amp;(MAX((1=S$12:S1102)*ROW(S$12:S1102),ROW($W$12))&amp;":M"&amp;(ROW()))))-SUM(INDIRECT("W"&amp;(MAX((1=S$12:S1102)*ROW(S$12:S1102),ROW($W$12))&amp;":W"&amp;(ROW()-1)))))
)
)</f>
        <v>0</v>
      </c>
      <c r="X1103" s="55">
        <f t="shared" ca="1" si="208"/>
        <v>0</v>
      </c>
      <c r="Y1103" s="101">
        <f t="shared" ca="1" si="215"/>
        <v>0</v>
      </c>
      <c r="Z1103" s="133" t="str">
        <f>IF(TYPE((VLOOKUP(Первоначальный[[#This Row],[Дата платежа]],График[Срок конец],1,0)))=16,"",1)</f>
        <v/>
      </c>
      <c r="AA1103" s="57"/>
      <c r="AB1103" s="134"/>
      <c r="AC110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0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79281.779999999912</v>
      </c>
      <c r="AE110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4651.2200000000021</v>
      </c>
      <c r="AF110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0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245323.95477540916</v>
      </c>
      <c r="AH1103" s="55"/>
      <c r="AI1103" s="55"/>
      <c r="AJ1103" s="55"/>
      <c r="AK1103" s="101">
        <f t="shared" ca="1" si="216"/>
        <v>478890.29477540904</v>
      </c>
      <c r="AL1103" s="129">
        <f t="array" ref="AL1103">MAX((УслРестрактов[Характеристика]="Дата реструктуризации")*(УслРестрактов[Значение]=Первоначальный!$A1103),0)</f>
        <v>0</v>
      </c>
    </row>
    <row r="1104" spans="1:38" x14ac:dyDescent="0.25">
      <c r="A1104" s="97">
        <f t="shared" si="209"/>
        <v>45235</v>
      </c>
      <c r="B1104" s="100">
        <f t="shared" ca="1" si="210"/>
        <v>149633.34</v>
      </c>
      <c r="C1104" s="55">
        <f t="shared" ca="1" si="206"/>
        <v>79281.779999999912</v>
      </c>
      <c r="D1104" s="55">
        <f t="shared" ca="1" si="206"/>
        <v>4651.2200000000021</v>
      </c>
      <c r="E1104" s="55">
        <f t="shared" ca="1" si="211"/>
        <v>0</v>
      </c>
      <c r="F1104" s="55">
        <f t="shared" ca="1" si="212"/>
        <v>245323.95477540916</v>
      </c>
      <c r="G1104" s="101">
        <f t="shared" ca="1" si="213"/>
        <v>478890.29477540904</v>
      </c>
      <c r="H1104" s="100">
        <f ca="1">ROUND($B1104*VLOOKUP($A1104,$A$1:$B$10,2,1)/(365+IF(MOD(YEAR($A1104),4),0,1)*($A1104-$A1103)),2)-Первоначальный[[#This Row],[Проценты на просроченный платеж по ОД за период]]</f>
        <v>71.67</v>
      </c>
      <c r="I1104" s="55">
        <f t="shared" ca="1" si="214"/>
        <v>9.91</v>
      </c>
      <c r="J1104" s="55">
        <v>0</v>
      </c>
      <c r="K1104" s="55">
        <f t="shared" ca="1" si="217"/>
        <v>477.93850327868847</v>
      </c>
      <c r="L1104" s="55">
        <v>0</v>
      </c>
      <c r="M1104" s="113">
        <f>SUMIFS(График[Возврат основной суммы долга],График[Дата с учетом нерабочих дней],$A1104)</f>
        <v>0</v>
      </c>
      <c r="N1104" s="56">
        <f>SUMIFS(График[Возврат начисленных %],График[Дата с учетом нерабочих дней],$A1104)</f>
        <v>0</v>
      </c>
      <c r="O1104" s="101">
        <v>0</v>
      </c>
      <c r="P1104" s="100" cm="1">
        <f t="array" aca="1" ref="P1104" ca="1">MAX(IF(AA1103="Да",0,SUM(INDIRECT("M"&amp;(MAX(("Да"=AA$12:AA1103)*ROW(AA$12:AA1103)+1,ROW($P$12))&amp;":M"&amp;(ROW()))))-SUM(INDIRECT("W"&amp;(MAX(("Да"=AA$12:AA1103)*ROW(AA$12:AA1103)+1,ROW($P$12))&amp;":W"&amp;(ROW()))))),0)</f>
        <v>18172.72</v>
      </c>
      <c r="Q1104" s="99">
        <f ca="1">MAX(SUM($N$13:N1104)-SUM($T$13:T1104),0)</f>
        <v>77414.980655737687</v>
      </c>
      <c r="R1104" s="99">
        <f ca="1">Первоначальный[[#This Row],[Просроченный платеж по ОД]]+Первоначальный[[#This Row],[Просроченный платеж по процентам]]</f>
        <v>95587.700655737688</v>
      </c>
      <c r="S1104" s="120">
        <f ca="1">IF(Первоначальный[[#This Row],[Просроченный платеж]]&lt;1,0,S1103+1)</f>
        <v>1000</v>
      </c>
      <c r="T1104" s="100" cm="1">
        <f t="array" aca="1" ref="T1104" ca="1">IF(Первоначальный[[#This Row],[Итого остаток на начало периода]]&lt;1,0,
IF(
AND(TYPE(VLOOKUP(1,$Z$12:Z1104,1,0))=16,Первоначальный[[#This Row],[Досрочное погашение (да/"")]]=""),0,
_xlfn.IFS(AND(S1103=0,Первоначальный[[#This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платеж]]&lt;&gt;0),MIN(LOOKUP(,-1/($Z$12:Z1104=1),$C$12:C1104)+LOOKUP(,-1/($Z$12:Z1104=1),$H$12:H1104),Первоначальный[[#This Row],[Полученный платеж]]+Y1103),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платеж]]+Y1103,SUM(Первоначальный[[#This Row],[Остаток процентов на начало периода]],Первоначальный[[#This Row],[Проценты за период]])),
AND(S1103=0,Первоначальный[[#This Row],[Дата платежа из графика]]=""),0,
AND(S1103=0,Первоначальный[[#This Row],[Дата платежа из графика]]=1,MAX((0&lt;&gt;S$12:S1103)*ROW(S$12:S1103),ROW($S$12))&gt;=MAX((1=Z$12:Z1103)*ROW(Z$12:Z1103),ROW($T$12)),TYPE(VLOOKUP("Да",(INDIRECT("AA"&amp;(MAX((1=Z$12:Z1103)*ROW(Z$12:Z1103),ROW($T$12))&amp;":AA"&amp;(ROW()-1)))),1,0))=16),MIN(LOOKUP(,-1/($Z$12:Z1104=1),$C$12:C1104)+LOOKUP(,-1/($Z$12:Z1104=1),$H$12:H1104),Первоначальный[[#This Row],[Полученный платеж]]+Y1103),
AND(S1103=0,TYPE(VLOOKUP("Да",(INDIRECT("AA"&amp;(MAX((1=Z$12:Z1103)*ROW(Z$12:Z1103),ROW($T$12))&amp;":AA"&amp;(ROW()-1)))),1,0))&lt;&gt;16),MIN(LOOKUP(,-1/($Z$12:Z1104=1),$C$12:C1104)+LOOKUP(,-1/($Z$12:Z1104=1),$H$12:H1104)-IF(AA1103="Да",0,SUM(INDIRECT("T"&amp;(MAX(("Да"=AA$12:AA1103)*ROW(AA$12:AA1103)+1,ROW($T$12))&amp;":T"&amp;(ROW()-1))))),Первоначальный[[#This Row],[Полученный платеж]]+Y1103),
AND(S1103=0,MAX((0&lt;&gt;N$12:N1103)*ROW(N$12:N1103),ROW($S$12))&gt;=MAX((1=Z$12:Z1103)*ROW(Z$12:Z1103),ROW($T$12))),MIN(LOOKUP(,-1/($Z$12:Z1104=1),$C$12:C1104)+LOOKUP(,-1/($Z$12:Z1104=1),$H$12:H1104)-IF(N1103&lt;&gt;0,0,SUM(INDIRECT("T"&amp;(MAX((0&lt;&gt;N$12:N1103)*ROW(N$12:N1103)+1,ROW($T$12))&amp;":T"&amp;(ROW()-1))))),Первоначальный[[#This Row],[Полученный платеж]]+Y1103),
AND(S1103=0,Первоначальный[[#This Row],[Дата платежа из графика]]=1),MIN(LOOKUP(,-1/($Z$12:Z1104=1),$C$12:C1104)+LOOKUP(,-1/($Z$12:Z1104=1),$H$12:H1104)-IF(Z1103=1,0,SUM(INDIRECT("T"&amp;(MAX((1=Z$12:Z1103)*ROW(Z$12:Z1103)+1,ROW($T$12))&amp;":T"&amp;(ROW()-1))))),Первоначальный[[#This Row],[Полученный платеж]]+Y1103),
AND(Z1103&gt;0,Первоначальный[[#This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платеж]]+Y1103),
AND(S1103&gt;0,MAX((0&lt;&gt;S$12:S1103)*ROW(S$12:S1103),ROW($S$12))&gt;=MAX((1=Z$12:Z1103)*ROW(Z$12:Z1103),ROW($T$12)),TYPE(VLOOKUP("Да",(INDIRECT("AA"&amp;(MAX((1=Z$12:Z1103)*ROW(Z$12:Z1103),ROW($T$12))&amp;":AA"&amp;(ROW()-1)))),1,0))=16),MIN(LOOKUP(,-1/($Z$12:Z1104=1),$C$12:C1104)+LOOKUP(,-1/($Z$12:Z1104=1),$H$12:H1104)-SUM(INDIRECT("T"&amp;(MAX((1=Z$12:Z1103)*ROW(Z$12:Z1103),ROW($T$12))&amp;":T"&amp;(ROW()-1)))),Первоначальный[[#This Row],[Полученный платеж]]+Y1103),
S1103&gt;0,MIN(LOOKUP(,-1/($Z$12:Z1104=1),$C$12:C1104)+LOOKUP(,-1/($Z$12:Z1104=1),$H$12:H1104)-IF(Z1103=1,0,SUM(INDIRECT("T"&amp;(MAX((1=Z$12:Z1103)*ROW(Z$12:Z1103)+1,ROW($T$12))&amp;":T"&amp;(ROW()-1))))),Первоначальный[[#This Row],[Полученный платеж]]+Y1103)
)
)
)</f>
        <v>0</v>
      </c>
      <c r="U110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платеж]]+Y1103-Первоначальный[[#This Row],[Полученный платёж по процентам]])</f>
        <v>0</v>
      </c>
      <c r="V1104" s="55">
        <f t="shared" ca="1" si="207"/>
        <v>0</v>
      </c>
      <c r="W1104" s="55" cm="1">
        <f t="array" aca="1" ref="W1104" ca="1">IF(Первоначальный[[#This Row],[Итого остаток на начало периода]]&lt;1,0,
_xlfn.IFS(
AND(TYPE(VLOOKUP(1,$Z$12:Z1104,1,0))=16,Первоначальный[[#This Row],[Досрочное погашение (да/"")]]=""),0,
AND(S1103=0,Первоначальный[[#This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платеж]]+Y1103-SUM(Первоначальный[[#This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комиссиям]]),VLOOKUP(LOOKUP(,-1/($Z$12:Z1104=1),$A$12:A1104),График[[Срок конец]:[Возврат основной суммы долга]],3,0)),
AND(S1103=0,Первоначальный[[#This Row],[Дата платежа из графика]]="",Первоначальный[[#This Row],[Досрочное погашение (да/"")]]&lt;&gt;"Да"),0,
AND(S1103=0,Первоначальный[[#This Row],[Досрочное погашение (да/"")]]=""),MIN(Первоначальный[[#This Row],[Полученный платеж]]+Y1103-SUM(Первоначальный[[#This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комиссиям]]),VLOOKUP(LOOKUP(,-1/($Z$12:Z1104=1),$A$12:A1104),График[[Срок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платеж]]+Y1103-SUM(Первоначальный[[#This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S1103&gt;0,MIN(Первоначальный[[#This Row],[Полученный платеж]]+Y1103-SUM(Первоначальный[[#This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комиссиям]]),SUM(INDIRECT("M"&amp;(MAX((1=S$12:S1103)*ROW(S$12:S1103),ROW($W$12))&amp;":M"&amp;(ROW()))))-SUM(INDIRECT("W"&amp;(MAX((1=S$12:S1103)*ROW(S$12:S1103),ROW($W$12))&amp;":W"&amp;(ROW()-1)))))
)
)</f>
        <v>0</v>
      </c>
      <c r="X1104" s="55">
        <f t="shared" ca="1" si="208"/>
        <v>0</v>
      </c>
      <c r="Y1104" s="101">
        <f t="shared" ca="1" si="215"/>
        <v>0</v>
      </c>
      <c r="Z1104" s="133" t="str">
        <f>IF(TYPE((VLOOKUP(Первоначальный[[#This Row],[Дата платежа]],График[Срок конец],1,0)))=16,"",1)</f>
        <v/>
      </c>
      <c r="AA1104" s="57"/>
      <c r="AB1104" s="134"/>
      <c r="AC110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0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79353.44999999991</v>
      </c>
      <c r="AE110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4661.1300000000019</v>
      </c>
      <c r="AF110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0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245801.89327868784</v>
      </c>
      <c r="AH1104" s="55"/>
      <c r="AI1104" s="55"/>
      <c r="AJ1104" s="55"/>
      <c r="AK1104" s="101">
        <f t="shared" ca="1" si="216"/>
        <v>479449.81327868777</v>
      </c>
      <c r="AL1104" s="129">
        <f t="array" ref="AL1104">MAX((УслРестрактов[Характеристика]="Дата реструктуризации")*(УслРестрактов[Значение]=Первоначальный!$A1104),0)</f>
        <v>0</v>
      </c>
    </row>
    <row r="1105" spans="1:38" x14ac:dyDescent="0.25">
      <c r="A1105" s="97">
        <f t="shared" si="209"/>
        <v>45236</v>
      </c>
      <c r="B1105" s="100">
        <f t="shared" ca="1" si="210"/>
        <v>149633.34</v>
      </c>
      <c r="C1105" s="55">
        <f t="shared" ca="1" si="206"/>
        <v>79353.44999999991</v>
      </c>
      <c r="D1105" s="55">
        <f t="shared" ca="1" si="206"/>
        <v>4661.1300000000019</v>
      </c>
      <c r="E1105" s="55">
        <f t="shared" ca="1" si="211"/>
        <v>0</v>
      </c>
      <c r="F1105" s="55">
        <f t="shared" ca="1" si="212"/>
        <v>245801.89327868784</v>
      </c>
      <c r="G1105" s="101">
        <f t="shared" ca="1" si="213"/>
        <v>479449.81327868777</v>
      </c>
      <c r="H1105" s="100">
        <f ca="1">ROUND($B1105*VLOOKUP($A1105,$A$1:$B$10,2,1)/(365+IF(MOD(YEAR($A1105),4),0,1)*($A1105-$A1104)),2)-Первоначальный[[#This Row],[Проценты на просроченный платеж по ОД за период]]</f>
        <v>71.67</v>
      </c>
      <c r="I1105" s="55">
        <f t="shared" ca="1" si="214"/>
        <v>9.91</v>
      </c>
      <c r="J1105" s="55">
        <v>0</v>
      </c>
      <c r="K1105" s="55">
        <f t="shared" ca="1" si="217"/>
        <v>477.93850327868847</v>
      </c>
      <c r="L1105" s="55">
        <v>0</v>
      </c>
      <c r="M1105" s="113">
        <f>SUMIFS(График[Возврат основной суммы долга],График[Дата с учетом нерабочих дней],$A1105)</f>
        <v>0</v>
      </c>
      <c r="N1105" s="56">
        <f>SUMIFS(График[Возврат начисленных %],График[Дата с учетом нерабочих дней],$A1105)</f>
        <v>0</v>
      </c>
      <c r="O1105" s="101">
        <v>0</v>
      </c>
      <c r="P1105" s="100" cm="1">
        <f t="array" aca="1" ref="P1105" ca="1">MAX(IF(AA1104="Да",0,SUM(INDIRECT("M"&amp;(MAX(("Да"=AA$12:AA1104)*ROW(AA$12:AA1104)+1,ROW($P$12))&amp;":M"&amp;(ROW()))))-SUM(INDIRECT("W"&amp;(MAX(("Да"=AA$12:AA1104)*ROW(AA$12:AA1104)+1,ROW($P$12))&amp;":W"&amp;(ROW()))))),0)</f>
        <v>18172.72</v>
      </c>
      <c r="Q1105" s="99">
        <f ca="1">MAX(SUM($N$13:N1105)-SUM($T$13:T1105),0)</f>
        <v>77414.980655737687</v>
      </c>
      <c r="R1105" s="99">
        <f ca="1">Первоначальный[[#This Row],[Просроченный платеж по ОД]]+Первоначальный[[#This Row],[Просроченный платеж по процентам]]</f>
        <v>95587.700655737688</v>
      </c>
      <c r="S1105" s="120">
        <f ca="1">IF(Первоначальный[[#This Row],[Просроченный платеж]]&lt;1,0,S1104+1)</f>
        <v>1001</v>
      </c>
      <c r="T1105" s="100" cm="1">
        <f t="array" aca="1" ref="T1105" ca="1">IF(Первоначальный[[#This Row],[Итого остаток на начало периода]]&lt;1,0,
IF(
AND(TYPE(VLOOKUP(1,$Z$12:Z1105,1,0))=16,Первоначальный[[#This Row],[Досрочное погашение (да/"")]]=""),0,
_xlfn.IFS(AND(S1104=0,Первоначальный[[#This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платеж]]&lt;&gt;0),MIN(LOOKUP(,-1/($Z$12:Z1105=1),$C$12:C1105)+LOOKUP(,-1/($Z$12:Z1105=1),$H$12:H1105),Первоначальный[[#This Row],[Полученный платеж]]+Y1104),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платеж]]+Y1104,SUM(Первоначальный[[#This Row],[Остаток процентов на начало периода]],Первоначальный[[#This Row],[Проценты за период]])),
AND(S1104=0,Первоначальный[[#This Row],[Дата платежа из графика]]=""),0,
AND(S1104=0,Первоначальный[[#This Row],[Дата платежа из графика]]=1,MAX((0&lt;&gt;S$12:S1104)*ROW(S$12:S1104),ROW($S$12))&gt;=MAX((1=Z$12:Z1104)*ROW(Z$12:Z1104),ROW($T$12)),TYPE(VLOOKUP("Да",(INDIRECT("AA"&amp;(MAX((1=Z$12:Z1104)*ROW(Z$12:Z1104),ROW($T$12))&amp;":AA"&amp;(ROW()-1)))),1,0))=16),MIN(LOOKUP(,-1/($Z$12:Z1105=1),$C$12:C1105)+LOOKUP(,-1/($Z$12:Z1105=1),$H$12:H1105),Первоначальный[[#This Row],[Полученный платеж]]+Y1104),
AND(S1104=0,TYPE(VLOOKUP("Да",(INDIRECT("AA"&amp;(MAX((1=Z$12:Z1104)*ROW(Z$12:Z1104),ROW($T$12))&amp;":AA"&amp;(ROW()-1)))),1,0))&lt;&gt;16),MIN(LOOKUP(,-1/($Z$12:Z1105=1),$C$12:C1105)+LOOKUP(,-1/($Z$12:Z1105=1),$H$12:H1105)-IF(AA1104="Да",0,SUM(INDIRECT("T"&amp;(MAX(("Да"=AA$12:AA1104)*ROW(AA$12:AA1104)+1,ROW($T$12))&amp;":T"&amp;(ROW()-1))))),Первоначальный[[#This Row],[Полученный платеж]]+Y1104),
AND(S1104=0,MAX((0&lt;&gt;N$12:N1104)*ROW(N$12:N1104),ROW($S$12))&gt;=MAX((1=Z$12:Z1104)*ROW(Z$12:Z1104),ROW($T$12))),MIN(LOOKUP(,-1/($Z$12:Z1105=1),$C$12:C1105)+LOOKUP(,-1/($Z$12:Z1105=1),$H$12:H1105)-IF(N1104&lt;&gt;0,0,SUM(INDIRECT("T"&amp;(MAX((0&lt;&gt;N$12:N1104)*ROW(N$12:N1104)+1,ROW($T$12))&amp;":T"&amp;(ROW()-1))))),Первоначальный[[#This Row],[Полученный платеж]]+Y1104),
AND(S1104=0,Первоначальный[[#This Row],[Дата платежа из графика]]=1),MIN(LOOKUP(,-1/($Z$12:Z1105=1),$C$12:C1105)+LOOKUP(,-1/($Z$12:Z1105=1),$H$12:H1105)-IF(Z1104=1,0,SUM(INDIRECT("T"&amp;(MAX((1=Z$12:Z1104)*ROW(Z$12:Z1104)+1,ROW($T$12))&amp;":T"&amp;(ROW()-1))))),Первоначальный[[#This Row],[Полученный платеж]]+Y1104),
AND(Z1104&gt;0,Первоначальный[[#This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платеж]]+Y1104),
AND(S1104&gt;0,MAX((0&lt;&gt;S$12:S1104)*ROW(S$12:S1104),ROW($S$12))&gt;=MAX((1=Z$12:Z1104)*ROW(Z$12:Z1104),ROW($T$12)),TYPE(VLOOKUP("Да",(INDIRECT("AA"&amp;(MAX((1=Z$12:Z1104)*ROW(Z$12:Z1104),ROW($T$12))&amp;":AA"&amp;(ROW()-1)))),1,0))=16),MIN(LOOKUP(,-1/($Z$12:Z1105=1),$C$12:C1105)+LOOKUP(,-1/($Z$12:Z1105=1),$H$12:H1105)-SUM(INDIRECT("T"&amp;(MAX((1=Z$12:Z1104)*ROW(Z$12:Z1104),ROW($T$12))&amp;":T"&amp;(ROW()-1)))),Первоначальный[[#This Row],[Полученный платеж]]+Y1104),
S1104&gt;0,MIN(LOOKUP(,-1/($Z$12:Z1105=1),$C$12:C1105)+LOOKUP(,-1/($Z$12:Z1105=1),$H$12:H1105)-IF(Z1104=1,0,SUM(INDIRECT("T"&amp;(MAX((1=Z$12:Z1104)*ROW(Z$12:Z1104)+1,ROW($T$12))&amp;":T"&amp;(ROW()-1))))),Первоначальный[[#This Row],[Полученный платеж]]+Y1104)
)
)
)</f>
        <v>0</v>
      </c>
      <c r="U110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платеж]]+Y1104-Первоначальный[[#This Row],[Полученный платёж по процентам]])</f>
        <v>0</v>
      </c>
      <c r="V1105" s="55">
        <f t="shared" ca="1" si="207"/>
        <v>0</v>
      </c>
      <c r="W1105" s="55" cm="1">
        <f t="array" aca="1" ref="W1105" ca="1">IF(Первоначальный[[#This Row],[Итого остаток на начало периода]]&lt;1,0,
_xlfn.IFS(
AND(TYPE(VLOOKUP(1,$Z$12:Z1105,1,0))=16,Первоначальный[[#This Row],[Досрочное погашение (да/"")]]=""),0,
AND(S1104=0,Первоначальный[[#This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платеж]]+Y1104-SUM(Первоначальный[[#This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комиссиям]]),VLOOKUP(LOOKUP(,-1/($Z$12:Z1105=1),$A$12:A1105),График[[Срок конец]:[Возврат основной суммы долга]],3,0)),
AND(S1104=0,Первоначальный[[#This Row],[Дата платежа из графика]]="",Первоначальный[[#This Row],[Досрочное погашение (да/"")]]&lt;&gt;"Да"),0,
AND(S1104=0,Первоначальный[[#This Row],[Досрочное погашение (да/"")]]=""),MIN(Первоначальный[[#This Row],[Полученный платеж]]+Y1104-SUM(Первоначальный[[#This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комиссиям]]),VLOOKUP(LOOKUP(,-1/($Z$12:Z1105=1),$A$12:A1105),График[[Срок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платеж]]+Y1104-SUM(Первоначальный[[#This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S1104&gt;0,MIN(Первоначальный[[#This Row],[Полученный платеж]]+Y1104-SUM(Первоначальный[[#This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комиссиям]]),SUM(INDIRECT("M"&amp;(MAX((1=S$12:S1104)*ROW(S$12:S1104),ROW($W$12))&amp;":M"&amp;(ROW()))))-SUM(INDIRECT("W"&amp;(MAX((1=S$12:S1104)*ROW(S$12:S1104),ROW($W$12))&amp;":W"&amp;(ROW()-1)))))
)
)</f>
        <v>0</v>
      </c>
      <c r="X1105" s="55">
        <f t="shared" ca="1" si="208"/>
        <v>0</v>
      </c>
      <c r="Y1105" s="101">
        <f t="shared" ca="1" si="215"/>
        <v>0</v>
      </c>
      <c r="Z1105" s="133" t="str">
        <f>IF(TYPE((VLOOKUP(Первоначальный[[#This Row],[Дата платежа]],График[Срок конец],1,0)))=16,"",1)</f>
        <v/>
      </c>
      <c r="AA1105" s="57"/>
      <c r="AB1105" s="134"/>
      <c r="AC110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0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79425.119999999908</v>
      </c>
      <c r="AE110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4671.0400000000018</v>
      </c>
      <c r="AF110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0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246279.83178196652</v>
      </c>
      <c r="AH1105" s="55"/>
      <c r="AI1105" s="55"/>
      <c r="AJ1105" s="55"/>
      <c r="AK1105" s="101">
        <f t="shared" ca="1" si="216"/>
        <v>480009.33178196644</v>
      </c>
      <c r="AL1105" s="129">
        <f t="array" ref="AL1105">MAX((УслРестрактов[Характеристика]="Дата реструктуризации")*(УслРестрактов[Значение]=Первоначальный!$A1105),0)</f>
        <v>0</v>
      </c>
    </row>
    <row r="1106" spans="1:38" x14ac:dyDescent="0.25">
      <c r="A1106" s="97">
        <f t="shared" si="209"/>
        <v>45237</v>
      </c>
      <c r="B1106" s="100">
        <f t="shared" ca="1" si="210"/>
        <v>149633.34</v>
      </c>
      <c r="C1106" s="55">
        <f t="shared" ca="1" si="206"/>
        <v>79425.119999999908</v>
      </c>
      <c r="D1106" s="55">
        <f t="shared" ca="1" si="206"/>
        <v>4671.0400000000018</v>
      </c>
      <c r="E1106" s="55">
        <f t="shared" ca="1" si="211"/>
        <v>0</v>
      </c>
      <c r="F1106" s="55">
        <f t="shared" ca="1" si="212"/>
        <v>246279.83178196652</v>
      </c>
      <c r="G1106" s="101">
        <f t="shared" ca="1" si="213"/>
        <v>480009.33178196644</v>
      </c>
      <c r="H1106" s="100">
        <f ca="1">ROUND($B1106*VLOOKUP($A1106,$A$1:$B$10,2,1)/(365+IF(MOD(YEAR($A1106),4),0,1)*($A1106-$A1105)),2)-Первоначальный[[#This Row],[Проценты на просроченный платеж по ОД за период]]</f>
        <v>71.67</v>
      </c>
      <c r="I1106" s="55">
        <f t="shared" ca="1" si="214"/>
        <v>9.91</v>
      </c>
      <c r="J1106" s="55">
        <v>0</v>
      </c>
      <c r="K1106" s="55">
        <f t="shared" ca="1" si="217"/>
        <v>477.93850327868847</v>
      </c>
      <c r="L1106" s="55">
        <v>0</v>
      </c>
      <c r="M1106" s="113">
        <f>SUMIFS(График[Возврат основной суммы долга],График[Дата с учетом нерабочих дней],$A1106)</f>
        <v>0</v>
      </c>
      <c r="N1106" s="56">
        <f>SUMIFS(График[Возврат начисленных %],График[Дата с учетом нерабочих дней],$A1106)</f>
        <v>0</v>
      </c>
      <c r="O1106" s="101">
        <v>0</v>
      </c>
      <c r="P1106" s="100" cm="1">
        <f t="array" aca="1" ref="P1106" ca="1">MAX(IF(AA1105="Да",0,SUM(INDIRECT("M"&amp;(MAX(("Да"=AA$12:AA1105)*ROW(AA$12:AA1105)+1,ROW($P$12))&amp;":M"&amp;(ROW()))))-SUM(INDIRECT("W"&amp;(MAX(("Да"=AA$12:AA1105)*ROW(AA$12:AA1105)+1,ROW($P$12))&amp;":W"&amp;(ROW()))))),0)</f>
        <v>18172.72</v>
      </c>
      <c r="Q1106" s="99">
        <f ca="1">MAX(SUM($N$13:N1106)-SUM($T$13:T1106),0)</f>
        <v>77414.980655737687</v>
      </c>
      <c r="R1106" s="99">
        <f ca="1">Первоначальный[[#This Row],[Просроченный платеж по ОД]]+Первоначальный[[#This Row],[Просроченный платеж по процентам]]</f>
        <v>95587.700655737688</v>
      </c>
      <c r="S1106" s="120">
        <f ca="1">IF(Первоначальный[[#This Row],[Просроченный платеж]]&lt;1,0,S1105+1)</f>
        <v>1002</v>
      </c>
      <c r="T1106" s="100" cm="1">
        <f t="array" aca="1" ref="T1106" ca="1">IF(Первоначальный[[#This Row],[Итого остаток на начало периода]]&lt;1,0,
IF(
AND(TYPE(VLOOKUP(1,$Z$12:Z1106,1,0))=16,Первоначальный[[#This Row],[Досрочное погашение (да/"")]]=""),0,
_xlfn.IFS(AND(S1105=0,Первоначальный[[#This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платеж]]&lt;&gt;0),MIN(LOOKUP(,-1/($Z$12:Z1106=1),$C$12:C1106)+LOOKUP(,-1/($Z$12:Z1106=1),$H$12:H1106),Первоначальный[[#This Row],[Полученный платеж]]+Y1105),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платеж]]+Y1105,SUM(Первоначальный[[#This Row],[Остаток процентов на начало периода]],Первоначальный[[#This Row],[Проценты за период]])),
AND(S1105=0,Первоначальный[[#This Row],[Дата платежа из графика]]=""),0,
AND(S1105=0,Первоначальный[[#This Row],[Дата платежа из графика]]=1,MAX((0&lt;&gt;S$12:S1105)*ROW(S$12:S1105),ROW($S$12))&gt;=MAX((1=Z$12:Z1105)*ROW(Z$12:Z1105),ROW($T$12)),TYPE(VLOOKUP("Да",(INDIRECT("AA"&amp;(MAX((1=Z$12:Z1105)*ROW(Z$12:Z1105),ROW($T$12))&amp;":AA"&amp;(ROW()-1)))),1,0))=16),MIN(LOOKUP(,-1/($Z$12:Z1106=1),$C$12:C1106)+LOOKUP(,-1/($Z$12:Z1106=1),$H$12:H1106),Первоначальный[[#This Row],[Полученный платеж]]+Y1105),
AND(S1105=0,TYPE(VLOOKUP("Да",(INDIRECT("AA"&amp;(MAX((1=Z$12:Z1105)*ROW(Z$12:Z1105),ROW($T$12))&amp;":AA"&amp;(ROW()-1)))),1,0))&lt;&gt;16),MIN(LOOKUP(,-1/($Z$12:Z1106=1),$C$12:C1106)+LOOKUP(,-1/($Z$12:Z1106=1),$H$12:H1106)-IF(AA1105="Да",0,SUM(INDIRECT("T"&amp;(MAX(("Да"=AA$12:AA1105)*ROW(AA$12:AA1105)+1,ROW($T$12))&amp;":T"&amp;(ROW()-1))))),Первоначальный[[#This Row],[Полученный платеж]]+Y1105),
AND(S1105=0,MAX((0&lt;&gt;N$12:N1105)*ROW(N$12:N1105),ROW($S$12))&gt;=MAX((1=Z$12:Z1105)*ROW(Z$12:Z1105),ROW($T$12))),MIN(LOOKUP(,-1/($Z$12:Z1106=1),$C$12:C1106)+LOOKUP(,-1/($Z$12:Z1106=1),$H$12:H1106)-IF(N1105&lt;&gt;0,0,SUM(INDIRECT("T"&amp;(MAX((0&lt;&gt;N$12:N1105)*ROW(N$12:N1105)+1,ROW($T$12))&amp;":T"&amp;(ROW()-1))))),Первоначальный[[#This Row],[Полученный платеж]]+Y1105),
AND(S1105=0,Первоначальный[[#This Row],[Дата платежа из графика]]=1),MIN(LOOKUP(,-1/($Z$12:Z1106=1),$C$12:C1106)+LOOKUP(,-1/($Z$12:Z1106=1),$H$12:H1106)-IF(Z1105=1,0,SUM(INDIRECT("T"&amp;(MAX((1=Z$12:Z1105)*ROW(Z$12:Z1105)+1,ROW($T$12))&amp;":T"&amp;(ROW()-1))))),Первоначальный[[#This Row],[Полученный платеж]]+Y1105),
AND(Z1105&gt;0,Первоначальный[[#This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платеж]]+Y1105),
AND(S1105&gt;0,MAX((0&lt;&gt;S$12:S1105)*ROW(S$12:S1105),ROW($S$12))&gt;=MAX((1=Z$12:Z1105)*ROW(Z$12:Z1105),ROW($T$12)),TYPE(VLOOKUP("Да",(INDIRECT("AA"&amp;(MAX((1=Z$12:Z1105)*ROW(Z$12:Z1105),ROW($T$12))&amp;":AA"&amp;(ROW()-1)))),1,0))=16),MIN(LOOKUP(,-1/($Z$12:Z1106=1),$C$12:C1106)+LOOKUP(,-1/($Z$12:Z1106=1),$H$12:H1106)-SUM(INDIRECT("T"&amp;(MAX((1=Z$12:Z1105)*ROW(Z$12:Z1105),ROW($T$12))&amp;":T"&amp;(ROW()-1)))),Первоначальный[[#This Row],[Полученный платеж]]+Y1105),
S1105&gt;0,MIN(LOOKUP(,-1/($Z$12:Z1106=1),$C$12:C1106)+LOOKUP(,-1/($Z$12:Z1106=1),$H$12:H1106)-IF(Z1105=1,0,SUM(INDIRECT("T"&amp;(MAX((1=Z$12:Z1105)*ROW(Z$12:Z1105)+1,ROW($T$12))&amp;":T"&amp;(ROW()-1))))),Первоначальный[[#This Row],[Полученный платеж]]+Y1105)
)
)
)</f>
        <v>0</v>
      </c>
      <c r="U110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платеж]]+Y1105-Первоначальный[[#This Row],[Полученный платёж по процентам]])</f>
        <v>0</v>
      </c>
      <c r="V1106" s="55">
        <f t="shared" ca="1" si="207"/>
        <v>0</v>
      </c>
      <c r="W1106" s="55" cm="1">
        <f t="array" aca="1" ref="W1106" ca="1">IF(Первоначальный[[#This Row],[Итого остаток на начало периода]]&lt;1,0,
_xlfn.IFS(
AND(TYPE(VLOOKUP(1,$Z$12:Z1106,1,0))=16,Первоначальный[[#This Row],[Досрочное погашение (да/"")]]=""),0,
AND(S1105=0,Первоначальный[[#This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платеж]]+Y1105-SUM(Первоначальный[[#This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комиссиям]]),VLOOKUP(LOOKUP(,-1/($Z$12:Z1106=1),$A$12:A1106),График[[Срок конец]:[Возврат основной суммы долга]],3,0)),
AND(S1105=0,Первоначальный[[#This Row],[Дата платежа из графика]]="",Первоначальный[[#This Row],[Досрочное погашение (да/"")]]&lt;&gt;"Да"),0,
AND(S1105=0,Первоначальный[[#This Row],[Досрочное погашение (да/"")]]=""),MIN(Первоначальный[[#This Row],[Полученный платеж]]+Y1105-SUM(Первоначальный[[#This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комиссиям]]),VLOOKUP(LOOKUP(,-1/($Z$12:Z1106=1),$A$12:A1106),График[[Срок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платеж]]+Y1105-SUM(Первоначальный[[#This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S1105&gt;0,MIN(Первоначальный[[#This Row],[Полученный платеж]]+Y1105-SUM(Первоначальный[[#This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комиссиям]]),SUM(INDIRECT("M"&amp;(MAX((1=S$12:S1105)*ROW(S$12:S1105),ROW($W$12))&amp;":M"&amp;(ROW()))))-SUM(INDIRECT("W"&amp;(MAX((1=S$12:S1105)*ROW(S$12:S1105),ROW($W$12))&amp;":W"&amp;(ROW()-1)))))
)
)</f>
        <v>0</v>
      </c>
      <c r="X1106" s="55">
        <f t="shared" ca="1" si="208"/>
        <v>0</v>
      </c>
      <c r="Y1106" s="101">
        <f t="shared" ca="1" si="215"/>
        <v>0</v>
      </c>
      <c r="Z1106" s="133" t="str">
        <f>IF(TYPE((VLOOKUP(Первоначальный[[#This Row],[Дата платежа]],График[Срок конец],1,0)))=16,"",1)</f>
        <v/>
      </c>
      <c r="AA1106" s="57"/>
      <c r="AB1106" s="134"/>
      <c r="AC110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0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79496.789999999906</v>
      </c>
      <c r="AE110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4680.9500000000016</v>
      </c>
      <c r="AF110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0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246757.77028524521</v>
      </c>
      <c r="AH1106" s="55"/>
      <c r="AI1106" s="55"/>
      <c r="AJ1106" s="55"/>
      <c r="AK1106" s="101">
        <f t="shared" ca="1" si="216"/>
        <v>480568.85028524511</v>
      </c>
      <c r="AL1106" s="129">
        <f t="array" ref="AL1106">MAX((УслРестрактов[Характеристика]="Дата реструктуризации")*(УслРестрактов[Значение]=Первоначальный!$A1106),0)</f>
        <v>0</v>
      </c>
    </row>
    <row r="1107" spans="1:38" x14ac:dyDescent="0.25">
      <c r="A1107" s="97">
        <f t="shared" si="209"/>
        <v>45238</v>
      </c>
      <c r="B1107" s="100">
        <f t="shared" ca="1" si="210"/>
        <v>149633.34</v>
      </c>
      <c r="C1107" s="55">
        <f t="shared" ca="1" si="206"/>
        <v>79496.789999999906</v>
      </c>
      <c r="D1107" s="55">
        <f t="shared" ca="1" si="206"/>
        <v>4680.9500000000016</v>
      </c>
      <c r="E1107" s="55">
        <f t="shared" ca="1" si="211"/>
        <v>0</v>
      </c>
      <c r="F1107" s="55">
        <f t="shared" ca="1" si="212"/>
        <v>246757.77028524521</v>
      </c>
      <c r="G1107" s="101">
        <f t="shared" ca="1" si="213"/>
        <v>480568.85028524511</v>
      </c>
      <c r="H1107" s="100">
        <f ca="1">ROUND($B1107*VLOOKUP($A1107,$A$1:$B$10,2,1)/(365+IF(MOD(YEAR($A1107),4),0,1)*($A1107-$A1106)),2)-Первоначальный[[#This Row],[Проценты на просроченный платеж по ОД за период]]</f>
        <v>71.67</v>
      </c>
      <c r="I1107" s="55">
        <f t="shared" ca="1" si="214"/>
        <v>9.91</v>
      </c>
      <c r="J1107" s="55">
        <v>0</v>
      </c>
      <c r="K1107" s="55">
        <f t="shared" ca="1" si="217"/>
        <v>477.93850327868847</v>
      </c>
      <c r="L1107" s="55">
        <v>0</v>
      </c>
      <c r="M1107" s="113">
        <f>SUMIFS(График[Возврат основной суммы долга],График[Дата с учетом нерабочих дней],$A1107)</f>
        <v>0</v>
      </c>
      <c r="N1107" s="56">
        <f>SUMIFS(График[Возврат начисленных %],График[Дата с учетом нерабочих дней],$A1107)</f>
        <v>0</v>
      </c>
      <c r="O1107" s="101">
        <v>0</v>
      </c>
      <c r="P1107" s="100" cm="1">
        <f t="array" aca="1" ref="P1107" ca="1">MAX(IF(AA1106="Да",0,SUM(INDIRECT("M"&amp;(MAX(("Да"=AA$12:AA1106)*ROW(AA$12:AA1106)+1,ROW($P$12))&amp;":M"&amp;(ROW()))))-SUM(INDIRECT("W"&amp;(MAX(("Да"=AA$12:AA1106)*ROW(AA$12:AA1106)+1,ROW($P$12))&amp;":W"&amp;(ROW()))))),0)</f>
        <v>18172.72</v>
      </c>
      <c r="Q1107" s="99">
        <f ca="1">MAX(SUM($N$13:N1107)-SUM($T$13:T1107),0)</f>
        <v>77414.980655737687</v>
      </c>
      <c r="R1107" s="99">
        <f ca="1">Первоначальный[[#This Row],[Просроченный платеж по ОД]]+Первоначальный[[#This Row],[Просроченный платеж по процентам]]</f>
        <v>95587.700655737688</v>
      </c>
      <c r="S1107" s="120">
        <f ca="1">IF(Первоначальный[[#This Row],[Просроченный платеж]]&lt;1,0,S1106+1)</f>
        <v>1003</v>
      </c>
      <c r="T1107" s="100" cm="1">
        <f t="array" aca="1" ref="T1107" ca="1">IF(Первоначальный[[#This Row],[Итого остаток на начало периода]]&lt;1,0,
IF(
AND(TYPE(VLOOKUP(1,$Z$12:Z1107,1,0))=16,Первоначальный[[#This Row],[Досрочное погашение (да/"")]]=""),0,
_xlfn.IFS(AND(S1106=0,Первоначальный[[#This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платеж]]&lt;&gt;0),MIN(LOOKUP(,-1/($Z$12:Z1107=1),$C$12:C1107)+LOOKUP(,-1/($Z$12:Z1107=1),$H$12:H1107),Первоначальный[[#This Row],[Полученный платеж]]+Y1106),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платеж]]+Y1106,SUM(Первоначальный[[#This Row],[Остаток процентов на начало периода]],Первоначальный[[#This Row],[Проценты за период]])),
AND(S1106=0,Первоначальный[[#This Row],[Дата платежа из графика]]=""),0,
AND(S1106=0,Первоначальный[[#This Row],[Дата платежа из графика]]=1,MAX((0&lt;&gt;S$12:S1106)*ROW(S$12:S1106),ROW($S$12))&gt;=MAX((1=Z$12:Z1106)*ROW(Z$12:Z1106),ROW($T$12)),TYPE(VLOOKUP("Да",(INDIRECT("AA"&amp;(MAX((1=Z$12:Z1106)*ROW(Z$12:Z1106),ROW($T$12))&amp;":AA"&amp;(ROW()-1)))),1,0))=16),MIN(LOOKUP(,-1/($Z$12:Z1107=1),$C$12:C1107)+LOOKUP(,-1/($Z$12:Z1107=1),$H$12:H1107),Первоначальный[[#This Row],[Полученный платеж]]+Y1106),
AND(S1106=0,TYPE(VLOOKUP("Да",(INDIRECT("AA"&amp;(MAX((1=Z$12:Z1106)*ROW(Z$12:Z1106),ROW($T$12))&amp;":AA"&amp;(ROW()-1)))),1,0))&lt;&gt;16),MIN(LOOKUP(,-1/($Z$12:Z1107=1),$C$12:C1107)+LOOKUP(,-1/($Z$12:Z1107=1),$H$12:H1107)-IF(AA1106="Да",0,SUM(INDIRECT("T"&amp;(MAX(("Да"=AA$12:AA1106)*ROW(AA$12:AA1106)+1,ROW($T$12))&amp;":T"&amp;(ROW()-1))))),Первоначальный[[#This Row],[Полученный платеж]]+Y1106),
AND(S1106=0,MAX((0&lt;&gt;N$12:N1106)*ROW(N$12:N1106),ROW($S$12))&gt;=MAX((1=Z$12:Z1106)*ROW(Z$12:Z1106),ROW($T$12))),MIN(LOOKUP(,-1/($Z$12:Z1107=1),$C$12:C1107)+LOOKUP(,-1/($Z$12:Z1107=1),$H$12:H1107)-IF(N1106&lt;&gt;0,0,SUM(INDIRECT("T"&amp;(MAX((0&lt;&gt;N$12:N1106)*ROW(N$12:N1106)+1,ROW($T$12))&amp;":T"&amp;(ROW()-1))))),Первоначальный[[#This Row],[Полученный платеж]]+Y1106),
AND(S1106=0,Первоначальный[[#This Row],[Дата платежа из графика]]=1),MIN(LOOKUP(,-1/($Z$12:Z1107=1),$C$12:C1107)+LOOKUP(,-1/($Z$12:Z1107=1),$H$12:H1107)-IF(Z1106=1,0,SUM(INDIRECT("T"&amp;(MAX((1=Z$12:Z1106)*ROW(Z$12:Z1106)+1,ROW($T$12))&amp;":T"&amp;(ROW()-1))))),Первоначальный[[#This Row],[Полученный платеж]]+Y1106),
AND(Z1106&gt;0,Первоначальный[[#This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платеж]]+Y1106),
AND(S1106&gt;0,MAX((0&lt;&gt;S$12:S1106)*ROW(S$12:S1106),ROW($S$12))&gt;=MAX((1=Z$12:Z1106)*ROW(Z$12:Z1106),ROW($T$12)),TYPE(VLOOKUP("Да",(INDIRECT("AA"&amp;(MAX((1=Z$12:Z1106)*ROW(Z$12:Z1106),ROW($T$12))&amp;":AA"&amp;(ROW()-1)))),1,0))=16),MIN(LOOKUP(,-1/($Z$12:Z1107=1),$C$12:C1107)+LOOKUP(,-1/($Z$12:Z1107=1),$H$12:H1107)-SUM(INDIRECT("T"&amp;(MAX((1=Z$12:Z1106)*ROW(Z$12:Z1106),ROW($T$12))&amp;":T"&amp;(ROW()-1)))),Первоначальный[[#This Row],[Полученный платеж]]+Y1106),
S1106&gt;0,MIN(LOOKUP(,-1/($Z$12:Z1107=1),$C$12:C1107)+LOOKUP(,-1/($Z$12:Z1107=1),$H$12:H1107)-IF(Z1106=1,0,SUM(INDIRECT("T"&amp;(MAX((1=Z$12:Z1106)*ROW(Z$12:Z1106)+1,ROW($T$12))&amp;":T"&amp;(ROW()-1))))),Первоначальный[[#This Row],[Полученный платеж]]+Y1106)
)
)
)</f>
        <v>0</v>
      </c>
      <c r="U110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платеж]]+Y1106-Первоначальный[[#This Row],[Полученный платёж по процентам]])</f>
        <v>0</v>
      </c>
      <c r="V1107" s="55">
        <f t="shared" ca="1" si="207"/>
        <v>0</v>
      </c>
      <c r="W1107" s="55" cm="1">
        <f t="array" aca="1" ref="W1107" ca="1">IF(Первоначальный[[#This Row],[Итого остаток на начало периода]]&lt;1,0,
_xlfn.IFS(
AND(TYPE(VLOOKUP(1,$Z$12:Z1107,1,0))=16,Первоначальный[[#This Row],[Досрочное погашение (да/"")]]=""),0,
AND(S1106=0,Первоначальный[[#This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платеж]]+Y1106-SUM(Первоначальный[[#This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комиссиям]]),VLOOKUP(LOOKUP(,-1/($Z$12:Z1107=1),$A$12:A1107),График[[Срок конец]:[Возврат основной суммы долга]],3,0)),
AND(S1106=0,Первоначальный[[#This Row],[Дата платежа из графика]]="",Первоначальный[[#This Row],[Досрочное погашение (да/"")]]&lt;&gt;"Да"),0,
AND(S1106=0,Первоначальный[[#This Row],[Досрочное погашение (да/"")]]=""),MIN(Первоначальный[[#This Row],[Полученный платеж]]+Y1106-SUM(Первоначальный[[#This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комиссиям]]),VLOOKUP(LOOKUP(,-1/($Z$12:Z1107=1),$A$12:A1107),График[[Срок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платеж]]+Y1106-SUM(Первоначальный[[#This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S1106&gt;0,MIN(Первоначальный[[#This Row],[Полученный платеж]]+Y1106-SUM(Первоначальный[[#This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комиссиям]]),SUM(INDIRECT("M"&amp;(MAX((1=S$12:S1106)*ROW(S$12:S1106),ROW($W$12))&amp;":M"&amp;(ROW()))))-SUM(INDIRECT("W"&amp;(MAX((1=S$12:S1106)*ROW(S$12:S1106),ROW($W$12))&amp;":W"&amp;(ROW()-1)))))
)
)</f>
        <v>0</v>
      </c>
      <c r="X1107" s="55">
        <f t="shared" ca="1" si="208"/>
        <v>0</v>
      </c>
      <c r="Y1107" s="101">
        <f t="shared" ca="1" si="215"/>
        <v>0</v>
      </c>
      <c r="Z1107" s="133" t="str">
        <f>IF(TYPE((VLOOKUP(Первоначальный[[#This Row],[Дата платежа]],График[Срок конец],1,0)))=16,"",1)</f>
        <v/>
      </c>
      <c r="AA1107" s="57"/>
      <c r="AB1107" s="134"/>
      <c r="AC110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0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79568.459999999905</v>
      </c>
      <c r="AE110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4690.8600000000015</v>
      </c>
      <c r="AF110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0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247235.70878852389</v>
      </c>
      <c r="AH1107" s="55"/>
      <c r="AI1107" s="55"/>
      <c r="AJ1107" s="55"/>
      <c r="AK1107" s="101">
        <f t="shared" ca="1" si="216"/>
        <v>481128.36878852383</v>
      </c>
      <c r="AL1107" s="129">
        <f t="array" ref="AL1107">MAX((УслРестрактов[Характеристика]="Дата реструктуризации")*(УслРестрактов[Значение]=Первоначальный!$A1107),0)</f>
        <v>0</v>
      </c>
    </row>
    <row r="1108" spans="1:38" x14ac:dyDescent="0.25">
      <c r="A1108" s="97">
        <f t="shared" si="209"/>
        <v>45239</v>
      </c>
      <c r="B1108" s="100">
        <f t="shared" ca="1" si="210"/>
        <v>149633.34</v>
      </c>
      <c r="C1108" s="55">
        <f t="shared" ca="1" si="206"/>
        <v>79568.459999999905</v>
      </c>
      <c r="D1108" s="55">
        <f t="shared" ca="1" si="206"/>
        <v>4690.8600000000015</v>
      </c>
      <c r="E1108" s="55">
        <f t="shared" ca="1" si="211"/>
        <v>0</v>
      </c>
      <c r="F1108" s="55">
        <f t="shared" ca="1" si="212"/>
        <v>247235.70878852389</v>
      </c>
      <c r="G1108" s="101">
        <f t="shared" ca="1" si="213"/>
        <v>481128.36878852383</v>
      </c>
      <c r="H1108" s="100">
        <f ca="1">ROUND($B1108*VLOOKUP($A1108,$A$1:$B$10,2,1)/(365+IF(MOD(YEAR($A1108),4),0,1)*($A1108-$A1107)),2)-Первоначальный[[#This Row],[Проценты на просроченный платеж по ОД за период]]</f>
        <v>71.67</v>
      </c>
      <c r="I1108" s="55">
        <f t="shared" ca="1" si="214"/>
        <v>9.91</v>
      </c>
      <c r="J1108" s="55">
        <v>0</v>
      </c>
      <c r="K1108" s="55">
        <f t="shared" ca="1" si="217"/>
        <v>492.42350327868843</v>
      </c>
      <c r="L1108" s="55">
        <v>0</v>
      </c>
      <c r="M1108" s="113">
        <f>SUMIFS(График[Возврат основной суммы долга],График[Дата с учетом нерабочих дней],$A1108)</f>
        <v>675.13999999999987</v>
      </c>
      <c r="N1108" s="56">
        <f>SUMIFS(График[Возврат начисленных %],График[Дата с учетом нерабочих дней],$A1108)</f>
        <v>2221.86</v>
      </c>
      <c r="O1108" s="101">
        <v>0</v>
      </c>
      <c r="P1108" s="100" cm="1">
        <f t="array" aca="1" ref="P1108" ca="1">MAX(IF(AA1107="Да",0,SUM(INDIRECT("M"&amp;(MAX(("Да"=AA$12:AA1107)*ROW(AA$12:AA1107)+1,ROW($P$12))&amp;":M"&amp;(ROW()))))-SUM(INDIRECT("W"&amp;(MAX(("Да"=AA$12:AA1107)*ROW(AA$12:AA1107)+1,ROW($P$12))&amp;":W"&amp;(ROW()))))),0)</f>
        <v>18847.86</v>
      </c>
      <c r="Q1108" s="99">
        <f ca="1">MAX(SUM($N$13:N1108)-SUM($T$13:T1108),0)</f>
        <v>79636.840655737687</v>
      </c>
      <c r="R1108" s="99">
        <f ca="1">Первоначальный[[#This Row],[Просроченный платеж по ОД]]+Первоначальный[[#This Row],[Просроченный платеж по процентам]]</f>
        <v>98484.700655737688</v>
      </c>
      <c r="S1108" s="120">
        <f ca="1">IF(Первоначальный[[#This Row],[Просроченный платеж]]&lt;1,0,S1107+1)</f>
        <v>1004</v>
      </c>
      <c r="T1108" s="100" cm="1">
        <f t="array" aca="1" ref="T1108" ca="1">IF(Первоначальный[[#This Row],[Итого остаток на начало периода]]&lt;1,0,
IF(
AND(TYPE(VLOOKUP(1,$Z$12:Z1108,1,0))=16,Первоначальный[[#This Row],[Досрочное погашение (да/"")]]=""),0,
_xlfn.IFS(AND(S1107=0,Первоначальный[[#This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платеж]]&lt;&gt;0),MIN(LOOKUP(,-1/($Z$12:Z1108=1),$C$12:C1108)+LOOKUP(,-1/($Z$12:Z1108=1),$H$12:H1108),Первоначальный[[#This Row],[Полученный платеж]]+Y1107),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платеж]]+Y1107,SUM(Первоначальный[[#This Row],[Остаток процентов на начало периода]],Первоначальный[[#This Row],[Проценты за период]])),
AND(S1107=0,Первоначальный[[#This Row],[Дата платежа из графика]]=""),0,
AND(S1107=0,Первоначальный[[#This Row],[Дата платежа из графика]]=1,MAX((0&lt;&gt;S$12:S1107)*ROW(S$12:S1107),ROW($S$12))&gt;=MAX((1=Z$12:Z1107)*ROW(Z$12:Z1107),ROW($T$12)),TYPE(VLOOKUP("Да",(INDIRECT("AA"&amp;(MAX((1=Z$12:Z1107)*ROW(Z$12:Z1107),ROW($T$12))&amp;":AA"&amp;(ROW()-1)))),1,0))=16),MIN(LOOKUP(,-1/($Z$12:Z1108=1),$C$12:C1108)+LOOKUP(,-1/($Z$12:Z1108=1),$H$12:H1108),Первоначальный[[#This Row],[Полученный платеж]]+Y1107),
AND(S1107=0,TYPE(VLOOKUP("Да",(INDIRECT("AA"&amp;(MAX((1=Z$12:Z1107)*ROW(Z$12:Z1107),ROW($T$12))&amp;":AA"&amp;(ROW()-1)))),1,0))&lt;&gt;16),MIN(LOOKUP(,-1/($Z$12:Z1108=1),$C$12:C1108)+LOOKUP(,-1/($Z$12:Z1108=1),$H$12:H1108)-IF(AA1107="Да",0,SUM(INDIRECT("T"&amp;(MAX(("Да"=AA$12:AA1107)*ROW(AA$12:AA1107)+1,ROW($T$12))&amp;":T"&amp;(ROW()-1))))),Первоначальный[[#This Row],[Полученный платеж]]+Y1107),
AND(S1107=0,MAX((0&lt;&gt;N$12:N1107)*ROW(N$12:N1107),ROW($S$12))&gt;=MAX((1=Z$12:Z1107)*ROW(Z$12:Z1107),ROW($T$12))),MIN(LOOKUP(,-1/($Z$12:Z1108=1),$C$12:C1108)+LOOKUP(,-1/($Z$12:Z1108=1),$H$12:H1108)-IF(N1107&lt;&gt;0,0,SUM(INDIRECT("T"&amp;(MAX((0&lt;&gt;N$12:N1107)*ROW(N$12:N1107)+1,ROW($T$12))&amp;":T"&amp;(ROW()-1))))),Первоначальный[[#This Row],[Полученный платеж]]+Y1107),
AND(S1107=0,Первоначальный[[#This Row],[Дата платежа из графика]]=1),MIN(LOOKUP(,-1/($Z$12:Z1108=1),$C$12:C1108)+LOOKUP(,-1/($Z$12:Z1108=1),$H$12:H1108)-IF(Z1107=1,0,SUM(INDIRECT("T"&amp;(MAX((1=Z$12:Z1107)*ROW(Z$12:Z1107)+1,ROW($T$12))&amp;":T"&amp;(ROW()-1))))),Первоначальный[[#This Row],[Полученный платеж]]+Y1107),
AND(Z1107&gt;0,Первоначальный[[#This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платеж]]+Y1107),
AND(S1107&gt;0,MAX((0&lt;&gt;S$12:S1107)*ROW(S$12:S1107),ROW($S$12))&gt;=MAX((1=Z$12:Z1107)*ROW(Z$12:Z1107),ROW($T$12)),TYPE(VLOOKUP("Да",(INDIRECT("AA"&amp;(MAX((1=Z$12:Z1107)*ROW(Z$12:Z1107),ROW($T$12))&amp;":AA"&amp;(ROW()-1)))),1,0))=16),MIN(LOOKUP(,-1/($Z$12:Z1108=1),$C$12:C1108)+LOOKUP(,-1/($Z$12:Z1108=1),$H$12:H1108)-SUM(INDIRECT("T"&amp;(MAX((1=Z$12:Z1107)*ROW(Z$12:Z1107),ROW($T$12))&amp;":T"&amp;(ROW()-1)))),Первоначальный[[#This Row],[Полученный платеж]]+Y1107),
S1107&gt;0,MIN(LOOKUP(,-1/($Z$12:Z1108=1),$C$12:C1108)+LOOKUP(,-1/($Z$12:Z1108=1),$H$12:H1108)-IF(Z1107=1,0,SUM(INDIRECT("T"&amp;(MAX((1=Z$12:Z1107)*ROW(Z$12:Z1107)+1,ROW($T$12))&amp;":T"&amp;(ROW()-1))))),Первоначальный[[#This Row],[Полученный платеж]]+Y1107)
)
)
)</f>
        <v>0</v>
      </c>
      <c r="U110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платеж]]+Y1107-Первоначальный[[#This Row],[Полученный платёж по процентам]])</f>
        <v>0</v>
      </c>
      <c r="V1108" s="55">
        <f t="shared" ca="1" si="207"/>
        <v>0</v>
      </c>
      <c r="W1108" s="55" cm="1">
        <f t="array" aca="1" ref="W1108" ca="1">IF(Первоначальный[[#This Row],[Итого остаток на начало периода]]&lt;1,0,
_xlfn.IFS(
AND(TYPE(VLOOKUP(1,$Z$12:Z1108,1,0))=16,Первоначальный[[#This Row],[Досрочное погашение (да/"")]]=""),0,
AND(S1107=0,Первоначальный[[#This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платеж]]+Y1107-SUM(Первоначальный[[#This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комиссиям]]),VLOOKUP(LOOKUP(,-1/($Z$12:Z1108=1),$A$12:A1108),График[[Срок конец]:[Возврат основной суммы долга]],3,0)),
AND(S1107=0,Первоначальный[[#This Row],[Дата платежа из графика]]="",Первоначальный[[#This Row],[Досрочное погашение (да/"")]]&lt;&gt;"Да"),0,
AND(S1107=0,Первоначальный[[#This Row],[Досрочное погашение (да/"")]]=""),MIN(Первоначальный[[#This Row],[Полученный платеж]]+Y1107-SUM(Первоначальный[[#This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комиссиям]]),VLOOKUP(LOOKUP(,-1/($Z$12:Z1108=1),$A$12:A1108),График[[Срок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платеж]]+Y1107-SUM(Первоначальный[[#This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S1107&gt;0,MIN(Первоначальный[[#This Row],[Полученный платеж]]+Y1107-SUM(Первоначальный[[#This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комиссиям]]),SUM(INDIRECT("M"&amp;(MAX((1=S$12:S1107)*ROW(S$12:S1107),ROW($W$12))&amp;":M"&amp;(ROW()))))-SUM(INDIRECT("W"&amp;(MAX((1=S$12:S1107)*ROW(S$12:S1107),ROW($W$12))&amp;":W"&amp;(ROW()-1)))))
)
)</f>
        <v>0</v>
      </c>
      <c r="X1108" s="55">
        <f t="shared" ca="1" si="208"/>
        <v>0</v>
      </c>
      <c r="Y1108" s="101">
        <f t="shared" ca="1" si="215"/>
        <v>0</v>
      </c>
      <c r="Z1108" s="133">
        <f>IF(TYPE((VLOOKUP(Первоначальный[[#This Row],[Дата платежа]],График[Срок конец],1,0)))=16,"",1)</f>
        <v>1</v>
      </c>
      <c r="AA1108" s="57"/>
      <c r="AB1108" s="134"/>
      <c r="AC110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0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79640.129999999903</v>
      </c>
      <c r="AE110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4700.7700000000013</v>
      </c>
      <c r="AF110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0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247728.13229180258</v>
      </c>
      <c r="AH1108" s="55"/>
      <c r="AI1108" s="55"/>
      <c r="AJ1108" s="55"/>
      <c r="AK1108" s="101">
        <f t="shared" ca="1" si="216"/>
        <v>481702.37229180249</v>
      </c>
      <c r="AL1108" s="129">
        <f t="array" ref="AL1108">MAX((УслРестрактов[Характеристика]="Дата реструктуризации")*(УслРестрактов[Значение]=Первоначальный!$A1108),0)</f>
        <v>0</v>
      </c>
    </row>
    <row r="1109" spans="1:38" x14ac:dyDescent="0.25">
      <c r="A1109" s="97">
        <f t="shared" si="209"/>
        <v>45240</v>
      </c>
      <c r="B1109" s="100">
        <f t="shared" ca="1" si="210"/>
        <v>149633.34</v>
      </c>
      <c r="C1109" s="55">
        <f t="shared" ca="1" si="206"/>
        <v>79640.129999999903</v>
      </c>
      <c r="D1109" s="55">
        <f t="shared" ca="1" si="206"/>
        <v>4700.7700000000013</v>
      </c>
      <c r="E1109" s="55">
        <f t="shared" ca="1" si="211"/>
        <v>0</v>
      </c>
      <c r="F1109" s="55">
        <f t="shared" ca="1" si="212"/>
        <v>247728.13229180258</v>
      </c>
      <c r="G1109" s="101">
        <f t="shared" ca="1" si="213"/>
        <v>481702.37229180249</v>
      </c>
      <c r="H1109" s="100">
        <f ca="1">ROUND($B1109*VLOOKUP($A1109,$A$1:$B$10,2,1)/(365+IF(MOD(YEAR($A1109),4),0,1)*($A1109-$A1108)),2)-Первоначальный[[#This Row],[Проценты на просроченный платеж по ОД за период]]</f>
        <v>71.3</v>
      </c>
      <c r="I1109" s="55">
        <f t="shared" ca="1" si="214"/>
        <v>10.28</v>
      </c>
      <c r="J1109" s="55">
        <v>0</v>
      </c>
      <c r="K1109" s="55">
        <f t="shared" ca="1" si="217"/>
        <v>492.42350327868843</v>
      </c>
      <c r="L1109" s="55">
        <v>0</v>
      </c>
      <c r="M1109" s="113">
        <f>SUMIFS(График[Возврат основной суммы долга],График[Дата с учетом нерабочих дней],$A1109)</f>
        <v>0</v>
      </c>
      <c r="N1109" s="56">
        <f>SUMIFS(График[Возврат начисленных %],График[Дата с учетом нерабочих дней],$A1109)</f>
        <v>0</v>
      </c>
      <c r="O1109" s="101">
        <v>0</v>
      </c>
      <c r="P1109" s="100" cm="1">
        <f t="array" aca="1" ref="P1109" ca="1">MAX(IF(AA1108="Да",0,SUM(INDIRECT("M"&amp;(MAX(("Да"=AA$12:AA1108)*ROW(AA$12:AA1108)+1,ROW($P$12))&amp;":M"&amp;(ROW()))))-SUM(INDIRECT("W"&amp;(MAX(("Да"=AA$12:AA1108)*ROW(AA$12:AA1108)+1,ROW($P$12))&amp;":W"&amp;(ROW()))))),0)</f>
        <v>18847.86</v>
      </c>
      <c r="Q1109" s="99">
        <f ca="1">MAX(SUM($N$13:N1109)-SUM($T$13:T1109),0)</f>
        <v>79636.840655737687</v>
      </c>
      <c r="R1109" s="99">
        <f ca="1">Первоначальный[[#This Row],[Просроченный платеж по ОД]]+Первоначальный[[#This Row],[Просроченный платеж по процентам]]</f>
        <v>98484.700655737688</v>
      </c>
      <c r="S1109" s="120">
        <f ca="1">IF(Первоначальный[[#This Row],[Просроченный платеж]]&lt;1,0,S1108+1)</f>
        <v>1005</v>
      </c>
      <c r="T1109" s="100" cm="1">
        <f t="array" aca="1" ref="T1109" ca="1">IF(Первоначальный[[#This Row],[Итого остаток на начало периода]]&lt;1,0,
IF(
AND(TYPE(VLOOKUP(1,$Z$12:Z1109,1,0))=16,Первоначальный[[#This Row],[Досрочное погашение (да/"")]]=""),0,
_xlfn.IFS(AND(S1108=0,Первоначальный[[#This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платеж]]&lt;&gt;0),MIN(LOOKUP(,-1/($Z$12:Z1109=1),$C$12:C1109)+LOOKUP(,-1/($Z$12:Z1109=1),$H$12:H1109),Первоначальный[[#This Row],[Полученный платеж]]+Y1108),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платеж]]+Y1108,SUM(Первоначальный[[#This Row],[Остаток процентов на начало периода]],Первоначальный[[#This Row],[Проценты за период]])),
AND(S1108=0,Первоначальный[[#This Row],[Дата платежа из графика]]=""),0,
AND(S1108=0,Первоначальный[[#This Row],[Дата платежа из графика]]=1,MAX((0&lt;&gt;S$12:S1108)*ROW(S$12:S1108),ROW($S$12))&gt;=MAX((1=Z$12:Z1108)*ROW(Z$12:Z1108),ROW($T$12)),TYPE(VLOOKUP("Да",(INDIRECT("AA"&amp;(MAX((1=Z$12:Z1108)*ROW(Z$12:Z1108),ROW($T$12))&amp;":AA"&amp;(ROW()-1)))),1,0))=16),MIN(LOOKUP(,-1/($Z$12:Z1109=1),$C$12:C1109)+LOOKUP(,-1/($Z$12:Z1109=1),$H$12:H1109),Первоначальный[[#This Row],[Полученный платеж]]+Y1108),
AND(S1108=0,TYPE(VLOOKUP("Да",(INDIRECT("AA"&amp;(MAX((1=Z$12:Z1108)*ROW(Z$12:Z1108),ROW($T$12))&amp;":AA"&amp;(ROW()-1)))),1,0))&lt;&gt;16),MIN(LOOKUP(,-1/($Z$12:Z1109=1),$C$12:C1109)+LOOKUP(,-1/($Z$12:Z1109=1),$H$12:H1109)-IF(AA1108="Да",0,SUM(INDIRECT("T"&amp;(MAX(("Да"=AA$12:AA1108)*ROW(AA$12:AA1108)+1,ROW($T$12))&amp;":T"&amp;(ROW()-1))))),Первоначальный[[#This Row],[Полученный платеж]]+Y1108),
AND(S1108=0,MAX((0&lt;&gt;N$12:N1108)*ROW(N$12:N1108),ROW($S$12))&gt;=MAX((1=Z$12:Z1108)*ROW(Z$12:Z1108),ROW($T$12))),MIN(LOOKUP(,-1/($Z$12:Z1109=1),$C$12:C1109)+LOOKUP(,-1/($Z$12:Z1109=1),$H$12:H1109)-IF(N1108&lt;&gt;0,0,SUM(INDIRECT("T"&amp;(MAX((0&lt;&gt;N$12:N1108)*ROW(N$12:N1108)+1,ROW($T$12))&amp;":T"&amp;(ROW()-1))))),Первоначальный[[#This Row],[Полученный платеж]]+Y1108),
AND(S1108=0,Первоначальный[[#This Row],[Дата платежа из графика]]=1),MIN(LOOKUP(,-1/($Z$12:Z1109=1),$C$12:C1109)+LOOKUP(,-1/($Z$12:Z1109=1),$H$12:H1109)-IF(Z1108=1,0,SUM(INDIRECT("T"&amp;(MAX((1=Z$12:Z1108)*ROW(Z$12:Z1108)+1,ROW($T$12))&amp;":T"&amp;(ROW()-1))))),Первоначальный[[#This Row],[Полученный платеж]]+Y1108),
AND(Z1108&gt;0,Первоначальный[[#This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платеж]]+Y1108),
AND(S1108&gt;0,MAX((0&lt;&gt;S$12:S1108)*ROW(S$12:S1108),ROW($S$12))&gt;=MAX((1=Z$12:Z1108)*ROW(Z$12:Z1108),ROW($T$12)),TYPE(VLOOKUP("Да",(INDIRECT("AA"&amp;(MAX((1=Z$12:Z1108)*ROW(Z$12:Z1108),ROW($T$12))&amp;":AA"&amp;(ROW()-1)))),1,0))=16),MIN(LOOKUP(,-1/($Z$12:Z1109=1),$C$12:C1109)+LOOKUP(,-1/($Z$12:Z1109=1),$H$12:H1109)-SUM(INDIRECT("T"&amp;(MAX((1=Z$12:Z1108)*ROW(Z$12:Z1108),ROW($T$12))&amp;":T"&amp;(ROW()-1)))),Первоначальный[[#This Row],[Полученный платеж]]+Y1108),
S1108&gt;0,MIN(LOOKUP(,-1/($Z$12:Z1109=1),$C$12:C1109)+LOOKUP(,-1/($Z$12:Z1109=1),$H$12:H1109)-IF(Z1108=1,0,SUM(INDIRECT("T"&amp;(MAX((1=Z$12:Z1108)*ROW(Z$12:Z1108)+1,ROW($T$12))&amp;":T"&amp;(ROW()-1))))),Первоначальный[[#This Row],[Полученный платеж]]+Y1108)
)
)
)</f>
        <v>0</v>
      </c>
      <c r="U110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платеж]]+Y1108-Первоначальный[[#This Row],[Полученный платёж по процентам]])</f>
        <v>0</v>
      </c>
      <c r="V1109" s="55">
        <f t="shared" ca="1" si="207"/>
        <v>0</v>
      </c>
      <c r="W1109" s="55" cm="1">
        <f t="array" aca="1" ref="W1109" ca="1">IF(Первоначальный[[#This Row],[Итого остаток на начало периода]]&lt;1,0,
_xlfn.IFS(
AND(TYPE(VLOOKUP(1,$Z$12:Z1109,1,0))=16,Первоначальный[[#This Row],[Досрочное погашение (да/"")]]=""),0,
AND(S1108=0,Первоначальный[[#This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платеж]]+Y1108-SUM(Первоначальный[[#This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комиссиям]]),VLOOKUP(LOOKUP(,-1/($Z$12:Z1109=1),$A$12:A1109),График[[Срок конец]:[Возврат основной суммы долга]],3,0)),
AND(S1108=0,Первоначальный[[#This Row],[Дата платежа из графика]]="",Первоначальный[[#This Row],[Досрочное погашение (да/"")]]&lt;&gt;"Да"),0,
AND(S1108=0,Первоначальный[[#This Row],[Досрочное погашение (да/"")]]=""),MIN(Первоначальный[[#This Row],[Полученный платеж]]+Y1108-SUM(Первоначальный[[#This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комиссиям]]),VLOOKUP(LOOKUP(,-1/($Z$12:Z1109=1),$A$12:A1109),График[[Срок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платеж]]+Y1108-SUM(Первоначальный[[#This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S1108&gt;0,MIN(Первоначальный[[#This Row],[Полученный платеж]]+Y1108-SUM(Первоначальный[[#This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комиссиям]]),SUM(INDIRECT("M"&amp;(MAX((1=S$12:S1108)*ROW(S$12:S1108),ROW($W$12))&amp;":M"&amp;(ROW()))))-SUM(INDIRECT("W"&amp;(MAX((1=S$12:S1108)*ROW(S$12:S1108),ROW($W$12))&amp;":W"&amp;(ROW()-1)))))
)
)</f>
        <v>0</v>
      </c>
      <c r="X1109" s="55">
        <f t="shared" ca="1" si="208"/>
        <v>0</v>
      </c>
      <c r="Y1109" s="101">
        <f t="shared" ca="1" si="215"/>
        <v>0</v>
      </c>
      <c r="Z1109" s="133" t="str">
        <f>IF(TYPE((VLOOKUP(Первоначальный[[#This Row],[Дата платежа]],График[Срок конец],1,0)))=16,"",1)</f>
        <v/>
      </c>
      <c r="AA1109" s="57"/>
      <c r="AB1109" s="134"/>
      <c r="AC110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0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79711.429999999906</v>
      </c>
      <c r="AE110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4711.0500000000011</v>
      </c>
      <c r="AF110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0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248220.55579508128</v>
      </c>
      <c r="AH1109" s="55"/>
      <c r="AI1109" s="55"/>
      <c r="AJ1109" s="55"/>
      <c r="AK1109" s="101">
        <f t="shared" ca="1" si="216"/>
        <v>482276.37579508114</v>
      </c>
      <c r="AL1109" s="129">
        <f t="array" ref="AL1109">MAX((УслРестрактов[Характеристика]="Дата реструктуризации")*(УслРестрактов[Значение]=Первоначальный!$A1109),0)</f>
        <v>0</v>
      </c>
    </row>
    <row r="1110" spans="1:38" x14ac:dyDescent="0.25">
      <c r="A1110" s="97">
        <f t="shared" si="209"/>
        <v>45241</v>
      </c>
      <c r="B1110" s="100">
        <f t="shared" ca="1" si="210"/>
        <v>149633.34</v>
      </c>
      <c r="C1110" s="55">
        <f t="shared" ca="1" si="206"/>
        <v>79711.429999999906</v>
      </c>
      <c r="D1110" s="55">
        <f t="shared" ca="1" si="206"/>
        <v>4711.0500000000011</v>
      </c>
      <c r="E1110" s="55">
        <f t="shared" ca="1" si="211"/>
        <v>0</v>
      </c>
      <c r="F1110" s="55">
        <f t="shared" ca="1" si="212"/>
        <v>248220.55579508128</v>
      </c>
      <c r="G1110" s="101">
        <f t="shared" ca="1" si="213"/>
        <v>482276.37579508114</v>
      </c>
      <c r="H1110" s="100">
        <f ca="1">ROUND($B1110*VLOOKUP($A1110,$A$1:$B$10,2,1)/(365+IF(MOD(YEAR($A1110),4),0,1)*($A1110-$A1109)),2)-Первоначальный[[#This Row],[Проценты на просроченный платеж по ОД за период]]</f>
        <v>71.3</v>
      </c>
      <c r="I1110" s="55">
        <f t="shared" ca="1" si="214"/>
        <v>10.28</v>
      </c>
      <c r="J1110" s="55">
        <v>0</v>
      </c>
      <c r="K1110" s="55">
        <f t="shared" ca="1" si="217"/>
        <v>492.42350327868843</v>
      </c>
      <c r="L1110" s="55">
        <v>0</v>
      </c>
      <c r="M1110" s="113">
        <f>SUMIFS(График[Возврат основной суммы долга],График[Дата с учетом нерабочих дней],$A1110)</f>
        <v>0</v>
      </c>
      <c r="N1110" s="56">
        <f>SUMIFS(График[Возврат начисленных %],График[Дата с учетом нерабочих дней],$A1110)</f>
        <v>0</v>
      </c>
      <c r="O1110" s="101">
        <v>0</v>
      </c>
      <c r="P1110" s="100" cm="1">
        <f t="array" aca="1" ref="P1110" ca="1">MAX(IF(AA1109="Да",0,SUM(INDIRECT("M"&amp;(MAX(("Да"=AA$12:AA1109)*ROW(AA$12:AA1109)+1,ROW($P$12))&amp;":M"&amp;(ROW()))))-SUM(INDIRECT("W"&amp;(MAX(("Да"=AA$12:AA1109)*ROW(AA$12:AA1109)+1,ROW($P$12))&amp;":W"&amp;(ROW()))))),0)</f>
        <v>18847.86</v>
      </c>
      <c r="Q1110" s="99">
        <f ca="1">MAX(SUM($N$13:N1110)-SUM($T$13:T1110),0)</f>
        <v>79636.840655737687</v>
      </c>
      <c r="R1110" s="99">
        <f ca="1">Первоначальный[[#This Row],[Просроченный платеж по ОД]]+Первоначальный[[#This Row],[Просроченный платеж по процентам]]</f>
        <v>98484.700655737688</v>
      </c>
      <c r="S1110" s="120">
        <f ca="1">IF(Первоначальный[[#This Row],[Просроченный платеж]]&lt;1,0,S1109+1)</f>
        <v>1006</v>
      </c>
      <c r="T1110" s="100" cm="1">
        <f t="array" aca="1" ref="T1110" ca="1">IF(Первоначальный[[#This Row],[Итого остаток на начало периода]]&lt;1,0,
IF(
AND(TYPE(VLOOKUP(1,$Z$12:Z1110,1,0))=16,Первоначальный[[#This Row],[Досрочное погашение (да/"")]]=""),0,
_xlfn.IFS(AND(S1109=0,Первоначальный[[#This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платеж]]&lt;&gt;0),MIN(LOOKUP(,-1/($Z$12:Z1110=1),$C$12:C1110)+LOOKUP(,-1/($Z$12:Z1110=1),$H$12:H1110),Первоначальный[[#This Row],[Полученный платеж]]+Y1109),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платеж]]+Y1109,SUM(Первоначальный[[#This Row],[Остаток процентов на начало периода]],Первоначальный[[#This Row],[Проценты за период]])),
AND(S1109=0,Первоначальный[[#This Row],[Дата платежа из графика]]=""),0,
AND(S1109=0,Первоначальный[[#This Row],[Дата платежа из графика]]=1,MAX((0&lt;&gt;S$12:S1109)*ROW(S$12:S1109),ROW($S$12))&gt;=MAX((1=Z$12:Z1109)*ROW(Z$12:Z1109),ROW($T$12)),TYPE(VLOOKUP("Да",(INDIRECT("AA"&amp;(MAX((1=Z$12:Z1109)*ROW(Z$12:Z1109),ROW($T$12))&amp;":AA"&amp;(ROW()-1)))),1,0))=16),MIN(LOOKUP(,-1/($Z$12:Z1110=1),$C$12:C1110)+LOOKUP(,-1/($Z$12:Z1110=1),$H$12:H1110),Первоначальный[[#This Row],[Полученный платеж]]+Y1109),
AND(S1109=0,TYPE(VLOOKUP("Да",(INDIRECT("AA"&amp;(MAX((1=Z$12:Z1109)*ROW(Z$12:Z1109),ROW($T$12))&amp;":AA"&amp;(ROW()-1)))),1,0))&lt;&gt;16),MIN(LOOKUP(,-1/($Z$12:Z1110=1),$C$12:C1110)+LOOKUP(,-1/($Z$12:Z1110=1),$H$12:H1110)-IF(AA1109="Да",0,SUM(INDIRECT("T"&amp;(MAX(("Да"=AA$12:AA1109)*ROW(AA$12:AA1109)+1,ROW($T$12))&amp;":T"&amp;(ROW()-1))))),Первоначальный[[#This Row],[Полученный платеж]]+Y1109),
AND(S1109=0,MAX((0&lt;&gt;N$12:N1109)*ROW(N$12:N1109),ROW($S$12))&gt;=MAX((1=Z$12:Z1109)*ROW(Z$12:Z1109),ROW($T$12))),MIN(LOOKUP(,-1/($Z$12:Z1110=1),$C$12:C1110)+LOOKUP(,-1/($Z$12:Z1110=1),$H$12:H1110)-IF(N1109&lt;&gt;0,0,SUM(INDIRECT("T"&amp;(MAX((0&lt;&gt;N$12:N1109)*ROW(N$12:N1109)+1,ROW($T$12))&amp;":T"&amp;(ROW()-1))))),Первоначальный[[#This Row],[Полученный платеж]]+Y1109),
AND(S1109=0,Первоначальный[[#This Row],[Дата платежа из графика]]=1),MIN(LOOKUP(,-1/($Z$12:Z1110=1),$C$12:C1110)+LOOKUP(,-1/($Z$12:Z1110=1),$H$12:H1110)-IF(Z1109=1,0,SUM(INDIRECT("T"&amp;(MAX((1=Z$12:Z1109)*ROW(Z$12:Z1109)+1,ROW($T$12))&amp;":T"&amp;(ROW()-1))))),Первоначальный[[#This Row],[Полученный платеж]]+Y1109),
AND(Z1109&gt;0,Первоначальный[[#This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платеж]]+Y1109),
AND(S1109&gt;0,MAX((0&lt;&gt;S$12:S1109)*ROW(S$12:S1109),ROW($S$12))&gt;=MAX((1=Z$12:Z1109)*ROW(Z$12:Z1109),ROW($T$12)),TYPE(VLOOKUP("Да",(INDIRECT("AA"&amp;(MAX((1=Z$12:Z1109)*ROW(Z$12:Z1109),ROW($T$12))&amp;":AA"&amp;(ROW()-1)))),1,0))=16),MIN(LOOKUP(,-1/($Z$12:Z1110=1),$C$12:C1110)+LOOKUP(,-1/($Z$12:Z1110=1),$H$12:H1110)-SUM(INDIRECT("T"&amp;(MAX((1=Z$12:Z1109)*ROW(Z$12:Z1109),ROW($T$12))&amp;":T"&amp;(ROW()-1)))),Первоначальный[[#This Row],[Полученный платеж]]+Y1109),
S1109&gt;0,MIN(LOOKUP(,-1/($Z$12:Z1110=1),$C$12:C1110)+LOOKUP(,-1/($Z$12:Z1110=1),$H$12:H1110)-IF(Z1109=1,0,SUM(INDIRECT("T"&amp;(MAX((1=Z$12:Z1109)*ROW(Z$12:Z1109)+1,ROW($T$12))&amp;":T"&amp;(ROW()-1))))),Первоначальный[[#This Row],[Полученный платеж]]+Y1109)
)
)
)</f>
        <v>0</v>
      </c>
      <c r="U111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платеж]]+Y1109-Первоначальный[[#This Row],[Полученный платёж по процентам]])</f>
        <v>0</v>
      </c>
      <c r="V1110" s="55">
        <f t="shared" ca="1" si="207"/>
        <v>0</v>
      </c>
      <c r="W1110" s="55" cm="1">
        <f t="array" aca="1" ref="W1110" ca="1">IF(Первоначальный[[#This Row],[Итого остаток на начало периода]]&lt;1,0,
_xlfn.IFS(
AND(TYPE(VLOOKUP(1,$Z$12:Z1110,1,0))=16,Первоначальный[[#This Row],[Досрочное погашение (да/"")]]=""),0,
AND(S1109=0,Первоначальный[[#This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платеж]]+Y1109-SUM(Первоначальный[[#This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комиссиям]]),VLOOKUP(LOOKUP(,-1/($Z$12:Z1110=1),$A$12:A1110),График[[Срок конец]:[Возврат основной суммы долга]],3,0)),
AND(S1109=0,Первоначальный[[#This Row],[Дата платежа из графика]]="",Первоначальный[[#This Row],[Досрочное погашение (да/"")]]&lt;&gt;"Да"),0,
AND(S1109=0,Первоначальный[[#This Row],[Досрочное погашение (да/"")]]=""),MIN(Первоначальный[[#This Row],[Полученный платеж]]+Y1109-SUM(Первоначальный[[#This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комиссиям]]),VLOOKUP(LOOKUP(,-1/($Z$12:Z1110=1),$A$12:A1110),График[[Срок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платеж]]+Y1109-SUM(Первоначальный[[#This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S1109&gt;0,MIN(Первоначальный[[#This Row],[Полученный платеж]]+Y1109-SUM(Первоначальный[[#This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комиссиям]]),SUM(INDIRECT("M"&amp;(MAX((1=S$12:S1109)*ROW(S$12:S1109),ROW($W$12))&amp;":M"&amp;(ROW()))))-SUM(INDIRECT("W"&amp;(MAX((1=S$12:S1109)*ROW(S$12:S1109),ROW($W$12))&amp;":W"&amp;(ROW()-1)))))
)
)</f>
        <v>0</v>
      </c>
      <c r="X1110" s="55">
        <f t="shared" ca="1" si="208"/>
        <v>0</v>
      </c>
      <c r="Y1110" s="101">
        <f t="shared" ca="1" si="215"/>
        <v>0</v>
      </c>
      <c r="Z1110" s="133" t="str">
        <f>IF(TYPE((VLOOKUP(Первоначальный[[#This Row],[Дата платежа]],График[Срок конец],1,0)))=16,"",1)</f>
        <v/>
      </c>
      <c r="AA1110" s="57"/>
      <c r="AB1110" s="134"/>
      <c r="AC111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1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79782.729999999909</v>
      </c>
      <c r="AE111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4721.3300000000008</v>
      </c>
      <c r="AF111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1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248712.97929835998</v>
      </c>
      <c r="AH1110" s="55"/>
      <c r="AI1110" s="55"/>
      <c r="AJ1110" s="55"/>
      <c r="AK1110" s="101">
        <f t="shared" ca="1" si="216"/>
        <v>482850.37929835985</v>
      </c>
      <c r="AL1110" s="129">
        <f t="array" ref="AL1110">MAX((УслРестрактов[Характеристика]="Дата реструктуризации")*(УслРестрактов[Значение]=Первоначальный!$A1110),0)</f>
        <v>0</v>
      </c>
    </row>
    <row r="1111" spans="1:38" x14ac:dyDescent="0.25">
      <c r="A1111" s="97">
        <f t="shared" si="209"/>
        <v>45242</v>
      </c>
      <c r="B1111" s="100">
        <f t="shared" ca="1" si="210"/>
        <v>149633.34</v>
      </c>
      <c r="C1111" s="55">
        <f t="shared" ca="1" si="206"/>
        <v>79782.729999999909</v>
      </c>
      <c r="D1111" s="55">
        <f t="shared" ca="1" si="206"/>
        <v>4721.3300000000008</v>
      </c>
      <c r="E1111" s="55">
        <f t="shared" ca="1" si="211"/>
        <v>0</v>
      </c>
      <c r="F1111" s="55">
        <f t="shared" ca="1" si="212"/>
        <v>248712.97929835998</v>
      </c>
      <c r="G1111" s="101">
        <f t="shared" ca="1" si="213"/>
        <v>482850.37929835985</v>
      </c>
      <c r="H1111" s="100">
        <f ca="1">ROUND($B1111*VLOOKUP($A1111,$A$1:$B$10,2,1)/(365+IF(MOD(YEAR($A1111),4),0,1)*($A1111-$A1110)),2)-Первоначальный[[#This Row],[Проценты на просроченный платеж по ОД за период]]</f>
        <v>71.3</v>
      </c>
      <c r="I1111" s="55">
        <f t="shared" ca="1" si="214"/>
        <v>10.28</v>
      </c>
      <c r="J1111" s="55">
        <v>0</v>
      </c>
      <c r="K1111" s="55">
        <f t="shared" ca="1" si="217"/>
        <v>492.42350327868843</v>
      </c>
      <c r="L1111" s="55">
        <v>0</v>
      </c>
      <c r="M1111" s="113">
        <f>SUMIFS(График[Возврат основной суммы долга],График[Дата с учетом нерабочих дней],$A1111)</f>
        <v>0</v>
      </c>
      <c r="N1111" s="56">
        <f>SUMIFS(График[Возврат начисленных %],График[Дата с учетом нерабочих дней],$A1111)</f>
        <v>0</v>
      </c>
      <c r="O1111" s="101">
        <v>0</v>
      </c>
      <c r="P1111" s="100" cm="1">
        <f t="array" aca="1" ref="P1111" ca="1">MAX(IF(AA1110="Да",0,SUM(INDIRECT("M"&amp;(MAX(("Да"=AA$12:AA1110)*ROW(AA$12:AA1110)+1,ROW($P$12))&amp;":M"&amp;(ROW()))))-SUM(INDIRECT("W"&amp;(MAX(("Да"=AA$12:AA1110)*ROW(AA$12:AA1110)+1,ROW($P$12))&amp;":W"&amp;(ROW()))))),0)</f>
        <v>18847.86</v>
      </c>
      <c r="Q1111" s="99">
        <f ca="1">MAX(SUM($N$13:N1111)-SUM($T$13:T1111),0)</f>
        <v>79636.840655737687</v>
      </c>
      <c r="R1111" s="99">
        <f ca="1">Первоначальный[[#This Row],[Просроченный платеж по ОД]]+Первоначальный[[#This Row],[Просроченный платеж по процентам]]</f>
        <v>98484.700655737688</v>
      </c>
      <c r="S1111" s="120">
        <f ca="1">IF(Первоначальный[[#This Row],[Просроченный платеж]]&lt;1,0,S1110+1)</f>
        <v>1007</v>
      </c>
      <c r="T1111" s="100" cm="1">
        <f t="array" aca="1" ref="T1111" ca="1">IF(Первоначальный[[#This Row],[Итого остаток на начало периода]]&lt;1,0,
IF(
AND(TYPE(VLOOKUP(1,$Z$12:Z1111,1,0))=16,Первоначальный[[#This Row],[Досрочное погашение (да/"")]]=""),0,
_xlfn.IFS(AND(S1110=0,Первоначальный[[#This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платеж]]&lt;&gt;0),MIN(LOOKUP(,-1/($Z$12:Z1111=1),$C$12:C1111)+LOOKUP(,-1/($Z$12:Z1111=1),$H$12:H1111),Первоначальный[[#This Row],[Полученный платеж]]+Y1110),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платеж]]+Y1110,SUM(Первоначальный[[#This Row],[Остаток процентов на начало периода]],Первоначальный[[#This Row],[Проценты за период]])),
AND(S1110=0,Первоначальный[[#This Row],[Дата платежа из графика]]=""),0,
AND(S1110=0,Первоначальный[[#This Row],[Дата платежа из графика]]=1,MAX((0&lt;&gt;S$12:S1110)*ROW(S$12:S1110),ROW($S$12))&gt;=MAX((1=Z$12:Z1110)*ROW(Z$12:Z1110),ROW($T$12)),TYPE(VLOOKUP("Да",(INDIRECT("AA"&amp;(MAX((1=Z$12:Z1110)*ROW(Z$12:Z1110),ROW($T$12))&amp;":AA"&amp;(ROW()-1)))),1,0))=16),MIN(LOOKUP(,-1/($Z$12:Z1111=1),$C$12:C1111)+LOOKUP(,-1/($Z$12:Z1111=1),$H$12:H1111),Первоначальный[[#This Row],[Полученный платеж]]+Y1110),
AND(S1110=0,TYPE(VLOOKUP("Да",(INDIRECT("AA"&amp;(MAX((1=Z$12:Z1110)*ROW(Z$12:Z1110),ROW($T$12))&amp;":AA"&amp;(ROW()-1)))),1,0))&lt;&gt;16),MIN(LOOKUP(,-1/($Z$12:Z1111=1),$C$12:C1111)+LOOKUP(,-1/($Z$12:Z1111=1),$H$12:H1111)-IF(AA1110="Да",0,SUM(INDIRECT("T"&amp;(MAX(("Да"=AA$12:AA1110)*ROW(AA$12:AA1110)+1,ROW($T$12))&amp;":T"&amp;(ROW()-1))))),Первоначальный[[#This Row],[Полученный платеж]]+Y1110),
AND(S1110=0,MAX((0&lt;&gt;N$12:N1110)*ROW(N$12:N1110),ROW($S$12))&gt;=MAX((1=Z$12:Z1110)*ROW(Z$12:Z1110),ROW($T$12))),MIN(LOOKUP(,-1/($Z$12:Z1111=1),$C$12:C1111)+LOOKUP(,-1/($Z$12:Z1111=1),$H$12:H1111)-IF(N1110&lt;&gt;0,0,SUM(INDIRECT("T"&amp;(MAX((0&lt;&gt;N$12:N1110)*ROW(N$12:N1110)+1,ROW($T$12))&amp;":T"&amp;(ROW()-1))))),Первоначальный[[#This Row],[Полученный платеж]]+Y1110),
AND(S1110=0,Первоначальный[[#This Row],[Дата платежа из графика]]=1),MIN(LOOKUP(,-1/($Z$12:Z1111=1),$C$12:C1111)+LOOKUP(,-1/($Z$12:Z1111=1),$H$12:H1111)-IF(Z1110=1,0,SUM(INDIRECT("T"&amp;(MAX((1=Z$12:Z1110)*ROW(Z$12:Z1110)+1,ROW($T$12))&amp;":T"&amp;(ROW()-1))))),Первоначальный[[#This Row],[Полученный платеж]]+Y1110),
AND(Z1110&gt;0,Первоначальный[[#This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платеж]]+Y1110),
AND(S1110&gt;0,MAX((0&lt;&gt;S$12:S1110)*ROW(S$12:S1110),ROW($S$12))&gt;=MAX((1=Z$12:Z1110)*ROW(Z$12:Z1110),ROW($T$12)),TYPE(VLOOKUP("Да",(INDIRECT("AA"&amp;(MAX((1=Z$12:Z1110)*ROW(Z$12:Z1110),ROW($T$12))&amp;":AA"&amp;(ROW()-1)))),1,0))=16),MIN(LOOKUP(,-1/($Z$12:Z1111=1),$C$12:C1111)+LOOKUP(,-1/($Z$12:Z1111=1),$H$12:H1111)-SUM(INDIRECT("T"&amp;(MAX((1=Z$12:Z1110)*ROW(Z$12:Z1110),ROW($T$12))&amp;":T"&amp;(ROW()-1)))),Первоначальный[[#This Row],[Полученный платеж]]+Y1110),
S1110&gt;0,MIN(LOOKUP(,-1/($Z$12:Z1111=1),$C$12:C1111)+LOOKUP(,-1/($Z$12:Z1111=1),$H$12:H1111)-IF(Z1110=1,0,SUM(INDIRECT("T"&amp;(MAX((1=Z$12:Z1110)*ROW(Z$12:Z1110)+1,ROW($T$12))&amp;":T"&amp;(ROW()-1))))),Первоначальный[[#This Row],[Полученный платеж]]+Y1110)
)
)
)</f>
        <v>0</v>
      </c>
      <c r="U111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платеж]]+Y1110-Первоначальный[[#This Row],[Полученный платёж по процентам]])</f>
        <v>0</v>
      </c>
      <c r="V1111" s="55">
        <f t="shared" ca="1" si="207"/>
        <v>0</v>
      </c>
      <c r="W1111" s="55" cm="1">
        <f t="array" aca="1" ref="W1111" ca="1">IF(Первоначальный[[#This Row],[Итого остаток на начало периода]]&lt;1,0,
_xlfn.IFS(
AND(TYPE(VLOOKUP(1,$Z$12:Z1111,1,0))=16,Первоначальный[[#This Row],[Досрочное погашение (да/"")]]=""),0,
AND(S1110=0,Первоначальный[[#This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платеж]]+Y1110-SUM(Первоначальный[[#This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комиссиям]]),VLOOKUP(LOOKUP(,-1/($Z$12:Z1111=1),$A$12:A1111),График[[Срок конец]:[Возврат основной суммы долга]],3,0)),
AND(S1110=0,Первоначальный[[#This Row],[Дата платежа из графика]]="",Первоначальный[[#This Row],[Досрочное погашение (да/"")]]&lt;&gt;"Да"),0,
AND(S1110=0,Первоначальный[[#This Row],[Досрочное погашение (да/"")]]=""),MIN(Первоначальный[[#This Row],[Полученный платеж]]+Y1110-SUM(Первоначальный[[#This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комиссиям]]),VLOOKUP(LOOKUP(,-1/($Z$12:Z1111=1),$A$12:A1111),График[[Срок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платеж]]+Y1110-SUM(Первоначальный[[#This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S1110&gt;0,MIN(Первоначальный[[#This Row],[Полученный платеж]]+Y1110-SUM(Первоначальный[[#This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комиссиям]]),SUM(INDIRECT("M"&amp;(MAX((1=S$12:S1110)*ROW(S$12:S1110),ROW($W$12))&amp;":M"&amp;(ROW()))))-SUM(INDIRECT("W"&amp;(MAX((1=S$12:S1110)*ROW(S$12:S1110),ROW($W$12))&amp;":W"&amp;(ROW()-1)))))
)
)</f>
        <v>0</v>
      </c>
      <c r="X1111" s="55">
        <f t="shared" ca="1" si="208"/>
        <v>0</v>
      </c>
      <c r="Y1111" s="101">
        <f t="shared" ca="1" si="215"/>
        <v>0</v>
      </c>
      <c r="Z1111" s="133" t="str">
        <f>IF(TYPE((VLOOKUP(Первоначальный[[#This Row],[Дата платежа]],График[Срок конец],1,0)))=16,"",1)</f>
        <v/>
      </c>
      <c r="AA1111" s="57"/>
      <c r="AB1111" s="134"/>
      <c r="AC111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1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79854.029999999912</v>
      </c>
      <c r="AE111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4731.6100000000006</v>
      </c>
      <c r="AF111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1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249205.40280163867</v>
      </c>
      <c r="AH1111" s="55"/>
      <c r="AI1111" s="55"/>
      <c r="AJ1111" s="55"/>
      <c r="AK1111" s="101">
        <f t="shared" ca="1" si="216"/>
        <v>483424.38280163857</v>
      </c>
      <c r="AL1111" s="129">
        <f t="array" ref="AL1111">MAX((УслРестрактов[Характеристика]="Дата реструктуризации")*(УслРестрактов[Значение]=Первоначальный!$A1111),0)</f>
        <v>0</v>
      </c>
    </row>
    <row r="1112" spans="1:38" x14ac:dyDescent="0.25">
      <c r="A1112" s="97">
        <f t="shared" si="209"/>
        <v>45243</v>
      </c>
      <c r="B1112" s="100">
        <f t="shared" ca="1" si="210"/>
        <v>149633.34</v>
      </c>
      <c r="C1112" s="55">
        <f t="shared" ca="1" si="206"/>
        <v>79854.029999999912</v>
      </c>
      <c r="D1112" s="55">
        <f t="shared" ca="1" si="206"/>
        <v>4731.6100000000006</v>
      </c>
      <c r="E1112" s="55">
        <f t="shared" ca="1" si="211"/>
        <v>0</v>
      </c>
      <c r="F1112" s="55">
        <f t="shared" ca="1" si="212"/>
        <v>249205.40280163867</v>
      </c>
      <c r="G1112" s="101">
        <f t="shared" ca="1" si="213"/>
        <v>483424.38280163857</v>
      </c>
      <c r="H1112" s="100">
        <f ca="1">ROUND($B1112*VLOOKUP($A1112,$A$1:$B$10,2,1)/(365+IF(MOD(YEAR($A1112),4),0,1)*($A1112-$A1111)),2)-Первоначальный[[#This Row],[Проценты на просроченный платеж по ОД за период]]</f>
        <v>71.3</v>
      </c>
      <c r="I1112" s="55">
        <f t="shared" ca="1" si="214"/>
        <v>10.28</v>
      </c>
      <c r="J1112" s="55">
        <v>0</v>
      </c>
      <c r="K1112" s="55">
        <f t="shared" ca="1" si="217"/>
        <v>492.42350327868843</v>
      </c>
      <c r="L1112" s="55">
        <v>0</v>
      </c>
      <c r="M1112" s="113">
        <f>SUMIFS(График[Возврат основной суммы долга],График[Дата с учетом нерабочих дней],$A1112)</f>
        <v>0</v>
      </c>
      <c r="N1112" s="56">
        <f>SUMIFS(График[Возврат начисленных %],График[Дата с учетом нерабочих дней],$A1112)</f>
        <v>0</v>
      </c>
      <c r="O1112" s="101">
        <v>0</v>
      </c>
      <c r="P1112" s="100" cm="1">
        <f t="array" aca="1" ref="P1112" ca="1">MAX(IF(AA1111="Да",0,SUM(INDIRECT("M"&amp;(MAX(("Да"=AA$12:AA1111)*ROW(AA$12:AA1111)+1,ROW($P$12))&amp;":M"&amp;(ROW()))))-SUM(INDIRECT("W"&amp;(MAX(("Да"=AA$12:AA1111)*ROW(AA$12:AA1111)+1,ROW($P$12))&amp;":W"&amp;(ROW()))))),0)</f>
        <v>18847.86</v>
      </c>
      <c r="Q1112" s="99">
        <f ca="1">MAX(SUM($N$13:N1112)-SUM($T$13:T1112),0)</f>
        <v>79636.840655737687</v>
      </c>
      <c r="R1112" s="99">
        <f ca="1">Первоначальный[[#This Row],[Просроченный платеж по ОД]]+Первоначальный[[#This Row],[Просроченный платеж по процентам]]</f>
        <v>98484.700655737688</v>
      </c>
      <c r="S1112" s="120">
        <f ca="1">IF(Первоначальный[[#This Row],[Просроченный платеж]]&lt;1,0,S1111+1)</f>
        <v>1008</v>
      </c>
      <c r="T1112" s="100" cm="1">
        <f t="array" aca="1" ref="T1112" ca="1">IF(Первоначальный[[#This Row],[Итого остаток на начало периода]]&lt;1,0,
IF(
AND(TYPE(VLOOKUP(1,$Z$12:Z1112,1,0))=16,Первоначальный[[#This Row],[Досрочное погашение (да/"")]]=""),0,
_xlfn.IFS(AND(S1111=0,Первоначальный[[#This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платеж]]&lt;&gt;0),MIN(LOOKUP(,-1/($Z$12:Z1112=1),$C$12:C1112)+LOOKUP(,-1/($Z$12:Z1112=1),$H$12:H1112),Первоначальный[[#This Row],[Полученный платеж]]+Y1111),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платеж]]+Y1111,SUM(Первоначальный[[#This Row],[Остаток процентов на начало периода]],Первоначальный[[#This Row],[Проценты за период]])),
AND(S1111=0,Первоначальный[[#This Row],[Дата платежа из графика]]=""),0,
AND(S1111=0,Первоначальный[[#This Row],[Дата платежа из графика]]=1,MAX((0&lt;&gt;S$12:S1111)*ROW(S$12:S1111),ROW($S$12))&gt;=MAX((1=Z$12:Z1111)*ROW(Z$12:Z1111),ROW($T$12)),TYPE(VLOOKUP("Да",(INDIRECT("AA"&amp;(MAX((1=Z$12:Z1111)*ROW(Z$12:Z1111),ROW($T$12))&amp;":AA"&amp;(ROW()-1)))),1,0))=16),MIN(LOOKUP(,-1/($Z$12:Z1112=1),$C$12:C1112)+LOOKUP(,-1/($Z$12:Z1112=1),$H$12:H1112),Первоначальный[[#This Row],[Полученный платеж]]+Y1111),
AND(S1111=0,TYPE(VLOOKUP("Да",(INDIRECT("AA"&amp;(MAX((1=Z$12:Z1111)*ROW(Z$12:Z1111),ROW($T$12))&amp;":AA"&amp;(ROW()-1)))),1,0))&lt;&gt;16),MIN(LOOKUP(,-1/($Z$12:Z1112=1),$C$12:C1112)+LOOKUP(,-1/($Z$12:Z1112=1),$H$12:H1112)-IF(AA1111="Да",0,SUM(INDIRECT("T"&amp;(MAX(("Да"=AA$12:AA1111)*ROW(AA$12:AA1111)+1,ROW($T$12))&amp;":T"&amp;(ROW()-1))))),Первоначальный[[#This Row],[Полученный платеж]]+Y1111),
AND(S1111=0,MAX((0&lt;&gt;N$12:N1111)*ROW(N$12:N1111),ROW($S$12))&gt;=MAX((1=Z$12:Z1111)*ROW(Z$12:Z1111),ROW($T$12))),MIN(LOOKUP(,-1/($Z$12:Z1112=1),$C$12:C1112)+LOOKUP(,-1/($Z$12:Z1112=1),$H$12:H1112)-IF(N1111&lt;&gt;0,0,SUM(INDIRECT("T"&amp;(MAX((0&lt;&gt;N$12:N1111)*ROW(N$12:N1111)+1,ROW($T$12))&amp;":T"&amp;(ROW()-1))))),Первоначальный[[#This Row],[Полученный платеж]]+Y1111),
AND(S1111=0,Первоначальный[[#This Row],[Дата платежа из графика]]=1),MIN(LOOKUP(,-1/($Z$12:Z1112=1),$C$12:C1112)+LOOKUP(,-1/($Z$12:Z1112=1),$H$12:H1112)-IF(Z1111=1,0,SUM(INDIRECT("T"&amp;(MAX((1=Z$12:Z1111)*ROW(Z$12:Z1111)+1,ROW($T$12))&amp;":T"&amp;(ROW()-1))))),Первоначальный[[#This Row],[Полученный платеж]]+Y1111),
AND(Z1111&gt;0,Первоначальный[[#This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платеж]]+Y1111),
AND(S1111&gt;0,MAX((0&lt;&gt;S$12:S1111)*ROW(S$12:S1111),ROW($S$12))&gt;=MAX((1=Z$12:Z1111)*ROW(Z$12:Z1111),ROW($T$12)),TYPE(VLOOKUP("Да",(INDIRECT("AA"&amp;(MAX((1=Z$12:Z1111)*ROW(Z$12:Z1111),ROW($T$12))&amp;":AA"&amp;(ROW()-1)))),1,0))=16),MIN(LOOKUP(,-1/($Z$12:Z1112=1),$C$12:C1112)+LOOKUP(,-1/($Z$12:Z1112=1),$H$12:H1112)-SUM(INDIRECT("T"&amp;(MAX((1=Z$12:Z1111)*ROW(Z$12:Z1111),ROW($T$12))&amp;":T"&amp;(ROW()-1)))),Первоначальный[[#This Row],[Полученный платеж]]+Y1111),
S1111&gt;0,MIN(LOOKUP(,-1/($Z$12:Z1112=1),$C$12:C1112)+LOOKUP(,-1/($Z$12:Z1112=1),$H$12:H1112)-IF(Z1111=1,0,SUM(INDIRECT("T"&amp;(MAX((1=Z$12:Z1111)*ROW(Z$12:Z1111)+1,ROW($T$12))&amp;":T"&amp;(ROW()-1))))),Первоначальный[[#This Row],[Полученный платеж]]+Y1111)
)
)
)</f>
        <v>0</v>
      </c>
      <c r="U111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платеж]]+Y1111-Первоначальный[[#This Row],[Полученный платёж по процентам]])</f>
        <v>0</v>
      </c>
      <c r="V1112" s="55">
        <f t="shared" ca="1" si="207"/>
        <v>0</v>
      </c>
      <c r="W1112" s="55" cm="1">
        <f t="array" aca="1" ref="W1112" ca="1">IF(Первоначальный[[#This Row],[Итого остаток на начало периода]]&lt;1,0,
_xlfn.IFS(
AND(TYPE(VLOOKUP(1,$Z$12:Z1112,1,0))=16,Первоначальный[[#This Row],[Досрочное погашение (да/"")]]=""),0,
AND(S1111=0,Первоначальный[[#This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платеж]]+Y1111-SUM(Первоначальный[[#This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комиссиям]]),VLOOKUP(LOOKUP(,-1/($Z$12:Z1112=1),$A$12:A1112),График[[Срок конец]:[Возврат основной суммы долга]],3,0)),
AND(S1111=0,Первоначальный[[#This Row],[Дата платежа из графика]]="",Первоначальный[[#This Row],[Досрочное погашение (да/"")]]&lt;&gt;"Да"),0,
AND(S1111=0,Первоначальный[[#This Row],[Досрочное погашение (да/"")]]=""),MIN(Первоначальный[[#This Row],[Полученный платеж]]+Y1111-SUM(Первоначальный[[#This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комиссиям]]),VLOOKUP(LOOKUP(,-1/($Z$12:Z1112=1),$A$12:A1112),График[[Срок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платеж]]+Y1111-SUM(Первоначальный[[#This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S1111&gt;0,MIN(Первоначальный[[#This Row],[Полученный платеж]]+Y1111-SUM(Первоначальный[[#This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комиссиям]]),SUM(INDIRECT("M"&amp;(MAX((1=S$12:S1111)*ROW(S$12:S1111),ROW($W$12))&amp;":M"&amp;(ROW()))))-SUM(INDIRECT("W"&amp;(MAX((1=S$12:S1111)*ROW(S$12:S1111),ROW($W$12))&amp;":W"&amp;(ROW()-1)))))
)
)</f>
        <v>0</v>
      </c>
      <c r="X1112" s="55">
        <f t="shared" ca="1" si="208"/>
        <v>0</v>
      </c>
      <c r="Y1112" s="101">
        <f t="shared" ca="1" si="215"/>
        <v>0</v>
      </c>
      <c r="Z1112" s="133" t="str">
        <f>IF(TYPE((VLOOKUP(Первоначальный[[#This Row],[Дата платежа]],График[Срок конец],1,0)))=16,"",1)</f>
        <v/>
      </c>
      <c r="AA1112" s="57"/>
      <c r="AB1112" s="134"/>
      <c r="AC111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1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79925.329999999914</v>
      </c>
      <c r="AE111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4741.8900000000003</v>
      </c>
      <c r="AF111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1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249697.82630491737</v>
      </c>
      <c r="AH1112" s="55"/>
      <c r="AI1112" s="55"/>
      <c r="AJ1112" s="55"/>
      <c r="AK1112" s="101">
        <f t="shared" ca="1" si="216"/>
        <v>483998.38630491728</v>
      </c>
      <c r="AL1112" s="129">
        <f t="array" ref="AL1112">MAX((УслРестрактов[Характеристика]="Дата реструктуризации")*(УслРестрактов[Значение]=Первоначальный!$A1112),0)</f>
        <v>0</v>
      </c>
    </row>
    <row r="1113" spans="1:38" x14ac:dyDescent="0.25">
      <c r="A1113" s="97">
        <f t="shared" si="209"/>
        <v>45244</v>
      </c>
      <c r="B1113" s="100">
        <f t="shared" ca="1" si="210"/>
        <v>149633.34</v>
      </c>
      <c r="C1113" s="55">
        <f t="shared" ca="1" si="206"/>
        <v>79925.329999999914</v>
      </c>
      <c r="D1113" s="55">
        <f t="shared" ca="1" si="206"/>
        <v>4741.8900000000003</v>
      </c>
      <c r="E1113" s="55">
        <f t="shared" ca="1" si="211"/>
        <v>0</v>
      </c>
      <c r="F1113" s="55">
        <f t="shared" ca="1" si="212"/>
        <v>249697.82630491737</v>
      </c>
      <c r="G1113" s="101">
        <f t="shared" ca="1" si="213"/>
        <v>483998.38630491728</v>
      </c>
      <c r="H1113" s="100">
        <f ca="1">ROUND($B1113*VLOOKUP($A1113,$A$1:$B$10,2,1)/(365+IF(MOD(YEAR($A1113),4),0,1)*($A1113-$A1112)),2)-Первоначальный[[#This Row],[Проценты на просроченный платеж по ОД за период]]</f>
        <v>71.3</v>
      </c>
      <c r="I1113" s="55">
        <f t="shared" ca="1" si="214"/>
        <v>10.28</v>
      </c>
      <c r="J1113" s="55">
        <v>0</v>
      </c>
      <c r="K1113" s="55">
        <f t="shared" ca="1" si="217"/>
        <v>492.42350327868843</v>
      </c>
      <c r="L1113" s="55">
        <v>0</v>
      </c>
      <c r="M1113" s="113">
        <f>SUMIFS(График[Возврат основной суммы долга],График[Дата с учетом нерабочих дней],$A1113)</f>
        <v>0</v>
      </c>
      <c r="N1113" s="56">
        <f>SUMIFS(График[Возврат начисленных %],График[Дата с учетом нерабочих дней],$A1113)</f>
        <v>0</v>
      </c>
      <c r="O1113" s="101">
        <v>0</v>
      </c>
      <c r="P1113" s="100" cm="1">
        <f t="array" aca="1" ref="P1113" ca="1">MAX(IF(AA1112="Да",0,SUM(INDIRECT("M"&amp;(MAX(("Да"=AA$12:AA1112)*ROW(AA$12:AA1112)+1,ROW($P$12))&amp;":M"&amp;(ROW()))))-SUM(INDIRECT("W"&amp;(MAX(("Да"=AA$12:AA1112)*ROW(AA$12:AA1112)+1,ROW($P$12))&amp;":W"&amp;(ROW()))))),0)</f>
        <v>18847.86</v>
      </c>
      <c r="Q1113" s="99">
        <f ca="1">MAX(SUM($N$13:N1113)-SUM($T$13:T1113),0)</f>
        <v>79636.840655737687</v>
      </c>
      <c r="R1113" s="99">
        <f ca="1">Первоначальный[[#This Row],[Просроченный платеж по ОД]]+Первоначальный[[#This Row],[Просроченный платеж по процентам]]</f>
        <v>98484.700655737688</v>
      </c>
      <c r="S1113" s="120">
        <f ca="1">IF(Первоначальный[[#This Row],[Просроченный платеж]]&lt;1,0,S1112+1)</f>
        <v>1009</v>
      </c>
      <c r="T1113" s="100" cm="1">
        <f t="array" aca="1" ref="T1113" ca="1">IF(Первоначальный[[#This Row],[Итого остаток на начало периода]]&lt;1,0,
IF(
AND(TYPE(VLOOKUP(1,$Z$12:Z1113,1,0))=16,Первоначальный[[#This Row],[Досрочное погашение (да/"")]]=""),0,
_xlfn.IFS(AND(S1112=0,Первоначальный[[#This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платеж]]&lt;&gt;0),MIN(LOOKUP(,-1/($Z$12:Z1113=1),$C$12:C1113)+LOOKUP(,-1/($Z$12:Z1113=1),$H$12:H1113),Первоначальный[[#This Row],[Полученный платеж]]+Y1112),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платеж]]+Y1112,SUM(Первоначальный[[#This Row],[Остаток процентов на начало периода]],Первоначальный[[#This Row],[Проценты за период]])),
AND(S1112=0,Первоначальный[[#This Row],[Дата платежа из графика]]=""),0,
AND(S1112=0,Первоначальный[[#This Row],[Дата платежа из графика]]=1,MAX((0&lt;&gt;S$12:S1112)*ROW(S$12:S1112),ROW($S$12))&gt;=MAX((1=Z$12:Z1112)*ROW(Z$12:Z1112),ROW($T$12)),TYPE(VLOOKUP("Да",(INDIRECT("AA"&amp;(MAX((1=Z$12:Z1112)*ROW(Z$12:Z1112),ROW($T$12))&amp;":AA"&amp;(ROW()-1)))),1,0))=16),MIN(LOOKUP(,-1/($Z$12:Z1113=1),$C$12:C1113)+LOOKUP(,-1/($Z$12:Z1113=1),$H$12:H1113),Первоначальный[[#This Row],[Полученный платеж]]+Y1112),
AND(S1112=0,TYPE(VLOOKUP("Да",(INDIRECT("AA"&amp;(MAX((1=Z$12:Z1112)*ROW(Z$12:Z1112),ROW($T$12))&amp;":AA"&amp;(ROW()-1)))),1,0))&lt;&gt;16),MIN(LOOKUP(,-1/($Z$12:Z1113=1),$C$12:C1113)+LOOKUP(,-1/($Z$12:Z1113=1),$H$12:H1113)-IF(AA1112="Да",0,SUM(INDIRECT("T"&amp;(MAX(("Да"=AA$12:AA1112)*ROW(AA$12:AA1112)+1,ROW($T$12))&amp;":T"&amp;(ROW()-1))))),Первоначальный[[#This Row],[Полученный платеж]]+Y1112),
AND(S1112=0,MAX((0&lt;&gt;N$12:N1112)*ROW(N$12:N1112),ROW($S$12))&gt;=MAX((1=Z$12:Z1112)*ROW(Z$12:Z1112),ROW($T$12))),MIN(LOOKUP(,-1/($Z$12:Z1113=1),$C$12:C1113)+LOOKUP(,-1/($Z$12:Z1113=1),$H$12:H1113)-IF(N1112&lt;&gt;0,0,SUM(INDIRECT("T"&amp;(MAX((0&lt;&gt;N$12:N1112)*ROW(N$12:N1112)+1,ROW($T$12))&amp;":T"&amp;(ROW()-1))))),Первоначальный[[#This Row],[Полученный платеж]]+Y1112),
AND(S1112=0,Первоначальный[[#This Row],[Дата платежа из графика]]=1),MIN(LOOKUP(,-1/($Z$12:Z1113=1),$C$12:C1113)+LOOKUP(,-1/($Z$12:Z1113=1),$H$12:H1113)-IF(Z1112=1,0,SUM(INDIRECT("T"&amp;(MAX((1=Z$12:Z1112)*ROW(Z$12:Z1112)+1,ROW($T$12))&amp;":T"&amp;(ROW()-1))))),Первоначальный[[#This Row],[Полученный платеж]]+Y1112),
AND(Z1112&gt;0,Первоначальный[[#This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платеж]]+Y1112),
AND(S1112&gt;0,MAX((0&lt;&gt;S$12:S1112)*ROW(S$12:S1112),ROW($S$12))&gt;=MAX((1=Z$12:Z1112)*ROW(Z$12:Z1112),ROW($T$12)),TYPE(VLOOKUP("Да",(INDIRECT("AA"&amp;(MAX((1=Z$12:Z1112)*ROW(Z$12:Z1112),ROW($T$12))&amp;":AA"&amp;(ROW()-1)))),1,0))=16),MIN(LOOKUP(,-1/($Z$12:Z1113=1),$C$12:C1113)+LOOKUP(,-1/($Z$12:Z1113=1),$H$12:H1113)-SUM(INDIRECT("T"&amp;(MAX((1=Z$12:Z1112)*ROW(Z$12:Z1112),ROW($T$12))&amp;":T"&amp;(ROW()-1)))),Первоначальный[[#This Row],[Полученный платеж]]+Y1112),
S1112&gt;0,MIN(LOOKUP(,-1/($Z$12:Z1113=1),$C$12:C1113)+LOOKUP(,-1/($Z$12:Z1113=1),$H$12:H1113)-IF(Z1112=1,0,SUM(INDIRECT("T"&amp;(MAX((1=Z$12:Z1112)*ROW(Z$12:Z1112)+1,ROW($T$12))&amp;":T"&amp;(ROW()-1))))),Первоначальный[[#This Row],[Полученный платеж]]+Y1112)
)
)
)</f>
        <v>0</v>
      </c>
      <c r="U111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платеж]]+Y1112-Первоначальный[[#This Row],[Полученный платёж по процентам]])</f>
        <v>0</v>
      </c>
      <c r="V1113" s="55">
        <f t="shared" ca="1" si="207"/>
        <v>0</v>
      </c>
      <c r="W1113" s="55" cm="1">
        <f t="array" aca="1" ref="W1113" ca="1">IF(Первоначальный[[#This Row],[Итого остаток на начало периода]]&lt;1,0,
_xlfn.IFS(
AND(TYPE(VLOOKUP(1,$Z$12:Z1113,1,0))=16,Первоначальный[[#This Row],[Досрочное погашение (да/"")]]=""),0,
AND(S1112=0,Первоначальный[[#This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платеж]]+Y1112-SUM(Первоначальный[[#This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комиссиям]]),VLOOKUP(LOOKUP(,-1/($Z$12:Z1113=1),$A$12:A1113),График[[Срок конец]:[Возврат основной суммы долга]],3,0)),
AND(S1112=0,Первоначальный[[#This Row],[Дата платежа из графика]]="",Первоначальный[[#This Row],[Досрочное погашение (да/"")]]&lt;&gt;"Да"),0,
AND(S1112=0,Первоначальный[[#This Row],[Досрочное погашение (да/"")]]=""),MIN(Первоначальный[[#This Row],[Полученный платеж]]+Y1112-SUM(Первоначальный[[#This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комиссиям]]),VLOOKUP(LOOKUP(,-1/($Z$12:Z1113=1),$A$12:A1113),График[[Срок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платеж]]+Y1112-SUM(Первоначальный[[#This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S1112&gt;0,MIN(Первоначальный[[#This Row],[Полученный платеж]]+Y1112-SUM(Первоначальный[[#This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комиссиям]]),SUM(INDIRECT("M"&amp;(MAX((1=S$12:S1112)*ROW(S$12:S1112),ROW($W$12))&amp;":M"&amp;(ROW()))))-SUM(INDIRECT("W"&amp;(MAX((1=S$12:S1112)*ROW(S$12:S1112),ROW($W$12))&amp;":W"&amp;(ROW()-1)))))
)
)</f>
        <v>0</v>
      </c>
      <c r="X1113" s="55">
        <f t="shared" ca="1" si="208"/>
        <v>0</v>
      </c>
      <c r="Y1113" s="101">
        <f t="shared" ca="1" si="215"/>
        <v>0</v>
      </c>
      <c r="Z1113" s="133" t="str">
        <f>IF(TYPE((VLOOKUP(Первоначальный[[#This Row],[Дата платежа]],График[Срок конец],1,0)))=16,"",1)</f>
        <v/>
      </c>
      <c r="AA1113" s="57"/>
      <c r="AB1113" s="134"/>
      <c r="AC111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1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79996.629999999917</v>
      </c>
      <c r="AE111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4752.17</v>
      </c>
      <c r="AF111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1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250190.24980819607</v>
      </c>
      <c r="AH1113" s="55"/>
      <c r="AI1113" s="55"/>
      <c r="AJ1113" s="55"/>
      <c r="AK1113" s="101">
        <f t="shared" ca="1" si="216"/>
        <v>484572.38980819599</v>
      </c>
      <c r="AL1113" s="129">
        <f t="array" ref="AL1113">MAX((УслРестрактов[Характеристика]="Дата реструктуризации")*(УслРестрактов[Значение]=Первоначальный!$A1113),0)</f>
        <v>0</v>
      </c>
    </row>
    <row r="1114" spans="1:38" x14ac:dyDescent="0.25">
      <c r="A1114" s="97">
        <f t="shared" si="209"/>
        <v>45245</v>
      </c>
      <c r="B1114" s="100">
        <f t="shared" ca="1" si="210"/>
        <v>149633.34</v>
      </c>
      <c r="C1114" s="55">
        <f t="shared" ca="1" si="206"/>
        <v>79996.629999999917</v>
      </c>
      <c r="D1114" s="55">
        <f t="shared" ca="1" si="206"/>
        <v>4752.17</v>
      </c>
      <c r="E1114" s="55">
        <f t="shared" ca="1" si="211"/>
        <v>0</v>
      </c>
      <c r="F1114" s="55">
        <f t="shared" ca="1" si="212"/>
        <v>250190.24980819607</v>
      </c>
      <c r="G1114" s="101">
        <f t="shared" ca="1" si="213"/>
        <v>484572.38980819599</v>
      </c>
      <c r="H1114" s="100">
        <f ca="1">ROUND($B1114*VLOOKUP($A1114,$A$1:$B$10,2,1)/(365+IF(MOD(YEAR($A1114),4),0,1)*($A1114-$A1113)),2)-Первоначальный[[#This Row],[Проценты на просроченный платеж по ОД за период]]</f>
        <v>71.3</v>
      </c>
      <c r="I1114" s="55">
        <f t="shared" ca="1" si="214"/>
        <v>10.28</v>
      </c>
      <c r="J1114" s="55">
        <v>0</v>
      </c>
      <c r="K1114" s="55">
        <f t="shared" ca="1" si="217"/>
        <v>492.42350327868843</v>
      </c>
      <c r="L1114" s="55">
        <v>0</v>
      </c>
      <c r="M1114" s="113">
        <f>SUMIFS(График[Возврат основной суммы долга],График[Дата с учетом нерабочих дней],$A1114)</f>
        <v>0</v>
      </c>
      <c r="N1114" s="56">
        <f>SUMIFS(График[Возврат начисленных %],График[Дата с учетом нерабочих дней],$A1114)</f>
        <v>0</v>
      </c>
      <c r="O1114" s="101">
        <v>0</v>
      </c>
      <c r="P1114" s="100" cm="1">
        <f t="array" aca="1" ref="P1114" ca="1">MAX(IF(AA1113="Да",0,SUM(INDIRECT("M"&amp;(MAX(("Да"=AA$12:AA1113)*ROW(AA$12:AA1113)+1,ROW($P$12))&amp;":M"&amp;(ROW()))))-SUM(INDIRECT("W"&amp;(MAX(("Да"=AA$12:AA1113)*ROW(AA$12:AA1113)+1,ROW($P$12))&amp;":W"&amp;(ROW()))))),0)</f>
        <v>18847.86</v>
      </c>
      <c r="Q1114" s="99">
        <f ca="1">MAX(SUM($N$13:N1114)-SUM($T$13:T1114),0)</f>
        <v>79636.840655737687</v>
      </c>
      <c r="R1114" s="99">
        <f ca="1">Первоначальный[[#This Row],[Просроченный платеж по ОД]]+Первоначальный[[#This Row],[Просроченный платеж по процентам]]</f>
        <v>98484.700655737688</v>
      </c>
      <c r="S1114" s="120">
        <f ca="1">IF(Первоначальный[[#This Row],[Просроченный платеж]]&lt;1,0,S1113+1)</f>
        <v>1010</v>
      </c>
      <c r="T1114" s="100" cm="1">
        <f t="array" aca="1" ref="T1114" ca="1">IF(Первоначальный[[#This Row],[Итого остаток на начало периода]]&lt;1,0,
IF(
AND(TYPE(VLOOKUP(1,$Z$12:Z1114,1,0))=16,Первоначальный[[#This Row],[Досрочное погашение (да/"")]]=""),0,
_xlfn.IFS(AND(S1113=0,Первоначальный[[#This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платеж]]&lt;&gt;0),MIN(LOOKUP(,-1/($Z$12:Z1114=1),$C$12:C1114)+LOOKUP(,-1/($Z$12:Z1114=1),$H$12:H1114),Первоначальный[[#This Row],[Полученный платеж]]+Y1113),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платеж]]+Y1113,SUM(Первоначальный[[#This Row],[Остаток процентов на начало периода]],Первоначальный[[#This Row],[Проценты за период]])),
AND(S1113=0,Первоначальный[[#This Row],[Дата платежа из графика]]=""),0,
AND(S1113=0,Первоначальный[[#This Row],[Дата платежа из графика]]=1,MAX((0&lt;&gt;S$12:S1113)*ROW(S$12:S1113),ROW($S$12))&gt;=MAX((1=Z$12:Z1113)*ROW(Z$12:Z1113),ROW($T$12)),TYPE(VLOOKUP("Да",(INDIRECT("AA"&amp;(MAX((1=Z$12:Z1113)*ROW(Z$12:Z1113),ROW($T$12))&amp;":AA"&amp;(ROW()-1)))),1,0))=16),MIN(LOOKUP(,-1/($Z$12:Z1114=1),$C$12:C1114)+LOOKUP(,-1/($Z$12:Z1114=1),$H$12:H1114),Первоначальный[[#This Row],[Полученный платеж]]+Y1113),
AND(S1113=0,TYPE(VLOOKUP("Да",(INDIRECT("AA"&amp;(MAX((1=Z$12:Z1113)*ROW(Z$12:Z1113),ROW($T$12))&amp;":AA"&amp;(ROW()-1)))),1,0))&lt;&gt;16),MIN(LOOKUP(,-1/($Z$12:Z1114=1),$C$12:C1114)+LOOKUP(,-1/($Z$12:Z1114=1),$H$12:H1114)-IF(AA1113="Да",0,SUM(INDIRECT("T"&amp;(MAX(("Да"=AA$12:AA1113)*ROW(AA$12:AA1113)+1,ROW($T$12))&amp;":T"&amp;(ROW()-1))))),Первоначальный[[#This Row],[Полученный платеж]]+Y1113),
AND(S1113=0,MAX((0&lt;&gt;N$12:N1113)*ROW(N$12:N1113),ROW($S$12))&gt;=MAX((1=Z$12:Z1113)*ROW(Z$12:Z1113),ROW($T$12))),MIN(LOOKUP(,-1/($Z$12:Z1114=1),$C$12:C1114)+LOOKUP(,-1/($Z$12:Z1114=1),$H$12:H1114)-IF(N1113&lt;&gt;0,0,SUM(INDIRECT("T"&amp;(MAX((0&lt;&gt;N$12:N1113)*ROW(N$12:N1113)+1,ROW($T$12))&amp;":T"&amp;(ROW()-1))))),Первоначальный[[#This Row],[Полученный платеж]]+Y1113),
AND(S1113=0,Первоначальный[[#This Row],[Дата платежа из графика]]=1),MIN(LOOKUP(,-1/($Z$12:Z1114=1),$C$12:C1114)+LOOKUP(,-1/($Z$12:Z1114=1),$H$12:H1114)-IF(Z1113=1,0,SUM(INDIRECT("T"&amp;(MAX((1=Z$12:Z1113)*ROW(Z$12:Z1113)+1,ROW($T$12))&amp;":T"&amp;(ROW()-1))))),Первоначальный[[#This Row],[Полученный платеж]]+Y1113),
AND(Z1113&gt;0,Первоначальный[[#This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платеж]]+Y1113),
AND(S1113&gt;0,MAX((0&lt;&gt;S$12:S1113)*ROW(S$12:S1113),ROW($S$12))&gt;=MAX((1=Z$12:Z1113)*ROW(Z$12:Z1113),ROW($T$12)),TYPE(VLOOKUP("Да",(INDIRECT("AA"&amp;(MAX((1=Z$12:Z1113)*ROW(Z$12:Z1113),ROW($T$12))&amp;":AA"&amp;(ROW()-1)))),1,0))=16),MIN(LOOKUP(,-1/($Z$12:Z1114=1),$C$12:C1114)+LOOKUP(,-1/($Z$12:Z1114=1),$H$12:H1114)-SUM(INDIRECT("T"&amp;(MAX((1=Z$12:Z1113)*ROW(Z$12:Z1113),ROW($T$12))&amp;":T"&amp;(ROW()-1)))),Первоначальный[[#This Row],[Полученный платеж]]+Y1113),
S1113&gt;0,MIN(LOOKUP(,-1/($Z$12:Z1114=1),$C$12:C1114)+LOOKUP(,-1/($Z$12:Z1114=1),$H$12:H1114)-IF(Z1113=1,0,SUM(INDIRECT("T"&amp;(MAX((1=Z$12:Z1113)*ROW(Z$12:Z1113)+1,ROW($T$12))&amp;":T"&amp;(ROW()-1))))),Первоначальный[[#This Row],[Полученный платеж]]+Y1113)
)
)
)</f>
        <v>0</v>
      </c>
      <c r="U111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платеж]]+Y1113-Первоначальный[[#This Row],[Полученный платёж по процентам]])</f>
        <v>0</v>
      </c>
      <c r="V1114" s="55">
        <f t="shared" ca="1" si="207"/>
        <v>0</v>
      </c>
      <c r="W1114" s="55" cm="1">
        <f t="array" aca="1" ref="W1114" ca="1">IF(Первоначальный[[#This Row],[Итого остаток на начало периода]]&lt;1,0,
_xlfn.IFS(
AND(TYPE(VLOOKUP(1,$Z$12:Z1114,1,0))=16,Первоначальный[[#This Row],[Досрочное погашение (да/"")]]=""),0,
AND(S1113=0,Первоначальный[[#This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платеж]]+Y1113-SUM(Первоначальный[[#This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комиссиям]]),VLOOKUP(LOOKUP(,-1/($Z$12:Z1114=1),$A$12:A1114),График[[Срок конец]:[Возврат основной суммы долга]],3,0)),
AND(S1113=0,Первоначальный[[#This Row],[Дата платежа из графика]]="",Первоначальный[[#This Row],[Досрочное погашение (да/"")]]&lt;&gt;"Да"),0,
AND(S1113=0,Первоначальный[[#This Row],[Досрочное погашение (да/"")]]=""),MIN(Первоначальный[[#This Row],[Полученный платеж]]+Y1113-SUM(Первоначальный[[#This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комиссиям]]),VLOOKUP(LOOKUP(,-1/($Z$12:Z1114=1),$A$12:A1114),График[[Срок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платеж]]+Y1113-SUM(Первоначальный[[#This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S1113&gt;0,MIN(Первоначальный[[#This Row],[Полученный платеж]]+Y1113-SUM(Первоначальный[[#This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комиссиям]]),SUM(INDIRECT("M"&amp;(MAX((1=S$12:S1113)*ROW(S$12:S1113),ROW($W$12))&amp;":M"&amp;(ROW()))))-SUM(INDIRECT("W"&amp;(MAX((1=S$12:S1113)*ROW(S$12:S1113),ROW($W$12))&amp;":W"&amp;(ROW()-1)))))
)
)</f>
        <v>0</v>
      </c>
      <c r="X1114" s="55">
        <f t="shared" ca="1" si="208"/>
        <v>0</v>
      </c>
      <c r="Y1114" s="101">
        <f t="shared" ca="1" si="215"/>
        <v>0</v>
      </c>
      <c r="Z1114" s="133" t="str">
        <f>IF(TYPE((VLOOKUP(Первоначальный[[#This Row],[Дата платежа]],График[Срок конец],1,0)))=16,"",1)</f>
        <v/>
      </c>
      <c r="AA1114" s="57"/>
      <c r="AB1114" s="134"/>
      <c r="AC111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1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80067.92999999992</v>
      </c>
      <c r="AE111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4762.45</v>
      </c>
      <c r="AF111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1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250682.67331147476</v>
      </c>
      <c r="AH1114" s="55"/>
      <c r="AI1114" s="55"/>
      <c r="AJ1114" s="55"/>
      <c r="AK1114" s="101">
        <f t="shared" ca="1" si="216"/>
        <v>485146.39331147471</v>
      </c>
      <c r="AL1114" s="129">
        <f t="array" ref="AL1114">MAX((УслРестрактов[Характеристика]="Дата реструктуризации")*(УслРестрактов[Значение]=Первоначальный!$A1114),0)</f>
        <v>0</v>
      </c>
    </row>
    <row r="1115" spans="1:38" x14ac:dyDescent="0.25">
      <c r="A1115" s="97">
        <f t="shared" si="209"/>
        <v>45246</v>
      </c>
      <c r="B1115" s="100">
        <f t="shared" ca="1" si="210"/>
        <v>149633.34</v>
      </c>
      <c r="C1115" s="55">
        <f t="shared" ca="1" si="206"/>
        <v>80067.92999999992</v>
      </c>
      <c r="D1115" s="55">
        <f t="shared" ca="1" si="206"/>
        <v>4762.45</v>
      </c>
      <c r="E1115" s="55">
        <f t="shared" ca="1" si="211"/>
        <v>0</v>
      </c>
      <c r="F1115" s="55">
        <f t="shared" ca="1" si="212"/>
        <v>250682.67331147476</v>
      </c>
      <c r="G1115" s="101">
        <f t="shared" ca="1" si="213"/>
        <v>485146.39331147471</v>
      </c>
      <c r="H1115" s="100">
        <f ca="1">ROUND($B1115*VLOOKUP($A1115,$A$1:$B$10,2,1)/(365+IF(MOD(YEAR($A1115),4),0,1)*($A1115-$A1114)),2)-Первоначальный[[#This Row],[Проценты на просроченный платеж по ОД за период]]</f>
        <v>71.3</v>
      </c>
      <c r="I1115" s="55">
        <f t="shared" ca="1" si="214"/>
        <v>10.28</v>
      </c>
      <c r="J1115" s="55">
        <v>0</v>
      </c>
      <c r="K1115" s="55">
        <f t="shared" ca="1" si="217"/>
        <v>492.42350327868843</v>
      </c>
      <c r="L1115" s="55">
        <v>0</v>
      </c>
      <c r="M1115" s="113">
        <f>SUMIFS(График[Возврат основной суммы долга],График[Дата с учетом нерабочих дней],$A1115)</f>
        <v>0</v>
      </c>
      <c r="N1115" s="56">
        <f>SUMIFS(График[Возврат начисленных %],График[Дата с учетом нерабочих дней],$A1115)</f>
        <v>0</v>
      </c>
      <c r="O1115" s="101">
        <v>0</v>
      </c>
      <c r="P1115" s="100" cm="1">
        <f t="array" aca="1" ref="P1115" ca="1">MAX(IF(AA1114="Да",0,SUM(INDIRECT("M"&amp;(MAX(("Да"=AA$12:AA1114)*ROW(AA$12:AA1114)+1,ROW($P$12))&amp;":M"&amp;(ROW()))))-SUM(INDIRECT("W"&amp;(MAX(("Да"=AA$12:AA1114)*ROW(AA$12:AA1114)+1,ROW($P$12))&amp;":W"&amp;(ROW()))))),0)</f>
        <v>18847.86</v>
      </c>
      <c r="Q1115" s="99">
        <f ca="1">MAX(SUM($N$13:N1115)-SUM($T$13:T1115),0)</f>
        <v>79636.840655737687</v>
      </c>
      <c r="R1115" s="99">
        <f ca="1">Первоначальный[[#This Row],[Просроченный платеж по ОД]]+Первоначальный[[#This Row],[Просроченный платеж по процентам]]</f>
        <v>98484.700655737688</v>
      </c>
      <c r="S1115" s="120">
        <f ca="1">IF(Первоначальный[[#This Row],[Просроченный платеж]]&lt;1,0,S1114+1)</f>
        <v>1011</v>
      </c>
      <c r="T1115" s="100" cm="1">
        <f t="array" aca="1" ref="T1115" ca="1">IF(Первоначальный[[#This Row],[Итого остаток на начало периода]]&lt;1,0,
IF(
AND(TYPE(VLOOKUP(1,$Z$12:Z1115,1,0))=16,Первоначальный[[#This Row],[Досрочное погашение (да/"")]]=""),0,
_xlfn.IFS(AND(S1114=0,Первоначальный[[#This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платеж]]&lt;&gt;0),MIN(LOOKUP(,-1/($Z$12:Z1115=1),$C$12:C1115)+LOOKUP(,-1/($Z$12:Z1115=1),$H$12:H1115),Первоначальный[[#This Row],[Полученный платеж]]+Y1114),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платеж]]+Y1114,SUM(Первоначальный[[#This Row],[Остаток процентов на начало периода]],Первоначальный[[#This Row],[Проценты за период]])),
AND(S1114=0,Первоначальный[[#This Row],[Дата платежа из графика]]=""),0,
AND(S1114=0,Первоначальный[[#This Row],[Дата платежа из графика]]=1,MAX((0&lt;&gt;S$12:S1114)*ROW(S$12:S1114),ROW($S$12))&gt;=MAX((1=Z$12:Z1114)*ROW(Z$12:Z1114),ROW($T$12)),TYPE(VLOOKUP("Да",(INDIRECT("AA"&amp;(MAX((1=Z$12:Z1114)*ROW(Z$12:Z1114),ROW($T$12))&amp;":AA"&amp;(ROW()-1)))),1,0))=16),MIN(LOOKUP(,-1/($Z$12:Z1115=1),$C$12:C1115)+LOOKUP(,-1/($Z$12:Z1115=1),$H$12:H1115),Первоначальный[[#This Row],[Полученный платеж]]+Y1114),
AND(S1114=0,TYPE(VLOOKUP("Да",(INDIRECT("AA"&amp;(MAX((1=Z$12:Z1114)*ROW(Z$12:Z1114),ROW($T$12))&amp;":AA"&amp;(ROW()-1)))),1,0))&lt;&gt;16),MIN(LOOKUP(,-1/($Z$12:Z1115=1),$C$12:C1115)+LOOKUP(,-1/($Z$12:Z1115=1),$H$12:H1115)-IF(AA1114="Да",0,SUM(INDIRECT("T"&amp;(MAX(("Да"=AA$12:AA1114)*ROW(AA$12:AA1114)+1,ROW($T$12))&amp;":T"&amp;(ROW()-1))))),Первоначальный[[#This Row],[Полученный платеж]]+Y1114),
AND(S1114=0,MAX((0&lt;&gt;N$12:N1114)*ROW(N$12:N1114),ROW($S$12))&gt;=MAX((1=Z$12:Z1114)*ROW(Z$12:Z1114),ROW($T$12))),MIN(LOOKUP(,-1/($Z$12:Z1115=1),$C$12:C1115)+LOOKUP(,-1/($Z$12:Z1115=1),$H$12:H1115)-IF(N1114&lt;&gt;0,0,SUM(INDIRECT("T"&amp;(MAX((0&lt;&gt;N$12:N1114)*ROW(N$12:N1114)+1,ROW($T$12))&amp;":T"&amp;(ROW()-1))))),Первоначальный[[#This Row],[Полученный платеж]]+Y1114),
AND(S1114=0,Первоначальный[[#This Row],[Дата платежа из графика]]=1),MIN(LOOKUP(,-1/($Z$12:Z1115=1),$C$12:C1115)+LOOKUP(,-1/($Z$12:Z1115=1),$H$12:H1115)-IF(Z1114=1,0,SUM(INDIRECT("T"&amp;(MAX((1=Z$12:Z1114)*ROW(Z$12:Z1114)+1,ROW($T$12))&amp;":T"&amp;(ROW()-1))))),Первоначальный[[#This Row],[Полученный платеж]]+Y1114),
AND(Z1114&gt;0,Первоначальный[[#This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платеж]]+Y1114),
AND(S1114&gt;0,MAX((0&lt;&gt;S$12:S1114)*ROW(S$12:S1114),ROW($S$12))&gt;=MAX((1=Z$12:Z1114)*ROW(Z$12:Z1114),ROW($T$12)),TYPE(VLOOKUP("Да",(INDIRECT("AA"&amp;(MAX((1=Z$12:Z1114)*ROW(Z$12:Z1114),ROW($T$12))&amp;":AA"&amp;(ROW()-1)))),1,0))=16),MIN(LOOKUP(,-1/($Z$12:Z1115=1),$C$12:C1115)+LOOKUP(,-1/($Z$12:Z1115=1),$H$12:H1115)-SUM(INDIRECT("T"&amp;(MAX((1=Z$12:Z1114)*ROW(Z$12:Z1114),ROW($T$12))&amp;":T"&amp;(ROW()-1)))),Первоначальный[[#This Row],[Полученный платеж]]+Y1114),
S1114&gt;0,MIN(LOOKUP(,-1/($Z$12:Z1115=1),$C$12:C1115)+LOOKUP(,-1/($Z$12:Z1115=1),$H$12:H1115)-IF(Z1114=1,0,SUM(INDIRECT("T"&amp;(MAX((1=Z$12:Z1114)*ROW(Z$12:Z1114)+1,ROW($T$12))&amp;":T"&amp;(ROW()-1))))),Первоначальный[[#This Row],[Полученный платеж]]+Y1114)
)
)
)</f>
        <v>0</v>
      </c>
      <c r="U111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платеж]]+Y1114-Первоначальный[[#This Row],[Полученный платёж по процентам]])</f>
        <v>0</v>
      </c>
      <c r="V1115" s="55">
        <f t="shared" ca="1" si="207"/>
        <v>0</v>
      </c>
      <c r="W1115" s="55" cm="1">
        <f t="array" aca="1" ref="W1115" ca="1">IF(Первоначальный[[#This Row],[Итого остаток на начало периода]]&lt;1,0,
_xlfn.IFS(
AND(TYPE(VLOOKUP(1,$Z$12:Z1115,1,0))=16,Первоначальный[[#This Row],[Досрочное погашение (да/"")]]=""),0,
AND(S1114=0,Первоначальный[[#This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платеж]]+Y1114-SUM(Первоначальный[[#This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комиссиям]]),VLOOKUP(LOOKUP(,-1/($Z$12:Z1115=1),$A$12:A1115),График[[Срок конец]:[Возврат основной суммы долга]],3,0)),
AND(S1114=0,Первоначальный[[#This Row],[Дата платежа из графика]]="",Первоначальный[[#This Row],[Досрочное погашение (да/"")]]&lt;&gt;"Да"),0,
AND(S1114=0,Первоначальный[[#This Row],[Досрочное погашение (да/"")]]=""),MIN(Первоначальный[[#This Row],[Полученный платеж]]+Y1114-SUM(Первоначальный[[#This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комиссиям]]),VLOOKUP(LOOKUP(,-1/($Z$12:Z1115=1),$A$12:A1115),График[[Срок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платеж]]+Y1114-SUM(Первоначальный[[#This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S1114&gt;0,MIN(Первоначальный[[#This Row],[Полученный платеж]]+Y1114-SUM(Первоначальный[[#This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комиссиям]]),SUM(INDIRECT("M"&amp;(MAX((1=S$12:S1114)*ROW(S$12:S1114),ROW($W$12))&amp;":M"&amp;(ROW()))))-SUM(INDIRECT("W"&amp;(MAX((1=S$12:S1114)*ROW(S$12:S1114),ROW($W$12))&amp;":W"&amp;(ROW()-1)))))
)
)</f>
        <v>0</v>
      </c>
      <c r="X1115" s="55">
        <f t="shared" ca="1" si="208"/>
        <v>0</v>
      </c>
      <c r="Y1115" s="101">
        <f t="shared" ca="1" si="215"/>
        <v>0</v>
      </c>
      <c r="Z1115" s="133" t="str">
        <f>IF(TYPE((VLOOKUP(Первоначальный[[#This Row],[Дата платежа]],График[Срок конец],1,0)))=16,"",1)</f>
        <v/>
      </c>
      <c r="AA1115" s="57"/>
      <c r="AB1115" s="134"/>
      <c r="AC111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1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80139.229999999923</v>
      </c>
      <c r="AE111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4772.7299999999996</v>
      </c>
      <c r="AF111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1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251175.09681475346</v>
      </c>
      <c r="AH1115" s="55"/>
      <c r="AI1115" s="55"/>
      <c r="AJ1115" s="55"/>
      <c r="AK1115" s="101">
        <f t="shared" ca="1" si="216"/>
        <v>485720.39681475342</v>
      </c>
      <c r="AL1115" s="129">
        <f t="array" ref="AL1115">MAX((УслРестрактов[Характеристика]="Дата реструктуризации")*(УслРестрактов[Значение]=Первоначальный!$A1115),0)</f>
        <v>0</v>
      </c>
    </row>
    <row r="1116" spans="1:38" x14ac:dyDescent="0.25">
      <c r="A1116" s="97">
        <f t="shared" si="209"/>
        <v>45247</v>
      </c>
      <c r="B1116" s="100">
        <f t="shared" ca="1" si="210"/>
        <v>149633.34</v>
      </c>
      <c r="C1116" s="55">
        <f t="shared" ca="1" si="206"/>
        <v>80139.229999999923</v>
      </c>
      <c r="D1116" s="55">
        <f t="shared" ca="1" si="206"/>
        <v>4772.7299999999996</v>
      </c>
      <c r="E1116" s="55">
        <f t="shared" ca="1" si="211"/>
        <v>0</v>
      </c>
      <c r="F1116" s="55">
        <f t="shared" ca="1" si="212"/>
        <v>251175.09681475346</v>
      </c>
      <c r="G1116" s="101">
        <f t="shared" ca="1" si="213"/>
        <v>485720.39681475342</v>
      </c>
      <c r="H1116" s="100">
        <f ca="1">ROUND($B1116*VLOOKUP($A1116,$A$1:$B$10,2,1)/(365+IF(MOD(YEAR($A1116),4),0,1)*($A1116-$A1115)),2)-Первоначальный[[#This Row],[Проценты на просроченный платеж по ОД за период]]</f>
        <v>71.3</v>
      </c>
      <c r="I1116" s="55">
        <f t="shared" ca="1" si="214"/>
        <v>10.28</v>
      </c>
      <c r="J1116" s="55">
        <v>0</v>
      </c>
      <c r="K1116" s="55">
        <f t="shared" ca="1" si="217"/>
        <v>492.42350327868843</v>
      </c>
      <c r="L1116" s="55">
        <v>0</v>
      </c>
      <c r="M1116" s="113">
        <f>SUMIFS(График[Возврат основной суммы долга],График[Дата с учетом нерабочих дней],$A1116)</f>
        <v>0</v>
      </c>
      <c r="N1116" s="56">
        <f>SUMIFS(График[Возврат начисленных %],График[Дата с учетом нерабочих дней],$A1116)</f>
        <v>0</v>
      </c>
      <c r="O1116" s="101">
        <v>0</v>
      </c>
      <c r="P1116" s="100" cm="1">
        <f t="array" aca="1" ref="P1116" ca="1">MAX(IF(AA1115="Да",0,SUM(INDIRECT("M"&amp;(MAX(("Да"=AA$12:AA1115)*ROW(AA$12:AA1115)+1,ROW($P$12))&amp;":M"&amp;(ROW()))))-SUM(INDIRECT("W"&amp;(MAX(("Да"=AA$12:AA1115)*ROW(AA$12:AA1115)+1,ROW($P$12))&amp;":W"&amp;(ROW()))))),0)</f>
        <v>18847.86</v>
      </c>
      <c r="Q1116" s="99">
        <f ca="1">MAX(SUM($N$13:N1116)-SUM($T$13:T1116),0)</f>
        <v>79636.840655737687</v>
      </c>
      <c r="R1116" s="99">
        <f ca="1">Первоначальный[[#This Row],[Просроченный платеж по ОД]]+Первоначальный[[#This Row],[Просроченный платеж по процентам]]</f>
        <v>98484.700655737688</v>
      </c>
      <c r="S1116" s="120">
        <f ca="1">IF(Первоначальный[[#This Row],[Просроченный платеж]]&lt;1,0,S1115+1)</f>
        <v>1012</v>
      </c>
      <c r="T1116" s="100" cm="1">
        <f t="array" aca="1" ref="T1116" ca="1">IF(Первоначальный[[#This Row],[Итого остаток на начало периода]]&lt;1,0,
IF(
AND(TYPE(VLOOKUP(1,$Z$12:Z1116,1,0))=16,Первоначальный[[#This Row],[Досрочное погашение (да/"")]]=""),0,
_xlfn.IFS(AND(S1115=0,Первоначальный[[#This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платеж]]&lt;&gt;0),MIN(LOOKUP(,-1/($Z$12:Z1116=1),$C$12:C1116)+LOOKUP(,-1/($Z$12:Z1116=1),$H$12:H1116),Первоначальный[[#This Row],[Полученный платеж]]+Y1115),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платеж]]+Y1115,SUM(Первоначальный[[#This Row],[Остаток процентов на начало периода]],Первоначальный[[#This Row],[Проценты за период]])),
AND(S1115=0,Первоначальный[[#This Row],[Дата платежа из графика]]=""),0,
AND(S1115=0,Первоначальный[[#This Row],[Дата платежа из графика]]=1,MAX((0&lt;&gt;S$12:S1115)*ROW(S$12:S1115),ROW($S$12))&gt;=MAX((1=Z$12:Z1115)*ROW(Z$12:Z1115),ROW($T$12)),TYPE(VLOOKUP("Да",(INDIRECT("AA"&amp;(MAX((1=Z$12:Z1115)*ROW(Z$12:Z1115),ROW($T$12))&amp;":AA"&amp;(ROW()-1)))),1,0))=16),MIN(LOOKUP(,-1/($Z$12:Z1116=1),$C$12:C1116)+LOOKUP(,-1/($Z$12:Z1116=1),$H$12:H1116),Первоначальный[[#This Row],[Полученный платеж]]+Y1115),
AND(S1115=0,TYPE(VLOOKUP("Да",(INDIRECT("AA"&amp;(MAX((1=Z$12:Z1115)*ROW(Z$12:Z1115),ROW($T$12))&amp;":AA"&amp;(ROW()-1)))),1,0))&lt;&gt;16),MIN(LOOKUP(,-1/($Z$12:Z1116=1),$C$12:C1116)+LOOKUP(,-1/($Z$12:Z1116=1),$H$12:H1116)-IF(AA1115="Да",0,SUM(INDIRECT("T"&amp;(MAX(("Да"=AA$12:AA1115)*ROW(AA$12:AA1115)+1,ROW($T$12))&amp;":T"&amp;(ROW()-1))))),Первоначальный[[#This Row],[Полученный платеж]]+Y1115),
AND(S1115=0,MAX((0&lt;&gt;N$12:N1115)*ROW(N$12:N1115),ROW($S$12))&gt;=MAX((1=Z$12:Z1115)*ROW(Z$12:Z1115),ROW($T$12))),MIN(LOOKUP(,-1/($Z$12:Z1116=1),$C$12:C1116)+LOOKUP(,-1/($Z$12:Z1116=1),$H$12:H1116)-IF(N1115&lt;&gt;0,0,SUM(INDIRECT("T"&amp;(MAX((0&lt;&gt;N$12:N1115)*ROW(N$12:N1115)+1,ROW($T$12))&amp;":T"&amp;(ROW()-1))))),Первоначальный[[#This Row],[Полученный платеж]]+Y1115),
AND(S1115=0,Первоначальный[[#This Row],[Дата платежа из графика]]=1),MIN(LOOKUP(,-1/($Z$12:Z1116=1),$C$12:C1116)+LOOKUP(,-1/($Z$12:Z1116=1),$H$12:H1116)-IF(Z1115=1,0,SUM(INDIRECT("T"&amp;(MAX((1=Z$12:Z1115)*ROW(Z$12:Z1115)+1,ROW($T$12))&amp;":T"&amp;(ROW()-1))))),Первоначальный[[#This Row],[Полученный платеж]]+Y1115),
AND(Z1115&gt;0,Первоначальный[[#This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платеж]]+Y1115),
AND(S1115&gt;0,MAX((0&lt;&gt;S$12:S1115)*ROW(S$12:S1115),ROW($S$12))&gt;=MAX((1=Z$12:Z1115)*ROW(Z$12:Z1115),ROW($T$12)),TYPE(VLOOKUP("Да",(INDIRECT("AA"&amp;(MAX((1=Z$12:Z1115)*ROW(Z$12:Z1115),ROW($T$12))&amp;":AA"&amp;(ROW()-1)))),1,0))=16),MIN(LOOKUP(,-1/($Z$12:Z1116=1),$C$12:C1116)+LOOKUP(,-1/($Z$12:Z1116=1),$H$12:H1116)-SUM(INDIRECT("T"&amp;(MAX((1=Z$12:Z1115)*ROW(Z$12:Z1115),ROW($T$12))&amp;":T"&amp;(ROW()-1)))),Первоначальный[[#This Row],[Полученный платеж]]+Y1115),
S1115&gt;0,MIN(LOOKUP(,-1/($Z$12:Z1116=1),$C$12:C1116)+LOOKUP(,-1/($Z$12:Z1116=1),$H$12:H1116)-IF(Z1115=1,0,SUM(INDIRECT("T"&amp;(MAX((1=Z$12:Z1115)*ROW(Z$12:Z1115)+1,ROW($T$12))&amp;":T"&amp;(ROW()-1))))),Первоначальный[[#This Row],[Полученный платеж]]+Y1115)
)
)
)</f>
        <v>0</v>
      </c>
      <c r="U111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платеж]]+Y1115-Первоначальный[[#This Row],[Полученный платёж по процентам]])</f>
        <v>0</v>
      </c>
      <c r="V1116" s="55">
        <f t="shared" ca="1" si="207"/>
        <v>0</v>
      </c>
      <c r="W1116" s="55" cm="1">
        <f t="array" aca="1" ref="W1116" ca="1">IF(Первоначальный[[#This Row],[Итого остаток на начало периода]]&lt;1,0,
_xlfn.IFS(
AND(TYPE(VLOOKUP(1,$Z$12:Z1116,1,0))=16,Первоначальный[[#This Row],[Досрочное погашение (да/"")]]=""),0,
AND(S1115=0,Первоначальный[[#This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платеж]]+Y1115-SUM(Первоначальный[[#This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комиссиям]]),VLOOKUP(LOOKUP(,-1/($Z$12:Z1116=1),$A$12:A1116),График[[Срок конец]:[Возврат основной суммы долга]],3,0)),
AND(S1115=0,Первоначальный[[#This Row],[Дата платежа из графика]]="",Первоначальный[[#This Row],[Досрочное погашение (да/"")]]&lt;&gt;"Да"),0,
AND(S1115=0,Первоначальный[[#This Row],[Досрочное погашение (да/"")]]=""),MIN(Первоначальный[[#This Row],[Полученный платеж]]+Y1115-SUM(Первоначальный[[#This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комиссиям]]),VLOOKUP(LOOKUP(,-1/($Z$12:Z1116=1),$A$12:A1116),График[[Срок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платеж]]+Y1115-SUM(Первоначальный[[#This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S1115&gt;0,MIN(Первоначальный[[#This Row],[Полученный платеж]]+Y1115-SUM(Первоначальный[[#This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комиссиям]]),SUM(INDIRECT("M"&amp;(MAX((1=S$12:S1115)*ROW(S$12:S1115),ROW($W$12))&amp;":M"&amp;(ROW()))))-SUM(INDIRECT("W"&amp;(MAX((1=S$12:S1115)*ROW(S$12:S1115),ROW($W$12))&amp;":W"&amp;(ROW()-1)))))
)
)</f>
        <v>0</v>
      </c>
      <c r="X1116" s="55">
        <f t="shared" ca="1" si="208"/>
        <v>0</v>
      </c>
      <c r="Y1116" s="101">
        <f t="shared" ca="1" si="215"/>
        <v>0</v>
      </c>
      <c r="Z1116" s="133" t="str">
        <f>IF(TYPE((VLOOKUP(Первоначальный[[#This Row],[Дата платежа]],График[Срок конец],1,0)))=16,"",1)</f>
        <v/>
      </c>
      <c r="AA1116" s="57"/>
      <c r="AB1116" s="134"/>
      <c r="AC111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1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80210.529999999926</v>
      </c>
      <c r="AE111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4783.0099999999993</v>
      </c>
      <c r="AF111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1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251667.52031803216</v>
      </c>
      <c r="AH1116" s="55"/>
      <c r="AI1116" s="55"/>
      <c r="AJ1116" s="55"/>
      <c r="AK1116" s="101">
        <f t="shared" ca="1" si="216"/>
        <v>486294.40031803213</v>
      </c>
      <c r="AL1116" s="129">
        <f t="array" ref="AL1116">MAX((УслРестрактов[Характеристика]="Дата реструктуризации")*(УслРестрактов[Значение]=Первоначальный!$A1116),0)</f>
        <v>0</v>
      </c>
    </row>
    <row r="1117" spans="1:38" x14ac:dyDescent="0.25">
      <c r="A1117" s="97">
        <f t="shared" si="209"/>
        <v>45248</v>
      </c>
      <c r="B1117" s="100">
        <f t="shared" ca="1" si="210"/>
        <v>149633.34</v>
      </c>
      <c r="C1117" s="55">
        <f t="shared" ca="1" si="206"/>
        <v>80210.529999999926</v>
      </c>
      <c r="D1117" s="55">
        <f t="shared" ca="1" si="206"/>
        <v>4783.0099999999993</v>
      </c>
      <c r="E1117" s="55">
        <f t="shared" ca="1" si="211"/>
        <v>0</v>
      </c>
      <c r="F1117" s="55">
        <f t="shared" ca="1" si="212"/>
        <v>251667.52031803216</v>
      </c>
      <c r="G1117" s="101">
        <f t="shared" ca="1" si="213"/>
        <v>486294.40031803213</v>
      </c>
      <c r="H1117" s="100">
        <f ca="1">ROUND($B1117*VLOOKUP($A1117,$A$1:$B$10,2,1)/(365+IF(MOD(YEAR($A1117),4),0,1)*($A1117-$A1116)),2)-Первоначальный[[#This Row],[Проценты на просроченный платеж по ОД за период]]</f>
        <v>71.3</v>
      </c>
      <c r="I1117" s="55">
        <f t="shared" ca="1" si="214"/>
        <v>10.28</v>
      </c>
      <c r="J1117" s="55">
        <v>0</v>
      </c>
      <c r="K1117" s="55">
        <f t="shared" ca="1" si="217"/>
        <v>492.42350327868843</v>
      </c>
      <c r="L1117" s="55">
        <v>0</v>
      </c>
      <c r="M1117" s="113">
        <f>SUMIFS(График[Возврат основной суммы долга],График[Дата с учетом нерабочих дней],$A1117)</f>
        <v>0</v>
      </c>
      <c r="N1117" s="56">
        <f>SUMIFS(График[Возврат начисленных %],График[Дата с учетом нерабочих дней],$A1117)</f>
        <v>0</v>
      </c>
      <c r="O1117" s="101">
        <v>0</v>
      </c>
      <c r="P1117" s="100" cm="1">
        <f t="array" aca="1" ref="P1117" ca="1">MAX(IF(AA1116="Да",0,SUM(INDIRECT("M"&amp;(MAX(("Да"=AA$12:AA1116)*ROW(AA$12:AA1116)+1,ROW($P$12))&amp;":M"&amp;(ROW()))))-SUM(INDIRECT("W"&amp;(MAX(("Да"=AA$12:AA1116)*ROW(AA$12:AA1116)+1,ROW($P$12))&amp;":W"&amp;(ROW()))))),0)</f>
        <v>18847.86</v>
      </c>
      <c r="Q1117" s="99">
        <f ca="1">MAX(SUM($N$13:N1117)-SUM($T$13:T1117),0)</f>
        <v>79636.840655737687</v>
      </c>
      <c r="R1117" s="99">
        <f ca="1">Первоначальный[[#This Row],[Просроченный платеж по ОД]]+Первоначальный[[#This Row],[Просроченный платеж по процентам]]</f>
        <v>98484.700655737688</v>
      </c>
      <c r="S1117" s="120">
        <f ca="1">IF(Первоначальный[[#This Row],[Просроченный платеж]]&lt;1,0,S1116+1)</f>
        <v>1013</v>
      </c>
      <c r="T1117" s="100" cm="1">
        <f t="array" aca="1" ref="T1117" ca="1">IF(Первоначальный[[#This Row],[Итого остаток на начало периода]]&lt;1,0,
IF(
AND(TYPE(VLOOKUP(1,$Z$12:Z1117,1,0))=16,Первоначальный[[#This Row],[Досрочное погашение (да/"")]]=""),0,
_xlfn.IFS(AND(S1116=0,Первоначальный[[#This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платеж]]&lt;&gt;0),MIN(LOOKUP(,-1/($Z$12:Z1117=1),$C$12:C1117)+LOOKUP(,-1/($Z$12:Z1117=1),$H$12:H1117),Первоначальный[[#This Row],[Полученный платеж]]+Y1116),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платеж]]+Y1116,SUM(Первоначальный[[#This Row],[Остаток процентов на начало периода]],Первоначальный[[#This Row],[Проценты за период]])),
AND(S1116=0,Первоначальный[[#This Row],[Дата платежа из графика]]=""),0,
AND(S1116=0,Первоначальный[[#This Row],[Дата платежа из графика]]=1,MAX((0&lt;&gt;S$12:S1116)*ROW(S$12:S1116),ROW($S$12))&gt;=MAX((1=Z$12:Z1116)*ROW(Z$12:Z1116),ROW($T$12)),TYPE(VLOOKUP("Да",(INDIRECT("AA"&amp;(MAX((1=Z$12:Z1116)*ROW(Z$12:Z1116),ROW($T$12))&amp;":AA"&amp;(ROW()-1)))),1,0))=16),MIN(LOOKUP(,-1/($Z$12:Z1117=1),$C$12:C1117)+LOOKUP(,-1/($Z$12:Z1117=1),$H$12:H1117),Первоначальный[[#This Row],[Полученный платеж]]+Y1116),
AND(S1116=0,TYPE(VLOOKUP("Да",(INDIRECT("AA"&amp;(MAX((1=Z$12:Z1116)*ROW(Z$12:Z1116),ROW($T$12))&amp;":AA"&amp;(ROW()-1)))),1,0))&lt;&gt;16),MIN(LOOKUP(,-1/($Z$12:Z1117=1),$C$12:C1117)+LOOKUP(,-1/($Z$12:Z1117=1),$H$12:H1117)-IF(AA1116="Да",0,SUM(INDIRECT("T"&amp;(MAX(("Да"=AA$12:AA1116)*ROW(AA$12:AA1116)+1,ROW($T$12))&amp;":T"&amp;(ROW()-1))))),Первоначальный[[#This Row],[Полученный платеж]]+Y1116),
AND(S1116=0,MAX((0&lt;&gt;N$12:N1116)*ROW(N$12:N1116),ROW($S$12))&gt;=MAX((1=Z$12:Z1116)*ROW(Z$12:Z1116),ROW($T$12))),MIN(LOOKUP(,-1/($Z$12:Z1117=1),$C$12:C1117)+LOOKUP(,-1/($Z$12:Z1117=1),$H$12:H1117)-IF(N1116&lt;&gt;0,0,SUM(INDIRECT("T"&amp;(MAX((0&lt;&gt;N$12:N1116)*ROW(N$12:N1116)+1,ROW($T$12))&amp;":T"&amp;(ROW()-1))))),Первоначальный[[#This Row],[Полученный платеж]]+Y1116),
AND(S1116=0,Первоначальный[[#This Row],[Дата платежа из графика]]=1),MIN(LOOKUP(,-1/($Z$12:Z1117=1),$C$12:C1117)+LOOKUP(,-1/($Z$12:Z1117=1),$H$12:H1117)-IF(Z1116=1,0,SUM(INDIRECT("T"&amp;(MAX((1=Z$12:Z1116)*ROW(Z$12:Z1116)+1,ROW($T$12))&amp;":T"&amp;(ROW()-1))))),Первоначальный[[#This Row],[Полученный платеж]]+Y1116),
AND(Z1116&gt;0,Первоначальный[[#This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платеж]]+Y1116),
AND(S1116&gt;0,MAX((0&lt;&gt;S$12:S1116)*ROW(S$12:S1116),ROW($S$12))&gt;=MAX((1=Z$12:Z1116)*ROW(Z$12:Z1116),ROW($T$12)),TYPE(VLOOKUP("Да",(INDIRECT("AA"&amp;(MAX((1=Z$12:Z1116)*ROW(Z$12:Z1116),ROW($T$12))&amp;":AA"&amp;(ROW()-1)))),1,0))=16),MIN(LOOKUP(,-1/($Z$12:Z1117=1),$C$12:C1117)+LOOKUP(,-1/($Z$12:Z1117=1),$H$12:H1117)-SUM(INDIRECT("T"&amp;(MAX((1=Z$12:Z1116)*ROW(Z$12:Z1116),ROW($T$12))&amp;":T"&amp;(ROW()-1)))),Первоначальный[[#This Row],[Полученный платеж]]+Y1116),
S1116&gt;0,MIN(LOOKUP(,-1/($Z$12:Z1117=1),$C$12:C1117)+LOOKUP(,-1/($Z$12:Z1117=1),$H$12:H1117)-IF(Z1116=1,0,SUM(INDIRECT("T"&amp;(MAX((1=Z$12:Z1116)*ROW(Z$12:Z1116)+1,ROW($T$12))&amp;":T"&amp;(ROW()-1))))),Первоначальный[[#This Row],[Полученный платеж]]+Y1116)
)
)
)</f>
        <v>0</v>
      </c>
      <c r="U111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платеж]]+Y1116-Первоначальный[[#This Row],[Полученный платёж по процентам]])</f>
        <v>0</v>
      </c>
      <c r="V1117" s="55">
        <f t="shared" ca="1" si="207"/>
        <v>0</v>
      </c>
      <c r="W1117" s="55" cm="1">
        <f t="array" aca="1" ref="W1117" ca="1">IF(Первоначальный[[#This Row],[Итого остаток на начало периода]]&lt;1,0,
_xlfn.IFS(
AND(TYPE(VLOOKUP(1,$Z$12:Z1117,1,0))=16,Первоначальный[[#This Row],[Досрочное погашение (да/"")]]=""),0,
AND(S1116=0,Первоначальный[[#This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платеж]]+Y1116-SUM(Первоначальный[[#This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комиссиям]]),VLOOKUP(LOOKUP(,-1/($Z$12:Z1117=1),$A$12:A1117),График[[Срок конец]:[Возврат основной суммы долга]],3,0)),
AND(S1116=0,Первоначальный[[#This Row],[Дата платежа из графика]]="",Первоначальный[[#This Row],[Досрочное погашение (да/"")]]&lt;&gt;"Да"),0,
AND(S1116=0,Первоначальный[[#This Row],[Досрочное погашение (да/"")]]=""),MIN(Первоначальный[[#This Row],[Полученный платеж]]+Y1116-SUM(Первоначальный[[#This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комиссиям]]),VLOOKUP(LOOKUP(,-1/($Z$12:Z1117=1),$A$12:A1117),График[[Срок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платеж]]+Y1116-SUM(Первоначальный[[#This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S1116&gt;0,MIN(Первоначальный[[#This Row],[Полученный платеж]]+Y1116-SUM(Первоначальный[[#This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комиссиям]]),SUM(INDIRECT("M"&amp;(MAX((1=S$12:S1116)*ROW(S$12:S1116),ROW($W$12))&amp;":M"&amp;(ROW()))))-SUM(INDIRECT("W"&amp;(MAX((1=S$12:S1116)*ROW(S$12:S1116),ROW($W$12))&amp;":W"&amp;(ROW()-1)))))
)
)</f>
        <v>0</v>
      </c>
      <c r="X1117" s="55">
        <f t="shared" ca="1" si="208"/>
        <v>0</v>
      </c>
      <c r="Y1117" s="101">
        <f t="shared" ca="1" si="215"/>
        <v>0</v>
      </c>
      <c r="Z1117" s="133" t="str">
        <f>IF(TYPE((VLOOKUP(Первоначальный[[#This Row],[Дата платежа]],График[Срок конец],1,0)))=16,"",1)</f>
        <v/>
      </c>
      <c r="AA1117" s="57"/>
      <c r="AB1117" s="134"/>
      <c r="AC111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1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80281.829999999929</v>
      </c>
      <c r="AE111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4793.2899999999991</v>
      </c>
      <c r="AF111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1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252159.94382131085</v>
      </c>
      <c r="AH1117" s="55"/>
      <c r="AI1117" s="55"/>
      <c r="AJ1117" s="55"/>
      <c r="AK1117" s="101">
        <f t="shared" ca="1" si="216"/>
        <v>486868.40382131079</v>
      </c>
      <c r="AL1117" s="129">
        <f t="array" ref="AL1117">MAX((УслРестрактов[Характеристика]="Дата реструктуризации")*(УслРестрактов[Значение]=Первоначальный!$A1117),0)</f>
        <v>0</v>
      </c>
    </row>
    <row r="1118" spans="1:38" x14ac:dyDescent="0.25">
      <c r="A1118" s="97">
        <f t="shared" si="209"/>
        <v>45249</v>
      </c>
      <c r="B1118" s="100">
        <f t="shared" ca="1" si="210"/>
        <v>149633.34</v>
      </c>
      <c r="C1118" s="55">
        <f t="shared" ca="1" si="206"/>
        <v>80281.829999999929</v>
      </c>
      <c r="D1118" s="55">
        <f t="shared" ca="1" si="206"/>
        <v>4793.2899999999991</v>
      </c>
      <c r="E1118" s="55">
        <f t="shared" ca="1" si="211"/>
        <v>0</v>
      </c>
      <c r="F1118" s="55">
        <f t="shared" ca="1" si="212"/>
        <v>252159.94382131085</v>
      </c>
      <c r="G1118" s="101">
        <f t="shared" ca="1" si="213"/>
        <v>486868.40382131079</v>
      </c>
      <c r="H1118" s="100">
        <f ca="1">ROUND($B1118*VLOOKUP($A1118,$A$1:$B$10,2,1)/(365+IF(MOD(YEAR($A1118),4),0,1)*($A1118-$A1117)),2)-Первоначальный[[#This Row],[Проценты на просроченный платеж по ОД за период]]</f>
        <v>71.3</v>
      </c>
      <c r="I1118" s="55">
        <f t="shared" ca="1" si="214"/>
        <v>10.28</v>
      </c>
      <c r="J1118" s="55">
        <v>0</v>
      </c>
      <c r="K1118" s="55">
        <f t="shared" ca="1" si="217"/>
        <v>492.42350327868843</v>
      </c>
      <c r="L1118" s="55">
        <v>0</v>
      </c>
      <c r="M1118" s="113">
        <f>SUMIFS(График[Возврат основной суммы долга],График[Дата с учетом нерабочих дней],$A1118)</f>
        <v>0</v>
      </c>
      <c r="N1118" s="56">
        <f>SUMIFS(График[Возврат начисленных %],График[Дата с учетом нерабочих дней],$A1118)</f>
        <v>0</v>
      </c>
      <c r="O1118" s="101">
        <v>0</v>
      </c>
      <c r="P1118" s="100" cm="1">
        <f t="array" aca="1" ref="P1118" ca="1">MAX(IF(AA1117="Да",0,SUM(INDIRECT("M"&amp;(MAX(("Да"=AA$12:AA1117)*ROW(AA$12:AA1117)+1,ROW($P$12))&amp;":M"&amp;(ROW()))))-SUM(INDIRECT("W"&amp;(MAX(("Да"=AA$12:AA1117)*ROW(AA$12:AA1117)+1,ROW($P$12))&amp;":W"&amp;(ROW()))))),0)</f>
        <v>18847.86</v>
      </c>
      <c r="Q1118" s="99">
        <f ca="1">MAX(SUM($N$13:N1118)-SUM($T$13:T1118),0)</f>
        <v>79636.840655737687</v>
      </c>
      <c r="R1118" s="99">
        <f ca="1">Первоначальный[[#This Row],[Просроченный платеж по ОД]]+Первоначальный[[#This Row],[Просроченный платеж по процентам]]</f>
        <v>98484.700655737688</v>
      </c>
      <c r="S1118" s="120">
        <f ca="1">IF(Первоначальный[[#This Row],[Просроченный платеж]]&lt;1,0,S1117+1)</f>
        <v>1014</v>
      </c>
      <c r="T1118" s="100" cm="1">
        <f t="array" aca="1" ref="T1118" ca="1">IF(Первоначальный[[#This Row],[Итого остаток на начало периода]]&lt;1,0,
IF(
AND(TYPE(VLOOKUP(1,$Z$12:Z1118,1,0))=16,Первоначальный[[#This Row],[Досрочное погашение (да/"")]]=""),0,
_xlfn.IFS(AND(S1117=0,Первоначальный[[#This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платеж]]&lt;&gt;0),MIN(LOOKUP(,-1/($Z$12:Z1118=1),$C$12:C1118)+LOOKUP(,-1/($Z$12:Z1118=1),$H$12:H1118),Первоначальный[[#This Row],[Полученный платеж]]+Y1117),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платеж]]+Y1117,SUM(Первоначальный[[#This Row],[Остаток процентов на начало периода]],Первоначальный[[#This Row],[Проценты за период]])),
AND(S1117=0,Первоначальный[[#This Row],[Дата платежа из графика]]=""),0,
AND(S1117=0,Первоначальный[[#This Row],[Дата платежа из графика]]=1,MAX((0&lt;&gt;S$12:S1117)*ROW(S$12:S1117),ROW($S$12))&gt;=MAX((1=Z$12:Z1117)*ROW(Z$12:Z1117),ROW($T$12)),TYPE(VLOOKUP("Да",(INDIRECT("AA"&amp;(MAX((1=Z$12:Z1117)*ROW(Z$12:Z1117),ROW($T$12))&amp;":AA"&amp;(ROW()-1)))),1,0))=16),MIN(LOOKUP(,-1/($Z$12:Z1118=1),$C$12:C1118)+LOOKUP(,-1/($Z$12:Z1118=1),$H$12:H1118),Первоначальный[[#This Row],[Полученный платеж]]+Y1117),
AND(S1117=0,TYPE(VLOOKUP("Да",(INDIRECT("AA"&amp;(MAX((1=Z$12:Z1117)*ROW(Z$12:Z1117),ROW($T$12))&amp;":AA"&amp;(ROW()-1)))),1,0))&lt;&gt;16),MIN(LOOKUP(,-1/($Z$12:Z1118=1),$C$12:C1118)+LOOKUP(,-1/($Z$12:Z1118=1),$H$12:H1118)-IF(AA1117="Да",0,SUM(INDIRECT("T"&amp;(MAX(("Да"=AA$12:AA1117)*ROW(AA$12:AA1117)+1,ROW($T$12))&amp;":T"&amp;(ROW()-1))))),Первоначальный[[#This Row],[Полученный платеж]]+Y1117),
AND(S1117=0,MAX((0&lt;&gt;N$12:N1117)*ROW(N$12:N1117),ROW($S$12))&gt;=MAX((1=Z$12:Z1117)*ROW(Z$12:Z1117),ROW($T$12))),MIN(LOOKUP(,-1/($Z$12:Z1118=1),$C$12:C1118)+LOOKUP(,-1/($Z$12:Z1118=1),$H$12:H1118)-IF(N1117&lt;&gt;0,0,SUM(INDIRECT("T"&amp;(MAX((0&lt;&gt;N$12:N1117)*ROW(N$12:N1117)+1,ROW($T$12))&amp;":T"&amp;(ROW()-1))))),Первоначальный[[#This Row],[Полученный платеж]]+Y1117),
AND(S1117=0,Первоначальный[[#This Row],[Дата платежа из графика]]=1),MIN(LOOKUP(,-1/($Z$12:Z1118=1),$C$12:C1118)+LOOKUP(,-1/($Z$12:Z1118=1),$H$12:H1118)-IF(Z1117=1,0,SUM(INDIRECT("T"&amp;(MAX((1=Z$12:Z1117)*ROW(Z$12:Z1117)+1,ROW($T$12))&amp;":T"&amp;(ROW()-1))))),Первоначальный[[#This Row],[Полученный платеж]]+Y1117),
AND(Z1117&gt;0,Первоначальный[[#This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платеж]]+Y1117),
AND(S1117&gt;0,MAX((0&lt;&gt;S$12:S1117)*ROW(S$12:S1117),ROW($S$12))&gt;=MAX((1=Z$12:Z1117)*ROW(Z$12:Z1117),ROW($T$12)),TYPE(VLOOKUP("Да",(INDIRECT("AA"&amp;(MAX((1=Z$12:Z1117)*ROW(Z$12:Z1117),ROW($T$12))&amp;":AA"&amp;(ROW()-1)))),1,0))=16),MIN(LOOKUP(,-1/($Z$12:Z1118=1),$C$12:C1118)+LOOKUP(,-1/($Z$12:Z1118=1),$H$12:H1118)-SUM(INDIRECT("T"&amp;(MAX((1=Z$12:Z1117)*ROW(Z$12:Z1117),ROW($T$12))&amp;":T"&amp;(ROW()-1)))),Первоначальный[[#This Row],[Полученный платеж]]+Y1117),
S1117&gt;0,MIN(LOOKUP(,-1/($Z$12:Z1118=1),$C$12:C1118)+LOOKUP(,-1/($Z$12:Z1118=1),$H$12:H1118)-IF(Z1117=1,0,SUM(INDIRECT("T"&amp;(MAX((1=Z$12:Z1117)*ROW(Z$12:Z1117)+1,ROW($T$12))&amp;":T"&amp;(ROW()-1))))),Первоначальный[[#This Row],[Полученный платеж]]+Y1117)
)
)
)</f>
        <v>0</v>
      </c>
      <c r="U111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платеж]]+Y1117-Первоначальный[[#This Row],[Полученный платёж по процентам]])</f>
        <v>0</v>
      </c>
      <c r="V1118" s="55">
        <f t="shared" ca="1" si="207"/>
        <v>0</v>
      </c>
      <c r="W1118" s="55" cm="1">
        <f t="array" aca="1" ref="W1118" ca="1">IF(Первоначальный[[#This Row],[Итого остаток на начало периода]]&lt;1,0,
_xlfn.IFS(
AND(TYPE(VLOOKUP(1,$Z$12:Z1118,1,0))=16,Первоначальный[[#This Row],[Досрочное погашение (да/"")]]=""),0,
AND(S1117=0,Первоначальный[[#This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платеж]]+Y1117-SUM(Первоначальный[[#This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комиссиям]]),VLOOKUP(LOOKUP(,-1/($Z$12:Z1118=1),$A$12:A1118),График[[Срок конец]:[Возврат основной суммы долга]],3,0)),
AND(S1117=0,Первоначальный[[#This Row],[Дата платежа из графика]]="",Первоначальный[[#This Row],[Досрочное погашение (да/"")]]&lt;&gt;"Да"),0,
AND(S1117=0,Первоначальный[[#This Row],[Досрочное погашение (да/"")]]=""),MIN(Первоначальный[[#This Row],[Полученный платеж]]+Y1117-SUM(Первоначальный[[#This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комиссиям]]),VLOOKUP(LOOKUP(,-1/($Z$12:Z1118=1),$A$12:A1118),График[[Срок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платеж]]+Y1117-SUM(Первоначальный[[#This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S1117&gt;0,MIN(Первоначальный[[#This Row],[Полученный платеж]]+Y1117-SUM(Первоначальный[[#This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комиссиям]]),SUM(INDIRECT("M"&amp;(MAX((1=S$12:S1117)*ROW(S$12:S1117),ROW($W$12))&amp;":M"&amp;(ROW()))))-SUM(INDIRECT("W"&amp;(MAX((1=S$12:S1117)*ROW(S$12:S1117),ROW($W$12))&amp;":W"&amp;(ROW()-1)))))
)
)</f>
        <v>0</v>
      </c>
      <c r="X1118" s="55">
        <f t="shared" ca="1" si="208"/>
        <v>0</v>
      </c>
      <c r="Y1118" s="101">
        <f t="shared" ca="1" si="215"/>
        <v>0</v>
      </c>
      <c r="Z1118" s="133" t="str">
        <f>IF(TYPE((VLOOKUP(Первоначальный[[#This Row],[Дата платежа]],График[Срок конец],1,0)))=16,"",1)</f>
        <v/>
      </c>
      <c r="AA1118" s="57"/>
      <c r="AB1118" s="134"/>
      <c r="AC111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1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80353.129999999932</v>
      </c>
      <c r="AE111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4803.5699999999988</v>
      </c>
      <c r="AF111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1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252652.36732458955</v>
      </c>
      <c r="AH1118" s="55"/>
      <c r="AI1118" s="55"/>
      <c r="AJ1118" s="55"/>
      <c r="AK1118" s="101">
        <f t="shared" ca="1" si="216"/>
        <v>487442.40732458944</v>
      </c>
      <c r="AL1118" s="129">
        <f t="array" ref="AL1118">MAX((УслРестрактов[Характеристика]="Дата реструктуризации")*(УслРестрактов[Значение]=Первоначальный!$A1118),0)</f>
        <v>0</v>
      </c>
    </row>
    <row r="1119" spans="1:38" x14ac:dyDescent="0.25">
      <c r="A1119" s="97">
        <f t="shared" si="209"/>
        <v>45250</v>
      </c>
      <c r="B1119" s="100">
        <f t="shared" ca="1" si="210"/>
        <v>149633.34</v>
      </c>
      <c r="C1119" s="55">
        <f t="shared" ca="1" si="206"/>
        <v>80353.129999999932</v>
      </c>
      <c r="D1119" s="55">
        <f t="shared" ca="1" si="206"/>
        <v>4803.5699999999988</v>
      </c>
      <c r="E1119" s="55">
        <f t="shared" ca="1" si="211"/>
        <v>0</v>
      </c>
      <c r="F1119" s="55">
        <f t="shared" ca="1" si="212"/>
        <v>252652.36732458955</v>
      </c>
      <c r="G1119" s="101">
        <f t="shared" ca="1" si="213"/>
        <v>487442.40732458944</v>
      </c>
      <c r="H1119" s="100">
        <f ca="1">ROUND($B1119*VLOOKUP($A1119,$A$1:$B$10,2,1)/(365+IF(MOD(YEAR($A1119),4),0,1)*($A1119-$A1118)),2)-Первоначальный[[#This Row],[Проценты на просроченный платеж по ОД за период]]</f>
        <v>71.3</v>
      </c>
      <c r="I1119" s="55">
        <f t="shared" ca="1" si="214"/>
        <v>10.28</v>
      </c>
      <c r="J1119" s="55">
        <v>0</v>
      </c>
      <c r="K1119" s="55">
        <f t="shared" ca="1" si="217"/>
        <v>492.42350327868843</v>
      </c>
      <c r="L1119" s="55">
        <v>0</v>
      </c>
      <c r="M1119" s="113">
        <f>SUMIFS(График[Возврат основной суммы долга],График[Дата с учетом нерабочих дней],$A1119)</f>
        <v>0</v>
      </c>
      <c r="N1119" s="56">
        <f>SUMIFS(График[Возврат начисленных %],График[Дата с учетом нерабочих дней],$A1119)</f>
        <v>0</v>
      </c>
      <c r="O1119" s="101">
        <v>0</v>
      </c>
      <c r="P1119" s="100" cm="1">
        <f t="array" aca="1" ref="P1119" ca="1">MAX(IF(AA1118="Да",0,SUM(INDIRECT("M"&amp;(MAX(("Да"=AA$12:AA1118)*ROW(AA$12:AA1118)+1,ROW($P$12))&amp;":M"&amp;(ROW()))))-SUM(INDIRECT("W"&amp;(MAX(("Да"=AA$12:AA1118)*ROW(AA$12:AA1118)+1,ROW($P$12))&amp;":W"&amp;(ROW()))))),0)</f>
        <v>18847.86</v>
      </c>
      <c r="Q1119" s="99">
        <f ca="1">MAX(SUM($N$13:N1119)-SUM($T$13:T1119),0)</f>
        <v>79636.840655737687</v>
      </c>
      <c r="R1119" s="99">
        <f ca="1">Первоначальный[[#This Row],[Просроченный платеж по ОД]]+Первоначальный[[#This Row],[Просроченный платеж по процентам]]</f>
        <v>98484.700655737688</v>
      </c>
      <c r="S1119" s="120">
        <f ca="1">IF(Первоначальный[[#This Row],[Просроченный платеж]]&lt;1,0,S1118+1)</f>
        <v>1015</v>
      </c>
      <c r="T1119" s="100" cm="1">
        <f t="array" aca="1" ref="T1119" ca="1">IF(Первоначальный[[#This Row],[Итого остаток на начало периода]]&lt;1,0,
IF(
AND(TYPE(VLOOKUP(1,$Z$12:Z1119,1,0))=16,Первоначальный[[#This Row],[Досрочное погашение (да/"")]]=""),0,
_xlfn.IFS(AND(S1118=0,Первоначальный[[#This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платеж]]&lt;&gt;0),MIN(LOOKUP(,-1/($Z$12:Z1119=1),$C$12:C1119)+LOOKUP(,-1/($Z$12:Z1119=1),$H$12:H1119),Первоначальный[[#This Row],[Полученный платеж]]+Y1118),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платеж]]+Y1118,SUM(Первоначальный[[#This Row],[Остаток процентов на начало периода]],Первоначальный[[#This Row],[Проценты за период]])),
AND(S1118=0,Первоначальный[[#This Row],[Дата платежа из графика]]=""),0,
AND(S1118=0,Первоначальный[[#This Row],[Дата платежа из графика]]=1,MAX((0&lt;&gt;S$12:S1118)*ROW(S$12:S1118),ROW($S$12))&gt;=MAX((1=Z$12:Z1118)*ROW(Z$12:Z1118),ROW($T$12)),TYPE(VLOOKUP("Да",(INDIRECT("AA"&amp;(MAX((1=Z$12:Z1118)*ROW(Z$12:Z1118),ROW($T$12))&amp;":AA"&amp;(ROW()-1)))),1,0))=16),MIN(LOOKUP(,-1/($Z$12:Z1119=1),$C$12:C1119)+LOOKUP(,-1/($Z$12:Z1119=1),$H$12:H1119),Первоначальный[[#This Row],[Полученный платеж]]+Y1118),
AND(S1118=0,TYPE(VLOOKUP("Да",(INDIRECT("AA"&amp;(MAX((1=Z$12:Z1118)*ROW(Z$12:Z1118),ROW($T$12))&amp;":AA"&amp;(ROW()-1)))),1,0))&lt;&gt;16),MIN(LOOKUP(,-1/($Z$12:Z1119=1),$C$12:C1119)+LOOKUP(,-1/($Z$12:Z1119=1),$H$12:H1119)-IF(AA1118="Да",0,SUM(INDIRECT("T"&amp;(MAX(("Да"=AA$12:AA1118)*ROW(AA$12:AA1118)+1,ROW($T$12))&amp;":T"&amp;(ROW()-1))))),Первоначальный[[#This Row],[Полученный платеж]]+Y1118),
AND(S1118=0,MAX((0&lt;&gt;N$12:N1118)*ROW(N$12:N1118),ROW($S$12))&gt;=MAX((1=Z$12:Z1118)*ROW(Z$12:Z1118),ROW($T$12))),MIN(LOOKUP(,-1/($Z$12:Z1119=1),$C$12:C1119)+LOOKUP(,-1/($Z$12:Z1119=1),$H$12:H1119)-IF(N1118&lt;&gt;0,0,SUM(INDIRECT("T"&amp;(MAX((0&lt;&gt;N$12:N1118)*ROW(N$12:N1118)+1,ROW($T$12))&amp;":T"&amp;(ROW()-1))))),Первоначальный[[#This Row],[Полученный платеж]]+Y1118),
AND(S1118=0,Первоначальный[[#This Row],[Дата платежа из графика]]=1),MIN(LOOKUP(,-1/($Z$12:Z1119=1),$C$12:C1119)+LOOKUP(,-1/($Z$12:Z1119=1),$H$12:H1119)-IF(Z1118=1,0,SUM(INDIRECT("T"&amp;(MAX((1=Z$12:Z1118)*ROW(Z$12:Z1118)+1,ROW($T$12))&amp;":T"&amp;(ROW()-1))))),Первоначальный[[#This Row],[Полученный платеж]]+Y1118),
AND(Z1118&gt;0,Первоначальный[[#This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платеж]]+Y1118),
AND(S1118&gt;0,MAX((0&lt;&gt;S$12:S1118)*ROW(S$12:S1118),ROW($S$12))&gt;=MAX((1=Z$12:Z1118)*ROW(Z$12:Z1118),ROW($T$12)),TYPE(VLOOKUP("Да",(INDIRECT("AA"&amp;(MAX((1=Z$12:Z1118)*ROW(Z$12:Z1118),ROW($T$12))&amp;":AA"&amp;(ROW()-1)))),1,0))=16),MIN(LOOKUP(,-1/($Z$12:Z1119=1),$C$12:C1119)+LOOKUP(,-1/($Z$12:Z1119=1),$H$12:H1119)-SUM(INDIRECT("T"&amp;(MAX((1=Z$12:Z1118)*ROW(Z$12:Z1118),ROW($T$12))&amp;":T"&amp;(ROW()-1)))),Первоначальный[[#This Row],[Полученный платеж]]+Y1118),
S1118&gt;0,MIN(LOOKUP(,-1/($Z$12:Z1119=1),$C$12:C1119)+LOOKUP(,-1/($Z$12:Z1119=1),$H$12:H1119)-IF(Z1118=1,0,SUM(INDIRECT("T"&amp;(MAX((1=Z$12:Z1118)*ROW(Z$12:Z1118)+1,ROW($T$12))&amp;":T"&amp;(ROW()-1))))),Первоначальный[[#This Row],[Полученный платеж]]+Y1118)
)
)
)</f>
        <v>0</v>
      </c>
      <c r="U111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платеж]]+Y1118-Первоначальный[[#This Row],[Полученный платёж по процентам]])</f>
        <v>0</v>
      </c>
      <c r="V1119" s="55">
        <f t="shared" ca="1" si="207"/>
        <v>0</v>
      </c>
      <c r="W1119" s="55" cm="1">
        <f t="array" aca="1" ref="W1119" ca="1">IF(Первоначальный[[#This Row],[Итого остаток на начало периода]]&lt;1,0,
_xlfn.IFS(
AND(TYPE(VLOOKUP(1,$Z$12:Z1119,1,0))=16,Первоначальный[[#This Row],[Досрочное погашение (да/"")]]=""),0,
AND(S1118=0,Первоначальный[[#This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платеж]]+Y1118-SUM(Первоначальный[[#This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комиссиям]]),VLOOKUP(LOOKUP(,-1/($Z$12:Z1119=1),$A$12:A1119),График[[Срок конец]:[Возврат основной суммы долга]],3,0)),
AND(S1118=0,Первоначальный[[#This Row],[Дата платежа из графика]]="",Первоначальный[[#This Row],[Досрочное погашение (да/"")]]&lt;&gt;"Да"),0,
AND(S1118=0,Первоначальный[[#This Row],[Досрочное погашение (да/"")]]=""),MIN(Первоначальный[[#This Row],[Полученный платеж]]+Y1118-SUM(Первоначальный[[#This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комиссиям]]),VLOOKUP(LOOKUP(,-1/($Z$12:Z1119=1),$A$12:A1119),График[[Срок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платеж]]+Y1118-SUM(Первоначальный[[#This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S1118&gt;0,MIN(Первоначальный[[#This Row],[Полученный платеж]]+Y1118-SUM(Первоначальный[[#This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комиссиям]]),SUM(INDIRECT("M"&amp;(MAX((1=S$12:S1118)*ROW(S$12:S1118),ROW($W$12))&amp;":M"&amp;(ROW()))))-SUM(INDIRECT("W"&amp;(MAX((1=S$12:S1118)*ROW(S$12:S1118),ROW($W$12))&amp;":W"&amp;(ROW()-1)))))
)
)</f>
        <v>0</v>
      </c>
      <c r="X1119" s="55">
        <f t="shared" ca="1" si="208"/>
        <v>0</v>
      </c>
      <c r="Y1119" s="101">
        <f t="shared" ca="1" si="215"/>
        <v>0</v>
      </c>
      <c r="Z1119" s="133" t="str">
        <f>IF(TYPE((VLOOKUP(Первоначальный[[#This Row],[Дата платежа]],График[Срок конец],1,0)))=16,"",1)</f>
        <v/>
      </c>
      <c r="AA1119" s="57"/>
      <c r="AB1119" s="134"/>
      <c r="AC111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1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80424.429999999935</v>
      </c>
      <c r="AE111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4813.8499999999985</v>
      </c>
      <c r="AF111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1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253144.79082786824</v>
      </c>
      <c r="AH1119" s="55"/>
      <c r="AI1119" s="55"/>
      <c r="AJ1119" s="55"/>
      <c r="AK1119" s="101">
        <f t="shared" ca="1" si="216"/>
        <v>488016.41082786815</v>
      </c>
      <c r="AL1119" s="129">
        <f t="array" ref="AL1119">MAX((УслРестрактов[Характеристика]="Дата реструктуризации")*(УслРестрактов[Значение]=Первоначальный!$A1119),0)</f>
        <v>0</v>
      </c>
    </row>
    <row r="1120" spans="1:38" x14ac:dyDescent="0.25">
      <c r="A1120" s="97">
        <f t="shared" si="209"/>
        <v>45251</v>
      </c>
      <c r="B1120" s="100">
        <f t="shared" ca="1" si="210"/>
        <v>149633.34</v>
      </c>
      <c r="C1120" s="55">
        <f t="shared" ca="1" si="206"/>
        <v>80424.429999999935</v>
      </c>
      <c r="D1120" s="55">
        <f t="shared" ca="1" si="206"/>
        <v>4813.8499999999985</v>
      </c>
      <c r="E1120" s="55">
        <f t="shared" ca="1" si="211"/>
        <v>0</v>
      </c>
      <c r="F1120" s="55">
        <f t="shared" ca="1" si="212"/>
        <v>253144.79082786824</v>
      </c>
      <c r="G1120" s="101">
        <f t="shared" ca="1" si="213"/>
        <v>488016.41082786815</v>
      </c>
      <c r="H1120" s="100">
        <f ca="1">ROUND($B1120*VLOOKUP($A1120,$A$1:$B$10,2,1)/(365+IF(MOD(YEAR($A1120),4),0,1)*($A1120-$A1119)),2)-Первоначальный[[#This Row],[Проценты на просроченный платеж по ОД за период]]</f>
        <v>71.3</v>
      </c>
      <c r="I1120" s="55">
        <f t="shared" ca="1" si="214"/>
        <v>10.28</v>
      </c>
      <c r="J1120" s="55">
        <v>0</v>
      </c>
      <c r="K1120" s="55">
        <f t="shared" ca="1" si="217"/>
        <v>492.42350327868843</v>
      </c>
      <c r="L1120" s="55">
        <v>0</v>
      </c>
      <c r="M1120" s="113">
        <f>SUMIFS(График[Возврат основной суммы долга],График[Дата с учетом нерабочих дней],$A1120)</f>
        <v>0</v>
      </c>
      <c r="N1120" s="56">
        <f>SUMIFS(График[Возврат начисленных %],График[Дата с учетом нерабочих дней],$A1120)</f>
        <v>0</v>
      </c>
      <c r="O1120" s="101">
        <v>0</v>
      </c>
      <c r="P1120" s="100" cm="1">
        <f t="array" aca="1" ref="P1120" ca="1">MAX(IF(AA1119="Да",0,SUM(INDIRECT("M"&amp;(MAX(("Да"=AA$12:AA1119)*ROW(AA$12:AA1119)+1,ROW($P$12))&amp;":M"&amp;(ROW()))))-SUM(INDIRECT("W"&amp;(MAX(("Да"=AA$12:AA1119)*ROW(AA$12:AA1119)+1,ROW($P$12))&amp;":W"&amp;(ROW()))))),0)</f>
        <v>18847.86</v>
      </c>
      <c r="Q1120" s="99">
        <f ca="1">MAX(SUM($N$13:N1120)-SUM($T$13:T1120),0)</f>
        <v>79636.840655737687</v>
      </c>
      <c r="R1120" s="99">
        <f ca="1">Первоначальный[[#This Row],[Просроченный платеж по ОД]]+Первоначальный[[#This Row],[Просроченный платеж по процентам]]</f>
        <v>98484.700655737688</v>
      </c>
      <c r="S1120" s="120">
        <f ca="1">IF(Первоначальный[[#This Row],[Просроченный платеж]]&lt;1,0,S1119+1)</f>
        <v>1016</v>
      </c>
      <c r="T1120" s="100" cm="1">
        <f t="array" aca="1" ref="T1120" ca="1">IF(Первоначальный[[#This Row],[Итого остаток на начало периода]]&lt;1,0,
IF(
AND(TYPE(VLOOKUP(1,$Z$12:Z1120,1,0))=16,Первоначальный[[#This Row],[Досрочное погашение (да/"")]]=""),0,
_xlfn.IFS(AND(S1119=0,Первоначальный[[#This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платеж]]&lt;&gt;0),MIN(LOOKUP(,-1/($Z$12:Z1120=1),$C$12:C1120)+LOOKUP(,-1/($Z$12:Z1120=1),$H$12:H1120),Первоначальный[[#This Row],[Полученный платеж]]+Y1119),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платеж]]+Y1119,SUM(Первоначальный[[#This Row],[Остаток процентов на начало периода]],Первоначальный[[#This Row],[Проценты за период]])),
AND(S1119=0,Первоначальный[[#This Row],[Дата платежа из графика]]=""),0,
AND(S1119=0,Первоначальный[[#This Row],[Дата платежа из графика]]=1,MAX((0&lt;&gt;S$12:S1119)*ROW(S$12:S1119),ROW($S$12))&gt;=MAX((1=Z$12:Z1119)*ROW(Z$12:Z1119),ROW($T$12)),TYPE(VLOOKUP("Да",(INDIRECT("AA"&amp;(MAX((1=Z$12:Z1119)*ROW(Z$12:Z1119),ROW($T$12))&amp;":AA"&amp;(ROW()-1)))),1,0))=16),MIN(LOOKUP(,-1/($Z$12:Z1120=1),$C$12:C1120)+LOOKUP(,-1/($Z$12:Z1120=1),$H$12:H1120),Первоначальный[[#This Row],[Полученный платеж]]+Y1119),
AND(S1119=0,TYPE(VLOOKUP("Да",(INDIRECT("AA"&amp;(MAX((1=Z$12:Z1119)*ROW(Z$12:Z1119),ROW($T$12))&amp;":AA"&amp;(ROW()-1)))),1,0))&lt;&gt;16),MIN(LOOKUP(,-1/($Z$12:Z1120=1),$C$12:C1120)+LOOKUP(,-1/($Z$12:Z1120=1),$H$12:H1120)-IF(AA1119="Да",0,SUM(INDIRECT("T"&amp;(MAX(("Да"=AA$12:AA1119)*ROW(AA$12:AA1119)+1,ROW($T$12))&amp;":T"&amp;(ROW()-1))))),Первоначальный[[#This Row],[Полученный платеж]]+Y1119),
AND(S1119=0,MAX((0&lt;&gt;N$12:N1119)*ROW(N$12:N1119),ROW($S$12))&gt;=MAX((1=Z$12:Z1119)*ROW(Z$12:Z1119),ROW($T$12))),MIN(LOOKUP(,-1/($Z$12:Z1120=1),$C$12:C1120)+LOOKUP(,-1/($Z$12:Z1120=1),$H$12:H1120)-IF(N1119&lt;&gt;0,0,SUM(INDIRECT("T"&amp;(MAX((0&lt;&gt;N$12:N1119)*ROW(N$12:N1119)+1,ROW($T$12))&amp;":T"&amp;(ROW()-1))))),Первоначальный[[#This Row],[Полученный платеж]]+Y1119),
AND(S1119=0,Первоначальный[[#This Row],[Дата платежа из графика]]=1),MIN(LOOKUP(,-1/($Z$12:Z1120=1),$C$12:C1120)+LOOKUP(,-1/($Z$12:Z1120=1),$H$12:H1120)-IF(Z1119=1,0,SUM(INDIRECT("T"&amp;(MAX((1=Z$12:Z1119)*ROW(Z$12:Z1119)+1,ROW($T$12))&amp;":T"&amp;(ROW()-1))))),Первоначальный[[#This Row],[Полученный платеж]]+Y1119),
AND(Z1119&gt;0,Первоначальный[[#This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платеж]]+Y1119),
AND(S1119&gt;0,MAX((0&lt;&gt;S$12:S1119)*ROW(S$12:S1119),ROW($S$12))&gt;=MAX((1=Z$12:Z1119)*ROW(Z$12:Z1119),ROW($T$12)),TYPE(VLOOKUP("Да",(INDIRECT("AA"&amp;(MAX((1=Z$12:Z1119)*ROW(Z$12:Z1119),ROW($T$12))&amp;":AA"&amp;(ROW()-1)))),1,0))=16),MIN(LOOKUP(,-1/($Z$12:Z1120=1),$C$12:C1120)+LOOKUP(,-1/($Z$12:Z1120=1),$H$12:H1120)-SUM(INDIRECT("T"&amp;(MAX((1=Z$12:Z1119)*ROW(Z$12:Z1119),ROW($T$12))&amp;":T"&amp;(ROW()-1)))),Первоначальный[[#This Row],[Полученный платеж]]+Y1119),
S1119&gt;0,MIN(LOOKUP(,-1/($Z$12:Z1120=1),$C$12:C1120)+LOOKUP(,-1/($Z$12:Z1120=1),$H$12:H1120)-IF(Z1119=1,0,SUM(INDIRECT("T"&amp;(MAX((1=Z$12:Z1119)*ROW(Z$12:Z1119)+1,ROW($T$12))&amp;":T"&amp;(ROW()-1))))),Первоначальный[[#This Row],[Полученный платеж]]+Y1119)
)
)
)</f>
        <v>0</v>
      </c>
      <c r="U112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платеж]]+Y1119-Первоначальный[[#This Row],[Полученный платёж по процентам]])</f>
        <v>0</v>
      </c>
      <c r="V1120" s="55">
        <f t="shared" ca="1" si="207"/>
        <v>0</v>
      </c>
      <c r="W1120" s="55" cm="1">
        <f t="array" aca="1" ref="W1120" ca="1">IF(Первоначальный[[#This Row],[Итого остаток на начало периода]]&lt;1,0,
_xlfn.IFS(
AND(TYPE(VLOOKUP(1,$Z$12:Z1120,1,0))=16,Первоначальный[[#This Row],[Досрочное погашение (да/"")]]=""),0,
AND(S1119=0,Первоначальный[[#This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платеж]]+Y1119-SUM(Первоначальный[[#This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комиссиям]]),VLOOKUP(LOOKUP(,-1/($Z$12:Z1120=1),$A$12:A1120),График[[Срок конец]:[Возврат основной суммы долга]],3,0)),
AND(S1119=0,Первоначальный[[#This Row],[Дата платежа из графика]]="",Первоначальный[[#This Row],[Досрочное погашение (да/"")]]&lt;&gt;"Да"),0,
AND(S1119=0,Первоначальный[[#This Row],[Досрочное погашение (да/"")]]=""),MIN(Первоначальный[[#This Row],[Полученный платеж]]+Y1119-SUM(Первоначальный[[#This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комиссиям]]),VLOOKUP(LOOKUP(,-1/($Z$12:Z1120=1),$A$12:A1120),График[[Срок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платеж]]+Y1119-SUM(Первоначальный[[#This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S1119&gt;0,MIN(Первоначальный[[#This Row],[Полученный платеж]]+Y1119-SUM(Первоначальный[[#This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комиссиям]]),SUM(INDIRECT("M"&amp;(MAX((1=S$12:S1119)*ROW(S$12:S1119),ROW($W$12))&amp;":M"&amp;(ROW()))))-SUM(INDIRECT("W"&amp;(MAX((1=S$12:S1119)*ROW(S$12:S1119),ROW($W$12))&amp;":W"&amp;(ROW()-1)))))
)
)</f>
        <v>0</v>
      </c>
      <c r="X1120" s="55">
        <f t="shared" ca="1" si="208"/>
        <v>0</v>
      </c>
      <c r="Y1120" s="101">
        <f t="shared" ca="1" si="215"/>
        <v>0</v>
      </c>
      <c r="Z1120" s="133" t="str">
        <f>IF(TYPE((VLOOKUP(Первоначальный[[#This Row],[Дата платежа]],График[Срок конец],1,0)))=16,"",1)</f>
        <v/>
      </c>
      <c r="AA1120" s="57"/>
      <c r="AB1120" s="134"/>
      <c r="AC112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2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80495.729999999938</v>
      </c>
      <c r="AE112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4824.1299999999983</v>
      </c>
      <c r="AF112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2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253637.21433114694</v>
      </c>
      <c r="AH1120" s="55"/>
      <c r="AI1120" s="55"/>
      <c r="AJ1120" s="55"/>
      <c r="AK1120" s="101">
        <f t="shared" ca="1" si="216"/>
        <v>488590.41433114687</v>
      </c>
      <c r="AL1120" s="129">
        <f t="array" ref="AL1120">MAX((УслРестрактов[Характеристика]="Дата реструктуризации")*(УслРестрактов[Значение]=Первоначальный!$A1120),0)</f>
        <v>0</v>
      </c>
    </row>
    <row r="1121" spans="1:38" x14ac:dyDescent="0.25">
      <c r="A1121" s="97">
        <f t="shared" si="209"/>
        <v>45252</v>
      </c>
      <c r="B1121" s="100">
        <f t="shared" ca="1" si="210"/>
        <v>149633.34</v>
      </c>
      <c r="C1121" s="55">
        <f t="shared" ca="1" si="206"/>
        <v>80495.729999999938</v>
      </c>
      <c r="D1121" s="55">
        <f t="shared" ca="1" si="206"/>
        <v>4824.1299999999983</v>
      </c>
      <c r="E1121" s="55">
        <f t="shared" ca="1" si="211"/>
        <v>0</v>
      </c>
      <c r="F1121" s="55">
        <f t="shared" ca="1" si="212"/>
        <v>253637.21433114694</v>
      </c>
      <c r="G1121" s="101">
        <f t="shared" ca="1" si="213"/>
        <v>488590.41433114687</v>
      </c>
      <c r="H1121" s="100">
        <f ca="1">ROUND($B1121*VLOOKUP($A1121,$A$1:$B$10,2,1)/(365+IF(MOD(YEAR($A1121),4),0,1)*($A1121-$A1120)),2)-Первоначальный[[#This Row],[Проценты на просроченный платеж по ОД за период]]</f>
        <v>71.3</v>
      </c>
      <c r="I1121" s="55">
        <f t="shared" ca="1" si="214"/>
        <v>10.28</v>
      </c>
      <c r="J1121" s="55">
        <v>0</v>
      </c>
      <c r="K1121" s="55">
        <f t="shared" ca="1" si="217"/>
        <v>492.42350327868843</v>
      </c>
      <c r="L1121" s="55">
        <v>0</v>
      </c>
      <c r="M1121" s="113">
        <f>SUMIFS(График[Возврат основной суммы долга],График[Дата с учетом нерабочих дней],$A1121)</f>
        <v>0</v>
      </c>
      <c r="N1121" s="56">
        <f>SUMIFS(График[Возврат начисленных %],График[Дата с учетом нерабочих дней],$A1121)</f>
        <v>0</v>
      </c>
      <c r="O1121" s="101">
        <v>0</v>
      </c>
      <c r="P1121" s="100" cm="1">
        <f t="array" aca="1" ref="P1121" ca="1">MAX(IF(AA1120="Да",0,SUM(INDIRECT("M"&amp;(MAX(("Да"=AA$12:AA1120)*ROW(AA$12:AA1120)+1,ROW($P$12))&amp;":M"&amp;(ROW()))))-SUM(INDIRECT("W"&amp;(MAX(("Да"=AA$12:AA1120)*ROW(AA$12:AA1120)+1,ROW($P$12))&amp;":W"&amp;(ROW()))))),0)</f>
        <v>18847.86</v>
      </c>
      <c r="Q1121" s="99">
        <f ca="1">MAX(SUM($N$13:N1121)-SUM($T$13:T1121),0)</f>
        <v>79636.840655737687</v>
      </c>
      <c r="R1121" s="99">
        <f ca="1">Первоначальный[[#This Row],[Просроченный платеж по ОД]]+Первоначальный[[#This Row],[Просроченный платеж по процентам]]</f>
        <v>98484.700655737688</v>
      </c>
      <c r="S1121" s="120">
        <f ca="1">IF(Первоначальный[[#This Row],[Просроченный платеж]]&lt;1,0,S1120+1)</f>
        <v>1017</v>
      </c>
      <c r="T1121" s="100" cm="1">
        <f t="array" aca="1" ref="T1121" ca="1">IF(Первоначальный[[#This Row],[Итого остаток на начало периода]]&lt;1,0,
IF(
AND(TYPE(VLOOKUP(1,$Z$12:Z1121,1,0))=16,Первоначальный[[#This Row],[Досрочное погашение (да/"")]]=""),0,
_xlfn.IFS(AND(S1120=0,Первоначальный[[#This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платеж]]&lt;&gt;0),MIN(LOOKUP(,-1/($Z$12:Z1121=1),$C$12:C1121)+LOOKUP(,-1/($Z$12:Z1121=1),$H$12:H1121),Первоначальный[[#This Row],[Полученный платеж]]+Y1120),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платеж]]+Y1120,SUM(Первоначальный[[#This Row],[Остаток процентов на начало периода]],Первоначальный[[#This Row],[Проценты за период]])),
AND(S1120=0,Первоначальный[[#This Row],[Дата платежа из графика]]=""),0,
AND(S1120=0,Первоначальный[[#This Row],[Дата платежа из графика]]=1,MAX((0&lt;&gt;S$12:S1120)*ROW(S$12:S1120),ROW($S$12))&gt;=MAX((1=Z$12:Z1120)*ROW(Z$12:Z1120),ROW($T$12)),TYPE(VLOOKUP("Да",(INDIRECT("AA"&amp;(MAX((1=Z$12:Z1120)*ROW(Z$12:Z1120),ROW($T$12))&amp;":AA"&amp;(ROW()-1)))),1,0))=16),MIN(LOOKUP(,-1/($Z$12:Z1121=1),$C$12:C1121)+LOOKUP(,-1/($Z$12:Z1121=1),$H$12:H1121),Первоначальный[[#This Row],[Полученный платеж]]+Y1120),
AND(S1120=0,TYPE(VLOOKUP("Да",(INDIRECT("AA"&amp;(MAX((1=Z$12:Z1120)*ROW(Z$12:Z1120),ROW($T$12))&amp;":AA"&amp;(ROW()-1)))),1,0))&lt;&gt;16),MIN(LOOKUP(,-1/($Z$12:Z1121=1),$C$12:C1121)+LOOKUP(,-1/($Z$12:Z1121=1),$H$12:H1121)-IF(AA1120="Да",0,SUM(INDIRECT("T"&amp;(MAX(("Да"=AA$12:AA1120)*ROW(AA$12:AA1120)+1,ROW($T$12))&amp;":T"&amp;(ROW()-1))))),Первоначальный[[#This Row],[Полученный платеж]]+Y1120),
AND(S1120=0,MAX((0&lt;&gt;N$12:N1120)*ROW(N$12:N1120),ROW($S$12))&gt;=MAX((1=Z$12:Z1120)*ROW(Z$12:Z1120),ROW($T$12))),MIN(LOOKUP(,-1/($Z$12:Z1121=1),$C$12:C1121)+LOOKUP(,-1/($Z$12:Z1121=1),$H$12:H1121)-IF(N1120&lt;&gt;0,0,SUM(INDIRECT("T"&amp;(MAX((0&lt;&gt;N$12:N1120)*ROW(N$12:N1120)+1,ROW($T$12))&amp;":T"&amp;(ROW()-1))))),Первоначальный[[#This Row],[Полученный платеж]]+Y1120),
AND(S1120=0,Первоначальный[[#This Row],[Дата платежа из графика]]=1),MIN(LOOKUP(,-1/($Z$12:Z1121=1),$C$12:C1121)+LOOKUP(,-1/($Z$12:Z1121=1),$H$12:H1121)-IF(Z1120=1,0,SUM(INDIRECT("T"&amp;(MAX((1=Z$12:Z1120)*ROW(Z$12:Z1120)+1,ROW($T$12))&amp;":T"&amp;(ROW()-1))))),Первоначальный[[#This Row],[Полученный платеж]]+Y1120),
AND(Z1120&gt;0,Первоначальный[[#This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платеж]]+Y1120),
AND(S1120&gt;0,MAX((0&lt;&gt;S$12:S1120)*ROW(S$12:S1120),ROW($S$12))&gt;=MAX((1=Z$12:Z1120)*ROW(Z$12:Z1120),ROW($T$12)),TYPE(VLOOKUP("Да",(INDIRECT("AA"&amp;(MAX((1=Z$12:Z1120)*ROW(Z$12:Z1120),ROW($T$12))&amp;":AA"&amp;(ROW()-1)))),1,0))=16),MIN(LOOKUP(,-1/($Z$12:Z1121=1),$C$12:C1121)+LOOKUP(,-1/($Z$12:Z1121=1),$H$12:H1121)-SUM(INDIRECT("T"&amp;(MAX((1=Z$12:Z1120)*ROW(Z$12:Z1120),ROW($T$12))&amp;":T"&amp;(ROW()-1)))),Первоначальный[[#This Row],[Полученный платеж]]+Y1120),
S1120&gt;0,MIN(LOOKUP(,-1/($Z$12:Z1121=1),$C$12:C1121)+LOOKUP(,-1/($Z$12:Z1121=1),$H$12:H1121)-IF(Z1120=1,0,SUM(INDIRECT("T"&amp;(MAX((1=Z$12:Z1120)*ROW(Z$12:Z1120)+1,ROW($T$12))&amp;":T"&amp;(ROW()-1))))),Первоначальный[[#This Row],[Полученный платеж]]+Y1120)
)
)
)</f>
        <v>0</v>
      </c>
      <c r="U112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платеж]]+Y1120-Первоначальный[[#This Row],[Полученный платёж по процентам]])</f>
        <v>0</v>
      </c>
      <c r="V1121" s="55">
        <f t="shared" ca="1" si="207"/>
        <v>0</v>
      </c>
      <c r="W1121" s="55" cm="1">
        <f t="array" aca="1" ref="W1121" ca="1">IF(Первоначальный[[#This Row],[Итого остаток на начало периода]]&lt;1,0,
_xlfn.IFS(
AND(TYPE(VLOOKUP(1,$Z$12:Z1121,1,0))=16,Первоначальный[[#This Row],[Досрочное погашение (да/"")]]=""),0,
AND(S1120=0,Первоначальный[[#This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платеж]]+Y1120-SUM(Первоначальный[[#This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комиссиям]]),VLOOKUP(LOOKUP(,-1/($Z$12:Z1121=1),$A$12:A1121),График[[Срок конец]:[Возврат основной суммы долга]],3,0)),
AND(S1120=0,Первоначальный[[#This Row],[Дата платежа из графика]]="",Первоначальный[[#This Row],[Досрочное погашение (да/"")]]&lt;&gt;"Да"),0,
AND(S1120=0,Первоначальный[[#This Row],[Досрочное погашение (да/"")]]=""),MIN(Первоначальный[[#This Row],[Полученный платеж]]+Y1120-SUM(Первоначальный[[#This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комиссиям]]),VLOOKUP(LOOKUP(,-1/($Z$12:Z1121=1),$A$12:A1121),График[[Срок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платеж]]+Y1120-SUM(Первоначальный[[#This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S1120&gt;0,MIN(Первоначальный[[#This Row],[Полученный платеж]]+Y1120-SUM(Первоначальный[[#This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комиссиям]]),SUM(INDIRECT("M"&amp;(MAX((1=S$12:S1120)*ROW(S$12:S1120),ROW($W$12))&amp;":M"&amp;(ROW()))))-SUM(INDIRECT("W"&amp;(MAX((1=S$12:S1120)*ROW(S$12:S1120),ROW($W$12))&amp;":W"&amp;(ROW()-1)))))
)
)</f>
        <v>0</v>
      </c>
      <c r="X1121" s="55">
        <f t="shared" ca="1" si="208"/>
        <v>0</v>
      </c>
      <c r="Y1121" s="101">
        <f t="shared" ca="1" si="215"/>
        <v>0</v>
      </c>
      <c r="Z1121" s="133" t="str">
        <f>IF(TYPE((VLOOKUP(Первоначальный[[#This Row],[Дата платежа]],График[Срок конец],1,0)))=16,"",1)</f>
        <v/>
      </c>
      <c r="AA1121" s="57"/>
      <c r="AB1121" s="134"/>
      <c r="AC112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2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80567.029999999941</v>
      </c>
      <c r="AE112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4834.409999999998</v>
      </c>
      <c r="AF112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2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254129.63783442564</v>
      </c>
      <c r="AH1121" s="55"/>
      <c r="AI1121" s="55"/>
      <c r="AJ1121" s="55"/>
      <c r="AK1121" s="101">
        <f t="shared" ca="1" si="216"/>
        <v>489164.41783442558</v>
      </c>
      <c r="AL1121" s="129">
        <f t="array" ref="AL1121">MAX((УслРестрактов[Характеристика]="Дата реструктуризации")*(УслРестрактов[Значение]=Первоначальный!$A1121),0)</f>
        <v>0</v>
      </c>
    </row>
    <row r="1122" spans="1:38" x14ac:dyDescent="0.25">
      <c r="A1122" s="97">
        <f t="shared" si="209"/>
        <v>45253</v>
      </c>
      <c r="B1122" s="100">
        <f t="shared" ca="1" si="210"/>
        <v>149633.34</v>
      </c>
      <c r="C1122" s="55">
        <f t="shared" ca="1" si="206"/>
        <v>80567.029999999941</v>
      </c>
      <c r="D1122" s="55">
        <f t="shared" ca="1" si="206"/>
        <v>4834.409999999998</v>
      </c>
      <c r="E1122" s="55">
        <f t="shared" ca="1" si="211"/>
        <v>0</v>
      </c>
      <c r="F1122" s="55">
        <f t="shared" ca="1" si="212"/>
        <v>254129.63783442564</v>
      </c>
      <c r="G1122" s="101">
        <f t="shared" ca="1" si="213"/>
        <v>489164.41783442558</v>
      </c>
      <c r="H1122" s="100">
        <f ca="1">ROUND($B1122*VLOOKUP($A1122,$A$1:$B$10,2,1)/(365+IF(MOD(YEAR($A1122),4),0,1)*($A1122-$A1121)),2)-Первоначальный[[#This Row],[Проценты на просроченный платеж по ОД за период]]</f>
        <v>71.3</v>
      </c>
      <c r="I1122" s="55">
        <f t="shared" ca="1" si="214"/>
        <v>10.28</v>
      </c>
      <c r="J1122" s="55">
        <v>0</v>
      </c>
      <c r="K1122" s="55">
        <f t="shared" ca="1" si="217"/>
        <v>492.42350327868843</v>
      </c>
      <c r="L1122" s="55">
        <v>0</v>
      </c>
      <c r="M1122" s="113">
        <f>SUMIFS(График[Возврат основной суммы долга],График[Дата с учетом нерабочих дней],$A1122)</f>
        <v>0</v>
      </c>
      <c r="N1122" s="56">
        <f>SUMIFS(График[Возврат начисленных %],График[Дата с учетом нерабочих дней],$A1122)</f>
        <v>0</v>
      </c>
      <c r="O1122" s="101">
        <v>0</v>
      </c>
      <c r="P1122" s="100" cm="1">
        <f t="array" aca="1" ref="P1122" ca="1">MAX(IF(AA1121="Да",0,SUM(INDIRECT("M"&amp;(MAX(("Да"=AA$12:AA1121)*ROW(AA$12:AA1121)+1,ROW($P$12))&amp;":M"&amp;(ROW()))))-SUM(INDIRECT("W"&amp;(MAX(("Да"=AA$12:AA1121)*ROW(AA$12:AA1121)+1,ROW($P$12))&amp;":W"&amp;(ROW()))))),0)</f>
        <v>18847.86</v>
      </c>
      <c r="Q1122" s="99">
        <f ca="1">MAX(SUM($N$13:N1122)-SUM($T$13:T1122),0)</f>
        <v>79636.840655737687</v>
      </c>
      <c r="R1122" s="99">
        <f ca="1">Первоначальный[[#This Row],[Просроченный платеж по ОД]]+Первоначальный[[#This Row],[Просроченный платеж по процентам]]</f>
        <v>98484.700655737688</v>
      </c>
      <c r="S1122" s="120">
        <f ca="1">IF(Первоначальный[[#This Row],[Просроченный платеж]]&lt;1,0,S1121+1)</f>
        <v>1018</v>
      </c>
      <c r="T1122" s="100" cm="1">
        <f t="array" aca="1" ref="T1122" ca="1">IF(Первоначальный[[#This Row],[Итого остаток на начало периода]]&lt;1,0,
IF(
AND(TYPE(VLOOKUP(1,$Z$12:Z1122,1,0))=16,Первоначальный[[#This Row],[Досрочное погашение (да/"")]]=""),0,
_xlfn.IFS(AND(S1121=0,Первоначальный[[#This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платеж]]&lt;&gt;0),MIN(LOOKUP(,-1/($Z$12:Z1122=1),$C$12:C1122)+LOOKUP(,-1/($Z$12:Z1122=1),$H$12:H1122),Первоначальный[[#This Row],[Полученный платеж]]+Y1121),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платеж]]+Y1121,SUM(Первоначальный[[#This Row],[Остаток процентов на начало периода]],Первоначальный[[#This Row],[Проценты за период]])),
AND(S1121=0,Первоначальный[[#This Row],[Дата платежа из графика]]=""),0,
AND(S1121=0,Первоначальный[[#This Row],[Дата платежа из графика]]=1,MAX((0&lt;&gt;S$12:S1121)*ROW(S$12:S1121),ROW($S$12))&gt;=MAX((1=Z$12:Z1121)*ROW(Z$12:Z1121),ROW($T$12)),TYPE(VLOOKUP("Да",(INDIRECT("AA"&amp;(MAX((1=Z$12:Z1121)*ROW(Z$12:Z1121),ROW($T$12))&amp;":AA"&amp;(ROW()-1)))),1,0))=16),MIN(LOOKUP(,-1/($Z$12:Z1122=1),$C$12:C1122)+LOOKUP(,-1/($Z$12:Z1122=1),$H$12:H1122),Первоначальный[[#This Row],[Полученный платеж]]+Y1121),
AND(S1121=0,TYPE(VLOOKUP("Да",(INDIRECT("AA"&amp;(MAX((1=Z$12:Z1121)*ROW(Z$12:Z1121),ROW($T$12))&amp;":AA"&amp;(ROW()-1)))),1,0))&lt;&gt;16),MIN(LOOKUP(,-1/($Z$12:Z1122=1),$C$12:C1122)+LOOKUP(,-1/($Z$12:Z1122=1),$H$12:H1122)-IF(AA1121="Да",0,SUM(INDIRECT("T"&amp;(MAX(("Да"=AA$12:AA1121)*ROW(AA$12:AA1121)+1,ROW($T$12))&amp;":T"&amp;(ROW()-1))))),Первоначальный[[#This Row],[Полученный платеж]]+Y1121),
AND(S1121=0,MAX((0&lt;&gt;N$12:N1121)*ROW(N$12:N1121),ROW($S$12))&gt;=MAX((1=Z$12:Z1121)*ROW(Z$12:Z1121),ROW($T$12))),MIN(LOOKUP(,-1/($Z$12:Z1122=1),$C$12:C1122)+LOOKUP(,-1/($Z$12:Z1122=1),$H$12:H1122)-IF(N1121&lt;&gt;0,0,SUM(INDIRECT("T"&amp;(MAX((0&lt;&gt;N$12:N1121)*ROW(N$12:N1121)+1,ROW($T$12))&amp;":T"&amp;(ROW()-1))))),Первоначальный[[#This Row],[Полученный платеж]]+Y1121),
AND(S1121=0,Первоначальный[[#This Row],[Дата платежа из графика]]=1),MIN(LOOKUP(,-1/($Z$12:Z1122=1),$C$12:C1122)+LOOKUP(,-1/($Z$12:Z1122=1),$H$12:H1122)-IF(Z1121=1,0,SUM(INDIRECT("T"&amp;(MAX((1=Z$12:Z1121)*ROW(Z$12:Z1121)+1,ROW($T$12))&amp;":T"&amp;(ROW()-1))))),Первоначальный[[#This Row],[Полученный платеж]]+Y1121),
AND(Z1121&gt;0,Первоначальный[[#This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платеж]]+Y1121),
AND(S1121&gt;0,MAX((0&lt;&gt;S$12:S1121)*ROW(S$12:S1121),ROW($S$12))&gt;=MAX((1=Z$12:Z1121)*ROW(Z$12:Z1121),ROW($T$12)),TYPE(VLOOKUP("Да",(INDIRECT("AA"&amp;(MAX((1=Z$12:Z1121)*ROW(Z$12:Z1121),ROW($T$12))&amp;":AA"&amp;(ROW()-1)))),1,0))=16),MIN(LOOKUP(,-1/($Z$12:Z1122=1),$C$12:C1122)+LOOKUP(,-1/($Z$12:Z1122=1),$H$12:H1122)-SUM(INDIRECT("T"&amp;(MAX((1=Z$12:Z1121)*ROW(Z$12:Z1121),ROW($T$12))&amp;":T"&amp;(ROW()-1)))),Первоначальный[[#This Row],[Полученный платеж]]+Y1121),
S1121&gt;0,MIN(LOOKUP(,-1/($Z$12:Z1122=1),$C$12:C1122)+LOOKUP(,-1/($Z$12:Z1122=1),$H$12:H1122)-IF(Z1121=1,0,SUM(INDIRECT("T"&amp;(MAX((1=Z$12:Z1121)*ROW(Z$12:Z1121)+1,ROW($T$12))&amp;":T"&amp;(ROW()-1))))),Первоначальный[[#This Row],[Полученный платеж]]+Y1121)
)
)
)</f>
        <v>0</v>
      </c>
      <c r="U112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платеж]]+Y1121-Первоначальный[[#This Row],[Полученный платёж по процентам]])</f>
        <v>0</v>
      </c>
      <c r="V1122" s="55">
        <f t="shared" ca="1" si="207"/>
        <v>0</v>
      </c>
      <c r="W1122" s="55" cm="1">
        <f t="array" aca="1" ref="W1122" ca="1">IF(Первоначальный[[#This Row],[Итого остаток на начало периода]]&lt;1,0,
_xlfn.IFS(
AND(TYPE(VLOOKUP(1,$Z$12:Z1122,1,0))=16,Первоначальный[[#This Row],[Досрочное погашение (да/"")]]=""),0,
AND(S1121=0,Первоначальный[[#This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платеж]]+Y1121-SUM(Первоначальный[[#This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комиссиям]]),VLOOKUP(LOOKUP(,-1/($Z$12:Z1122=1),$A$12:A1122),График[[Срок конец]:[Возврат основной суммы долга]],3,0)),
AND(S1121=0,Первоначальный[[#This Row],[Дата платежа из графика]]="",Первоначальный[[#This Row],[Досрочное погашение (да/"")]]&lt;&gt;"Да"),0,
AND(S1121=0,Первоначальный[[#This Row],[Досрочное погашение (да/"")]]=""),MIN(Первоначальный[[#This Row],[Полученный платеж]]+Y1121-SUM(Первоначальный[[#This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комиссиям]]),VLOOKUP(LOOKUP(,-1/($Z$12:Z1122=1),$A$12:A1122),График[[Срок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платеж]]+Y1121-SUM(Первоначальный[[#This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S1121&gt;0,MIN(Первоначальный[[#This Row],[Полученный платеж]]+Y1121-SUM(Первоначальный[[#This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комиссиям]]),SUM(INDIRECT("M"&amp;(MAX((1=S$12:S1121)*ROW(S$12:S1121),ROW($W$12))&amp;":M"&amp;(ROW()))))-SUM(INDIRECT("W"&amp;(MAX((1=S$12:S1121)*ROW(S$12:S1121),ROW($W$12))&amp;":W"&amp;(ROW()-1)))))
)
)</f>
        <v>0</v>
      </c>
      <c r="X1122" s="55">
        <f t="shared" ca="1" si="208"/>
        <v>0</v>
      </c>
      <c r="Y1122" s="101">
        <f t="shared" ca="1" si="215"/>
        <v>0</v>
      </c>
      <c r="Z1122" s="133" t="str">
        <f>IF(TYPE((VLOOKUP(Первоначальный[[#This Row],[Дата платежа]],График[Срок конец],1,0)))=16,"",1)</f>
        <v/>
      </c>
      <c r="AA1122" s="57"/>
      <c r="AB1122" s="134"/>
      <c r="AC112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2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80638.329999999944</v>
      </c>
      <c r="AE112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4844.6899999999978</v>
      </c>
      <c r="AF112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2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254622.06133770433</v>
      </c>
      <c r="AH1122" s="55"/>
      <c r="AI1122" s="55"/>
      <c r="AJ1122" s="55"/>
      <c r="AK1122" s="101">
        <f t="shared" ca="1" si="216"/>
        <v>489738.42133770429</v>
      </c>
      <c r="AL1122" s="129">
        <f t="array" ref="AL1122">MAX((УслРестрактов[Характеристика]="Дата реструктуризации")*(УслРестрактов[Значение]=Первоначальный!$A1122),0)</f>
        <v>0</v>
      </c>
    </row>
    <row r="1123" spans="1:38" x14ac:dyDescent="0.25">
      <c r="A1123" s="97">
        <f t="shared" si="209"/>
        <v>45254</v>
      </c>
      <c r="B1123" s="100">
        <f t="shared" ca="1" si="210"/>
        <v>149633.34</v>
      </c>
      <c r="C1123" s="55">
        <f t="shared" ca="1" si="206"/>
        <v>80638.329999999944</v>
      </c>
      <c r="D1123" s="55">
        <f t="shared" ca="1" si="206"/>
        <v>4844.6899999999978</v>
      </c>
      <c r="E1123" s="55">
        <f t="shared" ca="1" si="211"/>
        <v>0</v>
      </c>
      <c r="F1123" s="55">
        <f t="shared" ca="1" si="212"/>
        <v>254622.06133770433</v>
      </c>
      <c r="G1123" s="101">
        <f t="shared" ca="1" si="213"/>
        <v>489738.42133770429</v>
      </c>
      <c r="H1123" s="100">
        <f ca="1">ROUND($B1123*VLOOKUP($A1123,$A$1:$B$10,2,1)/(365+IF(MOD(YEAR($A1123),4),0,1)*($A1123-$A1122)),2)-Первоначальный[[#This Row],[Проценты на просроченный платеж по ОД за период]]</f>
        <v>71.3</v>
      </c>
      <c r="I1123" s="55">
        <f t="shared" ca="1" si="214"/>
        <v>10.28</v>
      </c>
      <c r="J1123" s="55">
        <v>0</v>
      </c>
      <c r="K1123" s="55">
        <f t="shared" ca="1" si="217"/>
        <v>492.42350327868843</v>
      </c>
      <c r="L1123" s="55">
        <v>0</v>
      </c>
      <c r="M1123" s="113">
        <f>SUMIFS(График[Возврат основной суммы долга],График[Дата с учетом нерабочих дней],$A1123)</f>
        <v>0</v>
      </c>
      <c r="N1123" s="56">
        <f>SUMIFS(График[Возврат начисленных %],График[Дата с учетом нерабочих дней],$A1123)</f>
        <v>0</v>
      </c>
      <c r="O1123" s="101">
        <v>0</v>
      </c>
      <c r="P1123" s="100" cm="1">
        <f t="array" aca="1" ref="P1123" ca="1">MAX(IF(AA1122="Да",0,SUM(INDIRECT("M"&amp;(MAX(("Да"=AA$12:AA1122)*ROW(AA$12:AA1122)+1,ROW($P$12))&amp;":M"&amp;(ROW()))))-SUM(INDIRECT("W"&amp;(MAX(("Да"=AA$12:AA1122)*ROW(AA$12:AA1122)+1,ROW($P$12))&amp;":W"&amp;(ROW()))))),0)</f>
        <v>18847.86</v>
      </c>
      <c r="Q1123" s="99">
        <f ca="1">MAX(SUM($N$13:N1123)-SUM($T$13:T1123),0)</f>
        <v>79636.840655737687</v>
      </c>
      <c r="R1123" s="99">
        <f ca="1">Первоначальный[[#This Row],[Просроченный платеж по ОД]]+Первоначальный[[#This Row],[Просроченный платеж по процентам]]</f>
        <v>98484.700655737688</v>
      </c>
      <c r="S1123" s="120">
        <f ca="1">IF(Первоначальный[[#This Row],[Просроченный платеж]]&lt;1,0,S1122+1)</f>
        <v>1019</v>
      </c>
      <c r="T1123" s="100" cm="1">
        <f t="array" aca="1" ref="T1123" ca="1">IF(Первоначальный[[#This Row],[Итого остаток на начало периода]]&lt;1,0,
IF(
AND(TYPE(VLOOKUP(1,$Z$12:Z1123,1,0))=16,Первоначальный[[#This Row],[Досрочное погашение (да/"")]]=""),0,
_xlfn.IFS(AND(S1122=0,Первоначальный[[#This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платеж]]&lt;&gt;0),MIN(LOOKUP(,-1/($Z$12:Z1123=1),$C$12:C1123)+LOOKUP(,-1/($Z$12:Z1123=1),$H$12:H1123),Первоначальный[[#This Row],[Полученный платеж]]+Y1122),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платеж]]+Y1122,SUM(Первоначальный[[#This Row],[Остаток процентов на начало периода]],Первоначальный[[#This Row],[Проценты за период]])),
AND(S1122=0,Первоначальный[[#This Row],[Дата платежа из графика]]=""),0,
AND(S1122=0,Первоначальный[[#This Row],[Дата платежа из графика]]=1,MAX((0&lt;&gt;S$12:S1122)*ROW(S$12:S1122),ROW($S$12))&gt;=MAX((1=Z$12:Z1122)*ROW(Z$12:Z1122),ROW($T$12)),TYPE(VLOOKUP("Да",(INDIRECT("AA"&amp;(MAX((1=Z$12:Z1122)*ROW(Z$12:Z1122),ROW($T$12))&amp;":AA"&amp;(ROW()-1)))),1,0))=16),MIN(LOOKUP(,-1/($Z$12:Z1123=1),$C$12:C1123)+LOOKUP(,-1/($Z$12:Z1123=1),$H$12:H1123),Первоначальный[[#This Row],[Полученный платеж]]+Y1122),
AND(S1122=0,TYPE(VLOOKUP("Да",(INDIRECT("AA"&amp;(MAX((1=Z$12:Z1122)*ROW(Z$12:Z1122),ROW($T$12))&amp;":AA"&amp;(ROW()-1)))),1,0))&lt;&gt;16),MIN(LOOKUP(,-1/($Z$12:Z1123=1),$C$12:C1123)+LOOKUP(,-1/($Z$12:Z1123=1),$H$12:H1123)-IF(AA1122="Да",0,SUM(INDIRECT("T"&amp;(MAX(("Да"=AA$12:AA1122)*ROW(AA$12:AA1122)+1,ROW($T$12))&amp;":T"&amp;(ROW()-1))))),Первоначальный[[#This Row],[Полученный платеж]]+Y1122),
AND(S1122=0,MAX((0&lt;&gt;N$12:N1122)*ROW(N$12:N1122),ROW($S$12))&gt;=MAX((1=Z$12:Z1122)*ROW(Z$12:Z1122),ROW($T$12))),MIN(LOOKUP(,-1/($Z$12:Z1123=1),$C$12:C1123)+LOOKUP(,-1/($Z$12:Z1123=1),$H$12:H1123)-IF(N1122&lt;&gt;0,0,SUM(INDIRECT("T"&amp;(MAX((0&lt;&gt;N$12:N1122)*ROW(N$12:N1122)+1,ROW($T$12))&amp;":T"&amp;(ROW()-1))))),Первоначальный[[#This Row],[Полученный платеж]]+Y1122),
AND(S1122=0,Первоначальный[[#This Row],[Дата платежа из графика]]=1),MIN(LOOKUP(,-1/($Z$12:Z1123=1),$C$12:C1123)+LOOKUP(,-1/($Z$12:Z1123=1),$H$12:H1123)-IF(Z1122=1,0,SUM(INDIRECT("T"&amp;(MAX((1=Z$12:Z1122)*ROW(Z$12:Z1122)+1,ROW($T$12))&amp;":T"&amp;(ROW()-1))))),Первоначальный[[#This Row],[Полученный платеж]]+Y1122),
AND(Z1122&gt;0,Первоначальный[[#This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платеж]]+Y1122),
AND(S1122&gt;0,MAX((0&lt;&gt;S$12:S1122)*ROW(S$12:S1122),ROW($S$12))&gt;=MAX((1=Z$12:Z1122)*ROW(Z$12:Z1122),ROW($T$12)),TYPE(VLOOKUP("Да",(INDIRECT("AA"&amp;(MAX((1=Z$12:Z1122)*ROW(Z$12:Z1122),ROW($T$12))&amp;":AA"&amp;(ROW()-1)))),1,0))=16),MIN(LOOKUP(,-1/($Z$12:Z1123=1),$C$12:C1123)+LOOKUP(,-1/($Z$12:Z1123=1),$H$12:H1123)-SUM(INDIRECT("T"&amp;(MAX((1=Z$12:Z1122)*ROW(Z$12:Z1122),ROW($T$12))&amp;":T"&amp;(ROW()-1)))),Первоначальный[[#This Row],[Полученный платеж]]+Y1122),
S1122&gt;0,MIN(LOOKUP(,-1/($Z$12:Z1123=1),$C$12:C1123)+LOOKUP(,-1/($Z$12:Z1123=1),$H$12:H1123)-IF(Z1122=1,0,SUM(INDIRECT("T"&amp;(MAX((1=Z$12:Z1122)*ROW(Z$12:Z1122)+1,ROW($T$12))&amp;":T"&amp;(ROW()-1))))),Первоначальный[[#This Row],[Полученный платеж]]+Y1122)
)
)
)</f>
        <v>0</v>
      </c>
      <c r="U112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платеж]]+Y1122-Первоначальный[[#This Row],[Полученный платёж по процентам]])</f>
        <v>0</v>
      </c>
      <c r="V1123" s="55">
        <f t="shared" ca="1" si="207"/>
        <v>0</v>
      </c>
      <c r="W1123" s="55" cm="1">
        <f t="array" aca="1" ref="W1123" ca="1">IF(Первоначальный[[#This Row],[Итого остаток на начало периода]]&lt;1,0,
_xlfn.IFS(
AND(TYPE(VLOOKUP(1,$Z$12:Z1123,1,0))=16,Первоначальный[[#This Row],[Досрочное погашение (да/"")]]=""),0,
AND(S1122=0,Первоначальный[[#This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платеж]]+Y1122-SUM(Первоначальный[[#This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комиссиям]]),VLOOKUP(LOOKUP(,-1/($Z$12:Z1123=1),$A$12:A1123),График[[Срок конец]:[Возврат основной суммы долга]],3,0)),
AND(S1122=0,Первоначальный[[#This Row],[Дата платежа из графика]]="",Первоначальный[[#This Row],[Досрочное погашение (да/"")]]&lt;&gt;"Да"),0,
AND(S1122=0,Первоначальный[[#This Row],[Досрочное погашение (да/"")]]=""),MIN(Первоначальный[[#This Row],[Полученный платеж]]+Y1122-SUM(Первоначальный[[#This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комиссиям]]),VLOOKUP(LOOKUP(,-1/($Z$12:Z1123=1),$A$12:A1123),График[[Срок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платеж]]+Y1122-SUM(Первоначальный[[#This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S1122&gt;0,MIN(Первоначальный[[#This Row],[Полученный платеж]]+Y1122-SUM(Первоначальный[[#This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комиссиям]]),SUM(INDIRECT("M"&amp;(MAX((1=S$12:S1122)*ROW(S$12:S1122),ROW($W$12))&amp;":M"&amp;(ROW()))))-SUM(INDIRECT("W"&amp;(MAX((1=S$12:S1122)*ROW(S$12:S1122),ROW($W$12))&amp;":W"&amp;(ROW()-1)))))
)
)</f>
        <v>0</v>
      </c>
      <c r="X1123" s="55">
        <f t="shared" ca="1" si="208"/>
        <v>0</v>
      </c>
      <c r="Y1123" s="101">
        <f t="shared" ca="1" si="215"/>
        <v>0</v>
      </c>
      <c r="Z1123" s="133" t="str">
        <f>IF(TYPE((VLOOKUP(Первоначальный[[#This Row],[Дата платежа]],График[Срок конец],1,0)))=16,"",1)</f>
        <v/>
      </c>
      <c r="AA1123" s="57"/>
      <c r="AB1123" s="134"/>
      <c r="AC112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2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80709.629999999946</v>
      </c>
      <c r="AE112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4854.9699999999975</v>
      </c>
      <c r="AF112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2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255114.48484098303</v>
      </c>
      <c r="AH1123" s="55"/>
      <c r="AI1123" s="55"/>
      <c r="AJ1123" s="55"/>
      <c r="AK1123" s="101">
        <f t="shared" ca="1" si="216"/>
        <v>490312.424840983</v>
      </c>
      <c r="AL1123" s="129">
        <f t="array" ref="AL1123">MAX((УслРестрактов[Характеристика]="Дата реструктуризации")*(УслРестрактов[Значение]=Первоначальный!$A1123),0)</f>
        <v>0</v>
      </c>
    </row>
    <row r="1124" spans="1:38" x14ac:dyDescent="0.25">
      <c r="A1124" s="97">
        <f t="shared" si="209"/>
        <v>45255</v>
      </c>
      <c r="B1124" s="100">
        <f t="shared" ca="1" si="210"/>
        <v>149633.34</v>
      </c>
      <c r="C1124" s="55">
        <f t="shared" ca="1" si="206"/>
        <v>80709.629999999946</v>
      </c>
      <c r="D1124" s="55">
        <f t="shared" ca="1" si="206"/>
        <v>4854.9699999999975</v>
      </c>
      <c r="E1124" s="55">
        <f t="shared" ca="1" si="211"/>
        <v>0</v>
      </c>
      <c r="F1124" s="55">
        <f t="shared" ca="1" si="212"/>
        <v>255114.48484098303</v>
      </c>
      <c r="G1124" s="101">
        <f t="shared" ca="1" si="213"/>
        <v>490312.424840983</v>
      </c>
      <c r="H1124" s="100">
        <f ca="1">ROUND($B1124*VLOOKUP($A1124,$A$1:$B$10,2,1)/(365+IF(MOD(YEAR($A1124),4),0,1)*($A1124-$A1123)),2)-Первоначальный[[#This Row],[Проценты на просроченный платеж по ОД за период]]</f>
        <v>71.3</v>
      </c>
      <c r="I1124" s="55">
        <f t="shared" ca="1" si="214"/>
        <v>10.28</v>
      </c>
      <c r="J1124" s="55">
        <v>0</v>
      </c>
      <c r="K1124" s="55">
        <f t="shared" ca="1" si="217"/>
        <v>492.42350327868843</v>
      </c>
      <c r="L1124" s="55">
        <v>0</v>
      </c>
      <c r="M1124" s="113">
        <f>SUMIFS(График[Возврат основной суммы долга],График[Дата с учетом нерабочих дней],$A1124)</f>
        <v>0</v>
      </c>
      <c r="N1124" s="56">
        <f>SUMIFS(График[Возврат начисленных %],График[Дата с учетом нерабочих дней],$A1124)</f>
        <v>0</v>
      </c>
      <c r="O1124" s="101">
        <v>0</v>
      </c>
      <c r="P1124" s="100" cm="1">
        <f t="array" aca="1" ref="P1124" ca="1">MAX(IF(AA1123="Да",0,SUM(INDIRECT("M"&amp;(MAX(("Да"=AA$12:AA1123)*ROW(AA$12:AA1123)+1,ROW($P$12))&amp;":M"&amp;(ROW()))))-SUM(INDIRECT("W"&amp;(MAX(("Да"=AA$12:AA1123)*ROW(AA$12:AA1123)+1,ROW($P$12))&amp;":W"&amp;(ROW()))))),0)</f>
        <v>18847.86</v>
      </c>
      <c r="Q1124" s="99">
        <f ca="1">MAX(SUM($N$13:N1124)-SUM($T$13:T1124),0)</f>
        <v>79636.840655737687</v>
      </c>
      <c r="R1124" s="99">
        <f ca="1">Первоначальный[[#This Row],[Просроченный платеж по ОД]]+Первоначальный[[#This Row],[Просроченный платеж по процентам]]</f>
        <v>98484.700655737688</v>
      </c>
      <c r="S1124" s="120">
        <f ca="1">IF(Первоначальный[[#This Row],[Просроченный платеж]]&lt;1,0,S1123+1)</f>
        <v>1020</v>
      </c>
      <c r="T1124" s="100" cm="1">
        <f t="array" aca="1" ref="T1124" ca="1">IF(Первоначальный[[#This Row],[Итого остаток на начало периода]]&lt;1,0,
IF(
AND(TYPE(VLOOKUP(1,$Z$12:Z1124,1,0))=16,Первоначальный[[#This Row],[Досрочное погашение (да/"")]]=""),0,
_xlfn.IFS(AND(S1123=0,Первоначальный[[#This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платеж]]&lt;&gt;0),MIN(LOOKUP(,-1/($Z$12:Z1124=1),$C$12:C1124)+LOOKUP(,-1/($Z$12:Z1124=1),$H$12:H1124),Первоначальный[[#This Row],[Полученный платеж]]+Y1123),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платеж]]+Y1123,SUM(Первоначальный[[#This Row],[Остаток процентов на начало периода]],Первоначальный[[#This Row],[Проценты за период]])),
AND(S1123=0,Первоначальный[[#This Row],[Дата платежа из графика]]=""),0,
AND(S1123=0,Первоначальный[[#This Row],[Дата платежа из графика]]=1,MAX((0&lt;&gt;S$12:S1123)*ROW(S$12:S1123),ROW($S$12))&gt;=MAX((1=Z$12:Z1123)*ROW(Z$12:Z1123),ROW($T$12)),TYPE(VLOOKUP("Да",(INDIRECT("AA"&amp;(MAX((1=Z$12:Z1123)*ROW(Z$12:Z1123),ROW($T$12))&amp;":AA"&amp;(ROW()-1)))),1,0))=16),MIN(LOOKUP(,-1/($Z$12:Z1124=1),$C$12:C1124)+LOOKUP(,-1/($Z$12:Z1124=1),$H$12:H1124),Первоначальный[[#This Row],[Полученный платеж]]+Y1123),
AND(S1123=0,TYPE(VLOOKUP("Да",(INDIRECT("AA"&amp;(MAX((1=Z$12:Z1123)*ROW(Z$12:Z1123),ROW($T$12))&amp;":AA"&amp;(ROW()-1)))),1,0))&lt;&gt;16),MIN(LOOKUP(,-1/($Z$12:Z1124=1),$C$12:C1124)+LOOKUP(,-1/($Z$12:Z1124=1),$H$12:H1124)-IF(AA1123="Да",0,SUM(INDIRECT("T"&amp;(MAX(("Да"=AA$12:AA1123)*ROW(AA$12:AA1123)+1,ROW($T$12))&amp;":T"&amp;(ROW()-1))))),Первоначальный[[#This Row],[Полученный платеж]]+Y1123),
AND(S1123=0,MAX((0&lt;&gt;N$12:N1123)*ROW(N$12:N1123),ROW($S$12))&gt;=MAX((1=Z$12:Z1123)*ROW(Z$12:Z1123),ROW($T$12))),MIN(LOOKUP(,-1/($Z$12:Z1124=1),$C$12:C1124)+LOOKUP(,-1/($Z$12:Z1124=1),$H$12:H1124)-IF(N1123&lt;&gt;0,0,SUM(INDIRECT("T"&amp;(MAX((0&lt;&gt;N$12:N1123)*ROW(N$12:N1123)+1,ROW($T$12))&amp;":T"&amp;(ROW()-1))))),Первоначальный[[#This Row],[Полученный платеж]]+Y1123),
AND(S1123=0,Первоначальный[[#This Row],[Дата платежа из графика]]=1),MIN(LOOKUP(,-1/($Z$12:Z1124=1),$C$12:C1124)+LOOKUP(,-1/($Z$12:Z1124=1),$H$12:H1124)-IF(Z1123=1,0,SUM(INDIRECT("T"&amp;(MAX((1=Z$12:Z1123)*ROW(Z$12:Z1123)+1,ROW($T$12))&amp;":T"&amp;(ROW()-1))))),Первоначальный[[#This Row],[Полученный платеж]]+Y1123),
AND(Z1123&gt;0,Первоначальный[[#This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платеж]]+Y1123),
AND(S1123&gt;0,MAX((0&lt;&gt;S$12:S1123)*ROW(S$12:S1123),ROW($S$12))&gt;=MAX((1=Z$12:Z1123)*ROW(Z$12:Z1123),ROW($T$12)),TYPE(VLOOKUP("Да",(INDIRECT("AA"&amp;(MAX((1=Z$12:Z1123)*ROW(Z$12:Z1123),ROW($T$12))&amp;":AA"&amp;(ROW()-1)))),1,0))=16),MIN(LOOKUP(,-1/($Z$12:Z1124=1),$C$12:C1124)+LOOKUP(,-1/($Z$12:Z1124=1),$H$12:H1124)-SUM(INDIRECT("T"&amp;(MAX((1=Z$12:Z1123)*ROW(Z$12:Z1123),ROW($T$12))&amp;":T"&amp;(ROW()-1)))),Первоначальный[[#This Row],[Полученный платеж]]+Y1123),
S1123&gt;0,MIN(LOOKUP(,-1/($Z$12:Z1124=1),$C$12:C1124)+LOOKUP(,-1/($Z$12:Z1124=1),$H$12:H1124)-IF(Z1123=1,0,SUM(INDIRECT("T"&amp;(MAX((1=Z$12:Z1123)*ROW(Z$12:Z1123)+1,ROW($T$12))&amp;":T"&amp;(ROW()-1))))),Первоначальный[[#This Row],[Полученный платеж]]+Y1123)
)
)
)</f>
        <v>0</v>
      </c>
      <c r="U112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платеж]]+Y1123-Первоначальный[[#This Row],[Полученный платёж по процентам]])</f>
        <v>0</v>
      </c>
      <c r="V1124" s="55">
        <f t="shared" ca="1" si="207"/>
        <v>0</v>
      </c>
      <c r="W1124" s="55" cm="1">
        <f t="array" aca="1" ref="W1124" ca="1">IF(Первоначальный[[#This Row],[Итого остаток на начало периода]]&lt;1,0,
_xlfn.IFS(
AND(TYPE(VLOOKUP(1,$Z$12:Z1124,1,0))=16,Первоначальный[[#This Row],[Досрочное погашение (да/"")]]=""),0,
AND(S1123=0,Первоначальный[[#This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платеж]]+Y1123-SUM(Первоначальный[[#This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комиссиям]]),VLOOKUP(LOOKUP(,-1/($Z$12:Z1124=1),$A$12:A1124),График[[Срок конец]:[Возврат основной суммы долга]],3,0)),
AND(S1123=0,Первоначальный[[#This Row],[Дата платежа из графика]]="",Первоначальный[[#This Row],[Досрочное погашение (да/"")]]&lt;&gt;"Да"),0,
AND(S1123=0,Первоначальный[[#This Row],[Досрочное погашение (да/"")]]=""),MIN(Первоначальный[[#This Row],[Полученный платеж]]+Y1123-SUM(Первоначальный[[#This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комиссиям]]),VLOOKUP(LOOKUP(,-1/($Z$12:Z1124=1),$A$12:A1124),График[[Срок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платеж]]+Y1123-SUM(Первоначальный[[#This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S1123&gt;0,MIN(Первоначальный[[#This Row],[Полученный платеж]]+Y1123-SUM(Первоначальный[[#This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комиссиям]]),SUM(INDIRECT("M"&amp;(MAX((1=S$12:S1123)*ROW(S$12:S1123),ROW($W$12))&amp;":M"&amp;(ROW()))))-SUM(INDIRECT("W"&amp;(MAX((1=S$12:S1123)*ROW(S$12:S1123),ROW($W$12))&amp;":W"&amp;(ROW()-1)))))
)
)</f>
        <v>0</v>
      </c>
      <c r="X1124" s="55">
        <f t="shared" ca="1" si="208"/>
        <v>0</v>
      </c>
      <c r="Y1124" s="101">
        <f t="shared" ca="1" si="215"/>
        <v>0</v>
      </c>
      <c r="Z1124" s="133" t="str">
        <f>IF(TYPE((VLOOKUP(Первоначальный[[#This Row],[Дата платежа]],График[Срок конец],1,0)))=16,"",1)</f>
        <v/>
      </c>
      <c r="AA1124" s="57"/>
      <c r="AB1124" s="134"/>
      <c r="AC112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2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80780.929999999949</v>
      </c>
      <c r="AE112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4865.2499999999973</v>
      </c>
      <c r="AF112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2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255606.90834426173</v>
      </c>
      <c r="AH1124" s="55"/>
      <c r="AI1124" s="55"/>
      <c r="AJ1124" s="55"/>
      <c r="AK1124" s="101">
        <f t="shared" ca="1" si="216"/>
        <v>490886.42834426172</v>
      </c>
      <c r="AL1124" s="129">
        <f t="array" ref="AL1124">MAX((УслРестрактов[Характеристика]="Дата реструктуризации")*(УслРестрактов[Значение]=Первоначальный!$A1124),0)</f>
        <v>0</v>
      </c>
    </row>
    <row r="1125" spans="1:38" x14ac:dyDescent="0.25">
      <c r="A1125" s="97">
        <f t="shared" si="209"/>
        <v>45256</v>
      </c>
      <c r="B1125" s="100">
        <f t="shared" ca="1" si="210"/>
        <v>149633.34</v>
      </c>
      <c r="C1125" s="55">
        <f t="shared" ca="1" si="206"/>
        <v>80780.929999999949</v>
      </c>
      <c r="D1125" s="55">
        <f t="shared" ca="1" si="206"/>
        <v>4865.2499999999973</v>
      </c>
      <c r="E1125" s="55">
        <f t="shared" ca="1" si="211"/>
        <v>0</v>
      </c>
      <c r="F1125" s="55">
        <f t="shared" ca="1" si="212"/>
        <v>255606.90834426173</v>
      </c>
      <c r="G1125" s="101">
        <f t="shared" ca="1" si="213"/>
        <v>490886.42834426172</v>
      </c>
      <c r="H1125" s="100">
        <f ca="1">ROUND($B1125*VLOOKUP($A1125,$A$1:$B$10,2,1)/(365+IF(MOD(YEAR($A1125),4),0,1)*($A1125-$A1124)),2)-Первоначальный[[#This Row],[Проценты на просроченный платеж по ОД за период]]</f>
        <v>71.3</v>
      </c>
      <c r="I1125" s="55">
        <f t="shared" ca="1" si="214"/>
        <v>10.28</v>
      </c>
      <c r="J1125" s="55">
        <v>0</v>
      </c>
      <c r="K1125" s="55">
        <f t="shared" ca="1" si="217"/>
        <v>492.42350327868843</v>
      </c>
      <c r="L1125" s="55">
        <v>0</v>
      </c>
      <c r="M1125" s="113">
        <f>SUMIFS(График[Возврат основной суммы долга],График[Дата с учетом нерабочих дней],$A1125)</f>
        <v>0</v>
      </c>
      <c r="N1125" s="56">
        <f>SUMIFS(График[Возврат начисленных %],График[Дата с учетом нерабочих дней],$A1125)</f>
        <v>0</v>
      </c>
      <c r="O1125" s="101">
        <v>0</v>
      </c>
      <c r="P1125" s="100" cm="1">
        <f t="array" aca="1" ref="P1125" ca="1">MAX(IF(AA1124="Да",0,SUM(INDIRECT("M"&amp;(MAX(("Да"=AA$12:AA1124)*ROW(AA$12:AA1124)+1,ROW($P$12))&amp;":M"&amp;(ROW()))))-SUM(INDIRECT("W"&amp;(MAX(("Да"=AA$12:AA1124)*ROW(AA$12:AA1124)+1,ROW($P$12))&amp;":W"&amp;(ROW()))))),0)</f>
        <v>18847.86</v>
      </c>
      <c r="Q1125" s="99">
        <f ca="1">MAX(SUM($N$13:N1125)-SUM($T$13:T1125),0)</f>
        <v>79636.840655737687</v>
      </c>
      <c r="R1125" s="99">
        <f ca="1">Первоначальный[[#This Row],[Просроченный платеж по ОД]]+Первоначальный[[#This Row],[Просроченный платеж по процентам]]</f>
        <v>98484.700655737688</v>
      </c>
      <c r="S1125" s="120">
        <f ca="1">IF(Первоначальный[[#This Row],[Просроченный платеж]]&lt;1,0,S1124+1)</f>
        <v>1021</v>
      </c>
      <c r="T1125" s="100" cm="1">
        <f t="array" aca="1" ref="T1125" ca="1">IF(Первоначальный[[#This Row],[Итого остаток на начало периода]]&lt;1,0,
IF(
AND(TYPE(VLOOKUP(1,$Z$12:Z1125,1,0))=16,Первоначальный[[#This Row],[Досрочное погашение (да/"")]]=""),0,
_xlfn.IFS(AND(S1124=0,Первоначальный[[#This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платеж]]&lt;&gt;0),MIN(LOOKUP(,-1/($Z$12:Z1125=1),$C$12:C1125)+LOOKUP(,-1/($Z$12:Z1125=1),$H$12:H1125),Первоначальный[[#This Row],[Полученный платеж]]+Y1124),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платеж]]+Y1124,SUM(Первоначальный[[#This Row],[Остаток процентов на начало периода]],Первоначальный[[#This Row],[Проценты за период]])),
AND(S1124=0,Первоначальный[[#This Row],[Дата платежа из графика]]=""),0,
AND(S1124=0,Первоначальный[[#This Row],[Дата платежа из графика]]=1,MAX((0&lt;&gt;S$12:S1124)*ROW(S$12:S1124),ROW($S$12))&gt;=MAX((1=Z$12:Z1124)*ROW(Z$12:Z1124),ROW($T$12)),TYPE(VLOOKUP("Да",(INDIRECT("AA"&amp;(MAX((1=Z$12:Z1124)*ROW(Z$12:Z1124),ROW($T$12))&amp;":AA"&amp;(ROW()-1)))),1,0))=16),MIN(LOOKUP(,-1/($Z$12:Z1125=1),$C$12:C1125)+LOOKUP(,-1/($Z$12:Z1125=1),$H$12:H1125),Первоначальный[[#This Row],[Полученный платеж]]+Y1124),
AND(S1124=0,TYPE(VLOOKUP("Да",(INDIRECT("AA"&amp;(MAX((1=Z$12:Z1124)*ROW(Z$12:Z1124),ROW($T$12))&amp;":AA"&amp;(ROW()-1)))),1,0))&lt;&gt;16),MIN(LOOKUP(,-1/($Z$12:Z1125=1),$C$12:C1125)+LOOKUP(,-1/($Z$12:Z1125=1),$H$12:H1125)-IF(AA1124="Да",0,SUM(INDIRECT("T"&amp;(MAX(("Да"=AA$12:AA1124)*ROW(AA$12:AA1124)+1,ROW($T$12))&amp;":T"&amp;(ROW()-1))))),Первоначальный[[#This Row],[Полученный платеж]]+Y1124),
AND(S1124=0,MAX((0&lt;&gt;N$12:N1124)*ROW(N$12:N1124),ROW($S$12))&gt;=MAX((1=Z$12:Z1124)*ROW(Z$12:Z1124),ROW($T$12))),MIN(LOOKUP(,-1/($Z$12:Z1125=1),$C$12:C1125)+LOOKUP(,-1/($Z$12:Z1125=1),$H$12:H1125)-IF(N1124&lt;&gt;0,0,SUM(INDIRECT("T"&amp;(MAX((0&lt;&gt;N$12:N1124)*ROW(N$12:N1124)+1,ROW($T$12))&amp;":T"&amp;(ROW()-1))))),Первоначальный[[#This Row],[Полученный платеж]]+Y1124),
AND(S1124=0,Первоначальный[[#This Row],[Дата платежа из графика]]=1),MIN(LOOKUP(,-1/($Z$12:Z1125=1),$C$12:C1125)+LOOKUP(,-1/($Z$12:Z1125=1),$H$12:H1125)-IF(Z1124=1,0,SUM(INDIRECT("T"&amp;(MAX((1=Z$12:Z1124)*ROW(Z$12:Z1124)+1,ROW($T$12))&amp;":T"&amp;(ROW()-1))))),Первоначальный[[#This Row],[Полученный платеж]]+Y1124),
AND(Z1124&gt;0,Первоначальный[[#This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платеж]]+Y1124),
AND(S1124&gt;0,MAX((0&lt;&gt;S$12:S1124)*ROW(S$12:S1124),ROW($S$12))&gt;=MAX((1=Z$12:Z1124)*ROW(Z$12:Z1124),ROW($T$12)),TYPE(VLOOKUP("Да",(INDIRECT("AA"&amp;(MAX((1=Z$12:Z1124)*ROW(Z$12:Z1124),ROW($T$12))&amp;":AA"&amp;(ROW()-1)))),1,0))=16),MIN(LOOKUP(,-1/($Z$12:Z1125=1),$C$12:C1125)+LOOKUP(,-1/($Z$12:Z1125=1),$H$12:H1125)-SUM(INDIRECT("T"&amp;(MAX((1=Z$12:Z1124)*ROW(Z$12:Z1124),ROW($T$12))&amp;":T"&amp;(ROW()-1)))),Первоначальный[[#This Row],[Полученный платеж]]+Y1124),
S1124&gt;0,MIN(LOOKUP(,-1/($Z$12:Z1125=1),$C$12:C1125)+LOOKUP(,-1/($Z$12:Z1125=1),$H$12:H1125)-IF(Z1124=1,0,SUM(INDIRECT("T"&amp;(MAX((1=Z$12:Z1124)*ROW(Z$12:Z1124)+1,ROW($T$12))&amp;":T"&amp;(ROW()-1))))),Первоначальный[[#This Row],[Полученный платеж]]+Y1124)
)
)
)</f>
        <v>0</v>
      </c>
      <c r="U112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платеж]]+Y1124-Первоначальный[[#This Row],[Полученный платёж по процентам]])</f>
        <v>0</v>
      </c>
      <c r="V1125" s="55">
        <f t="shared" ca="1" si="207"/>
        <v>0</v>
      </c>
      <c r="W1125" s="55" cm="1">
        <f t="array" aca="1" ref="W1125" ca="1">IF(Первоначальный[[#This Row],[Итого остаток на начало периода]]&lt;1,0,
_xlfn.IFS(
AND(TYPE(VLOOKUP(1,$Z$12:Z1125,1,0))=16,Первоначальный[[#This Row],[Досрочное погашение (да/"")]]=""),0,
AND(S1124=0,Первоначальный[[#This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платеж]]+Y1124-SUM(Первоначальный[[#This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комиссиям]]),VLOOKUP(LOOKUP(,-1/($Z$12:Z1125=1),$A$12:A1125),График[[Срок конец]:[Возврат основной суммы долга]],3,0)),
AND(S1124=0,Первоначальный[[#This Row],[Дата платежа из графика]]="",Первоначальный[[#This Row],[Досрочное погашение (да/"")]]&lt;&gt;"Да"),0,
AND(S1124=0,Первоначальный[[#This Row],[Досрочное погашение (да/"")]]=""),MIN(Первоначальный[[#This Row],[Полученный платеж]]+Y1124-SUM(Первоначальный[[#This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комиссиям]]),VLOOKUP(LOOKUP(,-1/($Z$12:Z1125=1),$A$12:A1125),График[[Срок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платеж]]+Y1124-SUM(Первоначальный[[#This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S1124&gt;0,MIN(Первоначальный[[#This Row],[Полученный платеж]]+Y1124-SUM(Первоначальный[[#This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комиссиям]]),SUM(INDIRECT("M"&amp;(MAX((1=S$12:S1124)*ROW(S$12:S1124),ROW($W$12))&amp;":M"&amp;(ROW()))))-SUM(INDIRECT("W"&amp;(MAX((1=S$12:S1124)*ROW(S$12:S1124),ROW($W$12))&amp;":W"&amp;(ROW()-1)))))
)
)</f>
        <v>0</v>
      </c>
      <c r="X1125" s="55">
        <f t="shared" ca="1" si="208"/>
        <v>0</v>
      </c>
      <c r="Y1125" s="101">
        <f t="shared" ca="1" si="215"/>
        <v>0</v>
      </c>
      <c r="Z1125" s="133" t="str">
        <f>IF(TYPE((VLOOKUP(Первоначальный[[#This Row],[Дата платежа]],График[Срок конец],1,0)))=16,"",1)</f>
        <v/>
      </c>
      <c r="AA1125" s="57"/>
      <c r="AB1125" s="134"/>
      <c r="AC112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2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80852.229999999952</v>
      </c>
      <c r="AE112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4875.529999999997</v>
      </c>
      <c r="AF112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2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256099.33184754042</v>
      </c>
      <c r="AH1125" s="55"/>
      <c r="AI1125" s="55"/>
      <c r="AJ1125" s="55"/>
      <c r="AK1125" s="101">
        <f t="shared" ca="1" si="216"/>
        <v>491460.43184754037</v>
      </c>
      <c r="AL1125" s="129">
        <f t="array" ref="AL1125">MAX((УслРестрактов[Характеристика]="Дата реструктуризации")*(УслРестрактов[Значение]=Первоначальный!$A1125),0)</f>
        <v>0</v>
      </c>
    </row>
    <row r="1126" spans="1:38" x14ac:dyDescent="0.25">
      <c r="A1126" s="97">
        <f t="shared" si="209"/>
        <v>45257</v>
      </c>
      <c r="B1126" s="100">
        <f t="shared" ca="1" si="210"/>
        <v>149633.34</v>
      </c>
      <c r="C1126" s="55">
        <f t="shared" ca="1" si="206"/>
        <v>80852.229999999952</v>
      </c>
      <c r="D1126" s="55">
        <f t="shared" ca="1" si="206"/>
        <v>4875.529999999997</v>
      </c>
      <c r="E1126" s="55">
        <f t="shared" ca="1" si="211"/>
        <v>0</v>
      </c>
      <c r="F1126" s="55">
        <f t="shared" ca="1" si="212"/>
        <v>256099.33184754042</v>
      </c>
      <c r="G1126" s="101">
        <f t="shared" ca="1" si="213"/>
        <v>491460.43184754037</v>
      </c>
      <c r="H1126" s="100">
        <f ca="1">ROUND($B1126*VLOOKUP($A1126,$A$1:$B$10,2,1)/(365+IF(MOD(YEAR($A1126),4),0,1)*($A1126-$A1125)),2)-Первоначальный[[#This Row],[Проценты на просроченный платеж по ОД за период]]</f>
        <v>71.3</v>
      </c>
      <c r="I1126" s="55">
        <f t="shared" ca="1" si="214"/>
        <v>10.28</v>
      </c>
      <c r="J1126" s="55">
        <v>0</v>
      </c>
      <c r="K1126" s="55">
        <f t="shared" ca="1" si="217"/>
        <v>492.42350327868843</v>
      </c>
      <c r="L1126" s="55">
        <v>0</v>
      </c>
      <c r="M1126" s="113">
        <f>SUMIFS(График[Возврат основной суммы долга],График[Дата с учетом нерабочих дней],$A1126)</f>
        <v>0</v>
      </c>
      <c r="N1126" s="56">
        <f>SUMIFS(График[Возврат начисленных %],График[Дата с учетом нерабочих дней],$A1126)</f>
        <v>0</v>
      </c>
      <c r="O1126" s="101">
        <v>0</v>
      </c>
      <c r="P1126" s="100" cm="1">
        <f t="array" aca="1" ref="P1126" ca="1">MAX(IF(AA1125="Да",0,SUM(INDIRECT("M"&amp;(MAX(("Да"=AA$12:AA1125)*ROW(AA$12:AA1125)+1,ROW($P$12))&amp;":M"&amp;(ROW()))))-SUM(INDIRECT("W"&amp;(MAX(("Да"=AA$12:AA1125)*ROW(AA$12:AA1125)+1,ROW($P$12))&amp;":W"&amp;(ROW()))))),0)</f>
        <v>18847.86</v>
      </c>
      <c r="Q1126" s="99">
        <f ca="1">MAX(SUM($N$13:N1126)-SUM($T$13:T1126),0)</f>
        <v>79636.840655737687</v>
      </c>
      <c r="R1126" s="99">
        <f ca="1">Первоначальный[[#This Row],[Просроченный платеж по ОД]]+Первоначальный[[#This Row],[Просроченный платеж по процентам]]</f>
        <v>98484.700655737688</v>
      </c>
      <c r="S1126" s="120">
        <f ca="1">IF(Первоначальный[[#This Row],[Просроченный платеж]]&lt;1,0,S1125+1)</f>
        <v>1022</v>
      </c>
      <c r="T1126" s="100" cm="1">
        <f t="array" aca="1" ref="T1126" ca="1">IF(Первоначальный[[#This Row],[Итого остаток на начало периода]]&lt;1,0,
IF(
AND(TYPE(VLOOKUP(1,$Z$12:Z1126,1,0))=16,Первоначальный[[#This Row],[Досрочное погашение (да/"")]]=""),0,
_xlfn.IFS(AND(S1125=0,Первоначальный[[#This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платеж]]&lt;&gt;0),MIN(LOOKUP(,-1/($Z$12:Z1126=1),$C$12:C1126)+LOOKUP(,-1/($Z$12:Z1126=1),$H$12:H1126),Первоначальный[[#This Row],[Полученный платеж]]+Y1125),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платеж]]+Y1125,SUM(Первоначальный[[#This Row],[Остаток процентов на начало периода]],Первоначальный[[#This Row],[Проценты за период]])),
AND(S1125=0,Первоначальный[[#This Row],[Дата платежа из графика]]=""),0,
AND(S1125=0,Первоначальный[[#This Row],[Дата платежа из графика]]=1,MAX((0&lt;&gt;S$12:S1125)*ROW(S$12:S1125),ROW($S$12))&gt;=MAX((1=Z$12:Z1125)*ROW(Z$12:Z1125),ROW($T$12)),TYPE(VLOOKUP("Да",(INDIRECT("AA"&amp;(MAX((1=Z$12:Z1125)*ROW(Z$12:Z1125),ROW($T$12))&amp;":AA"&amp;(ROW()-1)))),1,0))=16),MIN(LOOKUP(,-1/($Z$12:Z1126=1),$C$12:C1126)+LOOKUP(,-1/($Z$12:Z1126=1),$H$12:H1126),Первоначальный[[#This Row],[Полученный платеж]]+Y1125),
AND(S1125=0,TYPE(VLOOKUP("Да",(INDIRECT("AA"&amp;(MAX((1=Z$12:Z1125)*ROW(Z$12:Z1125),ROW($T$12))&amp;":AA"&amp;(ROW()-1)))),1,0))&lt;&gt;16),MIN(LOOKUP(,-1/($Z$12:Z1126=1),$C$12:C1126)+LOOKUP(,-1/($Z$12:Z1126=1),$H$12:H1126)-IF(AA1125="Да",0,SUM(INDIRECT("T"&amp;(MAX(("Да"=AA$12:AA1125)*ROW(AA$12:AA1125)+1,ROW($T$12))&amp;":T"&amp;(ROW()-1))))),Первоначальный[[#This Row],[Полученный платеж]]+Y1125),
AND(S1125=0,MAX((0&lt;&gt;N$12:N1125)*ROW(N$12:N1125),ROW($S$12))&gt;=MAX((1=Z$12:Z1125)*ROW(Z$12:Z1125),ROW($T$12))),MIN(LOOKUP(,-1/($Z$12:Z1126=1),$C$12:C1126)+LOOKUP(,-1/($Z$12:Z1126=1),$H$12:H1126)-IF(N1125&lt;&gt;0,0,SUM(INDIRECT("T"&amp;(MAX((0&lt;&gt;N$12:N1125)*ROW(N$12:N1125)+1,ROW($T$12))&amp;":T"&amp;(ROW()-1))))),Первоначальный[[#This Row],[Полученный платеж]]+Y1125),
AND(S1125=0,Первоначальный[[#This Row],[Дата платежа из графика]]=1),MIN(LOOKUP(,-1/($Z$12:Z1126=1),$C$12:C1126)+LOOKUP(,-1/($Z$12:Z1126=1),$H$12:H1126)-IF(Z1125=1,0,SUM(INDIRECT("T"&amp;(MAX((1=Z$12:Z1125)*ROW(Z$12:Z1125)+1,ROW($T$12))&amp;":T"&amp;(ROW()-1))))),Первоначальный[[#This Row],[Полученный платеж]]+Y1125),
AND(Z1125&gt;0,Первоначальный[[#This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платеж]]+Y1125),
AND(S1125&gt;0,MAX((0&lt;&gt;S$12:S1125)*ROW(S$12:S1125),ROW($S$12))&gt;=MAX((1=Z$12:Z1125)*ROW(Z$12:Z1125),ROW($T$12)),TYPE(VLOOKUP("Да",(INDIRECT("AA"&amp;(MAX((1=Z$12:Z1125)*ROW(Z$12:Z1125),ROW($T$12))&amp;":AA"&amp;(ROW()-1)))),1,0))=16),MIN(LOOKUP(,-1/($Z$12:Z1126=1),$C$12:C1126)+LOOKUP(,-1/($Z$12:Z1126=1),$H$12:H1126)-SUM(INDIRECT("T"&amp;(MAX((1=Z$12:Z1125)*ROW(Z$12:Z1125),ROW($T$12))&amp;":T"&amp;(ROW()-1)))),Первоначальный[[#This Row],[Полученный платеж]]+Y1125),
S1125&gt;0,MIN(LOOKUP(,-1/($Z$12:Z1126=1),$C$12:C1126)+LOOKUP(,-1/($Z$12:Z1126=1),$H$12:H1126)-IF(Z1125=1,0,SUM(INDIRECT("T"&amp;(MAX((1=Z$12:Z1125)*ROW(Z$12:Z1125)+1,ROW($T$12))&amp;":T"&amp;(ROW()-1))))),Первоначальный[[#This Row],[Полученный платеж]]+Y1125)
)
)
)</f>
        <v>0</v>
      </c>
      <c r="U112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платеж]]+Y1125-Первоначальный[[#This Row],[Полученный платёж по процентам]])</f>
        <v>0</v>
      </c>
      <c r="V1126" s="55">
        <f t="shared" ca="1" si="207"/>
        <v>0</v>
      </c>
      <c r="W1126" s="55" cm="1">
        <f t="array" aca="1" ref="W1126" ca="1">IF(Первоначальный[[#This Row],[Итого остаток на начало периода]]&lt;1,0,
_xlfn.IFS(
AND(TYPE(VLOOKUP(1,$Z$12:Z1126,1,0))=16,Первоначальный[[#This Row],[Досрочное погашение (да/"")]]=""),0,
AND(S1125=0,Первоначальный[[#This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платеж]]+Y1125-SUM(Первоначальный[[#This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комиссиям]]),VLOOKUP(LOOKUP(,-1/($Z$12:Z1126=1),$A$12:A1126),График[[Срок конец]:[Возврат основной суммы долга]],3,0)),
AND(S1125=0,Первоначальный[[#This Row],[Дата платежа из графика]]="",Первоначальный[[#This Row],[Досрочное погашение (да/"")]]&lt;&gt;"Да"),0,
AND(S1125=0,Первоначальный[[#This Row],[Досрочное погашение (да/"")]]=""),MIN(Первоначальный[[#This Row],[Полученный платеж]]+Y1125-SUM(Первоначальный[[#This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комиссиям]]),VLOOKUP(LOOKUP(,-1/($Z$12:Z1126=1),$A$12:A1126),График[[Срок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платеж]]+Y1125-SUM(Первоначальный[[#This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S1125&gt;0,MIN(Первоначальный[[#This Row],[Полученный платеж]]+Y1125-SUM(Первоначальный[[#This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комиссиям]]),SUM(INDIRECT("M"&amp;(MAX((1=S$12:S1125)*ROW(S$12:S1125),ROW($W$12))&amp;":M"&amp;(ROW()))))-SUM(INDIRECT("W"&amp;(MAX((1=S$12:S1125)*ROW(S$12:S1125),ROW($W$12))&amp;":W"&amp;(ROW()-1)))))
)
)</f>
        <v>0</v>
      </c>
      <c r="X1126" s="55">
        <f t="shared" ca="1" si="208"/>
        <v>0</v>
      </c>
      <c r="Y1126" s="101">
        <f t="shared" ca="1" si="215"/>
        <v>0</v>
      </c>
      <c r="Z1126" s="133" t="str">
        <f>IF(TYPE((VLOOKUP(Первоначальный[[#This Row],[Дата платежа]],График[Срок конец],1,0)))=16,"",1)</f>
        <v/>
      </c>
      <c r="AA1126" s="57"/>
      <c r="AB1126" s="134"/>
      <c r="AC112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2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80923.529999999955</v>
      </c>
      <c r="AE112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4885.8099999999968</v>
      </c>
      <c r="AF112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2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256591.75535081912</v>
      </c>
      <c r="AH1126" s="55"/>
      <c r="AI1126" s="55"/>
      <c r="AJ1126" s="55"/>
      <c r="AK1126" s="101">
        <f t="shared" ca="1" si="216"/>
        <v>492034.43535081903</v>
      </c>
      <c r="AL1126" s="129">
        <f t="array" ref="AL1126">MAX((УслРестрактов[Характеристика]="Дата реструктуризации")*(УслРестрактов[Значение]=Первоначальный!$A1126),0)</f>
        <v>0</v>
      </c>
    </row>
    <row r="1127" spans="1:38" x14ac:dyDescent="0.25">
      <c r="A1127" s="97">
        <f t="shared" si="209"/>
        <v>45258</v>
      </c>
      <c r="B1127" s="100">
        <f t="shared" ca="1" si="210"/>
        <v>149633.34</v>
      </c>
      <c r="C1127" s="55">
        <f t="shared" ca="1" si="206"/>
        <v>80923.529999999955</v>
      </c>
      <c r="D1127" s="55">
        <f t="shared" ca="1" si="206"/>
        <v>4885.8099999999968</v>
      </c>
      <c r="E1127" s="55">
        <f t="shared" ca="1" si="211"/>
        <v>0</v>
      </c>
      <c r="F1127" s="55">
        <f t="shared" ca="1" si="212"/>
        <v>256591.75535081912</v>
      </c>
      <c r="G1127" s="101">
        <f t="shared" ca="1" si="213"/>
        <v>492034.43535081903</v>
      </c>
      <c r="H1127" s="100">
        <f ca="1">ROUND($B1127*VLOOKUP($A1127,$A$1:$B$10,2,1)/(365+IF(MOD(YEAR($A1127),4),0,1)*($A1127-$A1126)),2)-Первоначальный[[#This Row],[Проценты на просроченный платеж по ОД за период]]</f>
        <v>71.3</v>
      </c>
      <c r="I1127" s="55">
        <f t="shared" ca="1" si="214"/>
        <v>10.28</v>
      </c>
      <c r="J1127" s="55">
        <v>0</v>
      </c>
      <c r="K1127" s="55">
        <f t="shared" ca="1" si="217"/>
        <v>492.42350327868843</v>
      </c>
      <c r="L1127" s="55">
        <v>0</v>
      </c>
      <c r="M1127" s="113">
        <f>SUMIFS(График[Возврат основной суммы долга],График[Дата с учетом нерабочих дней],$A1127)</f>
        <v>0</v>
      </c>
      <c r="N1127" s="56">
        <f>SUMIFS(График[Возврат начисленных %],График[Дата с учетом нерабочих дней],$A1127)</f>
        <v>0</v>
      </c>
      <c r="O1127" s="101">
        <v>0</v>
      </c>
      <c r="P1127" s="100" cm="1">
        <f t="array" aca="1" ref="P1127" ca="1">MAX(IF(AA1126="Да",0,SUM(INDIRECT("M"&amp;(MAX(("Да"=AA$12:AA1126)*ROW(AA$12:AA1126)+1,ROW($P$12))&amp;":M"&amp;(ROW()))))-SUM(INDIRECT("W"&amp;(MAX(("Да"=AA$12:AA1126)*ROW(AA$12:AA1126)+1,ROW($P$12))&amp;":W"&amp;(ROW()))))),0)</f>
        <v>18847.86</v>
      </c>
      <c r="Q1127" s="99">
        <f ca="1">MAX(SUM($N$13:N1127)-SUM($T$13:T1127),0)</f>
        <v>79636.840655737687</v>
      </c>
      <c r="R1127" s="99">
        <f ca="1">Первоначальный[[#This Row],[Просроченный платеж по ОД]]+Первоначальный[[#This Row],[Просроченный платеж по процентам]]</f>
        <v>98484.700655737688</v>
      </c>
      <c r="S1127" s="120">
        <f ca="1">IF(Первоначальный[[#This Row],[Просроченный платеж]]&lt;1,0,S1126+1)</f>
        <v>1023</v>
      </c>
      <c r="T1127" s="100" cm="1">
        <f t="array" aca="1" ref="T1127" ca="1">IF(Первоначальный[[#This Row],[Итого остаток на начало периода]]&lt;1,0,
IF(
AND(TYPE(VLOOKUP(1,$Z$12:Z1127,1,0))=16,Первоначальный[[#This Row],[Досрочное погашение (да/"")]]=""),0,
_xlfn.IFS(AND(S1126=0,Первоначальный[[#This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платеж]]&lt;&gt;0),MIN(LOOKUP(,-1/($Z$12:Z1127=1),$C$12:C1127)+LOOKUP(,-1/($Z$12:Z1127=1),$H$12:H1127),Первоначальный[[#This Row],[Полученный платеж]]+Y1126),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платеж]]+Y1126,SUM(Первоначальный[[#This Row],[Остаток процентов на начало периода]],Первоначальный[[#This Row],[Проценты за период]])),
AND(S1126=0,Первоначальный[[#This Row],[Дата платежа из графика]]=""),0,
AND(S1126=0,Первоначальный[[#This Row],[Дата платежа из графика]]=1,MAX((0&lt;&gt;S$12:S1126)*ROW(S$12:S1126),ROW($S$12))&gt;=MAX((1=Z$12:Z1126)*ROW(Z$12:Z1126),ROW($T$12)),TYPE(VLOOKUP("Да",(INDIRECT("AA"&amp;(MAX((1=Z$12:Z1126)*ROW(Z$12:Z1126),ROW($T$12))&amp;":AA"&amp;(ROW()-1)))),1,0))=16),MIN(LOOKUP(,-1/($Z$12:Z1127=1),$C$12:C1127)+LOOKUP(,-1/($Z$12:Z1127=1),$H$12:H1127),Первоначальный[[#This Row],[Полученный платеж]]+Y1126),
AND(S1126=0,TYPE(VLOOKUP("Да",(INDIRECT("AA"&amp;(MAX((1=Z$12:Z1126)*ROW(Z$12:Z1126),ROW($T$12))&amp;":AA"&amp;(ROW()-1)))),1,0))&lt;&gt;16),MIN(LOOKUP(,-1/($Z$12:Z1127=1),$C$12:C1127)+LOOKUP(,-1/($Z$12:Z1127=1),$H$12:H1127)-IF(AA1126="Да",0,SUM(INDIRECT("T"&amp;(MAX(("Да"=AA$12:AA1126)*ROW(AA$12:AA1126)+1,ROW($T$12))&amp;":T"&amp;(ROW()-1))))),Первоначальный[[#This Row],[Полученный платеж]]+Y1126),
AND(S1126=0,MAX((0&lt;&gt;N$12:N1126)*ROW(N$12:N1126),ROW($S$12))&gt;=MAX((1=Z$12:Z1126)*ROW(Z$12:Z1126),ROW($T$12))),MIN(LOOKUP(,-1/($Z$12:Z1127=1),$C$12:C1127)+LOOKUP(,-1/($Z$12:Z1127=1),$H$12:H1127)-IF(N1126&lt;&gt;0,0,SUM(INDIRECT("T"&amp;(MAX((0&lt;&gt;N$12:N1126)*ROW(N$12:N1126)+1,ROW($T$12))&amp;":T"&amp;(ROW()-1))))),Первоначальный[[#This Row],[Полученный платеж]]+Y1126),
AND(S1126=0,Первоначальный[[#This Row],[Дата платежа из графика]]=1),MIN(LOOKUP(,-1/($Z$12:Z1127=1),$C$12:C1127)+LOOKUP(,-1/($Z$12:Z1127=1),$H$12:H1127)-IF(Z1126=1,0,SUM(INDIRECT("T"&amp;(MAX((1=Z$12:Z1126)*ROW(Z$12:Z1126)+1,ROW($T$12))&amp;":T"&amp;(ROW()-1))))),Первоначальный[[#This Row],[Полученный платеж]]+Y1126),
AND(Z1126&gt;0,Первоначальный[[#This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платеж]]+Y1126),
AND(S1126&gt;0,MAX((0&lt;&gt;S$12:S1126)*ROW(S$12:S1126),ROW($S$12))&gt;=MAX((1=Z$12:Z1126)*ROW(Z$12:Z1126),ROW($T$12)),TYPE(VLOOKUP("Да",(INDIRECT("AA"&amp;(MAX((1=Z$12:Z1126)*ROW(Z$12:Z1126),ROW($T$12))&amp;":AA"&amp;(ROW()-1)))),1,0))=16),MIN(LOOKUP(,-1/($Z$12:Z1127=1),$C$12:C1127)+LOOKUP(,-1/($Z$12:Z1127=1),$H$12:H1127)-SUM(INDIRECT("T"&amp;(MAX((1=Z$12:Z1126)*ROW(Z$12:Z1126),ROW($T$12))&amp;":T"&amp;(ROW()-1)))),Первоначальный[[#This Row],[Полученный платеж]]+Y1126),
S1126&gt;0,MIN(LOOKUP(,-1/($Z$12:Z1127=1),$C$12:C1127)+LOOKUP(,-1/($Z$12:Z1127=1),$H$12:H1127)-IF(Z1126=1,0,SUM(INDIRECT("T"&amp;(MAX((1=Z$12:Z1126)*ROW(Z$12:Z1126)+1,ROW($T$12))&amp;":T"&amp;(ROW()-1))))),Первоначальный[[#This Row],[Полученный платеж]]+Y1126)
)
)
)</f>
        <v>0</v>
      </c>
      <c r="U112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платеж]]+Y1126-Первоначальный[[#This Row],[Полученный платёж по процентам]])</f>
        <v>0</v>
      </c>
      <c r="V1127" s="55">
        <f t="shared" ca="1" si="207"/>
        <v>0</v>
      </c>
      <c r="W1127" s="55" cm="1">
        <f t="array" aca="1" ref="W1127" ca="1">IF(Первоначальный[[#This Row],[Итого остаток на начало периода]]&lt;1,0,
_xlfn.IFS(
AND(TYPE(VLOOKUP(1,$Z$12:Z1127,1,0))=16,Первоначальный[[#This Row],[Досрочное погашение (да/"")]]=""),0,
AND(S1126=0,Первоначальный[[#This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платеж]]+Y1126-SUM(Первоначальный[[#This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комиссиям]]),VLOOKUP(LOOKUP(,-1/($Z$12:Z1127=1),$A$12:A1127),График[[Срок конец]:[Возврат основной суммы долга]],3,0)),
AND(S1126=0,Первоначальный[[#This Row],[Дата платежа из графика]]="",Первоначальный[[#This Row],[Досрочное погашение (да/"")]]&lt;&gt;"Да"),0,
AND(S1126=0,Первоначальный[[#This Row],[Досрочное погашение (да/"")]]=""),MIN(Первоначальный[[#This Row],[Полученный платеж]]+Y1126-SUM(Первоначальный[[#This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комиссиям]]),VLOOKUP(LOOKUP(,-1/($Z$12:Z1127=1),$A$12:A1127),График[[Срок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платеж]]+Y1126-SUM(Первоначальный[[#This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S1126&gt;0,MIN(Первоначальный[[#This Row],[Полученный платеж]]+Y1126-SUM(Первоначальный[[#This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комиссиям]]),SUM(INDIRECT("M"&amp;(MAX((1=S$12:S1126)*ROW(S$12:S1126),ROW($W$12))&amp;":M"&amp;(ROW()))))-SUM(INDIRECT("W"&amp;(MAX((1=S$12:S1126)*ROW(S$12:S1126),ROW($W$12))&amp;":W"&amp;(ROW()-1)))))
)
)</f>
        <v>0</v>
      </c>
      <c r="X1127" s="55">
        <f t="shared" ca="1" si="208"/>
        <v>0</v>
      </c>
      <c r="Y1127" s="101">
        <f t="shared" ca="1" si="215"/>
        <v>0</v>
      </c>
      <c r="Z1127" s="133" t="str">
        <f>IF(TYPE((VLOOKUP(Первоначальный[[#This Row],[Дата платежа]],График[Срок конец],1,0)))=16,"",1)</f>
        <v/>
      </c>
      <c r="AA1127" s="57"/>
      <c r="AB1127" s="134"/>
      <c r="AC112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2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80994.829999999958</v>
      </c>
      <c r="AE112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4896.0899999999965</v>
      </c>
      <c r="AF112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2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257084.17885409782</v>
      </c>
      <c r="AH1127" s="55"/>
      <c r="AI1127" s="55"/>
      <c r="AJ1127" s="55"/>
      <c r="AK1127" s="101">
        <f t="shared" ca="1" si="216"/>
        <v>492608.43885409774</v>
      </c>
      <c r="AL1127" s="129">
        <f t="array" ref="AL1127">MAX((УслРестрактов[Характеристика]="Дата реструктуризации")*(УслРестрактов[Значение]=Первоначальный!$A1127),0)</f>
        <v>0</v>
      </c>
    </row>
    <row r="1128" spans="1:38" x14ac:dyDescent="0.25">
      <c r="A1128" s="97">
        <f t="shared" si="209"/>
        <v>45259</v>
      </c>
      <c r="B1128" s="100">
        <f t="shared" ca="1" si="210"/>
        <v>149633.34</v>
      </c>
      <c r="C1128" s="55">
        <f t="shared" ca="1" si="206"/>
        <v>80994.829999999958</v>
      </c>
      <c r="D1128" s="55">
        <f t="shared" ca="1" si="206"/>
        <v>4896.0899999999965</v>
      </c>
      <c r="E1128" s="55">
        <f t="shared" ca="1" si="211"/>
        <v>0</v>
      </c>
      <c r="F1128" s="55">
        <f t="shared" ca="1" si="212"/>
        <v>257084.17885409782</v>
      </c>
      <c r="G1128" s="101">
        <f t="shared" ca="1" si="213"/>
        <v>492608.43885409774</v>
      </c>
      <c r="H1128" s="100">
        <f ca="1">ROUND($B1128*VLOOKUP($A1128,$A$1:$B$10,2,1)/(365+IF(MOD(YEAR($A1128),4),0,1)*($A1128-$A1127)),2)-Первоначальный[[#This Row],[Проценты на просроченный платеж по ОД за период]]</f>
        <v>71.3</v>
      </c>
      <c r="I1128" s="55">
        <f t="shared" ca="1" si="214"/>
        <v>10.28</v>
      </c>
      <c r="J1128" s="55">
        <v>0</v>
      </c>
      <c r="K1128" s="55">
        <f t="shared" ca="1" si="217"/>
        <v>492.42350327868843</v>
      </c>
      <c r="L1128" s="55">
        <v>0</v>
      </c>
      <c r="M1128" s="113">
        <f>SUMIFS(График[Возврат основной суммы долга],График[Дата с учетом нерабочих дней],$A1128)</f>
        <v>0</v>
      </c>
      <c r="N1128" s="56">
        <f>SUMIFS(График[Возврат начисленных %],График[Дата с учетом нерабочих дней],$A1128)</f>
        <v>0</v>
      </c>
      <c r="O1128" s="101">
        <v>0</v>
      </c>
      <c r="P1128" s="100" cm="1">
        <f t="array" aca="1" ref="P1128" ca="1">MAX(IF(AA1127="Да",0,SUM(INDIRECT("M"&amp;(MAX(("Да"=AA$12:AA1127)*ROW(AA$12:AA1127)+1,ROW($P$12))&amp;":M"&amp;(ROW()))))-SUM(INDIRECT("W"&amp;(MAX(("Да"=AA$12:AA1127)*ROW(AA$12:AA1127)+1,ROW($P$12))&amp;":W"&amp;(ROW()))))),0)</f>
        <v>18847.86</v>
      </c>
      <c r="Q1128" s="99">
        <f ca="1">MAX(SUM($N$13:N1128)-SUM($T$13:T1128),0)</f>
        <v>79636.840655737687</v>
      </c>
      <c r="R1128" s="99">
        <f ca="1">Первоначальный[[#This Row],[Просроченный платеж по ОД]]+Первоначальный[[#This Row],[Просроченный платеж по процентам]]</f>
        <v>98484.700655737688</v>
      </c>
      <c r="S1128" s="120">
        <f ca="1">IF(Первоначальный[[#This Row],[Просроченный платеж]]&lt;1,0,S1127+1)</f>
        <v>1024</v>
      </c>
      <c r="T1128" s="100" cm="1">
        <f t="array" aca="1" ref="T1128" ca="1">IF(Первоначальный[[#This Row],[Итого остаток на начало периода]]&lt;1,0,
IF(
AND(TYPE(VLOOKUP(1,$Z$12:Z1128,1,0))=16,Первоначальный[[#This Row],[Досрочное погашение (да/"")]]=""),0,
_xlfn.IFS(AND(S1127=0,Первоначальный[[#This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платеж]]&lt;&gt;0),MIN(LOOKUP(,-1/($Z$12:Z1128=1),$C$12:C1128)+LOOKUP(,-1/($Z$12:Z1128=1),$H$12:H1128),Первоначальный[[#This Row],[Полученный платеж]]+Y1127),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платеж]]+Y1127,SUM(Первоначальный[[#This Row],[Остаток процентов на начало периода]],Первоначальный[[#This Row],[Проценты за период]])),
AND(S1127=0,Первоначальный[[#This Row],[Дата платежа из графика]]=""),0,
AND(S1127=0,Первоначальный[[#This Row],[Дата платежа из графика]]=1,MAX((0&lt;&gt;S$12:S1127)*ROW(S$12:S1127),ROW($S$12))&gt;=MAX((1=Z$12:Z1127)*ROW(Z$12:Z1127),ROW($T$12)),TYPE(VLOOKUP("Да",(INDIRECT("AA"&amp;(MAX((1=Z$12:Z1127)*ROW(Z$12:Z1127),ROW($T$12))&amp;":AA"&amp;(ROW()-1)))),1,0))=16),MIN(LOOKUP(,-1/($Z$12:Z1128=1),$C$12:C1128)+LOOKUP(,-1/($Z$12:Z1128=1),$H$12:H1128),Первоначальный[[#This Row],[Полученный платеж]]+Y1127),
AND(S1127=0,TYPE(VLOOKUP("Да",(INDIRECT("AA"&amp;(MAX((1=Z$12:Z1127)*ROW(Z$12:Z1127),ROW($T$12))&amp;":AA"&amp;(ROW()-1)))),1,0))&lt;&gt;16),MIN(LOOKUP(,-1/($Z$12:Z1128=1),$C$12:C1128)+LOOKUP(,-1/($Z$12:Z1128=1),$H$12:H1128)-IF(AA1127="Да",0,SUM(INDIRECT("T"&amp;(MAX(("Да"=AA$12:AA1127)*ROW(AA$12:AA1127)+1,ROW($T$12))&amp;":T"&amp;(ROW()-1))))),Первоначальный[[#This Row],[Полученный платеж]]+Y1127),
AND(S1127=0,MAX((0&lt;&gt;N$12:N1127)*ROW(N$12:N1127),ROW($S$12))&gt;=MAX((1=Z$12:Z1127)*ROW(Z$12:Z1127),ROW($T$12))),MIN(LOOKUP(,-1/($Z$12:Z1128=1),$C$12:C1128)+LOOKUP(,-1/($Z$12:Z1128=1),$H$12:H1128)-IF(N1127&lt;&gt;0,0,SUM(INDIRECT("T"&amp;(MAX((0&lt;&gt;N$12:N1127)*ROW(N$12:N1127)+1,ROW($T$12))&amp;":T"&amp;(ROW()-1))))),Первоначальный[[#This Row],[Полученный платеж]]+Y1127),
AND(S1127=0,Первоначальный[[#This Row],[Дата платежа из графика]]=1),MIN(LOOKUP(,-1/($Z$12:Z1128=1),$C$12:C1128)+LOOKUP(,-1/($Z$12:Z1128=1),$H$12:H1128)-IF(Z1127=1,0,SUM(INDIRECT("T"&amp;(MAX((1=Z$12:Z1127)*ROW(Z$12:Z1127)+1,ROW($T$12))&amp;":T"&amp;(ROW()-1))))),Первоначальный[[#This Row],[Полученный платеж]]+Y1127),
AND(Z1127&gt;0,Первоначальный[[#This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платеж]]+Y1127),
AND(S1127&gt;0,MAX((0&lt;&gt;S$12:S1127)*ROW(S$12:S1127),ROW($S$12))&gt;=MAX((1=Z$12:Z1127)*ROW(Z$12:Z1127),ROW($T$12)),TYPE(VLOOKUP("Да",(INDIRECT("AA"&amp;(MAX((1=Z$12:Z1127)*ROW(Z$12:Z1127),ROW($T$12))&amp;":AA"&amp;(ROW()-1)))),1,0))=16),MIN(LOOKUP(,-1/($Z$12:Z1128=1),$C$12:C1128)+LOOKUP(,-1/($Z$12:Z1128=1),$H$12:H1128)-SUM(INDIRECT("T"&amp;(MAX((1=Z$12:Z1127)*ROW(Z$12:Z1127),ROW($T$12))&amp;":T"&amp;(ROW()-1)))),Первоначальный[[#This Row],[Полученный платеж]]+Y1127),
S1127&gt;0,MIN(LOOKUP(,-1/($Z$12:Z1128=1),$C$12:C1128)+LOOKUP(,-1/($Z$12:Z1128=1),$H$12:H1128)-IF(Z1127=1,0,SUM(INDIRECT("T"&amp;(MAX((1=Z$12:Z1127)*ROW(Z$12:Z1127)+1,ROW($T$12))&amp;":T"&amp;(ROW()-1))))),Первоначальный[[#This Row],[Полученный платеж]]+Y1127)
)
)
)</f>
        <v>0</v>
      </c>
      <c r="U112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платеж]]+Y1127-Первоначальный[[#This Row],[Полученный платёж по процентам]])</f>
        <v>0</v>
      </c>
      <c r="V1128" s="55">
        <f t="shared" ca="1" si="207"/>
        <v>0</v>
      </c>
      <c r="W1128" s="55" cm="1">
        <f t="array" aca="1" ref="W1128" ca="1">IF(Первоначальный[[#This Row],[Итого остаток на начало периода]]&lt;1,0,
_xlfn.IFS(
AND(TYPE(VLOOKUP(1,$Z$12:Z1128,1,0))=16,Первоначальный[[#This Row],[Досрочное погашение (да/"")]]=""),0,
AND(S1127=0,Первоначальный[[#This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платеж]]+Y1127-SUM(Первоначальный[[#This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комиссиям]]),VLOOKUP(LOOKUP(,-1/($Z$12:Z1128=1),$A$12:A1128),График[[Срок конец]:[Возврат основной суммы долга]],3,0)),
AND(S1127=0,Первоначальный[[#This Row],[Дата платежа из графика]]="",Первоначальный[[#This Row],[Досрочное погашение (да/"")]]&lt;&gt;"Да"),0,
AND(S1127=0,Первоначальный[[#This Row],[Досрочное погашение (да/"")]]=""),MIN(Первоначальный[[#This Row],[Полученный платеж]]+Y1127-SUM(Первоначальный[[#This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комиссиям]]),VLOOKUP(LOOKUP(,-1/($Z$12:Z1128=1),$A$12:A1128),График[[Срок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платеж]]+Y1127-SUM(Первоначальный[[#This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S1127&gt;0,MIN(Первоначальный[[#This Row],[Полученный платеж]]+Y1127-SUM(Первоначальный[[#This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комиссиям]]),SUM(INDIRECT("M"&amp;(MAX((1=S$12:S1127)*ROW(S$12:S1127),ROW($W$12))&amp;":M"&amp;(ROW()))))-SUM(INDIRECT("W"&amp;(MAX((1=S$12:S1127)*ROW(S$12:S1127),ROW($W$12))&amp;":W"&amp;(ROW()-1)))))
)
)</f>
        <v>0</v>
      </c>
      <c r="X1128" s="55">
        <f t="shared" ca="1" si="208"/>
        <v>0</v>
      </c>
      <c r="Y1128" s="101">
        <f t="shared" ca="1" si="215"/>
        <v>0</v>
      </c>
      <c r="Z1128" s="133" t="str">
        <f>IF(TYPE((VLOOKUP(Первоначальный[[#This Row],[Дата платежа]],График[Срок конец],1,0)))=16,"",1)</f>
        <v/>
      </c>
      <c r="AA1128" s="57"/>
      <c r="AB1128" s="134"/>
      <c r="AC112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2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81066.129999999961</v>
      </c>
      <c r="AE112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4906.3699999999963</v>
      </c>
      <c r="AF112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2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257576.60235737651</v>
      </c>
      <c r="AH1128" s="55"/>
      <c r="AI1128" s="55"/>
      <c r="AJ1128" s="55"/>
      <c r="AK1128" s="101">
        <f t="shared" ca="1" si="216"/>
        <v>493182.44235737645</v>
      </c>
      <c r="AL1128" s="129">
        <f t="array" ref="AL1128">MAX((УслРестрактов[Характеристика]="Дата реструктуризации")*(УслРестрактов[Значение]=Первоначальный!$A1128),0)</f>
        <v>0</v>
      </c>
    </row>
    <row r="1129" spans="1:38" x14ac:dyDescent="0.25">
      <c r="A1129" s="97">
        <f t="shared" si="209"/>
        <v>45260</v>
      </c>
      <c r="B1129" s="100">
        <f t="shared" ca="1" si="210"/>
        <v>149633.34</v>
      </c>
      <c r="C1129" s="55">
        <f t="shared" ca="1" si="206"/>
        <v>81066.129999999961</v>
      </c>
      <c r="D1129" s="55">
        <f t="shared" ca="1" si="206"/>
        <v>4906.3699999999963</v>
      </c>
      <c r="E1129" s="55">
        <f t="shared" ca="1" si="211"/>
        <v>0</v>
      </c>
      <c r="F1129" s="55">
        <f t="shared" ca="1" si="212"/>
        <v>257576.60235737651</v>
      </c>
      <c r="G1129" s="101">
        <f t="shared" ca="1" si="213"/>
        <v>493182.44235737645</v>
      </c>
      <c r="H1129" s="100">
        <f ca="1">ROUND($B1129*VLOOKUP($A1129,$A$1:$B$10,2,1)/(365+IF(MOD(YEAR($A1129),4),0,1)*($A1129-$A1128)),2)-Первоначальный[[#This Row],[Проценты на просроченный платеж по ОД за период]]</f>
        <v>71.3</v>
      </c>
      <c r="I1129" s="55">
        <f t="shared" ca="1" si="214"/>
        <v>10.28</v>
      </c>
      <c r="J1129" s="55">
        <v>0</v>
      </c>
      <c r="K1129" s="55">
        <f t="shared" ca="1" si="217"/>
        <v>492.42350327868843</v>
      </c>
      <c r="L1129" s="55">
        <v>0</v>
      </c>
      <c r="M1129" s="113">
        <f>SUMIFS(График[Возврат основной суммы долга],График[Дата с учетом нерабочих дней],$A1129)</f>
        <v>0</v>
      </c>
      <c r="N1129" s="56">
        <f>SUMIFS(График[Возврат начисленных %],График[Дата с учетом нерабочих дней],$A1129)</f>
        <v>0</v>
      </c>
      <c r="O1129" s="101">
        <v>0</v>
      </c>
      <c r="P1129" s="100" cm="1">
        <f t="array" aca="1" ref="P1129" ca="1">MAX(IF(AA1128="Да",0,SUM(INDIRECT("M"&amp;(MAX(("Да"=AA$12:AA1128)*ROW(AA$12:AA1128)+1,ROW($P$12))&amp;":M"&amp;(ROW()))))-SUM(INDIRECT("W"&amp;(MAX(("Да"=AA$12:AA1128)*ROW(AA$12:AA1128)+1,ROW($P$12))&amp;":W"&amp;(ROW()))))),0)</f>
        <v>18847.86</v>
      </c>
      <c r="Q1129" s="99">
        <f ca="1">MAX(SUM($N$13:N1129)-SUM($T$13:T1129),0)</f>
        <v>79636.840655737687</v>
      </c>
      <c r="R1129" s="99">
        <f ca="1">Первоначальный[[#This Row],[Просроченный платеж по ОД]]+Первоначальный[[#This Row],[Просроченный платеж по процентам]]</f>
        <v>98484.700655737688</v>
      </c>
      <c r="S1129" s="120">
        <f ca="1">IF(Первоначальный[[#This Row],[Просроченный платеж]]&lt;1,0,S1128+1)</f>
        <v>1025</v>
      </c>
      <c r="T1129" s="100" cm="1">
        <f t="array" aca="1" ref="T1129" ca="1">IF(Первоначальный[[#This Row],[Итого остаток на начало периода]]&lt;1,0,
IF(
AND(TYPE(VLOOKUP(1,$Z$12:Z1129,1,0))=16,Первоначальный[[#This Row],[Досрочное погашение (да/"")]]=""),0,
_xlfn.IFS(AND(S1128=0,Первоначальный[[#This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платеж]]&lt;&gt;0),MIN(LOOKUP(,-1/($Z$12:Z1129=1),$C$12:C1129)+LOOKUP(,-1/($Z$12:Z1129=1),$H$12:H1129),Первоначальный[[#This Row],[Полученный платеж]]+Y1128),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платеж]]+Y1128,SUM(Первоначальный[[#This Row],[Остаток процентов на начало периода]],Первоначальный[[#This Row],[Проценты за период]])),
AND(S1128=0,Первоначальный[[#This Row],[Дата платежа из графика]]=""),0,
AND(S1128=0,Первоначальный[[#This Row],[Дата платежа из графика]]=1,MAX((0&lt;&gt;S$12:S1128)*ROW(S$12:S1128),ROW($S$12))&gt;=MAX((1=Z$12:Z1128)*ROW(Z$12:Z1128),ROW($T$12)),TYPE(VLOOKUP("Да",(INDIRECT("AA"&amp;(MAX((1=Z$12:Z1128)*ROW(Z$12:Z1128),ROW($T$12))&amp;":AA"&amp;(ROW()-1)))),1,0))=16),MIN(LOOKUP(,-1/($Z$12:Z1129=1),$C$12:C1129)+LOOKUP(,-1/($Z$12:Z1129=1),$H$12:H1129),Первоначальный[[#This Row],[Полученный платеж]]+Y1128),
AND(S1128=0,TYPE(VLOOKUP("Да",(INDIRECT("AA"&amp;(MAX((1=Z$12:Z1128)*ROW(Z$12:Z1128),ROW($T$12))&amp;":AA"&amp;(ROW()-1)))),1,0))&lt;&gt;16),MIN(LOOKUP(,-1/($Z$12:Z1129=1),$C$12:C1129)+LOOKUP(,-1/($Z$12:Z1129=1),$H$12:H1129)-IF(AA1128="Да",0,SUM(INDIRECT("T"&amp;(MAX(("Да"=AA$12:AA1128)*ROW(AA$12:AA1128)+1,ROW($T$12))&amp;":T"&amp;(ROW()-1))))),Первоначальный[[#This Row],[Полученный платеж]]+Y1128),
AND(S1128=0,MAX((0&lt;&gt;N$12:N1128)*ROW(N$12:N1128),ROW($S$12))&gt;=MAX((1=Z$12:Z1128)*ROW(Z$12:Z1128),ROW($T$12))),MIN(LOOKUP(,-1/($Z$12:Z1129=1),$C$12:C1129)+LOOKUP(,-1/($Z$12:Z1129=1),$H$12:H1129)-IF(N1128&lt;&gt;0,0,SUM(INDIRECT("T"&amp;(MAX((0&lt;&gt;N$12:N1128)*ROW(N$12:N1128)+1,ROW($T$12))&amp;":T"&amp;(ROW()-1))))),Первоначальный[[#This Row],[Полученный платеж]]+Y1128),
AND(S1128=0,Первоначальный[[#This Row],[Дата платежа из графика]]=1),MIN(LOOKUP(,-1/($Z$12:Z1129=1),$C$12:C1129)+LOOKUP(,-1/($Z$12:Z1129=1),$H$12:H1129)-IF(Z1128=1,0,SUM(INDIRECT("T"&amp;(MAX((1=Z$12:Z1128)*ROW(Z$12:Z1128)+1,ROW($T$12))&amp;":T"&amp;(ROW()-1))))),Первоначальный[[#This Row],[Полученный платеж]]+Y1128),
AND(Z1128&gt;0,Первоначальный[[#This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платеж]]+Y1128),
AND(S1128&gt;0,MAX((0&lt;&gt;S$12:S1128)*ROW(S$12:S1128),ROW($S$12))&gt;=MAX((1=Z$12:Z1128)*ROW(Z$12:Z1128),ROW($T$12)),TYPE(VLOOKUP("Да",(INDIRECT("AA"&amp;(MAX((1=Z$12:Z1128)*ROW(Z$12:Z1128),ROW($T$12))&amp;":AA"&amp;(ROW()-1)))),1,0))=16),MIN(LOOKUP(,-1/($Z$12:Z1129=1),$C$12:C1129)+LOOKUP(,-1/($Z$12:Z1129=1),$H$12:H1129)-SUM(INDIRECT("T"&amp;(MAX((1=Z$12:Z1128)*ROW(Z$12:Z1128),ROW($T$12))&amp;":T"&amp;(ROW()-1)))),Первоначальный[[#This Row],[Полученный платеж]]+Y1128),
S1128&gt;0,MIN(LOOKUP(,-1/($Z$12:Z1129=1),$C$12:C1129)+LOOKUP(,-1/($Z$12:Z1129=1),$H$12:H1129)-IF(Z1128=1,0,SUM(INDIRECT("T"&amp;(MAX((1=Z$12:Z1128)*ROW(Z$12:Z1128)+1,ROW($T$12))&amp;":T"&amp;(ROW()-1))))),Первоначальный[[#This Row],[Полученный платеж]]+Y1128)
)
)
)</f>
        <v>0</v>
      </c>
      <c r="U112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платеж]]+Y1128-Первоначальный[[#This Row],[Полученный платёж по процентам]])</f>
        <v>0</v>
      </c>
      <c r="V1129" s="55">
        <f t="shared" ca="1" si="207"/>
        <v>0</v>
      </c>
      <c r="W1129" s="55" cm="1">
        <f t="array" aca="1" ref="W1129" ca="1">IF(Первоначальный[[#This Row],[Итого остаток на начало периода]]&lt;1,0,
_xlfn.IFS(
AND(TYPE(VLOOKUP(1,$Z$12:Z1129,1,0))=16,Первоначальный[[#This Row],[Досрочное погашение (да/"")]]=""),0,
AND(S1128=0,Первоначальный[[#This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платеж]]+Y1128-SUM(Первоначальный[[#This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комиссиям]]),VLOOKUP(LOOKUP(,-1/($Z$12:Z1129=1),$A$12:A1129),График[[Срок конец]:[Возврат основной суммы долга]],3,0)),
AND(S1128=0,Первоначальный[[#This Row],[Дата платежа из графика]]="",Первоначальный[[#This Row],[Досрочное погашение (да/"")]]&lt;&gt;"Да"),0,
AND(S1128=0,Первоначальный[[#This Row],[Досрочное погашение (да/"")]]=""),MIN(Первоначальный[[#This Row],[Полученный платеж]]+Y1128-SUM(Первоначальный[[#This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комиссиям]]),VLOOKUP(LOOKUP(,-1/($Z$12:Z1129=1),$A$12:A1129),График[[Срок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платеж]]+Y1128-SUM(Первоначальный[[#This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S1128&gt;0,MIN(Первоначальный[[#This Row],[Полученный платеж]]+Y1128-SUM(Первоначальный[[#This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комиссиям]]),SUM(INDIRECT("M"&amp;(MAX((1=S$12:S1128)*ROW(S$12:S1128),ROW($W$12))&amp;":M"&amp;(ROW()))))-SUM(INDIRECT("W"&amp;(MAX((1=S$12:S1128)*ROW(S$12:S1128),ROW($W$12))&amp;":W"&amp;(ROW()-1)))))
)
)</f>
        <v>0</v>
      </c>
      <c r="X1129" s="55">
        <f t="shared" ca="1" si="208"/>
        <v>0</v>
      </c>
      <c r="Y1129" s="101">
        <f t="shared" ca="1" si="215"/>
        <v>0</v>
      </c>
      <c r="Z1129" s="133" t="str">
        <f>IF(TYPE((VLOOKUP(Первоначальный[[#This Row],[Дата платежа]],График[Срок конец],1,0)))=16,"",1)</f>
        <v/>
      </c>
      <c r="AA1129" s="57"/>
      <c r="AB1129" s="134"/>
      <c r="AC112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2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81137.429999999964</v>
      </c>
      <c r="AE112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4916.649999999996</v>
      </c>
      <c r="AF112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2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258069.02586065521</v>
      </c>
      <c r="AH1129" s="55"/>
      <c r="AI1129" s="55"/>
      <c r="AJ1129" s="55"/>
      <c r="AK1129" s="101">
        <f t="shared" ca="1" si="216"/>
        <v>493756.44586065516</v>
      </c>
      <c r="AL1129" s="129">
        <f t="array" ref="AL1129">MAX((УслРестрактов[Характеристика]="Дата реструктуризации")*(УслРестрактов[Значение]=Первоначальный!$A1129),0)</f>
        <v>0</v>
      </c>
    </row>
    <row r="1130" spans="1:38" x14ac:dyDescent="0.25">
      <c r="A1130" s="97">
        <f t="shared" si="209"/>
        <v>45261</v>
      </c>
      <c r="B1130" s="100">
        <f t="shared" ca="1" si="210"/>
        <v>149633.34</v>
      </c>
      <c r="C1130" s="55">
        <f t="shared" ca="1" si="206"/>
        <v>81137.429999999964</v>
      </c>
      <c r="D1130" s="55">
        <f t="shared" ca="1" si="206"/>
        <v>4916.649999999996</v>
      </c>
      <c r="E1130" s="55">
        <f t="shared" ca="1" si="211"/>
        <v>0</v>
      </c>
      <c r="F1130" s="55">
        <f t="shared" ca="1" si="212"/>
        <v>258069.02586065521</v>
      </c>
      <c r="G1130" s="101">
        <f t="shared" ca="1" si="213"/>
        <v>493756.44586065516</v>
      </c>
      <c r="H1130" s="100">
        <f ca="1">ROUND($B1130*VLOOKUP($A1130,$A$1:$B$10,2,1)/(365+IF(MOD(YEAR($A1130),4),0,1)*($A1130-$A1129)),2)-Первоначальный[[#This Row],[Проценты на просроченный платеж по ОД за период]]</f>
        <v>71.3</v>
      </c>
      <c r="I1130" s="55">
        <f t="shared" ca="1" si="214"/>
        <v>10.28</v>
      </c>
      <c r="J1130" s="55">
        <v>0</v>
      </c>
      <c r="K1130" s="55">
        <f t="shared" ca="1" si="217"/>
        <v>492.42350327868843</v>
      </c>
      <c r="L1130" s="55">
        <v>0</v>
      </c>
      <c r="M1130" s="113">
        <f>SUMIFS(График[Возврат основной суммы долга],График[Дата с учетом нерабочих дней],$A1130)</f>
        <v>0</v>
      </c>
      <c r="N1130" s="56">
        <f>SUMIFS(График[Возврат начисленных %],График[Дата с учетом нерабочих дней],$A1130)</f>
        <v>0</v>
      </c>
      <c r="O1130" s="101">
        <v>0</v>
      </c>
      <c r="P1130" s="100" cm="1">
        <f t="array" aca="1" ref="P1130" ca="1">MAX(IF(AA1129="Да",0,SUM(INDIRECT("M"&amp;(MAX(("Да"=AA$12:AA1129)*ROW(AA$12:AA1129)+1,ROW($P$12))&amp;":M"&amp;(ROW()))))-SUM(INDIRECT("W"&amp;(MAX(("Да"=AA$12:AA1129)*ROW(AA$12:AA1129)+1,ROW($P$12))&amp;":W"&amp;(ROW()))))),0)</f>
        <v>18847.86</v>
      </c>
      <c r="Q1130" s="99">
        <f ca="1">MAX(SUM($N$13:N1130)-SUM($T$13:T1130),0)</f>
        <v>79636.840655737687</v>
      </c>
      <c r="R1130" s="99">
        <f ca="1">Первоначальный[[#This Row],[Просроченный платеж по ОД]]+Первоначальный[[#This Row],[Просроченный платеж по процентам]]</f>
        <v>98484.700655737688</v>
      </c>
      <c r="S1130" s="120">
        <f ca="1">IF(Первоначальный[[#This Row],[Просроченный платеж]]&lt;1,0,S1129+1)</f>
        <v>1026</v>
      </c>
      <c r="T1130" s="100" cm="1">
        <f t="array" aca="1" ref="T1130" ca="1">IF(Первоначальный[[#This Row],[Итого остаток на начало периода]]&lt;1,0,
IF(
AND(TYPE(VLOOKUP(1,$Z$12:Z1130,1,0))=16,Первоначальный[[#This Row],[Досрочное погашение (да/"")]]=""),0,
_xlfn.IFS(AND(S1129=0,Первоначальный[[#This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платеж]]&lt;&gt;0),MIN(LOOKUP(,-1/($Z$12:Z1130=1),$C$12:C1130)+LOOKUP(,-1/($Z$12:Z1130=1),$H$12:H1130),Первоначальный[[#This Row],[Полученный платеж]]+Y1129),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платеж]]+Y1129,SUM(Первоначальный[[#This Row],[Остаток процентов на начало периода]],Первоначальный[[#This Row],[Проценты за период]])),
AND(S1129=0,Первоначальный[[#This Row],[Дата платежа из графика]]=""),0,
AND(S1129=0,Первоначальный[[#This Row],[Дата платежа из графика]]=1,MAX((0&lt;&gt;S$12:S1129)*ROW(S$12:S1129),ROW($S$12))&gt;=MAX((1=Z$12:Z1129)*ROW(Z$12:Z1129),ROW($T$12)),TYPE(VLOOKUP("Да",(INDIRECT("AA"&amp;(MAX((1=Z$12:Z1129)*ROW(Z$12:Z1129),ROW($T$12))&amp;":AA"&amp;(ROW()-1)))),1,0))=16),MIN(LOOKUP(,-1/($Z$12:Z1130=1),$C$12:C1130)+LOOKUP(,-1/($Z$12:Z1130=1),$H$12:H1130),Первоначальный[[#This Row],[Полученный платеж]]+Y1129),
AND(S1129=0,TYPE(VLOOKUP("Да",(INDIRECT("AA"&amp;(MAX((1=Z$12:Z1129)*ROW(Z$12:Z1129),ROW($T$12))&amp;":AA"&amp;(ROW()-1)))),1,0))&lt;&gt;16),MIN(LOOKUP(,-1/($Z$12:Z1130=1),$C$12:C1130)+LOOKUP(,-1/($Z$12:Z1130=1),$H$12:H1130)-IF(AA1129="Да",0,SUM(INDIRECT("T"&amp;(MAX(("Да"=AA$12:AA1129)*ROW(AA$12:AA1129)+1,ROW($T$12))&amp;":T"&amp;(ROW()-1))))),Первоначальный[[#This Row],[Полученный платеж]]+Y1129),
AND(S1129=0,MAX((0&lt;&gt;N$12:N1129)*ROW(N$12:N1129),ROW($S$12))&gt;=MAX((1=Z$12:Z1129)*ROW(Z$12:Z1129),ROW($T$12))),MIN(LOOKUP(,-1/($Z$12:Z1130=1),$C$12:C1130)+LOOKUP(,-1/($Z$12:Z1130=1),$H$12:H1130)-IF(N1129&lt;&gt;0,0,SUM(INDIRECT("T"&amp;(MAX((0&lt;&gt;N$12:N1129)*ROW(N$12:N1129)+1,ROW($T$12))&amp;":T"&amp;(ROW()-1))))),Первоначальный[[#This Row],[Полученный платеж]]+Y1129),
AND(S1129=0,Первоначальный[[#This Row],[Дата платежа из графика]]=1),MIN(LOOKUP(,-1/($Z$12:Z1130=1),$C$12:C1130)+LOOKUP(,-1/($Z$12:Z1130=1),$H$12:H1130)-IF(Z1129=1,0,SUM(INDIRECT("T"&amp;(MAX((1=Z$12:Z1129)*ROW(Z$12:Z1129)+1,ROW($T$12))&amp;":T"&amp;(ROW()-1))))),Первоначальный[[#This Row],[Полученный платеж]]+Y1129),
AND(Z1129&gt;0,Первоначальный[[#This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платеж]]+Y1129),
AND(S1129&gt;0,MAX((0&lt;&gt;S$12:S1129)*ROW(S$12:S1129),ROW($S$12))&gt;=MAX((1=Z$12:Z1129)*ROW(Z$12:Z1129),ROW($T$12)),TYPE(VLOOKUP("Да",(INDIRECT("AA"&amp;(MAX((1=Z$12:Z1129)*ROW(Z$12:Z1129),ROW($T$12))&amp;":AA"&amp;(ROW()-1)))),1,0))=16),MIN(LOOKUP(,-1/($Z$12:Z1130=1),$C$12:C1130)+LOOKUP(,-1/($Z$12:Z1130=1),$H$12:H1130)-SUM(INDIRECT("T"&amp;(MAX((1=Z$12:Z1129)*ROW(Z$12:Z1129),ROW($T$12))&amp;":T"&amp;(ROW()-1)))),Первоначальный[[#This Row],[Полученный платеж]]+Y1129),
S1129&gt;0,MIN(LOOKUP(,-1/($Z$12:Z1130=1),$C$12:C1130)+LOOKUP(,-1/($Z$12:Z1130=1),$H$12:H1130)-IF(Z1129=1,0,SUM(INDIRECT("T"&amp;(MAX((1=Z$12:Z1129)*ROW(Z$12:Z1129)+1,ROW($T$12))&amp;":T"&amp;(ROW()-1))))),Первоначальный[[#This Row],[Полученный платеж]]+Y1129)
)
)
)</f>
        <v>0</v>
      </c>
      <c r="U113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платеж]]+Y1129-Первоначальный[[#This Row],[Полученный платёж по процентам]])</f>
        <v>0</v>
      </c>
      <c r="V1130" s="55">
        <f t="shared" ca="1" si="207"/>
        <v>0</v>
      </c>
      <c r="W1130" s="55" cm="1">
        <f t="array" aca="1" ref="W1130" ca="1">IF(Первоначальный[[#This Row],[Итого остаток на начало периода]]&lt;1,0,
_xlfn.IFS(
AND(TYPE(VLOOKUP(1,$Z$12:Z1130,1,0))=16,Первоначальный[[#This Row],[Досрочное погашение (да/"")]]=""),0,
AND(S1129=0,Первоначальный[[#This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платеж]]+Y1129-SUM(Первоначальный[[#This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комиссиям]]),VLOOKUP(LOOKUP(,-1/($Z$12:Z1130=1),$A$12:A1130),График[[Срок конец]:[Возврат основной суммы долга]],3,0)),
AND(S1129=0,Первоначальный[[#This Row],[Дата платежа из графика]]="",Первоначальный[[#This Row],[Досрочное погашение (да/"")]]&lt;&gt;"Да"),0,
AND(S1129=0,Первоначальный[[#This Row],[Досрочное погашение (да/"")]]=""),MIN(Первоначальный[[#This Row],[Полученный платеж]]+Y1129-SUM(Первоначальный[[#This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комиссиям]]),VLOOKUP(LOOKUP(,-1/($Z$12:Z1130=1),$A$12:A1130),График[[Срок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платеж]]+Y1129-SUM(Первоначальный[[#This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S1129&gt;0,MIN(Первоначальный[[#This Row],[Полученный платеж]]+Y1129-SUM(Первоначальный[[#This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комиссиям]]),SUM(INDIRECT("M"&amp;(MAX((1=S$12:S1129)*ROW(S$12:S1129),ROW($W$12))&amp;":M"&amp;(ROW()))))-SUM(INDIRECT("W"&amp;(MAX((1=S$12:S1129)*ROW(S$12:S1129),ROW($W$12))&amp;":W"&amp;(ROW()-1)))))
)
)</f>
        <v>0</v>
      </c>
      <c r="X1130" s="55">
        <f t="shared" ca="1" si="208"/>
        <v>0</v>
      </c>
      <c r="Y1130" s="101">
        <f t="shared" ca="1" si="215"/>
        <v>0</v>
      </c>
      <c r="Z1130" s="133" t="str">
        <f>IF(TYPE((VLOOKUP(Первоначальный[[#This Row],[Дата платежа]],График[Срок конец],1,0)))=16,"",1)</f>
        <v/>
      </c>
      <c r="AA1130" s="57"/>
      <c r="AB1130" s="134"/>
      <c r="AC113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3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81208.729999999967</v>
      </c>
      <c r="AE113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4926.9299999999957</v>
      </c>
      <c r="AF113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3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258561.44936393391</v>
      </c>
      <c r="AH1130" s="55"/>
      <c r="AI1130" s="55"/>
      <c r="AJ1130" s="55"/>
      <c r="AK1130" s="101">
        <f t="shared" ca="1" si="216"/>
        <v>494330.44936393388</v>
      </c>
      <c r="AL1130" s="129">
        <f t="array" ref="AL1130">MAX((УслРестрактов[Характеристика]="Дата реструктуризации")*(УслРестрактов[Значение]=Первоначальный!$A1130),0)</f>
        <v>0</v>
      </c>
    </row>
    <row r="1131" spans="1:38" x14ac:dyDescent="0.25">
      <c r="A1131" s="97">
        <f t="shared" si="209"/>
        <v>45262</v>
      </c>
      <c r="B1131" s="100">
        <f t="shared" ca="1" si="210"/>
        <v>149633.34</v>
      </c>
      <c r="C1131" s="55">
        <f t="shared" ca="1" si="206"/>
        <v>81208.729999999967</v>
      </c>
      <c r="D1131" s="55">
        <f t="shared" ca="1" si="206"/>
        <v>4926.9299999999957</v>
      </c>
      <c r="E1131" s="55">
        <f t="shared" ca="1" si="211"/>
        <v>0</v>
      </c>
      <c r="F1131" s="55">
        <f t="shared" ca="1" si="212"/>
        <v>258561.44936393391</v>
      </c>
      <c r="G1131" s="101">
        <f t="shared" ca="1" si="213"/>
        <v>494330.44936393388</v>
      </c>
      <c r="H1131" s="100">
        <f ca="1">ROUND($B1131*VLOOKUP($A1131,$A$1:$B$10,2,1)/(365+IF(MOD(YEAR($A1131),4),0,1)*($A1131-$A1130)),2)-Первоначальный[[#This Row],[Проценты на просроченный платеж по ОД за период]]</f>
        <v>71.3</v>
      </c>
      <c r="I1131" s="55">
        <f t="shared" ca="1" si="214"/>
        <v>10.28</v>
      </c>
      <c r="J1131" s="55">
        <v>0</v>
      </c>
      <c r="K1131" s="55">
        <f t="shared" ca="1" si="217"/>
        <v>492.42350327868843</v>
      </c>
      <c r="L1131" s="55">
        <v>0</v>
      </c>
      <c r="M1131" s="113">
        <f>SUMIFS(График[Возврат основной суммы долга],График[Дата с учетом нерабочих дней],$A1131)</f>
        <v>0</v>
      </c>
      <c r="N1131" s="56">
        <f>SUMIFS(График[Возврат начисленных %],График[Дата с учетом нерабочих дней],$A1131)</f>
        <v>0</v>
      </c>
      <c r="O1131" s="101">
        <v>0</v>
      </c>
      <c r="P1131" s="100" cm="1">
        <f t="array" aca="1" ref="P1131" ca="1">MAX(IF(AA1130="Да",0,SUM(INDIRECT("M"&amp;(MAX(("Да"=AA$12:AA1130)*ROW(AA$12:AA1130)+1,ROW($P$12))&amp;":M"&amp;(ROW()))))-SUM(INDIRECT("W"&amp;(MAX(("Да"=AA$12:AA1130)*ROW(AA$12:AA1130)+1,ROW($P$12))&amp;":W"&amp;(ROW()))))),0)</f>
        <v>18847.86</v>
      </c>
      <c r="Q1131" s="99">
        <f ca="1">MAX(SUM($N$13:N1131)-SUM($T$13:T1131),0)</f>
        <v>79636.840655737687</v>
      </c>
      <c r="R1131" s="99">
        <f ca="1">Первоначальный[[#This Row],[Просроченный платеж по ОД]]+Первоначальный[[#This Row],[Просроченный платеж по процентам]]</f>
        <v>98484.700655737688</v>
      </c>
      <c r="S1131" s="120">
        <f ca="1">IF(Первоначальный[[#This Row],[Просроченный платеж]]&lt;1,0,S1130+1)</f>
        <v>1027</v>
      </c>
      <c r="T1131" s="100" cm="1">
        <f t="array" aca="1" ref="T1131" ca="1">IF(Первоначальный[[#This Row],[Итого остаток на начало периода]]&lt;1,0,
IF(
AND(TYPE(VLOOKUP(1,$Z$12:Z1131,1,0))=16,Первоначальный[[#This Row],[Досрочное погашение (да/"")]]=""),0,
_xlfn.IFS(AND(S1130=0,Первоначальный[[#This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платеж]]&lt;&gt;0),MIN(LOOKUP(,-1/($Z$12:Z1131=1),$C$12:C1131)+LOOKUP(,-1/($Z$12:Z1131=1),$H$12:H1131),Первоначальный[[#This Row],[Полученный платеж]]+Y1130),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платеж]]+Y1130,SUM(Первоначальный[[#This Row],[Остаток процентов на начало периода]],Первоначальный[[#This Row],[Проценты за период]])),
AND(S1130=0,Первоначальный[[#This Row],[Дата платежа из графика]]=""),0,
AND(S1130=0,Первоначальный[[#This Row],[Дата платежа из графика]]=1,MAX((0&lt;&gt;S$12:S1130)*ROW(S$12:S1130),ROW($S$12))&gt;=MAX((1=Z$12:Z1130)*ROW(Z$12:Z1130),ROW($T$12)),TYPE(VLOOKUP("Да",(INDIRECT("AA"&amp;(MAX((1=Z$12:Z1130)*ROW(Z$12:Z1130),ROW($T$12))&amp;":AA"&amp;(ROW()-1)))),1,0))=16),MIN(LOOKUP(,-1/($Z$12:Z1131=1),$C$12:C1131)+LOOKUP(,-1/($Z$12:Z1131=1),$H$12:H1131),Первоначальный[[#This Row],[Полученный платеж]]+Y1130),
AND(S1130=0,TYPE(VLOOKUP("Да",(INDIRECT("AA"&amp;(MAX((1=Z$12:Z1130)*ROW(Z$12:Z1130),ROW($T$12))&amp;":AA"&amp;(ROW()-1)))),1,0))&lt;&gt;16),MIN(LOOKUP(,-1/($Z$12:Z1131=1),$C$12:C1131)+LOOKUP(,-1/($Z$12:Z1131=1),$H$12:H1131)-IF(AA1130="Да",0,SUM(INDIRECT("T"&amp;(MAX(("Да"=AA$12:AA1130)*ROW(AA$12:AA1130)+1,ROW($T$12))&amp;":T"&amp;(ROW()-1))))),Первоначальный[[#This Row],[Полученный платеж]]+Y1130),
AND(S1130=0,MAX((0&lt;&gt;N$12:N1130)*ROW(N$12:N1130),ROW($S$12))&gt;=MAX((1=Z$12:Z1130)*ROW(Z$12:Z1130),ROW($T$12))),MIN(LOOKUP(,-1/($Z$12:Z1131=1),$C$12:C1131)+LOOKUP(,-1/($Z$12:Z1131=1),$H$12:H1131)-IF(N1130&lt;&gt;0,0,SUM(INDIRECT("T"&amp;(MAX((0&lt;&gt;N$12:N1130)*ROW(N$12:N1130)+1,ROW($T$12))&amp;":T"&amp;(ROW()-1))))),Первоначальный[[#This Row],[Полученный платеж]]+Y1130),
AND(S1130=0,Первоначальный[[#This Row],[Дата платежа из графика]]=1),MIN(LOOKUP(,-1/($Z$12:Z1131=1),$C$12:C1131)+LOOKUP(,-1/($Z$12:Z1131=1),$H$12:H1131)-IF(Z1130=1,0,SUM(INDIRECT("T"&amp;(MAX((1=Z$12:Z1130)*ROW(Z$12:Z1130)+1,ROW($T$12))&amp;":T"&amp;(ROW()-1))))),Первоначальный[[#This Row],[Полученный платеж]]+Y1130),
AND(Z1130&gt;0,Первоначальный[[#This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платеж]]+Y1130),
AND(S1130&gt;0,MAX((0&lt;&gt;S$12:S1130)*ROW(S$12:S1130),ROW($S$12))&gt;=MAX((1=Z$12:Z1130)*ROW(Z$12:Z1130),ROW($T$12)),TYPE(VLOOKUP("Да",(INDIRECT("AA"&amp;(MAX((1=Z$12:Z1130)*ROW(Z$12:Z1130),ROW($T$12))&amp;":AA"&amp;(ROW()-1)))),1,0))=16),MIN(LOOKUP(,-1/($Z$12:Z1131=1),$C$12:C1131)+LOOKUP(,-1/($Z$12:Z1131=1),$H$12:H1131)-SUM(INDIRECT("T"&amp;(MAX((1=Z$12:Z1130)*ROW(Z$12:Z1130),ROW($T$12))&amp;":T"&amp;(ROW()-1)))),Первоначальный[[#This Row],[Полученный платеж]]+Y1130),
S1130&gt;0,MIN(LOOKUP(,-1/($Z$12:Z1131=1),$C$12:C1131)+LOOKUP(,-1/($Z$12:Z1131=1),$H$12:H1131)-IF(Z1130=1,0,SUM(INDIRECT("T"&amp;(MAX((1=Z$12:Z1130)*ROW(Z$12:Z1130)+1,ROW($T$12))&amp;":T"&amp;(ROW()-1))))),Первоначальный[[#This Row],[Полученный платеж]]+Y1130)
)
)
)</f>
        <v>0</v>
      </c>
      <c r="U113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платеж]]+Y1130-Первоначальный[[#This Row],[Полученный платёж по процентам]])</f>
        <v>0</v>
      </c>
      <c r="V1131" s="55">
        <f t="shared" ca="1" si="207"/>
        <v>0</v>
      </c>
      <c r="W1131" s="55" cm="1">
        <f t="array" aca="1" ref="W1131" ca="1">IF(Первоначальный[[#This Row],[Итого остаток на начало периода]]&lt;1,0,
_xlfn.IFS(
AND(TYPE(VLOOKUP(1,$Z$12:Z1131,1,0))=16,Первоначальный[[#This Row],[Досрочное погашение (да/"")]]=""),0,
AND(S1130=0,Первоначальный[[#This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платеж]]+Y1130-SUM(Первоначальный[[#This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комиссиям]]),VLOOKUP(LOOKUP(,-1/($Z$12:Z1131=1),$A$12:A1131),График[[Срок конец]:[Возврат основной суммы долга]],3,0)),
AND(S1130=0,Первоначальный[[#This Row],[Дата платежа из графика]]="",Первоначальный[[#This Row],[Досрочное погашение (да/"")]]&lt;&gt;"Да"),0,
AND(S1130=0,Первоначальный[[#This Row],[Досрочное погашение (да/"")]]=""),MIN(Первоначальный[[#This Row],[Полученный платеж]]+Y1130-SUM(Первоначальный[[#This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комиссиям]]),VLOOKUP(LOOKUP(,-1/($Z$12:Z1131=1),$A$12:A1131),График[[Срок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платеж]]+Y1130-SUM(Первоначальный[[#This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S1130&gt;0,MIN(Первоначальный[[#This Row],[Полученный платеж]]+Y1130-SUM(Первоначальный[[#This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комиссиям]]),SUM(INDIRECT("M"&amp;(MAX((1=S$12:S1130)*ROW(S$12:S1130),ROW($W$12))&amp;":M"&amp;(ROW()))))-SUM(INDIRECT("W"&amp;(MAX((1=S$12:S1130)*ROW(S$12:S1130),ROW($W$12))&amp;":W"&amp;(ROW()-1)))))
)
)</f>
        <v>0</v>
      </c>
      <c r="X1131" s="55">
        <f t="shared" ca="1" si="208"/>
        <v>0</v>
      </c>
      <c r="Y1131" s="101">
        <f t="shared" ca="1" si="215"/>
        <v>0</v>
      </c>
      <c r="Z1131" s="133" t="str">
        <f>IF(TYPE((VLOOKUP(Первоначальный[[#This Row],[Дата платежа]],График[Срок конец],1,0)))=16,"",1)</f>
        <v/>
      </c>
      <c r="AA1131" s="57"/>
      <c r="AB1131" s="134"/>
      <c r="AC113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3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81280.02999999997</v>
      </c>
      <c r="AE113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4937.2099999999955</v>
      </c>
      <c r="AF113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3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259053.8728672126</v>
      </c>
      <c r="AH1131" s="55"/>
      <c r="AI1131" s="55"/>
      <c r="AJ1131" s="55"/>
      <c r="AK1131" s="101">
        <f t="shared" ca="1" si="216"/>
        <v>494904.45286721259</v>
      </c>
      <c r="AL1131" s="129">
        <f t="array" ref="AL1131">MAX((УслРестрактов[Характеристика]="Дата реструктуризации")*(УслРестрактов[Значение]=Первоначальный!$A1131),0)</f>
        <v>0</v>
      </c>
    </row>
    <row r="1132" spans="1:38" x14ac:dyDescent="0.25">
      <c r="A1132" s="97">
        <f t="shared" si="209"/>
        <v>45263</v>
      </c>
      <c r="B1132" s="100">
        <f t="shared" ca="1" si="210"/>
        <v>149633.34</v>
      </c>
      <c r="C1132" s="55">
        <f t="shared" ca="1" si="206"/>
        <v>81280.02999999997</v>
      </c>
      <c r="D1132" s="55">
        <f t="shared" ca="1" si="206"/>
        <v>4937.2099999999955</v>
      </c>
      <c r="E1132" s="55">
        <f t="shared" ca="1" si="211"/>
        <v>0</v>
      </c>
      <c r="F1132" s="55">
        <f t="shared" ca="1" si="212"/>
        <v>259053.8728672126</v>
      </c>
      <c r="G1132" s="101">
        <f t="shared" ca="1" si="213"/>
        <v>494904.45286721259</v>
      </c>
      <c r="H1132" s="100">
        <f ca="1">ROUND($B1132*VLOOKUP($A1132,$A$1:$B$10,2,1)/(365+IF(MOD(YEAR($A1132),4),0,1)*($A1132-$A1131)),2)-Первоначальный[[#This Row],[Проценты на просроченный платеж по ОД за период]]</f>
        <v>71.3</v>
      </c>
      <c r="I1132" s="55">
        <f t="shared" ca="1" si="214"/>
        <v>10.28</v>
      </c>
      <c r="J1132" s="55">
        <v>0</v>
      </c>
      <c r="K1132" s="55">
        <f t="shared" ca="1" si="217"/>
        <v>492.42350327868843</v>
      </c>
      <c r="L1132" s="55">
        <v>0</v>
      </c>
      <c r="M1132" s="113">
        <f>SUMIFS(График[Возврат основной суммы долга],График[Дата с учетом нерабочих дней],$A1132)</f>
        <v>0</v>
      </c>
      <c r="N1132" s="56">
        <f>SUMIFS(График[Возврат начисленных %],График[Дата с учетом нерабочих дней],$A1132)</f>
        <v>0</v>
      </c>
      <c r="O1132" s="101">
        <v>0</v>
      </c>
      <c r="P1132" s="100" cm="1">
        <f t="array" aca="1" ref="P1132" ca="1">MAX(IF(AA1131="Да",0,SUM(INDIRECT("M"&amp;(MAX(("Да"=AA$12:AA1131)*ROW(AA$12:AA1131)+1,ROW($P$12))&amp;":M"&amp;(ROW()))))-SUM(INDIRECT("W"&amp;(MAX(("Да"=AA$12:AA1131)*ROW(AA$12:AA1131)+1,ROW($P$12))&amp;":W"&amp;(ROW()))))),0)</f>
        <v>18847.86</v>
      </c>
      <c r="Q1132" s="99">
        <f ca="1">MAX(SUM($N$13:N1132)-SUM($T$13:T1132),0)</f>
        <v>79636.840655737687</v>
      </c>
      <c r="R1132" s="99">
        <f ca="1">Первоначальный[[#This Row],[Просроченный платеж по ОД]]+Первоначальный[[#This Row],[Просроченный платеж по процентам]]</f>
        <v>98484.700655737688</v>
      </c>
      <c r="S1132" s="120">
        <f ca="1">IF(Первоначальный[[#This Row],[Просроченный платеж]]&lt;1,0,S1131+1)</f>
        <v>1028</v>
      </c>
      <c r="T1132" s="100" cm="1">
        <f t="array" aca="1" ref="T1132" ca="1">IF(Первоначальный[[#This Row],[Итого остаток на начало периода]]&lt;1,0,
IF(
AND(TYPE(VLOOKUP(1,$Z$12:Z1132,1,0))=16,Первоначальный[[#This Row],[Досрочное погашение (да/"")]]=""),0,
_xlfn.IFS(AND(S1131=0,Первоначальный[[#This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платеж]]&lt;&gt;0),MIN(LOOKUP(,-1/($Z$12:Z1132=1),$C$12:C1132)+LOOKUP(,-1/($Z$12:Z1132=1),$H$12:H1132),Первоначальный[[#This Row],[Полученный платеж]]+Y1131),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платеж]]+Y1131,SUM(Первоначальный[[#This Row],[Остаток процентов на начало периода]],Первоначальный[[#This Row],[Проценты за период]])),
AND(S1131=0,Первоначальный[[#This Row],[Дата платежа из графика]]=""),0,
AND(S1131=0,Первоначальный[[#This Row],[Дата платежа из графика]]=1,MAX((0&lt;&gt;S$12:S1131)*ROW(S$12:S1131),ROW($S$12))&gt;=MAX((1=Z$12:Z1131)*ROW(Z$12:Z1131),ROW($T$12)),TYPE(VLOOKUP("Да",(INDIRECT("AA"&amp;(MAX((1=Z$12:Z1131)*ROW(Z$12:Z1131),ROW($T$12))&amp;":AA"&amp;(ROW()-1)))),1,0))=16),MIN(LOOKUP(,-1/($Z$12:Z1132=1),$C$12:C1132)+LOOKUP(,-1/($Z$12:Z1132=1),$H$12:H1132),Первоначальный[[#This Row],[Полученный платеж]]+Y1131),
AND(S1131=0,TYPE(VLOOKUP("Да",(INDIRECT("AA"&amp;(MAX((1=Z$12:Z1131)*ROW(Z$12:Z1131),ROW($T$12))&amp;":AA"&amp;(ROW()-1)))),1,0))&lt;&gt;16),MIN(LOOKUP(,-1/($Z$12:Z1132=1),$C$12:C1132)+LOOKUP(,-1/($Z$12:Z1132=1),$H$12:H1132)-IF(AA1131="Да",0,SUM(INDIRECT("T"&amp;(MAX(("Да"=AA$12:AA1131)*ROW(AA$12:AA1131)+1,ROW($T$12))&amp;":T"&amp;(ROW()-1))))),Первоначальный[[#This Row],[Полученный платеж]]+Y1131),
AND(S1131=0,MAX((0&lt;&gt;N$12:N1131)*ROW(N$12:N1131),ROW($S$12))&gt;=MAX((1=Z$12:Z1131)*ROW(Z$12:Z1131),ROW($T$12))),MIN(LOOKUP(,-1/($Z$12:Z1132=1),$C$12:C1132)+LOOKUP(,-1/($Z$12:Z1132=1),$H$12:H1132)-IF(N1131&lt;&gt;0,0,SUM(INDIRECT("T"&amp;(MAX((0&lt;&gt;N$12:N1131)*ROW(N$12:N1131)+1,ROW($T$12))&amp;":T"&amp;(ROW()-1))))),Первоначальный[[#This Row],[Полученный платеж]]+Y1131),
AND(S1131=0,Первоначальный[[#This Row],[Дата платежа из графика]]=1),MIN(LOOKUP(,-1/($Z$12:Z1132=1),$C$12:C1132)+LOOKUP(,-1/($Z$12:Z1132=1),$H$12:H1132)-IF(Z1131=1,0,SUM(INDIRECT("T"&amp;(MAX((1=Z$12:Z1131)*ROW(Z$12:Z1131)+1,ROW($T$12))&amp;":T"&amp;(ROW()-1))))),Первоначальный[[#This Row],[Полученный платеж]]+Y1131),
AND(Z1131&gt;0,Первоначальный[[#This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платеж]]+Y1131),
AND(S1131&gt;0,MAX((0&lt;&gt;S$12:S1131)*ROW(S$12:S1131),ROW($S$12))&gt;=MAX((1=Z$12:Z1131)*ROW(Z$12:Z1131),ROW($T$12)),TYPE(VLOOKUP("Да",(INDIRECT("AA"&amp;(MAX((1=Z$12:Z1131)*ROW(Z$12:Z1131),ROW($T$12))&amp;":AA"&amp;(ROW()-1)))),1,0))=16),MIN(LOOKUP(,-1/($Z$12:Z1132=1),$C$12:C1132)+LOOKUP(,-1/($Z$12:Z1132=1),$H$12:H1132)-SUM(INDIRECT("T"&amp;(MAX((1=Z$12:Z1131)*ROW(Z$12:Z1131),ROW($T$12))&amp;":T"&amp;(ROW()-1)))),Первоначальный[[#This Row],[Полученный платеж]]+Y1131),
S1131&gt;0,MIN(LOOKUP(,-1/($Z$12:Z1132=1),$C$12:C1132)+LOOKUP(,-1/($Z$12:Z1132=1),$H$12:H1132)-IF(Z1131=1,0,SUM(INDIRECT("T"&amp;(MAX((1=Z$12:Z1131)*ROW(Z$12:Z1131)+1,ROW($T$12))&amp;":T"&amp;(ROW()-1))))),Первоначальный[[#This Row],[Полученный платеж]]+Y1131)
)
)
)</f>
        <v>0</v>
      </c>
      <c r="U113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платеж]]+Y1131-Первоначальный[[#This Row],[Полученный платёж по процентам]])</f>
        <v>0</v>
      </c>
      <c r="V1132" s="55">
        <f t="shared" ca="1" si="207"/>
        <v>0</v>
      </c>
      <c r="W1132" s="55" cm="1">
        <f t="array" aca="1" ref="W1132" ca="1">IF(Первоначальный[[#This Row],[Итого остаток на начало периода]]&lt;1,0,
_xlfn.IFS(
AND(TYPE(VLOOKUP(1,$Z$12:Z1132,1,0))=16,Первоначальный[[#This Row],[Досрочное погашение (да/"")]]=""),0,
AND(S1131=0,Первоначальный[[#This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платеж]]+Y1131-SUM(Первоначальный[[#This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комиссиям]]),VLOOKUP(LOOKUP(,-1/($Z$12:Z1132=1),$A$12:A1132),График[[Срок конец]:[Возврат основной суммы долга]],3,0)),
AND(S1131=0,Первоначальный[[#This Row],[Дата платежа из графика]]="",Первоначальный[[#This Row],[Досрочное погашение (да/"")]]&lt;&gt;"Да"),0,
AND(S1131=0,Первоначальный[[#This Row],[Досрочное погашение (да/"")]]=""),MIN(Первоначальный[[#This Row],[Полученный платеж]]+Y1131-SUM(Первоначальный[[#This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комиссиям]]),VLOOKUP(LOOKUP(,-1/($Z$12:Z1132=1),$A$12:A1132),График[[Срок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платеж]]+Y1131-SUM(Первоначальный[[#This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S1131&gt;0,MIN(Первоначальный[[#This Row],[Полученный платеж]]+Y1131-SUM(Первоначальный[[#This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комиссиям]]),SUM(INDIRECT("M"&amp;(MAX((1=S$12:S1131)*ROW(S$12:S1131),ROW($W$12))&amp;":M"&amp;(ROW()))))-SUM(INDIRECT("W"&amp;(MAX((1=S$12:S1131)*ROW(S$12:S1131),ROW($W$12))&amp;":W"&amp;(ROW()-1)))))
)
)</f>
        <v>0</v>
      </c>
      <c r="X1132" s="55">
        <f t="shared" ca="1" si="208"/>
        <v>0</v>
      </c>
      <c r="Y1132" s="101">
        <f t="shared" ca="1" si="215"/>
        <v>0</v>
      </c>
      <c r="Z1132" s="133" t="str">
        <f>IF(TYPE((VLOOKUP(Первоначальный[[#This Row],[Дата платежа]],График[Срок конец],1,0)))=16,"",1)</f>
        <v/>
      </c>
      <c r="AA1132" s="57"/>
      <c r="AB1132" s="134"/>
      <c r="AC113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3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81351.329999999973</v>
      </c>
      <c r="AE113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4947.4899999999952</v>
      </c>
      <c r="AF113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3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259546.2963704913</v>
      </c>
      <c r="AH1132" s="55"/>
      <c r="AI1132" s="55"/>
      <c r="AJ1132" s="55"/>
      <c r="AK1132" s="101">
        <f t="shared" ca="1" si="216"/>
        <v>495478.4563704913</v>
      </c>
      <c r="AL1132" s="129">
        <f t="array" ref="AL1132">MAX((УслРестрактов[Характеристика]="Дата реструктуризации")*(УслРестрактов[Значение]=Первоначальный!$A1132),0)</f>
        <v>0</v>
      </c>
    </row>
    <row r="1133" spans="1:38" x14ac:dyDescent="0.25">
      <c r="A1133" s="97">
        <f t="shared" si="209"/>
        <v>45264</v>
      </c>
      <c r="B1133" s="100">
        <f t="shared" ca="1" si="210"/>
        <v>149633.34</v>
      </c>
      <c r="C1133" s="55">
        <f t="shared" ca="1" si="206"/>
        <v>81351.329999999973</v>
      </c>
      <c r="D1133" s="55">
        <f t="shared" ca="1" si="206"/>
        <v>4947.4899999999952</v>
      </c>
      <c r="E1133" s="55">
        <f t="shared" ca="1" si="211"/>
        <v>0</v>
      </c>
      <c r="F1133" s="55">
        <f t="shared" ca="1" si="212"/>
        <v>259546.2963704913</v>
      </c>
      <c r="G1133" s="101">
        <f t="shared" ca="1" si="213"/>
        <v>495478.4563704913</v>
      </c>
      <c r="H1133" s="100">
        <f ca="1">ROUND($B1133*VLOOKUP($A1133,$A$1:$B$10,2,1)/(365+IF(MOD(YEAR($A1133),4),0,1)*($A1133-$A1132)),2)-Первоначальный[[#This Row],[Проценты на просроченный платеж по ОД за период]]</f>
        <v>71.3</v>
      </c>
      <c r="I1133" s="55">
        <f t="shared" ca="1" si="214"/>
        <v>10.28</v>
      </c>
      <c r="J1133" s="55">
        <v>0</v>
      </c>
      <c r="K1133" s="55">
        <f t="shared" ca="1" si="217"/>
        <v>492.42350327868843</v>
      </c>
      <c r="L1133" s="55">
        <v>0</v>
      </c>
      <c r="M1133" s="113">
        <f>SUMIFS(График[Возврат основной суммы долга],График[Дата с учетом нерабочих дней],$A1133)</f>
        <v>0</v>
      </c>
      <c r="N1133" s="56">
        <f>SUMIFS(График[Возврат начисленных %],График[Дата с учетом нерабочих дней],$A1133)</f>
        <v>0</v>
      </c>
      <c r="O1133" s="101">
        <v>0</v>
      </c>
      <c r="P1133" s="100" cm="1">
        <f t="array" aca="1" ref="P1133" ca="1">MAX(IF(AA1132="Да",0,SUM(INDIRECT("M"&amp;(MAX(("Да"=AA$12:AA1132)*ROW(AA$12:AA1132)+1,ROW($P$12))&amp;":M"&amp;(ROW()))))-SUM(INDIRECT("W"&amp;(MAX(("Да"=AA$12:AA1132)*ROW(AA$12:AA1132)+1,ROW($P$12))&amp;":W"&amp;(ROW()))))),0)</f>
        <v>18847.86</v>
      </c>
      <c r="Q1133" s="99">
        <f ca="1">MAX(SUM($N$13:N1133)-SUM($T$13:T1133),0)</f>
        <v>79636.840655737687</v>
      </c>
      <c r="R1133" s="99">
        <f ca="1">Первоначальный[[#This Row],[Просроченный платеж по ОД]]+Первоначальный[[#This Row],[Просроченный платеж по процентам]]</f>
        <v>98484.700655737688</v>
      </c>
      <c r="S1133" s="120">
        <f ca="1">IF(Первоначальный[[#This Row],[Просроченный платеж]]&lt;1,0,S1132+1)</f>
        <v>1029</v>
      </c>
      <c r="T1133" s="100" cm="1">
        <f t="array" aca="1" ref="T1133" ca="1">IF(Первоначальный[[#This Row],[Итого остаток на начало периода]]&lt;1,0,
IF(
AND(TYPE(VLOOKUP(1,$Z$12:Z1133,1,0))=16,Первоначальный[[#This Row],[Досрочное погашение (да/"")]]=""),0,
_xlfn.IFS(AND(S1132=0,Первоначальный[[#This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платеж]]&lt;&gt;0),MIN(LOOKUP(,-1/($Z$12:Z1133=1),$C$12:C1133)+LOOKUP(,-1/($Z$12:Z1133=1),$H$12:H1133),Первоначальный[[#This Row],[Полученный платеж]]+Y1132),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платеж]]+Y1132,SUM(Первоначальный[[#This Row],[Остаток процентов на начало периода]],Первоначальный[[#This Row],[Проценты за период]])),
AND(S1132=0,Первоначальный[[#This Row],[Дата платежа из графика]]=""),0,
AND(S1132=0,Первоначальный[[#This Row],[Дата платежа из графика]]=1,MAX((0&lt;&gt;S$12:S1132)*ROW(S$12:S1132),ROW($S$12))&gt;=MAX((1=Z$12:Z1132)*ROW(Z$12:Z1132),ROW($T$12)),TYPE(VLOOKUP("Да",(INDIRECT("AA"&amp;(MAX((1=Z$12:Z1132)*ROW(Z$12:Z1132),ROW($T$12))&amp;":AA"&amp;(ROW()-1)))),1,0))=16),MIN(LOOKUP(,-1/($Z$12:Z1133=1),$C$12:C1133)+LOOKUP(,-1/($Z$12:Z1133=1),$H$12:H1133),Первоначальный[[#This Row],[Полученный платеж]]+Y1132),
AND(S1132=0,TYPE(VLOOKUP("Да",(INDIRECT("AA"&amp;(MAX((1=Z$12:Z1132)*ROW(Z$12:Z1132),ROW($T$12))&amp;":AA"&amp;(ROW()-1)))),1,0))&lt;&gt;16),MIN(LOOKUP(,-1/($Z$12:Z1133=1),$C$12:C1133)+LOOKUP(,-1/($Z$12:Z1133=1),$H$12:H1133)-IF(AA1132="Да",0,SUM(INDIRECT("T"&amp;(MAX(("Да"=AA$12:AA1132)*ROW(AA$12:AA1132)+1,ROW($T$12))&amp;":T"&amp;(ROW()-1))))),Первоначальный[[#This Row],[Полученный платеж]]+Y1132),
AND(S1132=0,MAX((0&lt;&gt;N$12:N1132)*ROW(N$12:N1132),ROW($S$12))&gt;=MAX((1=Z$12:Z1132)*ROW(Z$12:Z1132),ROW($T$12))),MIN(LOOKUP(,-1/($Z$12:Z1133=1),$C$12:C1133)+LOOKUP(,-1/($Z$12:Z1133=1),$H$12:H1133)-IF(N1132&lt;&gt;0,0,SUM(INDIRECT("T"&amp;(MAX((0&lt;&gt;N$12:N1132)*ROW(N$12:N1132)+1,ROW($T$12))&amp;":T"&amp;(ROW()-1))))),Первоначальный[[#This Row],[Полученный платеж]]+Y1132),
AND(S1132=0,Первоначальный[[#This Row],[Дата платежа из графика]]=1),MIN(LOOKUP(,-1/($Z$12:Z1133=1),$C$12:C1133)+LOOKUP(,-1/($Z$12:Z1133=1),$H$12:H1133)-IF(Z1132=1,0,SUM(INDIRECT("T"&amp;(MAX((1=Z$12:Z1132)*ROW(Z$12:Z1132)+1,ROW($T$12))&amp;":T"&amp;(ROW()-1))))),Первоначальный[[#This Row],[Полученный платеж]]+Y1132),
AND(Z1132&gt;0,Первоначальный[[#This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платеж]]+Y1132),
AND(S1132&gt;0,MAX((0&lt;&gt;S$12:S1132)*ROW(S$12:S1132),ROW($S$12))&gt;=MAX((1=Z$12:Z1132)*ROW(Z$12:Z1132),ROW($T$12)),TYPE(VLOOKUP("Да",(INDIRECT("AA"&amp;(MAX((1=Z$12:Z1132)*ROW(Z$12:Z1132),ROW($T$12))&amp;":AA"&amp;(ROW()-1)))),1,0))=16),MIN(LOOKUP(,-1/($Z$12:Z1133=1),$C$12:C1133)+LOOKUP(,-1/($Z$12:Z1133=1),$H$12:H1133)-SUM(INDIRECT("T"&amp;(MAX((1=Z$12:Z1132)*ROW(Z$12:Z1132),ROW($T$12))&amp;":T"&amp;(ROW()-1)))),Первоначальный[[#This Row],[Полученный платеж]]+Y1132),
S1132&gt;0,MIN(LOOKUP(,-1/($Z$12:Z1133=1),$C$12:C1133)+LOOKUP(,-1/($Z$12:Z1133=1),$H$12:H1133)-IF(Z1132=1,0,SUM(INDIRECT("T"&amp;(MAX((1=Z$12:Z1132)*ROW(Z$12:Z1132)+1,ROW($T$12))&amp;":T"&amp;(ROW()-1))))),Первоначальный[[#This Row],[Полученный платеж]]+Y1132)
)
)
)</f>
        <v>0</v>
      </c>
      <c r="U113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платеж]]+Y1132-Первоначальный[[#This Row],[Полученный платёж по процентам]])</f>
        <v>0</v>
      </c>
      <c r="V1133" s="55">
        <f t="shared" ca="1" si="207"/>
        <v>0</v>
      </c>
      <c r="W1133" s="55" cm="1">
        <f t="array" aca="1" ref="W1133" ca="1">IF(Первоначальный[[#This Row],[Итого остаток на начало периода]]&lt;1,0,
_xlfn.IFS(
AND(TYPE(VLOOKUP(1,$Z$12:Z1133,1,0))=16,Первоначальный[[#This Row],[Досрочное погашение (да/"")]]=""),0,
AND(S1132=0,Первоначальный[[#This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платеж]]+Y1132-SUM(Первоначальный[[#This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комиссиям]]),VLOOKUP(LOOKUP(,-1/($Z$12:Z1133=1),$A$12:A1133),График[[Срок конец]:[Возврат основной суммы долга]],3,0)),
AND(S1132=0,Первоначальный[[#This Row],[Дата платежа из графика]]="",Первоначальный[[#This Row],[Досрочное погашение (да/"")]]&lt;&gt;"Да"),0,
AND(S1132=0,Первоначальный[[#This Row],[Досрочное погашение (да/"")]]=""),MIN(Первоначальный[[#This Row],[Полученный платеж]]+Y1132-SUM(Первоначальный[[#This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комиссиям]]),VLOOKUP(LOOKUP(,-1/($Z$12:Z1133=1),$A$12:A1133),График[[Срок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платеж]]+Y1132-SUM(Первоначальный[[#This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S1132&gt;0,MIN(Первоначальный[[#This Row],[Полученный платеж]]+Y1132-SUM(Первоначальный[[#This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комиссиям]]),SUM(INDIRECT("M"&amp;(MAX((1=S$12:S1132)*ROW(S$12:S1132),ROW($W$12))&amp;":M"&amp;(ROW()))))-SUM(INDIRECT("W"&amp;(MAX((1=S$12:S1132)*ROW(S$12:S1132),ROW($W$12))&amp;":W"&amp;(ROW()-1)))))
)
)</f>
        <v>0</v>
      </c>
      <c r="X1133" s="55">
        <f t="shared" ca="1" si="208"/>
        <v>0</v>
      </c>
      <c r="Y1133" s="101">
        <f t="shared" ca="1" si="215"/>
        <v>0</v>
      </c>
      <c r="Z1133" s="133" t="str">
        <f>IF(TYPE((VLOOKUP(Первоначальный[[#This Row],[Дата платежа]],График[Срок конец],1,0)))=16,"",1)</f>
        <v/>
      </c>
      <c r="AA1133" s="57"/>
      <c r="AB1133" s="134"/>
      <c r="AC113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3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81422.629999999976</v>
      </c>
      <c r="AE113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4957.769999999995</v>
      </c>
      <c r="AF113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3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260038.71987376999</v>
      </c>
      <c r="AH1133" s="55"/>
      <c r="AI1133" s="55"/>
      <c r="AJ1133" s="55"/>
      <c r="AK1133" s="101">
        <f t="shared" ca="1" si="216"/>
        <v>496052.45987376996</v>
      </c>
      <c r="AL1133" s="129">
        <f t="array" ref="AL1133">MAX((УслРестрактов[Характеристика]="Дата реструктуризации")*(УслРестрактов[Значение]=Первоначальный!$A1133),0)</f>
        <v>0</v>
      </c>
    </row>
    <row r="1134" spans="1:38" x14ac:dyDescent="0.25">
      <c r="A1134" s="97">
        <f t="shared" si="209"/>
        <v>45265</v>
      </c>
      <c r="B1134" s="100">
        <f t="shared" ca="1" si="210"/>
        <v>149633.34</v>
      </c>
      <c r="C1134" s="55">
        <f t="shared" ca="1" si="206"/>
        <v>81422.629999999976</v>
      </c>
      <c r="D1134" s="55">
        <f t="shared" ca="1" si="206"/>
        <v>4957.769999999995</v>
      </c>
      <c r="E1134" s="55">
        <f t="shared" ca="1" si="211"/>
        <v>0</v>
      </c>
      <c r="F1134" s="55">
        <f t="shared" ca="1" si="212"/>
        <v>260038.71987376999</v>
      </c>
      <c r="G1134" s="101">
        <f t="shared" ca="1" si="213"/>
        <v>496052.45987376996</v>
      </c>
      <c r="H1134" s="100">
        <f ca="1">ROUND($B1134*VLOOKUP($A1134,$A$1:$B$10,2,1)/(365+IF(MOD(YEAR($A1134),4),0,1)*($A1134-$A1133)),2)-Первоначальный[[#This Row],[Проценты на просроченный платеж по ОД за период]]</f>
        <v>71.3</v>
      </c>
      <c r="I1134" s="55">
        <f t="shared" ca="1" si="214"/>
        <v>10.28</v>
      </c>
      <c r="J1134" s="55">
        <v>0</v>
      </c>
      <c r="K1134" s="55">
        <f t="shared" ca="1" si="217"/>
        <v>492.42350327868843</v>
      </c>
      <c r="L1134" s="55">
        <v>0</v>
      </c>
      <c r="M1134" s="113">
        <f>SUMIFS(График[Возврат основной суммы долга],График[Дата с учетом нерабочих дней],$A1134)</f>
        <v>0</v>
      </c>
      <c r="N1134" s="56">
        <f>SUMIFS(График[Возврат начисленных %],График[Дата с учетом нерабочих дней],$A1134)</f>
        <v>0</v>
      </c>
      <c r="O1134" s="101">
        <v>0</v>
      </c>
      <c r="P1134" s="100" cm="1">
        <f t="array" aca="1" ref="P1134" ca="1">MAX(IF(AA1133="Да",0,SUM(INDIRECT("M"&amp;(MAX(("Да"=AA$12:AA1133)*ROW(AA$12:AA1133)+1,ROW($P$12))&amp;":M"&amp;(ROW()))))-SUM(INDIRECT("W"&amp;(MAX(("Да"=AA$12:AA1133)*ROW(AA$12:AA1133)+1,ROW($P$12))&amp;":W"&amp;(ROW()))))),0)</f>
        <v>18847.86</v>
      </c>
      <c r="Q1134" s="99">
        <f ca="1">MAX(SUM($N$13:N1134)-SUM($T$13:T1134),0)</f>
        <v>79636.840655737687</v>
      </c>
      <c r="R1134" s="99">
        <f ca="1">Первоначальный[[#This Row],[Просроченный платеж по ОД]]+Первоначальный[[#This Row],[Просроченный платеж по процентам]]</f>
        <v>98484.700655737688</v>
      </c>
      <c r="S1134" s="120">
        <f ca="1">IF(Первоначальный[[#This Row],[Просроченный платеж]]&lt;1,0,S1133+1)</f>
        <v>1030</v>
      </c>
      <c r="T1134" s="100" cm="1">
        <f t="array" aca="1" ref="T1134" ca="1">IF(Первоначальный[[#This Row],[Итого остаток на начало периода]]&lt;1,0,
IF(
AND(TYPE(VLOOKUP(1,$Z$12:Z1134,1,0))=16,Первоначальный[[#This Row],[Досрочное погашение (да/"")]]=""),0,
_xlfn.IFS(AND(S1133=0,Первоначальный[[#This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платеж]]&lt;&gt;0),MIN(LOOKUP(,-1/($Z$12:Z1134=1),$C$12:C1134)+LOOKUP(,-1/($Z$12:Z1134=1),$H$12:H1134),Первоначальный[[#This Row],[Полученный платеж]]+Y1133),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платеж]]+Y1133,SUM(Первоначальный[[#This Row],[Остаток процентов на начало периода]],Первоначальный[[#This Row],[Проценты за период]])),
AND(S1133=0,Первоначальный[[#This Row],[Дата платежа из графика]]=""),0,
AND(S1133=0,Первоначальный[[#This Row],[Дата платежа из графика]]=1,MAX((0&lt;&gt;S$12:S1133)*ROW(S$12:S1133),ROW($S$12))&gt;=MAX((1=Z$12:Z1133)*ROW(Z$12:Z1133),ROW($T$12)),TYPE(VLOOKUP("Да",(INDIRECT("AA"&amp;(MAX((1=Z$12:Z1133)*ROW(Z$12:Z1133),ROW($T$12))&amp;":AA"&amp;(ROW()-1)))),1,0))=16),MIN(LOOKUP(,-1/($Z$12:Z1134=1),$C$12:C1134)+LOOKUP(,-1/($Z$12:Z1134=1),$H$12:H1134),Первоначальный[[#This Row],[Полученный платеж]]+Y1133),
AND(S1133=0,TYPE(VLOOKUP("Да",(INDIRECT("AA"&amp;(MAX((1=Z$12:Z1133)*ROW(Z$12:Z1133),ROW($T$12))&amp;":AA"&amp;(ROW()-1)))),1,0))&lt;&gt;16),MIN(LOOKUP(,-1/($Z$12:Z1134=1),$C$12:C1134)+LOOKUP(,-1/($Z$12:Z1134=1),$H$12:H1134)-IF(AA1133="Да",0,SUM(INDIRECT("T"&amp;(MAX(("Да"=AA$12:AA1133)*ROW(AA$12:AA1133)+1,ROW($T$12))&amp;":T"&amp;(ROW()-1))))),Первоначальный[[#This Row],[Полученный платеж]]+Y1133),
AND(S1133=0,MAX((0&lt;&gt;N$12:N1133)*ROW(N$12:N1133),ROW($S$12))&gt;=MAX((1=Z$12:Z1133)*ROW(Z$12:Z1133),ROW($T$12))),MIN(LOOKUP(,-1/($Z$12:Z1134=1),$C$12:C1134)+LOOKUP(,-1/($Z$12:Z1134=1),$H$12:H1134)-IF(N1133&lt;&gt;0,0,SUM(INDIRECT("T"&amp;(MAX((0&lt;&gt;N$12:N1133)*ROW(N$12:N1133)+1,ROW($T$12))&amp;":T"&amp;(ROW()-1))))),Первоначальный[[#This Row],[Полученный платеж]]+Y1133),
AND(S1133=0,Первоначальный[[#This Row],[Дата платежа из графика]]=1),MIN(LOOKUP(,-1/($Z$12:Z1134=1),$C$12:C1134)+LOOKUP(,-1/($Z$12:Z1134=1),$H$12:H1134)-IF(Z1133=1,0,SUM(INDIRECT("T"&amp;(MAX((1=Z$12:Z1133)*ROW(Z$12:Z1133)+1,ROW($T$12))&amp;":T"&amp;(ROW()-1))))),Первоначальный[[#This Row],[Полученный платеж]]+Y1133),
AND(Z1133&gt;0,Первоначальный[[#This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платеж]]+Y1133),
AND(S1133&gt;0,MAX((0&lt;&gt;S$12:S1133)*ROW(S$12:S1133),ROW($S$12))&gt;=MAX((1=Z$12:Z1133)*ROW(Z$12:Z1133),ROW($T$12)),TYPE(VLOOKUP("Да",(INDIRECT("AA"&amp;(MAX((1=Z$12:Z1133)*ROW(Z$12:Z1133),ROW($T$12))&amp;":AA"&amp;(ROW()-1)))),1,0))=16),MIN(LOOKUP(,-1/($Z$12:Z1134=1),$C$12:C1134)+LOOKUP(,-1/($Z$12:Z1134=1),$H$12:H1134)-SUM(INDIRECT("T"&amp;(MAX((1=Z$12:Z1133)*ROW(Z$12:Z1133),ROW($T$12))&amp;":T"&amp;(ROW()-1)))),Первоначальный[[#This Row],[Полученный платеж]]+Y1133),
S1133&gt;0,MIN(LOOKUP(,-1/($Z$12:Z1134=1),$C$12:C1134)+LOOKUP(,-1/($Z$12:Z1134=1),$H$12:H1134)-IF(Z1133=1,0,SUM(INDIRECT("T"&amp;(MAX((1=Z$12:Z1133)*ROW(Z$12:Z1133)+1,ROW($T$12))&amp;":T"&amp;(ROW()-1))))),Первоначальный[[#This Row],[Полученный платеж]]+Y1133)
)
)
)</f>
        <v>0</v>
      </c>
      <c r="U113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платеж]]+Y1133-Первоначальный[[#This Row],[Полученный платёж по процентам]])</f>
        <v>0</v>
      </c>
      <c r="V1134" s="55">
        <f t="shared" ca="1" si="207"/>
        <v>0</v>
      </c>
      <c r="W1134" s="55" cm="1">
        <f t="array" aca="1" ref="W1134" ca="1">IF(Первоначальный[[#This Row],[Итого остаток на начало периода]]&lt;1,0,
_xlfn.IFS(
AND(TYPE(VLOOKUP(1,$Z$12:Z1134,1,0))=16,Первоначальный[[#This Row],[Досрочное погашение (да/"")]]=""),0,
AND(S1133=0,Первоначальный[[#This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платеж]]+Y1133-SUM(Первоначальный[[#This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комиссиям]]),VLOOKUP(LOOKUP(,-1/($Z$12:Z1134=1),$A$12:A1134),График[[Срок конец]:[Возврат основной суммы долга]],3,0)),
AND(S1133=0,Первоначальный[[#This Row],[Дата платежа из графика]]="",Первоначальный[[#This Row],[Досрочное погашение (да/"")]]&lt;&gt;"Да"),0,
AND(S1133=0,Первоначальный[[#This Row],[Досрочное погашение (да/"")]]=""),MIN(Первоначальный[[#This Row],[Полученный платеж]]+Y1133-SUM(Первоначальный[[#This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комиссиям]]),VLOOKUP(LOOKUP(,-1/($Z$12:Z1134=1),$A$12:A1134),График[[Срок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платеж]]+Y1133-SUM(Первоначальный[[#This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S1133&gt;0,MIN(Первоначальный[[#This Row],[Полученный платеж]]+Y1133-SUM(Первоначальный[[#This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комиссиям]]),SUM(INDIRECT("M"&amp;(MAX((1=S$12:S1133)*ROW(S$12:S1133),ROW($W$12))&amp;":M"&amp;(ROW()))))-SUM(INDIRECT("W"&amp;(MAX((1=S$12:S1133)*ROW(S$12:S1133),ROW($W$12))&amp;":W"&amp;(ROW()-1)))))
)
)</f>
        <v>0</v>
      </c>
      <c r="X1134" s="55">
        <f t="shared" ca="1" si="208"/>
        <v>0</v>
      </c>
      <c r="Y1134" s="101">
        <f t="shared" ca="1" si="215"/>
        <v>0</v>
      </c>
      <c r="Z1134" s="133" t="str">
        <f>IF(TYPE((VLOOKUP(Первоначальный[[#This Row],[Дата платежа]],График[Срок конец],1,0)))=16,"",1)</f>
        <v/>
      </c>
      <c r="AA1134" s="57"/>
      <c r="AB1134" s="134"/>
      <c r="AC113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3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81493.929999999978</v>
      </c>
      <c r="AE113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4968.0499999999947</v>
      </c>
      <c r="AF113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3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260531.14337704869</v>
      </c>
      <c r="AH1134" s="55"/>
      <c r="AI1134" s="55"/>
      <c r="AJ1134" s="55"/>
      <c r="AK1134" s="101">
        <f t="shared" ca="1" si="216"/>
        <v>496626.46337704861</v>
      </c>
      <c r="AL1134" s="129">
        <f t="array" ref="AL1134">MAX((УслРестрактов[Характеристика]="Дата реструктуризации")*(УслРестрактов[Значение]=Первоначальный!$A1134),0)</f>
        <v>0</v>
      </c>
    </row>
    <row r="1135" spans="1:38" x14ac:dyDescent="0.25">
      <c r="A1135" s="97">
        <f t="shared" si="209"/>
        <v>45266</v>
      </c>
      <c r="B1135" s="100">
        <f t="shared" ca="1" si="210"/>
        <v>149633.34</v>
      </c>
      <c r="C1135" s="55">
        <f t="shared" ca="1" si="206"/>
        <v>81493.929999999978</v>
      </c>
      <c r="D1135" s="55">
        <f t="shared" ca="1" si="206"/>
        <v>4968.0499999999947</v>
      </c>
      <c r="E1135" s="55">
        <f t="shared" ca="1" si="211"/>
        <v>0</v>
      </c>
      <c r="F1135" s="55">
        <f t="shared" ca="1" si="212"/>
        <v>260531.14337704869</v>
      </c>
      <c r="G1135" s="101">
        <f t="shared" ca="1" si="213"/>
        <v>496626.46337704861</v>
      </c>
      <c r="H1135" s="100">
        <f ca="1">ROUND($B1135*VLOOKUP($A1135,$A$1:$B$10,2,1)/(365+IF(MOD(YEAR($A1135),4),0,1)*($A1135-$A1134)),2)-Первоначальный[[#This Row],[Проценты на просроченный платеж по ОД за период]]</f>
        <v>71.3</v>
      </c>
      <c r="I1135" s="55">
        <f t="shared" ca="1" si="214"/>
        <v>10.28</v>
      </c>
      <c r="J1135" s="55">
        <v>0</v>
      </c>
      <c r="K1135" s="55">
        <f t="shared" ca="1" si="217"/>
        <v>492.42350327868843</v>
      </c>
      <c r="L1135" s="55">
        <v>0</v>
      </c>
      <c r="M1135" s="113">
        <f>SUMIFS(График[Возврат основной суммы долга],График[Дата с учетом нерабочих дней],$A1135)</f>
        <v>0</v>
      </c>
      <c r="N1135" s="56">
        <f>SUMIFS(График[Возврат начисленных %],График[Дата с учетом нерабочих дней],$A1135)</f>
        <v>0</v>
      </c>
      <c r="O1135" s="101">
        <v>0</v>
      </c>
      <c r="P1135" s="100" cm="1">
        <f t="array" aca="1" ref="P1135" ca="1">MAX(IF(AA1134="Да",0,SUM(INDIRECT("M"&amp;(MAX(("Да"=AA$12:AA1134)*ROW(AA$12:AA1134)+1,ROW($P$12))&amp;":M"&amp;(ROW()))))-SUM(INDIRECT("W"&amp;(MAX(("Да"=AA$12:AA1134)*ROW(AA$12:AA1134)+1,ROW($P$12))&amp;":W"&amp;(ROW()))))),0)</f>
        <v>18847.86</v>
      </c>
      <c r="Q1135" s="99">
        <f ca="1">MAX(SUM($N$13:N1135)-SUM($T$13:T1135),0)</f>
        <v>79636.840655737687</v>
      </c>
      <c r="R1135" s="99">
        <f ca="1">Первоначальный[[#This Row],[Просроченный платеж по ОД]]+Первоначальный[[#This Row],[Просроченный платеж по процентам]]</f>
        <v>98484.700655737688</v>
      </c>
      <c r="S1135" s="120">
        <f ca="1">IF(Первоначальный[[#This Row],[Просроченный платеж]]&lt;1,0,S1134+1)</f>
        <v>1031</v>
      </c>
      <c r="T1135" s="100" cm="1">
        <f t="array" aca="1" ref="T1135" ca="1">IF(Первоначальный[[#This Row],[Итого остаток на начало периода]]&lt;1,0,
IF(
AND(TYPE(VLOOKUP(1,$Z$12:Z1135,1,0))=16,Первоначальный[[#This Row],[Досрочное погашение (да/"")]]=""),0,
_xlfn.IFS(AND(S1134=0,Первоначальный[[#This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платеж]]&lt;&gt;0),MIN(LOOKUP(,-1/($Z$12:Z1135=1),$C$12:C1135)+LOOKUP(,-1/($Z$12:Z1135=1),$H$12:H1135),Первоначальный[[#This Row],[Полученный платеж]]+Y1134),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платеж]]+Y1134,SUM(Первоначальный[[#This Row],[Остаток процентов на начало периода]],Первоначальный[[#This Row],[Проценты за период]])),
AND(S1134=0,Первоначальный[[#This Row],[Дата платежа из графика]]=""),0,
AND(S1134=0,Первоначальный[[#This Row],[Дата платежа из графика]]=1,MAX((0&lt;&gt;S$12:S1134)*ROW(S$12:S1134),ROW($S$12))&gt;=MAX((1=Z$12:Z1134)*ROW(Z$12:Z1134),ROW($T$12)),TYPE(VLOOKUP("Да",(INDIRECT("AA"&amp;(MAX((1=Z$12:Z1134)*ROW(Z$12:Z1134),ROW($T$12))&amp;":AA"&amp;(ROW()-1)))),1,0))=16),MIN(LOOKUP(,-1/($Z$12:Z1135=1),$C$12:C1135)+LOOKUP(,-1/($Z$12:Z1135=1),$H$12:H1135),Первоначальный[[#This Row],[Полученный платеж]]+Y1134),
AND(S1134=0,TYPE(VLOOKUP("Да",(INDIRECT("AA"&amp;(MAX((1=Z$12:Z1134)*ROW(Z$12:Z1134),ROW($T$12))&amp;":AA"&amp;(ROW()-1)))),1,0))&lt;&gt;16),MIN(LOOKUP(,-1/($Z$12:Z1135=1),$C$12:C1135)+LOOKUP(,-1/($Z$12:Z1135=1),$H$12:H1135)-IF(AA1134="Да",0,SUM(INDIRECT("T"&amp;(MAX(("Да"=AA$12:AA1134)*ROW(AA$12:AA1134)+1,ROW($T$12))&amp;":T"&amp;(ROW()-1))))),Первоначальный[[#This Row],[Полученный платеж]]+Y1134),
AND(S1134=0,MAX((0&lt;&gt;N$12:N1134)*ROW(N$12:N1134),ROW($S$12))&gt;=MAX((1=Z$12:Z1134)*ROW(Z$12:Z1134),ROW($T$12))),MIN(LOOKUP(,-1/($Z$12:Z1135=1),$C$12:C1135)+LOOKUP(,-1/($Z$12:Z1135=1),$H$12:H1135)-IF(N1134&lt;&gt;0,0,SUM(INDIRECT("T"&amp;(MAX((0&lt;&gt;N$12:N1134)*ROW(N$12:N1134)+1,ROW($T$12))&amp;":T"&amp;(ROW()-1))))),Первоначальный[[#This Row],[Полученный платеж]]+Y1134),
AND(S1134=0,Первоначальный[[#This Row],[Дата платежа из графика]]=1),MIN(LOOKUP(,-1/($Z$12:Z1135=1),$C$12:C1135)+LOOKUP(,-1/($Z$12:Z1135=1),$H$12:H1135)-IF(Z1134=1,0,SUM(INDIRECT("T"&amp;(MAX((1=Z$12:Z1134)*ROW(Z$12:Z1134)+1,ROW($T$12))&amp;":T"&amp;(ROW()-1))))),Первоначальный[[#This Row],[Полученный платеж]]+Y1134),
AND(Z1134&gt;0,Первоначальный[[#This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платеж]]+Y1134),
AND(S1134&gt;0,MAX((0&lt;&gt;S$12:S1134)*ROW(S$12:S1134),ROW($S$12))&gt;=MAX((1=Z$12:Z1134)*ROW(Z$12:Z1134),ROW($T$12)),TYPE(VLOOKUP("Да",(INDIRECT("AA"&amp;(MAX((1=Z$12:Z1134)*ROW(Z$12:Z1134),ROW($T$12))&amp;":AA"&amp;(ROW()-1)))),1,0))=16),MIN(LOOKUP(,-1/($Z$12:Z1135=1),$C$12:C1135)+LOOKUP(,-1/($Z$12:Z1135=1),$H$12:H1135)-SUM(INDIRECT("T"&amp;(MAX((1=Z$12:Z1134)*ROW(Z$12:Z1134),ROW($T$12))&amp;":T"&amp;(ROW()-1)))),Первоначальный[[#This Row],[Полученный платеж]]+Y1134),
S1134&gt;0,MIN(LOOKUP(,-1/($Z$12:Z1135=1),$C$12:C1135)+LOOKUP(,-1/($Z$12:Z1135=1),$H$12:H1135)-IF(Z1134=1,0,SUM(INDIRECT("T"&amp;(MAX((1=Z$12:Z1134)*ROW(Z$12:Z1134)+1,ROW($T$12))&amp;":T"&amp;(ROW()-1))))),Первоначальный[[#This Row],[Полученный платеж]]+Y1134)
)
)
)</f>
        <v>0</v>
      </c>
      <c r="U113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платеж]]+Y1134-Первоначальный[[#This Row],[Полученный платёж по процентам]])</f>
        <v>0</v>
      </c>
      <c r="V1135" s="55">
        <f t="shared" ca="1" si="207"/>
        <v>0</v>
      </c>
      <c r="W1135" s="55" cm="1">
        <f t="array" aca="1" ref="W1135" ca="1">IF(Первоначальный[[#This Row],[Итого остаток на начало периода]]&lt;1,0,
_xlfn.IFS(
AND(TYPE(VLOOKUP(1,$Z$12:Z1135,1,0))=16,Первоначальный[[#This Row],[Досрочное погашение (да/"")]]=""),0,
AND(S1134=0,Первоначальный[[#This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платеж]]+Y1134-SUM(Первоначальный[[#This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комиссиям]]),VLOOKUP(LOOKUP(,-1/($Z$12:Z1135=1),$A$12:A1135),График[[Срок конец]:[Возврат основной суммы долга]],3,0)),
AND(S1134=0,Первоначальный[[#This Row],[Дата платежа из графика]]="",Первоначальный[[#This Row],[Досрочное погашение (да/"")]]&lt;&gt;"Да"),0,
AND(S1134=0,Первоначальный[[#This Row],[Досрочное погашение (да/"")]]=""),MIN(Первоначальный[[#This Row],[Полученный платеж]]+Y1134-SUM(Первоначальный[[#This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комиссиям]]),VLOOKUP(LOOKUP(,-1/($Z$12:Z1135=1),$A$12:A1135),График[[Срок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платеж]]+Y1134-SUM(Первоначальный[[#This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S1134&gt;0,MIN(Первоначальный[[#This Row],[Полученный платеж]]+Y1134-SUM(Первоначальный[[#This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комиссиям]]),SUM(INDIRECT("M"&amp;(MAX((1=S$12:S1134)*ROW(S$12:S1134),ROW($W$12))&amp;":M"&amp;(ROW()))))-SUM(INDIRECT("W"&amp;(MAX((1=S$12:S1134)*ROW(S$12:S1134),ROW($W$12))&amp;":W"&amp;(ROW()-1)))))
)
)</f>
        <v>0</v>
      </c>
      <c r="X1135" s="55">
        <f t="shared" ca="1" si="208"/>
        <v>0</v>
      </c>
      <c r="Y1135" s="101">
        <f t="shared" ca="1" si="215"/>
        <v>0</v>
      </c>
      <c r="Z1135" s="133" t="str">
        <f>IF(TYPE((VLOOKUP(Первоначальный[[#This Row],[Дата платежа]],График[Срок конец],1,0)))=16,"",1)</f>
        <v/>
      </c>
      <c r="AA1135" s="57"/>
      <c r="AB1135" s="134"/>
      <c r="AC113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3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81565.229999999981</v>
      </c>
      <c r="AE113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4978.3299999999945</v>
      </c>
      <c r="AF113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3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261023.56688032739</v>
      </c>
      <c r="AH1135" s="55"/>
      <c r="AI1135" s="55"/>
      <c r="AJ1135" s="55"/>
      <c r="AK1135" s="101">
        <f t="shared" ca="1" si="216"/>
        <v>497200.46688032732</v>
      </c>
      <c r="AL1135" s="129">
        <f t="array" ref="AL1135">MAX((УслРестрактов[Характеристика]="Дата реструктуризации")*(УслРестрактов[Значение]=Первоначальный!$A1135),0)</f>
        <v>0</v>
      </c>
    </row>
    <row r="1136" spans="1:38" x14ac:dyDescent="0.25">
      <c r="A1136" s="97">
        <f t="shared" si="209"/>
        <v>45267</v>
      </c>
      <c r="B1136" s="100">
        <f t="shared" ca="1" si="210"/>
        <v>149633.34</v>
      </c>
      <c r="C1136" s="55">
        <f t="shared" ca="1" si="206"/>
        <v>81565.229999999981</v>
      </c>
      <c r="D1136" s="55">
        <f t="shared" ca="1" si="206"/>
        <v>4978.3299999999945</v>
      </c>
      <c r="E1136" s="55">
        <f t="shared" ca="1" si="211"/>
        <v>0</v>
      </c>
      <c r="F1136" s="55">
        <f t="shared" ca="1" si="212"/>
        <v>261023.56688032739</v>
      </c>
      <c r="G1136" s="101">
        <f t="shared" ca="1" si="213"/>
        <v>497200.46688032732</v>
      </c>
      <c r="H1136" s="100">
        <f ca="1">ROUND($B1136*VLOOKUP($A1136,$A$1:$B$10,2,1)/(365+IF(MOD(YEAR($A1136),4),0,1)*($A1136-$A1135)),2)-Первоначальный[[#This Row],[Проценты на просроченный платеж по ОД за период]]</f>
        <v>71.3</v>
      </c>
      <c r="I1136" s="55">
        <f t="shared" ca="1" si="214"/>
        <v>10.28</v>
      </c>
      <c r="J1136" s="55">
        <v>0</v>
      </c>
      <c r="K1136" s="55">
        <f t="shared" ca="1" si="217"/>
        <v>492.42350327868843</v>
      </c>
      <c r="L1136" s="55">
        <v>0</v>
      </c>
      <c r="M1136" s="113">
        <f>SUMIFS(График[Возврат основной суммы долга],График[Дата с учетом нерабочих дней],$A1136)</f>
        <v>0</v>
      </c>
      <c r="N1136" s="56">
        <f>SUMIFS(График[Возврат начисленных %],График[Дата с учетом нерабочих дней],$A1136)</f>
        <v>0</v>
      </c>
      <c r="O1136" s="101">
        <v>0</v>
      </c>
      <c r="P1136" s="100" cm="1">
        <f t="array" aca="1" ref="P1136" ca="1">MAX(IF(AA1135="Да",0,SUM(INDIRECT("M"&amp;(MAX(("Да"=AA$12:AA1135)*ROW(AA$12:AA1135)+1,ROW($P$12))&amp;":M"&amp;(ROW()))))-SUM(INDIRECT("W"&amp;(MAX(("Да"=AA$12:AA1135)*ROW(AA$12:AA1135)+1,ROW($P$12))&amp;":W"&amp;(ROW()))))),0)</f>
        <v>18847.86</v>
      </c>
      <c r="Q1136" s="99">
        <f ca="1">MAX(SUM($N$13:N1136)-SUM($T$13:T1136),0)</f>
        <v>79636.840655737687</v>
      </c>
      <c r="R1136" s="99">
        <f ca="1">Первоначальный[[#This Row],[Просроченный платеж по ОД]]+Первоначальный[[#This Row],[Просроченный платеж по процентам]]</f>
        <v>98484.700655737688</v>
      </c>
      <c r="S1136" s="120">
        <f ca="1">IF(Первоначальный[[#This Row],[Просроченный платеж]]&lt;1,0,S1135+1)</f>
        <v>1032</v>
      </c>
      <c r="T1136" s="100" cm="1">
        <f t="array" aca="1" ref="T1136" ca="1">IF(Первоначальный[[#This Row],[Итого остаток на начало периода]]&lt;1,0,
IF(
AND(TYPE(VLOOKUP(1,$Z$12:Z1136,1,0))=16,Первоначальный[[#This Row],[Досрочное погашение (да/"")]]=""),0,
_xlfn.IFS(AND(S1135=0,Первоначальный[[#This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платеж]]&lt;&gt;0),MIN(LOOKUP(,-1/($Z$12:Z1136=1),$C$12:C1136)+LOOKUP(,-1/($Z$12:Z1136=1),$H$12:H1136),Первоначальный[[#This Row],[Полученный платеж]]+Y1135),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платеж]]+Y1135,SUM(Первоначальный[[#This Row],[Остаток процентов на начало периода]],Первоначальный[[#This Row],[Проценты за период]])),
AND(S1135=0,Первоначальный[[#This Row],[Дата платежа из графика]]=""),0,
AND(S1135=0,Первоначальный[[#This Row],[Дата платежа из графика]]=1,MAX((0&lt;&gt;S$12:S1135)*ROW(S$12:S1135),ROW($S$12))&gt;=MAX((1=Z$12:Z1135)*ROW(Z$12:Z1135),ROW($T$12)),TYPE(VLOOKUP("Да",(INDIRECT("AA"&amp;(MAX((1=Z$12:Z1135)*ROW(Z$12:Z1135),ROW($T$12))&amp;":AA"&amp;(ROW()-1)))),1,0))=16),MIN(LOOKUP(,-1/($Z$12:Z1136=1),$C$12:C1136)+LOOKUP(,-1/($Z$12:Z1136=1),$H$12:H1136),Первоначальный[[#This Row],[Полученный платеж]]+Y1135),
AND(S1135=0,TYPE(VLOOKUP("Да",(INDIRECT("AA"&amp;(MAX((1=Z$12:Z1135)*ROW(Z$12:Z1135),ROW($T$12))&amp;":AA"&amp;(ROW()-1)))),1,0))&lt;&gt;16),MIN(LOOKUP(,-1/($Z$12:Z1136=1),$C$12:C1136)+LOOKUP(,-1/($Z$12:Z1136=1),$H$12:H1136)-IF(AA1135="Да",0,SUM(INDIRECT("T"&amp;(MAX(("Да"=AA$12:AA1135)*ROW(AA$12:AA1135)+1,ROW($T$12))&amp;":T"&amp;(ROW()-1))))),Первоначальный[[#This Row],[Полученный платеж]]+Y1135),
AND(S1135=0,MAX((0&lt;&gt;N$12:N1135)*ROW(N$12:N1135),ROW($S$12))&gt;=MAX((1=Z$12:Z1135)*ROW(Z$12:Z1135),ROW($T$12))),MIN(LOOKUP(,-1/($Z$12:Z1136=1),$C$12:C1136)+LOOKUP(,-1/($Z$12:Z1136=1),$H$12:H1136)-IF(N1135&lt;&gt;0,0,SUM(INDIRECT("T"&amp;(MAX((0&lt;&gt;N$12:N1135)*ROW(N$12:N1135)+1,ROW($T$12))&amp;":T"&amp;(ROW()-1))))),Первоначальный[[#This Row],[Полученный платеж]]+Y1135),
AND(S1135=0,Первоначальный[[#This Row],[Дата платежа из графика]]=1),MIN(LOOKUP(,-1/($Z$12:Z1136=1),$C$12:C1136)+LOOKUP(,-1/($Z$12:Z1136=1),$H$12:H1136)-IF(Z1135=1,0,SUM(INDIRECT("T"&amp;(MAX((1=Z$12:Z1135)*ROW(Z$12:Z1135)+1,ROW($T$12))&amp;":T"&amp;(ROW()-1))))),Первоначальный[[#This Row],[Полученный платеж]]+Y1135),
AND(Z1135&gt;0,Первоначальный[[#This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платеж]]+Y1135),
AND(S1135&gt;0,MAX((0&lt;&gt;S$12:S1135)*ROW(S$12:S1135),ROW($S$12))&gt;=MAX((1=Z$12:Z1135)*ROW(Z$12:Z1135),ROW($T$12)),TYPE(VLOOKUP("Да",(INDIRECT("AA"&amp;(MAX((1=Z$12:Z1135)*ROW(Z$12:Z1135),ROW($T$12))&amp;":AA"&amp;(ROW()-1)))),1,0))=16),MIN(LOOKUP(,-1/($Z$12:Z1136=1),$C$12:C1136)+LOOKUP(,-1/($Z$12:Z1136=1),$H$12:H1136)-SUM(INDIRECT("T"&amp;(MAX((1=Z$12:Z1135)*ROW(Z$12:Z1135),ROW($T$12))&amp;":T"&amp;(ROW()-1)))),Первоначальный[[#This Row],[Полученный платеж]]+Y1135),
S1135&gt;0,MIN(LOOKUP(,-1/($Z$12:Z1136=1),$C$12:C1136)+LOOKUP(,-1/($Z$12:Z1136=1),$H$12:H1136)-IF(Z1135=1,0,SUM(INDIRECT("T"&amp;(MAX((1=Z$12:Z1135)*ROW(Z$12:Z1135)+1,ROW($T$12))&amp;":T"&amp;(ROW()-1))))),Первоначальный[[#This Row],[Полученный платеж]]+Y1135)
)
)
)</f>
        <v>0</v>
      </c>
      <c r="U113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платеж]]+Y1135-Первоначальный[[#This Row],[Полученный платёж по процентам]])</f>
        <v>0</v>
      </c>
      <c r="V1136" s="55">
        <f t="shared" ca="1" si="207"/>
        <v>0</v>
      </c>
      <c r="W1136" s="55" cm="1">
        <f t="array" aca="1" ref="W1136" ca="1">IF(Первоначальный[[#This Row],[Итого остаток на начало периода]]&lt;1,0,
_xlfn.IFS(
AND(TYPE(VLOOKUP(1,$Z$12:Z1136,1,0))=16,Первоначальный[[#This Row],[Досрочное погашение (да/"")]]=""),0,
AND(S1135=0,Первоначальный[[#This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платеж]]+Y1135-SUM(Первоначальный[[#This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комиссиям]]),VLOOKUP(LOOKUP(,-1/($Z$12:Z1136=1),$A$12:A1136),График[[Срок конец]:[Возврат основной суммы долга]],3,0)),
AND(S1135=0,Первоначальный[[#This Row],[Дата платежа из графика]]="",Первоначальный[[#This Row],[Досрочное погашение (да/"")]]&lt;&gt;"Да"),0,
AND(S1135=0,Первоначальный[[#This Row],[Досрочное погашение (да/"")]]=""),MIN(Первоначальный[[#This Row],[Полученный платеж]]+Y1135-SUM(Первоначальный[[#This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комиссиям]]),VLOOKUP(LOOKUP(,-1/($Z$12:Z1136=1),$A$12:A1136),График[[Срок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платеж]]+Y1135-SUM(Первоначальный[[#This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S1135&gt;0,MIN(Первоначальный[[#This Row],[Полученный платеж]]+Y1135-SUM(Первоначальный[[#This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комиссиям]]),SUM(INDIRECT("M"&amp;(MAX((1=S$12:S1135)*ROW(S$12:S1135),ROW($W$12))&amp;":M"&amp;(ROW()))))-SUM(INDIRECT("W"&amp;(MAX((1=S$12:S1135)*ROW(S$12:S1135),ROW($W$12))&amp;":W"&amp;(ROW()-1)))))
)
)</f>
        <v>0</v>
      </c>
      <c r="X1136" s="55">
        <f t="shared" ca="1" si="208"/>
        <v>0</v>
      </c>
      <c r="Y1136" s="101">
        <f t="shared" ca="1" si="215"/>
        <v>0</v>
      </c>
      <c r="Z1136" s="133" t="str">
        <f>IF(TYPE((VLOOKUP(Первоначальный[[#This Row],[Дата платежа]],График[Срок конец],1,0)))=16,"",1)</f>
        <v/>
      </c>
      <c r="AA1136" s="57"/>
      <c r="AB1136" s="134"/>
      <c r="AC113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3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81636.529999999984</v>
      </c>
      <c r="AE113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4988.6099999999942</v>
      </c>
      <c r="AF113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3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261515.99038360608</v>
      </c>
      <c r="AH1136" s="55"/>
      <c r="AI1136" s="55"/>
      <c r="AJ1136" s="55"/>
      <c r="AK1136" s="101">
        <f t="shared" ca="1" si="216"/>
        <v>497774.47038360604</v>
      </c>
      <c r="AL1136" s="129">
        <f t="array" ref="AL1136">MAX((УслРестрактов[Характеристика]="Дата реструктуризации")*(УслРестрактов[Значение]=Первоначальный!$A1136),0)</f>
        <v>0</v>
      </c>
    </row>
    <row r="1137" spans="1:38" x14ac:dyDescent="0.25">
      <c r="A1137" s="97">
        <f t="shared" si="209"/>
        <v>45268</v>
      </c>
      <c r="B1137" s="100">
        <f t="shared" ca="1" si="210"/>
        <v>149633.34</v>
      </c>
      <c r="C1137" s="55">
        <f t="shared" ca="1" si="206"/>
        <v>81636.529999999984</v>
      </c>
      <c r="D1137" s="55">
        <f t="shared" ca="1" si="206"/>
        <v>4988.6099999999942</v>
      </c>
      <c r="E1137" s="55">
        <f t="shared" ca="1" si="211"/>
        <v>0</v>
      </c>
      <c r="F1137" s="55">
        <f t="shared" ca="1" si="212"/>
        <v>261515.99038360608</v>
      </c>
      <c r="G1137" s="101">
        <f t="shared" ca="1" si="213"/>
        <v>497774.47038360604</v>
      </c>
      <c r="H1137" s="100">
        <f ca="1">ROUND($B1137*VLOOKUP($A1137,$A$1:$B$10,2,1)/(365+IF(MOD(YEAR($A1137),4),0,1)*($A1137-$A1136)),2)-Первоначальный[[#This Row],[Проценты на просроченный платеж по ОД за период]]</f>
        <v>71.3</v>
      </c>
      <c r="I1137" s="55">
        <f t="shared" ca="1" si="214"/>
        <v>10.28</v>
      </c>
      <c r="J1137" s="55">
        <v>0</v>
      </c>
      <c r="K1137" s="55">
        <f t="shared" ca="1" si="217"/>
        <v>492.42350327868843</v>
      </c>
      <c r="L1137" s="55">
        <v>0</v>
      </c>
      <c r="M1137" s="113">
        <f>SUMIFS(График[Возврат основной суммы долга],График[Дата с учетом нерабочих дней],$A1137)</f>
        <v>0</v>
      </c>
      <c r="N1137" s="56">
        <f>SUMIFS(График[Возврат начисленных %],График[Дата с учетом нерабочих дней],$A1137)</f>
        <v>0</v>
      </c>
      <c r="O1137" s="101">
        <v>0</v>
      </c>
      <c r="P1137" s="100" cm="1">
        <f t="array" aca="1" ref="P1137" ca="1">MAX(IF(AA1136="Да",0,SUM(INDIRECT("M"&amp;(MAX(("Да"=AA$12:AA1136)*ROW(AA$12:AA1136)+1,ROW($P$12))&amp;":M"&amp;(ROW()))))-SUM(INDIRECT("W"&amp;(MAX(("Да"=AA$12:AA1136)*ROW(AA$12:AA1136)+1,ROW($P$12))&amp;":W"&amp;(ROW()))))),0)</f>
        <v>18847.86</v>
      </c>
      <c r="Q1137" s="99">
        <f ca="1">MAX(SUM($N$13:N1137)-SUM($T$13:T1137),0)</f>
        <v>79636.840655737687</v>
      </c>
      <c r="R1137" s="99">
        <f ca="1">Первоначальный[[#This Row],[Просроченный платеж по ОД]]+Первоначальный[[#This Row],[Просроченный платеж по процентам]]</f>
        <v>98484.700655737688</v>
      </c>
      <c r="S1137" s="120">
        <f ca="1">IF(Первоначальный[[#This Row],[Просроченный платеж]]&lt;1,0,S1136+1)</f>
        <v>1033</v>
      </c>
      <c r="T1137" s="100" cm="1">
        <f t="array" aca="1" ref="T1137" ca="1">IF(Первоначальный[[#This Row],[Итого остаток на начало периода]]&lt;1,0,
IF(
AND(TYPE(VLOOKUP(1,$Z$12:Z1137,1,0))=16,Первоначальный[[#This Row],[Досрочное погашение (да/"")]]=""),0,
_xlfn.IFS(AND(S1136=0,Первоначальный[[#This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платеж]]&lt;&gt;0),MIN(LOOKUP(,-1/($Z$12:Z1137=1),$C$12:C1137)+LOOKUP(,-1/($Z$12:Z1137=1),$H$12:H1137),Первоначальный[[#This Row],[Полученный платеж]]+Y1136),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платеж]]+Y1136,SUM(Первоначальный[[#This Row],[Остаток процентов на начало периода]],Первоначальный[[#This Row],[Проценты за период]])),
AND(S1136=0,Первоначальный[[#This Row],[Дата платежа из графика]]=""),0,
AND(S1136=0,Первоначальный[[#This Row],[Дата платежа из графика]]=1,MAX((0&lt;&gt;S$12:S1136)*ROW(S$12:S1136),ROW($S$12))&gt;=MAX((1=Z$12:Z1136)*ROW(Z$12:Z1136),ROW($T$12)),TYPE(VLOOKUP("Да",(INDIRECT("AA"&amp;(MAX((1=Z$12:Z1136)*ROW(Z$12:Z1136),ROW($T$12))&amp;":AA"&amp;(ROW()-1)))),1,0))=16),MIN(LOOKUP(,-1/($Z$12:Z1137=1),$C$12:C1137)+LOOKUP(,-1/($Z$12:Z1137=1),$H$12:H1137),Первоначальный[[#This Row],[Полученный платеж]]+Y1136),
AND(S1136=0,TYPE(VLOOKUP("Да",(INDIRECT("AA"&amp;(MAX((1=Z$12:Z1136)*ROW(Z$12:Z1136),ROW($T$12))&amp;":AA"&amp;(ROW()-1)))),1,0))&lt;&gt;16),MIN(LOOKUP(,-1/($Z$12:Z1137=1),$C$12:C1137)+LOOKUP(,-1/($Z$12:Z1137=1),$H$12:H1137)-IF(AA1136="Да",0,SUM(INDIRECT("T"&amp;(MAX(("Да"=AA$12:AA1136)*ROW(AA$12:AA1136)+1,ROW($T$12))&amp;":T"&amp;(ROW()-1))))),Первоначальный[[#This Row],[Полученный платеж]]+Y1136),
AND(S1136=0,MAX((0&lt;&gt;N$12:N1136)*ROW(N$12:N1136),ROW($S$12))&gt;=MAX((1=Z$12:Z1136)*ROW(Z$12:Z1136),ROW($T$12))),MIN(LOOKUP(,-1/($Z$12:Z1137=1),$C$12:C1137)+LOOKUP(,-1/($Z$12:Z1137=1),$H$12:H1137)-IF(N1136&lt;&gt;0,0,SUM(INDIRECT("T"&amp;(MAX((0&lt;&gt;N$12:N1136)*ROW(N$12:N1136)+1,ROW($T$12))&amp;":T"&amp;(ROW()-1))))),Первоначальный[[#This Row],[Полученный платеж]]+Y1136),
AND(S1136=0,Первоначальный[[#This Row],[Дата платежа из графика]]=1),MIN(LOOKUP(,-1/($Z$12:Z1137=1),$C$12:C1137)+LOOKUP(,-1/($Z$12:Z1137=1),$H$12:H1137)-IF(Z1136=1,0,SUM(INDIRECT("T"&amp;(MAX((1=Z$12:Z1136)*ROW(Z$12:Z1136)+1,ROW($T$12))&amp;":T"&amp;(ROW()-1))))),Первоначальный[[#This Row],[Полученный платеж]]+Y1136),
AND(Z1136&gt;0,Первоначальный[[#This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платеж]]+Y1136),
AND(S1136&gt;0,MAX((0&lt;&gt;S$12:S1136)*ROW(S$12:S1136),ROW($S$12))&gt;=MAX((1=Z$12:Z1136)*ROW(Z$12:Z1136),ROW($T$12)),TYPE(VLOOKUP("Да",(INDIRECT("AA"&amp;(MAX((1=Z$12:Z1136)*ROW(Z$12:Z1136),ROW($T$12))&amp;":AA"&amp;(ROW()-1)))),1,0))=16),MIN(LOOKUP(,-1/($Z$12:Z1137=1),$C$12:C1137)+LOOKUP(,-1/($Z$12:Z1137=1),$H$12:H1137)-SUM(INDIRECT("T"&amp;(MAX((1=Z$12:Z1136)*ROW(Z$12:Z1136),ROW($T$12))&amp;":T"&amp;(ROW()-1)))),Первоначальный[[#This Row],[Полученный платеж]]+Y1136),
S1136&gt;0,MIN(LOOKUP(,-1/($Z$12:Z1137=1),$C$12:C1137)+LOOKUP(,-1/($Z$12:Z1137=1),$H$12:H1137)-IF(Z1136=1,0,SUM(INDIRECT("T"&amp;(MAX((1=Z$12:Z1136)*ROW(Z$12:Z1136)+1,ROW($T$12))&amp;":T"&amp;(ROW()-1))))),Первоначальный[[#This Row],[Полученный платеж]]+Y1136)
)
)
)</f>
        <v>0</v>
      </c>
      <c r="U113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платеж]]+Y1136-Первоначальный[[#This Row],[Полученный платёж по процентам]])</f>
        <v>0</v>
      </c>
      <c r="V1137" s="55">
        <f t="shared" ca="1" si="207"/>
        <v>0</v>
      </c>
      <c r="W1137" s="55" cm="1">
        <f t="array" aca="1" ref="W1137" ca="1">IF(Первоначальный[[#This Row],[Итого остаток на начало периода]]&lt;1,0,
_xlfn.IFS(
AND(TYPE(VLOOKUP(1,$Z$12:Z1137,1,0))=16,Первоначальный[[#This Row],[Досрочное погашение (да/"")]]=""),0,
AND(S1136=0,Первоначальный[[#This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платеж]]+Y1136-SUM(Первоначальный[[#This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комиссиям]]),VLOOKUP(LOOKUP(,-1/($Z$12:Z1137=1),$A$12:A1137),График[[Срок конец]:[Возврат основной суммы долга]],3,0)),
AND(S1136=0,Первоначальный[[#This Row],[Дата платежа из графика]]="",Первоначальный[[#This Row],[Досрочное погашение (да/"")]]&lt;&gt;"Да"),0,
AND(S1136=0,Первоначальный[[#This Row],[Досрочное погашение (да/"")]]=""),MIN(Первоначальный[[#This Row],[Полученный платеж]]+Y1136-SUM(Первоначальный[[#This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комиссиям]]),VLOOKUP(LOOKUP(,-1/($Z$12:Z1137=1),$A$12:A1137),График[[Срок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платеж]]+Y1136-SUM(Первоначальный[[#This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S1136&gt;0,MIN(Первоначальный[[#This Row],[Полученный платеж]]+Y1136-SUM(Первоначальный[[#This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комиссиям]]),SUM(INDIRECT("M"&amp;(MAX((1=S$12:S1136)*ROW(S$12:S1136),ROW($W$12))&amp;":M"&amp;(ROW()))))-SUM(INDIRECT("W"&amp;(MAX((1=S$12:S1136)*ROW(S$12:S1136),ROW($W$12))&amp;":W"&amp;(ROW()-1)))))
)
)</f>
        <v>0</v>
      </c>
      <c r="X1137" s="55">
        <f t="shared" ca="1" si="208"/>
        <v>0</v>
      </c>
      <c r="Y1137" s="101">
        <f t="shared" ca="1" si="215"/>
        <v>0</v>
      </c>
      <c r="Z1137" s="133" t="str">
        <f>IF(TYPE((VLOOKUP(Первоначальный[[#This Row],[Дата платежа]],График[Срок конец],1,0)))=16,"",1)</f>
        <v/>
      </c>
      <c r="AA1137" s="57"/>
      <c r="AB1137" s="134"/>
      <c r="AC113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3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81707.829999999987</v>
      </c>
      <c r="AE113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4998.889999999994</v>
      </c>
      <c r="AF113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3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262008.41388688478</v>
      </c>
      <c r="AH1137" s="55"/>
      <c r="AI1137" s="55"/>
      <c r="AJ1137" s="55"/>
      <c r="AK1137" s="101">
        <f t="shared" ca="1" si="216"/>
        <v>498348.47388688475</v>
      </c>
      <c r="AL1137" s="129">
        <f t="array" ref="AL1137">MAX((УслРестрактов[Характеристика]="Дата реструктуризации")*(УслРестрактов[Значение]=Первоначальный!$A1137),0)</f>
        <v>0</v>
      </c>
    </row>
    <row r="1138" spans="1:38" x14ac:dyDescent="0.25">
      <c r="A1138" s="97">
        <f t="shared" si="209"/>
        <v>45269</v>
      </c>
      <c r="B1138" s="100">
        <f t="shared" ca="1" si="210"/>
        <v>149633.34</v>
      </c>
      <c r="C1138" s="55">
        <f t="shared" ca="1" si="206"/>
        <v>81707.829999999987</v>
      </c>
      <c r="D1138" s="55">
        <f t="shared" ca="1" si="206"/>
        <v>4998.889999999994</v>
      </c>
      <c r="E1138" s="55">
        <f t="shared" ca="1" si="211"/>
        <v>0</v>
      </c>
      <c r="F1138" s="55">
        <f t="shared" ca="1" si="212"/>
        <v>262008.41388688478</v>
      </c>
      <c r="G1138" s="101">
        <f t="shared" ca="1" si="213"/>
        <v>498348.47388688475</v>
      </c>
      <c r="H1138" s="100">
        <f ca="1">ROUND($B1138*VLOOKUP($A1138,$A$1:$B$10,2,1)/(365+IF(MOD(YEAR($A1138),4),0,1)*($A1138-$A1137)),2)-Первоначальный[[#This Row],[Проценты на просроченный платеж по ОД за период]]</f>
        <v>71.3</v>
      </c>
      <c r="I1138" s="55">
        <f t="shared" ca="1" si="214"/>
        <v>10.28</v>
      </c>
      <c r="J1138" s="55">
        <v>0</v>
      </c>
      <c r="K1138" s="55">
        <f t="shared" ca="1" si="217"/>
        <v>492.42350327868843</v>
      </c>
      <c r="L1138" s="55">
        <v>0</v>
      </c>
      <c r="M1138" s="113">
        <f>SUMIFS(График[Возврат основной суммы долга],График[Дата с учетом нерабочих дней],$A1138)</f>
        <v>0</v>
      </c>
      <c r="N1138" s="56">
        <f>SUMIFS(График[Возврат начисленных %],График[Дата с учетом нерабочих дней],$A1138)</f>
        <v>0</v>
      </c>
      <c r="O1138" s="101">
        <v>0</v>
      </c>
      <c r="P1138" s="100" cm="1">
        <f t="array" aca="1" ref="P1138" ca="1">MAX(IF(AA1137="Да",0,SUM(INDIRECT("M"&amp;(MAX(("Да"=AA$12:AA1137)*ROW(AA$12:AA1137)+1,ROW($P$12))&amp;":M"&amp;(ROW()))))-SUM(INDIRECT("W"&amp;(MAX(("Да"=AA$12:AA1137)*ROW(AA$12:AA1137)+1,ROW($P$12))&amp;":W"&amp;(ROW()))))),0)</f>
        <v>18847.86</v>
      </c>
      <c r="Q1138" s="99">
        <f ca="1">MAX(SUM($N$13:N1138)-SUM($T$13:T1138),0)</f>
        <v>79636.840655737687</v>
      </c>
      <c r="R1138" s="99">
        <f ca="1">Первоначальный[[#This Row],[Просроченный платеж по ОД]]+Первоначальный[[#This Row],[Просроченный платеж по процентам]]</f>
        <v>98484.700655737688</v>
      </c>
      <c r="S1138" s="120">
        <f ca="1">IF(Первоначальный[[#This Row],[Просроченный платеж]]&lt;1,0,S1137+1)</f>
        <v>1034</v>
      </c>
      <c r="T1138" s="100" cm="1">
        <f t="array" aca="1" ref="T1138" ca="1">IF(Первоначальный[[#This Row],[Итого остаток на начало периода]]&lt;1,0,
IF(
AND(TYPE(VLOOKUP(1,$Z$12:Z1138,1,0))=16,Первоначальный[[#This Row],[Досрочное погашение (да/"")]]=""),0,
_xlfn.IFS(AND(S1137=0,Первоначальный[[#This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платеж]]&lt;&gt;0),MIN(LOOKUP(,-1/($Z$12:Z1138=1),$C$12:C1138)+LOOKUP(,-1/($Z$12:Z1138=1),$H$12:H1138),Первоначальный[[#This Row],[Полученный платеж]]+Y1137),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платеж]]+Y1137,SUM(Первоначальный[[#This Row],[Остаток процентов на начало периода]],Первоначальный[[#This Row],[Проценты за период]])),
AND(S1137=0,Первоначальный[[#This Row],[Дата платежа из графика]]=""),0,
AND(S1137=0,Первоначальный[[#This Row],[Дата платежа из графика]]=1,MAX((0&lt;&gt;S$12:S1137)*ROW(S$12:S1137),ROW($S$12))&gt;=MAX((1=Z$12:Z1137)*ROW(Z$12:Z1137),ROW($T$12)),TYPE(VLOOKUP("Да",(INDIRECT("AA"&amp;(MAX((1=Z$12:Z1137)*ROW(Z$12:Z1137),ROW($T$12))&amp;":AA"&amp;(ROW()-1)))),1,0))=16),MIN(LOOKUP(,-1/($Z$12:Z1138=1),$C$12:C1138)+LOOKUP(,-1/($Z$12:Z1138=1),$H$12:H1138),Первоначальный[[#This Row],[Полученный платеж]]+Y1137),
AND(S1137=0,TYPE(VLOOKUP("Да",(INDIRECT("AA"&amp;(MAX((1=Z$12:Z1137)*ROW(Z$12:Z1137),ROW($T$12))&amp;":AA"&amp;(ROW()-1)))),1,0))&lt;&gt;16),MIN(LOOKUP(,-1/($Z$12:Z1138=1),$C$12:C1138)+LOOKUP(,-1/($Z$12:Z1138=1),$H$12:H1138)-IF(AA1137="Да",0,SUM(INDIRECT("T"&amp;(MAX(("Да"=AA$12:AA1137)*ROW(AA$12:AA1137)+1,ROW($T$12))&amp;":T"&amp;(ROW()-1))))),Первоначальный[[#This Row],[Полученный платеж]]+Y1137),
AND(S1137=0,MAX((0&lt;&gt;N$12:N1137)*ROW(N$12:N1137),ROW($S$12))&gt;=MAX((1=Z$12:Z1137)*ROW(Z$12:Z1137),ROW($T$12))),MIN(LOOKUP(,-1/($Z$12:Z1138=1),$C$12:C1138)+LOOKUP(,-1/($Z$12:Z1138=1),$H$12:H1138)-IF(N1137&lt;&gt;0,0,SUM(INDIRECT("T"&amp;(MAX((0&lt;&gt;N$12:N1137)*ROW(N$12:N1137)+1,ROW($T$12))&amp;":T"&amp;(ROW()-1))))),Первоначальный[[#This Row],[Полученный платеж]]+Y1137),
AND(S1137=0,Первоначальный[[#This Row],[Дата платежа из графика]]=1),MIN(LOOKUP(,-1/($Z$12:Z1138=1),$C$12:C1138)+LOOKUP(,-1/($Z$12:Z1138=1),$H$12:H1138)-IF(Z1137=1,0,SUM(INDIRECT("T"&amp;(MAX((1=Z$12:Z1137)*ROW(Z$12:Z1137)+1,ROW($T$12))&amp;":T"&amp;(ROW()-1))))),Первоначальный[[#This Row],[Полученный платеж]]+Y1137),
AND(Z1137&gt;0,Первоначальный[[#This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платеж]]+Y1137),
AND(S1137&gt;0,MAX((0&lt;&gt;S$12:S1137)*ROW(S$12:S1137),ROW($S$12))&gt;=MAX((1=Z$12:Z1137)*ROW(Z$12:Z1137),ROW($T$12)),TYPE(VLOOKUP("Да",(INDIRECT("AA"&amp;(MAX((1=Z$12:Z1137)*ROW(Z$12:Z1137),ROW($T$12))&amp;":AA"&amp;(ROW()-1)))),1,0))=16),MIN(LOOKUP(,-1/($Z$12:Z1138=1),$C$12:C1138)+LOOKUP(,-1/($Z$12:Z1138=1),$H$12:H1138)-SUM(INDIRECT("T"&amp;(MAX((1=Z$12:Z1137)*ROW(Z$12:Z1137),ROW($T$12))&amp;":T"&amp;(ROW()-1)))),Первоначальный[[#This Row],[Полученный платеж]]+Y1137),
S1137&gt;0,MIN(LOOKUP(,-1/($Z$12:Z1138=1),$C$12:C1138)+LOOKUP(,-1/($Z$12:Z1138=1),$H$12:H1138)-IF(Z1137=1,0,SUM(INDIRECT("T"&amp;(MAX((1=Z$12:Z1137)*ROW(Z$12:Z1137)+1,ROW($T$12))&amp;":T"&amp;(ROW()-1))))),Первоначальный[[#This Row],[Полученный платеж]]+Y1137)
)
)
)</f>
        <v>0</v>
      </c>
      <c r="U113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платеж]]+Y1137-Первоначальный[[#This Row],[Полученный платёж по процентам]])</f>
        <v>0</v>
      </c>
      <c r="V1138" s="55">
        <f t="shared" ca="1" si="207"/>
        <v>0</v>
      </c>
      <c r="W1138" s="55" cm="1">
        <f t="array" aca="1" ref="W1138" ca="1">IF(Первоначальный[[#This Row],[Итого остаток на начало периода]]&lt;1,0,
_xlfn.IFS(
AND(TYPE(VLOOKUP(1,$Z$12:Z1138,1,0))=16,Первоначальный[[#This Row],[Досрочное погашение (да/"")]]=""),0,
AND(S1137=0,Первоначальный[[#This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платеж]]+Y1137-SUM(Первоначальный[[#This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комиссиям]]),VLOOKUP(LOOKUP(,-1/($Z$12:Z1138=1),$A$12:A1138),График[[Срок конец]:[Возврат основной суммы долга]],3,0)),
AND(S1137=0,Первоначальный[[#This Row],[Дата платежа из графика]]="",Первоначальный[[#This Row],[Досрочное погашение (да/"")]]&lt;&gt;"Да"),0,
AND(S1137=0,Первоначальный[[#This Row],[Досрочное погашение (да/"")]]=""),MIN(Первоначальный[[#This Row],[Полученный платеж]]+Y1137-SUM(Первоначальный[[#This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комиссиям]]),VLOOKUP(LOOKUP(,-1/($Z$12:Z1138=1),$A$12:A1138),График[[Срок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платеж]]+Y1137-SUM(Первоначальный[[#This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S1137&gt;0,MIN(Первоначальный[[#This Row],[Полученный платеж]]+Y1137-SUM(Первоначальный[[#This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комиссиям]]),SUM(INDIRECT("M"&amp;(MAX((1=S$12:S1137)*ROW(S$12:S1137),ROW($W$12))&amp;":M"&amp;(ROW()))))-SUM(INDIRECT("W"&amp;(MAX((1=S$12:S1137)*ROW(S$12:S1137),ROW($W$12))&amp;":W"&amp;(ROW()-1)))))
)
)</f>
        <v>0</v>
      </c>
      <c r="X1138" s="55">
        <f t="shared" ca="1" si="208"/>
        <v>0</v>
      </c>
      <c r="Y1138" s="101">
        <f t="shared" ca="1" si="215"/>
        <v>0</v>
      </c>
      <c r="Z1138" s="133">
        <f>IF(TYPE((VLOOKUP(Первоначальный[[#This Row],[Дата платежа]],График[Срок конец],1,0)))=16,"",1)</f>
        <v>1</v>
      </c>
      <c r="AA1138" s="57"/>
      <c r="AB1138" s="134"/>
      <c r="AC113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3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81779.12999999999</v>
      </c>
      <c r="AE113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5009.1699999999937</v>
      </c>
      <c r="AF113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3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262500.83739016345</v>
      </c>
      <c r="AH1138" s="55"/>
      <c r="AI1138" s="55"/>
      <c r="AJ1138" s="55"/>
      <c r="AK1138" s="101">
        <f t="shared" ca="1" si="216"/>
        <v>498922.4773901634</v>
      </c>
      <c r="AL1138" s="129">
        <f t="array" ref="AL1138">MAX((УслРестрактов[Характеристика]="Дата реструктуризации")*(УслРестрактов[Значение]=Первоначальный!$A1138),0)</f>
        <v>0</v>
      </c>
    </row>
    <row r="1139" spans="1:38" x14ac:dyDescent="0.25">
      <c r="A1139" s="97">
        <f t="shared" si="209"/>
        <v>45270</v>
      </c>
      <c r="B1139" s="100">
        <f t="shared" ca="1" si="210"/>
        <v>149633.34</v>
      </c>
      <c r="C1139" s="55">
        <f t="shared" ca="1" si="206"/>
        <v>81779.12999999999</v>
      </c>
      <c r="D1139" s="55">
        <f t="shared" ca="1" si="206"/>
        <v>5009.1699999999937</v>
      </c>
      <c r="E1139" s="55">
        <f t="shared" ca="1" si="211"/>
        <v>0</v>
      </c>
      <c r="F1139" s="55">
        <f t="shared" ca="1" si="212"/>
        <v>262500.83739016345</v>
      </c>
      <c r="G1139" s="101">
        <f t="shared" ca="1" si="213"/>
        <v>498922.4773901634</v>
      </c>
      <c r="H1139" s="100">
        <f ca="1">ROUND($B1139*VLOOKUP($A1139,$A$1:$B$10,2,1)/(365+IF(MOD(YEAR($A1139),4),0,1)*($A1139-$A1138)),2)-Первоначальный[[#This Row],[Проценты на просроченный платеж по ОД за период]]</f>
        <v>71.3</v>
      </c>
      <c r="I1139" s="55">
        <f t="shared" ca="1" si="214"/>
        <v>10.28</v>
      </c>
      <c r="J1139" s="55">
        <v>0</v>
      </c>
      <c r="K1139" s="55">
        <f t="shared" ca="1" si="217"/>
        <v>492.42350327868843</v>
      </c>
      <c r="L1139" s="55">
        <v>0</v>
      </c>
      <c r="M1139" s="113">
        <f>SUMIFS(График[Возврат основной суммы долга],График[Дата с учетом нерабочих дней],$A1139)</f>
        <v>0</v>
      </c>
      <c r="N1139" s="56">
        <f>SUMIFS(График[Возврат начисленных %],График[Дата с учетом нерабочих дней],$A1139)</f>
        <v>0</v>
      </c>
      <c r="O1139" s="101">
        <v>0</v>
      </c>
      <c r="P1139" s="100" cm="1">
        <f t="array" aca="1" ref="P1139" ca="1">MAX(IF(AA1138="Да",0,SUM(INDIRECT("M"&amp;(MAX(("Да"=AA$12:AA1138)*ROW(AA$12:AA1138)+1,ROW($P$12))&amp;":M"&amp;(ROW()))))-SUM(INDIRECT("W"&amp;(MAX(("Да"=AA$12:AA1138)*ROW(AA$12:AA1138)+1,ROW($P$12))&amp;":W"&amp;(ROW()))))),0)</f>
        <v>18847.86</v>
      </c>
      <c r="Q1139" s="99">
        <f ca="1">MAX(SUM($N$13:N1139)-SUM($T$13:T1139),0)</f>
        <v>79636.840655737687</v>
      </c>
      <c r="R1139" s="99">
        <f ca="1">Первоначальный[[#This Row],[Просроченный платеж по ОД]]+Первоначальный[[#This Row],[Просроченный платеж по процентам]]</f>
        <v>98484.700655737688</v>
      </c>
      <c r="S1139" s="120">
        <f ca="1">IF(Первоначальный[[#This Row],[Просроченный платеж]]&lt;1,0,S1138+1)</f>
        <v>1035</v>
      </c>
      <c r="T1139" s="100" cm="1">
        <f t="array" aca="1" ref="T1139" ca="1">IF(Первоначальный[[#This Row],[Итого остаток на начало периода]]&lt;1,0,
IF(
AND(TYPE(VLOOKUP(1,$Z$12:Z1139,1,0))=16,Первоначальный[[#This Row],[Досрочное погашение (да/"")]]=""),0,
_xlfn.IFS(AND(S1138=0,Первоначальный[[#This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платеж]]&lt;&gt;0),MIN(LOOKUP(,-1/($Z$12:Z1139=1),$C$12:C1139)+LOOKUP(,-1/($Z$12:Z1139=1),$H$12:H1139),Первоначальный[[#This Row],[Полученный платеж]]+Y1138),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платеж]]+Y1138,SUM(Первоначальный[[#This Row],[Остаток процентов на начало периода]],Первоначальный[[#This Row],[Проценты за период]])),
AND(S1138=0,Первоначальный[[#This Row],[Дата платежа из графика]]=""),0,
AND(S1138=0,Первоначальный[[#This Row],[Дата платежа из графика]]=1,MAX((0&lt;&gt;S$12:S1138)*ROW(S$12:S1138),ROW($S$12))&gt;=MAX((1=Z$12:Z1138)*ROW(Z$12:Z1138),ROW($T$12)),TYPE(VLOOKUP("Да",(INDIRECT("AA"&amp;(MAX((1=Z$12:Z1138)*ROW(Z$12:Z1138),ROW($T$12))&amp;":AA"&amp;(ROW()-1)))),1,0))=16),MIN(LOOKUP(,-1/($Z$12:Z1139=1),$C$12:C1139)+LOOKUP(,-1/($Z$12:Z1139=1),$H$12:H1139),Первоначальный[[#This Row],[Полученный платеж]]+Y1138),
AND(S1138=0,TYPE(VLOOKUP("Да",(INDIRECT("AA"&amp;(MAX((1=Z$12:Z1138)*ROW(Z$12:Z1138),ROW($T$12))&amp;":AA"&amp;(ROW()-1)))),1,0))&lt;&gt;16),MIN(LOOKUP(,-1/($Z$12:Z1139=1),$C$12:C1139)+LOOKUP(,-1/($Z$12:Z1139=1),$H$12:H1139)-IF(AA1138="Да",0,SUM(INDIRECT("T"&amp;(MAX(("Да"=AA$12:AA1138)*ROW(AA$12:AA1138)+1,ROW($T$12))&amp;":T"&amp;(ROW()-1))))),Первоначальный[[#This Row],[Полученный платеж]]+Y1138),
AND(S1138=0,MAX((0&lt;&gt;N$12:N1138)*ROW(N$12:N1138),ROW($S$12))&gt;=MAX((1=Z$12:Z1138)*ROW(Z$12:Z1138),ROW($T$12))),MIN(LOOKUP(,-1/($Z$12:Z1139=1),$C$12:C1139)+LOOKUP(,-1/($Z$12:Z1139=1),$H$12:H1139)-IF(N1138&lt;&gt;0,0,SUM(INDIRECT("T"&amp;(MAX((0&lt;&gt;N$12:N1138)*ROW(N$12:N1138)+1,ROW($T$12))&amp;":T"&amp;(ROW()-1))))),Первоначальный[[#This Row],[Полученный платеж]]+Y1138),
AND(S1138=0,Первоначальный[[#This Row],[Дата платежа из графика]]=1),MIN(LOOKUP(,-1/($Z$12:Z1139=1),$C$12:C1139)+LOOKUP(,-1/($Z$12:Z1139=1),$H$12:H1139)-IF(Z1138=1,0,SUM(INDIRECT("T"&amp;(MAX((1=Z$12:Z1138)*ROW(Z$12:Z1138)+1,ROW($T$12))&amp;":T"&amp;(ROW()-1))))),Первоначальный[[#This Row],[Полученный платеж]]+Y1138),
AND(Z1138&gt;0,Первоначальный[[#This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платеж]]+Y1138),
AND(S1138&gt;0,MAX((0&lt;&gt;S$12:S1138)*ROW(S$12:S1138),ROW($S$12))&gt;=MAX((1=Z$12:Z1138)*ROW(Z$12:Z1138),ROW($T$12)),TYPE(VLOOKUP("Да",(INDIRECT("AA"&amp;(MAX((1=Z$12:Z1138)*ROW(Z$12:Z1138),ROW($T$12))&amp;":AA"&amp;(ROW()-1)))),1,0))=16),MIN(LOOKUP(,-1/($Z$12:Z1139=1),$C$12:C1139)+LOOKUP(,-1/($Z$12:Z1139=1),$H$12:H1139)-SUM(INDIRECT("T"&amp;(MAX((1=Z$12:Z1138)*ROW(Z$12:Z1138),ROW($T$12))&amp;":T"&amp;(ROW()-1)))),Первоначальный[[#This Row],[Полученный платеж]]+Y1138),
S1138&gt;0,MIN(LOOKUP(,-1/($Z$12:Z1139=1),$C$12:C1139)+LOOKUP(,-1/($Z$12:Z1139=1),$H$12:H1139)-IF(Z1138=1,0,SUM(INDIRECT("T"&amp;(MAX((1=Z$12:Z1138)*ROW(Z$12:Z1138)+1,ROW($T$12))&amp;":T"&amp;(ROW()-1))))),Первоначальный[[#This Row],[Полученный платеж]]+Y1138)
)
)
)</f>
        <v>0</v>
      </c>
      <c r="U113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платеж]]+Y1138-Первоначальный[[#This Row],[Полученный платёж по процентам]])</f>
        <v>0</v>
      </c>
      <c r="V1139" s="55">
        <f t="shared" ca="1" si="207"/>
        <v>0</v>
      </c>
      <c r="W1139" s="55" cm="1">
        <f t="array" aca="1" ref="W1139" ca="1">IF(Первоначальный[[#This Row],[Итого остаток на начало периода]]&lt;1,0,
_xlfn.IFS(
AND(TYPE(VLOOKUP(1,$Z$12:Z1139,1,0))=16,Первоначальный[[#This Row],[Досрочное погашение (да/"")]]=""),0,
AND(S1138=0,Первоначальный[[#This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платеж]]+Y1138-SUM(Первоначальный[[#This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комиссиям]]),VLOOKUP(LOOKUP(,-1/($Z$12:Z1139=1),$A$12:A1139),График[[Срок конец]:[Возврат основной суммы долга]],3,0)),
AND(S1138=0,Первоначальный[[#This Row],[Дата платежа из графика]]="",Первоначальный[[#This Row],[Досрочное погашение (да/"")]]&lt;&gt;"Да"),0,
AND(S1138=0,Первоначальный[[#This Row],[Досрочное погашение (да/"")]]=""),MIN(Первоначальный[[#This Row],[Полученный платеж]]+Y1138-SUM(Первоначальный[[#This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комиссиям]]),VLOOKUP(LOOKUP(,-1/($Z$12:Z1139=1),$A$12:A1139),График[[Срок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платеж]]+Y1138-SUM(Первоначальный[[#This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S1138&gt;0,MIN(Первоначальный[[#This Row],[Полученный платеж]]+Y1138-SUM(Первоначальный[[#This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комиссиям]]),SUM(INDIRECT("M"&amp;(MAX((1=S$12:S1138)*ROW(S$12:S1138),ROW($W$12))&amp;":M"&amp;(ROW()))))-SUM(INDIRECT("W"&amp;(MAX((1=S$12:S1138)*ROW(S$12:S1138),ROW($W$12))&amp;":W"&amp;(ROW()-1)))))
)
)</f>
        <v>0</v>
      </c>
      <c r="X1139" s="55">
        <f t="shared" ca="1" si="208"/>
        <v>0</v>
      </c>
      <c r="Y1139" s="101">
        <f t="shared" ca="1" si="215"/>
        <v>0</v>
      </c>
      <c r="Z1139" s="133" t="str">
        <f>IF(TYPE((VLOOKUP(Первоначальный[[#This Row],[Дата платежа]],График[Срок конец],1,0)))=16,"",1)</f>
        <v/>
      </c>
      <c r="AA1139" s="57"/>
      <c r="AB1139" s="134"/>
      <c r="AC113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3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81850.429999999993</v>
      </c>
      <c r="AE113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5019.4499999999935</v>
      </c>
      <c r="AF113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3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262993.26089344214</v>
      </c>
      <c r="AH1139" s="55"/>
      <c r="AI1139" s="55"/>
      <c r="AJ1139" s="55"/>
      <c r="AK1139" s="101">
        <f t="shared" ca="1" si="216"/>
        <v>499496.48089344212</v>
      </c>
      <c r="AL1139" s="129">
        <f t="array" ref="AL1139">MAX((УслРестрактов[Характеристика]="Дата реструктуризации")*(УслРестрактов[Значение]=Первоначальный!$A1139),0)</f>
        <v>0</v>
      </c>
    </row>
    <row r="1140" spans="1:38" x14ac:dyDescent="0.25">
      <c r="A1140" s="97">
        <f t="shared" si="209"/>
        <v>45271</v>
      </c>
      <c r="B1140" s="100">
        <f t="shared" ca="1" si="210"/>
        <v>149633.34</v>
      </c>
      <c r="C1140" s="55">
        <f t="shared" ca="1" si="206"/>
        <v>81850.429999999993</v>
      </c>
      <c r="D1140" s="55">
        <f t="shared" ca="1" si="206"/>
        <v>5019.4499999999935</v>
      </c>
      <c r="E1140" s="55">
        <f t="shared" ca="1" si="211"/>
        <v>0</v>
      </c>
      <c r="F1140" s="55">
        <f t="shared" ca="1" si="212"/>
        <v>262993.26089344214</v>
      </c>
      <c r="G1140" s="101">
        <f t="shared" ca="1" si="213"/>
        <v>499496.48089344212</v>
      </c>
      <c r="H1140" s="100">
        <f ca="1">ROUND($B1140*VLOOKUP($A1140,$A$1:$B$10,2,1)/(365+IF(MOD(YEAR($A1140),4),0,1)*($A1140-$A1139)),2)-Первоначальный[[#This Row],[Проценты на просроченный платеж по ОД за период]]</f>
        <v>71.3</v>
      </c>
      <c r="I1140" s="55">
        <f t="shared" ca="1" si="214"/>
        <v>10.28</v>
      </c>
      <c r="J1140" s="55">
        <v>0</v>
      </c>
      <c r="K1140" s="55">
        <f t="shared" ca="1" si="217"/>
        <v>506.90850327868844</v>
      </c>
      <c r="L1140" s="55">
        <v>0</v>
      </c>
      <c r="M1140" s="113">
        <f>SUMIFS(График[Возврат основной суммы долга],График[Дата с учетом нерабочих дней],$A1140)</f>
        <v>757.84999999999991</v>
      </c>
      <c r="N1140" s="56">
        <f>SUMIFS(График[Возврат начисленных %],График[Дата с учетом нерабочих дней],$A1140)</f>
        <v>2139.15</v>
      </c>
      <c r="O1140" s="101">
        <v>0</v>
      </c>
      <c r="P1140" s="100" cm="1">
        <f t="array" aca="1" ref="P1140" ca="1">MAX(IF(AA1139="Да",0,SUM(INDIRECT("M"&amp;(MAX(("Да"=AA$12:AA1139)*ROW(AA$12:AA1139)+1,ROW($P$12))&amp;":M"&amp;(ROW()))))-SUM(INDIRECT("W"&amp;(MAX(("Да"=AA$12:AA1139)*ROW(AA$12:AA1139)+1,ROW($P$12))&amp;":W"&amp;(ROW()))))),0)</f>
        <v>19605.71</v>
      </c>
      <c r="Q1140" s="99">
        <f ca="1">MAX(SUM($N$13:N1140)-SUM($T$13:T1140),0)</f>
        <v>81775.990655737682</v>
      </c>
      <c r="R1140" s="99">
        <f ca="1">Первоначальный[[#This Row],[Просроченный платеж по ОД]]+Первоначальный[[#This Row],[Просроченный платеж по процентам]]</f>
        <v>101381.70065573769</v>
      </c>
      <c r="S1140" s="120">
        <f ca="1">IF(Первоначальный[[#This Row],[Просроченный платеж]]&lt;1,0,S1139+1)</f>
        <v>1036</v>
      </c>
      <c r="T1140" s="100" cm="1">
        <f t="array" aca="1" ref="T1140" ca="1">IF(Первоначальный[[#This Row],[Итого остаток на начало периода]]&lt;1,0,
IF(
AND(TYPE(VLOOKUP(1,$Z$12:Z1140,1,0))=16,Первоначальный[[#This Row],[Досрочное погашение (да/"")]]=""),0,
_xlfn.IFS(AND(S1139=0,Первоначальный[[#This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платеж]]&lt;&gt;0),MIN(LOOKUP(,-1/($Z$12:Z1140=1),$C$12:C1140)+LOOKUP(,-1/($Z$12:Z1140=1),$H$12:H1140),Первоначальный[[#This Row],[Полученный платеж]]+Y1139),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платеж]]+Y1139,SUM(Первоначальный[[#This Row],[Остаток процентов на начало периода]],Первоначальный[[#This Row],[Проценты за период]])),
AND(S1139=0,Первоначальный[[#This Row],[Дата платежа из графика]]=""),0,
AND(S1139=0,Первоначальный[[#This Row],[Дата платежа из графика]]=1,MAX((0&lt;&gt;S$12:S1139)*ROW(S$12:S1139),ROW($S$12))&gt;=MAX((1=Z$12:Z1139)*ROW(Z$12:Z1139),ROW($T$12)),TYPE(VLOOKUP("Да",(INDIRECT("AA"&amp;(MAX((1=Z$12:Z1139)*ROW(Z$12:Z1139),ROW($T$12))&amp;":AA"&amp;(ROW()-1)))),1,0))=16),MIN(LOOKUP(,-1/($Z$12:Z1140=1),$C$12:C1140)+LOOKUP(,-1/($Z$12:Z1140=1),$H$12:H1140),Первоначальный[[#This Row],[Полученный платеж]]+Y1139),
AND(S1139=0,TYPE(VLOOKUP("Да",(INDIRECT("AA"&amp;(MAX((1=Z$12:Z1139)*ROW(Z$12:Z1139),ROW($T$12))&amp;":AA"&amp;(ROW()-1)))),1,0))&lt;&gt;16),MIN(LOOKUP(,-1/($Z$12:Z1140=1),$C$12:C1140)+LOOKUP(,-1/($Z$12:Z1140=1),$H$12:H1140)-IF(AA1139="Да",0,SUM(INDIRECT("T"&amp;(MAX(("Да"=AA$12:AA1139)*ROW(AA$12:AA1139)+1,ROW($T$12))&amp;":T"&amp;(ROW()-1))))),Первоначальный[[#This Row],[Полученный платеж]]+Y1139),
AND(S1139=0,MAX((0&lt;&gt;N$12:N1139)*ROW(N$12:N1139),ROW($S$12))&gt;=MAX((1=Z$12:Z1139)*ROW(Z$12:Z1139),ROW($T$12))),MIN(LOOKUP(,-1/($Z$12:Z1140=1),$C$12:C1140)+LOOKUP(,-1/($Z$12:Z1140=1),$H$12:H1140)-IF(N1139&lt;&gt;0,0,SUM(INDIRECT("T"&amp;(MAX((0&lt;&gt;N$12:N1139)*ROW(N$12:N1139)+1,ROW($T$12))&amp;":T"&amp;(ROW()-1))))),Первоначальный[[#This Row],[Полученный платеж]]+Y1139),
AND(S1139=0,Первоначальный[[#This Row],[Дата платежа из графика]]=1),MIN(LOOKUP(,-1/($Z$12:Z1140=1),$C$12:C1140)+LOOKUP(,-1/($Z$12:Z1140=1),$H$12:H1140)-IF(Z1139=1,0,SUM(INDIRECT("T"&amp;(MAX((1=Z$12:Z1139)*ROW(Z$12:Z1139)+1,ROW($T$12))&amp;":T"&amp;(ROW()-1))))),Первоначальный[[#This Row],[Полученный платеж]]+Y1139),
AND(Z1139&gt;0,Первоначальный[[#This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платеж]]+Y1139),
AND(S1139&gt;0,MAX((0&lt;&gt;S$12:S1139)*ROW(S$12:S1139),ROW($S$12))&gt;=MAX((1=Z$12:Z1139)*ROW(Z$12:Z1139),ROW($T$12)),TYPE(VLOOKUP("Да",(INDIRECT("AA"&amp;(MAX((1=Z$12:Z1139)*ROW(Z$12:Z1139),ROW($T$12))&amp;":AA"&amp;(ROW()-1)))),1,0))=16),MIN(LOOKUP(,-1/($Z$12:Z1140=1),$C$12:C1140)+LOOKUP(,-1/($Z$12:Z1140=1),$H$12:H1140)-SUM(INDIRECT("T"&amp;(MAX((1=Z$12:Z1139)*ROW(Z$12:Z1139),ROW($T$12))&amp;":T"&amp;(ROW()-1)))),Первоначальный[[#This Row],[Полученный платеж]]+Y1139),
S1139&gt;0,MIN(LOOKUP(,-1/($Z$12:Z1140=1),$C$12:C1140)+LOOKUP(,-1/($Z$12:Z1140=1),$H$12:H1140)-IF(Z1139=1,0,SUM(INDIRECT("T"&amp;(MAX((1=Z$12:Z1139)*ROW(Z$12:Z1139)+1,ROW($T$12))&amp;":T"&amp;(ROW()-1))))),Первоначальный[[#This Row],[Полученный платеж]]+Y1139)
)
)
)</f>
        <v>0</v>
      </c>
      <c r="U114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платеж]]+Y1139-Первоначальный[[#This Row],[Полученный платёж по процентам]])</f>
        <v>0</v>
      </c>
      <c r="V1140" s="55">
        <f t="shared" ca="1" si="207"/>
        <v>0</v>
      </c>
      <c r="W1140" s="55" cm="1">
        <f t="array" aca="1" ref="W1140" ca="1">IF(Первоначальный[[#This Row],[Итого остаток на начало периода]]&lt;1,0,
_xlfn.IFS(
AND(TYPE(VLOOKUP(1,$Z$12:Z1140,1,0))=16,Первоначальный[[#This Row],[Досрочное погашение (да/"")]]=""),0,
AND(S1139=0,Первоначальный[[#This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платеж]]+Y1139-SUM(Первоначальный[[#This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комиссиям]]),VLOOKUP(LOOKUP(,-1/($Z$12:Z1140=1),$A$12:A1140),График[[Срок конец]:[Возврат основной суммы долга]],3,0)),
AND(S1139=0,Первоначальный[[#This Row],[Дата платежа из графика]]="",Первоначальный[[#This Row],[Досрочное погашение (да/"")]]&lt;&gt;"Да"),0,
AND(S1139=0,Первоначальный[[#This Row],[Досрочное погашение (да/"")]]=""),MIN(Первоначальный[[#This Row],[Полученный платеж]]+Y1139-SUM(Первоначальный[[#This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комиссиям]]),VLOOKUP(LOOKUP(,-1/($Z$12:Z1140=1),$A$12:A1140),График[[Срок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платеж]]+Y1139-SUM(Первоначальный[[#This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S1139&gt;0,MIN(Первоначальный[[#This Row],[Полученный платеж]]+Y1139-SUM(Первоначальный[[#This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комиссиям]]),SUM(INDIRECT("M"&amp;(MAX((1=S$12:S1139)*ROW(S$12:S1139),ROW($W$12))&amp;":M"&amp;(ROW()))))-SUM(INDIRECT("W"&amp;(MAX((1=S$12:S1139)*ROW(S$12:S1139),ROW($W$12))&amp;":W"&amp;(ROW()-1)))))
)
)</f>
        <v>0</v>
      </c>
      <c r="X1140" s="55">
        <f t="shared" ca="1" si="208"/>
        <v>0</v>
      </c>
      <c r="Y1140" s="101">
        <f t="shared" ca="1" si="215"/>
        <v>0</v>
      </c>
      <c r="Z1140" s="133" t="str">
        <f>IF(TYPE((VLOOKUP(Первоначальный[[#This Row],[Дата платежа]],График[Срок конец],1,0)))=16,"",1)</f>
        <v/>
      </c>
      <c r="AA1140" s="57"/>
      <c r="AB1140" s="134"/>
      <c r="AC114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4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81921.73</v>
      </c>
      <c r="AE114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5029.7299999999932</v>
      </c>
      <c r="AF114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4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263500.16939672083</v>
      </c>
      <c r="AH1140" s="55"/>
      <c r="AI1140" s="55"/>
      <c r="AJ1140" s="55"/>
      <c r="AK1140" s="101">
        <f t="shared" ca="1" si="216"/>
        <v>500084.96939672081</v>
      </c>
      <c r="AL1140" s="129">
        <f t="array" ref="AL1140">MAX((УслРестрактов[Характеристика]="Дата реструктуризации")*(УслРестрактов[Значение]=Первоначальный!$A1140),0)</f>
        <v>0</v>
      </c>
    </row>
    <row r="1141" spans="1:38" x14ac:dyDescent="0.25">
      <c r="A1141" s="97">
        <f t="shared" si="209"/>
        <v>45272</v>
      </c>
      <c r="B1141" s="100">
        <f t="shared" ca="1" si="210"/>
        <v>149633.34</v>
      </c>
      <c r="C1141" s="55">
        <f t="shared" ca="1" si="206"/>
        <v>81921.73</v>
      </c>
      <c r="D1141" s="55">
        <f t="shared" ca="1" si="206"/>
        <v>5029.7299999999932</v>
      </c>
      <c r="E1141" s="55">
        <f t="shared" ca="1" si="211"/>
        <v>0</v>
      </c>
      <c r="F1141" s="55">
        <f t="shared" ca="1" si="212"/>
        <v>263500.16939672083</v>
      </c>
      <c r="G1141" s="101">
        <f t="shared" ca="1" si="213"/>
        <v>500084.96939672081</v>
      </c>
      <c r="H1141" s="100">
        <f ca="1">ROUND($B1141*VLOOKUP($A1141,$A$1:$B$10,2,1)/(365+IF(MOD(YEAR($A1141),4),0,1)*($A1141-$A1140)),2)-Первоначальный[[#This Row],[Проценты на просроченный платеж по ОД за период]]</f>
        <v>70.89</v>
      </c>
      <c r="I1141" s="55">
        <f t="shared" ca="1" si="214"/>
        <v>10.69</v>
      </c>
      <c r="J1141" s="55">
        <v>0</v>
      </c>
      <c r="K1141" s="55">
        <f t="shared" ca="1" si="217"/>
        <v>506.90850327868844</v>
      </c>
      <c r="L1141" s="55">
        <v>0</v>
      </c>
      <c r="M1141" s="113">
        <f>SUMIFS(График[Возврат основной суммы долга],График[Дата с учетом нерабочих дней],$A1141)</f>
        <v>0</v>
      </c>
      <c r="N1141" s="56">
        <f>SUMIFS(График[Возврат начисленных %],График[Дата с учетом нерабочих дней],$A1141)</f>
        <v>0</v>
      </c>
      <c r="O1141" s="101">
        <v>0</v>
      </c>
      <c r="P1141" s="100" cm="1">
        <f t="array" aca="1" ref="P1141" ca="1">MAX(IF(AA1140="Да",0,SUM(INDIRECT("M"&amp;(MAX(("Да"=AA$12:AA1140)*ROW(AA$12:AA1140)+1,ROW($P$12))&amp;":M"&amp;(ROW()))))-SUM(INDIRECT("W"&amp;(MAX(("Да"=AA$12:AA1140)*ROW(AA$12:AA1140)+1,ROW($P$12))&amp;":W"&amp;(ROW()))))),0)</f>
        <v>19605.71</v>
      </c>
      <c r="Q1141" s="99">
        <f ca="1">MAX(SUM($N$13:N1141)-SUM($T$13:T1141),0)</f>
        <v>81775.990655737682</v>
      </c>
      <c r="R1141" s="99">
        <f ca="1">Первоначальный[[#This Row],[Просроченный платеж по ОД]]+Первоначальный[[#This Row],[Просроченный платеж по процентам]]</f>
        <v>101381.70065573769</v>
      </c>
      <c r="S1141" s="120">
        <f ca="1">IF(Первоначальный[[#This Row],[Просроченный платеж]]&lt;1,0,S1140+1)</f>
        <v>1037</v>
      </c>
      <c r="T1141" s="100" cm="1">
        <f t="array" aca="1" ref="T1141" ca="1">IF(Первоначальный[[#This Row],[Итого остаток на начало периода]]&lt;1,0,
IF(
AND(TYPE(VLOOKUP(1,$Z$12:Z1141,1,0))=16,Первоначальный[[#This Row],[Досрочное погашение (да/"")]]=""),0,
_xlfn.IFS(AND(S1140=0,Первоначальный[[#This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платеж]]&lt;&gt;0),MIN(LOOKUP(,-1/($Z$12:Z1141=1),$C$12:C1141)+LOOKUP(,-1/($Z$12:Z1141=1),$H$12:H1141),Первоначальный[[#This Row],[Полученный платеж]]+Y1140),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платеж]]+Y1140,SUM(Первоначальный[[#This Row],[Остаток процентов на начало периода]],Первоначальный[[#This Row],[Проценты за период]])),
AND(S1140=0,Первоначальный[[#This Row],[Дата платежа из графика]]=""),0,
AND(S1140=0,Первоначальный[[#This Row],[Дата платежа из графика]]=1,MAX((0&lt;&gt;S$12:S1140)*ROW(S$12:S1140),ROW($S$12))&gt;=MAX((1=Z$12:Z1140)*ROW(Z$12:Z1140),ROW($T$12)),TYPE(VLOOKUP("Да",(INDIRECT("AA"&amp;(MAX((1=Z$12:Z1140)*ROW(Z$12:Z1140),ROW($T$12))&amp;":AA"&amp;(ROW()-1)))),1,0))=16),MIN(LOOKUP(,-1/($Z$12:Z1141=1),$C$12:C1141)+LOOKUP(,-1/($Z$12:Z1141=1),$H$12:H1141),Первоначальный[[#This Row],[Полученный платеж]]+Y1140),
AND(S1140=0,TYPE(VLOOKUP("Да",(INDIRECT("AA"&amp;(MAX((1=Z$12:Z1140)*ROW(Z$12:Z1140),ROW($T$12))&amp;":AA"&amp;(ROW()-1)))),1,0))&lt;&gt;16),MIN(LOOKUP(,-1/($Z$12:Z1141=1),$C$12:C1141)+LOOKUP(,-1/($Z$12:Z1141=1),$H$12:H1141)-IF(AA1140="Да",0,SUM(INDIRECT("T"&amp;(MAX(("Да"=AA$12:AA1140)*ROW(AA$12:AA1140)+1,ROW($T$12))&amp;":T"&amp;(ROW()-1))))),Первоначальный[[#This Row],[Полученный платеж]]+Y1140),
AND(S1140=0,MAX((0&lt;&gt;N$12:N1140)*ROW(N$12:N1140),ROW($S$12))&gt;=MAX((1=Z$12:Z1140)*ROW(Z$12:Z1140),ROW($T$12))),MIN(LOOKUP(,-1/($Z$12:Z1141=1),$C$12:C1141)+LOOKUP(,-1/($Z$12:Z1141=1),$H$12:H1141)-IF(N1140&lt;&gt;0,0,SUM(INDIRECT("T"&amp;(MAX((0&lt;&gt;N$12:N1140)*ROW(N$12:N1140)+1,ROW($T$12))&amp;":T"&amp;(ROW()-1))))),Первоначальный[[#This Row],[Полученный платеж]]+Y1140),
AND(S1140=0,Первоначальный[[#This Row],[Дата платежа из графика]]=1),MIN(LOOKUP(,-1/($Z$12:Z1141=1),$C$12:C1141)+LOOKUP(,-1/($Z$12:Z1141=1),$H$12:H1141)-IF(Z1140=1,0,SUM(INDIRECT("T"&amp;(MAX((1=Z$12:Z1140)*ROW(Z$12:Z1140)+1,ROW($T$12))&amp;":T"&amp;(ROW()-1))))),Первоначальный[[#This Row],[Полученный платеж]]+Y1140),
AND(Z1140&gt;0,Первоначальный[[#This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платеж]]+Y1140),
AND(S1140&gt;0,MAX((0&lt;&gt;S$12:S1140)*ROW(S$12:S1140),ROW($S$12))&gt;=MAX((1=Z$12:Z1140)*ROW(Z$12:Z1140),ROW($T$12)),TYPE(VLOOKUP("Да",(INDIRECT("AA"&amp;(MAX((1=Z$12:Z1140)*ROW(Z$12:Z1140),ROW($T$12))&amp;":AA"&amp;(ROW()-1)))),1,0))=16),MIN(LOOKUP(,-1/($Z$12:Z1141=1),$C$12:C1141)+LOOKUP(,-1/($Z$12:Z1141=1),$H$12:H1141)-SUM(INDIRECT("T"&amp;(MAX((1=Z$12:Z1140)*ROW(Z$12:Z1140),ROW($T$12))&amp;":T"&amp;(ROW()-1)))),Первоначальный[[#This Row],[Полученный платеж]]+Y1140),
S1140&gt;0,MIN(LOOKUP(,-1/($Z$12:Z1141=1),$C$12:C1141)+LOOKUP(,-1/($Z$12:Z1141=1),$H$12:H1141)-IF(Z1140=1,0,SUM(INDIRECT("T"&amp;(MAX((1=Z$12:Z1140)*ROW(Z$12:Z1140)+1,ROW($T$12))&amp;":T"&amp;(ROW()-1))))),Первоначальный[[#This Row],[Полученный платеж]]+Y1140)
)
)
)</f>
        <v>0</v>
      </c>
      <c r="U114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платеж]]+Y1140-Первоначальный[[#This Row],[Полученный платёж по процентам]])</f>
        <v>0</v>
      </c>
      <c r="V1141" s="55">
        <f t="shared" ca="1" si="207"/>
        <v>0</v>
      </c>
      <c r="W1141" s="55" cm="1">
        <f t="array" aca="1" ref="W1141" ca="1">IF(Первоначальный[[#This Row],[Итого остаток на начало периода]]&lt;1,0,
_xlfn.IFS(
AND(TYPE(VLOOKUP(1,$Z$12:Z1141,1,0))=16,Первоначальный[[#This Row],[Досрочное погашение (да/"")]]=""),0,
AND(S1140=0,Первоначальный[[#This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платеж]]+Y1140-SUM(Первоначальный[[#This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комиссиям]]),VLOOKUP(LOOKUP(,-1/($Z$12:Z1141=1),$A$12:A1141),График[[Срок конец]:[Возврат основной суммы долга]],3,0)),
AND(S1140=0,Первоначальный[[#This Row],[Дата платежа из графика]]="",Первоначальный[[#This Row],[Досрочное погашение (да/"")]]&lt;&gt;"Да"),0,
AND(S1140=0,Первоначальный[[#This Row],[Досрочное погашение (да/"")]]=""),MIN(Первоначальный[[#This Row],[Полученный платеж]]+Y1140-SUM(Первоначальный[[#This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комиссиям]]),VLOOKUP(LOOKUP(,-1/($Z$12:Z1141=1),$A$12:A1141),График[[Срок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платеж]]+Y1140-SUM(Первоначальный[[#This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S1140&gt;0,MIN(Первоначальный[[#This Row],[Полученный платеж]]+Y1140-SUM(Первоначальный[[#This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комиссиям]]),SUM(INDIRECT("M"&amp;(MAX((1=S$12:S1140)*ROW(S$12:S1140),ROW($W$12))&amp;":M"&amp;(ROW()))))-SUM(INDIRECT("W"&amp;(MAX((1=S$12:S1140)*ROW(S$12:S1140),ROW($W$12))&amp;":W"&amp;(ROW()-1)))))
)
)</f>
        <v>0</v>
      </c>
      <c r="X1141" s="55">
        <f t="shared" ca="1" si="208"/>
        <v>0</v>
      </c>
      <c r="Y1141" s="101">
        <f t="shared" ca="1" si="215"/>
        <v>0</v>
      </c>
      <c r="Z1141" s="133" t="str">
        <f>IF(TYPE((VLOOKUP(Первоначальный[[#This Row],[Дата платежа]],График[Срок конец],1,0)))=16,"",1)</f>
        <v/>
      </c>
      <c r="AA1141" s="57"/>
      <c r="AB1141" s="134"/>
      <c r="AC114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4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81992.62</v>
      </c>
      <c r="AE114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5040.4199999999928</v>
      </c>
      <c r="AF114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4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264007.07789999951</v>
      </c>
      <c r="AH1141" s="55"/>
      <c r="AI1141" s="55"/>
      <c r="AJ1141" s="55"/>
      <c r="AK1141" s="101">
        <f t="shared" ca="1" si="216"/>
        <v>500673.45789999946</v>
      </c>
      <c r="AL1141" s="129">
        <f t="array" ref="AL1141">MAX((УслРестрактов[Характеристика]="Дата реструктуризации")*(УслРестрактов[Значение]=Первоначальный!$A1141),0)</f>
        <v>0</v>
      </c>
    </row>
    <row r="1142" spans="1:38" x14ac:dyDescent="0.25">
      <c r="A1142" s="97">
        <f t="shared" si="209"/>
        <v>45273</v>
      </c>
      <c r="B1142" s="100">
        <f t="shared" ca="1" si="210"/>
        <v>149633.34</v>
      </c>
      <c r="C1142" s="55">
        <f t="shared" ca="1" si="206"/>
        <v>81992.62</v>
      </c>
      <c r="D1142" s="55">
        <f t="shared" ca="1" si="206"/>
        <v>5040.4199999999928</v>
      </c>
      <c r="E1142" s="55">
        <f t="shared" ca="1" si="211"/>
        <v>0</v>
      </c>
      <c r="F1142" s="55">
        <f t="shared" ca="1" si="212"/>
        <v>264007.07789999951</v>
      </c>
      <c r="G1142" s="101">
        <f t="shared" ca="1" si="213"/>
        <v>500673.45789999946</v>
      </c>
      <c r="H1142" s="100">
        <f ca="1">ROUND($B1142*VLOOKUP($A1142,$A$1:$B$10,2,1)/(365+IF(MOD(YEAR($A1142),4),0,1)*($A1142-$A1141)),2)-Первоначальный[[#This Row],[Проценты на просроченный платеж по ОД за период]]</f>
        <v>70.89</v>
      </c>
      <c r="I1142" s="55">
        <f t="shared" ca="1" si="214"/>
        <v>10.69</v>
      </c>
      <c r="J1142" s="55">
        <v>0</v>
      </c>
      <c r="K1142" s="55">
        <f t="shared" ca="1" si="217"/>
        <v>506.90850327868844</v>
      </c>
      <c r="L1142" s="55">
        <v>0</v>
      </c>
      <c r="M1142" s="113">
        <f>SUMIFS(График[Возврат основной суммы долга],График[Дата с учетом нерабочих дней],$A1142)</f>
        <v>0</v>
      </c>
      <c r="N1142" s="56">
        <f>SUMIFS(График[Возврат начисленных %],График[Дата с учетом нерабочих дней],$A1142)</f>
        <v>0</v>
      </c>
      <c r="O1142" s="101">
        <v>0</v>
      </c>
      <c r="P1142" s="100" cm="1">
        <f t="array" aca="1" ref="P1142" ca="1">MAX(IF(AA1141="Да",0,SUM(INDIRECT("M"&amp;(MAX(("Да"=AA$12:AA1141)*ROW(AA$12:AA1141)+1,ROW($P$12))&amp;":M"&amp;(ROW()))))-SUM(INDIRECT("W"&amp;(MAX(("Да"=AA$12:AA1141)*ROW(AA$12:AA1141)+1,ROW($P$12))&amp;":W"&amp;(ROW()))))),0)</f>
        <v>19605.71</v>
      </c>
      <c r="Q1142" s="99">
        <f ca="1">MAX(SUM($N$13:N1142)-SUM($T$13:T1142),0)</f>
        <v>81775.990655737682</v>
      </c>
      <c r="R1142" s="99">
        <f ca="1">Первоначальный[[#This Row],[Просроченный платеж по ОД]]+Первоначальный[[#This Row],[Просроченный платеж по процентам]]</f>
        <v>101381.70065573769</v>
      </c>
      <c r="S1142" s="120">
        <f ca="1">IF(Первоначальный[[#This Row],[Просроченный платеж]]&lt;1,0,S1141+1)</f>
        <v>1038</v>
      </c>
      <c r="T1142" s="100" cm="1">
        <f t="array" aca="1" ref="T1142" ca="1">IF(Первоначальный[[#This Row],[Итого остаток на начало периода]]&lt;1,0,
IF(
AND(TYPE(VLOOKUP(1,$Z$12:Z1142,1,0))=16,Первоначальный[[#This Row],[Досрочное погашение (да/"")]]=""),0,
_xlfn.IFS(AND(S1141=0,Первоначальный[[#This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платеж]]&lt;&gt;0),MIN(LOOKUP(,-1/($Z$12:Z1142=1),$C$12:C1142)+LOOKUP(,-1/($Z$12:Z1142=1),$H$12:H1142),Первоначальный[[#This Row],[Полученный платеж]]+Y1141),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платеж]]+Y1141,SUM(Первоначальный[[#This Row],[Остаток процентов на начало периода]],Первоначальный[[#This Row],[Проценты за период]])),
AND(S1141=0,Первоначальный[[#This Row],[Дата платежа из графика]]=""),0,
AND(S1141=0,Первоначальный[[#This Row],[Дата платежа из графика]]=1,MAX((0&lt;&gt;S$12:S1141)*ROW(S$12:S1141),ROW($S$12))&gt;=MAX((1=Z$12:Z1141)*ROW(Z$12:Z1141),ROW($T$12)),TYPE(VLOOKUP("Да",(INDIRECT("AA"&amp;(MAX((1=Z$12:Z1141)*ROW(Z$12:Z1141),ROW($T$12))&amp;":AA"&amp;(ROW()-1)))),1,0))=16),MIN(LOOKUP(,-1/($Z$12:Z1142=1),$C$12:C1142)+LOOKUP(,-1/($Z$12:Z1142=1),$H$12:H1142),Первоначальный[[#This Row],[Полученный платеж]]+Y1141),
AND(S1141=0,TYPE(VLOOKUP("Да",(INDIRECT("AA"&amp;(MAX((1=Z$12:Z1141)*ROW(Z$12:Z1141),ROW($T$12))&amp;":AA"&amp;(ROW()-1)))),1,0))&lt;&gt;16),MIN(LOOKUP(,-1/($Z$12:Z1142=1),$C$12:C1142)+LOOKUP(,-1/($Z$12:Z1142=1),$H$12:H1142)-IF(AA1141="Да",0,SUM(INDIRECT("T"&amp;(MAX(("Да"=AA$12:AA1141)*ROW(AA$12:AA1141)+1,ROW($T$12))&amp;":T"&amp;(ROW()-1))))),Первоначальный[[#This Row],[Полученный платеж]]+Y1141),
AND(S1141=0,MAX((0&lt;&gt;N$12:N1141)*ROW(N$12:N1141),ROW($S$12))&gt;=MAX((1=Z$12:Z1141)*ROW(Z$12:Z1141),ROW($T$12))),MIN(LOOKUP(,-1/($Z$12:Z1142=1),$C$12:C1142)+LOOKUP(,-1/($Z$12:Z1142=1),$H$12:H1142)-IF(N1141&lt;&gt;0,0,SUM(INDIRECT("T"&amp;(MAX((0&lt;&gt;N$12:N1141)*ROW(N$12:N1141)+1,ROW($T$12))&amp;":T"&amp;(ROW()-1))))),Первоначальный[[#This Row],[Полученный платеж]]+Y1141),
AND(S1141=0,Первоначальный[[#This Row],[Дата платежа из графика]]=1),MIN(LOOKUP(,-1/($Z$12:Z1142=1),$C$12:C1142)+LOOKUP(,-1/($Z$12:Z1142=1),$H$12:H1142)-IF(Z1141=1,0,SUM(INDIRECT("T"&amp;(MAX((1=Z$12:Z1141)*ROW(Z$12:Z1141)+1,ROW($T$12))&amp;":T"&amp;(ROW()-1))))),Первоначальный[[#This Row],[Полученный платеж]]+Y1141),
AND(Z1141&gt;0,Первоначальный[[#This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платеж]]+Y1141),
AND(S1141&gt;0,MAX((0&lt;&gt;S$12:S1141)*ROW(S$12:S1141),ROW($S$12))&gt;=MAX((1=Z$12:Z1141)*ROW(Z$12:Z1141),ROW($T$12)),TYPE(VLOOKUP("Да",(INDIRECT("AA"&amp;(MAX((1=Z$12:Z1141)*ROW(Z$12:Z1141),ROW($T$12))&amp;":AA"&amp;(ROW()-1)))),1,0))=16),MIN(LOOKUP(,-1/($Z$12:Z1142=1),$C$12:C1142)+LOOKUP(,-1/($Z$12:Z1142=1),$H$12:H1142)-SUM(INDIRECT("T"&amp;(MAX((1=Z$12:Z1141)*ROW(Z$12:Z1141),ROW($T$12))&amp;":T"&amp;(ROW()-1)))),Первоначальный[[#This Row],[Полученный платеж]]+Y1141),
S1141&gt;0,MIN(LOOKUP(,-1/($Z$12:Z1142=1),$C$12:C1142)+LOOKUP(,-1/($Z$12:Z1142=1),$H$12:H1142)-IF(Z1141=1,0,SUM(INDIRECT("T"&amp;(MAX((1=Z$12:Z1141)*ROW(Z$12:Z1141)+1,ROW($T$12))&amp;":T"&amp;(ROW()-1))))),Первоначальный[[#This Row],[Полученный платеж]]+Y1141)
)
)
)</f>
        <v>0</v>
      </c>
      <c r="U114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платеж]]+Y1141-Первоначальный[[#This Row],[Полученный платёж по процентам]])</f>
        <v>0</v>
      </c>
      <c r="V1142" s="55">
        <f t="shared" ca="1" si="207"/>
        <v>0</v>
      </c>
      <c r="W1142" s="55" cm="1">
        <f t="array" aca="1" ref="W1142" ca="1">IF(Первоначальный[[#This Row],[Итого остаток на начало периода]]&lt;1,0,
_xlfn.IFS(
AND(TYPE(VLOOKUP(1,$Z$12:Z1142,1,0))=16,Первоначальный[[#This Row],[Досрочное погашение (да/"")]]=""),0,
AND(S1141=0,Первоначальный[[#This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платеж]]+Y1141-SUM(Первоначальный[[#This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комиссиям]]),VLOOKUP(LOOKUP(,-1/($Z$12:Z1142=1),$A$12:A1142),График[[Срок конец]:[Возврат основной суммы долга]],3,0)),
AND(S1141=0,Первоначальный[[#This Row],[Дата платежа из графика]]="",Первоначальный[[#This Row],[Досрочное погашение (да/"")]]&lt;&gt;"Да"),0,
AND(S1141=0,Первоначальный[[#This Row],[Досрочное погашение (да/"")]]=""),MIN(Первоначальный[[#This Row],[Полученный платеж]]+Y1141-SUM(Первоначальный[[#This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комиссиям]]),VLOOKUP(LOOKUP(,-1/($Z$12:Z1142=1),$A$12:A1142),График[[Срок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платеж]]+Y1141-SUM(Первоначальный[[#This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S1141&gt;0,MIN(Первоначальный[[#This Row],[Полученный платеж]]+Y1141-SUM(Первоначальный[[#This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комиссиям]]),SUM(INDIRECT("M"&amp;(MAX((1=S$12:S1141)*ROW(S$12:S1141),ROW($W$12))&amp;":M"&amp;(ROW()))))-SUM(INDIRECT("W"&amp;(MAX((1=S$12:S1141)*ROW(S$12:S1141),ROW($W$12))&amp;":W"&amp;(ROW()-1)))))
)
)</f>
        <v>0</v>
      </c>
      <c r="X1142" s="55">
        <f t="shared" ca="1" si="208"/>
        <v>0</v>
      </c>
      <c r="Y1142" s="101">
        <f t="shared" ca="1" si="215"/>
        <v>0</v>
      </c>
      <c r="Z1142" s="133" t="str">
        <f>IF(TYPE((VLOOKUP(Первоначальный[[#This Row],[Дата платежа]],График[Срок конец],1,0)))=16,"",1)</f>
        <v/>
      </c>
      <c r="AA1142" s="57"/>
      <c r="AB1142" s="134"/>
      <c r="AC114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4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82063.509999999995</v>
      </c>
      <c r="AE114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5051.1099999999924</v>
      </c>
      <c r="AF114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4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264513.98640327819</v>
      </c>
      <c r="AH1142" s="55"/>
      <c r="AI1142" s="55"/>
      <c r="AJ1142" s="55"/>
      <c r="AK1142" s="101">
        <f t="shared" ca="1" si="216"/>
        <v>501261.94640327815</v>
      </c>
      <c r="AL1142" s="129">
        <f t="array" ref="AL1142">MAX((УслРестрактов[Характеристика]="Дата реструктуризации")*(УслРестрактов[Значение]=Первоначальный!$A1142),0)</f>
        <v>0</v>
      </c>
    </row>
    <row r="1143" spans="1:38" x14ac:dyDescent="0.25">
      <c r="A1143" s="97">
        <f t="shared" si="209"/>
        <v>45274</v>
      </c>
      <c r="B1143" s="100">
        <f t="shared" ca="1" si="210"/>
        <v>149633.34</v>
      </c>
      <c r="C1143" s="55">
        <f t="shared" ca="1" si="206"/>
        <v>82063.509999999995</v>
      </c>
      <c r="D1143" s="55">
        <f t="shared" ca="1" si="206"/>
        <v>5051.1099999999924</v>
      </c>
      <c r="E1143" s="55">
        <f t="shared" ca="1" si="211"/>
        <v>0</v>
      </c>
      <c r="F1143" s="55">
        <f t="shared" ca="1" si="212"/>
        <v>264513.98640327819</v>
      </c>
      <c r="G1143" s="101">
        <f t="shared" ca="1" si="213"/>
        <v>501261.94640327815</v>
      </c>
      <c r="H1143" s="100">
        <f ca="1">ROUND($B1143*VLOOKUP($A1143,$A$1:$B$10,2,1)/(365+IF(MOD(YEAR($A1143),4),0,1)*($A1143-$A1142)),2)-Первоначальный[[#This Row],[Проценты на просроченный платеж по ОД за период]]</f>
        <v>70.89</v>
      </c>
      <c r="I1143" s="55">
        <f t="shared" ca="1" si="214"/>
        <v>10.69</v>
      </c>
      <c r="J1143" s="55">
        <v>0</v>
      </c>
      <c r="K1143" s="55">
        <f t="shared" ca="1" si="217"/>
        <v>506.90850327868844</v>
      </c>
      <c r="L1143" s="55">
        <v>0</v>
      </c>
      <c r="M1143" s="113">
        <f>SUMIFS(График[Возврат основной суммы долга],График[Дата с учетом нерабочих дней],$A1143)</f>
        <v>0</v>
      </c>
      <c r="N1143" s="56">
        <f>SUMIFS(График[Возврат начисленных %],График[Дата с учетом нерабочих дней],$A1143)</f>
        <v>0</v>
      </c>
      <c r="O1143" s="101">
        <v>0</v>
      </c>
      <c r="P1143" s="100" cm="1">
        <f t="array" aca="1" ref="P1143" ca="1">MAX(IF(AA1142="Да",0,SUM(INDIRECT("M"&amp;(MAX(("Да"=AA$12:AA1142)*ROW(AA$12:AA1142)+1,ROW($P$12))&amp;":M"&amp;(ROW()))))-SUM(INDIRECT("W"&amp;(MAX(("Да"=AA$12:AA1142)*ROW(AA$12:AA1142)+1,ROW($P$12))&amp;":W"&amp;(ROW()))))),0)</f>
        <v>19605.71</v>
      </c>
      <c r="Q1143" s="99">
        <f ca="1">MAX(SUM($N$13:N1143)-SUM($T$13:T1143),0)</f>
        <v>81775.990655737682</v>
      </c>
      <c r="R1143" s="99">
        <f ca="1">Первоначальный[[#This Row],[Просроченный платеж по ОД]]+Первоначальный[[#This Row],[Просроченный платеж по процентам]]</f>
        <v>101381.70065573769</v>
      </c>
      <c r="S1143" s="120">
        <f ca="1">IF(Первоначальный[[#This Row],[Просроченный платеж]]&lt;1,0,S1142+1)</f>
        <v>1039</v>
      </c>
      <c r="T1143" s="100" cm="1">
        <f t="array" aca="1" ref="T1143" ca="1">IF(Первоначальный[[#This Row],[Итого остаток на начало периода]]&lt;1,0,
IF(
AND(TYPE(VLOOKUP(1,$Z$12:Z1143,1,0))=16,Первоначальный[[#This Row],[Досрочное погашение (да/"")]]=""),0,
_xlfn.IFS(AND(S1142=0,Первоначальный[[#This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платеж]]&lt;&gt;0),MIN(LOOKUP(,-1/($Z$12:Z1143=1),$C$12:C1143)+LOOKUP(,-1/($Z$12:Z1143=1),$H$12:H1143),Первоначальный[[#This Row],[Полученный платеж]]+Y1142),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платеж]]+Y1142,SUM(Первоначальный[[#This Row],[Остаток процентов на начало периода]],Первоначальный[[#This Row],[Проценты за период]])),
AND(S1142=0,Первоначальный[[#This Row],[Дата платежа из графика]]=""),0,
AND(S1142=0,Первоначальный[[#This Row],[Дата платежа из графика]]=1,MAX((0&lt;&gt;S$12:S1142)*ROW(S$12:S1142),ROW($S$12))&gt;=MAX((1=Z$12:Z1142)*ROW(Z$12:Z1142),ROW($T$12)),TYPE(VLOOKUP("Да",(INDIRECT("AA"&amp;(MAX((1=Z$12:Z1142)*ROW(Z$12:Z1142),ROW($T$12))&amp;":AA"&amp;(ROW()-1)))),1,0))=16),MIN(LOOKUP(,-1/($Z$12:Z1143=1),$C$12:C1143)+LOOKUP(,-1/($Z$12:Z1143=1),$H$12:H1143),Первоначальный[[#This Row],[Полученный платеж]]+Y1142),
AND(S1142=0,TYPE(VLOOKUP("Да",(INDIRECT("AA"&amp;(MAX((1=Z$12:Z1142)*ROW(Z$12:Z1142),ROW($T$12))&amp;":AA"&amp;(ROW()-1)))),1,0))&lt;&gt;16),MIN(LOOKUP(,-1/($Z$12:Z1143=1),$C$12:C1143)+LOOKUP(,-1/($Z$12:Z1143=1),$H$12:H1143)-IF(AA1142="Да",0,SUM(INDIRECT("T"&amp;(MAX(("Да"=AA$12:AA1142)*ROW(AA$12:AA1142)+1,ROW($T$12))&amp;":T"&amp;(ROW()-1))))),Первоначальный[[#This Row],[Полученный платеж]]+Y1142),
AND(S1142=0,MAX((0&lt;&gt;N$12:N1142)*ROW(N$12:N1142),ROW($S$12))&gt;=MAX((1=Z$12:Z1142)*ROW(Z$12:Z1142),ROW($T$12))),MIN(LOOKUP(,-1/($Z$12:Z1143=1),$C$12:C1143)+LOOKUP(,-1/($Z$12:Z1143=1),$H$12:H1143)-IF(N1142&lt;&gt;0,0,SUM(INDIRECT("T"&amp;(MAX((0&lt;&gt;N$12:N1142)*ROW(N$12:N1142)+1,ROW($T$12))&amp;":T"&amp;(ROW()-1))))),Первоначальный[[#This Row],[Полученный платеж]]+Y1142),
AND(S1142=0,Первоначальный[[#This Row],[Дата платежа из графика]]=1),MIN(LOOKUP(,-1/($Z$12:Z1143=1),$C$12:C1143)+LOOKUP(,-1/($Z$12:Z1143=1),$H$12:H1143)-IF(Z1142=1,0,SUM(INDIRECT("T"&amp;(MAX((1=Z$12:Z1142)*ROW(Z$12:Z1142)+1,ROW($T$12))&amp;":T"&amp;(ROW()-1))))),Первоначальный[[#This Row],[Полученный платеж]]+Y1142),
AND(Z1142&gt;0,Первоначальный[[#This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платеж]]+Y1142),
AND(S1142&gt;0,MAX((0&lt;&gt;S$12:S1142)*ROW(S$12:S1142),ROW($S$12))&gt;=MAX((1=Z$12:Z1142)*ROW(Z$12:Z1142),ROW($T$12)),TYPE(VLOOKUP("Да",(INDIRECT("AA"&amp;(MAX((1=Z$12:Z1142)*ROW(Z$12:Z1142),ROW($T$12))&amp;":AA"&amp;(ROW()-1)))),1,0))=16),MIN(LOOKUP(,-1/($Z$12:Z1143=1),$C$12:C1143)+LOOKUP(,-1/($Z$12:Z1143=1),$H$12:H1143)-SUM(INDIRECT("T"&amp;(MAX((1=Z$12:Z1142)*ROW(Z$12:Z1142),ROW($T$12))&amp;":T"&amp;(ROW()-1)))),Первоначальный[[#This Row],[Полученный платеж]]+Y1142),
S1142&gt;0,MIN(LOOKUP(,-1/($Z$12:Z1143=1),$C$12:C1143)+LOOKUP(,-1/($Z$12:Z1143=1),$H$12:H1143)-IF(Z1142=1,0,SUM(INDIRECT("T"&amp;(MAX((1=Z$12:Z1142)*ROW(Z$12:Z1142)+1,ROW($T$12))&amp;":T"&amp;(ROW()-1))))),Первоначальный[[#This Row],[Полученный платеж]]+Y1142)
)
)
)</f>
        <v>0</v>
      </c>
      <c r="U114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платеж]]+Y1142-Первоначальный[[#This Row],[Полученный платёж по процентам]])</f>
        <v>0</v>
      </c>
      <c r="V1143" s="55">
        <f t="shared" ca="1" si="207"/>
        <v>0</v>
      </c>
      <c r="W1143" s="55" cm="1">
        <f t="array" aca="1" ref="W1143" ca="1">IF(Первоначальный[[#This Row],[Итого остаток на начало периода]]&lt;1,0,
_xlfn.IFS(
AND(TYPE(VLOOKUP(1,$Z$12:Z1143,1,0))=16,Первоначальный[[#This Row],[Досрочное погашение (да/"")]]=""),0,
AND(S1142=0,Первоначальный[[#This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платеж]]+Y1142-SUM(Первоначальный[[#This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комиссиям]]),VLOOKUP(LOOKUP(,-1/($Z$12:Z1143=1),$A$12:A1143),График[[Срок конец]:[Возврат основной суммы долга]],3,0)),
AND(S1142=0,Первоначальный[[#This Row],[Дата платежа из графика]]="",Первоначальный[[#This Row],[Досрочное погашение (да/"")]]&lt;&gt;"Да"),0,
AND(S1142=0,Первоначальный[[#This Row],[Досрочное погашение (да/"")]]=""),MIN(Первоначальный[[#This Row],[Полученный платеж]]+Y1142-SUM(Первоначальный[[#This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комиссиям]]),VLOOKUP(LOOKUP(,-1/($Z$12:Z1143=1),$A$12:A1143),График[[Срок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платеж]]+Y1142-SUM(Первоначальный[[#This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S1142&gt;0,MIN(Первоначальный[[#This Row],[Полученный платеж]]+Y1142-SUM(Первоначальный[[#This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комиссиям]]),SUM(INDIRECT("M"&amp;(MAX((1=S$12:S1142)*ROW(S$12:S1142),ROW($W$12))&amp;":M"&amp;(ROW()))))-SUM(INDIRECT("W"&amp;(MAX((1=S$12:S1142)*ROW(S$12:S1142),ROW($W$12))&amp;":W"&amp;(ROW()-1)))))
)
)</f>
        <v>0</v>
      </c>
      <c r="X1143" s="55">
        <f t="shared" ca="1" si="208"/>
        <v>0</v>
      </c>
      <c r="Y1143" s="101">
        <f t="shared" ca="1" si="215"/>
        <v>0</v>
      </c>
      <c r="Z1143" s="133" t="str">
        <f>IF(TYPE((VLOOKUP(Первоначальный[[#This Row],[Дата платежа]],График[Срок конец],1,0)))=16,"",1)</f>
        <v/>
      </c>
      <c r="AA1143" s="57"/>
      <c r="AB1143" s="134"/>
      <c r="AC114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4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82134.399999999994</v>
      </c>
      <c r="AE114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5061.799999999992</v>
      </c>
      <c r="AF114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4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265020.89490655687</v>
      </c>
      <c r="AH1143" s="55"/>
      <c r="AI1143" s="55"/>
      <c r="AJ1143" s="55"/>
      <c r="AK1143" s="101">
        <f t="shared" ca="1" si="216"/>
        <v>501850.43490655685</v>
      </c>
      <c r="AL1143" s="129">
        <f t="array" ref="AL1143">MAX((УслРестрактов[Характеристика]="Дата реструктуризации")*(УслРестрактов[Значение]=Первоначальный!$A1143),0)</f>
        <v>0</v>
      </c>
    </row>
    <row r="1144" spans="1:38" x14ac:dyDescent="0.25">
      <c r="A1144" s="97">
        <f t="shared" si="209"/>
        <v>45275</v>
      </c>
      <c r="B1144" s="100">
        <f t="shared" ca="1" si="210"/>
        <v>149633.34</v>
      </c>
      <c r="C1144" s="55">
        <f t="shared" ca="1" si="206"/>
        <v>82134.399999999994</v>
      </c>
      <c r="D1144" s="55">
        <f t="shared" ca="1" si="206"/>
        <v>5061.799999999992</v>
      </c>
      <c r="E1144" s="55">
        <f t="shared" ca="1" si="211"/>
        <v>0</v>
      </c>
      <c r="F1144" s="55">
        <f t="shared" ca="1" si="212"/>
        <v>265020.89490655687</v>
      </c>
      <c r="G1144" s="101">
        <f t="shared" ca="1" si="213"/>
        <v>501850.43490655685</v>
      </c>
      <c r="H1144" s="100">
        <f ca="1">ROUND($B1144*VLOOKUP($A1144,$A$1:$B$10,2,1)/(365+IF(MOD(YEAR($A1144),4),0,1)*($A1144-$A1143)),2)-Первоначальный[[#This Row],[Проценты на просроченный платеж по ОД за период]]</f>
        <v>70.89</v>
      </c>
      <c r="I1144" s="55">
        <f t="shared" ca="1" si="214"/>
        <v>10.69</v>
      </c>
      <c r="J1144" s="55">
        <v>0</v>
      </c>
      <c r="K1144" s="55">
        <f t="shared" ca="1" si="217"/>
        <v>506.90850327868844</v>
      </c>
      <c r="L1144" s="55">
        <v>0</v>
      </c>
      <c r="M1144" s="113">
        <f>SUMIFS(График[Возврат основной суммы долга],График[Дата с учетом нерабочих дней],$A1144)</f>
        <v>0</v>
      </c>
      <c r="N1144" s="56">
        <f>SUMIFS(График[Возврат начисленных %],График[Дата с учетом нерабочих дней],$A1144)</f>
        <v>0</v>
      </c>
      <c r="O1144" s="101">
        <v>0</v>
      </c>
      <c r="P1144" s="100" cm="1">
        <f t="array" aca="1" ref="P1144" ca="1">MAX(IF(AA1143="Да",0,SUM(INDIRECT("M"&amp;(MAX(("Да"=AA$12:AA1143)*ROW(AA$12:AA1143)+1,ROW($P$12))&amp;":M"&amp;(ROW()))))-SUM(INDIRECT("W"&amp;(MAX(("Да"=AA$12:AA1143)*ROW(AA$12:AA1143)+1,ROW($P$12))&amp;":W"&amp;(ROW()))))),0)</f>
        <v>19605.71</v>
      </c>
      <c r="Q1144" s="99">
        <f ca="1">MAX(SUM($N$13:N1144)-SUM($T$13:T1144),0)</f>
        <v>81775.990655737682</v>
      </c>
      <c r="R1144" s="99">
        <f ca="1">Первоначальный[[#This Row],[Просроченный платеж по ОД]]+Первоначальный[[#This Row],[Просроченный платеж по процентам]]</f>
        <v>101381.70065573769</v>
      </c>
      <c r="S1144" s="120">
        <f ca="1">IF(Первоначальный[[#This Row],[Просроченный платеж]]&lt;1,0,S1143+1)</f>
        <v>1040</v>
      </c>
      <c r="T1144" s="100" cm="1">
        <f t="array" aca="1" ref="T1144" ca="1">IF(Первоначальный[[#This Row],[Итого остаток на начало периода]]&lt;1,0,
IF(
AND(TYPE(VLOOKUP(1,$Z$12:Z1144,1,0))=16,Первоначальный[[#This Row],[Досрочное погашение (да/"")]]=""),0,
_xlfn.IFS(AND(S1143=0,Первоначальный[[#This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платеж]]&lt;&gt;0),MIN(LOOKUP(,-1/($Z$12:Z1144=1),$C$12:C1144)+LOOKUP(,-1/($Z$12:Z1144=1),$H$12:H1144),Первоначальный[[#This Row],[Полученный платеж]]+Y1143),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платеж]]+Y1143,SUM(Первоначальный[[#This Row],[Остаток процентов на начало периода]],Первоначальный[[#This Row],[Проценты за период]])),
AND(S1143=0,Первоначальный[[#This Row],[Дата платежа из графика]]=""),0,
AND(S1143=0,Первоначальный[[#This Row],[Дата платежа из графика]]=1,MAX((0&lt;&gt;S$12:S1143)*ROW(S$12:S1143),ROW($S$12))&gt;=MAX((1=Z$12:Z1143)*ROW(Z$12:Z1143),ROW($T$12)),TYPE(VLOOKUP("Да",(INDIRECT("AA"&amp;(MAX((1=Z$12:Z1143)*ROW(Z$12:Z1143),ROW($T$12))&amp;":AA"&amp;(ROW()-1)))),1,0))=16),MIN(LOOKUP(,-1/($Z$12:Z1144=1),$C$12:C1144)+LOOKUP(,-1/($Z$12:Z1144=1),$H$12:H1144),Первоначальный[[#This Row],[Полученный платеж]]+Y1143),
AND(S1143=0,TYPE(VLOOKUP("Да",(INDIRECT("AA"&amp;(MAX((1=Z$12:Z1143)*ROW(Z$12:Z1143),ROW($T$12))&amp;":AA"&amp;(ROW()-1)))),1,0))&lt;&gt;16),MIN(LOOKUP(,-1/($Z$12:Z1144=1),$C$12:C1144)+LOOKUP(,-1/($Z$12:Z1144=1),$H$12:H1144)-IF(AA1143="Да",0,SUM(INDIRECT("T"&amp;(MAX(("Да"=AA$12:AA1143)*ROW(AA$12:AA1143)+1,ROW($T$12))&amp;":T"&amp;(ROW()-1))))),Первоначальный[[#This Row],[Полученный платеж]]+Y1143),
AND(S1143=0,MAX((0&lt;&gt;N$12:N1143)*ROW(N$12:N1143),ROW($S$12))&gt;=MAX((1=Z$12:Z1143)*ROW(Z$12:Z1143),ROW($T$12))),MIN(LOOKUP(,-1/($Z$12:Z1144=1),$C$12:C1144)+LOOKUP(,-1/($Z$12:Z1144=1),$H$12:H1144)-IF(N1143&lt;&gt;0,0,SUM(INDIRECT("T"&amp;(MAX((0&lt;&gt;N$12:N1143)*ROW(N$12:N1143)+1,ROW($T$12))&amp;":T"&amp;(ROW()-1))))),Первоначальный[[#This Row],[Полученный платеж]]+Y1143),
AND(S1143=0,Первоначальный[[#This Row],[Дата платежа из графика]]=1),MIN(LOOKUP(,-1/($Z$12:Z1144=1),$C$12:C1144)+LOOKUP(,-1/($Z$12:Z1144=1),$H$12:H1144)-IF(Z1143=1,0,SUM(INDIRECT("T"&amp;(MAX((1=Z$12:Z1143)*ROW(Z$12:Z1143)+1,ROW($T$12))&amp;":T"&amp;(ROW()-1))))),Первоначальный[[#This Row],[Полученный платеж]]+Y1143),
AND(Z1143&gt;0,Первоначальный[[#This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платеж]]+Y1143),
AND(S1143&gt;0,MAX((0&lt;&gt;S$12:S1143)*ROW(S$12:S1143),ROW($S$12))&gt;=MAX((1=Z$12:Z1143)*ROW(Z$12:Z1143),ROW($T$12)),TYPE(VLOOKUP("Да",(INDIRECT("AA"&amp;(MAX((1=Z$12:Z1143)*ROW(Z$12:Z1143),ROW($T$12))&amp;":AA"&amp;(ROW()-1)))),1,0))=16),MIN(LOOKUP(,-1/($Z$12:Z1144=1),$C$12:C1144)+LOOKUP(,-1/($Z$12:Z1144=1),$H$12:H1144)-SUM(INDIRECT("T"&amp;(MAX((1=Z$12:Z1143)*ROW(Z$12:Z1143),ROW($T$12))&amp;":T"&amp;(ROW()-1)))),Первоначальный[[#This Row],[Полученный платеж]]+Y1143),
S1143&gt;0,MIN(LOOKUP(,-1/($Z$12:Z1144=1),$C$12:C1144)+LOOKUP(,-1/($Z$12:Z1144=1),$H$12:H1144)-IF(Z1143=1,0,SUM(INDIRECT("T"&amp;(MAX((1=Z$12:Z1143)*ROW(Z$12:Z1143)+1,ROW($T$12))&amp;":T"&amp;(ROW()-1))))),Первоначальный[[#This Row],[Полученный платеж]]+Y1143)
)
)
)</f>
        <v>0</v>
      </c>
      <c r="U114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платеж]]+Y1143-Первоначальный[[#This Row],[Полученный платёж по процентам]])</f>
        <v>0</v>
      </c>
      <c r="V1144" s="55">
        <f t="shared" ca="1" si="207"/>
        <v>0</v>
      </c>
      <c r="W1144" s="55" cm="1">
        <f t="array" aca="1" ref="W1144" ca="1">IF(Первоначальный[[#This Row],[Итого остаток на начало периода]]&lt;1,0,
_xlfn.IFS(
AND(TYPE(VLOOKUP(1,$Z$12:Z1144,1,0))=16,Первоначальный[[#This Row],[Досрочное погашение (да/"")]]=""),0,
AND(S1143=0,Первоначальный[[#This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платеж]]+Y1143-SUM(Первоначальный[[#This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комиссиям]]),VLOOKUP(LOOKUP(,-1/($Z$12:Z1144=1),$A$12:A1144),График[[Срок конец]:[Возврат основной суммы долга]],3,0)),
AND(S1143=0,Первоначальный[[#This Row],[Дата платежа из графика]]="",Первоначальный[[#This Row],[Досрочное погашение (да/"")]]&lt;&gt;"Да"),0,
AND(S1143=0,Первоначальный[[#This Row],[Досрочное погашение (да/"")]]=""),MIN(Первоначальный[[#This Row],[Полученный платеж]]+Y1143-SUM(Первоначальный[[#This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комиссиям]]),VLOOKUP(LOOKUP(,-1/($Z$12:Z1144=1),$A$12:A1144),График[[Срок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платеж]]+Y1143-SUM(Первоначальный[[#This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S1143&gt;0,MIN(Первоначальный[[#This Row],[Полученный платеж]]+Y1143-SUM(Первоначальный[[#This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комиссиям]]),SUM(INDIRECT("M"&amp;(MAX((1=S$12:S1143)*ROW(S$12:S1143),ROW($W$12))&amp;":M"&amp;(ROW()))))-SUM(INDIRECT("W"&amp;(MAX((1=S$12:S1143)*ROW(S$12:S1143),ROW($W$12))&amp;":W"&amp;(ROW()-1)))))
)
)</f>
        <v>0</v>
      </c>
      <c r="X1144" s="55">
        <f t="shared" ca="1" si="208"/>
        <v>0</v>
      </c>
      <c r="Y1144" s="101">
        <f t="shared" ca="1" si="215"/>
        <v>0</v>
      </c>
      <c r="Z1144" s="133" t="str">
        <f>IF(TYPE((VLOOKUP(Первоначальный[[#This Row],[Дата платежа]],График[Срок конец],1,0)))=16,"",1)</f>
        <v/>
      </c>
      <c r="AA1144" s="57"/>
      <c r="AB1144" s="134"/>
      <c r="AC114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4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82205.289999999994</v>
      </c>
      <c r="AE114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5072.4899999999916</v>
      </c>
      <c r="AF114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4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265527.80340983556</v>
      </c>
      <c r="AH1144" s="55"/>
      <c r="AI1144" s="55"/>
      <c r="AJ1144" s="55"/>
      <c r="AK1144" s="101">
        <f t="shared" ca="1" si="216"/>
        <v>502438.92340983555</v>
      </c>
      <c r="AL1144" s="129">
        <f t="array" ref="AL1144">MAX((УслРестрактов[Характеристика]="Дата реструктуризации")*(УслРестрактов[Значение]=Первоначальный!$A1144),0)</f>
        <v>0</v>
      </c>
    </row>
    <row r="1145" spans="1:38" x14ac:dyDescent="0.25">
      <c r="A1145" s="97">
        <f t="shared" si="209"/>
        <v>45276</v>
      </c>
      <c r="B1145" s="100">
        <f t="shared" ca="1" si="210"/>
        <v>149633.34</v>
      </c>
      <c r="C1145" s="55">
        <f t="shared" ca="1" si="206"/>
        <v>82205.289999999994</v>
      </c>
      <c r="D1145" s="55">
        <f t="shared" ca="1" si="206"/>
        <v>5072.4899999999916</v>
      </c>
      <c r="E1145" s="55">
        <f t="shared" ca="1" si="211"/>
        <v>0</v>
      </c>
      <c r="F1145" s="55">
        <f t="shared" ca="1" si="212"/>
        <v>265527.80340983556</v>
      </c>
      <c r="G1145" s="101">
        <f t="shared" ca="1" si="213"/>
        <v>502438.92340983555</v>
      </c>
      <c r="H1145" s="100">
        <f ca="1">ROUND($B1145*VLOOKUP($A1145,$A$1:$B$10,2,1)/(365+IF(MOD(YEAR($A1145),4),0,1)*($A1145-$A1144)),2)-Первоначальный[[#This Row],[Проценты на просроченный платеж по ОД за период]]</f>
        <v>70.89</v>
      </c>
      <c r="I1145" s="55">
        <f t="shared" ca="1" si="214"/>
        <v>10.69</v>
      </c>
      <c r="J1145" s="55">
        <v>0</v>
      </c>
      <c r="K1145" s="55">
        <f t="shared" ca="1" si="217"/>
        <v>506.90850327868844</v>
      </c>
      <c r="L1145" s="55">
        <v>0</v>
      </c>
      <c r="M1145" s="113">
        <f>SUMIFS(График[Возврат основной суммы долга],График[Дата с учетом нерабочих дней],$A1145)</f>
        <v>0</v>
      </c>
      <c r="N1145" s="56">
        <f>SUMIFS(График[Возврат начисленных %],График[Дата с учетом нерабочих дней],$A1145)</f>
        <v>0</v>
      </c>
      <c r="O1145" s="101">
        <v>0</v>
      </c>
      <c r="P1145" s="100" cm="1">
        <f t="array" aca="1" ref="P1145" ca="1">MAX(IF(AA1144="Да",0,SUM(INDIRECT("M"&amp;(MAX(("Да"=AA$12:AA1144)*ROW(AA$12:AA1144)+1,ROW($P$12))&amp;":M"&amp;(ROW()))))-SUM(INDIRECT("W"&amp;(MAX(("Да"=AA$12:AA1144)*ROW(AA$12:AA1144)+1,ROW($P$12))&amp;":W"&amp;(ROW()))))),0)</f>
        <v>19605.71</v>
      </c>
      <c r="Q1145" s="99">
        <f ca="1">MAX(SUM($N$13:N1145)-SUM($T$13:T1145),0)</f>
        <v>81775.990655737682</v>
      </c>
      <c r="R1145" s="99">
        <f ca="1">Первоначальный[[#This Row],[Просроченный платеж по ОД]]+Первоначальный[[#This Row],[Просроченный платеж по процентам]]</f>
        <v>101381.70065573769</v>
      </c>
      <c r="S1145" s="120">
        <f ca="1">IF(Первоначальный[[#This Row],[Просроченный платеж]]&lt;1,0,S1144+1)</f>
        <v>1041</v>
      </c>
      <c r="T1145" s="100" cm="1">
        <f t="array" aca="1" ref="T1145" ca="1">IF(Первоначальный[[#This Row],[Итого остаток на начало периода]]&lt;1,0,
IF(
AND(TYPE(VLOOKUP(1,$Z$12:Z1145,1,0))=16,Первоначальный[[#This Row],[Досрочное погашение (да/"")]]=""),0,
_xlfn.IFS(AND(S1144=0,Первоначальный[[#This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платеж]]&lt;&gt;0),MIN(LOOKUP(,-1/($Z$12:Z1145=1),$C$12:C1145)+LOOKUP(,-1/($Z$12:Z1145=1),$H$12:H1145),Первоначальный[[#This Row],[Полученный платеж]]+Y1144),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платеж]]+Y1144,SUM(Первоначальный[[#This Row],[Остаток процентов на начало периода]],Первоначальный[[#This Row],[Проценты за период]])),
AND(S1144=0,Первоначальный[[#This Row],[Дата платежа из графика]]=""),0,
AND(S1144=0,Первоначальный[[#This Row],[Дата платежа из графика]]=1,MAX((0&lt;&gt;S$12:S1144)*ROW(S$12:S1144),ROW($S$12))&gt;=MAX((1=Z$12:Z1144)*ROW(Z$12:Z1144),ROW($T$12)),TYPE(VLOOKUP("Да",(INDIRECT("AA"&amp;(MAX((1=Z$12:Z1144)*ROW(Z$12:Z1144),ROW($T$12))&amp;":AA"&amp;(ROW()-1)))),1,0))=16),MIN(LOOKUP(,-1/($Z$12:Z1145=1),$C$12:C1145)+LOOKUP(,-1/($Z$12:Z1145=1),$H$12:H1145),Первоначальный[[#This Row],[Полученный платеж]]+Y1144),
AND(S1144=0,TYPE(VLOOKUP("Да",(INDIRECT("AA"&amp;(MAX((1=Z$12:Z1144)*ROW(Z$12:Z1144),ROW($T$12))&amp;":AA"&amp;(ROW()-1)))),1,0))&lt;&gt;16),MIN(LOOKUP(,-1/($Z$12:Z1145=1),$C$12:C1145)+LOOKUP(,-1/($Z$12:Z1145=1),$H$12:H1145)-IF(AA1144="Да",0,SUM(INDIRECT("T"&amp;(MAX(("Да"=AA$12:AA1144)*ROW(AA$12:AA1144)+1,ROW($T$12))&amp;":T"&amp;(ROW()-1))))),Первоначальный[[#This Row],[Полученный платеж]]+Y1144),
AND(S1144=0,MAX((0&lt;&gt;N$12:N1144)*ROW(N$12:N1144),ROW($S$12))&gt;=MAX((1=Z$12:Z1144)*ROW(Z$12:Z1144),ROW($T$12))),MIN(LOOKUP(,-1/($Z$12:Z1145=1),$C$12:C1145)+LOOKUP(,-1/($Z$12:Z1145=1),$H$12:H1145)-IF(N1144&lt;&gt;0,0,SUM(INDIRECT("T"&amp;(MAX((0&lt;&gt;N$12:N1144)*ROW(N$12:N1144)+1,ROW($T$12))&amp;":T"&amp;(ROW()-1))))),Первоначальный[[#This Row],[Полученный платеж]]+Y1144),
AND(S1144=0,Первоначальный[[#This Row],[Дата платежа из графика]]=1),MIN(LOOKUP(,-1/($Z$12:Z1145=1),$C$12:C1145)+LOOKUP(,-1/($Z$12:Z1145=1),$H$12:H1145)-IF(Z1144=1,0,SUM(INDIRECT("T"&amp;(MAX((1=Z$12:Z1144)*ROW(Z$12:Z1144)+1,ROW($T$12))&amp;":T"&amp;(ROW()-1))))),Первоначальный[[#This Row],[Полученный платеж]]+Y1144),
AND(Z1144&gt;0,Первоначальный[[#This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платеж]]+Y1144),
AND(S1144&gt;0,MAX((0&lt;&gt;S$12:S1144)*ROW(S$12:S1144),ROW($S$12))&gt;=MAX((1=Z$12:Z1144)*ROW(Z$12:Z1144),ROW($T$12)),TYPE(VLOOKUP("Да",(INDIRECT("AA"&amp;(MAX((1=Z$12:Z1144)*ROW(Z$12:Z1144),ROW($T$12))&amp;":AA"&amp;(ROW()-1)))),1,0))=16),MIN(LOOKUP(,-1/($Z$12:Z1145=1),$C$12:C1145)+LOOKUP(,-1/($Z$12:Z1145=1),$H$12:H1145)-SUM(INDIRECT("T"&amp;(MAX((1=Z$12:Z1144)*ROW(Z$12:Z1144),ROW($T$12))&amp;":T"&amp;(ROW()-1)))),Первоначальный[[#This Row],[Полученный платеж]]+Y1144),
S1144&gt;0,MIN(LOOKUP(,-1/($Z$12:Z1145=1),$C$12:C1145)+LOOKUP(,-1/($Z$12:Z1145=1),$H$12:H1145)-IF(Z1144=1,0,SUM(INDIRECT("T"&amp;(MAX((1=Z$12:Z1144)*ROW(Z$12:Z1144)+1,ROW($T$12))&amp;":T"&amp;(ROW()-1))))),Первоначальный[[#This Row],[Полученный платеж]]+Y1144)
)
)
)</f>
        <v>0</v>
      </c>
      <c r="U114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платеж]]+Y1144-Первоначальный[[#This Row],[Полученный платёж по процентам]])</f>
        <v>0</v>
      </c>
      <c r="V1145" s="55">
        <f t="shared" ca="1" si="207"/>
        <v>0</v>
      </c>
      <c r="W1145" s="55" cm="1">
        <f t="array" aca="1" ref="W1145" ca="1">IF(Первоначальный[[#This Row],[Итого остаток на начало периода]]&lt;1,0,
_xlfn.IFS(
AND(TYPE(VLOOKUP(1,$Z$12:Z1145,1,0))=16,Первоначальный[[#This Row],[Досрочное погашение (да/"")]]=""),0,
AND(S1144=0,Первоначальный[[#This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платеж]]+Y1144-SUM(Первоначальный[[#This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комиссиям]]),VLOOKUP(LOOKUP(,-1/($Z$12:Z1145=1),$A$12:A1145),График[[Срок конец]:[Возврат основной суммы долга]],3,0)),
AND(S1144=0,Первоначальный[[#This Row],[Дата платежа из графика]]="",Первоначальный[[#This Row],[Досрочное погашение (да/"")]]&lt;&gt;"Да"),0,
AND(S1144=0,Первоначальный[[#This Row],[Досрочное погашение (да/"")]]=""),MIN(Первоначальный[[#This Row],[Полученный платеж]]+Y1144-SUM(Первоначальный[[#This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комиссиям]]),VLOOKUP(LOOKUP(,-1/($Z$12:Z1145=1),$A$12:A1145),График[[Срок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платеж]]+Y1144-SUM(Первоначальный[[#This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S1144&gt;0,MIN(Первоначальный[[#This Row],[Полученный платеж]]+Y1144-SUM(Первоначальный[[#This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комиссиям]]),SUM(INDIRECT("M"&amp;(MAX((1=S$12:S1144)*ROW(S$12:S1144),ROW($W$12))&amp;":M"&amp;(ROW()))))-SUM(INDIRECT("W"&amp;(MAX((1=S$12:S1144)*ROW(S$12:S1144),ROW($W$12))&amp;":W"&amp;(ROW()-1)))))
)
)</f>
        <v>0</v>
      </c>
      <c r="X1145" s="55">
        <f t="shared" ca="1" si="208"/>
        <v>0</v>
      </c>
      <c r="Y1145" s="101">
        <f t="shared" ca="1" si="215"/>
        <v>0</v>
      </c>
      <c r="Z1145" s="133" t="str">
        <f>IF(TYPE((VLOOKUP(Первоначальный[[#This Row],[Дата платежа]],График[Срок конец],1,0)))=16,"",1)</f>
        <v/>
      </c>
      <c r="AA1145" s="57"/>
      <c r="AB1145" s="134"/>
      <c r="AC114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4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82276.179999999993</v>
      </c>
      <c r="AE114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5083.1799999999912</v>
      </c>
      <c r="AF114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4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266034.71191311424</v>
      </c>
      <c r="AH1145" s="55"/>
      <c r="AI1145" s="55"/>
      <c r="AJ1145" s="55"/>
      <c r="AK1145" s="101">
        <f t="shared" ca="1" si="216"/>
        <v>503027.41191311425</v>
      </c>
      <c r="AL1145" s="129">
        <f t="array" ref="AL1145">MAX((УслРестрактов[Характеристика]="Дата реструктуризации")*(УслРестрактов[Значение]=Первоначальный!$A1145),0)</f>
        <v>0</v>
      </c>
    </row>
    <row r="1146" spans="1:38" x14ac:dyDescent="0.25">
      <c r="A1146" s="97">
        <f t="shared" si="209"/>
        <v>45277</v>
      </c>
      <c r="B1146" s="100">
        <f t="shared" ca="1" si="210"/>
        <v>149633.34</v>
      </c>
      <c r="C1146" s="55">
        <f t="shared" ca="1" si="206"/>
        <v>82276.179999999993</v>
      </c>
      <c r="D1146" s="55">
        <f t="shared" ca="1" si="206"/>
        <v>5083.1799999999912</v>
      </c>
      <c r="E1146" s="55">
        <f t="shared" ca="1" si="211"/>
        <v>0</v>
      </c>
      <c r="F1146" s="55">
        <f t="shared" ca="1" si="212"/>
        <v>266034.71191311424</v>
      </c>
      <c r="G1146" s="101">
        <f t="shared" ca="1" si="213"/>
        <v>503027.41191311425</v>
      </c>
      <c r="H1146" s="100">
        <f ca="1">ROUND($B1146*VLOOKUP($A1146,$A$1:$B$10,2,1)/(365+IF(MOD(YEAR($A1146),4),0,1)*($A1146-$A1145)),2)-Первоначальный[[#This Row],[Проценты на просроченный платеж по ОД за период]]</f>
        <v>70.89</v>
      </c>
      <c r="I1146" s="55">
        <f t="shared" ca="1" si="214"/>
        <v>10.69</v>
      </c>
      <c r="J1146" s="55">
        <v>0</v>
      </c>
      <c r="K1146" s="55">
        <f t="shared" ca="1" si="217"/>
        <v>506.90850327868844</v>
      </c>
      <c r="L1146" s="55">
        <v>0</v>
      </c>
      <c r="M1146" s="113">
        <f>SUMIFS(График[Возврат основной суммы долга],График[Дата с учетом нерабочих дней],$A1146)</f>
        <v>0</v>
      </c>
      <c r="N1146" s="56">
        <f>SUMIFS(График[Возврат начисленных %],График[Дата с учетом нерабочих дней],$A1146)</f>
        <v>0</v>
      </c>
      <c r="O1146" s="101">
        <v>0</v>
      </c>
      <c r="P1146" s="100" cm="1">
        <f t="array" aca="1" ref="P1146" ca="1">MAX(IF(AA1145="Да",0,SUM(INDIRECT("M"&amp;(MAX(("Да"=AA$12:AA1145)*ROW(AA$12:AA1145)+1,ROW($P$12))&amp;":M"&amp;(ROW()))))-SUM(INDIRECT("W"&amp;(MAX(("Да"=AA$12:AA1145)*ROW(AA$12:AA1145)+1,ROW($P$12))&amp;":W"&amp;(ROW()))))),0)</f>
        <v>19605.71</v>
      </c>
      <c r="Q1146" s="99">
        <f ca="1">MAX(SUM($N$13:N1146)-SUM($T$13:T1146),0)</f>
        <v>81775.990655737682</v>
      </c>
      <c r="R1146" s="99">
        <f ca="1">Первоначальный[[#This Row],[Просроченный платеж по ОД]]+Первоначальный[[#This Row],[Просроченный платеж по процентам]]</f>
        <v>101381.70065573769</v>
      </c>
      <c r="S1146" s="120">
        <f ca="1">IF(Первоначальный[[#This Row],[Просроченный платеж]]&lt;1,0,S1145+1)</f>
        <v>1042</v>
      </c>
      <c r="T1146" s="100" cm="1">
        <f t="array" aca="1" ref="T1146" ca="1">IF(Первоначальный[[#This Row],[Итого остаток на начало периода]]&lt;1,0,
IF(
AND(TYPE(VLOOKUP(1,$Z$12:Z1146,1,0))=16,Первоначальный[[#This Row],[Досрочное погашение (да/"")]]=""),0,
_xlfn.IFS(AND(S1145=0,Первоначальный[[#This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платеж]]&lt;&gt;0),MIN(LOOKUP(,-1/($Z$12:Z1146=1),$C$12:C1146)+LOOKUP(,-1/($Z$12:Z1146=1),$H$12:H1146),Первоначальный[[#This Row],[Полученный платеж]]+Y1145),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платеж]]+Y1145,SUM(Первоначальный[[#This Row],[Остаток процентов на начало периода]],Первоначальный[[#This Row],[Проценты за период]])),
AND(S1145=0,Первоначальный[[#This Row],[Дата платежа из графика]]=""),0,
AND(S1145=0,Первоначальный[[#This Row],[Дата платежа из графика]]=1,MAX((0&lt;&gt;S$12:S1145)*ROW(S$12:S1145),ROW($S$12))&gt;=MAX((1=Z$12:Z1145)*ROW(Z$12:Z1145),ROW($T$12)),TYPE(VLOOKUP("Да",(INDIRECT("AA"&amp;(MAX((1=Z$12:Z1145)*ROW(Z$12:Z1145),ROW($T$12))&amp;":AA"&amp;(ROW()-1)))),1,0))=16),MIN(LOOKUP(,-1/($Z$12:Z1146=1),$C$12:C1146)+LOOKUP(,-1/($Z$12:Z1146=1),$H$12:H1146),Первоначальный[[#This Row],[Полученный платеж]]+Y1145),
AND(S1145=0,TYPE(VLOOKUP("Да",(INDIRECT("AA"&amp;(MAX((1=Z$12:Z1145)*ROW(Z$12:Z1145),ROW($T$12))&amp;":AA"&amp;(ROW()-1)))),1,0))&lt;&gt;16),MIN(LOOKUP(,-1/($Z$12:Z1146=1),$C$12:C1146)+LOOKUP(,-1/($Z$12:Z1146=1),$H$12:H1146)-IF(AA1145="Да",0,SUM(INDIRECT("T"&amp;(MAX(("Да"=AA$12:AA1145)*ROW(AA$12:AA1145)+1,ROW($T$12))&amp;":T"&amp;(ROW()-1))))),Первоначальный[[#This Row],[Полученный платеж]]+Y1145),
AND(S1145=0,MAX((0&lt;&gt;N$12:N1145)*ROW(N$12:N1145),ROW($S$12))&gt;=MAX((1=Z$12:Z1145)*ROW(Z$12:Z1145),ROW($T$12))),MIN(LOOKUP(,-1/($Z$12:Z1146=1),$C$12:C1146)+LOOKUP(,-1/($Z$12:Z1146=1),$H$12:H1146)-IF(N1145&lt;&gt;0,0,SUM(INDIRECT("T"&amp;(MAX((0&lt;&gt;N$12:N1145)*ROW(N$12:N1145)+1,ROW($T$12))&amp;":T"&amp;(ROW()-1))))),Первоначальный[[#This Row],[Полученный платеж]]+Y1145),
AND(S1145=0,Первоначальный[[#This Row],[Дата платежа из графика]]=1),MIN(LOOKUP(,-1/($Z$12:Z1146=1),$C$12:C1146)+LOOKUP(,-1/($Z$12:Z1146=1),$H$12:H1146)-IF(Z1145=1,0,SUM(INDIRECT("T"&amp;(MAX((1=Z$12:Z1145)*ROW(Z$12:Z1145)+1,ROW($T$12))&amp;":T"&amp;(ROW()-1))))),Первоначальный[[#This Row],[Полученный платеж]]+Y1145),
AND(Z1145&gt;0,Первоначальный[[#This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платеж]]+Y1145),
AND(S1145&gt;0,MAX((0&lt;&gt;S$12:S1145)*ROW(S$12:S1145),ROW($S$12))&gt;=MAX((1=Z$12:Z1145)*ROW(Z$12:Z1145),ROW($T$12)),TYPE(VLOOKUP("Да",(INDIRECT("AA"&amp;(MAX((1=Z$12:Z1145)*ROW(Z$12:Z1145),ROW($T$12))&amp;":AA"&amp;(ROW()-1)))),1,0))=16),MIN(LOOKUP(,-1/($Z$12:Z1146=1),$C$12:C1146)+LOOKUP(,-1/($Z$12:Z1146=1),$H$12:H1146)-SUM(INDIRECT("T"&amp;(MAX((1=Z$12:Z1145)*ROW(Z$12:Z1145),ROW($T$12))&amp;":T"&amp;(ROW()-1)))),Первоначальный[[#This Row],[Полученный платеж]]+Y1145),
S1145&gt;0,MIN(LOOKUP(,-1/($Z$12:Z1146=1),$C$12:C1146)+LOOKUP(,-1/($Z$12:Z1146=1),$H$12:H1146)-IF(Z1145=1,0,SUM(INDIRECT("T"&amp;(MAX((1=Z$12:Z1145)*ROW(Z$12:Z1145)+1,ROW($T$12))&amp;":T"&amp;(ROW()-1))))),Первоначальный[[#This Row],[Полученный платеж]]+Y1145)
)
)
)</f>
        <v>0</v>
      </c>
      <c r="U114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платеж]]+Y1145-Первоначальный[[#This Row],[Полученный платёж по процентам]])</f>
        <v>0</v>
      </c>
      <c r="V1146" s="55">
        <f t="shared" ca="1" si="207"/>
        <v>0</v>
      </c>
      <c r="W1146" s="55" cm="1">
        <f t="array" aca="1" ref="W1146" ca="1">IF(Первоначальный[[#This Row],[Итого остаток на начало периода]]&lt;1,0,
_xlfn.IFS(
AND(TYPE(VLOOKUP(1,$Z$12:Z1146,1,0))=16,Первоначальный[[#This Row],[Досрочное погашение (да/"")]]=""),0,
AND(S1145=0,Первоначальный[[#This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платеж]]+Y1145-SUM(Первоначальный[[#This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комиссиям]]),VLOOKUP(LOOKUP(,-1/($Z$12:Z1146=1),$A$12:A1146),График[[Срок конец]:[Возврат основной суммы долга]],3,0)),
AND(S1145=0,Первоначальный[[#This Row],[Дата платежа из графика]]="",Первоначальный[[#This Row],[Досрочное погашение (да/"")]]&lt;&gt;"Да"),0,
AND(S1145=0,Первоначальный[[#This Row],[Досрочное погашение (да/"")]]=""),MIN(Первоначальный[[#This Row],[Полученный платеж]]+Y1145-SUM(Первоначальный[[#This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комиссиям]]),VLOOKUP(LOOKUP(,-1/($Z$12:Z1146=1),$A$12:A1146),График[[Срок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платеж]]+Y1145-SUM(Первоначальный[[#This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S1145&gt;0,MIN(Первоначальный[[#This Row],[Полученный платеж]]+Y1145-SUM(Первоначальный[[#This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комиссиям]]),SUM(INDIRECT("M"&amp;(MAX((1=S$12:S1145)*ROW(S$12:S1145),ROW($W$12))&amp;":M"&amp;(ROW()))))-SUM(INDIRECT("W"&amp;(MAX((1=S$12:S1145)*ROW(S$12:S1145),ROW($W$12))&amp;":W"&amp;(ROW()-1)))))
)
)</f>
        <v>0</v>
      </c>
      <c r="X1146" s="55">
        <f t="shared" ca="1" si="208"/>
        <v>0</v>
      </c>
      <c r="Y1146" s="101">
        <f t="shared" ca="1" si="215"/>
        <v>0</v>
      </c>
      <c r="Z1146" s="133" t="str">
        <f>IF(TYPE((VLOOKUP(Первоначальный[[#This Row],[Дата платежа]],График[Срок конец],1,0)))=16,"",1)</f>
        <v/>
      </c>
      <c r="AA1146" s="57"/>
      <c r="AB1146" s="134"/>
      <c r="AC114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4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82347.069999999992</v>
      </c>
      <c r="AE114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5093.8699999999908</v>
      </c>
      <c r="AF114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4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266541.62041639292</v>
      </c>
      <c r="AH1146" s="55"/>
      <c r="AI1146" s="55"/>
      <c r="AJ1146" s="55"/>
      <c r="AK1146" s="101">
        <f t="shared" ca="1" si="216"/>
        <v>503615.90041639289</v>
      </c>
      <c r="AL1146" s="129">
        <f t="array" ref="AL1146">MAX((УслРестрактов[Характеристика]="Дата реструктуризации")*(УслРестрактов[Значение]=Первоначальный!$A1146),0)</f>
        <v>0</v>
      </c>
    </row>
    <row r="1147" spans="1:38" x14ac:dyDescent="0.25">
      <c r="A1147" s="97">
        <f t="shared" si="209"/>
        <v>45278</v>
      </c>
      <c r="B1147" s="100">
        <f t="shared" ca="1" si="210"/>
        <v>149633.34</v>
      </c>
      <c r="C1147" s="55">
        <f t="shared" ca="1" si="206"/>
        <v>82347.069999999992</v>
      </c>
      <c r="D1147" s="55">
        <f t="shared" ca="1" si="206"/>
        <v>5093.8699999999908</v>
      </c>
      <c r="E1147" s="55">
        <f t="shared" ca="1" si="211"/>
        <v>0</v>
      </c>
      <c r="F1147" s="55">
        <f t="shared" ca="1" si="212"/>
        <v>266541.62041639292</v>
      </c>
      <c r="G1147" s="101">
        <f t="shared" ca="1" si="213"/>
        <v>503615.90041639289</v>
      </c>
      <c r="H1147" s="100">
        <f ca="1">ROUND($B1147*VLOOKUP($A1147,$A$1:$B$10,2,1)/(365+IF(MOD(YEAR($A1147),4),0,1)*($A1147-$A1146)),2)-Первоначальный[[#This Row],[Проценты на просроченный платеж по ОД за период]]</f>
        <v>70.89</v>
      </c>
      <c r="I1147" s="55">
        <f t="shared" ca="1" si="214"/>
        <v>10.69</v>
      </c>
      <c r="J1147" s="55">
        <v>0</v>
      </c>
      <c r="K1147" s="55">
        <f t="shared" ca="1" si="217"/>
        <v>506.90850327868844</v>
      </c>
      <c r="L1147" s="55">
        <v>0</v>
      </c>
      <c r="M1147" s="113">
        <f>SUMIFS(График[Возврат основной суммы долга],График[Дата с учетом нерабочих дней],$A1147)</f>
        <v>0</v>
      </c>
      <c r="N1147" s="56">
        <f>SUMIFS(График[Возврат начисленных %],График[Дата с учетом нерабочих дней],$A1147)</f>
        <v>0</v>
      </c>
      <c r="O1147" s="101">
        <v>0</v>
      </c>
      <c r="P1147" s="100" cm="1">
        <f t="array" aca="1" ref="P1147" ca="1">MAX(IF(AA1146="Да",0,SUM(INDIRECT("M"&amp;(MAX(("Да"=AA$12:AA1146)*ROW(AA$12:AA1146)+1,ROW($P$12))&amp;":M"&amp;(ROW()))))-SUM(INDIRECT("W"&amp;(MAX(("Да"=AA$12:AA1146)*ROW(AA$12:AA1146)+1,ROW($P$12))&amp;":W"&amp;(ROW()))))),0)</f>
        <v>19605.71</v>
      </c>
      <c r="Q1147" s="99">
        <f ca="1">MAX(SUM($N$13:N1147)-SUM($T$13:T1147),0)</f>
        <v>81775.990655737682</v>
      </c>
      <c r="R1147" s="99">
        <f ca="1">Первоначальный[[#This Row],[Просроченный платеж по ОД]]+Первоначальный[[#This Row],[Просроченный платеж по процентам]]</f>
        <v>101381.70065573769</v>
      </c>
      <c r="S1147" s="120">
        <f ca="1">IF(Первоначальный[[#This Row],[Просроченный платеж]]&lt;1,0,S1146+1)</f>
        <v>1043</v>
      </c>
      <c r="T1147" s="100" cm="1">
        <f t="array" aca="1" ref="T1147" ca="1">IF(Первоначальный[[#This Row],[Итого остаток на начало периода]]&lt;1,0,
IF(
AND(TYPE(VLOOKUP(1,$Z$12:Z1147,1,0))=16,Первоначальный[[#This Row],[Досрочное погашение (да/"")]]=""),0,
_xlfn.IFS(AND(S1146=0,Первоначальный[[#This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платеж]]&lt;&gt;0),MIN(LOOKUP(,-1/($Z$12:Z1147=1),$C$12:C1147)+LOOKUP(,-1/($Z$12:Z1147=1),$H$12:H1147),Первоначальный[[#This Row],[Полученный платеж]]+Y1146),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платеж]]+Y1146,SUM(Первоначальный[[#This Row],[Остаток процентов на начало периода]],Первоначальный[[#This Row],[Проценты за период]])),
AND(S1146=0,Первоначальный[[#This Row],[Дата платежа из графика]]=""),0,
AND(S1146=0,Первоначальный[[#This Row],[Дата платежа из графика]]=1,MAX((0&lt;&gt;S$12:S1146)*ROW(S$12:S1146),ROW($S$12))&gt;=MAX((1=Z$12:Z1146)*ROW(Z$12:Z1146),ROW($T$12)),TYPE(VLOOKUP("Да",(INDIRECT("AA"&amp;(MAX((1=Z$12:Z1146)*ROW(Z$12:Z1146),ROW($T$12))&amp;":AA"&amp;(ROW()-1)))),1,0))=16),MIN(LOOKUP(,-1/($Z$12:Z1147=1),$C$12:C1147)+LOOKUP(,-1/($Z$12:Z1147=1),$H$12:H1147),Первоначальный[[#This Row],[Полученный платеж]]+Y1146),
AND(S1146=0,TYPE(VLOOKUP("Да",(INDIRECT("AA"&amp;(MAX((1=Z$12:Z1146)*ROW(Z$12:Z1146),ROW($T$12))&amp;":AA"&amp;(ROW()-1)))),1,0))&lt;&gt;16),MIN(LOOKUP(,-1/($Z$12:Z1147=1),$C$12:C1147)+LOOKUP(,-1/($Z$12:Z1147=1),$H$12:H1147)-IF(AA1146="Да",0,SUM(INDIRECT("T"&amp;(MAX(("Да"=AA$12:AA1146)*ROW(AA$12:AA1146)+1,ROW($T$12))&amp;":T"&amp;(ROW()-1))))),Первоначальный[[#This Row],[Полученный платеж]]+Y1146),
AND(S1146=0,MAX((0&lt;&gt;N$12:N1146)*ROW(N$12:N1146),ROW($S$12))&gt;=MAX((1=Z$12:Z1146)*ROW(Z$12:Z1146),ROW($T$12))),MIN(LOOKUP(,-1/($Z$12:Z1147=1),$C$12:C1147)+LOOKUP(,-1/($Z$12:Z1147=1),$H$12:H1147)-IF(N1146&lt;&gt;0,0,SUM(INDIRECT("T"&amp;(MAX((0&lt;&gt;N$12:N1146)*ROW(N$12:N1146)+1,ROW($T$12))&amp;":T"&amp;(ROW()-1))))),Первоначальный[[#This Row],[Полученный платеж]]+Y1146),
AND(S1146=0,Первоначальный[[#This Row],[Дата платежа из графика]]=1),MIN(LOOKUP(,-1/($Z$12:Z1147=1),$C$12:C1147)+LOOKUP(,-1/($Z$12:Z1147=1),$H$12:H1147)-IF(Z1146=1,0,SUM(INDIRECT("T"&amp;(MAX((1=Z$12:Z1146)*ROW(Z$12:Z1146)+1,ROW($T$12))&amp;":T"&amp;(ROW()-1))))),Первоначальный[[#This Row],[Полученный платеж]]+Y1146),
AND(Z1146&gt;0,Первоначальный[[#This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платеж]]+Y1146),
AND(S1146&gt;0,MAX((0&lt;&gt;S$12:S1146)*ROW(S$12:S1146),ROW($S$12))&gt;=MAX((1=Z$12:Z1146)*ROW(Z$12:Z1146),ROW($T$12)),TYPE(VLOOKUP("Да",(INDIRECT("AA"&amp;(MAX((1=Z$12:Z1146)*ROW(Z$12:Z1146),ROW($T$12))&amp;":AA"&amp;(ROW()-1)))),1,0))=16),MIN(LOOKUP(,-1/($Z$12:Z1147=1),$C$12:C1147)+LOOKUP(,-1/($Z$12:Z1147=1),$H$12:H1147)-SUM(INDIRECT("T"&amp;(MAX((1=Z$12:Z1146)*ROW(Z$12:Z1146),ROW($T$12))&amp;":T"&amp;(ROW()-1)))),Первоначальный[[#This Row],[Полученный платеж]]+Y1146),
S1146&gt;0,MIN(LOOKUP(,-1/($Z$12:Z1147=1),$C$12:C1147)+LOOKUP(,-1/($Z$12:Z1147=1),$H$12:H1147)-IF(Z1146=1,0,SUM(INDIRECT("T"&amp;(MAX((1=Z$12:Z1146)*ROW(Z$12:Z1146)+1,ROW($T$12))&amp;":T"&amp;(ROW()-1))))),Первоначальный[[#This Row],[Полученный платеж]]+Y1146)
)
)
)</f>
        <v>0</v>
      </c>
      <c r="U114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платеж]]+Y1146-Первоначальный[[#This Row],[Полученный платёж по процентам]])</f>
        <v>0</v>
      </c>
      <c r="V1147" s="55">
        <f t="shared" ca="1" si="207"/>
        <v>0</v>
      </c>
      <c r="W1147" s="55" cm="1">
        <f t="array" aca="1" ref="W1147" ca="1">IF(Первоначальный[[#This Row],[Итого остаток на начало периода]]&lt;1,0,
_xlfn.IFS(
AND(TYPE(VLOOKUP(1,$Z$12:Z1147,1,0))=16,Первоначальный[[#This Row],[Досрочное погашение (да/"")]]=""),0,
AND(S1146=0,Первоначальный[[#This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платеж]]+Y1146-SUM(Первоначальный[[#This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комиссиям]]),VLOOKUP(LOOKUP(,-1/($Z$12:Z1147=1),$A$12:A1147),График[[Срок конец]:[Возврат основной суммы долга]],3,0)),
AND(S1146=0,Первоначальный[[#This Row],[Дата платежа из графика]]="",Первоначальный[[#This Row],[Досрочное погашение (да/"")]]&lt;&gt;"Да"),0,
AND(S1146=0,Первоначальный[[#This Row],[Досрочное погашение (да/"")]]=""),MIN(Первоначальный[[#This Row],[Полученный платеж]]+Y1146-SUM(Первоначальный[[#This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комиссиям]]),VLOOKUP(LOOKUP(,-1/($Z$12:Z1147=1),$A$12:A1147),График[[Срок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платеж]]+Y1146-SUM(Первоначальный[[#This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S1146&gt;0,MIN(Первоначальный[[#This Row],[Полученный платеж]]+Y1146-SUM(Первоначальный[[#This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комиссиям]]),SUM(INDIRECT("M"&amp;(MAX((1=S$12:S1146)*ROW(S$12:S1146),ROW($W$12))&amp;":M"&amp;(ROW()))))-SUM(INDIRECT("W"&amp;(MAX((1=S$12:S1146)*ROW(S$12:S1146),ROW($W$12))&amp;":W"&amp;(ROW()-1)))))
)
)</f>
        <v>0</v>
      </c>
      <c r="X1147" s="55">
        <f t="shared" ca="1" si="208"/>
        <v>0</v>
      </c>
      <c r="Y1147" s="101">
        <f t="shared" ca="1" si="215"/>
        <v>0</v>
      </c>
      <c r="Z1147" s="133" t="str">
        <f>IF(TYPE((VLOOKUP(Первоначальный[[#This Row],[Дата платежа]],График[Срок конец],1,0)))=16,"",1)</f>
        <v/>
      </c>
      <c r="AA1147" s="57"/>
      <c r="AB1147" s="134"/>
      <c r="AC114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4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82417.959999999992</v>
      </c>
      <c r="AE114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5104.5599999999904</v>
      </c>
      <c r="AF114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4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267048.5289196716</v>
      </c>
      <c r="AH1147" s="55"/>
      <c r="AI1147" s="55"/>
      <c r="AJ1147" s="55"/>
      <c r="AK1147" s="101">
        <f t="shared" ca="1" si="216"/>
        <v>504204.38891967159</v>
      </c>
      <c r="AL1147" s="129">
        <f t="array" ref="AL1147">MAX((УслРестрактов[Характеристика]="Дата реструктуризации")*(УслРестрактов[Значение]=Первоначальный!$A1147),0)</f>
        <v>0</v>
      </c>
    </row>
    <row r="1148" spans="1:38" x14ac:dyDescent="0.25">
      <c r="A1148" s="97">
        <f t="shared" si="209"/>
        <v>45279</v>
      </c>
      <c r="B1148" s="100">
        <f t="shared" ca="1" si="210"/>
        <v>149633.34</v>
      </c>
      <c r="C1148" s="55">
        <f t="shared" ca="1" si="206"/>
        <v>82417.959999999992</v>
      </c>
      <c r="D1148" s="55">
        <f t="shared" ca="1" si="206"/>
        <v>5104.5599999999904</v>
      </c>
      <c r="E1148" s="55">
        <f t="shared" ca="1" si="211"/>
        <v>0</v>
      </c>
      <c r="F1148" s="55">
        <f t="shared" ca="1" si="212"/>
        <v>267048.5289196716</v>
      </c>
      <c r="G1148" s="101">
        <f t="shared" ca="1" si="213"/>
        <v>504204.38891967159</v>
      </c>
      <c r="H1148" s="100">
        <f ca="1">ROUND($B1148*VLOOKUP($A1148,$A$1:$B$10,2,1)/(365+IF(MOD(YEAR($A1148),4),0,1)*($A1148-$A1147)),2)-Первоначальный[[#This Row],[Проценты на просроченный платеж по ОД за период]]</f>
        <v>70.89</v>
      </c>
      <c r="I1148" s="55">
        <f t="shared" ca="1" si="214"/>
        <v>10.69</v>
      </c>
      <c r="J1148" s="55">
        <v>0</v>
      </c>
      <c r="K1148" s="55">
        <f t="shared" ca="1" si="217"/>
        <v>506.90850327868844</v>
      </c>
      <c r="L1148" s="55">
        <v>0</v>
      </c>
      <c r="M1148" s="113">
        <f>SUMIFS(График[Возврат основной суммы долга],График[Дата с учетом нерабочих дней],$A1148)</f>
        <v>0</v>
      </c>
      <c r="N1148" s="56">
        <f>SUMIFS(График[Возврат начисленных %],График[Дата с учетом нерабочих дней],$A1148)</f>
        <v>0</v>
      </c>
      <c r="O1148" s="101">
        <v>0</v>
      </c>
      <c r="P1148" s="100" cm="1">
        <f t="array" aca="1" ref="P1148" ca="1">MAX(IF(AA1147="Да",0,SUM(INDIRECT("M"&amp;(MAX(("Да"=AA$12:AA1147)*ROW(AA$12:AA1147)+1,ROW($P$12))&amp;":M"&amp;(ROW()))))-SUM(INDIRECT("W"&amp;(MAX(("Да"=AA$12:AA1147)*ROW(AA$12:AA1147)+1,ROW($P$12))&amp;":W"&amp;(ROW()))))),0)</f>
        <v>19605.71</v>
      </c>
      <c r="Q1148" s="99">
        <f ca="1">MAX(SUM($N$13:N1148)-SUM($T$13:T1148),0)</f>
        <v>81775.990655737682</v>
      </c>
      <c r="R1148" s="99">
        <f ca="1">Первоначальный[[#This Row],[Просроченный платеж по ОД]]+Первоначальный[[#This Row],[Просроченный платеж по процентам]]</f>
        <v>101381.70065573769</v>
      </c>
      <c r="S1148" s="120">
        <f ca="1">IF(Первоначальный[[#This Row],[Просроченный платеж]]&lt;1,0,S1147+1)</f>
        <v>1044</v>
      </c>
      <c r="T1148" s="100" cm="1">
        <f t="array" aca="1" ref="T1148" ca="1">IF(Первоначальный[[#This Row],[Итого остаток на начало периода]]&lt;1,0,
IF(
AND(TYPE(VLOOKUP(1,$Z$12:Z1148,1,0))=16,Первоначальный[[#This Row],[Досрочное погашение (да/"")]]=""),0,
_xlfn.IFS(AND(S1147=0,Первоначальный[[#This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платеж]]&lt;&gt;0),MIN(LOOKUP(,-1/($Z$12:Z1148=1),$C$12:C1148)+LOOKUP(,-1/($Z$12:Z1148=1),$H$12:H1148),Первоначальный[[#This Row],[Полученный платеж]]+Y1147),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платеж]]+Y1147,SUM(Первоначальный[[#This Row],[Остаток процентов на начало периода]],Первоначальный[[#This Row],[Проценты за период]])),
AND(S1147=0,Первоначальный[[#This Row],[Дата платежа из графика]]=""),0,
AND(S1147=0,Первоначальный[[#This Row],[Дата платежа из графика]]=1,MAX((0&lt;&gt;S$12:S1147)*ROW(S$12:S1147),ROW($S$12))&gt;=MAX((1=Z$12:Z1147)*ROW(Z$12:Z1147),ROW($T$12)),TYPE(VLOOKUP("Да",(INDIRECT("AA"&amp;(MAX((1=Z$12:Z1147)*ROW(Z$12:Z1147),ROW($T$12))&amp;":AA"&amp;(ROW()-1)))),1,0))=16),MIN(LOOKUP(,-1/($Z$12:Z1148=1),$C$12:C1148)+LOOKUP(,-1/($Z$12:Z1148=1),$H$12:H1148),Первоначальный[[#This Row],[Полученный платеж]]+Y1147),
AND(S1147=0,TYPE(VLOOKUP("Да",(INDIRECT("AA"&amp;(MAX((1=Z$12:Z1147)*ROW(Z$12:Z1147),ROW($T$12))&amp;":AA"&amp;(ROW()-1)))),1,0))&lt;&gt;16),MIN(LOOKUP(,-1/($Z$12:Z1148=1),$C$12:C1148)+LOOKUP(,-1/($Z$12:Z1148=1),$H$12:H1148)-IF(AA1147="Да",0,SUM(INDIRECT("T"&amp;(MAX(("Да"=AA$12:AA1147)*ROW(AA$12:AA1147)+1,ROW($T$12))&amp;":T"&amp;(ROW()-1))))),Первоначальный[[#This Row],[Полученный платеж]]+Y1147),
AND(S1147=0,MAX((0&lt;&gt;N$12:N1147)*ROW(N$12:N1147),ROW($S$12))&gt;=MAX((1=Z$12:Z1147)*ROW(Z$12:Z1147),ROW($T$12))),MIN(LOOKUP(,-1/($Z$12:Z1148=1),$C$12:C1148)+LOOKUP(,-1/($Z$12:Z1148=1),$H$12:H1148)-IF(N1147&lt;&gt;0,0,SUM(INDIRECT("T"&amp;(MAX((0&lt;&gt;N$12:N1147)*ROW(N$12:N1147)+1,ROW($T$12))&amp;":T"&amp;(ROW()-1))))),Первоначальный[[#This Row],[Полученный платеж]]+Y1147),
AND(S1147=0,Первоначальный[[#This Row],[Дата платежа из графика]]=1),MIN(LOOKUP(,-1/($Z$12:Z1148=1),$C$12:C1148)+LOOKUP(,-1/($Z$12:Z1148=1),$H$12:H1148)-IF(Z1147=1,0,SUM(INDIRECT("T"&amp;(MAX((1=Z$12:Z1147)*ROW(Z$12:Z1147)+1,ROW($T$12))&amp;":T"&amp;(ROW()-1))))),Первоначальный[[#This Row],[Полученный платеж]]+Y1147),
AND(Z1147&gt;0,Первоначальный[[#This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платеж]]+Y1147),
AND(S1147&gt;0,MAX((0&lt;&gt;S$12:S1147)*ROW(S$12:S1147),ROW($S$12))&gt;=MAX((1=Z$12:Z1147)*ROW(Z$12:Z1147),ROW($T$12)),TYPE(VLOOKUP("Да",(INDIRECT("AA"&amp;(MAX((1=Z$12:Z1147)*ROW(Z$12:Z1147),ROW($T$12))&amp;":AA"&amp;(ROW()-1)))),1,0))=16),MIN(LOOKUP(,-1/($Z$12:Z1148=1),$C$12:C1148)+LOOKUP(,-1/($Z$12:Z1148=1),$H$12:H1148)-SUM(INDIRECT("T"&amp;(MAX((1=Z$12:Z1147)*ROW(Z$12:Z1147),ROW($T$12))&amp;":T"&amp;(ROW()-1)))),Первоначальный[[#This Row],[Полученный платеж]]+Y1147),
S1147&gt;0,MIN(LOOKUP(,-1/($Z$12:Z1148=1),$C$12:C1148)+LOOKUP(,-1/($Z$12:Z1148=1),$H$12:H1148)-IF(Z1147=1,0,SUM(INDIRECT("T"&amp;(MAX((1=Z$12:Z1147)*ROW(Z$12:Z1147)+1,ROW($T$12))&amp;":T"&amp;(ROW()-1))))),Первоначальный[[#This Row],[Полученный платеж]]+Y1147)
)
)
)</f>
        <v>0</v>
      </c>
      <c r="U114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платеж]]+Y1147-Первоначальный[[#This Row],[Полученный платёж по процентам]])</f>
        <v>0</v>
      </c>
      <c r="V1148" s="55">
        <f t="shared" ca="1" si="207"/>
        <v>0</v>
      </c>
      <c r="W1148" s="55" cm="1">
        <f t="array" aca="1" ref="W1148" ca="1">IF(Первоначальный[[#This Row],[Итого остаток на начало периода]]&lt;1,0,
_xlfn.IFS(
AND(TYPE(VLOOKUP(1,$Z$12:Z1148,1,0))=16,Первоначальный[[#This Row],[Досрочное погашение (да/"")]]=""),0,
AND(S1147=0,Первоначальный[[#This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платеж]]+Y1147-SUM(Первоначальный[[#This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комиссиям]]),VLOOKUP(LOOKUP(,-1/($Z$12:Z1148=1),$A$12:A1148),График[[Срок конец]:[Возврат основной суммы долга]],3,0)),
AND(S1147=0,Первоначальный[[#This Row],[Дата платежа из графика]]="",Первоначальный[[#This Row],[Досрочное погашение (да/"")]]&lt;&gt;"Да"),0,
AND(S1147=0,Первоначальный[[#This Row],[Досрочное погашение (да/"")]]=""),MIN(Первоначальный[[#This Row],[Полученный платеж]]+Y1147-SUM(Первоначальный[[#This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комиссиям]]),VLOOKUP(LOOKUP(,-1/($Z$12:Z1148=1),$A$12:A1148),График[[Срок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платеж]]+Y1147-SUM(Первоначальный[[#This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S1147&gt;0,MIN(Первоначальный[[#This Row],[Полученный платеж]]+Y1147-SUM(Первоначальный[[#This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комиссиям]]),SUM(INDIRECT("M"&amp;(MAX((1=S$12:S1147)*ROW(S$12:S1147),ROW($W$12))&amp;":M"&amp;(ROW()))))-SUM(INDIRECT("W"&amp;(MAX((1=S$12:S1147)*ROW(S$12:S1147),ROW($W$12))&amp;":W"&amp;(ROW()-1)))))
)
)</f>
        <v>0</v>
      </c>
      <c r="X1148" s="55">
        <f t="shared" ca="1" si="208"/>
        <v>0</v>
      </c>
      <c r="Y1148" s="101">
        <f t="shared" ca="1" si="215"/>
        <v>0</v>
      </c>
      <c r="Z1148" s="133" t="str">
        <f>IF(TYPE((VLOOKUP(Первоначальный[[#This Row],[Дата платежа]],График[Срок конец],1,0)))=16,"",1)</f>
        <v/>
      </c>
      <c r="AA1148" s="57"/>
      <c r="AB1148" s="134"/>
      <c r="AC114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4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82488.849999999991</v>
      </c>
      <c r="AE114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5115.24999999999</v>
      </c>
      <c r="AF114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4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267555.43742295029</v>
      </c>
      <c r="AH1148" s="55"/>
      <c r="AI1148" s="55"/>
      <c r="AJ1148" s="55"/>
      <c r="AK1148" s="101">
        <f t="shared" ca="1" si="216"/>
        <v>504792.87742295029</v>
      </c>
      <c r="AL1148" s="129">
        <f t="array" ref="AL1148">MAX((УслРестрактов[Характеристика]="Дата реструктуризации")*(УслРестрактов[Значение]=Первоначальный!$A1148),0)</f>
        <v>0</v>
      </c>
    </row>
    <row r="1149" spans="1:38" x14ac:dyDescent="0.25">
      <c r="A1149" s="97">
        <f t="shared" si="209"/>
        <v>45280</v>
      </c>
      <c r="B1149" s="100">
        <f t="shared" ca="1" si="210"/>
        <v>149633.34</v>
      </c>
      <c r="C1149" s="55">
        <f t="shared" ca="1" si="206"/>
        <v>82488.849999999991</v>
      </c>
      <c r="D1149" s="55">
        <f t="shared" ca="1" si="206"/>
        <v>5115.24999999999</v>
      </c>
      <c r="E1149" s="55">
        <f t="shared" ca="1" si="211"/>
        <v>0</v>
      </c>
      <c r="F1149" s="55">
        <f t="shared" ca="1" si="212"/>
        <v>267555.43742295029</v>
      </c>
      <c r="G1149" s="101">
        <f t="shared" ca="1" si="213"/>
        <v>504792.87742295029</v>
      </c>
      <c r="H1149" s="100">
        <f ca="1">ROUND($B1149*VLOOKUP($A1149,$A$1:$B$10,2,1)/(365+IF(MOD(YEAR($A1149),4),0,1)*($A1149-$A1148)),2)-Первоначальный[[#This Row],[Проценты на просроченный платеж по ОД за период]]</f>
        <v>70.89</v>
      </c>
      <c r="I1149" s="55">
        <f t="shared" ca="1" si="214"/>
        <v>10.69</v>
      </c>
      <c r="J1149" s="55">
        <v>0</v>
      </c>
      <c r="K1149" s="55">
        <f t="shared" ca="1" si="217"/>
        <v>506.90850327868844</v>
      </c>
      <c r="L1149" s="55">
        <v>0</v>
      </c>
      <c r="M1149" s="113">
        <f>SUMIFS(График[Возврат основной суммы долга],График[Дата с учетом нерабочих дней],$A1149)</f>
        <v>0</v>
      </c>
      <c r="N1149" s="56">
        <f>SUMIFS(График[Возврат начисленных %],График[Дата с учетом нерабочих дней],$A1149)</f>
        <v>0</v>
      </c>
      <c r="O1149" s="101">
        <v>0</v>
      </c>
      <c r="P1149" s="100" cm="1">
        <f t="array" aca="1" ref="P1149" ca="1">MAX(IF(AA1148="Да",0,SUM(INDIRECT("M"&amp;(MAX(("Да"=AA$12:AA1148)*ROW(AA$12:AA1148)+1,ROW($P$12))&amp;":M"&amp;(ROW()))))-SUM(INDIRECT("W"&amp;(MAX(("Да"=AA$12:AA1148)*ROW(AA$12:AA1148)+1,ROW($P$12))&amp;":W"&amp;(ROW()))))),0)</f>
        <v>19605.71</v>
      </c>
      <c r="Q1149" s="99">
        <f ca="1">MAX(SUM($N$13:N1149)-SUM($T$13:T1149),0)</f>
        <v>81775.990655737682</v>
      </c>
      <c r="R1149" s="99">
        <f ca="1">Первоначальный[[#This Row],[Просроченный платеж по ОД]]+Первоначальный[[#This Row],[Просроченный платеж по процентам]]</f>
        <v>101381.70065573769</v>
      </c>
      <c r="S1149" s="120">
        <f ca="1">IF(Первоначальный[[#This Row],[Просроченный платеж]]&lt;1,0,S1148+1)</f>
        <v>1045</v>
      </c>
      <c r="T1149" s="100" cm="1">
        <f t="array" aca="1" ref="T1149" ca="1">IF(Первоначальный[[#This Row],[Итого остаток на начало периода]]&lt;1,0,
IF(
AND(TYPE(VLOOKUP(1,$Z$12:Z1149,1,0))=16,Первоначальный[[#This Row],[Досрочное погашение (да/"")]]=""),0,
_xlfn.IFS(AND(S1148=0,Первоначальный[[#This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платеж]]&lt;&gt;0),MIN(LOOKUP(,-1/($Z$12:Z1149=1),$C$12:C1149)+LOOKUP(,-1/($Z$12:Z1149=1),$H$12:H1149),Первоначальный[[#This Row],[Полученный платеж]]+Y1148),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платеж]]+Y1148,SUM(Первоначальный[[#This Row],[Остаток процентов на начало периода]],Первоначальный[[#This Row],[Проценты за период]])),
AND(S1148=0,Первоначальный[[#This Row],[Дата платежа из графика]]=""),0,
AND(S1148=0,Первоначальный[[#This Row],[Дата платежа из графика]]=1,MAX((0&lt;&gt;S$12:S1148)*ROW(S$12:S1148),ROW($S$12))&gt;=MAX((1=Z$12:Z1148)*ROW(Z$12:Z1148),ROW($T$12)),TYPE(VLOOKUP("Да",(INDIRECT("AA"&amp;(MAX((1=Z$12:Z1148)*ROW(Z$12:Z1148),ROW($T$12))&amp;":AA"&amp;(ROW()-1)))),1,0))=16),MIN(LOOKUP(,-1/($Z$12:Z1149=1),$C$12:C1149)+LOOKUP(,-1/($Z$12:Z1149=1),$H$12:H1149),Первоначальный[[#This Row],[Полученный платеж]]+Y1148),
AND(S1148=0,TYPE(VLOOKUP("Да",(INDIRECT("AA"&amp;(MAX((1=Z$12:Z1148)*ROW(Z$12:Z1148),ROW($T$12))&amp;":AA"&amp;(ROW()-1)))),1,0))&lt;&gt;16),MIN(LOOKUP(,-1/($Z$12:Z1149=1),$C$12:C1149)+LOOKUP(,-1/($Z$12:Z1149=1),$H$12:H1149)-IF(AA1148="Да",0,SUM(INDIRECT("T"&amp;(MAX(("Да"=AA$12:AA1148)*ROW(AA$12:AA1148)+1,ROW($T$12))&amp;":T"&amp;(ROW()-1))))),Первоначальный[[#This Row],[Полученный платеж]]+Y1148),
AND(S1148=0,MAX((0&lt;&gt;N$12:N1148)*ROW(N$12:N1148),ROW($S$12))&gt;=MAX((1=Z$12:Z1148)*ROW(Z$12:Z1148),ROW($T$12))),MIN(LOOKUP(,-1/($Z$12:Z1149=1),$C$12:C1149)+LOOKUP(,-1/($Z$12:Z1149=1),$H$12:H1149)-IF(N1148&lt;&gt;0,0,SUM(INDIRECT("T"&amp;(MAX((0&lt;&gt;N$12:N1148)*ROW(N$12:N1148)+1,ROW($T$12))&amp;":T"&amp;(ROW()-1))))),Первоначальный[[#This Row],[Полученный платеж]]+Y1148),
AND(S1148=0,Первоначальный[[#This Row],[Дата платежа из графика]]=1),MIN(LOOKUP(,-1/($Z$12:Z1149=1),$C$12:C1149)+LOOKUP(,-1/($Z$12:Z1149=1),$H$12:H1149)-IF(Z1148=1,0,SUM(INDIRECT("T"&amp;(MAX((1=Z$12:Z1148)*ROW(Z$12:Z1148)+1,ROW($T$12))&amp;":T"&amp;(ROW()-1))))),Первоначальный[[#This Row],[Полученный платеж]]+Y1148),
AND(Z1148&gt;0,Первоначальный[[#This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платеж]]+Y1148),
AND(S1148&gt;0,MAX((0&lt;&gt;S$12:S1148)*ROW(S$12:S1148),ROW($S$12))&gt;=MAX((1=Z$12:Z1148)*ROW(Z$12:Z1148),ROW($T$12)),TYPE(VLOOKUP("Да",(INDIRECT("AA"&amp;(MAX((1=Z$12:Z1148)*ROW(Z$12:Z1148),ROW($T$12))&amp;":AA"&amp;(ROW()-1)))),1,0))=16),MIN(LOOKUP(,-1/($Z$12:Z1149=1),$C$12:C1149)+LOOKUP(,-1/($Z$12:Z1149=1),$H$12:H1149)-SUM(INDIRECT("T"&amp;(MAX((1=Z$12:Z1148)*ROW(Z$12:Z1148),ROW($T$12))&amp;":T"&amp;(ROW()-1)))),Первоначальный[[#This Row],[Полученный платеж]]+Y1148),
S1148&gt;0,MIN(LOOKUP(,-1/($Z$12:Z1149=1),$C$12:C1149)+LOOKUP(,-1/($Z$12:Z1149=1),$H$12:H1149)-IF(Z1148=1,0,SUM(INDIRECT("T"&amp;(MAX((1=Z$12:Z1148)*ROW(Z$12:Z1148)+1,ROW($T$12))&amp;":T"&amp;(ROW()-1))))),Первоначальный[[#This Row],[Полученный платеж]]+Y1148)
)
)
)</f>
        <v>0</v>
      </c>
      <c r="U114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платеж]]+Y1148-Первоначальный[[#This Row],[Полученный платёж по процентам]])</f>
        <v>0</v>
      </c>
      <c r="V1149" s="55">
        <f t="shared" ca="1" si="207"/>
        <v>0</v>
      </c>
      <c r="W1149" s="55" cm="1">
        <f t="array" aca="1" ref="W1149" ca="1">IF(Первоначальный[[#This Row],[Итого остаток на начало периода]]&lt;1,0,
_xlfn.IFS(
AND(TYPE(VLOOKUP(1,$Z$12:Z1149,1,0))=16,Первоначальный[[#This Row],[Досрочное погашение (да/"")]]=""),0,
AND(S1148=0,Первоначальный[[#This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платеж]]+Y1148-SUM(Первоначальный[[#This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комиссиям]]),VLOOKUP(LOOKUP(,-1/($Z$12:Z1149=1),$A$12:A1149),График[[Срок конец]:[Возврат основной суммы долга]],3,0)),
AND(S1148=0,Первоначальный[[#This Row],[Дата платежа из графика]]="",Первоначальный[[#This Row],[Досрочное погашение (да/"")]]&lt;&gt;"Да"),0,
AND(S1148=0,Первоначальный[[#This Row],[Досрочное погашение (да/"")]]=""),MIN(Первоначальный[[#This Row],[Полученный платеж]]+Y1148-SUM(Первоначальный[[#This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комиссиям]]),VLOOKUP(LOOKUP(,-1/($Z$12:Z1149=1),$A$12:A1149),График[[Срок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платеж]]+Y1148-SUM(Первоначальный[[#This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S1148&gt;0,MIN(Первоначальный[[#This Row],[Полученный платеж]]+Y1148-SUM(Первоначальный[[#This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комиссиям]]),SUM(INDIRECT("M"&amp;(MAX((1=S$12:S1148)*ROW(S$12:S1148),ROW($W$12))&amp;":M"&amp;(ROW()))))-SUM(INDIRECT("W"&amp;(MAX((1=S$12:S1148)*ROW(S$12:S1148),ROW($W$12))&amp;":W"&amp;(ROW()-1)))))
)
)</f>
        <v>0</v>
      </c>
      <c r="X1149" s="55">
        <f t="shared" ca="1" si="208"/>
        <v>0</v>
      </c>
      <c r="Y1149" s="101">
        <f t="shared" ca="1" si="215"/>
        <v>0</v>
      </c>
      <c r="Z1149" s="133" t="str">
        <f>IF(TYPE((VLOOKUP(Первоначальный[[#This Row],[Дата платежа]],График[Срок конец],1,0)))=16,"",1)</f>
        <v/>
      </c>
      <c r="AA1149" s="57"/>
      <c r="AB1149" s="134"/>
      <c r="AC114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4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82559.739999999991</v>
      </c>
      <c r="AE114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5125.9399999999896</v>
      </c>
      <c r="AF114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4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268062.34592622897</v>
      </c>
      <c r="AH1149" s="55"/>
      <c r="AI1149" s="55"/>
      <c r="AJ1149" s="55"/>
      <c r="AK1149" s="101">
        <f t="shared" ca="1" si="216"/>
        <v>505381.36592622893</v>
      </c>
      <c r="AL1149" s="129">
        <f t="array" ref="AL1149">MAX((УслРестрактов[Характеристика]="Дата реструктуризации")*(УслРестрактов[Значение]=Первоначальный!$A1149),0)</f>
        <v>0</v>
      </c>
    </row>
    <row r="1150" spans="1:38" x14ac:dyDescent="0.25">
      <c r="A1150" s="97">
        <f t="shared" si="209"/>
        <v>45281</v>
      </c>
      <c r="B1150" s="100">
        <f t="shared" ca="1" si="210"/>
        <v>149633.34</v>
      </c>
      <c r="C1150" s="55">
        <f t="shared" ca="1" si="206"/>
        <v>82559.739999999991</v>
      </c>
      <c r="D1150" s="55">
        <f t="shared" ca="1" si="206"/>
        <v>5125.9399999999896</v>
      </c>
      <c r="E1150" s="55">
        <f t="shared" ca="1" si="211"/>
        <v>0</v>
      </c>
      <c r="F1150" s="55">
        <f t="shared" ca="1" si="212"/>
        <v>268062.34592622897</v>
      </c>
      <c r="G1150" s="101">
        <f t="shared" ca="1" si="213"/>
        <v>505381.36592622893</v>
      </c>
      <c r="H1150" s="100">
        <f ca="1">ROUND($B1150*VLOOKUP($A1150,$A$1:$B$10,2,1)/(365+IF(MOD(YEAR($A1150),4),0,1)*($A1150-$A1149)),2)-Первоначальный[[#This Row],[Проценты на просроченный платеж по ОД за период]]</f>
        <v>70.89</v>
      </c>
      <c r="I1150" s="55">
        <f t="shared" ca="1" si="214"/>
        <v>10.69</v>
      </c>
      <c r="J1150" s="55">
        <v>0</v>
      </c>
      <c r="K1150" s="55">
        <f t="shared" ca="1" si="217"/>
        <v>506.90850327868844</v>
      </c>
      <c r="L1150" s="55">
        <v>0</v>
      </c>
      <c r="M1150" s="113">
        <f>SUMIFS(График[Возврат основной суммы долга],График[Дата с учетом нерабочих дней],$A1150)</f>
        <v>0</v>
      </c>
      <c r="N1150" s="56">
        <f>SUMIFS(График[Возврат начисленных %],График[Дата с учетом нерабочих дней],$A1150)</f>
        <v>0</v>
      </c>
      <c r="O1150" s="101">
        <v>0</v>
      </c>
      <c r="P1150" s="100" cm="1">
        <f t="array" aca="1" ref="P1150" ca="1">MAX(IF(AA1149="Да",0,SUM(INDIRECT("M"&amp;(MAX(("Да"=AA$12:AA1149)*ROW(AA$12:AA1149)+1,ROW($P$12))&amp;":M"&amp;(ROW()))))-SUM(INDIRECT("W"&amp;(MAX(("Да"=AA$12:AA1149)*ROW(AA$12:AA1149)+1,ROW($P$12))&amp;":W"&amp;(ROW()))))),0)</f>
        <v>19605.71</v>
      </c>
      <c r="Q1150" s="99">
        <f ca="1">MAX(SUM($N$13:N1150)-SUM($T$13:T1150),0)</f>
        <v>81775.990655737682</v>
      </c>
      <c r="R1150" s="99">
        <f ca="1">Первоначальный[[#This Row],[Просроченный платеж по ОД]]+Первоначальный[[#This Row],[Просроченный платеж по процентам]]</f>
        <v>101381.70065573769</v>
      </c>
      <c r="S1150" s="120">
        <f ca="1">IF(Первоначальный[[#This Row],[Просроченный платеж]]&lt;1,0,S1149+1)</f>
        <v>1046</v>
      </c>
      <c r="T1150" s="100" cm="1">
        <f t="array" aca="1" ref="T1150" ca="1">IF(Первоначальный[[#This Row],[Итого остаток на начало периода]]&lt;1,0,
IF(
AND(TYPE(VLOOKUP(1,$Z$12:Z1150,1,0))=16,Первоначальный[[#This Row],[Досрочное погашение (да/"")]]=""),0,
_xlfn.IFS(AND(S1149=0,Первоначальный[[#This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платеж]]&lt;&gt;0),MIN(LOOKUP(,-1/($Z$12:Z1150=1),$C$12:C1150)+LOOKUP(,-1/($Z$12:Z1150=1),$H$12:H1150),Первоначальный[[#This Row],[Полученный платеж]]+Y1149),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платеж]]+Y1149,SUM(Первоначальный[[#This Row],[Остаток процентов на начало периода]],Первоначальный[[#This Row],[Проценты за период]])),
AND(S1149=0,Первоначальный[[#This Row],[Дата платежа из графика]]=""),0,
AND(S1149=0,Первоначальный[[#This Row],[Дата платежа из графика]]=1,MAX((0&lt;&gt;S$12:S1149)*ROW(S$12:S1149),ROW($S$12))&gt;=MAX((1=Z$12:Z1149)*ROW(Z$12:Z1149),ROW($T$12)),TYPE(VLOOKUP("Да",(INDIRECT("AA"&amp;(MAX((1=Z$12:Z1149)*ROW(Z$12:Z1149),ROW($T$12))&amp;":AA"&amp;(ROW()-1)))),1,0))=16),MIN(LOOKUP(,-1/($Z$12:Z1150=1),$C$12:C1150)+LOOKUP(,-1/($Z$12:Z1150=1),$H$12:H1150),Первоначальный[[#This Row],[Полученный платеж]]+Y1149),
AND(S1149=0,TYPE(VLOOKUP("Да",(INDIRECT("AA"&amp;(MAX((1=Z$12:Z1149)*ROW(Z$12:Z1149),ROW($T$12))&amp;":AA"&amp;(ROW()-1)))),1,0))&lt;&gt;16),MIN(LOOKUP(,-1/($Z$12:Z1150=1),$C$12:C1150)+LOOKUP(,-1/($Z$12:Z1150=1),$H$12:H1150)-IF(AA1149="Да",0,SUM(INDIRECT("T"&amp;(MAX(("Да"=AA$12:AA1149)*ROW(AA$12:AA1149)+1,ROW($T$12))&amp;":T"&amp;(ROW()-1))))),Первоначальный[[#This Row],[Полученный платеж]]+Y1149),
AND(S1149=0,MAX((0&lt;&gt;N$12:N1149)*ROW(N$12:N1149),ROW($S$12))&gt;=MAX((1=Z$12:Z1149)*ROW(Z$12:Z1149),ROW($T$12))),MIN(LOOKUP(,-1/($Z$12:Z1150=1),$C$12:C1150)+LOOKUP(,-1/($Z$12:Z1150=1),$H$12:H1150)-IF(N1149&lt;&gt;0,0,SUM(INDIRECT("T"&amp;(MAX((0&lt;&gt;N$12:N1149)*ROW(N$12:N1149)+1,ROW($T$12))&amp;":T"&amp;(ROW()-1))))),Первоначальный[[#This Row],[Полученный платеж]]+Y1149),
AND(S1149=0,Первоначальный[[#This Row],[Дата платежа из графика]]=1),MIN(LOOKUP(,-1/($Z$12:Z1150=1),$C$12:C1150)+LOOKUP(,-1/($Z$12:Z1150=1),$H$12:H1150)-IF(Z1149=1,0,SUM(INDIRECT("T"&amp;(MAX((1=Z$12:Z1149)*ROW(Z$12:Z1149)+1,ROW($T$12))&amp;":T"&amp;(ROW()-1))))),Первоначальный[[#This Row],[Полученный платеж]]+Y1149),
AND(Z1149&gt;0,Первоначальный[[#This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платеж]]+Y1149),
AND(S1149&gt;0,MAX((0&lt;&gt;S$12:S1149)*ROW(S$12:S1149),ROW($S$12))&gt;=MAX((1=Z$12:Z1149)*ROW(Z$12:Z1149),ROW($T$12)),TYPE(VLOOKUP("Да",(INDIRECT("AA"&amp;(MAX((1=Z$12:Z1149)*ROW(Z$12:Z1149),ROW($T$12))&amp;":AA"&amp;(ROW()-1)))),1,0))=16),MIN(LOOKUP(,-1/($Z$12:Z1150=1),$C$12:C1150)+LOOKUP(,-1/($Z$12:Z1150=1),$H$12:H1150)-SUM(INDIRECT("T"&amp;(MAX((1=Z$12:Z1149)*ROW(Z$12:Z1149),ROW($T$12))&amp;":T"&amp;(ROW()-1)))),Первоначальный[[#This Row],[Полученный платеж]]+Y1149),
S1149&gt;0,MIN(LOOKUP(,-1/($Z$12:Z1150=1),$C$12:C1150)+LOOKUP(,-1/($Z$12:Z1150=1),$H$12:H1150)-IF(Z1149=1,0,SUM(INDIRECT("T"&amp;(MAX((1=Z$12:Z1149)*ROW(Z$12:Z1149)+1,ROW($T$12))&amp;":T"&amp;(ROW()-1))))),Первоначальный[[#This Row],[Полученный платеж]]+Y1149)
)
)
)</f>
        <v>0</v>
      </c>
      <c r="U115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платеж]]+Y1149-Первоначальный[[#This Row],[Полученный платёж по процентам]])</f>
        <v>0</v>
      </c>
      <c r="V1150" s="55">
        <f t="shared" ca="1" si="207"/>
        <v>0</v>
      </c>
      <c r="W1150" s="55" cm="1">
        <f t="array" aca="1" ref="W1150" ca="1">IF(Первоначальный[[#This Row],[Итого остаток на начало периода]]&lt;1,0,
_xlfn.IFS(
AND(TYPE(VLOOKUP(1,$Z$12:Z1150,1,0))=16,Первоначальный[[#This Row],[Досрочное погашение (да/"")]]=""),0,
AND(S1149=0,Первоначальный[[#This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платеж]]+Y1149-SUM(Первоначальный[[#This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комиссиям]]),VLOOKUP(LOOKUP(,-1/($Z$12:Z1150=1),$A$12:A1150),График[[Срок конец]:[Возврат основной суммы долга]],3,0)),
AND(S1149=0,Первоначальный[[#This Row],[Дата платежа из графика]]="",Первоначальный[[#This Row],[Досрочное погашение (да/"")]]&lt;&gt;"Да"),0,
AND(S1149=0,Первоначальный[[#This Row],[Досрочное погашение (да/"")]]=""),MIN(Первоначальный[[#This Row],[Полученный платеж]]+Y1149-SUM(Первоначальный[[#This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комиссиям]]),VLOOKUP(LOOKUP(,-1/($Z$12:Z1150=1),$A$12:A1150),График[[Срок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платеж]]+Y1149-SUM(Первоначальный[[#This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S1149&gt;0,MIN(Первоначальный[[#This Row],[Полученный платеж]]+Y1149-SUM(Первоначальный[[#This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комиссиям]]),SUM(INDIRECT("M"&amp;(MAX((1=S$12:S1149)*ROW(S$12:S1149),ROW($W$12))&amp;":M"&amp;(ROW()))))-SUM(INDIRECT("W"&amp;(MAX((1=S$12:S1149)*ROW(S$12:S1149),ROW($W$12))&amp;":W"&amp;(ROW()-1)))))
)
)</f>
        <v>0</v>
      </c>
      <c r="X1150" s="55">
        <f t="shared" ca="1" si="208"/>
        <v>0</v>
      </c>
      <c r="Y1150" s="101">
        <f t="shared" ca="1" si="215"/>
        <v>0</v>
      </c>
      <c r="Z1150" s="133" t="str">
        <f>IF(TYPE((VLOOKUP(Первоначальный[[#This Row],[Дата платежа]],График[Срок конец],1,0)))=16,"",1)</f>
        <v/>
      </c>
      <c r="AA1150" s="57"/>
      <c r="AB1150" s="134"/>
      <c r="AC115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5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82630.62999999999</v>
      </c>
      <c r="AE115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5136.6299999999892</v>
      </c>
      <c r="AF115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5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268569.25442950765</v>
      </c>
      <c r="AH1150" s="55"/>
      <c r="AI1150" s="55"/>
      <c r="AJ1150" s="55"/>
      <c r="AK1150" s="101">
        <f t="shared" ca="1" si="216"/>
        <v>505969.85442950763</v>
      </c>
      <c r="AL1150" s="129">
        <f t="array" ref="AL1150">MAX((УслРестрактов[Характеристика]="Дата реструктуризации")*(УслРестрактов[Значение]=Первоначальный!$A1150),0)</f>
        <v>0</v>
      </c>
    </row>
    <row r="1151" spans="1:38" x14ac:dyDescent="0.25">
      <c r="A1151" s="97">
        <f t="shared" si="209"/>
        <v>45282</v>
      </c>
      <c r="B1151" s="100">
        <f t="shared" ca="1" si="210"/>
        <v>149633.34</v>
      </c>
      <c r="C1151" s="55">
        <f t="shared" ca="1" si="206"/>
        <v>82630.62999999999</v>
      </c>
      <c r="D1151" s="55">
        <f t="shared" ca="1" si="206"/>
        <v>5136.6299999999892</v>
      </c>
      <c r="E1151" s="55">
        <f t="shared" ca="1" si="211"/>
        <v>0</v>
      </c>
      <c r="F1151" s="55">
        <f t="shared" ca="1" si="212"/>
        <v>268569.25442950765</v>
      </c>
      <c r="G1151" s="101">
        <f t="shared" ca="1" si="213"/>
        <v>505969.85442950763</v>
      </c>
      <c r="H1151" s="100">
        <f ca="1">ROUND($B1151*VLOOKUP($A1151,$A$1:$B$10,2,1)/(365+IF(MOD(YEAR($A1151),4),0,1)*($A1151-$A1150)),2)-Первоначальный[[#This Row],[Проценты на просроченный платеж по ОД за период]]</f>
        <v>70.89</v>
      </c>
      <c r="I1151" s="55">
        <f t="shared" ca="1" si="214"/>
        <v>10.69</v>
      </c>
      <c r="J1151" s="55">
        <v>0</v>
      </c>
      <c r="K1151" s="55">
        <f t="shared" ca="1" si="217"/>
        <v>506.90850327868844</v>
      </c>
      <c r="L1151" s="55">
        <v>0</v>
      </c>
      <c r="M1151" s="113">
        <f>SUMIFS(График[Возврат основной суммы долга],График[Дата с учетом нерабочих дней],$A1151)</f>
        <v>0</v>
      </c>
      <c r="N1151" s="56">
        <f>SUMIFS(График[Возврат начисленных %],График[Дата с учетом нерабочих дней],$A1151)</f>
        <v>0</v>
      </c>
      <c r="O1151" s="101">
        <v>0</v>
      </c>
      <c r="P1151" s="100" cm="1">
        <f t="array" aca="1" ref="P1151" ca="1">MAX(IF(AA1150="Да",0,SUM(INDIRECT("M"&amp;(MAX(("Да"=AA$12:AA1150)*ROW(AA$12:AA1150)+1,ROW($P$12))&amp;":M"&amp;(ROW()))))-SUM(INDIRECT("W"&amp;(MAX(("Да"=AA$12:AA1150)*ROW(AA$12:AA1150)+1,ROW($P$12))&amp;":W"&amp;(ROW()))))),0)</f>
        <v>19605.71</v>
      </c>
      <c r="Q1151" s="99">
        <f ca="1">MAX(SUM($N$13:N1151)-SUM($T$13:T1151),0)</f>
        <v>81775.990655737682</v>
      </c>
      <c r="R1151" s="99">
        <f ca="1">Первоначальный[[#This Row],[Просроченный платеж по ОД]]+Первоначальный[[#This Row],[Просроченный платеж по процентам]]</f>
        <v>101381.70065573769</v>
      </c>
      <c r="S1151" s="120">
        <f ca="1">IF(Первоначальный[[#This Row],[Просроченный платеж]]&lt;1,0,S1150+1)</f>
        <v>1047</v>
      </c>
      <c r="T1151" s="100" cm="1">
        <f t="array" aca="1" ref="T1151" ca="1">IF(Первоначальный[[#This Row],[Итого остаток на начало периода]]&lt;1,0,
IF(
AND(TYPE(VLOOKUP(1,$Z$12:Z1151,1,0))=16,Первоначальный[[#This Row],[Досрочное погашение (да/"")]]=""),0,
_xlfn.IFS(AND(S1150=0,Первоначальный[[#This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платеж]]&lt;&gt;0),MIN(LOOKUP(,-1/($Z$12:Z1151=1),$C$12:C1151)+LOOKUP(,-1/($Z$12:Z1151=1),$H$12:H1151),Первоначальный[[#This Row],[Полученный платеж]]+Y1150),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платеж]]+Y1150,SUM(Первоначальный[[#This Row],[Остаток процентов на начало периода]],Первоначальный[[#This Row],[Проценты за период]])),
AND(S1150=0,Первоначальный[[#This Row],[Дата платежа из графика]]=""),0,
AND(S1150=0,Первоначальный[[#This Row],[Дата платежа из графика]]=1,MAX((0&lt;&gt;S$12:S1150)*ROW(S$12:S1150),ROW($S$12))&gt;=MAX((1=Z$12:Z1150)*ROW(Z$12:Z1150),ROW($T$12)),TYPE(VLOOKUP("Да",(INDIRECT("AA"&amp;(MAX((1=Z$12:Z1150)*ROW(Z$12:Z1150),ROW($T$12))&amp;":AA"&amp;(ROW()-1)))),1,0))=16),MIN(LOOKUP(,-1/($Z$12:Z1151=1),$C$12:C1151)+LOOKUP(,-1/($Z$12:Z1151=1),$H$12:H1151),Первоначальный[[#This Row],[Полученный платеж]]+Y1150),
AND(S1150=0,TYPE(VLOOKUP("Да",(INDIRECT("AA"&amp;(MAX((1=Z$12:Z1150)*ROW(Z$12:Z1150),ROW($T$12))&amp;":AA"&amp;(ROW()-1)))),1,0))&lt;&gt;16),MIN(LOOKUP(,-1/($Z$12:Z1151=1),$C$12:C1151)+LOOKUP(,-1/($Z$12:Z1151=1),$H$12:H1151)-IF(AA1150="Да",0,SUM(INDIRECT("T"&amp;(MAX(("Да"=AA$12:AA1150)*ROW(AA$12:AA1150)+1,ROW($T$12))&amp;":T"&amp;(ROW()-1))))),Первоначальный[[#This Row],[Полученный платеж]]+Y1150),
AND(S1150=0,MAX((0&lt;&gt;N$12:N1150)*ROW(N$12:N1150),ROW($S$12))&gt;=MAX((1=Z$12:Z1150)*ROW(Z$12:Z1150),ROW($T$12))),MIN(LOOKUP(,-1/($Z$12:Z1151=1),$C$12:C1151)+LOOKUP(,-1/($Z$12:Z1151=1),$H$12:H1151)-IF(N1150&lt;&gt;0,0,SUM(INDIRECT("T"&amp;(MAX((0&lt;&gt;N$12:N1150)*ROW(N$12:N1150)+1,ROW($T$12))&amp;":T"&amp;(ROW()-1))))),Первоначальный[[#This Row],[Полученный платеж]]+Y1150),
AND(S1150=0,Первоначальный[[#This Row],[Дата платежа из графика]]=1),MIN(LOOKUP(,-1/($Z$12:Z1151=1),$C$12:C1151)+LOOKUP(,-1/($Z$12:Z1151=1),$H$12:H1151)-IF(Z1150=1,0,SUM(INDIRECT("T"&amp;(MAX((1=Z$12:Z1150)*ROW(Z$12:Z1150)+1,ROW($T$12))&amp;":T"&amp;(ROW()-1))))),Первоначальный[[#This Row],[Полученный платеж]]+Y1150),
AND(Z1150&gt;0,Первоначальный[[#This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платеж]]+Y1150),
AND(S1150&gt;0,MAX((0&lt;&gt;S$12:S1150)*ROW(S$12:S1150),ROW($S$12))&gt;=MAX((1=Z$12:Z1150)*ROW(Z$12:Z1150),ROW($T$12)),TYPE(VLOOKUP("Да",(INDIRECT("AA"&amp;(MAX((1=Z$12:Z1150)*ROW(Z$12:Z1150),ROW($T$12))&amp;":AA"&amp;(ROW()-1)))),1,0))=16),MIN(LOOKUP(,-1/($Z$12:Z1151=1),$C$12:C1151)+LOOKUP(,-1/($Z$12:Z1151=1),$H$12:H1151)-SUM(INDIRECT("T"&amp;(MAX((1=Z$12:Z1150)*ROW(Z$12:Z1150),ROW($T$12))&amp;":T"&amp;(ROW()-1)))),Первоначальный[[#This Row],[Полученный платеж]]+Y1150),
S1150&gt;0,MIN(LOOKUP(,-1/($Z$12:Z1151=1),$C$12:C1151)+LOOKUP(,-1/($Z$12:Z1151=1),$H$12:H1151)-IF(Z1150=1,0,SUM(INDIRECT("T"&amp;(MAX((1=Z$12:Z1150)*ROW(Z$12:Z1150)+1,ROW($T$12))&amp;":T"&amp;(ROW()-1))))),Первоначальный[[#This Row],[Полученный платеж]]+Y1150)
)
)
)</f>
        <v>0</v>
      </c>
      <c r="U115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платеж]]+Y1150-Первоначальный[[#This Row],[Полученный платёж по процентам]])</f>
        <v>0</v>
      </c>
      <c r="V1151" s="55">
        <f t="shared" ca="1" si="207"/>
        <v>0</v>
      </c>
      <c r="W1151" s="55" cm="1">
        <f t="array" aca="1" ref="W1151" ca="1">IF(Первоначальный[[#This Row],[Итого остаток на начало периода]]&lt;1,0,
_xlfn.IFS(
AND(TYPE(VLOOKUP(1,$Z$12:Z1151,1,0))=16,Первоначальный[[#This Row],[Досрочное погашение (да/"")]]=""),0,
AND(S1150=0,Первоначальный[[#This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платеж]]+Y1150-SUM(Первоначальный[[#This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комиссиям]]),VLOOKUP(LOOKUP(,-1/($Z$12:Z1151=1),$A$12:A1151),График[[Срок конец]:[Возврат основной суммы долга]],3,0)),
AND(S1150=0,Первоначальный[[#This Row],[Дата платежа из графика]]="",Первоначальный[[#This Row],[Досрочное погашение (да/"")]]&lt;&gt;"Да"),0,
AND(S1150=0,Первоначальный[[#This Row],[Досрочное погашение (да/"")]]=""),MIN(Первоначальный[[#This Row],[Полученный платеж]]+Y1150-SUM(Первоначальный[[#This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комиссиям]]),VLOOKUP(LOOKUP(,-1/($Z$12:Z1151=1),$A$12:A1151),График[[Срок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платеж]]+Y1150-SUM(Первоначальный[[#This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S1150&gt;0,MIN(Первоначальный[[#This Row],[Полученный платеж]]+Y1150-SUM(Первоначальный[[#This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комиссиям]]),SUM(INDIRECT("M"&amp;(MAX((1=S$12:S1150)*ROW(S$12:S1150),ROW($W$12))&amp;":M"&amp;(ROW()))))-SUM(INDIRECT("W"&amp;(MAX((1=S$12:S1150)*ROW(S$12:S1150),ROW($W$12))&amp;":W"&amp;(ROW()-1)))))
)
)</f>
        <v>0</v>
      </c>
      <c r="X1151" s="55">
        <f t="shared" ca="1" si="208"/>
        <v>0</v>
      </c>
      <c r="Y1151" s="101">
        <f t="shared" ca="1" si="215"/>
        <v>0</v>
      </c>
      <c r="Z1151" s="133" t="str">
        <f>IF(TYPE((VLOOKUP(Первоначальный[[#This Row],[Дата платежа]],График[Срок конец],1,0)))=16,"",1)</f>
        <v/>
      </c>
      <c r="AA1151" s="57"/>
      <c r="AB1151" s="134"/>
      <c r="AC115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5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82701.51999999999</v>
      </c>
      <c r="AE115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5147.3199999999888</v>
      </c>
      <c r="AF115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5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269076.16293278633</v>
      </c>
      <c r="AH1151" s="55"/>
      <c r="AI1151" s="55"/>
      <c r="AJ1151" s="55"/>
      <c r="AK1151" s="101">
        <f t="shared" ca="1" si="216"/>
        <v>506558.34293278633</v>
      </c>
      <c r="AL1151" s="129">
        <f t="array" ref="AL1151">MAX((УслРестрактов[Характеристика]="Дата реструктуризации")*(УслРестрактов[Значение]=Первоначальный!$A1151),0)</f>
        <v>0</v>
      </c>
    </row>
    <row r="1152" spans="1:38" x14ac:dyDescent="0.25">
      <c r="A1152" s="97">
        <f t="shared" si="209"/>
        <v>45283</v>
      </c>
      <c r="B1152" s="100">
        <f t="shared" ca="1" si="210"/>
        <v>149633.34</v>
      </c>
      <c r="C1152" s="55">
        <f t="shared" ca="1" si="206"/>
        <v>82701.51999999999</v>
      </c>
      <c r="D1152" s="55">
        <f t="shared" ca="1" si="206"/>
        <v>5147.3199999999888</v>
      </c>
      <c r="E1152" s="55">
        <f t="shared" ca="1" si="211"/>
        <v>0</v>
      </c>
      <c r="F1152" s="55">
        <f t="shared" ca="1" si="212"/>
        <v>269076.16293278633</v>
      </c>
      <c r="G1152" s="101">
        <f t="shared" ca="1" si="213"/>
        <v>506558.34293278633</v>
      </c>
      <c r="H1152" s="100">
        <f ca="1">ROUND($B1152*VLOOKUP($A1152,$A$1:$B$10,2,1)/(365+IF(MOD(YEAR($A1152),4),0,1)*($A1152-$A1151)),2)-Первоначальный[[#This Row],[Проценты на просроченный платеж по ОД за период]]</f>
        <v>70.89</v>
      </c>
      <c r="I1152" s="55">
        <f t="shared" ca="1" si="214"/>
        <v>10.69</v>
      </c>
      <c r="J1152" s="55">
        <v>0</v>
      </c>
      <c r="K1152" s="55">
        <f t="shared" ca="1" si="217"/>
        <v>506.90850327868844</v>
      </c>
      <c r="L1152" s="55">
        <v>0</v>
      </c>
      <c r="M1152" s="113">
        <f>SUMIFS(График[Возврат основной суммы долга],График[Дата с учетом нерабочих дней],$A1152)</f>
        <v>0</v>
      </c>
      <c r="N1152" s="56">
        <f>SUMIFS(График[Возврат начисленных %],График[Дата с учетом нерабочих дней],$A1152)</f>
        <v>0</v>
      </c>
      <c r="O1152" s="101">
        <v>0</v>
      </c>
      <c r="P1152" s="100" cm="1">
        <f t="array" aca="1" ref="P1152" ca="1">MAX(IF(AA1151="Да",0,SUM(INDIRECT("M"&amp;(MAX(("Да"=AA$12:AA1151)*ROW(AA$12:AA1151)+1,ROW($P$12))&amp;":M"&amp;(ROW()))))-SUM(INDIRECT("W"&amp;(MAX(("Да"=AA$12:AA1151)*ROW(AA$12:AA1151)+1,ROW($P$12))&amp;":W"&amp;(ROW()))))),0)</f>
        <v>19605.71</v>
      </c>
      <c r="Q1152" s="99">
        <f ca="1">MAX(SUM($N$13:N1152)-SUM($T$13:T1152),0)</f>
        <v>81775.990655737682</v>
      </c>
      <c r="R1152" s="99">
        <f ca="1">Первоначальный[[#This Row],[Просроченный платеж по ОД]]+Первоначальный[[#This Row],[Просроченный платеж по процентам]]</f>
        <v>101381.70065573769</v>
      </c>
      <c r="S1152" s="120">
        <f ca="1">IF(Первоначальный[[#This Row],[Просроченный платеж]]&lt;1,0,S1151+1)</f>
        <v>1048</v>
      </c>
      <c r="T1152" s="100" cm="1">
        <f t="array" aca="1" ref="T1152" ca="1">IF(Первоначальный[[#This Row],[Итого остаток на начало периода]]&lt;1,0,
IF(
AND(TYPE(VLOOKUP(1,$Z$12:Z1152,1,0))=16,Первоначальный[[#This Row],[Досрочное погашение (да/"")]]=""),0,
_xlfn.IFS(AND(S1151=0,Первоначальный[[#This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платеж]]&lt;&gt;0),MIN(LOOKUP(,-1/($Z$12:Z1152=1),$C$12:C1152)+LOOKUP(,-1/($Z$12:Z1152=1),$H$12:H1152),Первоначальный[[#This Row],[Полученный платеж]]+Y1151),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платеж]]+Y1151,SUM(Первоначальный[[#This Row],[Остаток процентов на начало периода]],Первоначальный[[#This Row],[Проценты за период]])),
AND(S1151=0,Первоначальный[[#This Row],[Дата платежа из графика]]=""),0,
AND(S1151=0,Первоначальный[[#This Row],[Дата платежа из графика]]=1,MAX((0&lt;&gt;S$12:S1151)*ROW(S$12:S1151),ROW($S$12))&gt;=MAX((1=Z$12:Z1151)*ROW(Z$12:Z1151),ROW($T$12)),TYPE(VLOOKUP("Да",(INDIRECT("AA"&amp;(MAX((1=Z$12:Z1151)*ROW(Z$12:Z1151),ROW($T$12))&amp;":AA"&amp;(ROW()-1)))),1,0))=16),MIN(LOOKUP(,-1/($Z$12:Z1152=1),$C$12:C1152)+LOOKUP(,-1/($Z$12:Z1152=1),$H$12:H1152),Первоначальный[[#This Row],[Полученный платеж]]+Y1151),
AND(S1151=0,TYPE(VLOOKUP("Да",(INDIRECT("AA"&amp;(MAX((1=Z$12:Z1151)*ROW(Z$12:Z1151),ROW($T$12))&amp;":AA"&amp;(ROW()-1)))),1,0))&lt;&gt;16),MIN(LOOKUP(,-1/($Z$12:Z1152=1),$C$12:C1152)+LOOKUP(,-1/($Z$12:Z1152=1),$H$12:H1152)-IF(AA1151="Да",0,SUM(INDIRECT("T"&amp;(MAX(("Да"=AA$12:AA1151)*ROW(AA$12:AA1151)+1,ROW($T$12))&amp;":T"&amp;(ROW()-1))))),Первоначальный[[#This Row],[Полученный платеж]]+Y1151),
AND(S1151=0,MAX((0&lt;&gt;N$12:N1151)*ROW(N$12:N1151),ROW($S$12))&gt;=MAX((1=Z$12:Z1151)*ROW(Z$12:Z1151),ROW($T$12))),MIN(LOOKUP(,-1/($Z$12:Z1152=1),$C$12:C1152)+LOOKUP(,-1/($Z$12:Z1152=1),$H$12:H1152)-IF(N1151&lt;&gt;0,0,SUM(INDIRECT("T"&amp;(MAX((0&lt;&gt;N$12:N1151)*ROW(N$12:N1151)+1,ROW($T$12))&amp;":T"&amp;(ROW()-1))))),Первоначальный[[#This Row],[Полученный платеж]]+Y1151),
AND(S1151=0,Первоначальный[[#This Row],[Дата платежа из графика]]=1),MIN(LOOKUP(,-1/($Z$12:Z1152=1),$C$12:C1152)+LOOKUP(,-1/($Z$12:Z1152=1),$H$12:H1152)-IF(Z1151=1,0,SUM(INDIRECT("T"&amp;(MAX((1=Z$12:Z1151)*ROW(Z$12:Z1151)+1,ROW($T$12))&amp;":T"&amp;(ROW()-1))))),Первоначальный[[#This Row],[Полученный платеж]]+Y1151),
AND(Z1151&gt;0,Первоначальный[[#This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платеж]]+Y1151),
AND(S1151&gt;0,MAX((0&lt;&gt;S$12:S1151)*ROW(S$12:S1151),ROW($S$12))&gt;=MAX((1=Z$12:Z1151)*ROW(Z$12:Z1151),ROW($T$12)),TYPE(VLOOKUP("Да",(INDIRECT("AA"&amp;(MAX((1=Z$12:Z1151)*ROW(Z$12:Z1151),ROW($T$12))&amp;":AA"&amp;(ROW()-1)))),1,0))=16),MIN(LOOKUP(,-1/($Z$12:Z1152=1),$C$12:C1152)+LOOKUP(,-1/($Z$12:Z1152=1),$H$12:H1152)-SUM(INDIRECT("T"&amp;(MAX((1=Z$12:Z1151)*ROW(Z$12:Z1151),ROW($T$12))&amp;":T"&amp;(ROW()-1)))),Первоначальный[[#This Row],[Полученный платеж]]+Y1151),
S1151&gt;0,MIN(LOOKUP(,-1/($Z$12:Z1152=1),$C$12:C1152)+LOOKUP(,-1/($Z$12:Z1152=1),$H$12:H1152)-IF(Z1151=1,0,SUM(INDIRECT("T"&amp;(MAX((1=Z$12:Z1151)*ROW(Z$12:Z1151)+1,ROW($T$12))&amp;":T"&amp;(ROW()-1))))),Первоначальный[[#This Row],[Полученный платеж]]+Y1151)
)
)
)</f>
        <v>0</v>
      </c>
      <c r="U115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платеж]]+Y1151-Первоначальный[[#This Row],[Полученный платёж по процентам]])</f>
        <v>0</v>
      </c>
      <c r="V1152" s="55">
        <f t="shared" ca="1" si="207"/>
        <v>0</v>
      </c>
      <c r="W1152" s="55" cm="1">
        <f t="array" aca="1" ref="W1152" ca="1">IF(Первоначальный[[#This Row],[Итого остаток на начало периода]]&lt;1,0,
_xlfn.IFS(
AND(TYPE(VLOOKUP(1,$Z$12:Z1152,1,0))=16,Первоначальный[[#This Row],[Досрочное погашение (да/"")]]=""),0,
AND(S1151=0,Первоначальный[[#This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платеж]]+Y1151-SUM(Первоначальный[[#This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комиссиям]]),VLOOKUP(LOOKUP(,-1/($Z$12:Z1152=1),$A$12:A1152),График[[Срок конец]:[Возврат основной суммы долга]],3,0)),
AND(S1151=0,Первоначальный[[#This Row],[Дата платежа из графика]]="",Первоначальный[[#This Row],[Досрочное погашение (да/"")]]&lt;&gt;"Да"),0,
AND(S1151=0,Первоначальный[[#This Row],[Досрочное погашение (да/"")]]=""),MIN(Первоначальный[[#This Row],[Полученный платеж]]+Y1151-SUM(Первоначальный[[#This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комиссиям]]),VLOOKUP(LOOKUP(,-1/($Z$12:Z1152=1),$A$12:A1152),График[[Срок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платеж]]+Y1151-SUM(Первоначальный[[#This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S1151&gt;0,MIN(Первоначальный[[#This Row],[Полученный платеж]]+Y1151-SUM(Первоначальный[[#This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комиссиям]]),SUM(INDIRECT("M"&amp;(MAX((1=S$12:S1151)*ROW(S$12:S1151),ROW($W$12))&amp;":M"&amp;(ROW()))))-SUM(INDIRECT("W"&amp;(MAX((1=S$12:S1151)*ROW(S$12:S1151),ROW($W$12))&amp;":W"&amp;(ROW()-1)))))
)
)</f>
        <v>0</v>
      </c>
      <c r="X1152" s="55">
        <f t="shared" ca="1" si="208"/>
        <v>0</v>
      </c>
      <c r="Y1152" s="101">
        <f t="shared" ca="1" si="215"/>
        <v>0</v>
      </c>
      <c r="Z1152" s="133" t="str">
        <f>IF(TYPE((VLOOKUP(Первоначальный[[#This Row],[Дата платежа]],График[Срок конец],1,0)))=16,"",1)</f>
        <v/>
      </c>
      <c r="AA1152" s="57"/>
      <c r="AB1152" s="134"/>
      <c r="AC115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5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82772.409999999989</v>
      </c>
      <c r="AE115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5158.0099999999884</v>
      </c>
      <c r="AF115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5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269583.07143606502</v>
      </c>
      <c r="AH1152" s="55"/>
      <c r="AI1152" s="55"/>
      <c r="AJ1152" s="55"/>
      <c r="AK1152" s="101">
        <f t="shared" ca="1" si="216"/>
        <v>507146.83143606503</v>
      </c>
      <c r="AL1152" s="129">
        <f t="array" ref="AL1152">MAX((УслРестрактов[Характеристика]="Дата реструктуризации")*(УслРестрактов[Значение]=Первоначальный!$A1152),0)</f>
        <v>0</v>
      </c>
    </row>
    <row r="1153" spans="1:38" x14ac:dyDescent="0.25">
      <c r="A1153" s="97">
        <f t="shared" si="209"/>
        <v>45284</v>
      </c>
      <c r="B1153" s="100">
        <f t="shared" ca="1" si="210"/>
        <v>149633.34</v>
      </c>
      <c r="C1153" s="55">
        <f t="shared" ref="C1153:D1216" ca="1" si="218">AD1152+AI1152</f>
        <v>82772.409999999989</v>
      </c>
      <c r="D1153" s="55">
        <f t="shared" ca="1" si="218"/>
        <v>5158.0099999999884</v>
      </c>
      <c r="E1153" s="55">
        <f t="shared" ca="1" si="211"/>
        <v>0</v>
      </c>
      <c r="F1153" s="55">
        <f t="shared" ca="1" si="212"/>
        <v>269583.07143606502</v>
      </c>
      <c r="G1153" s="101">
        <f t="shared" ca="1" si="213"/>
        <v>507146.83143606503</v>
      </c>
      <c r="H1153" s="100">
        <f ca="1">ROUND($B1153*VLOOKUP($A1153,$A$1:$B$10,2,1)/(365+IF(MOD(YEAR($A1153),4),0,1)*($A1153-$A1152)),2)-Первоначальный[[#This Row],[Проценты на просроченный платеж по ОД за период]]</f>
        <v>70.89</v>
      </c>
      <c r="I1153" s="55">
        <f t="shared" ca="1" si="214"/>
        <v>10.69</v>
      </c>
      <c r="J1153" s="55">
        <v>0</v>
      </c>
      <c r="K1153" s="55">
        <f t="shared" ca="1" si="217"/>
        <v>506.90850327868844</v>
      </c>
      <c r="L1153" s="55">
        <v>0</v>
      </c>
      <c r="M1153" s="113">
        <f>SUMIFS(График[Возврат основной суммы долга],График[Дата с учетом нерабочих дней],$A1153)</f>
        <v>0</v>
      </c>
      <c r="N1153" s="56">
        <f>SUMIFS(График[Возврат начисленных %],График[Дата с учетом нерабочих дней],$A1153)</f>
        <v>0</v>
      </c>
      <c r="O1153" s="101">
        <v>0</v>
      </c>
      <c r="P1153" s="100" cm="1">
        <f t="array" aca="1" ref="P1153" ca="1">MAX(IF(AA1152="Да",0,SUM(INDIRECT("M"&amp;(MAX(("Да"=AA$12:AA1152)*ROW(AA$12:AA1152)+1,ROW($P$12))&amp;":M"&amp;(ROW()))))-SUM(INDIRECT("W"&amp;(MAX(("Да"=AA$12:AA1152)*ROW(AA$12:AA1152)+1,ROW($P$12))&amp;":W"&amp;(ROW()))))),0)</f>
        <v>19605.71</v>
      </c>
      <c r="Q1153" s="99">
        <f ca="1">MAX(SUM($N$13:N1153)-SUM($T$13:T1153),0)</f>
        <v>81775.990655737682</v>
      </c>
      <c r="R1153" s="99">
        <f ca="1">Первоначальный[[#This Row],[Просроченный платеж по ОД]]+Первоначальный[[#This Row],[Просроченный платеж по процентам]]</f>
        <v>101381.70065573769</v>
      </c>
      <c r="S1153" s="120">
        <f ca="1">IF(Первоначальный[[#This Row],[Просроченный платеж]]&lt;1,0,S1152+1)</f>
        <v>1049</v>
      </c>
      <c r="T1153" s="100" cm="1">
        <f t="array" aca="1" ref="T1153" ca="1">IF(Первоначальный[[#This Row],[Итого остаток на начало периода]]&lt;1,0,
IF(
AND(TYPE(VLOOKUP(1,$Z$12:Z1153,1,0))=16,Первоначальный[[#This Row],[Досрочное погашение (да/"")]]=""),0,
_xlfn.IFS(AND(S1152=0,Первоначальный[[#This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платеж]]&lt;&gt;0),MIN(LOOKUP(,-1/($Z$12:Z1153=1),$C$12:C1153)+LOOKUP(,-1/($Z$12:Z1153=1),$H$12:H1153),Первоначальный[[#This Row],[Полученный платеж]]+Y1152),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платеж]]+Y1152,SUM(Первоначальный[[#This Row],[Остаток процентов на начало периода]],Первоначальный[[#This Row],[Проценты за период]])),
AND(S1152=0,Первоначальный[[#This Row],[Дата платежа из графика]]=""),0,
AND(S1152=0,Первоначальный[[#This Row],[Дата платежа из графика]]=1,MAX((0&lt;&gt;S$12:S1152)*ROW(S$12:S1152),ROW($S$12))&gt;=MAX((1=Z$12:Z1152)*ROW(Z$12:Z1152),ROW($T$12)),TYPE(VLOOKUP("Да",(INDIRECT("AA"&amp;(MAX((1=Z$12:Z1152)*ROW(Z$12:Z1152),ROW($T$12))&amp;":AA"&amp;(ROW()-1)))),1,0))=16),MIN(LOOKUP(,-1/($Z$12:Z1153=1),$C$12:C1153)+LOOKUP(,-1/($Z$12:Z1153=1),$H$12:H1153),Первоначальный[[#This Row],[Полученный платеж]]+Y1152),
AND(S1152=0,TYPE(VLOOKUP("Да",(INDIRECT("AA"&amp;(MAX((1=Z$12:Z1152)*ROW(Z$12:Z1152),ROW($T$12))&amp;":AA"&amp;(ROW()-1)))),1,0))&lt;&gt;16),MIN(LOOKUP(,-1/($Z$12:Z1153=1),$C$12:C1153)+LOOKUP(,-1/($Z$12:Z1153=1),$H$12:H1153)-IF(AA1152="Да",0,SUM(INDIRECT("T"&amp;(MAX(("Да"=AA$12:AA1152)*ROW(AA$12:AA1152)+1,ROW($T$12))&amp;":T"&amp;(ROW()-1))))),Первоначальный[[#This Row],[Полученный платеж]]+Y1152),
AND(S1152=0,MAX((0&lt;&gt;N$12:N1152)*ROW(N$12:N1152),ROW($S$12))&gt;=MAX((1=Z$12:Z1152)*ROW(Z$12:Z1152),ROW($T$12))),MIN(LOOKUP(,-1/($Z$12:Z1153=1),$C$12:C1153)+LOOKUP(,-1/($Z$12:Z1153=1),$H$12:H1153)-IF(N1152&lt;&gt;0,0,SUM(INDIRECT("T"&amp;(MAX((0&lt;&gt;N$12:N1152)*ROW(N$12:N1152)+1,ROW($T$12))&amp;":T"&amp;(ROW()-1))))),Первоначальный[[#This Row],[Полученный платеж]]+Y1152),
AND(S1152=0,Первоначальный[[#This Row],[Дата платежа из графика]]=1),MIN(LOOKUP(,-1/($Z$12:Z1153=1),$C$12:C1153)+LOOKUP(,-1/($Z$12:Z1153=1),$H$12:H1153)-IF(Z1152=1,0,SUM(INDIRECT("T"&amp;(MAX((1=Z$12:Z1152)*ROW(Z$12:Z1152)+1,ROW($T$12))&amp;":T"&amp;(ROW()-1))))),Первоначальный[[#This Row],[Полученный платеж]]+Y1152),
AND(Z1152&gt;0,Первоначальный[[#This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платеж]]+Y1152),
AND(S1152&gt;0,MAX((0&lt;&gt;S$12:S1152)*ROW(S$12:S1152),ROW($S$12))&gt;=MAX((1=Z$12:Z1152)*ROW(Z$12:Z1152),ROW($T$12)),TYPE(VLOOKUP("Да",(INDIRECT("AA"&amp;(MAX((1=Z$12:Z1152)*ROW(Z$12:Z1152),ROW($T$12))&amp;":AA"&amp;(ROW()-1)))),1,0))=16),MIN(LOOKUP(,-1/($Z$12:Z1153=1),$C$12:C1153)+LOOKUP(,-1/($Z$12:Z1153=1),$H$12:H1153)-SUM(INDIRECT("T"&amp;(MAX((1=Z$12:Z1152)*ROW(Z$12:Z1152),ROW($T$12))&amp;":T"&amp;(ROW()-1)))),Первоначальный[[#This Row],[Полученный платеж]]+Y1152),
S1152&gt;0,MIN(LOOKUP(,-1/($Z$12:Z1153=1),$C$12:C1153)+LOOKUP(,-1/($Z$12:Z1153=1),$H$12:H1153)-IF(Z1152=1,0,SUM(INDIRECT("T"&amp;(MAX((1=Z$12:Z1152)*ROW(Z$12:Z1152)+1,ROW($T$12))&amp;":T"&amp;(ROW()-1))))),Первоначальный[[#This Row],[Полученный платеж]]+Y1152)
)
)
)</f>
        <v>0</v>
      </c>
      <c r="U115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платеж]]+Y1152-Первоначальный[[#This Row],[Полученный платёж по процентам]])</f>
        <v>0</v>
      </c>
      <c r="V1153" s="55">
        <f t="shared" ca="1" si="207"/>
        <v>0</v>
      </c>
      <c r="W1153" s="55" cm="1">
        <f t="array" aca="1" ref="W1153" ca="1">IF(Первоначальный[[#This Row],[Итого остаток на начало периода]]&lt;1,0,
_xlfn.IFS(
AND(TYPE(VLOOKUP(1,$Z$12:Z1153,1,0))=16,Первоначальный[[#This Row],[Досрочное погашение (да/"")]]=""),0,
AND(S1152=0,Первоначальный[[#This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платеж]]+Y1152-SUM(Первоначальный[[#This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комиссиям]]),VLOOKUP(LOOKUP(,-1/($Z$12:Z1153=1),$A$12:A1153),График[[Срок конец]:[Возврат основной суммы долга]],3,0)),
AND(S1152=0,Первоначальный[[#This Row],[Дата платежа из графика]]="",Первоначальный[[#This Row],[Досрочное погашение (да/"")]]&lt;&gt;"Да"),0,
AND(S1152=0,Первоначальный[[#This Row],[Досрочное погашение (да/"")]]=""),MIN(Первоначальный[[#This Row],[Полученный платеж]]+Y1152-SUM(Первоначальный[[#This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комиссиям]]),VLOOKUP(LOOKUP(,-1/($Z$12:Z1153=1),$A$12:A1153),График[[Срок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платеж]]+Y1152-SUM(Первоначальный[[#This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S1152&gt;0,MIN(Первоначальный[[#This Row],[Полученный платеж]]+Y1152-SUM(Первоначальный[[#This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комиссиям]]),SUM(INDIRECT("M"&amp;(MAX((1=S$12:S1152)*ROW(S$12:S1152),ROW($W$12))&amp;":M"&amp;(ROW()))))-SUM(INDIRECT("W"&amp;(MAX((1=S$12:S1152)*ROW(S$12:S1152),ROW($W$12))&amp;":W"&amp;(ROW()-1)))))
)
)</f>
        <v>0</v>
      </c>
      <c r="X1153" s="55">
        <f t="shared" ca="1" si="208"/>
        <v>0</v>
      </c>
      <c r="Y1153" s="101">
        <f t="shared" ca="1" si="215"/>
        <v>0</v>
      </c>
      <c r="Z1153" s="133" t="str">
        <f>IF(TYPE((VLOOKUP(Первоначальный[[#This Row],[Дата платежа]],График[Срок конец],1,0)))=16,"",1)</f>
        <v/>
      </c>
      <c r="AA1153" s="57"/>
      <c r="AB1153" s="134"/>
      <c r="AC115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5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82843.299999999988</v>
      </c>
      <c r="AE115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5168.699999999988</v>
      </c>
      <c r="AF115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5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270089.9799393437</v>
      </c>
      <c r="AH1153" s="55"/>
      <c r="AI1153" s="55"/>
      <c r="AJ1153" s="55"/>
      <c r="AK1153" s="101">
        <f t="shared" ca="1" si="216"/>
        <v>507735.31993934367</v>
      </c>
      <c r="AL1153" s="129">
        <f t="array" ref="AL1153">MAX((УслРестрактов[Характеристика]="Дата реструктуризации")*(УслРестрактов[Значение]=Первоначальный!$A1153),0)</f>
        <v>0</v>
      </c>
    </row>
    <row r="1154" spans="1:38" x14ac:dyDescent="0.25">
      <c r="A1154" s="97">
        <f t="shared" si="209"/>
        <v>45285</v>
      </c>
      <c r="B1154" s="100">
        <f t="shared" ca="1" si="210"/>
        <v>149633.34</v>
      </c>
      <c r="C1154" s="55">
        <f t="shared" ca="1" si="218"/>
        <v>82843.299999999988</v>
      </c>
      <c r="D1154" s="55">
        <f t="shared" ca="1" si="218"/>
        <v>5168.699999999988</v>
      </c>
      <c r="E1154" s="55">
        <f t="shared" ca="1" si="211"/>
        <v>0</v>
      </c>
      <c r="F1154" s="55">
        <f t="shared" ca="1" si="212"/>
        <v>270089.9799393437</v>
      </c>
      <c r="G1154" s="101">
        <f t="shared" ca="1" si="213"/>
        <v>507735.31993934367</v>
      </c>
      <c r="H1154" s="100">
        <f ca="1">ROUND($B1154*VLOOKUP($A1154,$A$1:$B$10,2,1)/(365+IF(MOD(YEAR($A1154),4),0,1)*($A1154-$A1153)),2)-Первоначальный[[#This Row],[Проценты на просроченный платеж по ОД за период]]</f>
        <v>70.89</v>
      </c>
      <c r="I1154" s="55">
        <f t="shared" ca="1" si="214"/>
        <v>10.69</v>
      </c>
      <c r="J1154" s="55">
        <v>0</v>
      </c>
      <c r="K1154" s="55">
        <f t="shared" ca="1" si="217"/>
        <v>506.90850327868844</v>
      </c>
      <c r="L1154" s="55">
        <v>0</v>
      </c>
      <c r="M1154" s="113">
        <f>SUMIFS(График[Возврат основной суммы долга],График[Дата с учетом нерабочих дней],$A1154)</f>
        <v>0</v>
      </c>
      <c r="N1154" s="56">
        <f>SUMIFS(График[Возврат начисленных %],График[Дата с учетом нерабочих дней],$A1154)</f>
        <v>0</v>
      </c>
      <c r="O1154" s="101">
        <v>0</v>
      </c>
      <c r="P1154" s="100" cm="1">
        <f t="array" aca="1" ref="P1154" ca="1">MAX(IF(AA1153="Да",0,SUM(INDIRECT("M"&amp;(MAX(("Да"=AA$12:AA1153)*ROW(AA$12:AA1153)+1,ROW($P$12))&amp;":M"&amp;(ROW()))))-SUM(INDIRECT("W"&amp;(MAX(("Да"=AA$12:AA1153)*ROW(AA$12:AA1153)+1,ROW($P$12))&amp;":W"&amp;(ROW()))))),0)</f>
        <v>19605.71</v>
      </c>
      <c r="Q1154" s="99">
        <f ca="1">MAX(SUM($N$13:N1154)-SUM($T$13:T1154),0)</f>
        <v>81775.990655737682</v>
      </c>
      <c r="R1154" s="99">
        <f ca="1">Первоначальный[[#This Row],[Просроченный платеж по ОД]]+Первоначальный[[#This Row],[Просроченный платеж по процентам]]</f>
        <v>101381.70065573769</v>
      </c>
      <c r="S1154" s="120">
        <f ca="1">IF(Первоначальный[[#This Row],[Просроченный платеж]]&lt;1,0,S1153+1)</f>
        <v>1050</v>
      </c>
      <c r="T1154" s="100" cm="1">
        <f t="array" aca="1" ref="T1154" ca="1">IF(Первоначальный[[#This Row],[Итого остаток на начало периода]]&lt;1,0,
IF(
AND(TYPE(VLOOKUP(1,$Z$12:Z1154,1,0))=16,Первоначальный[[#This Row],[Досрочное погашение (да/"")]]=""),0,
_xlfn.IFS(AND(S1153=0,Первоначальный[[#This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платеж]]&lt;&gt;0),MIN(LOOKUP(,-1/($Z$12:Z1154=1),$C$12:C1154)+LOOKUP(,-1/($Z$12:Z1154=1),$H$12:H1154),Первоначальный[[#This Row],[Полученный платеж]]+Y1153),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платеж]]+Y1153,SUM(Первоначальный[[#This Row],[Остаток процентов на начало периода]],Первоначальный[[#This Row],[Проценты за период]])),
AND(S1153=0,Первоначальный[[#This Row],[Дата платежа из графика]]=""),0,
AND(S1153=0,Первоначальный[[#This Row],[Дата платежа из графика]]=1,MAX((0&lt;&gt;S$12:S1153)*ROW(S$12:S1153),ROW($S$12))&gt;=MAX((1=Z$12:Z1153)*ROW(Z$12:Z1153),ROW($T$12)),TYPE(VLOOKUP("Да",(INDIRECT("AA"&amp;(MAX((1=Z$12:Z1153)*ROW(Z$12:Z1153),ROW($T$12))&amp;":AA"&amp;(ROW()-1)))),1,0))=16),MIN(LOOKUP(,-1/($Z$12:Z1154=1),$C$12:C1154)+LOOKUP(,-1/($Z$12:Z1154=1),$H$12:H1154),Первоначальный[[#This Row],[Полученный платеж]]+Y1153),
AND(S1153=0,TYPE(VLOOKUP("Да",(INDIRECT("AA"&amp;(MAX((1=Z$12:Z1153)*ROW(Z$12:Z1153),ROW($T$12))&amp;":AA"&amp;(ROW()-1)))),1,0))&lt;&gt;16),MIN(LOOKUP(,-1/($Z$12:Z1154=1),$C$12:C1154)+LOOKUP(,-1/($Z$12:Z1154=1),$H$12:H1154)-IF(AA1153="Да",0,SUM(INDIRECT("T"&amp;(MAX(("Да"=AA$12:AA1153)*ROW(AA$12:AA1153)+1,ROW($T$12))&amp;":T"&amp;(ROW()-1))))),Первоначальный[[#This Row],[Полученный платеж]]+Y1153),
AND(S1153=0,MAX((0&lt;&gt;N$12:N1153)*ROW(N$12:N1153),ROW($S$12))&gt;=MAX((1=Z$12:Z1153)*ROW(Z$12:Z1153),ROW($T$12))),MIN(LOOKUP(,-1/($Z$12:Z1154=1),$C$12:C1154)+LOOKUP(,-1/($Z$12:Z1154=1),$H$12:H1154)-IF(N1153&lt;&gt;0,0,SUM(INDIRECT("T"&amp;(MAX((0&lt;&gt;N$12:N1153)*ROW(N$12:N1153)+1,ROW($T$12))&amp;":T"&amp;(ROW()-1))))),Первоначальный[[#This Row],[Полученный платеж]]+Y1153),
AND(S1153=0,Первоначальный[[#This Row],[Дата платежа из графика]]=1),MIN(LOOKUP(,-1/($Z$12:Z1154=1),$C$12:C1154)+LOOKUP(,-1/($Z$12:Z1154=1),$H$12:H1154)-IF(Z1153=1,0,SUM(INDIRECT("T"&amp;(MAX((1=Z$12:Z1153)*ROW(Z$12:Z1153)+1,ROW($T$12))&amp;":T"&amp;(ROW()-1))))),Первоначальный[[#This Row],[Полученный платеж]]+Y1153),
AND(Z1153&gt;0,Первоначальный[[#This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платеж]]+Y1153),
AND(S1153&gt;0,MAX((0&lt;&gt;S$12:S1153)*ROW(S$12:S1153),ROW($S$12))&gt;=MAX((1=Z$12:Z1153)*ROW(Z$12:Z1153),ROW($T$12)),TYPE(VLOOKUP("Да",(INDIRECT("AA"&amp;(MAX((1=Z$12:Z1153)*ROW(Z$12:Z1153),ROW($T$12))&amp;":AA"&amp;(ROW()-1)))),1,0))=16),MIN(LOOKUP(,-1/($Z$12:Z1154=1),$C$12:C1154)+LOOKUP(,-1/($Z$12:Z1154=1),$H$12:H1154)-SUM(INDIRECT("T"&amp;(MAX((1=Z$12:Z1153)*ROW(Z$12:Z1153),ROW($T$12))&amp;":T"&amp;(ROW()-1)))),Первоначальный[[#This Row],[Полученный платеж]]+Y1153),
S1153&gt;0,MIN(LOOKUP(,-1/($Z$12:Z1154=1),$C$12:C1154)+LOOKUP(,-1/($Z$12:Z1154=1),$H$12:H1154)-IF(Z1153=1,0,SUM(INDIRECT("T"&amp;(MAX((1=Z$12:Z1153)*ROW(Z$12:Z1153)+1,ROW($T$12))&amp;":T"&amp;(ROW()-1))))),Первоначальный[[#This Row],[Полученный платеж]]+Y1153)
)
)
)</f>
        <v>0</v>
      </c>
      <c r="U115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платеж]]+Y1153-Первоначальный[[#This Row],[Полученный платёж по процентам]])</f>
        <v>0</v>
      </c>
      <c r="V1154" s="55">
        <f t="shared" ca="1" si="207"/>
        <v>0</v>
      </c>
      <c r="W1154" s="55" cm="1">
        <f t="array" aca="1" ref="W1154" ca="1">IF(Первоначальный[[#This Row],[Итого остаток на начало периода]]&lt;1,0,
_xlfn.IFS(
AND(TYPE(VLOOKUP(1,$Z$12:Z1154,1,0))=16,Первоначальный[[#This Row],[Досрочное погашение (да/"")]]=""),0,
AND(S1153=0,Первоначальный[[#This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платеж]]+Y1153-SUM(Первоначальный[[#This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комиссиям]]),VLOOKUP(LOOKUP(,-1/($Z$12:Z1154=1),$A$12:A1154),График[[Срок конец]:[Возврат основной суммы долга]],3,0)),
AND(S1153=0,Первоначальный[[#This Row],[Дата платежа из графика]]="",Первоначальный[[#This Row],[Досрочное погашение (да/"")]]&lt;&gt;"Да"),0,
AND(S1153=0,Первоначальный[[#This Row],[Досрочное погашение (да/"")]]=""),MIN(Первоначальный[[#This Row],[Полученный платеж]]+Y1153-SUM(Первоначальный[[#This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комиссиям]]),VLOOKUP(LOOKUP(,-1/($Z$12:Z1154=1),$A$12:A1154),График[[Срок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платеж]]+Y1153-SUM(Первоначальный[[#This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S1153&gt;0,MIN(Первоначальный[[#This Row],[Полученный платеж]]+Y1153-SUM(Первоначальный[[#This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комиссиям]]),SUM(INDIRECT("M"&amp;(MAX((1=S$12:S1153)*ROW(S$12:S1153),ROW($W$12))&amp;":M"&amp;(ROW()))))-SUM(INDIRECT("W"&amp;(MAX((1=S$12:S1153)*ROW(S$12:S1153),ROW($W$12))&amp;":W"&amp;(ROW()-1)))))
)
)</f>
        <v>0</v>
      </c>
      <c r="X1154" s="55">
        <f t="shared" ca="1" si="208"/>
        <v>0</v>
      </c>
      <c r="Y1154" s="101">
        <f t="shared" ca="1" si="215"/>
        <v>0</v>
      </c>
      <c r="Z1154" s="133" t="str">
        <f>IF(TYPE((VLOOKUP(Первоначальный[[#This Row],[Дата платежа]],График[Срок конец],1,0)))=16,"",1)</f>
        <v/>
      </c>
      <c r="AA1154" s="57"/>
      <c r="AB1154" s="134"/>
      <c r="AC115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5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82914.189999999988</v>
      </c>
      <c r="AE115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5179.3899999999876</v>
      </c>
      <c r="AF115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5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270596.88844262238</v>
      </c>
      <c r="AH1154" s="55"/>
      <c r="AI1154" s="55"/>
      <c r="AJ1154" s="55"/>
      <c r="AK1154" s="101">
        <f t="shared" ca="1" si="216"/>
        <v>508323.80844262231</v>
      </c>
      <c r="AL1154" s="129">
        <f t="array" ref="AL1154">MAX((УслРестрактов[Характеристика]="Дата реструктуризации")*(УслРестрактов[Значение]=Первоначальный!$A1154),0)</f>
        <v>0</v>
      </c>
    </row>
    <row r="1155" spans="1:38" x14ac:dyDescent="0.25">
      <c r="A1155" s="97">
        <f t="shared" si="209"/>
        <v>45286</v>
      </c>
      <c r="B1155" s="100">
        <f t="shared" ca="1" si="210"/>
        <v>149633.34</v>
      </c>
      <c r="C1155" s="55">
        <f t="shared" ca="1" si="218"/>
        <v>82914.189999999988</v>
      </c>
      <c r="D1155" s="55">
        <f t="shared" ca="1" si="218"/>
        <v>5179.3899999999876</v>
      </c>
      <c r="E1155" s="55">
        <f t="shared" ca="1" si="211"/>
        <v>0</v>
      </c>
      <c r="F1155" s="55">
        <f t="shared" ca="1" si="212"/>
        <v>270596.88844262238</v>
      </c>
      <c r="G1155" s="101">
        <f t="shared" ca="1" si="213"/>
        <v>508323.80844262231</v>
      </c>
      <c r="H1155" s="100">
        <f ca="1">ROUND($B1155*VLOOKUP($A1155,$A$1:$B$10,2,1)/(365+IF(MOD(YEAR($A1155),4),0,1)*($A1155-$A1154)),2)-Первоначальный[[#This Row],[Проценты на просроченный платеж по ОД за период]]</f>
        <v>70.89</v>
      </c>
      <c r="I1155" s="55">
        <f t="shared" ca="1" si="214"/>
        <v>10.69</v>
      </c>
      <c r="J1155" s="55">
        <v>0</v>
      </c>
      <c r="K1155" s="55">
        <f t="shared" ca="1" si="217"/>
        <v>506.90850327868844</v>
      </c>
      <c r="L1155" s="55">
        <v>0</v>
      </c>
      <c r="M1155" s="113">
        <f>SUMIFS(График[Возврат основной суммы долга],График[Дата с учетом нерабочих дней],$A1155)</f>
        <v>0</v>
      </c>
      <c r="N1155" s="56">
        <f>SUMIFS(График[Возврат начисленных %],График[Дата с учетом нерабочих дней],$A1155)</f>
        <v>0</v>
      </c>
      <c r="O1155" s="101">
        <v>0</v>
      </c>
      <c r="P1155" s="100" cm="1">
        <f t="array" aca="1" ref="P1155" ca="1">MAX(IF(AA1154="Да",0,SUM(INDIRECT("M"&amp;(MAX(("Да"=AA$12:AA1154)*ROW(AA$12:AA1154)+1,ROW($P$12))&amp;":M"&amp;(ROW()))))-SUM(INDIRECT("W"&amp;(MAX(("Да"=AA$12:AA1154)*ROW(AA$12:AA1154)+1,ROW($P$12))&amp;":W"&amp;(ROW()))))),0)</f>
        <v>19605.71</v>
      </c>
      <c r="Q1155" s="99">
        <f ca="1">MAX(SUM($N$13:N1155)-SUM($T$13:T1155),0)</f>
        <v>81775.990655737682</v>
      </c>
      <c r="R1155" s="99">
        <f ca="1">Первоначальный[[#This Row],[Просроченный платеж по ОД]]+Первоначальный[[#This Row],[Просроченный платеж по процентам]]</f>
        <v>101381.70065573769</v>
      </c>
      <c r="S1155" s="120">
        <f ca="1">IF(Первоначальный[[#This Row],[Просроченный платеж]]&lt;1,0,S1154+1)</f>
        <v>1051</v>
      </c>
      <c r="T1155" s="100" cm="1">
        <f t="array" aca="1" ref="T1155" ca="1">IF(Первоначальный[[#This Row],[Итого остаток на начало периода]]&lt;1,0,
IF(
AND(TYPE(VLOOKUP(1,$Z$12:Z1155,1,0))=16,Первоначальный[[#This Row],[Досрочное погашение (да/"")]]=""),0,
_xlfn.IFS(AND(S1154=0,Первоначальный[[#This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платеж]]&lt;&gt;0),MIN(LOOKUP(,-1/($Z$12:Z1155=1),$C$12:C1155)+LOOKUP(,-1/($Z$12:Z1155=1),$H$12:H1155),Первоначальный[[#This Row],[Полученный платеж]]+Y1154),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платеж]]+Y1154,SUM(Первоначальный[[#This Row],[Остаток процентов на начало периода]],Первоначальный[[#This Row],[Проценты за период]])),
AND(S1154=0,Первоначальный[[#This Row],[Дата платежа из графика]]=""),0,
AND(S1154=0,Первоначальный[[#This Row],[Дата платежа из графика]]=1,MAX((0&lt;&gt;S$12:S1154)*ROW(S$12:S1154),ROW($S$12))&gt;=MAX((1=Z$12:Z1154)*ROW(Z$12:Z1154),ROW($T$12)),TYPE(VLOOKUP("Да",(INDIRECT("AA"&amp;(MAX((1=Z$12:Z1154)*ROW(Z$12:Z1154),ROW($T$12))&amp;":AA"&amp;(ROW()-1)))),1,0))=16),MIN(LOOKUP(,-1/($Z$12:Z1155=1),$C$12:C1155)+LOOKUP(,-1/($Z$12:Z1155=1),$H$12:H1155),Первоначальный[[#This Row],[Полученный платеж]]+Y1154),
AND(S1154=0,TYPE(VLOOKUP("Да",(INDIRECT("AA"&amp;(MAX((1=Z$12:Z1154)*ROW(Z$12:Z1154),ROW($T$12))&amp;":AA"&amp;(ROW()-1)))),1,0))&lt;&gt;16),MIN(LOOKUP(,-1/($Z$12:Z1155=1),$C$12:C1155)+LOOKUP(,-1/($Z$12:Z1155=1),$H$12:H1155)-IF(AA1154="Да",0,SUM(INDIRECT("T"&amp;(MAX(("Да"=AA$12:AA1154)*ROW(AA$12:AA1154)+1,ROW($T$12))&amp;":T"&amp;(ROW()-1))))),Первоначальный[[#This Row],[Полученный платеж]]+Y1154),
AND(S1154=0,MAX((0&lt;&gt;N$12:N1154)*ROW(N$12:N1154),ROW($S$12))&gt;=MAX((1=Z$12:Z1154)*ROW(Z$12:Z1154),ROW($T$12))),MIN(LOOKUP(,-1/($Z$12:Z1155=1),$C$12:C1155)+LOOKUP(,-1/($Z$12:Z1155=1),$H$12:H1155)-IF(N1154&lt;&gt;0,0,SUM(INDIRECT("T"&amp;(MAX((0&lt;&gt;N$12:N1154)*ROW(N$12:N1154)+1,ROW($T$12))&amp;":T"&amp;(ROW()-1))))),Первоначальный[[#This Row],[Полученный платеж]]+Y1154),
AND(S1154=0,Первоначальный[[#This Row],[Дата платежа из графика]]=1),MIN(LOOKUP(,-1/($Z$12:Z1155=1),$C$12:C1155)+LOOKUP(,-1/($Z$12:Z1155=1),$H$12:H1155)-IF(Z1154=1,0,SUM(INDIRECT("T"&amp;(MAX((1=Z$12:Z1154)*ROW(Z$12:Z1154)+1,ROW($T$12))&amp;":T"&amp;(ROW()-1))))),Первоначальный[[#This Row],[Полученный платеж]]+Y1154),
AND(Z1154&gt;0,Первоначальный[[#This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платеж]]+Y1154),
AND(S1154&gt;0,MAX((0&lt;&gt;S$12:S1154)*ROW(S$12:S1154),ROW($S$12))&gt;=MAX((1=Z$12:Z1154)*ROW(Z$12:Z1154),ROW($T$12)),TYPE(VLOOKUP("Да",(INDIRECT("AA"&amp;(MAX((1=Z$12:Z1154)*ROW(Z$12:Z1154),ROW($T$12))&amp;":AA"&amp;(ROW()-1)))),1,0))=16),MIN(LOOKUP(,-1/($Z$12:Z1155=1),$C$12:C1155)+LOOKUP(,-1/($Z$12:Z1155=1),$H$12:H1155)-SUM(INDIRECT("T"&amp;(MAX((1=Z$12:Z1154)*ROW(Z$12:Z1154),ROW($T$12))&amp;":T"&amp;(ROW()-1)))),Первоначальный[[#This Row],[Полученный платеж]]+Y1154),
S1154&gt;0,MIN(LOOKUP(,-1/($Z$12:Z1155=1),$C$12:C1155)+LOOKUP(,-1/($Z$12:Z1155=1),$H$12:H1155)-IF(Z1154=1,0,SUM(INDIRECT("T"&amp;(MAX((1=Z$12:Z1154)*ROW(Z$12:Z1154)+1,ROW($T$12))&amp;":T"&amp;(ROW()-1))))),Первоначальный[[#This Row],[Полученный платеж]]+Y1154)
)
)
)</f>
        <v>0</v>
      </c>
      <c r="U115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платеж]]+Y1154-Первоначальный[[#This Row],[Полученный платёж по процентам]])</f>
        <v>0</v>
      </c>
      <c r="V1155" s="55">
        <f t="shared" ca="1" si="207"/>
        <v>0</v>
      </c>
      <c r="W1155" s="55" cm="1">
        <f t="array" aca="1" ref="W1155" ca="1">IF(Первоначальный[[#This Row],[Итого остаток на начало периода]]&lt;1,0,
_xlfn.IFS(
AND(TYPE(VLOOKUP(1,$Z$12:Z1155,1,0))=16,Первоначальный[[#This Row],[Досрочное погашение (да/"")]]=""),0,
AND(S1154=0,Первоначальный[[#This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платеж]]+Y1154-SUM(Первоначальный[[#This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комиссиям]]),VLOOKUP(LOOKUP(,-1/($Z$12:Z1155=1),$A$12:A1155),График[[Срок конец]:[Возврат основной суммы долга]],3,0)),
AND(S1154=0,Первоначальный[[#This Row],[Дата платежа из графика]]="",Первоначальный[[#This Row],[Досрочное погашение (да/"")]]&lt;&gt;"Да"),0,
AND(S1154=0,Первоначальный[[#This Row],[Досрочное погашение (да/"")]]=""),MIN(Первоначальный[[#This Row],[Полученный платеж]]+Y1154-SUM(Первоначальный[[#This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комиссиям]]),VLOOKUP(LOOKUP(,-1/($Z$12:Z1155=1),$A$12:A1155),График[[Срок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платеж]]+Y1154-SUM(Первоначальный[[#This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S1154&gt;0,MIN(Первоначальный[[#This Row],[Полученный платеж]]+Y1154-SUM(Первоначальный[[#This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комиссиям]]),SUM(INDIRECT("M"&amp;(MAX((1=S$12:S1154)*ROW(S$12:S1154),ROW($W$12))&amp;":M"&amp;(ROW()))))-SUM(INDIRECT("W"&amp;(MAX((1=S$12:S1154)*ROW(S$12:S1154),ROW($W$12))&amp;":W"&amp;(ROW()-1)))))
)
)</f>
        <v>0</v>
      </c>
      <c r="X1155" s="55">
        <f t="shared" ca="1" si="208"/>
        <v>0</v>
      </c>
      <c r="Y1155" s="101">
        <f t="shared" ca="1" si="215"/>
        <v>0</v>
      </c>
      <c r="Z1155" s="133" t="str">
        <f>IF(TYPE((VLOOKUP(Первоначальный[[#This Row],[Дата платежа]],График[Срок конец],1,0)))=16,"",1)</f>
        <v/>
      </c>
      <c r="AA1155" s="57"/>
      <c r="AB1155" s="134"/>
      <c r="AC115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5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82985.079999999987</v>
      </c>
      <c r="AE115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5190.0799999999872</v>
      </c>
      <c r="AF115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5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271103.79694590106</v>
      </c>
      <c r="AH1155" s="55"/>
      <c r="AI1155" s="55"/>
      <c r="AJ1155" s="55"/>
      <c r="AK1155" s="101">
        <f t="shared" ca="1" si="216"/>
        <v>508912.29694590101</v>
      </c>
      <c r="AL1155" s="129">
        <f t="array" ref="AL1155">MAX((УслРестрактов[Характеристика]="Дата реструктуризации")*(УслРестрактов[Значение]=Первоначальный!$A1155),0)</f>
        <v>0</v>
      </c>
    </row>
    <row r="1156" spans="1:38" x14ac:dyDescent="0.25">
      <c r="A1156" s="97">
        <f t="shared" si="209"/>
        <v>45287</v>
      </c>
      <c r="B1156" s="100">
        <f t="shared" ca="1" si="210"/>
        <v>149633.34</v>
      </c>
      <c r="C1156" s="55">
        <f t="shared" ca="1" si="218"/>
        <v>82985.079999999987</v>
      </c>
      <c r="D1156" s="55">
        <f t="shared" ca="1" si="218"/>
        <v>5190.0799999999872</v>
      </c>
      <c r="E1156" s="55">
        <f t="shared" ca="1" si="211"/>
        <v>0</v>
      </c>
      <c r="F1156" s="55">
        <f t="shared" ca="1" si="212"/>
        <v>271103.79694590106</v>
      </c>
      <c r="G1156" s="101">
        <f t="shared" ca="1" si="213"/>
        <v>508912.29694590101</v>
      </c>
      <c r="H1156" s="100">
        <f ca="1">ROUND($B1156*VLOOKUP($A1156,$A$1:$B$10,2,1)/(365+IF(MOD(YEAR($A1156),4),0,1)*($A1156-$A1155)),2)-Первоначальный[[#This Row],[Проценты на просроченный платеж по ОД за период]]</f>
        <v>70.89</v>
      </c>
      <c r="I1156" s="55">
        <f t="shared" ca="1" si="214"/>
        <v>10.69</v>
      </c>
      <c r="J1156" s="55">
        <v>0</v>
      </c>
      <c r="K1156" s="55">
        <f t="shared" ca="1" si="217"/>
        <v>506.90850327868844</v>
      </c>
      <c r="L1156" s="55">
        <v>0</v>
      </c>
      <c r="M1156" s="113">
        <f>SUMIFS(График[Возврат основной суммы долга],График[Дата с учетом нерабочих дней],$A1156)</f>
        <v>0</v>
      </c>
      <c r="N1156" s="56">
        <f>SUMIFS(График[Возврат начисленных %],График[Дата с учетом нерабочих дней],$A1156)</f>
        <v>0</v>
      </c>
      <c r="O1156" s="101">
        <v>0</v>
      </c>
      <c r="P1156" s="100" cm="1">
        <f t="array" aca="1" ref="P1156" ca="1">MAX(IF(AA1155="Да",0,SUM(INDIRECT("M"&amp;(MAX(("Да"=AA$12:AA1155)*ROW(AA$12:AA1155)+1,ROW($P$12))&amp;":M"&amp;(ROW()))))-SUM(INDIRECT("W"&amp;(MAX(("Да"=AA$12:AA1155)*ROW(AA$12:AA1155)+1,ROW($P$12))&amp;":W"&amp;(ROW()))))),0)</f>
        <v>19605.71</v>
      </c>
      <c r="Q1156" s="99">
        <f ca="1">MAX(SUM($N$13:N1156)-SUM($T$13:T1156),0)</f>
        <v>81775.990655737682</v>
      </c>
      <c r="R1156" s="99">
        <f ca="1">Первоначальный[[#This Row],[Просроченный платеж по ОД]]+Первоначальный[[#This Row],[Просроченный платеж по процентам]]</f>
        <v>101381.70065573769</v>
      </c>
      <c r="S1156" s="120">
        <f ca="1">IF(Первоначальный[[#This Row],[Просроченный платеж]]&lt;1,0,S1155+1)</f>
        <v>1052</v>
      </c>
      <c r="T1156" s="100" cm="1">
        <f t="array" aca="1" ref="T1156" ca="1">IF(Первоначальный[[#This Row],[Итого остаток на начало периода]]&lt;1,0,
IF(
AND(TYPE(VLOOKUP(1,$Z$12:Z1156,1,0))=16,Первоначальный[[#This Row],[Досрочное погашение (да/"")]]=""),0,
_xlfn.IFS(AND(S1155=0,Первоначальный[[#This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платеж]]&lt;&gt;0),MIN(LOOKUP(,-1/($Z$12:Z1156=1),$C$12:C1156)+LOOKUP(,-1/($Z$12:Z1156=1),$H$12:H1156),Первоначальный[[#This Row],[Полученный платеж]]+Y1155),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платеж]]+Y1155,SUM(Первоначальный[[#This Row],[Остаток процентов на начало периода]],Первоначальный[[#This Row],[Проценты за период]])),
AND(S1155=0,Первоначальный[[#This Row],[Дата платежа из графика]]=""),0,
AND(S1155=0,Первоначальный[[#This Row],[Дата платежа из графика]]=1,MAX((0&lt;&gt;S$12:S1155)*ROW(S$12:S1155),ROW($S$12))&gt;=MAX((1=Z$12:Z1155)*ROW(Z$12:Z1155),ROW($T$12)),TYPE(VLOOKUP("Да",(INDIRECT("AA"&amp;(MAX((1=Z$12:Z1155)*ROW(Z$12:Z1155),ROW($T$12))&amp;":AA"&amp;(ROW()-1)))),1,0))=16),MIN(LOOKUP(,-1/($Z$12:Z1156=1),$C$12:C1156)+LOOKUP(,-1/($Z$12:Z1156=1),$H$12:H1156),Первоначальный[[#This Row],[Полученный платеж]]+Y1155),
AND(S1155=0,TYPE(VLOOKUP("Да",(INDIRECT("AA"&amp;(MAX((1=Z$12:Z1155)*ROW(Z$12:Z1155),ROW($T$12))&amp;":AA"&amp;(ROW()-1)))),1,0))&lt;&gt;16),MIN(LOOKUP(,-1/($Z$12:Z1156=1),$C$12:C1156)+LOOKUP(,-1/($Z$12:Z1156=1),$H$12:H1156)-IF(AA1155="Да",0,SUM(INDIRECT("T"&amp;(MAX(("Да"=AA$12:AA1155)*ROW(AA$12:AA1155)+1,ROW($T$12))&amp;":T"&amp;(ROW()-1))))),Первоначальный[[#This Row],[Полученный платеж]]+Y1155),
AND(S1155=0,MAX((0&lt;&gt;N$12:N1155)*ROW(N$12:N1155),ROW($S$12))&gt;=MAX((1=Z$12:Z1155)*ROW(Z$12:Z1155),ROW($T$12))),MIN(LOOKUP(,-1/($Z$12:Z1156=1),$C$12:C1156)+LOOKUP(,-1/($Z$12:Z1156=1),$H$12:H1156)-IF(N1155&lt;&gt;0,0,SUM(INDIRECT("T"&amp;(MAX((0&lt;&gt;N$12:N1155)*ROW(N$12:N1155)+1,ROW($T$12))&amp;":T"&amp;(ROW()-1))))),Первоначальный[[#This Row],[Полученный платеж]]+Y1155),
AND(S1155=0,Первоначальный[[#This Row],[Дата платежа из графика]]=1),MIN(LOOKUP(,-1/($Z$12:Z1156=1),$C$12:C1156)+LOOKUP(,-1/($Z$12:Z1156=1),$H$12:H1156)-IF(Z1155=1,0,SUM(INDIRECT("T"&amp;(MAX((1=Z$12:Z1155)*ROW(Z$12:Z1155)+1,ROW($T$12))&amp;":T"&amp;(ROW()-1))))),Первоначальный[[#This Row],[Полученный платеж]]+Y1155),
AND(Z1155&gt;0,Первоначальный[[#This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платеж]]+Y1155),
AND(S1155&gt;0,MAX((0&lt;&gt;S$12:S1155)*ROW(S$12:S1155),ROW($S$12))&gt;=MAX((1=Z$12:Z1155)*ROW(Z$12:Z1155),ROW($T$12)),TYPE(VLOOKUP("Да",(INDIRECT("AA"&amp;(MAX((1=Z$12:Z1155)*ROW(Z$12:Z1155),ROW($T$12))&amp;":AA"&amp;(ROW()-1)))),1,0))=16),MIN(LOOKUP(,-1/($Z$12:Z1156=1),$C$12:C1156)+LOOKUP(,-1/($Z$12:Z1156=1),$H$12:H1156)-SUM(INDIRECT("T"&amp;(MAX((1=Z$12:Z1155)*ROW(Z$12:Z1155),ROW($T$12))&amp;":T"&amp;(ROW()-1)))),Первоначальный[[#This Row],[Полученный платеж]]+Y1155),
S1155&gt;0,MIN(LOOKUP(,-1/($Z$12:Z1156=1),$C$12:C1156)+LOOKUP(,-1/($Z$12:Z1156=1),$H$12:H1156)-IF(Z1155=1,0,SUM(INDIRECT("T"&amp;(MAX((1=Z$12:Z1155)*ROW(Z$12:Z1155)+1,ROW($T$12))&amp;":T"&amp;(ROW()-1))))),Первоначальный[[#This Row],[Полученный платеж]]+Y1155)
)
)
)</f>
        <v>0</v>
      </c>
      <c r="U115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платеж]]+Y1155-Первоначальный[[#This Row],[Полученный платёж по процентам]])</f>
        <v>0</v>
      </c>
      <c r="V1156" s="55">
        <f t="shared" ca="1" si="207"/>
        <v>0</v>
      </c>
      <c r="W1156" s="55" cm="1">
        <f t="array" aca="1" ref="W1156" ca="1">IF(Первоначальный[[#This Row],[Итого остаток на начало периода]]&lt;1,0,
_xlfn.IFS(
AND(TYPE(VLOOKUP(1,$Z$12:Z1156,1,0))=16,Первоначальный[[#This Row],[Досрочное погашение (да/"")]]=""),0,
AND(S1155=0,Первоначальный[[#This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платеж]]+Y1155-SUM(Первоначальный[[#This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комиссиям]]),VLOOKUP(LOOKUP(,-1/($Z$12:Z1156=1),$A$12:A1156),График[[Срок конец]:[Возврат основной суммы долга]],3,0)),
AND(S1155=0,Первоначальный[[#This Row],[Дата платежа из графика]]="",Первоначальный[[#This Row],[Досрочное погашение (да/"")]]&lt;&gt;"Да"),0,
AND(S1155=0,Первоначальный[[#This Row],[Досрочное погашение (да/"")]]=""),MIN(Первоначальный[[#This Row],[Полученный платеж]]+Y1155-SUM(Первоначальный[[#This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комиссиям]]),VLOOKUP(LOOKUP(,-1/($Z$12:Z1156=1),$A$12:A1156),График[[Срок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платеж]]+Y1155-SUM(Первоначальный[[#This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S1155&gt;0,MIN(Первоначальный[[#This Row],[Полученный платеж]]+Y1155-SUM(Первоначальный[[#This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комиссиям]]),SUM(INDIRECT("M"&amp;(MAX((1=S$12:S1155)*ROW(S$12:S1155),ROW($W$12))&amp;":M"&amp;(ROW()))))-SUM(INDIRECT("W"&amp;(MAX((1=S$12:S1155)*ROW(S$12:S1155),ROW($W$12))&amp;":W"&amp;(ROW()-1)))))
)
)</f>
        <v>0</v>
      </c>
      <c r="X1156" s="55">
        <f t="shared" ca="1" si="208"/>
        <v>0</v>
      </c>
      <c r="Y1156" s="101">
        <f t="shared" ca="1" si="215"/>
        <v>0</v>
      </c>
      <c r="Z1156" s="133" t="str">
        <f>IF(TYPE((VLOOKUP(Первоначальный[[#This Row],[Дата платежа]],График[Срок конец],1,0)))=16,"",1)</f>
        <v/>
      </c>
      <c r="AA1156" s="57"/>
      <c r="AB1156" s="134"/>
      <c r="AC115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5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83055.969999999987</v>
      </c>
      <c r="AE115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5200.7699999999868</v>
      </c>
      <c r="AF115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5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271610.70544917975</v>
      </c>
      <c r="AH1156" s="55"/>
      <c r="AI1156" s="55"/>
      <c r="AJ1156" s="55"/>
      <c r="AK1156" s="101">
        <f t="shared" ca="1" si="216"/>
        <v>509500.7854491797</v>
      </c>
      <c r="AL1156" s="129">
        <f t="array" ref="AL1156">MAX((УслРестрактов[Характеристика]="Дата реструктуризации")*(УслРестрактов[Значение]=Первоначальный!$A1156),0)</f>
        <v>0</v>
      </c>
    </row>
    <row r="1157" spans="1:38" x14ac:dyDescent="0.25">
      <c r="A1157" s="97">
        <f t="shared" si="209"/>
        <v>45288</v>
      </c>
      <c r="B1157" s="100">
        <f t="shared" ca="1" si="210"/>
        <v>149633.34</v>
      </c>
      <c r="C1157" s="55">
        <f t="shared" ca="1" si="218"/>
        <v>83055.969999999987</v>
      </c>
      <c r="D1157" s="55">
        <f t="shared" ca="1" si="218"/>
        <v>5200.7699999999868</v>
      </c>
      <c r="E1157" s="55">
        <f t="shared" ca="1" si="211"/>
        <v>0</v>
      </c>
      <c r="F1157" s="55">
        <f t="shared" ca="1" si="212"/>
        <v>271610.70544917975</v>
      </c>
      <c r="G1157" s="101">
        <f t="shared" ca="1" si="213"/>
        <v>509500.7854491797</v>
      </c>
      <c r="H1157" s="100">
        <f ca="1">ROUND($B1157*VLOOKUP($A1157,$A$1:$B$10,2,1)/(365+IF(MOD(YEAR($A1157),4),0,1)*($A1157-$A1156)),2)-Первоначальный[[#This Row],[Проценты на просроченный платеж по ОД за период]]</f>
        <v>70.89</v>
      </c>
      <c r="I1157" s="55">
        <f t="shared" ca="1" si="214"/>
        <v>10.69</v>
      </c>
      <c r="J1157" s="55">
        <v>0</v>
      </c>
      <c r="K1157" s="55">
        <f t="shared" ca="1" si="217"/>
        <v>506.90850327868844</v>
      </c>
      <c r="L1157" s="55">
        <v>0</v>
      </c>
      <c r="M1157" s="113">
        <f>SUMIFS(График[Возврат основной суммы долга],График[Дата с учетом нерабочих дней],$A1157)</f>
        <v>0</v>
      </c>
      <c r="N1157" s="56">
        <f>SUMIFS(График[Возврат начисленных %],График[Дата с учетом нерабочих дней],$A1157)</f>
        <v>0</v>
      </c>
      <c r="O1157" s="101">
        <v>0</v>
      </c>
      <c r="P1157" s="100" cm="1">
        <f t="array" aca="1" ref="P1157" ca="1">MAX(IF(AA1156="Да",0,SUM(INDIRECT("M"&amp;(MAX(("Да"=AA$12:AA1156)*ROW(AA$12:AA1156)+1,ROW($P$12))&amp;":M"&amp;(ROW()))))-SUM(INDIRECT("W"&amp;(MAX(("Да"=AA$12:AA1156)*ROW(AA$12:AA1156)+1,ROW($P$12))&amp;":W"&amp;(ROW()))))),0)</f>
        <v>19605.71</v>
      </c>
      <c r="Q1157" s="99">
        <f ca="1">MAX(SUM($N$13:N1157)-SUM($T$13:T1157),0)</f>
        <v>81775.990655737682</v>
      </c>
      <c r="R1157" s="99">
        <f ca="1">Первоначальный[[#This Row],[Просроченный платеж по ОД]]+Первоначальный[[#This Row],[Просроченный платеж по процентам]]</f>
        <v>101381.70065573769</v>
      </c>
      <c r="S1157" s="120">
        <f ca="1">IF(Первоначальный[[#This Row],[Просроченный платеж]]&lt;1,0,S1156+1)</f>
        <v>1053</v>
      </c>
      <c r="T1157" s="100" cm="1">
        <f t="array" aca="1" ref="T1157" ca="1">IF(Первоначальный[[#This Row],[Итого остаток на начало периода]]&lt;1,0,
IF(
AND(TYPE(VLOOKUP(1,$Z$12:Z1157,1,0))=16,Первоначальный[[#This Row],[Досрочное погашение (да/"")]]=""),0,
_xlfn.IFS(AND(S1156=0,Первоначальный[[#This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платеж]]&lt;&gt;0),MIN(LOOKUP(,-1/($Z$12:Z1157=1),$C$12:C1157)+LOOKUP(,-1/($Z$12:Z1157=1),$H$12:H1157),Первоначальный[[#This Row],[Полученный платеж]]+Y1156),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платеж]]+Y1156,SUM(Первоначальный[[#This Row],[Остаток процентов на начало периода]],Первоначальный[[#This Row],[Проценты за период]])),
AND(S1156=0,Первоначальный[[#This Row],[Дата платежа из графика]]=""),0,
AND(S1156=0,Первоначальный[[#This Row],[Дата платежа из графика]]=1,MAX((0&lt;&gt;S$12:S1156)*ROW(S$12:S1156),ROW($S$12))&gt;=MAX((1=Z$12:Z1156)*ROW(Z$12:Z1156),ROW($T$12)),TYPE(VLOOKUP("Да",(INDIRECT("AA"&amp;(MAX((1=Z$12:Z1156)*ROW(Z$12:Z1156),ROW($T$12))&amp;":AA"&amp;(ROW()-1)))),1,0))=16),MIN(LOOKUP(,-1/($Z$12:Z1157=1),$C$12:C1157)+LOOKUP(,-1/($Z$12:Z1157=1),$H$12:H1157),Первоначальный[[#This Row],[Полученный платеж]]+Y1156),
AND(S1156=0,TYPE(VLOOKUP("Да",(INDIRECT("AA"&amp;(MAX((1=Z$12:Z1156)*ROW(Z$12:Z1156),ROW($T$12))&amp;":AA"&amp;(ROW()-1)))),1,0))&lt;&gt;16),MIN(LOOKUP(,-1/($Z$12:Z1157=1),$C$12:C1157)+LOOKUP(,-1/($Z$12:Z1157=1),$H$12:H1157)-IF(AA1156="Да",0,SUM(INDIRECT("T"&amp;(MAX(("Да"=AA$12:AA1156)*ROW(AA$12:AA1156)+1,ROW($T$12))&amp;":T"&amp;(ROW()-1))))),Первоначальный[[#This Row],[Полученный платеж]]+Y1156),
AND(S1156=0,MAX((0&lt;&gt;N$12:N1156)*ROW(N$12:N1156),ROW($S$12))&gt;=MAX((1=Z$12:Z1156)*ROW(Z$12:Z1156),ROW($T$12))),MIN(LOOKUP(,-1/($Z$12:Z1157=1),$C$12:C1157)+LOOKUP(,-1/($Z$12:Z1157=1),$H$12:H1157)-IF(N1156&lt;&gt;0,0,SUM(INDIRECT("T"&amp;(MAX((0&lt;&gt;N$12:N1156)*ROW(N$12:N1156)+1,ROW($T$12))&amp;":T"&amp;(ROW()-1))))),Первоначальный[[#This Row],[Полученный платеж]]+Y1156),
AND(S1156=0,Первоначальный[[#This Row],[Дата платежа из графика]]=1),MIN(LOOKUP(,-1/($Z$12:Z1157=1),$C$12:C1157)+LOOKUP(,-1/($Z$12:Z1157=1),$H$12:H1157)-IF(Z1156=1,0,SUM(INDIRECT("T"&amp;(MAX((1=Z$12:Z1156)*ROW(Z$12:Z1156)+1,ROW($T$12))&amp;":T"&amp;(ROW()-1))))),Первоначальный[[#This Row],[Полученный платеж]]+Y1156),
AND(Z1156&gt;0,Первоначальный[[#This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платеж]]+Y1156),
AND(S1156&gt;0,MAX((0&lt;&gt;S$12:S1156)*ROW(S$12:S1156),ROW($S$12))&gt;=MAX((1=Z$12:Z1156)*ROW(Z$12:Z1156),ROW($T$12)),TYPE(VLOOKUP("Да",(INDIRECT("AA"&amp;(MAX((1=Z$12:Z1156)*ROW(Z$12:Z1156),ROW($T$12))&amp;":AA"&amp;(ROW()-1)))),1,0))=16),MIN(LOOKUP(,-1/($Z$12:Z1157=1),$C$12:C1157)+LOOKUP(,-1/($Z$12:Z1157=1),$H$12:H1157)-SUM(INDIRECT("T"&amp;(MAX((1=Z$12:Z1156)*ROW(Z$12:Z1156),ROW($T$12))&amp;":T"&amp;(ROW()-1)))),Первоначальный[[#This Row],[Полученный платеж]]+Y1156),
S1156&gt;0,MIN(LOOKUP(,-1/($Z$12:Z1157=1),$C$12:C1157)+LOOKUP(,-1/($Z$12:Z1157=1),$H$12:H1157)-IF(Z1156=1,0,SUM(INDIRECT("T"&amp;(MAX((1=Z$12:Z1156)*ROW(Z$12:Z1156)+1,ROW($T$12))&amp;":T"&amp;(ROW()-1))))),Первоначальный[[#This Row],[Полученный платеж]]+Y1156)
)
)
)</f>
        <v>0</v>
      </c>
      <c r="U115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платеж]]+Y1156-Первоначальный[[#This Row],[Полученный платёж по процентам]])</f>
        <v>0</v>
      </c>
      <c r="V1157" s="55">
        <f t="shared" ca="1" si="207"/>
        <v>0</v>
      </c>
      <c r="W1157" s="55" cm="1">
        <f t="array" aca="1" ref="W1157" ca="1">IF(Первоначальный[[#This Row],[Итого остаток на начало периода]]&lt;1,0,
_xlfn.IFS(
AND(TYPE(VLOOKUP(1,$Z$12:Z1157,1,0))=16,Первоначальный[[#This Row],[Досрочное погашение (да/"")]]=""),0,
AND(S1156=0,Первоначальный[[#This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платеж]]+Y1156-SUM(Первоначальный[[#This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комиссиям]]),VLOOKUP(LOOKUP(,-1/($Z$12:Z1157=1),$A$12:A1157),График[[Срок конец]:[Возврат основной суммы долга]],3,0)),
AND(S1156=0,Первоначальный[[#This Row],[Дата платежа из графика]]="",Первоначальный[[#This Row],[Досрочное погашение (да/"")]]&lt;&gt;"Да"),0,
AND(S1156=0,Первоначальный[[#This Row],[Досрочное погашение (да/"")]]=""),MIN(Первоначальный[[#This Row],[Полученный платеж]]+Y1156-SUM(Первоначальный[[#This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комиссиям]]),VLOOKUP(LOOKUP(,-1/($Z$12:Z1157=1),$A$12:A1157),График[[Срок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платеж]]+Y1156-SUM(Первоначальный[[#This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S1156&gt;0,MIN(Первоначальный[[#This Row],[Полученный платеж]]+Y1156-SUM(Первоначальный[[#This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комиссиям]]),SUM(INDIRECT("M"&amp;(MAX((1=S$12:S1156)*ROW(S$12:S1156),ROW($W$12))&amp;":M"&amp;(ROW()))))-SUM(INDIRECT("W"&amp;(MAX((1=S$12:S1156)*ROW(S$12:S1156),ROW($W$12))&amp;":W"&amp;(ROW()-1)))))
)
)</f>
        <v>0</v>
      </c>
      <c r="X1157" s="55">
        <f t="shared" ca="1" si="208"/>
        <v>0</v>
      </c>
      <c r="Y1157" s="101">
        <f t="shared" ca="1" si="215"/>
        <v>0</v>
      </c>
      <c r="Z1157" s="133" t="str">
        <f>IF(TYPE((VLOOKUP(Первоначальный[[#This Row],[Дата платежа]],График[Срок конец],1,0)))=16,"",1)</f>
        <v/>
      </c>
      <c r="AA1157" s="57"/>
      <c r="AB1157" s="134"/>
      <c r="AC115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5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83126.859999999986</v>
      </c>
      <c r="AE115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5211.4599999999864</v>
      </c>
      <c r="AF115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5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272117.61395245843</v>
      </c>
      <c r="AH1157" s="55"/>
      <c r="AI1157" s="55"/>
      <c r="AJ1157" s="55"/>
      <c r="AK1157" s="101">
        <f t="shared" ca="1" si="216"/>
        <v>510089.2739524584</v>
      </c>
      <c r="AL1157" s="129">
        <f t="array" ref="AL1157">MAX((УслРестрактов[Характеристика]="Дата реструктуризации")*(УслРестрактов[Значение]=Первоначальный!$A1157),0)</f>
        <v>0</v>
      </c>
    </row>
    <row r="1158" spans="1:38" x14ac:dyDescent="0.25">
      <c r="A1158" s="97">
        <f t="shared" si="209"/>
        <v>45289</v>
      </c>
      <c r="B1158" s="100">
        <f t="shared" ca="1" si="210"/>
        <v>149633.34</v>
      </c>
      <c r="C1158" s="55">
        <f t="shared" ca="1" si="218"/>
        <v>83126.859999999986</v>
      </c>
      <c r="D1158" s="55">
        <f t="shared" ca="1" si="218"/>
        <v>5211.4599999999864</v>
      </c>
      <c r="E1158" s="55">
        <f t="shared" ca="1" si="211"/>
        <v>0</v>
      </c>
      <c r="F1158" s="55">
        <f t="shared" ca="1" si="212"/>
        <v>272117.61395245843</v>
      </c>
      <c r="G1158" s="101">
        <f t="shared" ca="1" si="213"/>
        <v>510089.2739524584</v>
      </c>
      <c r="H1158" s="100">
        <f ca="1">ROUND($B1158*VLOOKUP($A1158,$A$1:$B$10,2,1)/(365+IF(MOD(YEAR($A1158),4),0,1)*($A1158-$A1157)),2)-Первоначальный[[#This Row],[Проценты на просроченный платеж по ОД за период]]</f>
        <v>70.89</v>
      </c>
      <c r="I1158" s="55">
        <f t="shared" ca="1" si="214"/>
        <v>10.69</v>
      </c>
      <c r="J1158" s="55">
        <v>0</v>
      </c>
      <c r="K1158" s="55">
        <f t="shared" ca="1" si="217"/>
        <v>506.90850327868844</v>
      </c>
      <c r="L1158" s="55">
        <v>0</v>
      </c>
      <c r="M1158" s="113">
        <f>SUMIFS(График[Возврат основной суммы долга],График[Дата с учетом нерабочих дней],$A1158)</f>
        <v>0</v>
      </c>
      <c r="N1158" s="56">
        <f>SUMIFS(График[Возврат начисленных %],График[Дата с учетом нерабочих дней],$A1158)</f>
        <v>0</v>
      </c>
      <c r="O1158" s="101">
        <v>0</v>
      </c>
      <c r="P1158" s="100" cm="1">
        <f t="array" aca="1" ref="P1158" ca="1">MAX(IF(AA1157="Да",0,SUM(INDIRECT("M"&amp;(MAX(("Да"=AA$12:AA1157)*ROW(AA$12:AA1157)+1,ROW($P$12))&amp;":M"&amp;(ROW()))))-SUM(INDIRECT("W"&amp;(MAX(("Да"=AA$12:AA1157)*ROW(AA$12:AA1157)+1,ROW($P$12))&amp;":W"&amp;(ROW()))))),0)</f>
        <v>19605.71</v>
      </c>
      <c r="Q1158" s="99">
        <f ca="1">MAX(SUM($N$13:N1158)-SUM($T$13:T1158),0)</f>
        <v>81775.990655737682</v>
      </c>
      <c r="R1158" s="99">
        <f ca="1">Первоначальный[[#This Row],[Просроченный платеж по ОД]]+Первоначальный[[#This Row],[Просроченный платеж по процентам]]</f>
        <v>101381.70065573769</v>
      </c>
      <c r="S1158" s="120">
        <f ca="1">IF(Первоначальный[[#This Row],[Просроченный платеж]]&lt;1,0,S1157+1)</f>
        <v>1054</v>
      </c>
      <c r="T1158" s="100" cm="1">
        <f t="array" aca="1" ref="T1158" ca="1">IF(Первоначальный[[#This Row],[Итого остаток на начало периода]]&lt;1,0,
IF(
AND(TYPE(VLOOKUP(1,$Z$12:Z1158,1,0))=16,Первоначальный[[#This Row],[Досрочное погашение (да/"")]]=""),0,
_xlfn.IFS(AND(S1157=0,Первоначальный[[#This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платеж]]&lt;&gt;0),MIN(LOOKUP(,-1/($Z$12:Z1158=1),$C$12:C1158)+LOOKUP(,-1/($Z$12:Z1158=1),$H$12:H1158),Первоначальный[[#This Row],[Полученный платеж]]+Y1157),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платеж]]+Y1157,SUM(Первоначальный[[#This Row],[Остаток процентов на начало периода]],Первоначальный[[#This Row],[Проценты за период]])),
AND(S1157=0,Первоначальный[[#This Row],[Дата платежа из графика]]=""),0,
AND(S1157=0,Первоначальный[[#This Row],[Дата платежа из графика]]=1,MAX((0&lt;&gt;S$12:S1157)*ROW(S$12:S1157),ROW($S$12))&gt;=MAX((1=Z$12:Z1157)*ROW(Z$12:Z1157),ROW($T$12)),TYPE(VLOOKUP("Да",(INDIRECT("AA"&amp;(MAX((1=Z$12:Z1157)*ROW(Z$12:Z1157),ROW($T$12))&amp;":AA"&amp;(ROW()-1)))),1,0))=16),MIN(LOOKUP(,-1/($Z$12:Z1158=1),$C$12:C1158)+LOOKUP(,-1/($Z$12:Z1158=1),$H$12:H1158),Первоначальный[[#This Row],[Полученный платеж]]+Y1157),
AND(S1157=0,TYPE(VLOOKUP("Да",(INDIRECT("AA"&amp;(MAX((1=Z$12:Z1157)*ROW(Z$12:Z1157),ROW($T$12))&amp;":AA"&amp;(ROW()-1)))),1,0))&lt;&gt;16),MIN(LOOKUP(,-1/($Z$12:Z1158=1),$C$12:C1158)+LOOKUP(,-1/($Z$12:Z1158=1),$H$12:H1158)-IF(AA1157="Да",0,SUM(INDIRECT("T"&amp;(MAX(("Да"=AA$12:AA1157)*ROW(AA$12:AA1157)+1,ROW($T$12))&amp;":T"&amp;(ROW()-1))))),Первоначальный[[#This Row],[Полученный платеж]]+Y1157),
AND(S1157=0,MAX((0&lt;&gt;N$12:N1157)*ROW(N$12:N1157),ROW($S$12))&gt;=MAX((1=Z$12:Z1157)*ROW(Z$12:Z1157),ROW($T$12))),MIN(LOOKUP(,-1/($Z$12:Z1158=1),$C$12:C1158)+LOOKUP(,-1/($Z$12:Z1158=1),$H$12:H1158)-IF(N1157&lt;&gt;0,0,SUM(INDIRECT("T"&amp;(MAX((0&lt;&gt;N$12:N1157)*ROW(N$12:N1157)+1,ROW($T$12))&amp;":T"&amp;(ROW()-1))))),Первоначальный[[#This Row],[Полученный платеж]]+Y1157),
AND(S1157=0,Первоначальный[[#This Row],[Дата платежа из графика]]=1),MIN(LOOKUP(,-1/($Z$12:Z1158=1),$C$12:C1158)+LOOKUP(,-1/($Z$12:Z1158=1),$H$12:H1158)-IF(Z1157=1,0,SUM(INDIRECT("T"&amp;(MAX((1=Z$12:Z1157)*ROW(Z$12:Z1157)+1,ROW($T$12))&amp;":T"&amp;(ROW()-1))))),Первоначальный[[#This Row],[Полученный платеж]]+Y1157),
AND(Z1157&gt;0,Первоначальный[[#This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платеж]]+Y1157),
AND(S1157&gt;0,MAX((0&lt;&gt;S$12:S1157)*ROW(S$12:S1157),ROW($S$12))&gt;=MAX((1=Z$12:Z1157)*ROW(Z$12:Z1157),ROW($T$12)),TYPE(VLOOKUP("Да",(INDIRECT("AA"&amp;(MAX((1=Z$12:Z1157)*ROW(Z$12:Z1157),ROW($T$12))&amp;":AA"&amp;(ROW()-1)))),1,0))=16),MIN(LOOKUP(,-1/($Z$12:Z1158=1),$C$12:C1158)+LOOKUP(,-1/($Z$12:Z1158=1),$H$12:H1158)-SUM(INDIRECT("T"&amp;(MAX((1=Z$12:Z1157)*ROW(Z$12:Z1157),ROW($T$12))&amp;":T"&amp;(ROW()-1)))),Первоначальный[[#This Row],[Полученный платеж]]+Y1157),
S1157&gt;0,MIN(LOOKUP(,-1/($Z$12:Z1158=1),$C$12:C1158)+LOOKUP(,-1/($Z$12:Z1158=1),$H$12:H1158)-IF(Z1157=1,0,SUM(INDIRECT("T"&amp;(MAX((1=Z$12:Z1157)*ROW(Z$12:Z1157)+1,ROW($T$12))&amp;":T"&amp;(ROW()-1))))),Первоначальный[[#This Row],[Полученный платеж]]+Y1157)
)
)
)</f>
        <v>0</v>
      </c>
      <c r="U115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платеж]]+Y1157-Первоначальный[[#This Row],[Полученный платёж по процентам]])</f>
        <v>0</v>
      </c>
      <c r="V1158" s="55">
        <f t="shared" ca="1" si="207"/>
        <v>0</v>
      </c>
      <c r="W1158" s="55" cm="1">
        <f t="array" aca="1" ref="W1158" ca="1">IF(Первоначальный[[#This Row],[Итого остаток на начало периода]]&lt;1,0,
_xlfn.IFS(
AND(TYPE(VLOOKUP(1,$Z$12:Z1158,1,0))=16,Первоначальный[[#This Row],[Досрочное погашение (да/"")]]=""),0,
AND(S1157=0,Первоначальный[[#This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платеж]]+Y1157-SUM(Первоначальный[[#This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комиссиям]]),VLOOKUP(LOOKUP(,-1/($Z$12:Z1158=1),$A$12:A1158),График[[Срок конец]:[Возврат основной суммы долга]],3,0)),
AND(S1157=0,Первоначальный[[#This Row],[Дата платежа из графика]]="",Первоначальный[[#This Row],[Досрочное погашение (да/"")]]&lt;&gt;"Да"),0,
AND(S1157=0,Первоначальный[[#This Row],[Досрочное погашение (да/"")]]=""),MIN(Первоначальный[[#This Row],[Полученный платеж]]+Y1157-SUM(Первоначальный[[#This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комиссиям]]),VLOOKUP(LOOKUP(,-1/($Z$12:Z1158=1),$A$12:A1158),График[[Срок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платеж]]+Y1157-SUM(Первоначальный[[#This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S1157&gt;0,MIN(Первоначальный[[#This Row],[Полученный платеж]]+Y1157-SUM(Первоначальный[[#This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комиссиям]]),SUM(INDIRECT("M"&amp;(MAX((1=S$12:S1157)*ROW(S$12:S1157),ROW($W$12))&amp;":M"&amp;(ROW()))))-SUM(INDIRECT("W"&amp;(MAX((1=S$12:S1157)*ROW(S$12:S1157),ROW($W$12))&amp;":W"&amp;(ROW()-1)))))
)
)</f>
        <v>0</v>
      </c>
      <c r="X1158" s="55">
        <f t="shared" ca="1" si="208"/>
        <v>0</v>
      </c>
      <c r="Y1158" s="101">
        <f t="shared" ca="1" si="215"/>
        <v>0</v>
      </c>
      <c r="Z1158" s="133" t="str">
        <f>IF(TYPE((VLOOKUP(Первоначальный[[#This Row],[Дата платежа]],График[Срок конец],1,0)))=16,"",1)</f>
        <v/>
      </c>
      <c r="AA1158" s="57"/>
      <c r="AB1158" s="134"/>
      <c r="AC115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5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83197.749999999985</v>
      </c>
      <c r="AE115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5222.149999999986</v>
      </c>
      <c r="AF115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5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272624.52245573711</v>
      </c>
      <c r="AH1158" s="55"/>
      <c r="AI1158" s="55"/>
      <c r="AJ1158" s="55"/>
      <c r="AK1158" s="101">
        <f t="shared" ca="1" si="216"/>
        <v>510677.7624557371</v>
      </c>
      <c r="AL1158" s="129">
        <f t="array" ref="AL1158">MAX((УслРестрактов[Характеристика]="Дата реструктуризации")*(УслРестрактов[Значение]=Первоначальный!$A1158),0)</f>
        <v>0</v>
      </c>
    </row>
    <row r="1159" spans="1:38" x14ac:dyDescent="0.25">
      <c r="A1159" s="97">
        <f t="shared" si="209"/>
        <v>45290</v>
      </c>
      <c r="B1159" s="100">
        <f t="shared" ca="1" si="210"/>
        <v>149633.34</v>
      </c>
      <c r="C1159" s="55">
        <f t="shared" ca="1" si="218"/>
        <v>83197.749999999985</v>
      </c>
      <c r="D1159" s="55">
        <f t="shared" ca="1" si="218"/>
        <v>5222.149999999986</v>
      </c>
      <c r="E1159" s="55">
        <f t="shared" ca="1" si="211"/>
        <v>0</v>
      </c>
      <c r="F1159" s="55">
        <f t="shared" ca="1" si="212"/>
        <v>272624.52245573711</v>
      </c>
      <c r="G1159" s="101">
        <f t="shared" ca="1" si="213"/>
        <v>510677.7624557371</v>
      </c>
      <c r="H1159" s="100">
        <f ca="1">ROUND($B1159*VLOOKUP($A1159,$A$1:$B$10,2,1)/(365+IF(MOD(YEAR($A1159),4),0,1)*($A1159-$A1158)),2)-Первоначальный[[#This Row],[Проценты на просроченный платеж по ОД за период]]</f>
        <v>70.89</v>
      </c>
      <c r="I1159" s="55">
        <f t="shared" ca="1" si="214"/>
        <v>10.69</v>
      </c>
      <c r="J1159" s="55">
        <v>0</v>
      </c>
      <c r="K1159" s="55">
        <f t="shared" ca="1" si="217"/>
        <v>506.90850327868844</v>
      </c>
      <c r="L1159" s="55">
        <v>0</v>
      </c>
      <c r="M1159" s="113">
        <f>SUMIFS(График[Возврат основной суммы долга],График[Дата с учетом нерабочих дней],$A1159)</f>
        <v>0</v>
      </c>
      <c r="N1159" s="56">
        <f>SUMIFS(График[Возврат начисленных %],График[Дата с учетом нерабочих дней],$A1159)</f>
        <v>0</v>
      </c>
      <c r="O1159" s="101">
        <v>0</v>
      </c>
      <c r="P1159" s="100" cm="1">
        <f t="array" aca="1" ref="P1159" ca="1">MAX(IF(AA1158="Да",0,SUM(INDIRECT("M"&amp;(MAX(("Да"=AA$12:AA1158)*ROW(AA$12:AA1158)+1,ROW($P$12))&amp;":M"&amp;(ROW()))))-SUM(INDIRECT("W"&amp;(MAX(("Да"=AA$12:AA1158)*ROW(AA$12:AA1158)+1,ROW($P$12))&amp;":W"&amp;(ROW()))))),0)</f>
        <v>19605.71</v>
      </c>
      <c r="Q1159" s="99">
        <f ca="1">MAX(SUM($N$13:N1159)-SUM($T$13:T1159),0)</f>
        <v>81775.990655737682</v>
      </c>
      <c r="R1159" s="99">
        <f ca="1">Первоначальный[[#This Row],[Просроченный платеж по ОД]]+Первоначальный[[#This Row],[Просроченный платеж по процентам]]</f>
        <v>101381.70065573769</v>
      </c>
      <c r="S1159" s="120">
        <f ca="1">IF(Первоначальный[[#This Row],[Просроченный платеж]]&lt;1,0,S1158+1)</f>
        <v>1055</v>
      </c>
      <c r="T1159" s="100" cm="1">
        <f t="array" aca="1" ref="T1159" ca="1">IF(Первоначальный[[#This Row],[Итого остаток на начало периода]]&lt;1,0,
IF(
AND(TYPE(VLOOKUP(1,$Z$12:Z1159,1,0))=16,Первоначальный[[#This Row],[Досрочное погашение (да/"")]]=""),0,
_xlfn.IFS(AND(S1158=0,Первоначальный[[#This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платеж]]&lt;&gt;0),MIN(LOOKUP(,-1/($Z$12:Z1159=1),$C$12:C1159)+LOOKUP(,-1/($Z$12:Z1159=1),$H$12:H1159),Первоначальный[[#This Row],[Полученный платеж]]+Y1158),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платеж]]+Y1158,SUM(Первоначальный[[#This Row],[Остаток процентов на начало периода]],Первоначальный[[#This Row],[Проценты за период]])),
AND(S1158=0,Первоначальный[[#This Row],[Дата платежа из графика]]=""),0,
AND(S1158=0,Первоначальный[[#This Row],[Дата платежа из графика]]=1,MAX((0&lt;&gt;S$12:S1158)*ROW(S$12:S1158),ROW($S$12))&gt;=MAX((1=Z$12:Z1158)*ROW(Z$12:Z1158),ROW($T$12)),TYPE(VLOOKUP("Да",(INDIRECT("AA"&amp;(MAX((1=Z$12:Z1158)*ROW(Z$12:Z1158),ROW($T$12))&amp;":AA"&amp;(ROW()-1)))),1,0))=16),MIN(LOOKUP(,-1/($Z$12:Z1159=1),$C$12:C1159)+LOOKUP(,-1/($Z$12:Z1159=1),$H$12:H1159),Первоначальный[[#This Row],[Полученный платеж]]+Y1158),
AND(S1158=0,TYPE(VLOOKUP("Да",(INDIRECT("AA"&amp;(MAX((1=Z$12:Z1158)*ROW(Z$12:Z1158),ROW($T$12))&amp;":AA"&amp;(ROW()-1)))),1,0))&lt;&gt;16),MIN(LOOKUP(,-1/($Z$12:Z1159=1),$C$12:C1159)+LOOKUP(,-1/($Z$12:Z1159=1),$H$12:H1159)-IF(AA1158="Да",0,SUM(INDIRECT("T"&amp;(MAX(("Да"=AA$12:AA1158)*ROW(AA$12:AA1158)+1,ROW($T$12))&amp;":T"&amp;(ROW()-1))))),Первоначальный[[#This Row],[Полученный платеж]]+Y1158),
AND(S1158=0,MAX((0&lt;&gt;N$12:N1158)*ROW(N$12:N1158),ROW($S$12))&gt;=MAX((1=Z$12:Z1158)*ROW(Z$12:Z1158),ROW($T$12))),MIN(LOOKUP(,-1/($Z$12:Z1159=1),$C$12:C1159)+LOOKUP(,-1/($Z$12:Z1159=1),$H$12:H1159)-IF(N1158&lt;&gt;0,0,SUM(INDIRECT("T"&amp;(MAX((0&lt;&gt;N$12:N1158)*ROW(N$12:N1158)+1,ROW($T$12))&amp;":T"&amp;(ROW()-1))))),Первоначальный[[#This Row],[Полученный платеж]]+Y1158),
AND(S1158=0,Первоначальный[[#This Row],[Дата платежа из графика]]=1),MIN(LOOKUP(,-1/($Z$12:Z1159=1),$C$12:C1159)+LOOKUP(,-1/($Z$12:Z1159=1),$H$12:H1159)-IF(Z1158=1,0,SUM(INDIRECT("T"&amp;(MAX((1=Z$12:Z1158)*ROW(Z$12:Z1158)+1,ROW($T$12))&amp;":T"&amp;(ROW()-1))))),Первоначальный[[#This Row],[Полученный платеж]]+Y1158),
AND(Z1158&gt;0,Первоначальный[[#This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платеж]]+Y1158),
AND(S1158&gt;0,MAX((0&lt;&gt;S$12:S1158)*ROW(S$12:S1158),ROW($S$12))&gt;=MAX((1=Z$12:Z1158)*ROW(Z$12:Z1158),ROW($T$12)),TYPE(VLOOKUP("Да",(INDIRECT("AA"&amp;(MAX((1=Z$12:Z1158)*ROW(Z$12:Z1158),ROW($T$12))&amp;":AA"&amp;(ROW()-1)))),1,0))=16),MIN(LOOKUP(,-1/($Z$12:Z1159=1),$C$12:C1159)+LOOKUP(,-1/($Z$12:Z1159=1),$H$12:H1159)-SUM(INDIRECT("T"&amp;(MAX((1=Z$12:Z1158)*ROW(Z$12:Z1158),ROW($T$12))&amp;":T"&amp;(ROW()-1)))),Первоначальный[[#This Row],[Полученный платеж]]+Y1158),
S1158&gt;0,MIN(LOOKUP(,-1/($Z$12:Z1159=1),$C$12:C1159)+LOOKUP(,-1/($Z$12:Z1159=1),$H$12:H1159)-IF(Z1158=1,0,SUM(INDIRECT("T"&amp;(MAX((1=Z$12:Z1158)*ROW(Z$12:Z1158)+1,ROW($T$12))&amp;":T"&amp;(ROW()-1))))),Первоначальный[[#This Row],[Полученный платеж]]+Y1158)
)
)
)</f>
        <v>0</v>
      </c>
      <c r="U115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платеж]]+Y1158-Первоначальный[[#This Row],[Полученный платёж по процентам]])</f>
        <v>0</v>
      </c>
      <c r="V1159" s="55">
        <f t="shared" ca="1" si="207"/>
        <v>0</v>
      </c>
      <c r="W1159" s="55" cm="1">
        <f t="array" aca="1" ref="W1159" ca="1">IF(Первоначальный[[#This Row],[Итого остаток на начало периода]]&lt;1,0,
_xlfn.IFS(
AND(TYPE(VLOOKUP(1,$Z$12:Z1159,1,0))=16,Первоначальный[[#This Row],[Досрочное погашение (да/"")]]=""),0,
AND(S1158=0,Первоначальный[[#This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платеж]]+Y1158-SUM(Первоначальный[[#This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комиссиям]]),VLOOKUP(LOOKUP(,-1/($Z$12:Z1159=1),$A$12:A1159),График[[Срок конец]:[Возврат основной суммы долга]],3,0)),
AND(S1158=0,Первоначальный[[#This Row],[Дата платежа из графика]]="",Первоначальный[[#This Row],[Досрочное погашение (да/"")]]&lt;&gt;"Да"),0,
AND(S1158=0,Первоначальный[[#This Row],[Досрочное погашение (да/"")]]=""),MIN(Первоначальный[[#This Row],[Полученный платеж]]+Y1158-SUM(Первоначальный[[#This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комиссиям]]),VLOOKUP(LOOKUP(,-1/($Z$12:Z1159=1),$A$12:A1159),График[[Срок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платеж]]+Y1158-SUM(Первоначальный[[#This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S1158&gt;0,MIN(Первоначальный[[#This Row],[Полученный платеж]]+Y1158-SUM(Первоначальный[[#This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комиссиям]]),SUM(INDIRECT("M"&amp;(MAX((1=S$12:S1158)*ROW(S$12:S1158),ROW($W$12))&amp;":M"&amp;(ROW()))))-SUM(INDIRECT("W"&amp;(MAX((1=S$12:S1158)*ROW(S$12:S1158),ROW($W$12))&amp;":W"&amp;(ROW()-1)))))
)
)</f>
        <v>0</v>
      </c>
      <c r="X1159" s="55">
        <f t="shared" ca="1" si="208"/>
        <v>0</v>
      </c>
      <c r="Y1159" s="101">
        <f t="shared" ca="1" si="215"/>
        <v>0</v>
      </c>
      <c r="Z1159" s="133" t="str">
        <f>IF(TYPE((VLOOKUP(Первоначальный[[#This Row],[Дата платежа]],График[Срок конец],1,0)))=16,"",1)</f>
        <v/>
      </c>
      <c r="AA1159" s="57"/>
      <c r="AB1159" s="134"/>
      <c r="AC115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5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83268.639999999985</v>
      </c>
      <c r="AE115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5232.8399999999856</v>
      </c>
      <c r="AF115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5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273131.43095901579</v>
      </c>
      <c r="AH1159" s="55"/>
      <c r="AI1159" s="55"/>
      <c r="AJ1159" s="55"/>
      <c r="AK1159" s="101">
        <f t="shared" ca="1" si="216"/>
        <v>511266.2509590158</v>
      </c>
      <c r="AL1159" s="129">
        <f t="array" ref="AL1159">MAX((УслРестрактов[Характеристика]="Дата реструктуризации")*(УслРестрактов[Значение]=Первоначальный!$A1159),0)</f>
        <v>0</v>
      </c>
    </row>
    <row r="1160" spans="1:38" x14ac:dyDescent="0.25">
      <c r="A1160" s="97">
        <f t="shared" si="209"/>
        <v>45291</v>
      </c>
      <c r="B1160" s="100">
        <f t="shared" ca="1" si="210"/>
        <v>149633.34</v>
      </c>
      <c r="C1160" s="55">
        <f t="shared" ca="1" si="218"/>
        <v>83268.639999999985</v>
      </c>
      <c r="D1160" s="55">
        <f t="shared" ca="1" si="218"/>
        <v>5232.8399999999856</v>
      </c>
      <c r="E1160" s="55">
        <f t="shared" ca="1" si="211"/>
        <v>0</v>
      </c>
      <c r="F1160" s="55">
        <f t="shared" ca="1" si="212"/>
        <v>273131.43095901579</v>
      </c>
      <c r="G1160" s="101">
        <f t="shared" ca="1" si="213"/>
        <v>511266.2509590158</v>
      </c>
      <c r="H1160" s="100">
        <f ca="1">ROUND($B1160*VLOOKUP($A1160,$A$1:$B$10,2,1)/(365+IF(MOD(YEAR($A1160),4),0,1)*($A1160-$A1159)),2)-Первоначальный[[#This Row],[Проценты на просроченный платеж по ОД за период]]</f>
        <v>70.89</v>
      </c>
      <c r="I1160" s="55">
        <f t="shared" ca="1" si="214"/>
        <v>10.69</v>
      </c>
      <c r="J1160" s="55">
        <v>0</v>
      </c>
      <c r="K1160" s="55">
        <f t="shared" ca="1" si="217"/>
        <v>506.90850327868844</v>
      </c>
      <c r="L1160" s="55">
        <v>0</v>
      </c>
      <c r="M1160" s="113">
        <f>SUMIFS(График[Возврат основной суммы долга],График[Дата с учетом нерабочих дней],$A1160)</f>
        <v>0</v>
      </c>
      <c r="N1160" s="56">
        <f>SUMIFS(График[Возврат начисленных %],График[Дата с учетом нерабочих дней],$A1160)</f>
        <v>0</v>
      </c>
      <c r="O1160" s="101">
        <v>0</v>
      </c>
      <c r="P1160" s="100" cm="1">
        <f t="array" aca="1" ref="P1160" ca="1">MAX(IF(AA1159="Да",0,SUM(INDIRECT("M"&amp;(MAX(("Да"=AA$12:AA1159)*ROW(AA$12:AA1159)+1,ROW($P$12))&amp;":M"&amp;(ROW()))))-SUM(INDIRECT("W"&amp;(MAX(("Да"=AA$12:AA1159)*ROW(AA$12:AA1159)+1,ROW($P$12))&amp;":W"&amp;(ROW()))))),0)</f>
        <v>19605.71</v>
      </c>
      <c r="Q1160" s="99">
        <f ca="1">MAX(SUM($N$13:N1160)-SUM($T$13:T1160),0)</f>
        <v>81775.990655737682</v>
      </c>
      <c r="R1160" s="99">
        <f ca="1">Первоначальный[[#This Row],[Просроченный платеж по ОД]]+Первоначальный[[#This Row],[Просроченный платеж по процентам]]</f>
        <v>101381.70065573769</v>
      </c>
      <c r="S1160" s="120">
        <f ca="1">IF(Первоначальный[[#This Row],[Просроченный платеж]]&lt;1,0,S1159+1)</f>
        <v>1056</v>
      </c>
      <c r="T1160" s="100" cm="1">
        <f t="array" aca="1" ref="T1160" ca="1">IF(Первоначальный[[#This Row],[Итого остаток на начало периода]]&lt;1,0,
IF(
AND(TYPE(VLOOKUP(1,$Z$12:Z1160,1,0))=16,Первоначальный[[#This Row],[Досрочное погашение (да/"")]]=""),0,
_xlfn.IFS(AND(S1159=0,Первоначальный[[#This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платеж]]&lt;&gt;0),MIN(LOOKUP(,-1/($Z$12:Z1160=1),$C$12:C1160)+LOOKUP(,-1/($Z$12:Z1160=1),$H$12:H1160),Первоначальный[[#This Row],[Полученный платеж]]+Y1159),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платеж]]+Y1159,SUM(Первоначальный[[#This Row],[Остаток процентов на начало периода]],Первоначальный[[#This Row],[Проценты за период]])),
AND(S1159=0,Первоначальный[[#This Row],[Дата платежа из графика]]=""),0,
AND(S1159=0,Первоначальный[[#This Row],[Дата платежа из графика]]=1,MAX((0&lt;&gt;S$12:S1159)*ROW(S$12:S1159),ROW($S$12))&gt;=MAX((1=Z$12:Z1159)*ROW(Z$12:Z1159),ROW($T$12)),TYPE(VLOOKUP("Да",(INDIRECT("AA"&amp;(MAX((1=Z$12:Z1159)*ROW(Z$12:Z1159),ROW($T$12))&amp;":AA"&amp;(ROW()-1)))),1,0))=16),MIN(LOOKUP(,-1/($Z$12:Z1160=1),$C$12:C1160)+LOOKUP(,-1/($Z$12:Z1160=1),$H$12:H1160),Первоначальный[[#This Row],[Полученный платеж]]+Y1159),
AND(S1159=0,TYPE(VLOOKUP("Да",(INDIRECT("AA"&amp;(MAX((1=Z$12:Z1159)*ROW(Z$12:Z1159),ROW($T$12))&amp;":AA"&amp;(ROW()-1)))),1,0))&lt;&gt;16),MIN(LOOKUP(,-1/($Z$12:Z1160=1),$C$12:C1160)+LOOKUP(,-1/($Z$12:Z1160=1),$H$12:H1160)-IF(AA1159="Да",0,SUM(INDIRECT("T"&amp;(MAX(("Да"=AA$12:AA1159)*ROW(AA$12:AA1159)+1,ROW($T$12))&amp;":T"&amp;(ROW()-1))))),Первоначальный[[#This Row],[Полученный платеж]]+Y1159),
AND(S1159=0,MAX((0&lt;&gt;N$12:N1159)*ROW(N$12:N1159),ROW($S$12))&gt;=MAX((1=Z$12:Z1159)*ROW(Z$12:Z1159),ROW($T$12))),MIN(LOOKUP(,-1/($Z$12:Z1160=1),$C$12:C1160)+LOOKUP(,-1/($Z$12:Z1160=1),$H$12:H1160)-IF(N1159&lt;&gt;0,0,SUM(INDIRECT("T"&amp;(MAX((0&lt;&gt;N$12:N1159)*ROW(N$12:N1159)+1,ROW($T$12))&amp;":T"&amp;(ROW()-1))))),Первоначальный[[#This Row],[Полученный платеж]]+Y1159),
AND(S1159=0,Первоначальный[[#This Row],[Дата платежа из графика]]=1),MIN(LOOKUP(,-1/($Z$12:Z1160=1),$C$12:C1160)+LOOKUP(,-1/($Z$12:Z1160=1),$H$12:H1160)-IF(Z1159=1,0,SUM(INDIRECT("T"&amp;(MAX((1=Z$12:Z1159)*ROW(Z$12:Z1159)+1,ROW($T$12))&amp;":T"&amp;(ROW()-1))))),Первоначальный[[#This Row],[Полученный платеж]]+Y1159),
AND(Z1159&gt;0,Первоначальный[[#This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платеж]]+Y1159),
AND(S1159&gt;0,MAX((0&lt;&gt;S$12:S1159)*ROW(S$12:S1159),ROW($S$12))&gt;=MAX((1=Z$12:Z1159)*ROW(Z$12:Z1159),ROW($T$12)),TYPE(VLOOKUP("Да",(INDIRECT("AA"&amp;(MAX((1=Z$12:Z1159)*ROW(Z$12:Z1159),ROW($T$12))&amp;":AA"&amp;(ROW()-1)))),1,0))=16),MIN(LOOKUP(,-1/($Z$12:Z1160=1),$C$12:C1160)+LOOKUP(,-1/($Z$12:Z1160=1),$H$12:H1160)-SUM(INDIRECT("T"&amp;(MAX((1=Z$12:Z1159)*ROW(Z$12:Z1159),ROW($T$12))&amp;":T"&amp;(ROW()-1)))),Первоначальный[[#This Row],[Полученный платеж]]+Y1159),
S1159&gt;0,MIN(LOOKUP(,-1/($Z$12:Z1160=1),$C$12:C1160)+LOOKUP(,-1/($Z$12:Z1160=1),$H$12:H1160)-IF(Z1159=1,0,SUM(INDIRECT("T"&amp;(MAX((1=Z$12:Z1159)*ROW(Z$12:Z1159)+1,ROW($T$12))&amp;":T"&amp;(ROW()-1))))),Первоначальный[[#This Row],[Полученный платеж]]+Y1159)
)
)
)</f>
        <v>0</v>
      </c>
      <c r="U116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платеж]]+Y1159-Первоначальный[[#This Row],[Полученный платёж по процентам]])</f>
        <v>0</v>
      </c>
      <c r="V1160" s="55">
        <f t="shared" ca="1" si="207"/>
        <v>0</v>
      </c>
      <c r="W1160" s="55" cm="1">
        <f t="array" aca="1" ref="W1160" ca="1">IF(Первоначальный[[#This Row],[Итого остаток на начало периода]]&lt;1,0,
_xlfn.IFS(
AND(TYPE(VLOOKUP(1,$Z$12:Z1160,1,0))=16,Первоначальный[[#This Row],[Досрочное погашение (да/"")]]=""),0,
AND(S1159=0,Первоначальный[[#This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платеж]]+Y1159-SUM(Первоначальный[[#This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комиссиям]]),VLOOKUP(LOOKUP(,-1/($Z$12:Z1160=1),$A$12:A1160),График[[Срок конец]:[Возврат основной суммы долга]],3,0)),
AND(S1159=0,Первоначальный[[#This Row],[Дата платежа из графика]]="",Первоначальный[[#This Row],[Досрочное погашение (да/"")]]&lt;&gt;"Да"),0,
AND(S1159=0,Первоначальный[[#This Row],[Досрочное погашение (да/"")]]=""),MIN(Первоначальный[[#This Row],[Полученный платеж]]+Y1159-SUM(Первоначальный[[#This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комиссиям]]),VLOOKUP(LOOKUP(,-1/($Z$12:Z1160=1),$A$12:A1160),График[[Срок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платеж]]+Y1159-SUM(Первоначальный[[#This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S1159&gt;0,MIN(Первоначальный[[#This Row],[Полученный платеж]]+Y1159-SUM(Первоначальный[[#This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комиссиям]]),SUM(INDIRECT("M"&amp;(MAX((1=S$12:S1159)*ROW(S$12:S1159),ROW($W$12))&amp;":M"&amp;(ROW()))))-SUM(INDIRECT("W"&amp;(MAX((1=S$12:S1159)*ROW(S$12:S1159),ROW($W$12))&amp;":W"&amp;(ROW()-1)))))
)
)</f>
        <v>0</v>
      </c>
      <c r="X1160" s="55">
        <f t="shared" ca="1" si="208"/>
        <v>0</v>
      </c>
      <c r="Y1160" s="101">
        <f t="shared" ca="1" si="215"/>
        <v>0</v>
      </c>
      <c r="Z1160" s="133" t="str">
        <f>IF(TYPE((VLOOKUP(Первоначальный[[#This Row],[Дата платежа]],График[Срок конец],1,0)))=16,"",1)</f>
        <v/>
      </c>
      <c r="AA1160" s="57"/>
      <c r="AB1160" s="134"/>
      <c r="AC116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6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83339.529999999984</v>
      </c>
      <c r="AE116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5243.5299999999852</v>
      </c>
      <c r="AF116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6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273638.33946229448</v>
      </c>
      <c r="AH1160" s="55"/>
      <c r="AI1160" s="55"/>
      <c r="AJ1160" s="55"/>
      <c r="AK1160" s="101">
        <f t="shared" ca="1" si="216"/>
        <v>511854.7394622945</v>
      </c>
      <c r="AL1160" s="129">
        <f t="array" ref="AL1160">MAX((УслРестрактов[Характеристика]="Дата реструктуризации")*(УслРестрактов[Значение]=Первоначальный!$A1160),0)</f>
        <v>0</v>
      </c>
    </row>
    <row r="1161" spans="1:38" x14ac:dyDescent="0.25">
      <c r="A1161" s="97">
        <f t="shared" si="209"/>
        <v>45292</v>
      </c>
      <c r="B1161" s="100">
        <f t="shared" ca="1" si="210"/>
        <v>149633.34</v>
      </c>
      <c r="C1161" s="55">
        <f t="shared" ca="1" si="218"/>
        <v>83339.529999999984</v>
      </c>
      <c r="D1161" s="55">
        <f t="shared" ca="1" si="218"/>
        <v>5243.5299999999852</v>
      </c>
      <c r="E1161" s="55">
        <f t="shared" ca="1" si="211"/>
        <v>0</v>
      </c>
      <c r="F1161" s="55">
        <f t="shared" ca="1" si="212"/>
        <v>273638.33946229448</v>
      </c>
      <c r="G1161" s="101">
        <f t="shared" ca="1" si="213"/>
        <v>511854.7394622945</v>
      </c>
      <c r="H1161" s="100">
        <f ca="1">ROUND($B1161*VLOOKUP($A1161,$A$1:$B$10,2,1)/(365+IF(MOD(YEAR($A1161),4),0,1)*($A1161-$A1160)),2)-Первоначальный[[#This Row],[Проценты на просроченный платеж по ОД за период]]</f>
        <v>70.7</v>
      </c>
      <c r="I1161" s="55">
        <f t="shared" ca="1" si="214"/>
        <v>10.66</v>
      </c>
      <c r="J1161" s="55">
        <v>0</v>
      </c>
      <c r="K1161" s="55">
        <f t="shared" ca="1" si="217"/>
        <v>506.90850327868844</v>
      </c>
      <c r="L1161" s="55">
        <v>0</v>
      </c>
      <c r="M1161" s="113">
        <f>SUMIFS(График[Возврат основной суммы долга],График[Дата с учетом нерабочих дней],$A1161)</f>
        <v>0</v>
      </c>
      <c r="N1161" s="56">
        <f>SUMIFS(График[Возврат начисленных %],График[Дата с учетом нерабочих дней],$A1161)</f>
        <v>0</v>
      </c>
      <c r="O1161" s="101">
        <v>0</v>
      </c>
      <c r="P1161" s="100" cm="1">
        <f t="array" aca="1" ref="P1161" ca="1">MAX(IF(AA1160="Да",0,SUM(INDIRECT("M"&amp;(MAX(("Да"=AA$12:AA1160)*ROW(AA$12:AA1160)+1,ROW($P$12))&amp;":M"&amp;(ROW()))))-SUM(INDIRECT("W"&amp;(MAX(("Да"=AA$12:AA1160)*ROW(AA$12:AA1160)+1,ROW($P$12))&amp;":W"&amp;(ROW()))))),0)</f>
        <v>19605.71</v>
      </c>
      <c r="Q1161" s="99">
        <f ca="1">MAX(SUM($N$13:N1161)-SUM($T$13:T1161),0)</f>
        <v>81775.990655737682</v>
      </c>
      <c r="R1161" s="99">
        <f ca="1">Первоначальный[[#This Row],[Просроченный платеж по ОД]]+Первоначальный[[#This Row],[Просроченный платеж по процентам]]</f>
        <v>101381.70065573769</v>
      </c>
      <c r="S1161" s="120">
        <f ca="1">IF(Первоначальный[[#This Row],[Просроченный платеж]]&lt;1,0,S1160+1)</f>
        <v>1057</v>
      </c>
      <c r="T1161" s="100" cm="1">
        <f t="array" aca="1" ref="T1161" ca="1">IF(Первоначальный[[#This Row],[Итого остаток на начало периода]]&lt;1,0,
IF(
AND(TYPE(VLOOKUP(1,$Z$12:Z1161,1,0))=16,Первоначальный[[#This Row],[Досрочное погашение (да/"")]]=""),0,
_xlfn.IFS(AND(S1160=0,Первоначальный[[#This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платеж]]&lt;&gt;0),MIN(LOOKUP(,-1/($Z$12:Z1161=1),$C$12:C1161)+LOOKUP(,-1/($Z$12:Z1161=1),$H$12:H1161),Первоначальный[[#This Row],[Полученный платеж]]+Y1160),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платеж]]+Y1160,SUM(Первоначальный[[#This Row],[Остаток процентов на начало периода]],Первоначальный[[#This Row],[Проценты за период]])),
AND(S1160=0,Первоначальный[[#This Row],[Дата платежа из графика]]=""),0,
AND(S1160=0,Первоначальный[[#This Row],[Дата платежа из графика]]=1,MAX((0&lt;&gt;S$12:S1160)*ROW(S$12:S1160),ROW($S$12))&gt;=MAX((1=Z$12:Z1160)*ROW(Z$12:Z1160),ROW($T$12)),TYPE(VLOOKUP("Да",(INDIRECT("AA"&amp;(MAX((1=Z$12:Z1160)*ROW(Z$12:Z1160),ROW($T$12))&amp;":AA"&amp;(ROW()-1)))),1,0))=16),MIN(LOOKUP(,-1/($Z$12:Z1161=1),$C$12:C1161)+LOOKUP(,-1/($Z$12:Z1161=1),$H$12:H1161),Первоначальный[[#This Row],[Полученный платеж]]+Y1160),
AND(S1160=0,TYPE(VLOOKUP("Да",(INDIRECT("AA"&amp;(MAX((1=Z$12:Z1160)*ROW(Z$12:Z1160),ROW($T$12))&amp;":AA"&amp;(ROW()-1)))),1,0))&lt;&gt;16),MIN(LOOKUP(,-1/($Z$12:Z1161=1),$C$12:C1161)+LOOKUP(,-1/($Z$12:Z1161=1),$H$12:H1161)-IF(AA1160="Да",0,SUM(INDIRECT("T"&amp;(MAX(("Да"=AA$12:AA1160)*ROW(AA$12:AA1160)+1,ROW($T$12))&amp;":T"&amp;(ROW()-1))))),Первоначальный[[#This Row],[Полученный платеж]]+Y1160),
AND(S1160=0,MAX((0&lt;&gt;N$12:N1160)*ROW(N$12:N1160),ROW($S$12))&gt;=MAX((1=Z$12:Z1160)*ROW(Z$12:Z1160),ROW($T$12))),MIN(LOOKUP(,-1/($Z$12:Z1161=1),$C$12:C1161)+LOOKUP(,-1/($Z$12:Z1161=1),$H$12:H1161)-IF(N1160&lt;&gt;0,0,SUM(INDIRECT("T"&amp;(MAX((0&lt;&gt;N$12:N1160)*ROW(N$12:N1160)+1,ROW($T$12))&amp;":T"&amp;(ROW()-1))))),Первоначальный[[#This Row],[Полученный платеж]]+Y1160),
AND(S1160=0,Первоначальный[[#This Row],[Дата платежа из графика]]=1),MIN(LOOKUP(,-1/($Z$12:Z1161=1),$C$12:C1161)+LOOKUP(,-1/($Z$12:Z1161=1),$H$12:H1161)-IF(Z1160=1,0,SUM(INDIRECT("T"&amp;(MAX((1=Z$12:Z1160)*ROW(Z$12:Z1160)+1,ROW($T$12))&amp;":T"&amp;(ROW()-1))))),Первоначальный[[#This Row],[Полученный платеж]]+Y1160),
AND(Z1160&gt;0,Первоначальный[[#This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платеж]]+Y1160),
AND(S1160&gt;0,MAX((0&lt;&gt;S$12:S1160)*ROW(S$12:S1160),ROW($S$12))&gt;=MAX((1=Z$12:Z1160)*ROW(Z$12:Z1160),ROW($T$12)),TYPE(VLOOKUP("Да",(INDIRECT("AA"&amp;(MAX((1=Z$12:Z1160)*ROW(Z$12:Z1160),ROW($T$12))&amp;":AA"&amp;(ROW()-1)))),1,0))=16),MIN(LOOKUP(,-1/($Z$12:Z1161=1),$C$12:C1161)+LOOKUP(,-1/($Z$12:Z1161=1),$H$12:H1161)-SUM(INDIRECT("T"&amp;(MAX((1=Z$12:Z1160)*ROW(Z$12:Z1160),ROW($T$12))&amp;":T"&amp;(ROW()-1)))),Первоначальный[[#This Row],[Полученный платеж]]+Y1160),
S1160&gt;0,MIN(LOOKUP(,-1/($Z$12:Z1161=1),$C$12:C1161)+LOOKUP(,-1/($Z$12:Z1161=1),$H$12:H1161)-IF(Z1160=1,0,SUM(INDIRECT("T"&amp;(MAX((1=Z$12:Z1160)*ROW(Z$12:Z1160)+1,ROW($T$12))&amp;":T"&amp;(ROW()-1))))),Первоначальный[[#This Row],[Полученный платеж]]+Y1160)
)
)
)</f>
        <v>0</v>
      </c>
      <c r="U116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платеж]]+Y1160-Первоначальный[[#This Row],[Полученный платёж по процентам]])</f>
        <v>0</v>
      </c>
      <c r="V1161" s="55">
        <f t="shared" ca="1" si="207"/>
        <v>0</v>
      </c>
      <c r="W1161" s="55" cm="1">
        <f t="array" aca="1" ref="W1161" ca="1">IF(Первоначальный[[#This Row],[Итого остаток на начало периода]]&lt;1,0,
_xlfn.IFS(
AND(TYPE(VLOOKUP(1,$Z$12:Z1161,1,0))=16,Первоначальный[[#This Row],[Досрочное погашение (да/"")]]=""),0,
AND(S1160=0,Первоначальный[[#This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платеж]]+Y1160-SUM(Первоначальный[[#This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комиссиям]]),VLOOKUP(LOOKUP(,-1/($Z$12:Z1161=1),$A$12:A1161),График[[Срок конец]:[Возврат основной суммы долга]],3,0)),
AND(S1160=0,Первоначальный[[#This Row],[Дата платежа из графика]]="",Первоначальный[[#This Row],[Досрочное погашение (да/"")]]&lt;&gt;"Да"),0,
AND(S1160=0,Первоначальный[[#This Row],[Досрочное погашение (да/"")]]=""),MIN(Первоначальный[[#This Row],[Полученный платеж]]+Y1160-SUM(Первоначальный[[#This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комиссиям]]),VLOOKUP(LOOKUP(,-1/($Z$12:Z1161=1),$A$12:A1161),График[[Срок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платеж]]+Y1160-SUM(Первоначальный[[#This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S1160&gt;0,MIN(Первоначальный[[#This Row],[Полученный платеж]]+Y1160-SUM(Первоначальный[[#This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комиссиям]]),SUM(INDIRECT("M"&amp;(MAX((1=S$12:S1160)*ROW(S$12:S1160),ROW($W$12))&amp;":M"&amp;(ROW()))))-SUM(INDIRECT("W"&amp;(MAX((1=S$12:S1160)*ROW(S$12:S1160),ROW($W$12))&amp;":W"&amp;(ROW()-1)))))
)
)</f>
        <v>0</v>
      </c>
      <c r="X1161" s="55">
        <f t="shared" ca="1" si="208"/>
        <v>0</v>
      </c>
      <c r="Y1161" s="101">
        <f t="shared" ca="1" si="215"/>
        <v>0</v>
      </c>
      <c r="Z1161" s="133" t="str">
        <f>IF(TYPE((VLOOKUP(Первоначальный[[#This Row],[Дата платежа]],График[Срок конец],1,0)))=16,"",1)</f>
        <v/>
      </c>
      <c r="AA1161" s="57"/>
      <c r="AB1161" s="134"/>
      <c r="AC116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6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83410.229999999981</v>
      </c>
      <c r="AE116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5254.189999999985</v>
      </c>
      <c r="AF116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6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274145.24796557316</v>
      </c>
      <c r="AH1161" s="55"/>
      <c r="AI1161" s="55"/>
      <c r="AJ1161" s="55"/>
      <c r="AK1161" s="101">
        <f t="shared" ca="1" si="216"/>
        <v>512443.00796557311</v>
      </c>
      <c r="AL1161" s="129">
        <f t="array" ref="AL1161">MAX((УслРестрактов[Характеристика]="Дата реструктуризации")*(УслРестрактов[Значение]=Первоначальный!$A1161),0)</f>
        <v>0</v>
      </c>
    </row>
    <row r="1162" spans="1:38" x14ac:dyDescent="0.25">
      <c r="A1162" s="97">
        <f t="shared" si="209"/>
        <v>45293</v>
      </c>
      <c r="B1162" s="100">
        <f t="shared" ca="1" si="210"/>
        <v>149633.34</v>
      </c>
      <c r="C1162" s="55">
        <f t="shared" ca="1" si="218"/>
        <v>83410.229999999981</v>
      </c>
      <c r="D1162" s="55">
        <f t="shared" ca="1" si="218"/>
        <v>5254.189999999985</v>
      </c>
      <c r="E1162" s="55">
        <f t="shared" ca="1" si="211"/>
        <v>0</v>
      </c>
      <c r="F1162" s="55">
        <f t="shared" ca="1" si="212"/>
        <v>274145.24796557316</v>
      </c>
      <c r="G1162" s="101">
        <f t="shared" ca="1" si="213"/>
        <v>512443.00796557311</v>
      </c>
      <c r="H1162" s="100">
        <f ca="1">ROUND($B1162*VLOOKUP($A1162,$A$1:$B$10,2,1)/(365+IF(MOD(YEAR($A1162),4),0,1)*($A1162-$A1161)),2)-Первоначальный[[#This Row],[Проценты на просроченный платеж по ОД за период]]</f>
        <v>70.7</v>
      </c>
      <c r="I1162" s="55">
        <f t="shared" ca="1" si="214"/>
        <v>10.66</v>
      </c>
      <c r="J1162" s="55">
        <v>0</v>
      </c>
      <c r="K1162" s="55">
        <f t="shared" ca="1" si="217"/>
        <v>506.90850327868844</v>
      </c>
      <c r="L1162" s="55">
        <v>0</v>
      </c>
      <c r="M1162" s="113">
        <f>SUMIFS(График[Возврат основной суммы долга],График[Дата с учетом нерабочих дней],$A1162)</f>
        <v>0</v>
      </c>
      <c r="N1162" s="56">
        <f>SUMIFS(График[Возврат начисленных %],График[Дата с учетом нерабочих дней],$A1162)</f>
        <v>0</v>
      </c>
      <c r="O1162" s="101">
        <v>0</v>
      </c>
      <c r="P1162" s="100" cm="1">
        <f t="array" aca="1" ref="P1162" ca="1">MAX(IF(AA1161="Да",0,SUM(INDIRECT("M"&amp;(MAX(("Да"=AA$12:AA1161)*ROW(AA$12:AA1161)+1,ROW($P$12))&amp;":M"&amp;(ROW()))))-SUM(INDIRECT("W"&amp;(MAX(("Да"=AA$12:AA1161)*ROW(AA$12:AA1161)+1,ROW($P$12))&amp;":W"&amp;(ROW()))))),0)</f>
        <v>19605.71</v>
      </c>
      <c r="Q1162" s="99">
        <f ca="1">MAX(SUM($N$13:N1162)-SUM($T$13:T1162),0)</f>
        <v>81775.990655737682</v>
      </c>
      <c r="R1162" s="99">
        <f ca="1">Первоначальный[[#This Row],[Просроченный платеж по ОД]]+Первоначальный[[#This Row],[Просроченный платеж по процентам]]</f>
        <v>101381.70065573769</v>
      </c>
      <c r="S1162" s="120">
        <f ca="1">IF(Первоначальный[[#This Row],[Просроченный платеж]]&lt;1,0,S1161+1)</f>
        <v>1058</v>
      </c>
      <c r="T1162" s="100" cm="1">
        <f t="array" aca="1" ref="T1162" ca="1">IF(Первоначальный[[#This Row],[Итого остаток на начало периода]]&lt;1,0,
IF(
AND(TYPE(VLOOKUP(1,$Z$12:Z1162,1,0))=16,Первоначальный[[#This Row],[Досрочное погашение (да/"")]]=""),0,
_xlfn.IFS(AND(S1161=0,Первоначальный[[#This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платеж]]&lt;&gt;0),MIN(LOOKUP(,-1/($Z$12:Z1162=1),$C$12:C1162)+LOOKUP(,-1/($Z$12:Z1162=1),$H$12:H1162),Первоначальный[[#This Row],[Полученный платеж]]+Y1161),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платеж]]+Y1161,SUM(Первоначальный[[#This Row],[Остаток процентов на начало периода]],Первоначальный[[#This Row],[Проценты за период]])),
AND(S1161=0,Первоначальный[[#This Row],[Дата платежа из графика]]=""),0,
AND(S1161=0,Первоначальный[[#This Row],[Дата платежа из графика]]=1,MAX((0&lt;&gt;S$12:S1161)*ROW(S$12:S1161),ROW($S$12))&gt;=MAX((1=Z$12:Z1161)*ROW(Z$12:Z1161),ROW($T$12)),TYPE(VLOOKUP("Да",(INDIRECT("AA"&amp;(MAX((1=Z$12:Z1161)*ROW(Z$12:Z1161),ROW($T$12))&amp;":AA"&amp;(ROW()-1)))),1,0))=16),MIN(LOOKUP(,-1/($Z$12:Z1162=1),$C$12:C1162)+LOOKUP(,-1/($Z$12:Z1162=1),$H$12:H1162),Первоначальный[[#This Row],[Полученный платеж]]+Y1161),
AND(S1161=0,TYPE(VLOOKUP("Да",(INDIRECT("AA"&amp;(MAX((1=Z$12:Z1161)*ROW(Z$12:Z1161),ROW($T$12))&amp;":AA"&amp;(ROW()-1)))),1,0))&lt;&gt;16),MIN(LOOKUP(,-1/($Z$12:Z1162=1),$C$12:C1162)+LOOKUP(,-1/($Z$12:Z1162=1),$H$12:H1162)-IF(AA1161="Да",0,SUM(INDIRECT("T"&amp;(MAX(("Да"=AA$12:AA1161)*ROW(AA$12:AA1161)+1,ROW($T$12))&amp;":T"&amp;(ROW()-1))))),Первоначальный[[#This Row],[Полученный платеж]]+Y1161),
AND(S1161=0,MAX((0&lt;&gt;N$12:N1161)*ROW(N$12:N1161),ROW($S$12))&gt;=MAX((1=Z$12:Z1161)*ROW(Z$12:Z1161),ROW($T$12))),MIN(LOOKUP(,-1/($Z$12:Z1162=1),$C$12:C1162)+LOOKUP(,-1/($Z$12:Z1162=1),$H$12:H1162)-IF(N1161&lt;&gt;0,0,SUM(INDIRECT("T"&amp;(MAX((0&lt;&gt;N$12:N1161)*ROW(N$12:N1161)+1,ROW($T$12))&amp;":T"&amp;(ROW()-1))))),Первоначальный[[#This Row],[Полученный платеж]]+Y1161),
AND(S1161=0,Первоначальный[[#This Row],[Дата платежа из графика]]=1),MIN(LOOKUP(,-1/($Z$12:Z1162=1),$C$12:C1162)+LOOKUP(,-1/($Z$12:Z1162=1),$H$12:H1162)-IF(Z1161=1,0,SUM(INDIRECT("T"&amp;(MAX((1=Z$12:Z1161)*ROW(Z$12:Z1161)+1,ROW($T$12))&amp;":T"&amp;(ROW()-1))))),Первоначальный[[#This Row],[Полученный платеж]]+Y1161),
AND(Z1161&gt;0,Первоначальный[[#This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платеж]]+Y1161),
AND(S1161&gt;0,MAX((0&lt;&gt;S$12:S1161)*ROW(S$12:S1161),ROW($S$12))&gt;=MAX((1=Z$12:Z1161)*ROW(Z$12:Z1161),ROW($T$12)),TYPE(VLOOKUP("Да",(INDIRECT("AA"&amp;(MAX((1=Z$12:Z1161)*ROW(Z$12:Z1161),ROW($T$12))&amp;":AA"&amp;(ROW()-1)))),1,0))=16),MIN(LOOKUP(,-1/($Z$12:Z1162=1),$C$12:C1162)+LOOKUP(,-1/($Z$12:Z1162=1),$H$12:H1162)-SUM(INDIRECT("T"&amp;(MAX((1=Z$12:Z1161)*ROW(Z$12:Z1161),ROW($T$12))&amp;":T"&amp;(ROW()-1)))),Первоначальный[[#This Row],[Полученный платеж]]+Y1161),
S1161&gt;0,MIN(LOOKUP(,-1/($Z$12:Z1162=1),$C$12:C1162)+LOOKUP(,-1/($Z$12:Z1162=1),$H$12:H1162)-IF(Z1161=1,0,SUM(INDIRECT("T"&amp;(MAX((1=Z$12:Z1161)*ROW(Z$12:Z1161)+1,ROW($T$12))&amp;":T"&amp;(ROW()-1))))),Первоначальный[[#This Row],[Полученный платеж]]+Y1161)
)
)
)</f>
        <v>0</v>
      </c>
      <c r="U116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платеж]]+Y1161-Первоначальный[[#This Row],[Полученный платёж по процентам]])</f>
        <v>0</v>
      </c>
      <c r="V1162" s="55">
        <f t="shared" ca="1" si="207"/>
        <v>0</v>
      </c>
      <c r="W1162" s="55" cm="1">
        <f t="array" aca="1" ref="W1162" ca="1">IF(Первоначальный[[#This Row],[Итого остаток на начало периода]]&lt;1,0,
_xlfn.IFS(
AND(TYPE(VLOOKUP(1,$Z$12:Z1162,1,0))=16,Первоначальный[[#This Row],[Досрочное погашение (да/"")]]=""),0,
AND(S1161=0,Первоначальный[[#This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платеж]]+Y1161-SUM(Первоначальный[[#This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комиссиям]]),VLOOKUP(LOOKUP(,-1/($Z$12:Z1162=1),$A$12:A1162),График[[Срок конец]:[Возврат основной суммы долга]],3,0)),
AND(S1161=0,Первоначальный[[#This Row],[Дата платежа из графика]]="",Первоначальный[[#This Row],[Досрочное погашение (да/"")]]&lt;&gt;"Да"),0,
AND(S1161=0,Первоначальный[[#This Row],[Досрочное погашение (да/"")]]=""),MIN(Первоначальный[[#This Row],[Полученный платеж]]+Y1161-SUM(Первоначальный[[#This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комиссиям]]),VLOOKUP(LOOKUP(,-1/($Z$12:Z1162=1),$A$12:A1162),График[[Срок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платеж]]+Y1161-SUM(Первоначальный[[#This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S1161&gt;0,MIN(Первоначальный[[#This Row],[Полученный платеж]]+Y1161-SUM(Первоначальный[[#This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комиссиям]]),SUM(INDIRECT("M"&amp;(MAX((1=S$12:S1161)*ROW(S$12:S1161),ROW($W$12))&amp;":M"&amp;(ROW()))))-SUM(INDIRECT("W"&amp;(MAX((1=S$12:S1161)*ROW(S$12:S1161),ROW($W$12))&amp;":W"&amp;(ROW()-1)))))
)
)</f>
        <v>0</v>
      </c>
      <c r="X1162" s="55">
        <f t="shared" ca="1" si="208"/>
        <v>0</v>
      </c>
      <c r="Y1162" s="101">
        <f t="shared" ca="1" si="215"/>
        <v>0</v>
      </c>
      <c r="Z1162" s="133" t="str">
        <f>IF(TYPE((VLOOKUP(Первоначальный[[#This Row],[Дата платежа]],График[Срок конец],1,0)))=16,"",1)</f>
        <v/>
      </c>
      <c r="AA1162" s="57"/>
      <c r="AB1162" s="134"/>
      <c r="AC116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6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83480.929999999978</v>
      </c>
      <c r="AE116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5264.8499999999849</v>
      </c>
      <c r="AF116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6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274652.15646885184</v>
      </c>
      <c r="AH1162" s="55"/>
      <c r="AI1162" s="55"/>
      <c r="AJ1162" s="55"/>
      <c r="AK1162" s="101">
        <f t="shared" ca="1" si="216"/>
        <v>513031.27646885178</v>
      </c>
      <c r="AL1162" s="129">
        <f t="array" ref="AL1162">MAX((УслРестрактов[Характеристика]="Дата реструктуризации")*(УслРестрактов[Значение]=Первоначальный!$A1162),0)</f>
        <v>0</v>
      </c>
    </row>
    <row r="1163" spans="1:38" x14ac:dyDescent="0.25">
      <c r="A1163" s="97">
        <f t="shared" si="209"/>
        <v>45294</v>
      </c>
      <c r="B1163" s="100">
        <f t="shared" ca="1" si="210"/>
        <v>149633.34</v>
      </c>
      <c r="C1163" s="55">
        <f t="shared" ca="1" si="218"/>
        <v>83480.929999999978</v>
      </c>
      <c r="D1163" s="55">
        <f t="shared" ca="1" si="218"/>
        <v>5264.8499999999849</v>
      </c>
      <c r="E1163" s="55">
        <f t="shared" ca="1" si="211"/>
        <v>0</v>
      </c>
      <c r="F1163" s="55">
        <f t="shared" ca="1" si="212"/>
        <v>274652.15646885184</v>
      </c>
      <c r="G1163" s="101">
        <f t="shared" ca="1" si="213"/>
        <v>513031.27646885178</v>
      </c>
      <c r="H1163" s="100">
        <f ca="1">ROUND($B1163*VLOOKUP($A1163,$A$1:$B$10,2,1)/(365+IF(MOD(YEAR($A1163),4),0,1)*($A1163-$A1162)),2)-Первоначальный[[#This Row],[Проценты на просроченный платеж по ОД за период]]</f>
        <v>70.7</v>
      </c>
      <c r="I1163" s="55">
        <f t="shared" ca="1" si="214"/>
        <v>10.66</v>
      </c>
      <c r="J1163" s="55">
        <v>0</v>
      </c>
      <c r="K1163" s="55">
        <f t="shared" ca="1" si="217"/>
        <v>506.90850327868844</v>
      </c>
      <c r="L1163" s="55">
        <v>0</v>
      </c>
      <c r="M1163" s="113">
        <f>SUMIFS(График[Возврат основной суммы долга],График[Дата с учетом нерабочих дней],$A1163)</f>
        <v>0</v>
      </c>
      <c r="N1163" s="56">
        <f>SUMIFS(График[Возврат начисленных %],График[Дата с учетом нерабочих дней],$A1163)</f>
        <v>0</v>
      </c>
      <c r="O1163" s="101">
        <v>0</v>
      </c>
      <c r="P1163" s="100" cm="1">
        <f t="array" aca="1" ref="P1163" ca="1">MAX(IF(AA1162="Да",0,SUM(INDIRECT("M"&amp;(MAX(("Да"=AA$12:AA1162)*ROW(AA$12:AA1162)+1,ROW($P$12))&amp;":M"&amp;(ROW()))))-SUM(INDIRECT("W"&amp;(MAX(("Да"=AA$12:AA1162)*ROW(AA$12:AA1162)+1,ROW($P$12))&amp;":W"&amp;(ROW()))))),0)</f>
        <v>19605.71</v>
      </c>
      <c r="Q1163" s="99">
        <f ca="1">MAX(SUM($N$13:N1163)-SUM($T$13:T1163),0)</f>
        <v>81775.990655737682</v>
      </c>
      <c r="R1163" s="99">
        <f ca="1">Первоначальный[[#This Row],[Просроченный платеж по ОД]]+Первоначальный[[#This Row],[Просроченный платеж по процентам]]</f>
        <v>101381.70065573769</v>
      </c>
      <c r="S1163" s="120">
        <f ca="1">IF(Первоначальный[[#This Row],[Просроченный платеж]]&lt;1,0,S1162+1)</f>
        <v>1059</v>
      </c>
      <c r="T1163" s="100" cm="1">
        <f t="array" aca="1" ref="T1163" ca="1">IF(Первоначальный[[#This Row],[Итого остаток на начало периода]]&lt;1,0,
IF(
AND(TYPE(VLOOKUP(1,$Z$12:Z1163,1,0))=16,Первоначальный[[#This Row],[Досрочное погашение (да/"")]]=""),0,
_xlfn.IFS(AND(S1162=0,Первоначальный[[#This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платеж]]&lt;&gt;0),MIN(LOOKUP(,-1/($Z$12:Z1163=1),$C$12:C1163)+LOOKUP(,-1/($Z$12:Z1163=1),$H$12:H1163),Первоначальный[[#This Row],[Полученный платеж]]+Y1162),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платеж]]+Y1162,SUM(Первоначальный[[#This Row],[Остаток процентов на начало периода]],Первоначальный[[#This Row],[Проценты за период]])),
AND(S1162=0,Первоначальный[[#This Row],[Дата платежа из графика]]=""),0,
AND(S1162=0,Первоначальный[[#This Row],[Дата платежа из графика]]=1,MAX((0&lt;&gt;S$12:S1162)*ROW(S$12:S1162),ROW($S$12))&gt;=MAX((1=Z$12:Z1162)*ROW(Z$12:Z1162),ROW($T$12)),TYPE(VLOOKUP("Да",(INDIRECT("AA"&amp;(MAX((1=Z$12:Z1162)*ROW(Z$12:Z1162),ROW($T$12))&amp;":AA"&amp;(ROW()-1)))),1,0))=16),MIN(LOOKUP(,-1/($Z$12:Z1163=1),$C$12:C1163)+LOOKUP(,-1/($Z$12:Z1163=1),$H$12:H1163),Первоначальный[[#This Row],[Полученный платеж]]+Y1162),
AND(S1162=0,TYPE(VLOOKUP("Да",(INDIRECT("AA"&amp;(MAX((1=Z$12:Z1162)*ROW(Z$12:Z1162),ROW($T$12))&amp;":AA"&amp;(ROW()-1)))),1,0))&lt;&gt;16),MIN(LOOKUP(,-1/($Z$12:Z1163=1),$C$12:C1163)+LOOKUP(,-1/($Z$12:Z1163=1),$H$12:H1163)-IF(AA1162="Да",0,SUM(INDIRECT("T"&amp;(MAX(("Да"=AA$12:AA1162)*ROW(AA$12:AA1162)+1,ROW($T$12))&amp;":T"&amp;(ROW()-1))))),Первоначальный[[#This Row],[Полученный платеж]]+Y1162),
AND(S1162=0,MAX((0&lt;&gt;N$12:N1162)*ROW(N$12:N1162),ROW($S$12))&gt;=MAX((1=Z$12:Z1162)*ROW(Z$12:Z1162),ROW($T$12))),MIN(LOOKUP(,-1/($Z$12:Z1163=1),$C$12:C1163)+LOOKUP(,-1/($Z$12:Z1163=1),$H$12:H1163)-IF(N1162&lt;&gt;0,0,SUM(INDIRECT("T"&amp;(MAX((0&lt;&gt;N$12:N1162)*ROW(N$12:N1162)+1,ROW($T$12))&amp;":T"&amp;(ROW()-1))))),Первоначальный[[#This Row],[Полученный платеж]]+Y1162),
AND(S1162=0,Первоначальный[[#This Row],[Дата платежа из графика]]=1),MIN(LOOKUP(,-1/($Z$12:Z1163=1),$C$12:C1163)+LOOKUP(,-1/($Z$12:Z1163=1),$H$12:H1163)-IF(Z1162=1,0,SUM(INDIRECT("T"&amp;(MAX((1=Z$12:Z1162)*ROW(Z$12:Z1162)+1,ROW($T$12))&amp;":T"&amp;(ROW()-1))))),Первоначальный[[#This Row],[Полученный платеж]]+Y1162),
AND(Z1162&gt;0,Первоначальный[[#This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платеж]]+Y1162),
AND(S1162&gt;0,MAX((0&lt;&gt;S$12:S1162)*ROW(S$12:S1162),ROW($S$12))&gt;=MAX((1=Z$12:Z1162)*ROW(Z$12:Z1162),ROW($T$12)),TYPE(VLOOKUP("Да",(INDIRECT("AA"&amp;(MAX((1=Z$12:Z1162)*ROW(Z$12:Z1162),ROW($T$12))&amp;":AA"&amp;(ROW()-1)))),1,0))=16),MIN(LOOKUP(,-1/($Z$12:Z1163=1),$C$12:C1163)+LOOKUP(,-1/($Z$12:Z1163=1),$H$12:H1163)-SUM(INDIRECT("T"&amp;(MAX((1=Z$12:Z1162)*ROW(Z$12:Z1162),ROW($T$12))&amp;":T"&amp;(ROW()-1)))),Первоначальный[[#This Row],[Полученный платеж]]+Y1162),
S1162&gt;0,MIN(LOOKUP(,-1/($Z$12:Z1163=1),$C$12:C1163)+LOOKUP(,-1/($Z$12:Z1163=1),$H$12:H1163)-IF(Z1162=1,0,SUM(INDIRECT("T"&amp;(MAX((1=Z$12:Z1162)*ROW(Z$12:Z1162)+1,ROW($T$12))&amp;":T"&amp;(ROW()-1))))),Первоначальный[[#This Row],[Полученный платеж]]+Y1162)
)
)
)</f>
        <v>0</v>
      </c>
      <c r="U116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платеж]]+Y1162-Первоначальный[[#This Row],[Полученный платёж по процентам]])</f>
        <v>0</v>
      </c>
      <c r="V1163" s="55">
        <f t="shared" ca="1" si="207"/>
        <v>0</v>
      </c>
      <c r="W1163" s="55" cm="1">
        <f t="array" aca="1" ref="W1163" ca="1">IF(Первоначальный[[#This Row],[Итого остаток на начало периода]]&lt;1,0,
_xlfn.IFS(
AND(TYPE(VLOOKUP(1,$Z$12:Z1163,1,0))=16,Первоначальный[[#This Row],[Досрочное погашение (да/"")]]=""),0,
AND(S1162=0,Первоначальный[[#This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платеж]]+Y1162-SUM(Первоначальный[[#This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комиссиям]]),VLOOKUP(LOOKUP(,-1/($Z$12:Z1163=1),$A$12:A1163),График[[Срок конец]:[Возврат основной суммы долга]],3,0)),
AND(S1162=0,Первоначальный[[#This Row],[Дата платежа из графика]]="",Первоначальный[[#This Row],[Досрочное погашение (да/"")]]&lt;&gt;"Да"),0,
AND(S1162=0,Первоначальный[[#This Row],[Досрочное погашение (да/"")]]=""),MIN(Первоначальный[[#This Row],[Полученный платеж]]+Y1162-SUM(Первоначальный[[#This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комиссиям]]),VLOOKUP(LOOKUP(,-1/($Z$12:Z1163=1),$A$12:A1163),График[[Срок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платеж]]+Y1162-SUM(Первоначальный[[#This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S1162&gt;0,MIN(Первоначальный[[#This Row],[Полученный платеж]]+Y1162-SUM(Первоначальный[[#This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комиссиям]]),SUM(INDIRECT("M"&amp;(MAX((1=S$12:S1162)*ROW(S$12:S1162),ROW($W$12))&amp;":M"&amp;(ROW()))))-SUM(INDIRECT("W"&amp;(MAX((1=S$12:S1162)*ROW(S$12:S1162),ROW($W$12))&amp;":W"&amp;(ROW()-1)))))
)
)</f>
        <v>0</v>
      </c>
      <c r="X1163" s="55">
        <f t="shared" ca="1" si="208"/>
        <v>0</v>
      </c>
      <c r="Y1163" s="101">
        <f t="shared" ca="1" si="215"/>
        <v>0</v>
      </c>
      <c r="Z1163" s="133" t="str">
        <f>IF(TYPE((VLOOKUP(Первоначальный[[#This Row],[Дата платежа]],График[Срок конец],1,0)))=16,"",1)</f>
        <v/>
      </c>
      <c r="AA1163" s="57"/>
      <c r="AB1163" s="134"/>
      <c r="AC116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6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83551.629999999976</v>
      </c>
      <c r="AE116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5275.5099999999848</v>
      </c>
      <c r="AF116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6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275159.06497213052</v>
      </c>
      <c r="AH1163" s="55"/>
      <c r="AI1163" s="55"/>
      <c r="AJ1163" s="55"/>
      <c r="AK1163" s="101">
        <f t="shared" ca="1" si="216"/>
        <v>513619.54497213045</v>
      </c>
      <c r="AL1163" s="129">
        <f t="array" ref="AL1163">MAX((УслРестрактов[Характеристика]="Дата реструктуризации")*(УслРестрактов[Значение]=Первоначальный!$A1163),0)</f>
        <v>0</v>
      </c>
    </row>
    <row r="1164" spans="1:38" x14ac:dyDescent="0.25">
      <c r="A1164" s="97">
        <f t="shared" si="209"/>
        <v>45295</v>
      </c>
      <c r="B1164" s="100">
        <f t="shared" ca="1" si="210"/>
        <v>149633.34</v>
      </c>
      <c r="C1164" s="55">
        <f t="shared" ca="1" si="218"/>
        <v>83551.629999999976</v>
      </c>
      <c r="D1164" s="55">
        <f t="shared" ca="1" si="218"/>
        <v>5275.5099999999848</v>
      </c>
      <c r="E1164" s="55">
        <f t="shared" ca="1" si="211"/>
        <v>0</v>
      </c>
      <c r="F1164" s="55">
        <f t="shared" ca="1" si="212"/>
        <v>275159.06497213052</v>
      </c>
      <c r="G1164" s="101">
        <f t="shared" ca="1" si="213"/>
        <v>513619.54497213045</v>
      </c>
      <c r="H1164" s="100">
        <f ca="1">ROUND($B1164*VLOOKUP($A1164,$A$1:$B$10,2,1)/(365+IF(MOD(YEAR($A1164),4),0,1)*($A1164-$A1163)),2)-Первоначальный[[#This Row],[Проценты на просроченный платеж по ОД за период]]</f>
        <v>70.7</v>
      </c>
      <c r="I1164" s="55">
        <f t="shared" ca="1" si="214"/>
        <v>10.66</v>
      </c>
      <c r="J1164" s="55">
        <v>0</v>
      </c>
      <c r="K1164" s="55">
        <f t="shared" ca="1" si="217"/>
        <v>506.90850327868844</v>
      </c>
      <c r="L1164" s="55">
        <v>0</v>
      </c>
      <c r="M1164" s="113">
        <f>SUMIFS(График[Возврат основной суммы долга],График[Дата с учетом нерабочих дней],$A1164)</f>
        <v>0</v>
      </c>
      <c r="N1164" s="56">
        <f>SUMIFS(График[Возврат начисленных %],График[Дата с учетом нерабочих дней],$A1164)</f>
        <v>0</v>
      </c>
      <c r="O1164" s="101">
        <v>0</v>
      </c>
      <c r="P1164" s="100" cm="1">
        <f t="array" aca="1" ref="P1164" ca="1">MAX(IF(AA1163="Да",0,SUM(INDIRECT("M"&amp;(MAX(("Да"=AA$12:AA1163)*ROW(AA$12:AA1163)+1,ROW($P$12))&amp;":M"&amp;(ROW()))))-SUM(INDIRECT("W"&amp;(MAX(("Да"=AA$12:AA1163)*ROW(AA$12:AA1163)+1,ROW($P$12))&amp;":W"&amp;(ROW()))))),0)</f>
        <v>19605.71</v>
      </c>
      <c r="Q1164" s="99">
        <f ca="1">MAX(SUM($N$13:N1164)-SUM($T$13:T1164),0)</f>
        <v>81775.990655737682</v>
      </c>
      <c r="R1164" s="99">
        <f ca="1">Первоначальный[[#This Row],[Просроченный платеж по ОД]]+Первоначальный[[#This Row],[Просроченный платеж по процентам]]</f>
        <v>101381.70065573769</v>
      </c>
      <c r="S1164" s="120">
        <f ca="1">IF(Первоначальный[[#This Row],[Просроченный платеж]]&lt;1,0,S1163+1)</f>
        <v>1060</v>
      </c>
      <c r="T1164" s="100" cm="1">
        <f t="array" aca="1" ref="T1164" ca="1">IF(Первоначальный[[#This Row],[Итого остаток на начало периода]]&lt;1,0,
IF(
AND(TYPE(VLOOKUP(1,$Z$12:Z1164,1,0))=16,Первоначальный[[#This Row],[Досрочное погашение (да/"")]]=""),0,
_xlfn.IFS(AND(S1163=0,Первоначальный[[#This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платеж]]&lt;&gt;0),MIN(LOOKUP(,-1/($Z$12:Z1164=1),$C$12:C1164)+LOOKUP(,-1/($Z$12:Z1164=1),$H$12:H1164),Первоначальный[[#This Row],[Полученный платеж]]+Y1163),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платеж]]+Y1163,SUM(Первоначальный[[#This Row],[Остаток процентов на начало периода]],Первоначальный[[#This Row],[Проценты за период]])),
AND(S1163=0,Первоначальный[[#This Row],[Дата платежа из графика]]=""),0,
AND(S1163=0,Первоначальный[[#This Row],[Дата платежа из графика]]=1,MAX((0&lt;&gt;S$12:S1163)*ROW(S$12:S1163),ROW($S$12))&gt;=MAX((1=Z$12:Z1163)*ROW(Z$12:Z1163),ROW($T$12)),TYPE(VLOOKUP("Да",(INDIRECT("AA"&amp;(MAX((1=Z$12:Z1163)*ROW(Z$12:Z1163),ROW($T$12))&amp;":AA"&amp;(ROW()-1)))),1,0))=16),MIN(LOOKUP(,-1/($Z$12:Z1164=1),$C$12:C1164)+LOOKUP(,-1/($Z$12:Z1164=1),$H$12:H1164),Первоначальный[[#This Row],[Полученный платеж]]+Y1163),
AND(S1163=0,TYPE(VLOOKUP("Да",(INDIRECT("AA"&amp;(MAX((1=Z$12:Z1163)*ROW(Z$12:Z1163),ROW($T$12))&amp;":AA"&amp;(ROW()-1)))),1,0))&lt;&gt;16),MIN(LOOKUP(,-1/($Z$12:Z1164=1),$C$12:C1164)+LOOKUP(,-1/($Z$12:Z1164=1),$H$12:H1164)-IF(AA1163="Да",0,SUM(INDIRECT("T"&amp;(MAX(("Да"=AA$12:AA1163)*ROW(AA$12:AA1163)+1,ROW($T$12))&amp;":T"&amp;(ROW()-1))))),Первоначальный[[#This Row],[Полученный платеж]]+Y1163),
AND(S1163=0,MAX((0&lt;&gt;N$12:N1163)*ROW(N$12:N1163),ROW($S$12))&gt;=MAX((1=Z$12:Z1163)*ROW(Z$12:Z1163),ROW($T$12))),MIN(LOOKUP(,-1/($Z$12:Z1164=1),$C$12:C1164)+LOOKUP(,-1/($Z$12:Z1164=1),$H$12:H1164)-IF(N1163&lt;&gt;0,0,SUM(INDIRECT("T"&amp;(MAX((0&lt;&gt;N$12:N1163)*ROW(N$12:N1163)+1,ROW($T$12))&amp;":T"&amp;(ROW()-1))))),Первоначальный[[#This Row],[Полученный платеж]]+Y1163),
AND(S1163=0,Первоначальный[[#This Row],[Дата платежа из графика]]=1),MIN(LOOKUP(,-1/($Z$12:Z1164=1),$C$12:C1164)+LOOKUP(,-1/($Z$12:Z1164=1),$H$12:H1164)-IF(Z1163=1,0,SUM(INDIRECT("T"&amp;(MAX((1=Z$12:Z1163)*ROW(Z$12:Z1163)+1,ROW($T$12))&amp;":T"&amp;(ROW()-1))))),Первоначальный[[#This Row],[Полученный платеж]]+Y1163),
AND(Z1163&gt;0,Первоначальный[[#This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платеж]]+Y1163),
AND(S1163&gt;0,MAX((0&lt;&gt;S$12:S1163)*ROW(S$12:S1163),ROW($S$12))&gt;=MAX((1=Z$12:Z1163)*ROW(Z$12:Z1163),ROW($T$12)),TYPE(VLOOKUP("Да",(INDIRECT("AA"&amp;(MAX((1=Z$12:Z1163)*ROW(Z$12:Z1163),ROW($T$12))&amp;":AA"&amp;(ROW()-1)))),1,0))=16),MIN(LOOKUP(,-1/($Z$12:Z1164=1),$C$12:C1164)+LOOKUP(,-1/($Z$12:Z1164=1),$H$12:H1164)-SUM(INDIRECT("T"&amp;(MAX((1=Z$12:Z1163)*ROW(Z$12:Z1163),ROW($T$12))&amp;":T"&amp;(ROW()-1)))),Первоначальный[[#This Row],[Полученный платеж]]+Y1163),
S1163&gt;0,MIN(LOOKUP(,-1/($Z$12:Z1164=1),$C$12:C1164)+LOOKUP(,-1/($Z$12:Z1164=1),$H$12:H1164)-IF(Z1163=1,0,SUM(INDIRECT("T"&amp;(MAX((1=Z$12:Z1163)*ROW(Z$12:Z1163)+1,ROW($T$12))&amp;":T"&amp;(ROW()-1))))),Первоначальный[[#This Row],[Полученный платеж]]+Y1163)
)
)
)</f>
        <v>0</v>
      </c>
      <c r="U116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платеж]]+Y1163-Первоначальный[[#This Row],[Полученный платёж по процентам]])</f>
        <v>0</v>
      </c>
      <c r="V1164" s="55">
        <f t="shared" ca="1" si="207"/>
        <v>0</v>
      </c>
      <c r="W1164" s="55" cm="1">
        <f t="array" aca="1" ref="W1164" ca="1">IF(Первоначальный[[#This Row],[Итого остаток на начало периода]]&lt;1,0,
_xlfn.IFS(
AND(TYPE(VLOOKUP(1,$Z$12:Z1164,1,0))=16,Первоначальный[[#This Row],[Досрочное погашение (да/"")]]=""),0,
AND(S1163=0,Первоначальный[[#This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платеж]]+Y1163-SUM(Первоначальный[[#This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комиссиям]]),VLOOKUP(LOOKUP(,-1/($Z$12:Z1164=1),$A$12:A1164),График[[Срок конец]:[Возврат основной суммы долга]],3,0)),
AND(S1163=0,Первоначальный[[#This Row],[Дата платежа из графика]]="",Первоначальный[[#This Row],[Досрочное погашение (да/"")]]&lt;&gt;"Да"),0,
AND(S1163=0,Первоначальный[[#This Row],[Досрочное погашение (да/"")]]=""),MIN(Первоначальный[[#This Row],[Полученный платеж]]+Y1163-SUM(Первоначальный[[#This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комиссиям]]),VLOOKUP(LOOKUP(,-1/($Z$12:Z1164=1),$A$12:A1164),График[[Срок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платеж]]+Y1163-SUM(Первоначальный[[#This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S1163&gt;0,MIN(Первоначальный[[#This Row],[Полученный платеж]]+Y1163-SUM(Первоначальный[[#This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комиссиям]]),SUM(INDIRECT("M"&amp;(MAX((1=S$12:S1163)*ROW(S$12:S1163),ROW($W$12))&amp;":M"&amp;(ROW()))))-SUM(INDIRECT("W"&amp;(MAX((1=S$12:S1163)*ROW(S$12:S1163),ROW($W$12))&amp;":W"&amp;(ROW()-1)))))
)
)</f>
        <v>0</v>
      </c>
      <c r="X1164" s="55">
        <f t="shared" ca="1" si="208"/>
        <v>0</v>
      </c>
      <c r="Y1164" s="101">
        <f t="shared" ca="1" si="215"/>
        <v>0</v>
      </c>
      <c r="Z1164" s="133" t="str">
        <f>IF(TYPE((VLOOKUP(Первоначальный[[#This Row],[Дата платежа]],График[Срок конец],1,0)))=16,"",1)</f>
        <v/>
      </c>
      <c r="AA1164" s="57"/>
      <c r="AB1164" s="134"/>
      <c r="AC116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6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83622.329999999973</v>
      </c>
      <c r="AE116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5286.1699999999846</v>
      </c>
      <c r="AF116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6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275665.97347540921</v>
      </c>
      <c r="AH1164" s="55"/>
      <c r="AI1164" s="55"/>
      <c r="AJ1164" s="55"/>
      <c r="AK1164" s="101">
        <f t="shared" ca="1" si="216"/>
        <v>514207.81347540917</v>
      </c>
      <c r="AL1164" s="129">
        <f t="array" ref="AL1164">MAX((УслРестрактов[Характеристика]="Дата реструктуризации")*(УслРестрактов[Значение]=Первоначальный!$A1164),0)</f>
        <v>0</v>
      </c>
    </row>
    <row r="1165" spans="1:38" x14ac:dyDescent="0.25">
      <c r="A1165" s="97">
        <f t="shared" si="209"/>
        <v>45296</v>
      </c>
      <c r="B1165" s="100">
        <f t="shared" ca="1" si="210"/>
        <v>149633.34</v>
      </c>
      <c r="C1165" s="55">
        <f t="shared" ca="1" si="218"/>
        <v>83622.329999999973</v>
      </c>
      <c r="D1165" s="55">
        <f t="shared" ca="1" si="218"/>
        <v>5286.1699999999846</v>
      </c>
      <c r="E1165" s="55">
        <f t="shared" ca="1" si="211"/>
        <v>0</v>
      </c>
      <c r="F1165" s="55">
        <f t="shared" ca="1" si="212"/>
        <v>275665.97347540921</v>
      </c>
      <c r="G1165" s="101">
        <f t="shared" ca="1" si="213"/>
        <v>514207.81347540917</v>
      </c>
      <c r="H1165" s="100">
        <f ca="1">ROUND($B1165*VLOOKUP($A1165,$A$1:$B$10,2,1)/(365+IF(MOD(YEAR($A1165),4),0,1)*($A1165-$A1164)),2)-Первоначальный[[#This Row],[Проценты на просроченный платеж по ОД за период]]</f>
        <v>70.7</v>
      </c>
      <c r="I1165" s="55">
        <f t="shared" ca="1" si="214"/>
        <v>10.66</v>
      </c>
      <c r="J1165" s="55">
        <v>0</v>
      </c>
      <c r="K1165" s="55">
        <f t="shared" ca="1" si="217"/>
        <v>506.90850327868844</v>
      </c>
      <c r="L1165" s="55">
        <v>0</v>
      </c>
      <c r="M1165" s="113">
        <f>SUMIFS(График[Возврат основной суммы долга],График[Дата с учетом нерабочих дней],$A1165)</f>
        <v>0</v>
      </c>
      <c r="N1165" s="56">
        <f>SUMIFS(График[Возврат начисленных %],График[Дата с учетом нерабочих дней],$A1165)</f>
        <v>0</v>
      </c>
      <c r="O1165" s="101">
        <v>0</v>
      </c>
      <c r="P1165" s="100" cm="1">
        <f t="array" aca="1" ref="P1165" ca="1">MAX(IF(AA1164="Да",0,SUM(INDIRECT("M"&amp;(MAX(("Да"=AA$12:AA1164)*ROW(AA$12:AA1164)+1,ROW($P$12))&amp;":M"&amp;(ROW()))))-SUM(INDIRECT("W"&amp;(MAX(("Да"=AA$12:AA1164)*ROW(AA$12:AA1164)+1,ROW($P$12))&amp;":W"&amp;(ROW()))))),0)</f>
        <v>19605.71</v>
      </c>
      <c r="Q1165" s="99">
        <f ca="1">MAX(SUM($N$13:N1165)-SUM($T$13:T1165),0)</f>
        <v>81775.990655737682</v>
      </c>
      <c r="R1165" s="99">
        <f ca="1">Первоначальный[[#This Row],[Просроченный платеж по ОД]]+Первоначальный[[#This Row],[Просроченный платеж по процентам]]</f>
        <v>101381.70065573769</v>
      </c>
      <c r="S1165" s="120">
        <f ca="1">IF(Первоначальный[[#This Row],[Просроченный платеж]]&lt;1,0,S1164+1)</f>
        <v>1061</v>
      </c>
      <c r="T1165" s="100" cm="1">
        <f t="array" aca="1" ref="T1165" ca="1">IF(Первоначальный[[#This Row],[Итого остаток на начало периода]]&lt;1,0,
IF(
AND(TYPE(VLOOKUP(1,$Z$12:Z1165,1,0))=16,Первоначальный[[#This Row],[Досрочное погашение (да/"")]]=""),0,
_xlfn.IFS(AND(S1164=0,Первоначальный[[#This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платеж]]&lt;&gt;0),MIN(LOOKUP(,-1/($Z$12:Z1165=1),$C$12:C1165)+LOOKUP(,-1/($Z$12:Z1165=1),$H$12:H1165),Первоначальный[[#This Row],[Полученный платеж]]+Y1164),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платеж]]+Y1164,SUM(Первоначальный[[#This Row],[Остаток процентов на начало периода]],Первоначальный[[#This Row],[Проценты за период]])),
AND(S1164=0,Первоначальный[[#This Row],[Дата платежа из графика]]=""),0,
AND(S1164=0,Первоначальный[[#This Row],[Дата платежа из графика]]=1,MAX((0&lt;&gt;S$12:S1164)*ROW(S$12:S1164),ROW($S$12))&gt;=MAX((1=Z$12:Z1164)*ROW(Z$12:Z1164),ROW($T$12)),TYPE(VLOOKUP("Да",(INDIRECT("AA"&amp;(MAX((1=Z$12:Z1164)*ROW(Z$12:Z1164),ROW($T$12))&amp;":AA"&amp;(ROW()-1)))),1,0))=16),MIN(LOOKUP(,-1/($Z$12:Z1165=1),$C$12:C1165)+LOOKUP(,-1/($Z$12:Z1165=1),$H$12:H1165),Первоначальный[[#This Row],[Полученный платеж]]+Y1164),
AND(S1164=0,TYPE(VLOOKUP("Да",(INDIRECT("AA"&amp;(MAX((1=Z$12:Z1164)*ROW(Z$12:Z1164),ROW($T$12))&amp;":AA"&amp;(ROW()-1)))),1,0))&lt;&gt;16),MIN(LOOKUP(,-1/($Z$12:Z1165=1),$C$12:C1165)+LOOKUP(,-1/($Z$12:Z1165=1),$H$12:H1165)-IF(AA1164="Да",0,SUM(INDIRECT("T"&amp;(MAX(("Да"=AA$12:AA1164)*ROW(AA$12:AA1164)+1,ROW($T$12))&amp;":T"&amp;(ROW()-1))))),Первоначальный[[#This Row],[Полученный платеж]]+Y1164),
AND(S1164=0,MAX((0&lt;&gt;N$12:N1164)*ROW(N$12:N1164),ROW($S$12))&gt;=MAX((1=Z$12:Z1164)*ROW(Z$12:Z1164),ROW($T$12))),MIN(LOOKUP(,-1/($Z$12:Z1165=1),$C$12:C1165)+LOOKUP(,-1/($Z$12:Z1165=1),$H$12:H1165)-IF(N1164&lt;&gt;0,0,SUM(INDIRECT("T"&amp;(MAX((0&lt;&gt;N$12:N1164)*ROW(N$12:N1164)+1,ROW($T$12))&amp;":T"&amp;(ROW()-1))))),Первоначальный[[#This Row],[Полученный платеж]]+Y1164),
AND(S1164=0,Первоначальный[[#This Row],[Дата платежа из графика]]=1),MIN(LOOKUP(,-1/($Z$12:Z1165=1),$C$12:C1165)+LOOKUP(,-1/($Z$12:Z1165=1),$H$12:H1165)-IF(Z1164=1,0,SUM(INDIRECT("T"&amp;(MAX((1=Z$12:Z1164)*ROW(Z$12:Z1164)+1,ROW($T$12))&amp;":T"&amp;(ROW()-1))))),Первоначальный[[#This Row],[Полученный платеж]]+Y1164),
AND(Z1164&gt;0,Первоначальный[[#This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платеж]]+Y1164),
AND(S1164&gt;0,MAX((0&lt;&gt;S$12:S1164)*ROW(S$12:S1164),ROW($S$12))&gt;=MAX((1=Z$12:Z1164)*ROW(Z$12:Z1164),ROW($T$12)),TYPE(VLOOKUP("Да",(INDIRECT("AA"&amp;(MAX((1=Z$12:Z1164)*ROW(Z$12:Z1164),ROW($T$12))&amp;":AA"&amp;(ROW()-1)))),1,0))=16),MIN(LOOKUP(,-1/($Z$12:Z1165=1),$C$12:C1165)+LOOKUP(,-1/($Z$12:Z1165=1),$H$12:H1165)-SUM(INDIRECT("T"&amp;(MAX((1=Z$12:Z1164)*ROW(Z$12:Z1164),ROW($T$12))&amp;":T"&amp;(ROW()-1)))),Первоначальный[[#This Row],[Полученный платеж]]+Y1164),
S1164&gt;0,MIN(LOOKUP(,-1/($Z$12:Z1165=1),$C$12:C1165)+LOOKUP(,-1/($Z$12:Z1165=1),$H$12:H1165)-IF(Z1164=1,0,SUM(INDIRECT("T"&amp;(MAX((1=Z$12:Z1164)*ROW(Z$12:Z1164)+1,ROW($T$12))&amp;":T"&amp;(ROW()-1))))),Первоначальный[[#This Row],[Полученный платеж]]+Y1164)
)
)
)</f>
        <v>0</v>
      </c>
      <c r="U116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платеж]]+Y1164-Первоначальный[[#This Row],[Полученный платёж по процентам]])</f>
        <v>0</v>
      </c>
      <c r="V1165" s="55">
        <f t="shared" ref="V1165:V1228" ca="1" si="219">MAX(MIN(SUM(O1165,Y1164)-SUM(T1165:T1165),SUM(E1165,J1165)),0)</f>
        <v>0</v>
      </c>
      <c r="W1165" s="55" cm="1">
        <f t="array" aca="1" ref="W1165" ca="1">IF(Первоначальный[[#This Row],[Итого остаток на начало периода]]&lt;1,0,
_xlfn.IFS(
AND(TYPE(VLOOKUP(1,$Z$12:Z1165,1,0))=16,Первоначальный[[#This Row],[Досрочное погашение (да/"")]]=""),0,
AND(S1164=0,Первоначальный[[#This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платеж]]+Y1164-SUM(Первоначальный[[#This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комиссиям]]),VLOOKUP(LOOKUP(,-1/($Z$12:Z1165=1),$A$12:A1165),График[[Срок конец]:[Возврат основной суммы долга]],3,0)),
AND(S1164=0,Первоначальный[[#This Row],[Дата платежа из графика]]="",Первоначальный[[#This Row],[Досрочное погашение (да/"")]]&lt;&gt;"Да"),0,
AND(S1164=0,Первоначальный[[#This Row],[Досрочное погашение (да/"")]]=""),MIN(Первоначальный[[#This Row],[Полученный платеж]]+Y1164-SUM(Первоначальный[[#This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комиссиям]]),VLOOKUP(LOOKUP(,-1/($Z$12:Z1165=1),$A$12:A1165),График[[Срок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платеж]]+Y1164-SUM(Первоначальный[[#This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S1164&gt;0,MIN(Первоначальный[[#This Row],[Полученный платеж]]+Y1164-SUM(Первоначальный[[#This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комиссиям]]),SUM(INDIRECT("M"&amp;(MAX((1=S$12:S1164)*ROW(S$12:S1164),ROW($W$12))&amp;":M"&amp;(ROW()))))-SUM(INDIRECT("W"&amp;(MAX((1=S$12:S1164)*ROW(S$12:S1164),ROW($W$12))&amp;":W"&amp;(ROW()-1)))))
)
)</f>
        <v>0</v>
      </c>
      <c r="X1165" s="55">
        <f t="shared" ref="X1165:X1228" ca="1" si="220">MAX(MIN(SUM(O1165,Y1164)-SUM(T1165:W1165),SUM(F1165,K1165)),0)</f>
        <v>0</v>
      </c>
      <c r="Y1165" s="101">
        <f t="shared" ca="1" si="215"/>
        <v>0</v>
      </c>
      <c r="Z1165" s="133" t="str">
        <f>IF(TYPE((VLOOKUP(Первоначальный[[#This Row],[Дата платежа]],График[Срок конец],1,0)))=16,"",1)</f>
        <v/>
      </c>
      <c r="AA1165" s="57"/>
      <c r="AB1165" s="134"/>
      <c r="AC116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6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83693.02999999997</v>
      </c>
      <c r="AE116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5296.8299999999845</v>
      </c>
      <c r="AF116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6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276172.88197868789</v>
      </c>
      <c r="AH1165" s="55"/>
      <c r="AI1165" s="55"/>
      <c r="AJ1165" s="55"/>
      <c r="AK1165" s="101">
        <f t="shared" ca="1" si="216"/>
        <v>514796.08197868784</v>
      </c>
      <c r="AL1165" s="129">
        <f t="array" ref="AL1165">MAX((УслРестрактов[Характеристика]="Дата реструктуризации")*(УслРестрактов[Значение]=Первоначальный!$A1165),0)</f>
        <v>0</v>
      </c>
    </row>
    <row r="1166" spans="1:38" x14ac:dyDescent="0.25">
      <c r="A1166" s="97">
        <f t="shared" ref="A1166:A1229" si="221">A1165+1</f>
        <v>45297</v>
      </c>
      <c r="B1166" s="100">
        <f t="shared" ref="B1166:B1229" ca="1" si="222">AC1165</f>
        <v>149633.34</v>
      </c>
      <c r="C1166" s="55">
        <f t="shared" ca="1" si="218"/>
        <v>83693.02999999997</v>
      </c>
      <c r="D1166" s="55">
        <f t="shared" ca="1" si="218"/>
        <v>5296.8299999999845</v>
      </c>
      <c r="E1166" s="55">
        <f t="shared" ref="E1166:E1229" ca="1" si="223">AF1165</f>
        <v>0</v>
      </c>
      <c r="F1166" s="55">
        <f t="shared" ref="F1166:F1229" ca="1" si="224">AG1165+AH1165</f>
        <v>276172.88197868789</v>
      </c>
      <c r="G1166" s="101">
        <f t="shared" ref="G1166:G1229" ca="1" si="225">AK1165</f>
        <v>514796.08197868784</v>
      </c>
      <c r="H1166" s="100">
        <f ca="1">ROUND($B1166*VLOOKUP($A1166,$A$1:$B$10,2,1)/(365+IF(MOD(YEAR($A1166),4),0,1)*($A1166-$A1165)),2)-Первоначальный[[#This Row],[Проценты на просроченный платеж по ОД за период]]</f>
        <v>70.7</v>
      </c>
      <c r="I1166" s="55">
        <f t="shared" ref="I1166:I1229" ca="1" si="226">ROUND(P1165*VLOOKUP($A1166,$A$1:$B$10,2,1)/(365+IF(MOD(YEAR($A1166),4),0,1)*($A1166-$A1165)),2)</f>
        <v>10.66</v>
      </c>
      <c r="J1166" s="55">
        <v>0</v>
      </c>
      <c r="K1166" s="55">
        <f t="shared" ca="1" si="217"/>
        <v>506.90850327868844</v>
      </c>
      <c r="L1166" s="55">
        <v>0</v>
      </c>
      <c r="M1166" s="113">
        <f>SUMIFS(График[Возврат основной суммы долга],График[Дата с учетом нерабочих дней],$A1166)</f>
        <v>0</v>
      </c>
      <c r="N1166" s="56">
        <f>SUMIFS(График[Возврат начисленных %],График[Дата с учетом нерабочих дней],$A1166)</f>
        <v>0</v>
      </c>
      <c r="O1166" s="101">
        <v>0</v>
      </c>
      <c r="P1166" s="100" cm="1">
        <f t="array" aca="1" ref="P1166" ca="1">MAX(IF(AA1165="Да",0,SUM(INDIRECT("M"&amp;(MAX(("Да"=AA$12:AA1165)*ROW(AA$12:AA1165)+1,ROW($P$12))&amp;":M"&amp;(ROW()))))-SUM(INDIRECT("W"&amp;(MAX(("Да"=AA$12:AA1165)*ROW(AA$12:AA1165)+1,ROW($P$12))&amp;":W"&amp;(ROW()))))),0)</f>
        <v>19605.71</v>
      </c>
      <c r="Q1166" s="99">
        <f ca="1">MAX(SUM($N$13:N1166)-SUM($T$13:T1166),0)</f>
        <v>81775.990655737682</v>
      </c>
      <c r="R1166" s="99">
        <f ca="1">Первоначальный[[#This Row],[Просроченный платеж по ОД]]+Первоначальный[[#This Row],[Просроченный платеж по процентам]]</f>
        <v>101381.70065573769</v>
      </c>
      <c r="S1166" s="120">
        <f ca="1">IF(Первоначальный[[#This Row],[Просроченный платеж]]&lt;1,0,S1165+1)</f>
        <v>1062</v>
      </c>
      <c r="T1166" s="100" cm="1">
        <f t="array" aca="1" ref="T1166" ca="1">IF(Первоначальный[[#This Row],[Итого остаток на начало периода]]&lt;1,0,
IF(
AND(TYPE(VLOOKUP(1,$Z$12:Z1166,1,0))=16,Первоначальный[[#This Row],[Досрочное погашение (да/"")]]=""),0,
_xlfn.IFS(AND(S1165=0,Первоначальный[[#This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платеж]]&lt;&gt;0),MIN(LOOKUP(,-1/($Z$12:Z1166=1),$C$12:C1166)+LOOKUP(,-1/($Z$12:Z1166=1),$H$12:H1166),Первоначальный[[#This Row],[Полученный платеж]]+Y1165),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платеж]]+Y1165,SUM(Первоначальный[[#This Row],[Остаток процентов на начало периода]],Первоначальный[[#This Row],[Проценты за период]])),
AND(S1165=0,Первоначальный[[#This Row],[Дата платежа из графика]]=""),0,
AND(S1165=0,Первоначальный[[#This Row],[Дата платежа из графика]]=1,MAX((0&lt;&gt;S$12:S1165)*ROW(S$12:S1165),ROW($S$12))&gt;=MAX((1=Z$12:Z1165)*ROW(Z$12:Z1165),ROW($T$12)),TYPE(VLOOKUP("Да",(INDIRECT("AA"&amp;(MAX((1=Z$12:Z1165)*ROW(Z$12:Z1165),ROW($T$12))&amp;":AA"&amp;(ROW()-1)))),1,0))=16),MIN(LOOKUP(,-1/($Z$12:Z1166=1),$C$12:C1166)+LOOKUP(,-1/($Z$12:Z1166=1),$H$12:H1166),Первоначальный[[#This Row],[Полученный платеж]]+Y1165),
AND(S1165=0,TYPE(VLOOKUP("Да",(INDIRECT("AA"&amp;(MAX((1=Z$12:Z1165)*ROW(Z$12:Z1165),ROW($T$12))&amp;":AA"&amp;(ROW()-1)))),1,0))&lt;&gt;16),MIN(LOOKUP(,-1/($Z$12:Z1166=1),$C$12:C1166)+LOOKUP(,-1/($Z$12:Z1166=1),$H$12:H1166)-IF(AA1165="Да",0,SUM(INDIRECT("T"&amp;(MAX(("Да"=AA$12:AA1165)*ROW(AA$12:AA1165)+1,ROW($T$12))&amp;":T"&amp;(ROW()-1))))),Первоначальный[[#This Row],[Полученный платеж]]+Y1165),
AND(S1165=0,MAX((0&lt;&gt;N$12:N1165)*ROW(N$12:N1165),ROW($S$12))&gt;=MAX((1=Z$12:Z1165)*ROW(Z$12:Z1165),ROW($T$12))),MIN(LOOKUP(,-1/($Z$12:Z1166=1),$C$12:C1166)+LOOKUP(,-1/($Z$12:Z1166=1),$H$12:H1166)-IF(N1165&lt;&gt;0,0,SUM(INDIRECT("T"&amp;(MAX((0&lt;&gt;N$12:N1165)*ROW(N$12:N1165)+1,ROW($T$12))&amp;":T"&amp;(ROW()-1))))),Первоначальный[[#This Row],[Полученный платеж]]+Y1165),
AND(S1165=0,Первоначальный[[#This Row],[Дата платежа из графика]]=1),MIN(LOOKUP(,-1/($Z$12:Z1166=1),$C$12:C1166)+LOOKUP(,-1/($Z$12:Z1166=1),$H$12:H1166)-IF(Z1165=1,0,SUM(INDIRECT("T"&amp;(MAX((1=Z$12:Z1165)*ROW(Z$12:Z1165)+1,ROW($T$12))&amp;":T"&amp;(ROW()-1))))),Первоначальный[[#This Row],[Полученный платеж]]+Y1165),
AND(Z1165&gt;0,Первоначальный[[#This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платеж]]+Y1165),
AND(S1165&gt;0,MAX((0&lt;&gt;S$12:S1165)*ROW(S$12:S1165),ROW($S$12))&gt;=MAX((1=Z$12:Z1165)*ROW(Z$12:Z1165),ROW($T$12)),TYPE(VLOOKUP("Да",(INDIRECT("AA"&amp;(MAX((1=Z$12:Z1165)*ROW(Z$12:Z1165),ROW($T$12))&amp;":AA"&amp;(ROW()-1)))),1,0))=16),MIN(LOOKUP(,-1/($Z$12:Z1166=1),$C$12:C1166)+LOOKUP(,-1/($Z$12:Z1166=1),$H$12:H1166)-SUM(INDIRECT("T"&amp;(MAX((1=Z$12:Z1165)*ROW(Z$12:Z1165),ROW($T$12))&amp;":T"&amp;(ROW()-1)))),Первоначальный[[#This Row],[Полученный платеж]]+Y1165),
S1165&gt;0,MIN(LOOKUP(,-1/($Z$12:Z1166=1),$C$12:C1166)+LOOKUP(,-1/($Z$12:Z1166=1),$H$12:H1166)-IF(Z1165=1,0,SUM(INDIRECT("T"&amp;(MAX((1=Z$12:Z1165)*ROW(Z$12:Z1165)+1,ROW($T$12))&amp;":T"&amp;(ROW()-1))))),Первоначальный[[#This Row],[Полученный платеж]]+Y1165)
)
)
)</f>
        <v>0</v>
      </c>
      <c r="U116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платеж]]+Y1165-Первоначальный[[#This Row],[Полученный платёж по процентам]])</f>
        <v>0</v>
      </c>
      <c r="V1166" s="55">
        <f t="shared" ca="1" si="219"/>
        <v>0</v>
      </c>
      <c r="W1166" s="55" cm="1">
        <f t="array" aca="1" ref="W1166" ca="1">IF(Первоначальный[[#This Row],[Итого остаток на начало периода]]&lt;1,0,
_xlfn.IFS(
AND(TYPE(VLOOKUP(1,$Z$12:Z1166,1,0))=16,Первоначальный[[#This Row],[Досрочное погашение (да/"")]]=""),0,
AND(S1165=0,Первоначальный[[#This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платеж]]+Y1165-SUM(Первоначальный[[#This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комиссиям]]),VLOOKUP(LOOKUP(,-1/($Z$12:Z1166=1),$A$12:A1166),График[[Срок конец]:[Возврат основной суммы долга]],3,0)),
AND(S1165=0,Первоначальный[[#This Row],[Дата платежа из графика]]="",Первоначальный[[#This Row],[Досрочное погашение (да/"")]]&lt;&gt;"Да"),0,
AND(S1165=0,Первоначальный[[#This Row],[Досрочное погашение (да/"")]]=""),MIN(Первоначальный[[#This Row],[Полученный платеж]]+Y1165-SUM(Первоначальный[[#This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комиссиям]]),VLOOKUP(LOOKUP(,-1/($Z$12:Z1166=1),$A$12:A1166),График[[Срок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платеж]]+Y1165-SUM(Первоначальный[[#This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S1165&gt;0,MIN(Первоначальный[[#This Row],[Полученный платеж]]+Y1165-SUM(Первоначальный[[#This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комиссиям]]),SUM(INDIRECT("M"&amp;(MAX((1=S$12:S1165)*ROW(S$12:S1165),ROW($W$12))&amp;":M"&amp;(ROW()))))-SUM(INDIRECT("W"&amp;(MAX((1=S$12:S1165)*ROW(S$12:S1165),ROW($W$12))&amp;":W"&amp;(ROW()-1)))))
)
)</f>
        <v>0</v>
      </c>
      <c r="X1166" s="55">
        <f t="shared" ca="1" si="220"/>
        <v>0</v>
      </c>
      <c r="Y1166" s="101">
        <f t="shared" ref="Y1166:Y1229" ca="1" si="227">ROUND(Y1165+O1166-SUM(T1166:X1166),2)</f>
        <v>0</v>
      </c>
      <c r="Z1166" s="133" t="str">
        <f>IF(TYPE((VLOOKUP(Первоначальный[[#This Row],[Дата платежа]],График[Срок конец],1,0)))=16,"",1)</f>
        <v/>
      </c>
      <c r="AA1166" s="57"/>
      <c r="AB1166" s="134"/>
      <c r="AC116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6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83763.729999999967</v>
      </c>
      <c r="AE116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5307.4899999999843</v>
      </c>
      <c r="AF116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6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276679.79048196657</v>
      </c>
      <c r="AH1166" s="55"/>
      <c r="AI1166" s="55"/>
      <c r="AJ1166" s="55"/>
      <c r="AK1166" s="101">
        <f t="shared" ref="AK1166:AK1229" ca="1" si="228">SUM(AC1166:AJ1166)</f>
        <v>515384.35048196651</v>
      </c>
      <c r="AL1166" s="129">
        <f t="array" ref="AL1166">MAX((УслРестрактов[Характеристика]="Дата реструктуризации")*(УслРестрактов[Значение]=Первоначальный!$A1166),0)</f>
        <v>0</v>
      </c>
    </row>
    <row r="1167" spans="1:38" x14ac:dyDescent="0.25">
      <c r="A1167" s="97">
        <f t="shared" si="221"/>
        <v>45298</v>
      </c>
      <c r="B1167" s="100">
        <f t="shared" ca="1" si="222"/>
        <v>149633.34</v>
      </c>
      <c r="C1167" s="55">
        <f t="shared" ca="1" si="218"/>
        <v>83763.729999999967</v>
      </c>
      <c r="D1167" s="55">
        <f t="shared" ca="1" si="218"/>
        <v>5307.4899999999843</v>
      </c>
      <c r="E1167" s="55">
        <f t="shared" ca="1" si="223"/>
        <v>0</v>
      </c>
      <c r="F1167" s="55">
        <f t="shared" ca="1" si="224"/>
        <v>276679.79048196657</v>
      </c>
      <c r="G1167" s="101">
        <f t="shared" ca="1" si="225"/>
        <v>515384.35048196651</v>
      </c>
      <c r="H1167" s="100">
        <f ca="1">ROUND($B1167*VLOOKUP($A1167,$A$1:$B$10,2,1)/(365+IF(MOD(YEAR($A1167),4),0,1)*($A1167-$A1166)),2)-Первоначальный[[#This Row],[Проценты на просроченный платеж по ОД за период]]</f>
        <v>70.7</v>
      </c>
      <c r="I1167" s="55">
        <f t="shared" ca="1" si="226"/>
        <v>10.66</v>
      </c>
      <c r="J1167" s="55">
        <v>0</v>
      </c>
      <c r="K1167" s="55">
        <f t="shared" ref="K1167:K1230" ca="1" si="229">IF(S1167&lt;&gt;0,R1167*$B$7,0)</f>
        <v>506.90850327868844</v>
      </c>
      <c r="L1167" s="55">
        <v>0</v>
      </c>
      <c r="M1167" s="113">
        <f>SUMIFS(График[Возврат основной суммы долга],График[Дата с учетом нерабочих дней],$A1167)</f>
        <v>0</v>
      </c>
      <c r="N1167" s="56">
        <f>SUMIFS(График[Возврат начисленных %],График[Дата с учетом нерабочих дней],$A1167)</f>
        <v>0</v>
      </c>
      <c r="O1167" s="101">
        <v>0</v>
      </c>
      <c r="P1167" s="100" cm="1">
        <f t="array" aca="1" ref="P1167" ca="1">MAX(IF(AA1166="Да",0,SUM(INDIRECT("M"&amp;(MAX(("Да"=AA$12:AA1166)*ROW(AA$12:AA1166)+1,ROW($P$12))&amp;":M"&amp;(ROW()))))-SUM(INDIRECT("W"&amp;(MAX(("Да"=AA$12:AA1166)*ROW(AA$12:AA1166)+1,ROW($P$12))&amp;":W"&amp;(ROW()))))),0)</f>
        <v>19605.71</v>
      </c>
      <c r="Q1167" s="99">
        <f ca="1">MAX(SUM($N$13:N1167)-SUM($T$13:T1167),0)</f>
        <v>81775.990655737682</v>
      </c>
      <c r="R1167" s="99">
        <f ca="1">Первоначальный[[#This Row],[Просроченный платеж по ОД]]+Первоначальный[[#This Row],[Просроченный платеж по процентам]]</f>
        <v>101381.70065573769</v>
      </c>
      <c r="S1167" s="120">
        <f ca="1">IF(Первоначальный[[#This Row],[Просроченный платеж]]&lt;1,0,S1166+1)</f>
        <v>1063</v>
      </c>
      <c r="T1167" s="100" cm="1">
        <f t="array" aca="1" ref="T1167" ca="1">IF(Первоначальный[[#This Row],[Итого остаток на начало периода]]&lt;1,0,
IF(
AND(TYPE(VLOOKUP(1,$Z$12:Z1167,1,0))=16,Первоначальный[[#This Row],[Досрочное погашение (да/"")]]=""),0,
_xlfn.IFS(AND(S1166=0,Первоначальный[[#This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платеж]]&lt;&gt;0),MIN(LOOKUP(,-1/($Z$12:Z1167=1),$C$12:C1167)+LOOKUP(,-1/($Z$12:Z1167=1),$H$12:H1167),Первоначальный[[#This Row],[Полученный платеж]]+Y1166),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платеж]]+Y1166,SUM(Первоначальный[[#This Row],[Остаток процентов на начало периода]],Первоначальный[[#This Row],[Проценты за период]])),
AND(S1166=0,Первоначальный[[#This Row],[Дата платежа из графика]]=""),0,
AND(S1166=0,Первоначальный[[#This Row],[Дата платежа из графика]]=1,MAX((0&lt;&gt;S$12:S1166)*ROW(S$12:S1166),ROW($S$12))&gt;=MAX((1=Z$12:Z1166)*ROW(Z$12:Z1166),ROW($T$12)),TYPE(VLOOKUP("Да",(INDIRECT("AA"&amp;(MAX((1=Z$12:Z1166)*ROW(Z$12:Z1166),ROW($T$12))&amp;":AA"&amp;(ROW()-1)))),1,0))=16),MIN(LOOKUP(,-1/($Z$12:Z1167=1),$C$12:C1167)+LOOKUP(,-1/($Z$12:Z1167=1),$H$12:H1167),Первоначальный[[#This Row],[Полученный платеж]]+Y1166),
AND(S1166=0,TYPE(VLOOKUP("Да",(INDIRECT("AA"&amp;(MAX((1=Z$12:Z1166)*ROW(Z$12:Z1166),ROW($T$12))&amp;":AA"&amp;(ROW()-1)))),1,0))&lt;&gt;16),MIN(LOOKUP(,-1/($Z$12:Z1167=1),$C$12:C1167)+LOOKUP(,-1/($Z$12:Z1167=1),$H$12:H1167)-IF(AA1166="Да",0,SUM(INDIRECT("T"&amp;(MAX(("Да"=AA$12:AA1166)*ROW(AA$12:AA1166)+1,ROW($T$12))&amp;":T"&amp;(ROW()-1))))),Первоначальный[[#This Row],[Полученный платеж]]+Y1166),
AND(S1166=0,MAX((0&lt;&gt;N$12:N1166)*ROW(N$12:N1166),ROW($S$12))&gt;=MAX((1=Z$12:Z1166)*ROW(Z$12:Z1166),ROW($T$12))),MIN(LOOKUP(,-1/($Z$12:Z1167=1),$C$12:C1167)+LOOKUP(,-1/($Z$12:Z1167=1),$H$12:H1167)-IF(N1166&lt;&gt;0,0,SUM(INDIRECT("T"&amp;(MAX((0&lt;&gt;N$12:N1166)*ROW(N$12:N1166)+1,ROW($T$12))&amp;":T"&amp;(ROW()-1))))),Первоначальный[[#This Row],[Полученный платеж]]+Y1166),
AND(S1166=0,Первоначальный[[#This Row],[Дата платежа из графика]]=1),MIN(LOOKUP(,-1/($Z$12:Z1167=1),$C$12:C1167)+LOOKUP(,-1/($Z$12:Z1167=1),$H$12:H1167)-IF(Z1166=1,0,SUM(INDIRECT("T"&amp;(MAX((1=Z$12:Z1166)*ROW(Z$12:Z1166)+1,ROW($T$12))&amp;":T"&amp;(ROW()-1))))),Первоначальный[[#This Row],[Полученный платеж]]+Y1166),
AND(Z1166&gt;0,Первоначальный[[#This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платеж]]+Y1166),
AND(S1166&gt;0,MAX((0&lt;&gt;S$12:S1166)*ROW(S$12:S1166),ROW($S$12))&gt;=MAX((1=Z$12:Z1166)*ROW(Z$12:Z1166),ROW($T$12)),TYPE(VLOOKUP("Да",(INDIRECT("AA"&amp;(MAX((1=Z$12:Z1166)*ROW(Z$12:Z1166),ROW($T$12))&amp;":AA"&amp;(ROW()-1)))),1,0))=16),MIN(LOOKUP(,-1/($Z$12:Z1167=1),$C$12:C1167)+LOOKUP(,-1/($Z$12:Z1167=1),$H$12:H1167)-SUM(INDIRECT("T"&amp;(MAX((1=Z$12:Z1166)*ROW(Z$12:Z1166),ROW($T$12))&amp;":T"&amp;(ROW()-1)))),Первоначальный[[#This Row],[Полученный платеж]]+Y1166),
S1166&gt;0,MIN(LOOKUP(,-1/($Z$12:Z1167=1),$C$12:C1167)+LOOKUP(,-1/($Z$12:Z1167=1),$H$12:H1167)-IF(Z1166=1,0,SUM(INDIRECT("T"&amp;(MAX((1=Z$12:Z1166)*ROW(Z$12:Z1166)+1,ROW($T$12))&amp;":T"&amp;(ROW()-1))))),Первоначальный[[#This Row],[Полученный платеж]]+Y1166)
)
)
)</f>
        <v>0</v>
      </c>
      <c r="U116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платеж]]+Y1166-Первоначальный[[#This Row],[Полученный платёж по процентам]])</f>
        <v>0</v>
      </c>
      <c r="V1167" s="55">
        <f t="shared" ca="1" si="219"/>
        <v>0</v>
      </c>
      <c r="W1167" s="55" cm="1">
        <f t="array" aca="1" ref="W1167" ca="1">IF(Первоначальный[[#This Row],[Итого остаток на начало периода]]&lt;1,0,
_xlfn.IFS(
AND(TYPE(VLOOKUP(1,$Z$12:Z1167,1,0))=16,Первоначальный[[#This Row],[Досрочное погашение (да/"")]]=""),0,
AND(S1166=0,Первоначальный[[#This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платеж]]+Y1166-SUM(Первоначальный[[#This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комиссиям]]),VLOOKUP(LOOKUP(,-1/($Z$12:Z1167=1),$A$12:A1167),График[[Срок конец]:[Возврат основной суммы долга]],3,0)),
AND(S1166=0,Первоначальный[[#This Row],[Дата платежа из графика]]="",Первоначальный[[#This Row],[Досрочное погашение (да/"")]]&lt;&gt;"Да"),0,
AND(S1166=0,Первоначальный[[#This Row],[Досрочное погашение (да/"")]]=""),MIN(Первоначальный[[#This Row],[Полученный платеж]]+Y1166-SUM(Первоначальный[[#This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комиссиям]]),VLOOKUP(LOOKUP(,-1/($Z$12:Z1167=1),$A$12:A1167),График[[Срок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платеж]]+Y1166-SUM(Первоначальный[[#This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S1166&gt;0,MIN(Первоначальный[[#This Row],[Полученный платеж]]+Y1166-SUM(Первоначальный[[#This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комиссиям]]),SUM(INDIRECT("M"&amp;(MAX((1=S$12:S1166)*ROW(S$12:S1166),ROW($W$12))&amp;":M"&amp;(ROW()))))-SUM(INDIRECT("W"&amp;(MAX((1=S$12:S1166)*ROW(S$12:S1166),ROW($W$12))&amp;":W"&amp;(ROW()-1)))))
)
)</f>
        <v>0</v>
      </c>
      <c r="X1167" s="55">
        <f t="shared" ca="1" si="220"/>
        <v>0</v>
      </c>
      <c r="Y1167" s="101">
        <f t="shared" ca="1" si="227"/>
        <v>0</v>
      </c>
      <c r="Z1167" s="133" t="str">
        <f>IF(TYPE((VLOOKUP(Первоначальный[[#This Row],[Дата платежа]],График[Срок конец],1,0)))=16,"",1)</f>
        <v/>
      </c>
      <c r="AA1167" s="57"/>
      <c r="AB1167" s="134"/>
      <c r="AC116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6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83834.429999999964</v>
      </c>
      <c r="AE116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5318.1499999999842</v>
      </c>
      <c r="AF116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6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277186.69898524525</v>
      </c>
      <c r="AH1167" s="55"/>
      <c r="AI1167" s="55"/>
      <c r="AJ1167" s="55"/>
      <c r="AK1167" s="101">
        <f t="shared" ca="1" si="228"/>
        <v>515972.61898524524</v>
      </c>
      <c r="AL1167" s="129">
        <f t="array" ref="AL1167">MAX((УслРестрактов[Характеристика]="Дата реструктуризации")*(УслРестрактов[Значение]=Первоначальный!$A1167),0)</f>
        <v>0</v>
      </c>
    </row>
    <row r="1168" spans="1:38" x14ac:dyDescent="0.25">
      <c r="A1168" s="97">
        <f t="shared" si="221"/>
        <v>45299</v>
      </c>
      <c r="B1168" s="100">
        <f t="shared" ca="1" si="222"/>
        <v>149633.34</v>
      </c>
      <c r="C1168" s="55">
        <f t="shared" ca="1" si="218"/>
        <v>83834.429999999964</v>
      </c>
      <c r="D1168" s="55">
        <f t="shared" ca="1" si="218"/>
        <v>5318.1499999999842</v>
      </c>
      <c r="E1168" s="55">
        <f t="shared" ca="1" si="223"/>
        <v>0</v>
      </c>
      <c r="F1168" s="55">
        <f t="shared" ca="1" si="224"/>
        <v>277186.69898524525</v>
      </c>
      <c r="G1168" s="101">
        <f t="shared" ca="1" si="225"/>
        <v>515972.61898524524</v>
      </c>
      <c r="H1168" s="100">
        <f ca="1">ROUND($B1168*VLOOKUP($A1168,$A$1:$B$10,2,1)/(365+IF(MOD(YEAR($A1168),4),0,1)*($A1168-$A1167)),2)-Первоначальный[[#This Row],[Проценты на просроченный платеж по ОД за период]]</f>
        <v>70.7</v>
      </c>
      <c r="I1168" s="55">
        <f t="shared" ca="1" si="226"/>
        <v>10.66</v>
      </c>
      <c r="J1168" s="55">
        <v>0</v>
      </c>
      <c r="K1168" s="55">
        <f t="shared" ca="1" si="229"/>
        <v>506.90850327868844</v>
      </c>
      <c r="L1168" s="55">
        <v>0</v>
      </c>
      <c r="M1168" s="113">
        <f>SUMIFS(График[Возврат основной суммы долга],График[Дата с учетом нерабочих дней],$A1168)</f>
        <v>0</v>
      </c>
      <c r="N1168" s="56">
        <f>SUMIFS(График[Возврат начисленных %],График[Дата с учетом нерабочих дней],$A1168)</f>
        <v>0</v>
      </c>
      <c r="O1168" s="101">
        <v>0</v>
      </c>
      <c r="P1168" s="100" cm="1">
        <f t="array" aca="1" ref="P1168" ca="1">MAX(IF(AA1167="Да",0,SUM(INDIRECT("M"&amp;(MAX(("Да"=AA$12:AA1167)*ROW(AA$12:AA1167)+1,ROW($P$12))&amp;":M"&amp;(ROW()))))-SUM(INDIRECT("W"&amp;(MAX(("Да"=AA$12:AA1167)*ROW(AA$12:AA1167)+1,ROW($P$12))&amp;":W"&amp;(ROW()))))),0)</f>
        <v>19605.71</v>
      </c>
      <c r="Q1168" s="99">
        <f ca="1">MAX(SUM($N$13:N1168)-SUM($T$13:T1168),0)</f>
        <v>81775.990655737682</v>
      </c>
      <c r="R1168" s="99">
        <f ca="1">Первоначальный[[#This Row],[Просроченный платеж по ОД]]+Первоначальный[[#This Row],[Просроченный платеж по процентам]]</f>
        <v>101381.70065573769</v>
      </c>
      <c r="S1168" s="120">
        <f ca="1">IF(Первоначальный[[#This Row],[Просроченный платеж]]&lt;1,0,S1167+1)</f>
        <v>1064</v>
      </c>
      <c r="T1168" s="100" cm="1">
        <f t="array" aca="1" ref="T1168" ca="1">IF(Первоначальный[[#This Row],[Итого остаток на начало периода]]&lt;1,0,
IF(
AND(TYPE(VLOOKUP(1,$Z$12:Z1168,1,0))=16,Первоначальный[[#This Row],[Досрочное погашение (да/"")]]=""),0,
_xlfn.IFS(AND(S1167=0,Первоначальный[[#This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платеж]]&lt;&gt;0),MIN(LOOKUP(,-1/($Z$12:Z1168=1),$C$12:C1168)+LOOKUP(,-1/($Z$12:Z1168=1),$H$12:H1168),Первоначальный[[#This Row],[Полученный платеж]]+Y1167),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платеж]]+Y1167,SUM(Первоначальный[[#This Row],[Остаток процентов на начало периода]],Первоначальный[[#This Row],[Проценты за период]])),
AND(S1167=0,Первоначальный[[#This Row],[Дата платежа из графика]]=""),0,
AND(S1167=0,Первоначальный[[#This Row],[Дата платежа из графика]]=1,MAX((0&lt;&gt;S$12:S1167)*ROW(S$12:S1167),ROW($S$12))&gt;=MAX((1=Z$12:Z1167)*ROW(Z$12:Z1167),ROW($T$12)),TYPE(VLOOKUP("Да",(INDIRECT("AA"&amp;(MAX((1=Z$12:Z1167)*ROW(Z$12:Z1167),ROW($T$12))&amp;":AA"&amp;(ROW()-1)))),1,0))=16),MIN(LOOKUP(,-1/($Z$12:Z1168=1),$C$12:C1168)+LOOKUP(,-1/($Z$12:Z1168=1),$H$12:H1168),Первоначальный[[#This Row],[Полученный платеж]]+Y1167),
AND(S1167=0,TYPE(VLOOKUP("Да",(INDIRECT("AA"&amp;(MAX((1=Z$12:Z1167)*ROW(Z$12:Z1167),ROW($T$12))&amp;":AA"&amp;(ROW()-1)))),1,0))&lt;&gt;16),MIN(LOOKUP(,-1/($Z$12:Z1168=1),$C$12:C1168)+LOOKUP(,-1/($Z$12:Z1168=1),$H$12:H1168)-IF(AA1167="Да",0,SUM(INDIRECT("T"&amp;(MAX(("Да"=AA$12:AA1167)*ROW(AA$12:AA1167)+1,ROW($T$12))&amp;":T"&amp;(ROW()-1))))),Первоначальный[[#This Row],[Полученный платеж]]+Y1167),
AND(S1167=0,MAX((0&lt;&gt;N$12:N1167)*ROW(N$12:N1167),ROW($S$12))&gt;=MAX((1=Z$12:Z1167)*ROW(Z$12:Z1167),ROW($T$12))),MIN(LOOKUP(,-1/($Z$12:Z1168=1),$C$12:C1168)+LOOKUP(,-1/($Z$12:Z1168=1),$H$12:H1168)-IF(N1167&lt;&gt;0,0,SUM(INDIRECT("T"&amp;(MAX((0&lt;&gt;N$12:N1167)*ROW(N$12:N1167)+1,ROW($T$12))&amp;":T"&amp;(ROW()-1))))),Первоначальный[[#This Row],[Полученный платеж]]+Y1167),
AND(S1167=0,Первоначальный[[#This Row],[Дата платежа из графика]]=1),MIN(LOOKUP(,-1/($Z$12:Z1168=1),$C$12:C1168)+LOOKUP(,-1/($Z$12:Z1168=1),$H$12:H1168)-IF(Z1167=1,0,SUM(INDIRECT("T"&amp;(MAX((1=Z$12:Z1167)*ROW(Z$12:Z1167)+1,ROW($T$12))&amp;":T"&amp;(ROW()-1))))),Первоначальный[[#This Row],[Полученный платеж]]+Y1167),
AND(Z1167&gt;0,Первоначальный[[#This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платеж]]+Y1167),
AND(S1167&gt;0,MAX((0&lt;&gt;S$12:S1167)*ROW(S$12:S1167),ROW($S$12))&gt;=MAX((1=Z$12:Z1167)*ROW(Z$12:Z1167),ROW($T$12)),TYPE(VLOOKUP("Да",(INDIRECT("AA"&amp;(MAX((1=Z$12:Z1167)*ROW(Z$12:Z1167),ROW($T$12))&amp;":AA"&amp;(ROW()-1)))),1,0))=16),MIN(LOOKUP(,-1/($Z$12:Z1168=1),$C$12:C1168)+LOOKUP(,-1/($Z$12:Z1168=1),$H$12:H1168)-SUM(INDIRECT("T"&amp;(MAX((1=Z$12:Z1167)*ROW(Z$12:Z1167),ROW($T$12))&amp;":T"&amp;(ROW()-1)))),Первоначальный[[#This Row],[Полученный платеж]]+Y1167),
S1167&gt;0,MIN(LOOKUP(,-1/($Z$12:Z1168=1),$C$12:C1168)+LOOKUP(,-1/($Z$12:Z1168=1),$H$12:H1168)-IF(Z1167=1,0,SUM(INDIRECT("T"&amp;(MAX((1=Z$12:Z1167)*ROW(Z$12:Z1167)+1,ROW($T$12))&amp;":T"&amp;(ROW()-1))))),Первоначальный[[#This Row],[Полученный платеж]]+Y1167)
)
)
)</f>
        <v>0</v>
      </c>
      <c r="U116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платеж]]+Y1167-Первоначальный[[#This Row],[Полученный платёж по процентам]])</f>
        <v>0</v>
      </c>
      <c r="V1168" s="55">
        <f t="shared" ca="1" si="219"/>
        <v>0</v>
      </c>
      <c r="W1168" s="55" cm="1">
        <f t="array" aca="1" ref="W1168" ca="1">IF(Первоначальный[[#This Row],[Итого остаток на начало периода]]&lt;1,0,
_xlfn.IFS(
AND(TYPE(VLOOKUP(1,$Z$12:Z1168,1,0))=16,Первоначальный[[#This Row],[Досрочное погашение (да/"")]]=""),0,
AND(S1167=0,Первоначальный[[#This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платеж]]+Y1167-SUM(Первоначальный[[#This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комиссиям]]),VLOOKUP(LOOKUP(,-1/($Z$12:Z1168=1),$A$12:A1168),График[[Срок конец]:[Возврат основной суммы долга]],3,0)),
AND(S1167=0,Первоначальный[[#This Row],[Дата платежа из графика]]="",Первоначальный[[#This Row],[Досрочное погашение (да/"")]]&lt;&gt;"Да"),0,
AND(S1167=0,Первоначальный[[#This Row],[Досрочное погашение (да/"")]]=""),MIN(Первоначальный[[#This Row],[Полученный платеж]]+Y1167-SUM(Первоначальный[[#This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комиссиям]]),VLOOKUP(LOOKUP(,-1/($Z$12:Z1168=1),$A$12:A1168),График[[Срок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платеж]]+Y1167-SUM(Первоначальный[[#This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S1167&gt;0,MIN(Первоначальный[[#This Row],[Полученный платеж]]+Y1167-SUM(Первоначальный[[#This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комиссиям]]),SUM(INDIRECT("M"&amp;(MAX((1=S$12:S1167)*ROW(S$12:S1167),ROW($W$12))&amp;":M"&amp;(ROW()))))-SUM(INDIRECT("W"&amp;(MAX((1=S$12:S1167)*ROW(S$12:S1167),ROW($W$12))&amp;":W"&amp;(ROW()-1)))))
)
)</f>
        <v>0</v>
      </c>
      <c r="X1168" s="55">
        <f t="shared" ca="1" si="220"/>
        <v>0</v>
      </c>
      <c r="Y1168" s="101">
        <f t="shared" ca="1" si="227"/>
        <v>0</v>
      </c>
      <c r="Z1168" s="133" t="str">
        <f>IF(TYPE((VLOOKUP(Первоначальный[[#This Row],[Дата платежа]],График[Срок конец],1,0)))=16,"",1)</f>
        <v/>
      </c>
      <c r="AA1168" s="57"/>
      <c r="AB1168" s="134"/>
      <c r="AC116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6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83905.129999999961</v>
      </c>
      <c r="AE116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5328.809999999984</v>
      </c>
      <c r="AF116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6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277693.60748852394</v>
      </c>
      <c r="AH1168" s="55"/>
      <c r="AI1168" s="55"/>
      <c r="AJ1168" s="55"/>
      <c r="AK1168" s="101">
        <f t="shared" ca="1" si="228"/>
        <v>516560.88748852391</v>
      </c>
      <c r="AL1168" s="129">
        <f t="array" ref="AL1168">MAX((УслРестрактов[Характеристика]="Дата реструктуризации")*(УслРестрактов[Значение]=Первоначальный!$A1168),0)</f>
        <v>0</v>
      </c>
    </row>
    <row r="1169" spans="1:38" x14ac:dyDescent="0.25">
      <c r="A1169" s="97">
        <f t="shared" si="221"/>
        <v>45300</v>
      </c>
      <c r="B1169" s="100">
        <f t="shared" ca="1" si="222"/>
        <v>149633.34</v>
      </c>
      <c r="C1169" s="55">
        <f t="shared" ca="1" si="218"/>
        <v>83905.129999999961</v>
      </c>
      <c r="D1169" s="55">
        <f t="shared" ca="1" si="218"/>
        <v>5328.809999999984</v>
      </c>
      <c r="E1169" s="55">
        <f t="shared" ca="1" si="223"/>
        <v>0</v>
      </c>
      <c r="F1169" s="55">
        <f t="shared" ca="1" si="224"/>
        <v>277693.60748852394</v>
      </c>
      <c r="G1169" s="101">
        <f t="shared" ca="1" si="225"/>
        <v>516560.88748852391</v>
      </c>
      <c r="H1169" s="100">
        <f ca="1">ROUND($B1169*VLOOKUP($A1169,$A$1:$B$10,2,1)/(365+IF(MOD(YEAR($A1169),4),0,1)*($A1169-$A1168)),2)-Первоначальный[[#This Row],[Проценты на просроченный платеж по ОД за период]]</f>
        <v>70.7</v>
      </c>
      <c r="I1169" s="55">
        <f t="shared" ca="1" si="226"/>
        <v>10.66</v>
      </c>
      <c r="J1169" s="55">
        <v>0</v>
      </c>
      <c r="K1169" s="55">
        <f t="shared" ca="1" si="229"/>
        <v>521.3935032786884</v>
      </c>
      <c r="L1169" s="55">
        <v>0</v>
      </c>
      <c r="M1169" s="113">
        <f>SUMIFS(График[Возврат основной суммы долга],График[Дата с учетом нерабочих дней],$A1169)</f>
        <v>701.09999999999991</v>
      </c>
      <c r="N1169" s="56">
        <f>SUMIFS(График[Возврат начисленных %],График[Дата с учетом нерабочих дней],$A1169)</f>
        <v>2195.9</v>
      </c>
      <c r="O1169" s="101">
        <v>0</v>
      </c>
      <c r="P1169" s="100" cm="1">
        <f t="array" aca="1" ref="P1169" ca="1">MAX(IF(AA1168="Да",0,SUM(INDIRECT("M"&amp;(MAX(("Да"=AA$12:AA1168)*ROW(AA$12:AA1168)+1,ROW($P$12))&amp;":M"&amp;(ROW()))))-SUM(INDIRECT("W"&amp;(MAX(("Да"=AA$12:AA1168)*ROW(AA$12:AA1168)+1,ROW($P$12))&amp;":W"&amp;(ROW()))))),0)</f>
        <v>20306.809999999998</v>
      </c>
      <c r="Q1169" s="99">
        <f ca="1">MAX(SUM($N$13:N1169)-SUM($T$13:T1169),0)</f>
        <v>83971.890655737676</v>
      </c>
      <c r="R1169" s="99">
        <f ca="1">Первоначальный[[#This Row],[Просроченный платеж по ОД]]+Первоначальный[[#This Row],[Просроченный платеж по процентам]]</f>
        <v>104278.70065573767</v>
      </c>
      <c r="S1169" s="120">
        <f ca="1">IF(Первоначальный[[#This Row],[Просроченный платеж]]&lt;1,0,S1168+1)</f>
        <v>1065</v>
      </c>
      <c r="T1169" s="100" cm="1">
        <f t="array" aca="1" ref="T1169" ca="1">IF(Первоначальный[[#This Row],[Итого остаток на начало периода]]&lt;1,0,
IF(
AND(TYPE(VLOOKUP(1,$Z$12:Z1169,1,0))=16,Первоначальный[[#This Row],[Досрочное погашение (да/"")]]=""),0,
_xlfn.IFS(AND(S1168=0,Первоначальный[[#This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платеж]]&lt;&gt;0),MIN(LOOKUP(,-1/($Z$12:Z1169=1),$C$12:C1169)+LOOKUP(,-1/($Z$12:Z1169=1),$H$12:H1169),Первоначальный[[#This Row],[Полученный платеж]]+Y1168),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платеж]]+Y1168,SUM(Первоначальный[[#This Row],[Остаток процентов на начало периода]],Первоначальный[[#This Row],[Проценты за период]])),
AND(S1168=0,Первоначальный[[#This Row],[Дата платежа из графика]]=""),0,
AND(S1168=0,Первоначальный[[#This Row],[Дата платежа из графика]]=1,MAX((0&lt;&gt;S$12:S1168)*ROW(S$12:S1168),ROW($S$12))&gt;=MAX((1=Z$12:Z1168)*ROW(Z$12:Z1168),ROW($T$12)),TYPE(VLOOKUP("Да",(INDIRECT("AA"&amp;(MAX((1=Z$12:Z1168)*ROW(Z$12:Z1168),ROW($T$12))&amp;":AA"&amp;(ROW()-1)))),1,0))=16),MIN(LOOKUP(,-1/($Z$12:Z1169=1),$C$12:C1169)+LOOKUP(,-1/($Z$12:Z1169=1),$H$12:H1169),Первоначальный[[#This Row],[Полученный платеж]]+Y1168),
AND(S1168=0,TYPE(VLOOKUP("Да",(INDIRECT("AA"&amp;(MAX((1=Z$12:Z1168)*ROW(Z$12:Z1168),ROW($T$12))&amp;":AA"&amp;(ROW()-1)))),1,0))&lt;&gt;16),MIN(LOOKUP(,-1/($Z$12:Z1169=1),$C$12:C1169)+LOOKUP(,-1/($Z$12:Z1169=1),$H$12:H1169)-IF(AA1168="Да",0,SUM(INDIRECT("T"&amp;(MAX(("Да"=AA$12:AA1168)*ROW(AA$12:AA1168)+1,ROW($T$12))&amp;":T"&amp;(ROW()-1))))),Первоначальный[[#This Row],[Полученный платеж]]+Y1168),
AND(S1168=0,MAX((0&lt;&gt;N$12:N1168)*ROW(N$12:N1168),ROW($S$12))&gt;=MAX((1=Z$12:Z1168)*ROW(Z$12:Z1168),ROW($T$12))),MIN(LOOKUP(,-1/($Z$12:Z1169=1),$C$12:C1169)+LOOKUP(,-1/($Z$12:Z1169=1),$H$12:H1169)-IF(N1168&lt;&gt;0,0,SUM(INDIRECT("T"&amp;(MAX((0&lt;&gt;N$12:N1168)*ROW(N$12:N1168)+1,ROW($T$12))&amp;":T"&amp;(ROW()-1))))),Первоначальный[[#This Row],[Полученный платеж]]+Y1168),
AND(S1168=0,Первоначальный[[#This Row],[Дата платежа из графика]]=1),MIN(LOOKUP(,-1/($Z$12:Z1169=1),$C$12:C1169)+LOOKUP(,-1/($Z$12:Z1169=1),$H$12:H1169)-IF(Z1168=1,0,SUM(INDIRECT("T"&amp;(MAX((1=Z$12:Z1168)*ROW(Z$12:Z1168)+1,ROW($T$12))&amp;":T"&amp;(ROW()-1))))),Первоначальный[[#This Row],[Полученный платеж]]+Y1168),
AND(Z1168&gt;0,Первоначальный[[#This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платеж]]+Y1168),
AND(S1168&gt;0,MAX((0&lt;&gt;S$12:S1168)*ROW(S$12:S1168),ROW($S$12))&gt;=MAX((1=Z$12:Z1168)*ROW(Z$12:Z1168),ROW($T$12)),TYPE(VLOOKUP("Да",(INDIRECT("AA"&amp;(MAX((1=Z$12:Z1168)*ROW(Z$12:Z1168),ROW($T$12))&amp;":AA"&amp;(ROW()-1)))),1,0))=16),MIN(LOOKUP(,-1/($Z$12:Z1169=1),$C$12:C1169)+LOOKUP(,-1/($Z$12:Z1169=1),$H$12:H1169)-SUM(INDIRECT("T"&amp;(MAX((1=Z$12:Z1168)*ROW(Z$12:Z1168),ROW($T$12))&amp;":T"&amp;(ROW()-1)))),Первоначальный[[#This Row],[Полученный платеж]]+Y1168),
S1168&gt;0,MIN(LOOKUP(,-1/($Z$12:Z1169=1),$C$12:C1169)+LOOKUP(,-1/($Z$12:Z1169=1),$H$12:H1169)-IF(Z1168=1,0,SUM(INDIRECT("T"&amp;(MAX((1=Z$12:Z1168)*ROW(Z$12:Z1168)+1,ROW($T$12))&amp;":T"&amp;(ROW()-1))))),Первоначальный[[#This Row],[Полученный платеж]]+Y1168)
)
)
)</f>
        <v>0</v>
      </c>
      <c r="U116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платеж]]+Y1168-Первоначальный[[#This Row],[Полученный платёж по процентам]])</f>
        <v>0</v>
      </c>
      <c r="V1169" s="55">
        <f t="shared" ca="1" si="219"/>
        <v>0</v>
      </c>
      <c r="W1169" s="55" cm="1">
        <f t="array" aca="1" ref="W1169" ca="1">IF(Первоначальный[[#This Row],[Итого остаток на начало периода]]&lt;1,0,
_xlfn.IFS(
AND(TYPE(VLOOKUP(1,$Z$12:Z1169,1,0))=16,Первоначальный[[#This Row],[Досрочное погашение (да/"")]]=""),0,
AND(S1168=0,Первоначальный[[#This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платеж]]+Y1168-SUM(Первоначальный[[#This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комиссиям]]),VLOOKUP(LOOKUP(,-1/($Z$12:Z1169=1),$A$12:A1169),График[[Срок конец]:[Возврат основной суммы долга]],3,0)),
AND(S1168=0,Первоначальный[[#This Row],[Дата платежа из графика]]="",Первоначальный[[#This Row],[Досрочное погашение (да/"")]]&lt;&gt;"Да"),0,
AND(S1168=0,Первоначальный[[#This Row],[Досрочное погашение (да/"")]]=""),MIN(Первоначальный[[#This Row],[Полученный платеж]]+Y1168-SUM(Первоначальный[[#This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комиссиям]]),VLOOKUP(LOOKUP(,-1/($Z$12:Z1169=1),$A$12:A1169),График[[Срок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платеж]]+Y1168-SUM(Первоначальный[[#This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S1168&gt;0,MIN(Первоначальный[[#This Row],[Полученный платеж]]+Y1168-SUM(Первоначальный[[#This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комиссиям]]),SUM(INDIRECT("M"&amp;(MAX((1=S$12:S1168)*ROW(S$12:S1168),ROW($W$12))&amp;":M"&amp;(ROW()))))-SUM(INDIRECT("W"&amp;(MAX((1=S$12:S1168)*ROW(S$12:S1168),ROW($W$12))&amp;":W"&amp;(ROW()-1)))))
)
)</f>
        <v>0</v>
      </c>
      <c r="X1169" s="55">
        <f t="shared" ca="1" si="220"/>
        <v>0</v>
      </c>
      <c r="Y1169" s="101">
        <f t="shared" ca="1" si="227"/>
        <v>0</v>
      </c>
      <c r="Z1169" s="133">
        <f>IF(TYPE((VLOOKUP(Первоначальный[[#This Row],[Дата платежа]],График[Срок конец],1,0)))=16,"",1)</f>
        <v>1</v>
      </c>
      <c r="AA1169" s="57"/>
      <c r="AB1169" s="134"/>
      <c r="AC116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6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83975.829999999958</v>
      </c>
      <c r="AE116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5339.4699999999839</v>
      </c>
      <c r="AF116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6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278215.0009918026</v>
      </c>
      <c r="AH1169" s="55"/>
      <c r="AI1169" s="55"/>
      <c r="AJ1169" s="55"/>
      <c r="AK1169" s="101">
        <f t="shared" ca="1" si="228"/>
        <v>517163.64099180256</v>
      </c>
      <c r="AL1169" s="129">
        <f t="array" ref="AL1169">MAX((УслРестрактов[Характеристика]="Дата реструктуризации")*(УслРестрактов[Значение]=Первоначальный!$A1169),0)</f>
        <v>0</v>
      </c>
    </row>
    <row r="1170" spans="1:38" x14ac:dyDescent="0.25">
      <c r="A1170" s="97">
        <f t="shared" si="221"/>
        <v>45301</v>
      </c>
      <c r="B1170" s="100">
        <f t="shared" ca="1" si="222"/>
        <v>149633.34</v>
      </c>
      <c r="C1170" s="55">
        <f t="shared" ca="1" si="218"/>
        <v>83975.829999999958</v>
      </c>
      <c r="D1170" s="55">
        <f t="shared" ca="1" si="218"/>
        <v>5339.4699999999839</v>
      </c>
      <c r="E1170" s="55">
        <f t="shared" ca="1" si="223"/>
        <v>0</v>
      </c>
      <c r="F1170" s="55">
        <f t="shared" ca="1" si="224"/>
        <v>278215.0009918026</v>
      </c>
      <c r="G1170" s="101">
        <f t="shared" ca="1" si="225"/>
        <v>517163.64099180256</v>
      </c>
      <c r="H1170" s="100">
        <f ca="1">ROUND($B1170*VLOOKUP($A1170,$A$1:$B$10,2,1)/(365+IF(MOD(YEAR($A1170),4),0,1)*($A1170-$A1169)),2)-Первоначальный[[#This Row],[Проценты на просроченный платеж по ОД за период]]</f>
        <v>70.319999999999993</v>
      </c>
      <c r="I1170" s="55">
        <f t="shared" ca="1" si="226"/>
        <v>11.04</v>
      </c>
      <c r="J1170" s="55">
        <v>0</v>
      </c>
      <c r="K1170" s="55">
        <f t="shared" ca="1" si="229"/>
        <v>521.3935032786884</v>
      </c>
      <c r="L1170" s="55">
        <v>0</v>
      </c>
      <c r="M1170" s="113">
        <f>SUMIFS(График[Возврат основной суммы долга],График[Дата с учетом нерабочих дней],$A1170)</f>
        <v>0</v>
      </c>
      <c r="N1170" s="56">
        <f>SUMIFS(График[Возврат начисленных %],График[Дата с учетом нерабочих дней],$A1170)</f>
        <v>0</v>
      </c>
      <c r="O1170" s="101">
        <v>0</v>
      </c>
      <c r="P1170" s="100" cm="1">
        <f t="array" aca="1" ref="P1170" ca="1">MAX(IF(AA1169="Да",0,SUM(INDIRECT("M"&amp;(MAX(("Да"=AA$12:AA1169)*ROW(AA$12:AA1169)+1,ROW($P$12))&amp;":M"&amp;(ROW()))))-SUM(INDIRECT("W"&amp;(MAX(("Да"=AA$12:AA1169)*ROW(AA$12:AA1169)+1,ROW($P$12))&amp;":W"&amp;(ROW()))))),0)</f>
        <v>20306.809999999998</v>
      </c>
      <c r="Q1170" s="99">
        <f ca="1">MAX(SUM($N$13:N1170)-SUM($T$13:T1170),0)</f>
        <v>83971.890655737676</v>
      </c>
      <c r="R1170" s="99">
        <f ca="1">Первоначальный[[#This Row],[Просроченный платеж по ОД]]+Первоначальный[[#This Row],[Просроченный платеж по процентам]]</f>
        <v>104278.70065573767</v>
      </c>
      <c r="S1170" s="120">
        <f ca="1">IF(Первоначальный[[#This Row],[Просроченный платеж]]&lt;1,0,S1169+1)</f>
        <v>1066</v>
      </c>
      <c r="T1170" s="100" cm="1">
        <f t="array" aca="1" ref="T1170" ca="1">IF(Первоначальный[[#This Row],[Итого остаток на начало периода]]&lt;1,0,
IF(
AND(TYPE(VLOOKUP(1,$Z$12:Z1170,1,0))=16,Первоначальный[[#This Row],[Досрочное погашение (да/"")]]=""),0,
_xlfn.IFS(AND(S1169=0,Первоначальный[[#This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платеж]]&lt;&gt;0),MIN(LOOKUP(,-1/($Z$12:Z1170=1),$C$12:C1170)+LOOKUP(,-1/($Z$12:Z1170=1),$H$12:H1170),Первоначальный[[#This Row],[Полученный платеж]]+Y1169),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платеж]]+Y1169,SUM(Первоначальный[[#This Row],[Остаток процентов на начало периода]],Первоначальный[[#This Row],[Проценты за период]])),
AND(S1169=0,Первоначальный[[#This Row],[Дата платежа из графика]]=""),0,
AND(S1169=0,Первоначальный[[#This Row],[Дата платежа из графика]]=1,MAX((0&lt;&gt;S$12:S1169)*ROW(S$12:S1169),ROW($S$12))&gt;=MAX((1=Z$12:Z1169)*ROW(Z$12:Z1169),ROW($T$12)),TYPE(VLOOKUP("Да",(INDIRECT("AA"&amp;(MAX((1=Z$12:Z1169)*ROW(Z$12:Z1169),ROW($T$12))&amp;":AA"&amp;(ROW()-1)))),1,0))=16),MIN(LOOKUP(,-1/($Z$12:Z1170=1),$C$12:C1170)+LOOKUP(,-1/($Z$12:Z1170=1),$H$12:H1170),Первоначальный[[#This Row],[Полученный платеж]]+Y1169),
AND(S1169=0,TYPE(VLOOKUP("Да",(INDIRECT("AA"&amp;(MAX((1=Z$12:Z1169)*ROW(Z$12:Z1169),ROW($T$12))&amp;":AA"&amp;(ROW()-1)))),1,0))&lt;&gt;16),MIN(LOOKUP(,-1/($Z$12:Z1170=1),$C$12:C1170)+LOOKUP(,-1/($Z$12:Z1170=1),$H$12:H1170)-IF(AA1169="Да",0,SUM(INDIRECT("T"&amp;(MAX(("Да"=AA$12:AA1169)*ROW(AA$12:AA1169)+1,ROW($T$12))&amp;":T"&amp;(ROW()-1))))),Первоначальный[[#This Row],[Полученный платеж]]+Y1169),
AND(S1169=0,MAX((0&lt;&gt;N$12:N1169)*ROW(N$12:N1169),ROW($S$12))&gt;=MAX((1=Z$12:Z1169)*ROW(Z$12:Z1169),ROW($T$12))),MIN(LOOKUP(,-1/($Z$12:Z1170=1),$C$12:C1170)+LOOKUP(,-1/($Z$12:Z1170=1),$H$12:H1170)-IF(N1169&lt;&gt;0,0,SUM(INDIRECT("T"&amp;(MAX((0&lt;&gt;N$12:N1169)*ROW(N$12:N1169)+1,ROW($T$12))&amp;":T"&amp;(ROW()-1))))),Первоначальный[[#This Row],[Полученный платеж]]+Y1169),
AND(S1169=0,Первоначальный[[#This Row],[Дата платежа из графика]]=1),MIN(LOOKUP(,-1/($Z$12:Z1170=1),$C$12:C1170)+LOOKUP(,-1/($Z$12:Z1170=1),$H$12:H1170)-IF(Z1169=1,0,SUM(INDIRECT("T"&amp;(MAX((1=Z$12:Z1169)*ROW(Z$12:Z1169)+1,ROW($T$12))&amp;":T"&amp;(ROW()-1))))),Первоначальный[[#This Row],[Полученный платеж]]+Y1169),
AND(Z1169&gt;0,Первоначальный[[#This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платеж]]+Y1169),
AND(S1169&gt;0,MAX((0&lt;&gt;S$12:S1169)*ROW(S$12:S1169),ROW($S$12))&gt;=MAX((1=Z$12:Z1169)*ROW(Z$12:Z1169),ROW($T$12)),TYPE(VLOOKUP("Да",(INDIRECT("AA"&amp;(MAX((1=Z$12:Z1169)*ROW(Z$12:Z1169),ROW($T$12))&amp;":AA"&amp;(ROW()-1)))),1,0))=16),MIN(LOOKUP(,-1/($Z$12:Z1170=1),$C$12:C1170)+LOOKUP(,-1/($Z$12:Z1170=1),$H$12:H1170)-SUM(INDIRECT("T"&amp;(MAX((1=Z$12:Z1169)*ROW(Z$12:Z1169),ROW($T$12))&amp;":T"&amp;(ROW()-1)))),Первоначальный[[#This Row],[Полученный платеж]]+Y1169),
S1169&gt;0,MIN(LOOKUP(,-1/($Z$12:Z1170=1),$C$12:C1170)+LOOKUP(,-1/($Z$12:Z1170=1),$H$12:H1170)-IF(Z1169=1,0,SUM(INDIRECT("T"&amp;(MAX((1=Z$12:Z1169)*ROW(Z$12:Z1169)+1,ROW($T$12))&amp;":T"&amp;(ROW()-1))))),Первоначальный[[#This Row],[Полученный платеж]]+Y1169)
)
)
)</f>
        <v>0</v>
      </c>
      <c r="U117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платеж]]+Y1169-Первоначальный[[#This Row],[Полученный платёж по процентам]])</f>
        <v>0</v>
      </c>
      <c r="V1170" s="55">
        <f t="shared" ca="1" si="219"/>
        <v>0</v>
      </c>
      <c r="W1170" s="55" cm="1">
        <f t="array" aca="1" ref="W1170" ca="1">IF(Первоначальный[[#This Row],[Итого остаток на начало периода]]&lt;1,0,
_xlfn.IFS(
AND(TYPE(VLOOKUP(1,$Z$12:Z1170,1,0))=16,Первоначальный[[#This Row],[Досрочное погашение (да/"")]]=""),0,
AND(S1169=0,Первоначальный[[#This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платеж]]+Y1169-SUM(Первоначальный[[#This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комиссиям]]),VLOOKUP(LOOKUP(,-1/($Z$12:Z1170=1),$A$12:A1170),График[[Срок конец]:[Возврат основной суммы долга]],3,0)),
AND(S1169=0,Первоначальный[[#This Row],[Дата платежа из графика]]="",Первоначальный[[#This Row],[Досрочное погашение (да/"")]]&lt;&gt;"Да"),0,
AND(S1169=0,Первоначальный[[#This Row],[Досрочное погашение (да/"")]]=""),MIN(Первоначальный[[#This Row],[Полученный платеж]]+Y1169-SUM(Первоначальный[[#This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комиссиям]]),VLOOKUP(LOOKUP(,-1/($Z$12:Z1170=1),$A$12:A1170),График[[Срок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платеж]]+Y1169-SUM(Первоначальный[[#This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S1169&gt;0,MIN(Первоначальный[[#This Row],[Полученный платеж]]+Y1169-SUM(Первоначальный[[#This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комиссиям]]),SUM(INDIRECT("M"&amp;(MAX((1=S$12:S1169)*ROW(S$12:S1169),ROW($W$12))&amp;":M"&amp;(ROW()))))-SUM(INDIRECT("W"&amp;(MAX((1=S$12:S1169)*ROW(S$12:S1169),ROW($W$12))&amp;":W"&amp;(ROW()-1)))))
)
)</f>
        <v>0</v>
      </c>
      <c r="X1170" s="55">
        <f t="shared" ca="1" si="220"/>
        <v>0</v>
      </c>
      <c r="Y1170" s="101">
        <f t="shared" ca="1" si="227"/>
        <v>0</v>
      </c>
      <c r="Z1170" s="133" t="str">
        <f>IF(TYPE((VLOOKUP(Первоначальный[[#This Row],[Дата платежа]],График[Срок конец],1,0)))=16,"",1)</f>
        <v/>
      </c>
      <c r="AA1170" s="57"/>
      <c r="AB1170" s="134"/>
      <c r="AC117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7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84046.149999999965</v>
      </c>
      <c r="AE117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5350.5099999999838</v>
      </c>
      <c r="AF117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7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278736.39449508127</v>
      </c>
      <c r="AH1170" s="55"/>
      <c r="AI1170" s="55"/>
      <c r="AJ1170" s="55"/>
      <c r="AK1170" s="101">
        <f t="shared" ca="1" si="228"/>
        <v>517766.39449508121</v>
      </c>
      <c r="AL1170" s="129">
        <f t="array" ref="AL1170">MAX((УслРестрактов[Характеристика]="Дата реструктуризации")*(УслРестрактов[Значение]=Первоначальный!$A1170),0)</f>
        <v>0</v>
      </c>
    </row>
    <row r="1171" spans="1:38" x14ac:dyDescent="0.25">
      <c r="A1171" s="97">
        <f t="shared" si="221"/>
        <v>45302</v>
      </c>
      <c r="B1171" s="100">
        <f t="shared" ca="1" si="222"/>
        <v>149633.34</v>
      </c>
      <c r="C1171" s="55">
        <f t="shared" ca="1" si="218"/>
        <v>84046.149999999965</v>
      </c>
      <c r="D1171" s="55">
        <f t="shared" ca="1" si="218"/>
        <v>5350.5099999999838</v>
      </c>
      <c r="E1171" s="55">
        <f t="shared" ca="1" si="223"/>
        <v>0</v>
      </c>
      <c r="F1171" s="55">
        <f t="shared" ca="1" si="224"/>
        <v>278736.39449508127</v>
      </c>
      <c r="G1171" s="101">
        <f t="shared" ca="1" si="225"/>
        <v>517766.39449508121</v>
      </c>
      <c r="H1171" s="100">
        <f ca="1">ROUND($B1171*VLOOKUP($A1171,$A$1:$B$10,2,1)/(365+IF(MOD(YEAR($A1171),4),0,1)*($A1171-$A1170)),2)-Первоначальный[[#This Row],[Проценты на просроченный платеж по ОД за период]]</f>
        <v>70.319999999999993</v>
      </c>
      <c r="I1171" s="55">
        <f t="shared" ca="1" si="226"/>
        <v>11.04</v>
      </c>
      <c r="J1171" s="55">
        <v>0</v>
      </c>
      <c r="K1171" s="55">
        <f t="shared" ca="1" si="229"/>
        <v>521.3935032786884</v>
      </c>
      <c r="L1171" s="55">
        <v>0</v>
      </c>
      <c r="M1171" s="113">
        <f>SUMIFS(График[Возврат основной суммы долга],График[Дата с учетом нерабочих дней],$A1171)</f>
        <v>0</v>
      </c>
      <c r="N1171" s="56">
        <f>SUMIFS(График[Возврат начисленных %],График[Дата с учетом нерабочих дней],$A1171)</f>
        <v>0</v>
      </c>
      <c r="O1171" s="101">
        <v>0</v>
      </c>
      <c r="P1171" s="100" cm="1">
        <f t="array" aca="1" ref="P1171" ca="1">MAX(IF(AA1170="Да",0,SUM(INDIRECT("M"&amp;(MAX(("Да"=AA$12:AA1170)*ROW(AA$12:AA1170)+1,ROW($P$12))&amp;":M"&amp;(ROW()))))-SUM(INDIRECT("W"&amp;(MAX(("Да"=AA$12:AA1170)*ROW(AA$12:AA1170)+1,ROW($P$12))&amp;":W"&amp;(ROW()))))),0)</f>
        <v>20306.809999999998</v>
      </c>
      <c r="Q1171" s="99">
        <f ca="1">MAX(SUM($N$13:N1171)-SUM($T$13:T1171),0)</f>
        <v>83971.890655737676</v>
      </c>
      <c r="R1171" s="99">
        <f ca="1">Первоначальный[[#This Row],[Просроченный платеж по ОД]]+Первоначальный[[#This Row],[Просроченный платеж по процентам]]</f>
        <v>104278.70065573767</v>
      </c>
      <c r="S1171" s="120">
        <f ca="1">IF(Первоначальный[[#This Row],[Просроченный платеж]]&lt;1,0,S1170+1)</f>
        <v>1067</v>
      </c>
      <c r="T1171" s="100" cm="1">
        <f t="array" aca="1" ref="T1171" ca="1">IF(Первоначальный[[#This Row],[Итого остаток на начало периода]]&lt;1,0,
IF(
AND(TYPE(VLOOKUP(1,$Z$12:Z1171,1,0))=16,Первоначальный[[#This Row],[Досрочное погашение (да/"")]]=""),0,
_xlfn.IFS(AND(S1170=0,Первоначальный[[#This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платеж]]&lt;&gt;0),MIN(LOOKUP(,-1/($Z$12:Z1171=1),$C$12:C1171)+LOOKUP(,-1/($Z$12:Z1171=1),$H$12:H1171),Первоначальный[[#This Row],[Полученный платеж]]+Y1170),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платеж]]+Y1170,SUM(Первоначальный[[#This Row],[Остаток процентов на начало периода]],Первоначальный[[#This Row],[Проценты за период]])),
AND(S1170=0,Первоначальный[[#This Row],[Дата платежа из графика]]=""),0,
AND(S1170=0,Первоначальный[[#This Row],[Дата платежа из графика]]=1,MAX((0&lt;&gt;S$12:S1170)*ROW(S$12:S1170),ROW($S$12))&gt;=MAX((1=Z$12:Z1170)*ROW(Z$12:Z1170),ROW($T$12)),TYPE(VLOOKUP("Да",(INDIRECT("AA"&amp;(MAX((1=Z$12:Z1170)*ROW(Z$12:Z1170),ROW($T$12))&amp;":AA"&amp;(ROW()-1)))),1,0))=16),MIN(LOOKUP(,-1/($Z$12:Z1171=1),$C$12:C1171)+LOOKUP(,-1/($Z$12:Z1171=1),$H$12:H1171),Первоначальный[[#This Row],[Полученный платеж]]+Y1170),
AND(S1170=0,TYPE(VLOOKUP("Да",(INDIRECT("AA"&amp;(MAX((1=Z$12:Z1170)*ROW(Z$12:Z1170),ROW($T$12))&amp;":AA"&amp;(ROW()-1)))),1,0))&lt;&gt;16),MIN(LOOKUP(,-1/($Z$12:Z1171=1),$C$12:C1171)+LOOKUP(,-1/($Z$12:Z1171=1),$H$12:H1171)-IF(AA1170="Да",0,SUM(INDIRECT("T"&amp;(MAX(("Да"=AA$12:AA1170)*ROW(AA$12:AA1170)+1,ROW($T$12))&amp;":T"&amp;(ROW()-1))))),Первоначальный[[#This Row],[Полученный платеж]]+Y1170),
AND(S1170=0,MAX((0&lt;&gt;N$12:N1170)*ROW(N$12:N1170),ROW($S$12))&gt;=MAX((1=Z$12:Z1170)*ROW(Z$12:Z1170),ROW($T$12))),MIN(LOOKUP(,-1/($Z$12:Z1171=1),$C$12:C1171)+LOOKUP(,-1/($Z$12:Z1171=1),$H$12:H1171)-IF(N1170&lt;&gt;0,0,SUM(INDIRECT("T"&amp;(MAX((0&lt;&gt;N$12:N1170)*ROW(N$12:N1170)+1,ROW($T$12))&amp;":T"&amp;(ROW()-1))))),Первоначальный[[#This Row],[Полученный платеж]]+Y1170),
AND(S1170=0,Первоначальный[[#This Row],[Дата платежа из графика]]=1),MIN(LOOKUP(,-1/($Z$12:Z1171=1),$C$12:C1171)+LOOKUP(,-1/($Z$12:Z1171=1),$H$12:H1171)-IF(Z1170=1,0,SUM(INDIRECT("T"&amp;(MAX((1=Z$12:Z1170)*ROW(Z$12:Z1170)+1,ROW($T$12))&amp;":T"&amp;(ROW()-1))))),Первоначальный[[#This Row],[Полученный платеж]]+Y1170),
AND(Z1170&gt;0,Первоначальный[[#This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платеж]]+Y1170),
AND(S1170&gt;0,MAX((0&lt;&gt;S$12:S1170)*ROW(S$12:S1170),ROW($S$12))&gt;=MAX((1=Z$12:Z1170)*ROW(Z$12:Z1170),ROW($T$12)),TYPE(VLOOKUP("Да",(INDIRECT("AA"&amp;(MAX((1=Z$12:Z1170)*ROW(Z$12:Z1170),ROW($T$12))&amp;":AA"&amp;(ROW()-1)))),1,0))=16),MIN(LOOKUP(,-1/($Z$12:Z1171=1),$C$12:C1171)+LOOKUP(,-1/($Z$12:Z1171=1),$H$12:H1171)-SUM(INDIRECT("T"&amp;(MAX((1=Z$12:Z1170)*ROW(Z$12:Z1170),ROW($T$12))&amp;":T"&amp;(ROW()-1)))),Первоначальный[[#This Row],[Полученный платеж]]+Y1170),
S1170&gt;0,MIN(LOOKUP(,-1/($Z$12:Z1171=1),$C$12:C1171)+LOOKUP(,-1/($Z$12:Z1171=1),$H$12:H1171)-IF(Z1170=1,0,SUM(INDIRECT("T"&amp;(MAX((1=Z$12:Z1170)*ROW(Z$12:Z1170)+1,ROW($T$12))&amp;":T"&amp;(ROW()-1))))),Первоначальный[[#This Row],[Полученный платеж]]+Y1170)
)
)
)</f>
        <v>0</v>
      </c>
      <c r="U117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платеж]]+Y1170-Первоначальный[[#This Row],[Полученный платёж по процентам]])</f>
        <v>0</v>
      </c>
      <c r="V1171" s="55">
        <f t="shared" ca="1" si="219"/>
        <v>0</v>
      </c>
      <c r="W1171" s="55" cm="1">
        <f t="array" aca="1" ref="W1171" ca="1">IF(Первоначальный[[#This Row],[Итого остаток на начало периода]]&lt;1,0,
_xlfn.IFS(
AND(TYPE(VLOOKUP(1,$Z$12:Z1171,1,0))=16,Первоначальный[[#This Row],[Досрочное погашение (да/"")]]=""),0,
AND(S1170=0,Первоначальный[[#This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платеж]]+Y1170-SUM(Первоначальный[[#This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комиссиям]]),VLOOKUP(LOOKUP(,-1/($Z$12:Z1171=1),$A$12:A1171),График[[Срок конец]:[Возврат основной суммы долга]],3,0)),
AND(S1170=0,Первоначальный[[#This Row],[Дата платежа из графика]]="",Первоначальный[[#This Row],[Досрочное погашение (да/"")]]&lt;&gt;"Да"),0,
AND(S1170=0,Первоначальный[[#This Row],[Досрочное погашение (да/"")]]=""),MIN(Первоначальный[[#This Row],[Полученный платеж]]+Y1170-SUM(Первоначальный[[#This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комиссиям]]),VLOOKUP(LOOKUP(,-1/($Z$12:Z1171=1),$A$12:A1171),График[[Срок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платеж]]+Y1170-SUM(Первоначальный[[#This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S1170&gt;0,MIN(Первоначальный[[#This Row],[Полученный платеж]]+Y1170-SUM(Первоначальный[[#This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комиссиям]]),SUM(INDIRECT("M"&amp;(MAX((1=S$12:S1170)*ROW(S$12:S1170),ROW($W$12))&amp;":M"&amp;(ROW()))))-SUM(INDIRECT("W"&amp;(MAX((1=S$12:S1170)*ROW(S$12:S1170),ROW($W$12))&amp;":W"&amp;(ROW()-1)))))
)
)</f>
        <v>0</v>
      </c>
      <c r="X1171" s="55">
        <f t="shared" ca="1" si="220"/>
        <v>0</v>
      </c>
      <c r="Y1171" s="101">
        <f t="shared" ca="1" si="227"/>
        <v>0</v>
      </c>
      <c r="Z1171" s="133" t="str">
        <f>IF(TYPE((VLOOKUP(Первоначальный[[#This Row],[Дата платежа]],График[Срок конец],1,0)))=16,"",1)</f>
        <v/>
      </c>
      <c r="AA1171" s="57"/>
      <c r="AB1171" s="134"/>
      <c r="AC117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7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84116.469999999972</v>
      </c>
      <c r="AE117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5361.5499999999838</v>
      </c>
      <c r="AF117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7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279257.78799835994</v>
      </c>
      <c r="AH1171" s="55"/>
      <c r="AI1171" s="55"/>
      <c r="AJ1171" s="55"/>
      <c r="AK1171" s="101">
        <f t="shared" ca="1" si="228"/>
        <v>518369.14799835987</v>
      </c>
      <c r="AL1171" s="129">
        <f t="array" ref="AL1171">MAX((УслРестрактов[Характеристика]="Дата реструктуризации")*(УслРестрактов[Значение]=Первоначальный!$A1171),0)</f>
        <v>0</v>
      </c>
    </row>
    <row r="1172" spans="1:38" x14ac:dyDescent="0.25">
      <c r="A1172" s="97">
        <f t="shared" si="221"/>
        <v>45303</v>
      </c>
      <c r="B1172" s="100">
        <f t="shared" ca="1" si="222"/>
        <v>149633.34</v>
      </c>
      <c r="C1172" s="55">
        <f t="shared" ca="1" si="218"/>
        <v>84116.469999999972</v>
      </c>
      <c r="D1172" s="55">
        <f t="shared" ca="1" si="218"/>
        <v>5361.5499999999838</v>
      </c>
      <c r="E1172" s="55">
        <f t="shared" ca="1" si="223"/>
        <v>0</v>
      </c>
      <c r="F1172" s="55">
        <f t="shared" ca="1" si="224"/>
        <v>279257.78799835994</v>
      </c>
      <c r="G1172" s="101">
        <f t="shared" ca="1" si="225"/>
        <v>518369.14799835987</v>
      </c>
      <c r="H1172" s="100">
        <f ca="1">ROUND($B1172*VLOOKUP($A1172,$A$1:$B$10,2,1)/(365+IF(MOD(YEAR($A1172),4),0,1)*($A1172-$A1171)),2)-Первоначальный[[#This Row],[Проценты на просроченный платеж по ОД за период]]</f>
        <v>70.319999999999993</v>
      </c>
      <c r="I1172" s="55">
        <f t="shared" ca="1" si="226"/>
        <v>11.04</v>
      </c>
      <c r="J1172" s="55">
        <v>0</v>
      </c>
      <c r="K1172" s="55">
        <f t="shared" ca="1" si="229"/>
        <v>521.3935032786884</v>
      </c>
      <c r="L1172" s="55">
        <v>0</v>
      </c>
      <c r="M1172" s="113">
        <f>SUMIFS(График[Возврат основной суммы долга],График[Дата с учетом нерабочих дней],$A1172)</f>
        <v>0</v>
      </c>
      <c r="N1172" s="56">
        <f>SUMIFS(График[Возврат начисленных %],График[Дата с учетом нерабочих дней],$A1172)</f>
        <v>0</v>
      </c>
      <c r="O1172" s="101">
        <v>0</v>
      </c>
      <c r="P1172" s="100" cm="1">
        <f t="array" aca="1" ref="P1172" ca="1">MAX(IF(AA1171="Да",0,SUM(INDIRECT("M"&amp;(MAX(("Да"=AA$12:AA1171)*ROW(AA$12:AA1171)+1,ROW($P$12))&amp;":M"&amp;(ROW()))))-SUM(INDIRECT("W"&amp;(MAX(("Да"=AA$12:AA1171)*ROW(AA$12:AA1171)+1,ROW($P$12))&amp;":W"&amp;(ROW()))))),0)</f>
        <v>20306.809999999998</v>
      </c>
      <c r="Q1172" s="99">
        <f ca="1">MAX(SUM($N$13:N1172)-SUM($T$13:T1172),0)</f>
        <v>83971.890655737676</v>
      </c>
      <c r="R1172" s="99">
        <f ca="1">Первоначальный[[#This Row],[Просроченный платеж по ОД]]+Первоначальный[[#This Row],[Просроченный платеж по процентам]]</f>
        <v>104278.70065573767</v>
      </c>
      <c r="S1172" s="120">
        <f ca="1">IF(Первоначальный[[#This Row],[Просроченный платеж]]&lt;1,0,S1171+1)</f>
        <v>1068</v>
      </c>
      <c r="T1172" s="100" cm="1">
        <f t="array" aca="1" ref="T1172" ca="1">IF(Первоначальный[[#This Row],[Итого остаток на начало периода]]&lt;1,0,
IF(
AND(TYPE(VLOOKUP(1,$Z$12:Z1172,1,0))=16,Первоначальный[[#This Row],[Досрочное погашение (да/"")]]=""),0,
_xlfn.IFS(AND(S1171=0,Первоначальный[[#This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платеж]]&lt;&gt;0),MIN(LOOKUP(,-1/($Z$12:Z1172=1),$C$12:C1172)+LOOKUP(,-1/($Z$12:Z1172=1),$H$12:H1172),Первоначальный[[#This Row],[Полученный платеж]]+Y1171),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платеж]]+Y1171,SUM(Первоначальный[[#This Row],[Остаток процентов на начало периода]],Первоначальный[[#This Row],[Проценты за период]])),
AND(S1171=0,Первоначальный[[#This Row],[Дата платежа из графика]]=""),0,
AND(S1171=0,Первоначальный[[#This Row],[Дата платежа из графика]]=1,MAX((0&lt;&gt;S$12:S1171)*ROW(S$12:S1171),ROW($S$12))&gt;=MAX((1=Z$12:Z1171)*ROW(Z$12:Z1171),ROW($T$12)),TYPE(VLOOKUP("Да",(INDIRECT("AA"&amp;(MAX((1=Z$12:Z1171)*ROW(Z$12:Z1171),ROW($T$12))&amp;":AA"&amp;(ROW()-1)))),1,0))=16),MIN(LOOKUP(,-1/($Z$12:Z1172=1),$C$12:C1172)+LOOKUP(,-1/($Z$12:Z1172=1),$H$12:H1172),Первоначальный[[#This Row],[Полученный платеж]]+Y1171),
AND(S1171=0,TYPE(VLOOKUP("Да",(INDIRECT("AA"&amp;(MAX((1=Z$12:Z1171)*ROW(Z$12:Z1171),ROW($T$12))&amp;":AA"&amp;(ROW()-1)))),1,0))&lt;&gt;16),MIN(LOOKUP(,-1/($Z$12:Z1172=1),$C$12:C1172)+LOOKUP(,-1/($Z$12:Z1172=1),$H$12:H1172)-IF(AA1171="Да",0,SUM(INDIRECT("T"&amp;(MAX(("Да"=AA$12:AA1171)*ROW(AA$12:AA1171)+1,ROW($T$12))&amp;":T"&amp;(ROW()-1))))),Первоначальный[[#This Row],[Полученный платеж]]+Y1171),
AND(S1171=0,MAX((0&lt;&gt;N$12:N1171)*ROW(N$12:N1171),ROW($S$12))&gt;=MAX((1=Z$12:Z1171)*ROW(Z$12:Z1171),ROW($T$12))),MIN(LOOKUP(,-1/($Z$12:Z1172=1),$C$12:C1172)+LOOKUP(,-1/($Z$12:Z1172=1),$H$12:H1172)-IF(N1171&lt;&gt;0,0,SUM(INDIRECT("T"&amp;(MAX((0&lt;&gt;N$12:N1171)*ROW(N$12:N1171)+1,ROW($T$12))&amp;":T"&amp;(ROW()-1))))),Первоначальный[[#This Row],[Полученный платеж]]+Y1171),
AND(S1171=0,Первоначальный[[#This Row],[Дата платежа из графика]]=1),MIN(LOOKUP(,-1/($Z$12:Z1172=1),$C$12:C1172)+LOOKUP(,-1/($Z$12:Z1172=1),$H$12:H1172)-IF(Z1171=1,0,SUM(INDIRECT("T"&amp;(MAX((1=Z$12:Z1171)*ROW(Z$12:Z1171)+1,ROW($T$12))&amp;":T"&amp;(ROW()-1))))),Первоначальный[[#This Row],[Полученный платеж]]+Y1171),
AND(Z1171&gt;0,Первоначальный[[#This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платеж]]+Y1171),
AND(S1171&gt;0,MAX((0&lt;&gt;S$12:S1171)*ROW(S$12:S1171),ROW($S$12))&gt;=MAX((1=Z$12:Z1171)*ROW(Z$12:Z1171),ROW($T$12)),TYPE(VLOOKUP("Да",(INDIRECT("AA"&amp;(MAX((1=Z$12:Z1171)*ROW(Z$12:Z1171),ROW($T$12))&amp;":AA"&amp;(ROW()-1)))),1,0))=16),MIN(LOOKUP(,-1/($Z$12:Z1172=1),$C$12:C1172)+LOOKUP(,-1/($Z$12:Z1172=1),$H$12:H1172)-SUM(INDIRECT("T"&amp;(MAX((1=Z$12:Z1171)*ROW(Z$12:Z1171),ROW($T$12))&amp;":T"&amp;(ROW()-1)))),Первоначальный[[#This Row],[Полученный платеж]]+Y1171),
S1171&gt;0,MIN(LOOKUP(,-1/($Z$12:Z1172=1),$C$12:C1172)+LOOKUP(,-1/($Z$12:Z1172=1),$H$12:H1172)-IF(Z1171=1,0,SUM(INDIRECT("T"&amp;(MAX((1=Z$12:Z1171)*ROW(Z$12:Z1171)+1,ROW($T$12))&amp;":T"&amp;(ROW()-1))))),Первоначальный[[#This Row],[Полученный платеж]]+Y1171)
)
)
)</f>
        <v>0</v>
      </c>
      <c r="U117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платеж]]+Y1171-Первоначальный[[#This Row],[Полученный платёж по процентам]])</f>
        <v>0</v>
      </c>
      <c r="V1172" s="55">
        <f t="shared" ca="1" si="219"/>
        <v>0</v>
      </c>
      <c r="W1172" s="55" cm="1">
        <f t="array" aca="1" ref="W1172" ca="1">IF(Первоначальный[[#This Row],[Итого остаток на начало периода]]&lt;1,0,
_xlfn.IFS(
AND(TYPE(VLOOKUP(1,$Z$12:Z1172,1,0))=16,Первоначальный[[#This Row],[Досрочное погашение (да/"")]]=""),0,
AND(S1171=0,Первоначальный[[#This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платеж]]+Y1171-SUM(Первоначальный[[#This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комиссиям]]),VLOOKUP(LOOKUP(,-1/($Z$12:Z1172=1),$A$12:A1172),График[[Срок конец]:[Возврат основной суммы долга]],3,0)),
AND(S1171=0,Первоначальный[[#This Row],[Дата платежа из графика]]="",Первоначальный[[#This Row],[Досрочное погашение (да/"")]]&lt;&gt;"Да"),0,
AND(S1171=0,Первоначальный[[#This Row],[Досрочное погашение (да/"")]]=""),MIN(Первоначальный[[#This Row],[Полученный платеж]]+Y1171-SUM(Первоначальный[[#This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комиссиям]]),VLOOKUP(LOOKUP(,-1/($Z$12:Z1172=1),$A$12:A1172),График[[Срок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платеж]]+Y1171-SUM(Первоначальный[[#This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S1171&gt;0,MIN(Первоначальный[[#This Row],[Полученный платеж]]+Y1171-SUM(Первоначальный[[#This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комиссиям]]),SUM(INDIRECT("M"&amp;(MAX((1=S$12:S1171)*ROW(S$12:S1171),ROW($W$12))&amp;":M"&amp;(ROW()))))-SUM(INDIRECT("W"&amp;(MAX((1=S$12:S1171)*ROW(S$12:S1171),ROW($W$12))&amp;":W"&amp;(ROW()-1)))))
)
)</f>
        <v>0</v>
      </c>
      <c r="X1172" s="55">
        <f t="shared" ca="1" si="220"/>
        <v>0</v>
      </c>
      <c r="Y1172" s="101">
        <f t="shared" ca="1" si="227"/>
        <v>0</v>
      </c>
      <c r="Z1172" s="133" t="str">
        <f>IF(TYPE((VLOOKUP(Первоначальный[[#This Row],[Дата платежа]],График[Срок конец],1,0)))=16,"",1)</f>
        <v/>
      </c>
      <c r="AA1172" s="57"/>
      <c r="AB1172" s="134"/>
      <c r="AC117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7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84186.789999999979</v>
      </c>
      <c r="AE117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5372.5899999999838</v>
      </c>
      <c r="AF117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7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279779.18150163861</v>
      </c>
      <c r="AH1172" s="55"/>
      <c r="AI1172" s="55"/>
      <c r="AJ1172" s="55"/>
      <c r="AK1172" s="101">
        <f t="shared" ca="1" si="228"/>
        <v>518971.90150163858</v>
      </c>
      <c r="AL1172" s="129">
        <f t="array" ref="AL1172">MAX((УслРестрактов[Характеристика]="Дата реструктуризации")*(УслРестрактов[Значение]=Первоначальный!$A1172),0)</f>
        <v>0</v>
      </c>
    </row>
    <row r="1173" spans="1:38" x14ac:dyDescent="0.25">
      <c r="A1173" s="97">
        <f t="shared" si="221"/>
        <v>45304</v>
      </c>
      <c r="B1173" s="100">
        <f t="shared" ca="1" si="222"/>
        <v>149633.34</v>
      </c>
      <c r="C1173" s="55">
        <f t="shared" ca="1" si="218"/>
        <v>84186.789999999979</v>
      </c>
      <c r="D1173" s="55">
        <f t="shared" ca="1" si="218"/>
        <v>5372.5899999999838</v>
      </c>
      <c r="E1173" s="55">
        <f t="shared" ca="1" si="223"/>
        <v>0</v>
      </c>
      <c r="F1173" s="55">
        <f t="shared" ca="1" si="224"/>
        <v>279779.18150163861</v>
      </c>
      <c r="G1173" s="101">
        <f t="shared" ca="1" si="225"/>
        <v>518971.90150163858</v>
      </c>
      <c r="H1173" s="100">
        <f ca="1">ROUND($B1173*VLOOKUP($A1173,$A$1:$B$10,2,1)/(365+IF(MOD(YEAR($A1173),4),0,1)*($A1173-$A1172)),2)-Первоначальный[[#This Row],[Проценты на просроченный платеж по ОД за период]]</f>
        <v>70.319999999999993</v>
      </c>
      <c r="I1173" s="55">
        <f t="shared" ca="1" si="226"/>
        <v>11.04</v>
      </c>
      <c r="J1173" s="55">
        <v>0</v>
      </c>
      <c r="K1173" s="55">
        <f t="shared" ca="1" si="229"/>
        <v>521.3935032786884</v>
      </c>
      <c r="L1173" s="55">
        <v>0</v>
      </c>
      <c r="M1173" s="113">
        <f>SUMIFS(График[Возврат основной суммы долга],График[Дата с учетом нерабочих дней],$A1173)</f>
        <v>0</v>
      </c>
      <c r="N1173" s="56">
        <f>SUMIFS(График[Возврат начисленных %],График[Дата с учетом нерабочих дней],$A1173)</f>
        <v>0</v>
      </c>
      <c r="O1173" s="101">
        <v>0</v>
      </c>
      <c r="P1173" s="100" cm="1">
        <f t="array" aca="1" ref="P1173" ca="1">MAX(IF(AA1172="Да",0,SUM(INDIRECT("M"&amp;(MAX(("Да"=AA$12:AA1172)*ROW(AA$12:AA1172)+1,ROW($P$12))&amp;":M"&amp;(ROW()))))-SUM(INDIRECT("W"&amp;(MAX(("Да"=AA$12:AA1172)*ROW(AA$12:AA1172)+1,ROW($P$12))&amp;":W"&amp;(ROW()))))),0)</f>
        <v>20306.809999999998</v>
      </c>
      <c r="Q1173" s="99">
        <f ca="1">MAX(SUM($N$13:N1173)-SUM($T$13:T1173),0)</f>
        <v>83971.890655737676</v>
      </c>
      <c r="R1173" s="99">
        <f ca="1">Первоначальный[[#This Row],[Просроченный платеж по ОД]]+Первоначальный[[#This Row],[Просроченный платеж по процентам]]</f>
        <v>104278.70065573767</v>
      </c>
      <c r="S1173" s="120">
        <f ca="1">IF(Первоначальный[[#This Row],[Просроченный платеж]]&lt;1,0,S1172+1)</f>
        <v>1069</v>
      </c>
      <c r="T1173" s="100" cm="1">
        <f t="array" aca="1" ref="T1173" ca="1">IF(Первоначальный[[#This Row],[Итого остаток на начало периода]]&lt;1,0,
IF(
AND(TYPE(VLOOKUP(1,$Z$12:Z1173,1,0))=16,Первоначальный[[#This Row],[Досрочное погашение (да/"")]]=""),0,
_xlfn.IFS(AND(S1172=0,Первоначальный[[#This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платеж]]&lt;&gt;0),MIN(LOOKUP(,-1/($Z$12:Z1173=1),$C$12:C1173)+LOOKUP(,-1/($Z$12:Z1173=1),$H$12:H1173),Первоначальный[[#This Row],[Полученный платеж]]+Y1172),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платеж]]+Y1172,SUM(Первоначальный[[#This Row],[Остаток процентов на начало периода]],Первоначальный[[#This Row],[Проценты за период]])),
AND(S1172=0,Первоначальный[[#This Row],[Дата платежа из графика]]=""),0,
AND(S1172=0,Первоначальный[[#This Row],[Дата платежа из графика]]=1,MAX((0&lt;&gt;S$12:S1172)*ROW(S$12:S1172),ROW($S$12))&gt;=MAX((1=Z$12:Z1172)*ROW(Z$12:Z1172),ROW($T$12)),TYPE(VLOOKUP("Да",(INDIRECT("AA"&amp;(MAX((1=Z$12:Z1172)*ROW(Z$12:Z1172),ROW($T$12))&amp;":AA"&amp;(ROW()-1)))),1,0))=16),MIN(LOOKUP(,-1/($Z$12:Z1173=1),$C$12:C1173)+LOOKUP(,-1/($Z$12:Z1173=1),$H$12:H1173),Первоначальный[[#This Row],[Полученный платеж]]+Y1172),
AND(S1172=0,TYPE(VLOOKUP("Да",(INDIRECT("AA"&amp;(MAX((1=Z$12:Z1172)*ROW(Z$12:Z1172),ROW($T$12))&amp;":AA"&amp;(ROW()-1)))),1,0))&lt;&gt;16),MIN(LOOKUP(,-1/($Z$12:Z1173=1),$C$12:C1173)+LOOKUP(,-1/($Z$12:Z1173=1),$H$12:H1173)-IF(AA1172="Да",0,SUM(INDIRECT("T"&amp;(MAX(("Да"=AA$12:AA1172)*ROW(AA$12:AA1172)+1,ROW($T$12))&amp;":T"&amp;(ROW()-1))))),Первоначальный[[#This Row],[Полученный платеж]]+Y1172),
AND(S1172=0,MAX((0&lt;&gt;N$12:N1172)*ROW(N$12:N1172),ROW($S$12))&gt;=MAX((1=Z$12:Z1172)*ROW(Z$12:Z1172),ROW($T$12))),MIN(LOOKUP(,-1/($Z$12:Z1173=1),$C$12:C1173)+LOOKUP(,-1/($Z$12:Z1173=1),$H$12:H1173)-IF(N1172&lt;&gt;0,0,SUM(INDIRECT("T"&amp;(MAX((0&lt;&gt;N$12:N1172)*ROW(N$12:N1172)+1,ROW($T$12))&amp;":T"&amp;(ROW()-1))))),Первоначальный[[#This Row],[Полученный платеж]]+Y1172),
AND(S1172=0,Первоначальный[[#This Row],[Дата платежа из графика]]=1),MIN(LOOKUP(,-1/($Z$12:Z1173=1),$C$12:C1173)+LOOKUP(,-1/($Z$12:Z1173=1),$H$12:H1173)-IF(Z1172=1,0,SUM(INDIRECT("T"&amp;(MAX((1=Z$12:Z1172)*ROW(Z$12:Z1172)+1,ROW($T$12))&amp;":T"&amp;(ROW()-1))))),Первоначальный[[#This Row],[Полученный платеж]]+Y1172),
AND(Z1172&gt;0,Первоначальный[[#This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платеж]]+Y1172),
AND(S1172&gt;0,MAX((0&lt;&gt;S$12:S1172)*ROW(S$12:S1172),ROW($S$12))&gt;=MAX((1=Z$12:Z1172)*ROW(Z$12:Z1172),ROW($T$12)),TYPE(VLOOKUP("Да",(INDIRECT("AA"&amp;(MAX((1=Z$12:Z1172)*ROW(Z$12:Z1172),ROW($T$12))&amp;":AA"&amp;(ROW()-1)))),1,0))=16),MIN(LOOKUP(,-1/($Z$12:Z1173=1),$C$12:C1173)+LOOKUP(,-1/($Z$12:Z1173=1),$H$12:H1173)-SUM(INDIRECT("T"&amp;(MAX((1=Z$12:Z1172)*ROW(Z$12:Z1172),ROW($T$12))&amp;":T"&amp;(ROW()-1)))),Первоначальный[[#This Row],[Полученный платеж]]+Y1172),
S1172&gt;0,MIN(LOOKUP(,-1/($Z$12:Z1173=1),$C$12:C1173)+LOOKUP(,-1/($Z$12:Z1173=1),$H$12:H1173)-IF(Z1172=1,0,SUM(INDIRECT("T"&amp;(MAX((1=Z$12:Z1172)*ROW(Z$12:Z1172)+1,ROW($T$12))&amp;":T"&amp;(ROW()-1))))),Первоначальный[[#This Row],[Полученный платеж]]+Y1172)
)
)
)</f>
        <v>0</v>
      </c>
      <c r="U117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платеж]]+Y1172-Первоначальный[[#This Row],[Полученный платёж по процентам]])</f>
        <v>0</v>
      </c>
      <c r="V1173" s="55">
        <f t="shared" ca="1" si="219"/>
        <v>0</v>
      </c>
      <c r="W1173" s="55" cm="1">
        <f t="array" aca="1" ref="W1173" ca="1">IF(Первоначальный[[#This Row],[Итого остаток на начало периода]]&lt;1,0,
_xlfn.IFS(
AND(TYPE(VLOOKUP(1,$Z$12:Z1173,1,0))=16,Первоначальный[[#This Row],[Досрочное погашение (да/"")]]=""),0,
AND(S1172=0,Первоначальный[[#This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платеж]]+Y1172-SUM(Первоначальный[[#This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комиссиям]]),VLOOKUP(LOOKUP(,-1/($Z$12:Z1173=1),$A$12:A1173),График[[Срок конец]:[Возврат основной суммы долга]],3,0)),
AND(S1172=0,Первоначальный[[#This Row],[Дата платежа из графика]]="",Первоначальный[[#This Row],[Досрочное погашение (да/"")]]&lt;&gt;"Да"),0,
AND(S1172=0,Первоначальный[[#This Row],[Досрочное погашение (да/"")]]=""),MIN(Первоначальный[[#This Row],[Полученный платеж]]+Y1172-SUM(Первоначальный[[#This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комиссиям]]),VLOOKUP(LOOKUP(,-1/($Z$12:Z1173=1),$A$12:A1173),График[[Срок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платеж]]+Y1172-SUM(Первоначальный[[#This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S1172&gt;0,MIN(Первоначальный[[#This Row],[Полученный платеж]]+Y1172-SUM(Первоначальный[[#This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комиссиям]]),SUM(INDIRECT("M"&amp;(MAX((1=S$12:S1172)*ROW(S$12:S1172),ROW($W$12))&amp;":M"&amp;(ROW()))))-SUM(INDIRECT("W"&amp;(MAX((1=S$12:S1172)*ROW(S$12:S1172),ROW($W$12))&amp;":W"&amp;(ROW()-1)))))
)
)</f>
        <v>0</v>
      </c>
      <c r="X1173" s="55">
        <f t="shared" ca="1" si="220"/>
        <v>0</v>
      </c>
      <c r="Y1173" s="101">
        <f t="shared" ca="1" si="227"/>
        <v>0</v>
      </c>
      <c r="Z1173" s="133" t="str">
        <f>IF(TYPE((VLOOKUP(Первоначальный[[#This Row],[Дата платежа]],График[Срок конец],1,0)))=16,"",1)</f>
        <v/>
      </c>
      <c r="AA1173" s="57"/>
      <c r="AB1173" s="134"/>
      <c r="AC117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7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84257.109999999986</v>
      </c>
      <c r="AE117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5383.6299999999837</v>
      </c>
      <c r="AF117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7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280300.57500491728</v>
      </c>
      <c r="AH1173" s="55"/>
      <c r="AI1173" s="55"/>
      <c r="AJ1173" s="55"/>
      <c r="AK1173" s="101">
        <f t="shared" ca="1" si="228"/>
        <v>519574.65500491724</v>
      </c>
      <c r="AL1173" s="129">
        <f t="array" ref="AL1173">MAX((УслРестрактов[Характеристика]="Дата реструктуризации")*(УслРестрактов[Значение]=Первоначальный!$A1173),0)</f>
        <v>0</v>
      </c>
    </row>
    <row r="1174" spans="1:38" x14ac:dyDescent="0.25">
      <c r="A1174" s="97">
        <f t="shared" si="221"/>
        <v>45305</v>
      </c>
      <c r="B1174" s="100">
        <f t="shared" ca="1" si="222"/>
        <v>149633.34</v>
      </c>
      <c r="C1174" s="55">
        <f t="shared" ca="1" si="218"/>
        <v>84257.109999999986</v>
      </c>
      <c r="D1174" s="55">
        <f t="shared" ca="1" si="218"/>
        <v>5383.6299999999837</v>
      </c>
      <c r="E1174" s="55">
        <f t="shared" ca="1" si="223"/>
        <v>0</v>
      </c>
      <c r="F1174" s="55">
        <f t="shared" ca="1" si="224"/>
        <v>280300.57500491728</v>
      </c>
      <c r="G1174" s="101">
        <f t="shared" ca="1" si="225"/>
        <v>519574.65500491724</v>
      </c>
      <c r="H1174" s="100">
        <f ca="1">ROUND($B1174*VLOOKUP($A1174,$A$1:$B$10,2,1)/(365+IF(MOD(YEAR($A1174),4),0,1)*($A1174-$A1173)),2)-Первоначальный[[#This Row],[Проценты на просроченный платеж по ОД за период]]</f>
        <v>70.319999999999993</v>
      </c>
      <c r="I1174" s="55">
        <f t="shared" ca="1" si="226"/>
        <v>11.04</v>
      </c>
      <c r="J1174" s="55">
        <v>0</v>
      </c>
      <c r="K1174" s="55">
        <f t="shared" ca="1" si="229"/>
        <v>521.3935032786884</v>
      </c>
      <c r="L1174" s="55">
        <v>0</v>
      </c>
      <c r="M1174" s="113">
        <f>SUMIFS(График[Возврат основной суммы долга],График[Дата с учетом нерабочих дней],$A1174)</f>
        <v>0</v>
      </c>
      <c r="N1174" s="56">
        <f>SUMIFS(График[Возврат начисленных %],График[Дата с учетом нерабочих дней],$A1174)</f>
        <v>0</v>
      </c>
      <c r="O1174" s="101">
        <v>0</v>
      </c>
      <c r="P1174" s="100" cm="1">
        <f t="array" aca="1" ref="P1174" ca="1">MAX(IF(AA1173="Да",0,SUM(INDIRECT("M"&amp;(MAX(("Да"=AA$12:AA1173)*ROW(AA$12:AA1173)+1,ROW($P$12))&amp;":M"&amp;(ROW()))))-SUM(INDIRECT("W"&amp;(MAX(("Да"=AA$12:AA1173)*ROW(AA$12:AA1173)+1,ROW($P$12))&amp;":W"&amp;(ROW()))))),0)</f>
        <v>20306.809999999998</v>
      </c>
      <c r="Q1174" s="99">
        <f ca="1">MAX(SUM($N$13:N1174)-SUM($T$13:T1174),0)</f>
        <v>83971.890655737676</v>
      </c>
      <c r="R1174" s="99">
        <f ca="1">Первоначальный[[#This Row],[Просроченный платеж по ОД]]+Первоначальный[[#This Row],[Просроченный платеж по процентам]]</f>
        <v>104278.70065573767</v>
      </c>
      <c r="S1174" s="120">
        <f ca="1">IF(Первоначальный[[#This Row],[Просроченный платеж]]&lt;1,0,S1173+1)</f>
        <v>1070</v>
      </c>
      <c r="T1174" s="100" cm="1">
        <f t="array" aca="1" ref="T1174" ca="1">IF(Первоначальный[[#This Row],[Итого остаток на начало периода]]&lt;1,0,
IF(
AND(TYPE(VLOOKUP(1,$Z$12:Z1174,1,0))=16,Первоначальный[[#This Row],[Досрочное погашение (да/"")]]=""),0,
_xlfn.IFS(AND(S1173=0,Первоначальный[[#This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платеж]]&lt;&gt;0),MIN(LOOKUP(,-1/($Z$12:Z1174=1),$C$12:C1174)+LOOKUP(,-1/($Z$12:Z1174=1),$H$12:H1174),Первоначальный[[#This Row],[Полученный платеж]]+Y1173),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платеж]]+Y1173,SUM(Первоначальный[[#This Row],[Остаток процентов на начало периода]],Первоначальный[[#This Row],[Проценты за период]])),
AND(S1173=0,Первоначальный[[#This Row],[Дата платежа из графика]]=""),0,
AND(S1173=0,Первоначальный[[#This Row],[Дата платежа из графика]]=1,MAX((0&lt;&gt;S$12:S1173)*ROW(S$12:S1173),ROW($S$12))&gt;=MAX((1=Z$12:Z1173)*ROW(Z$12:Z1173),ROW($T$12)),TYPE(VLOOKUP("Да",(INDIRECT("AA"&amp;(MAX((1=Z$12:Z1173)*ROW(Z$12:Z1173),ROW($T$12))&amp;":AA"&amp;(ROW()-1)))),1,0))=16),MIN(LOOKUP(,-1/($Z$12:Z1174=1),$C$12:C1174)+LOOKUP(,-1/($Z$12:Z1174=1),$H$12:H1174),Первоначальный[[#This Row],[Полученный платеж]]+Y1173),
AND(S1173=0,TYPE(VLOOKUP("Да",(INDIRECT("AA"&amp;(MAX((1=Z$12:Z1173)*ROW(Z$12:Z1173),ROW($T$12))&amp;":AA"&amp;(ROW()-1)))),1,0))&lt;&gt;16),MIN(LOOKUP(,-1/($Z$12:Z1174=1),$C$12:C1174)+LOOKUP(,-1/($Z$12:Z1174=1),$H$12:H1174)-IF(AA1173="Да",0,SUM(INDIRECT("T"&amp;(MAX(("Да"=AA$12:AA1173)*ROW(AA$12:AA1173)+1,ROW($T$12))&amp;":T"&amp;(ROW()-1))))),Первоначальный[[#This Row],[Полученный платеж]]+Y1173),
AND(S1173=0,MAX((0&lt;&gt;N$12:N1173)*ROW(N$12:N1173),ROW($S$12))&gt;=MAX((1=Z$12:Z1173)*ROW(Z$12:Z1173),ROW($T$12))),MIN(LOOKUP(,-1/($Z$12:Z1174=1),$C$12:C1174)+LOOKUP(,-1/($Z$12:Z1174=1),$H$12:H1174)-IF(N1173&lt;&gt;0,0,SUM(INDIRECT("T"&amp;(MAX((0&lt;&gt;N$12:N1173)*ROW(N$12:N1173)+1,ROW($T$12))&amp;":T"&amp;(ROW()-1))))),Первоначальный[[#This Row],[Полученный платеж]]+Y1173),
AND(S1173=0,Первоначальный[[#This Row],[Дата платежа из графика]]=1),MIN(LOOKUP(,-1/($Z$12:Z1174=1),$C$12:C1174)+LOOKUP(,-1/($Z$12:Z1174=1),$H$12:H1174)-IF(Z1173=1,0,SUM(INDIRECT("T"&amp;(MAX((1=Z$12:Z1173)*ROW(Z$12:Z1173)+1,ROW($T$12))&amp;":T"&amp;(ROW()-1))))),Первоначальный[[#This Row],[Полученный платеж]]+Y1173),
AND(Z1173&gt;0,Первоначальный[[#This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платеж]]+Y1173),
AND(S1173&gt;0,MAX((0&lt;&gt;S$12:S1173)*ROW(S$12:S1173),ROW($S$12))&gt;=MAX((1=Z$12:Z1173)*ROW(Z$12:Z1173),ROW($T$12)),TYPE(VLOOKUP("Да",(INDIRECT("AA"&amp;(MAX((1=Z$12:Z1173)*ROW(Z$12:Z1173),ROW($T$12))&amp;":AA"&amp;(ROW()-1)))),1,0))=16),MIN(LOOKUP(,-1/($Z$12:Z1174=1),$C$12:C1174)+LOOKUP(,-1/($Z$12:Z1174=1),$H$12:H1174)-SUM(INDIRECT("T"&amp;(MAX((1=Z$12:Z1173)*ROW(Z$12:Z1173),ROW($T$12))&amp;":T"&amp;(ROW()-1)))),Первоначальный[[#This Row],[Полученный платеж]]+Y1173),
S1173&gt;0,MIN(LOOKUP(,-1/($Z$12:Z1174=1),$C$12:C1174)+LOOKUP(,-1/($Z$12:Z1174=1),$H$12:H1174)-IF(Z1173=1,0,SUM(INDIRECT("T"&amp;(MAX((1=Z$12:Z1173)*ROW(Z$12:Z1173)+1,ROW($T$12))&amp;":T"&amp;(ROW()-1))))),Первоначальный[[#This Row],[Полученный платеж]]+Y1173)
)
)
)</f>
        <v>0</v>
      </c>
      <c r="U117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платеж]]+Y1173-Первоначальный[[#This Row],[Полученный платёж по процентам]])</f>
        <v>0</v>
      </c>
      <c r="V1174" s="55">
        <f t="shared" ca="1" si="219"/>
        <v>0</v>
      </c>
      <c r="W1174" s="55" cm="1">
        <f t="array" aca="1" ref="W1174" ca="1">IF(Первоначальный[[#This Row],[Итого остаток на начало периода]]&lt;1,0,
_xlfn.IFS(
AND(TYPE(VLOOKUP(1,$Z$12:Z1174,1,0))=16,Первоначальный[[#This Row],[Досрочное погашение (да/"")]]=""),0,
AND(S1173=0,Первоначальный[[#This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платеж]]+Y1173-SUM(Первоначальный[[#This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комиссиям]]),VLOOKUP(LOOKUP(,-1/($Z$12:Z1174=1),$A$12:A1174),График[[Срок конец]:[Возврат основной суммы долга]],3,0)),
AND(S1173=0,Первоначальный[[#This Row],[Дата платежа из графика]]="",Первоначальный[[#This Row],[Досрочное погашение (да/"")]]&lt;&gt;"Да"),0,
AND(S1173=0,Первоначальный[[#This Row],[Досрочное погашение (да/"")]]=""),MIN(Первоначальный[[#This Row],[Полученный платеж]]+Y1173-SUM(Первоначальный[[#This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комиссиям]]),VLOOKUP(LOOKUP(,-1/($Z$12:Z1174=1),$A$12:A1174),График[[Срок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платеж]]+Y1173-SUM(Первоначальный[[#This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S1173&gt;0,MIN(Первоначальный[[#This Row],[Полученный платеж]]+Y1173-SUM(Первоначальный[[#This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комиссиям]]),SUM(INDIRECT("M"&amp;(MAX((1=S$12:S1173)*ROW(S$12:S1173),ROW($W$12))&amp;":M"&amp;(ROW()))))-SUM(INDIRECT("W"&amp;(MAX((1=S$12:S1173)*ROW(S$12:S1173),ROW($W$12))&amp;":W"&amp;(ROW()-1)))))
)
)</f>
        <v>0</v>
      </c>
      <c r="X1174" s="55">
        <f t="shared" ca="1" si="220"/>
        <v>0</v>
      </c>
      <c r="Y1174" s="101">
        <f t="shared" ca="1" si="227"/>
        <v>0</v>
      </c>
      <c r="Z1174" s="133" t="str">
        <f>IF(TYPE((VLOOKUP(Первоначальный[[#This Row],[Дата платежа]],График[Срок конец],1,0)))=16,"",1)</f>
        <v/>
      </c>
      <c r="AA1174" s="57"/>
      <c r="AB1174" s="134"/>
      <c r="AC117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7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84327.43</v>
      </c>
      <c r="AE117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5394.6699999999837</v>
      </c>
      <c r="AF117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7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280821.96850819595</v>
      </c>
      <c r="AH1174" s="55"/>
      <c r="AI1174" s="55"/>
      <c r="AJ1174" s="55"/>
      <c r="AK1174" s="101">
        <f t="shared" ca="1" si="228"/>
        <v>520177.40850819589</v>
      </c>
      <c r="AL1174" s="129">
        <f t="array" ref="AL1174">MAX((УслРестрактов[Характеристика]="Дата реструктуризации")*(УслРестрактов[Значение]=Первоначальный!$A1174),0)</f>
        <v>0</v>
      </c>
    </row>
    <row r="1175" spans="1:38" x14ac:dyDescent="0.25">
      <c r="A1175" s="97">
        <f t="shared" si="221"/>
        <v>45306</v>
      </c>
      <c r="B1175" s="100">
        <f t="shared" ca="1" si="222"/>
        <v>149633.34</v>
      </c>
      <c r="C1175" s="55">
        <f t="shared" ca="1" si="218"/>
        <v>84327.43</v>
      </c>
      <c r="D1175" s="55">
        <f t="shared" ca="1" si="218"/>
        <v>5394.6699999999837</v>
      </c>
      <c r="E1175" s="55">
        <f t="shared" ca="1" si="223"/>
        <v>0</v>
      </c>
      <c r="F1175" s="55">
        <f t="shared" ca="1" si="224"/>
        <v>280821.96850819595</v>
      </c>
      <c r="G1175" s="101">
        <f t="shared" ca="1" si="225"/>
        <v>520177.40850819589</v>
      </c>
      <c r="H1175" s="100">
        <f ca="1">ROUND($B1175*VLOOKUP($A1175,$A$1:$B$10,2,1)/(365+IF(MOD(YEAR($A1175),4),0,1)*($A1175-$A1174)),2)-Первоначальный[[#This Row],[Проценты на просроченный платеж по ОД за период]]</f>
        <v>70.319999999999993</v>
      </c>
      <c r="I1175" s="55">
        <f t="shared" ca="1" si="226"/>
        <v>11.04</v>
      </c>
      <c r="J1175" s="55">
        <v>0</v>
      </c>
      <c r="K1175" s="55">
        <f t="shared" ca="1" si="229"/>
        <v>521.3935032786884</v>
      </c>
      <c r="L1175" s="55">
        <v>0</v>
      </c>
      <c r="M1175" s="113">
        <f>SUMIFS(График[Возврат основной суммы долга],График[Дата с учетом нерабочих дней],$A1175)</f>
        <v>0</v>
      </c>
      <c r="N1175" s="56">
        <f>SUMIFS(График[Возврат начисленных %],График[Дата с учетом нерабочих дней],$A1175)</f>
        <v>0</v>
      </c>
      <c r="O1175" s="101">
        <v>0</v>
      </c>
      <c r="P1175" s="100" cm="1">
        <f t="array" aca="1" ref="P1175" ca="1">MAX(IF(AA1174="Да",0,SUM(INDIRECT("M"&amp;(MAX(("Да"=AA$12:AA1174)*ROW(AA$12:AA1174)+1,ROW($P$12))&amp;":M"&amp;(ROW()))))-SUM(INDIRECT("W"&amp;(MAX(("Да"=AA$12:AA1174)*ROW(AA$12:AA1174)+1,ROW($P$12))&amp;":W"&amp;(ROW()))))),0)</f>
        <v>20306.809999999998</v>
      </c>
      <c r="Q1175" s="99">
        <f ca="1">MAX(SUM($N$13:N1175)-SUM($T$13:T1175),0)</f>
        <v>83971.890655737676</v>
      </c>
      <c r="R1175" s="99">
        <f ca="1">Первоначальный[[#This Row],[Просроченный платеж по ОД]]+Первоначальный[[#This Row],[Просроченный платеж по процентам]]</f>
        <v>104278.70065573767</v>
      </c>
      <c r="S1175" s="120">
        <f ca="1">IF(Первоначальный[[#This Row],[Просроченный платеж]]&lt;1,0,S1174+1)</f>
        <v>1071</v>
      </c>
      <c r="T1175" s="100" cm="1">
        <f t="array" aca="1" ref="T1175" ca="1">IF(Первоначальный[[#This Row],[Итого остаток на начало периода]]&lt;1,0,
IF(
AND(TYPE(VLOOKUP(1,$Z$12:Z1175,1,0))=16,Первоначальный[[#This Row],[Досрочное погашение (да/"")]]=""),0,
_xlfn.IFS(AND(S1174=0,Первоначальный[[#This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платеж]]&lt;&gt;0),MIN(LOOKUP(,-1/($Z$12:Z1175=1),$C$12:C1175)+LOOKUP(,-1/($Z$12:Z1175=1),$H$12:H1175),Первоначальный[[#This Row],[Полученный платеж]]+Y1174),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платеж]]+Y1174,SUM(Первоначальный[[#This Row],[Остаток процентов на начало периода]],Первоначальный[[#This Row],[Проценты за период]])),
AND(S1174=0,Первоначальный[[#This Row],[Дата платежа из графика]]=""),0,
AND(S1174=0,Первоначальный[[#This Row],[Дата платежа из графика]]=1,MAX((0&lt;&gt;S$12:S1174)*ROW(S$12:S1174),ROW($S$12))&gt;=MAX((1=Z$12:Z1174)*ROW(Z$12:Z1174),ROW($T$12)),TYPE(VLOOKUP("Да",(INDIRECT("AA"&amp;(MAX((1=Z$12:Z1174)*ROW(Z$12:Z1174),ROW($T$12))&amp;":AA"&amp;(ROW()-1)))),1,0))=16),MIN(LOOKUP(,-1/($Z$12:Z1175=1),$C$12:C1175)+LOOKUP(,-1/($Z$12:Z1175=1),$H$12:H1175),Первоначальный[[#This Row],[Полученный платеж]]+Y1174),
AND(S1174=0,TYPE(VLOOKUP("Да",(INDIRECT("AA"&amp;(MAX((1=Z$12:Z1174)*ROW(Z$12:Z1174),ROW($T$12))&amp;":AA"&amp;(ROW()-1)))),1,0))&lt;&gt;16),MIN(LOOKUP(,-1/($Z$12:Z1175=1),$C$12:C1175)+LOOKUP(,-1/($Z$12:Z1175=1),$H$12:H1175)-IF(AA1174="Да",0,SUM(INDIRECT("T"&amp;(MAX(("Да"=AA$12:AA1174)*ROW(AA$12:AA1174)+1,ROW($T$12))&amp;":T"&amp;(ROW()-1))))),Первоначальный[[#This Row],[Полученный платеж]]+Y1174),
AND(S1174=0,MAX((0&lt;&gt;N$12:N1174)*ROW(N$12:N1174),ROW($S$12))&gt;=MAX((1=Z$12:Z1174)*ROW(Z$12:Z1174),ROW($T$12))),MIN(LOOKUP(,-1/($Z$12:Z1175=1),$C$12:C1175)+LOOKUP(,-1/($Z$12:Z1175=1),$H$12:H1175)-IF(N1174&lt;&gt;0,0,SUM(INDIRECT("T"&amp;(MAX((0&lt;&gt;N$12:N1174)*ROW(N$12:N1174)+1,ROW($T$12))&amp;":T"&amp;(ROW()-1))))),Первоначальный[[#This Row],[Полученный платеж]]+Y1174),
AND(S1174=0,Первоначальный[[#This Row],[Дата платежа из графика]]=1),MIN(LOOKUP(,-1/($Z$12:Z1175=1),$C$12:C1175)+LOOKUP(,-1/($Z$12:Z1175=1),$H$12:H1175)-IF(Z1174=1,0,SUM(INDIRECT("T"&amp;(MAX((1=Z$12:Z1174)*ROW(Z$12:Z1174)+1,ROW($T$12))&amp;":T"&amp;(ROW()-1))))),Первоначальный[[#This Row],[Полученный платеж]]+Y1174),
AND(Z1174&gt;0,Первоначальный[[#This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платеж]]+Y1174),
AND(S1174&gt;0,MAX((0&lt;&gt;S$12:S1174)*ROW(S$12:S1174),ROW($S$12))&gt;=MAX((1=Z$12:Z1174)*ROW(Z$12:Z1174),ROW($T$12)),TYPE(VLOOKUP("Да",(INDIRECT("AA"&amp;(MAX((1=Z$12:Z1174)*ROW(Z$12:Z1174),ROW($T$12))&amp;":AA"&amp;(ROW()-1)))),1,0))=16),MIN(LOOKUP(,-1/($Z$12:Z1175=1),$C$12:C1175)+LOOKUP(,-1/($Z$12:Z1175=1),$H$12:H1175)-SUM(INDIRECT("T"&amp;(MAX((1=Z$12:Z1174)*ROW(Z$12:Z1174),ROW($T$12))&amp;":T"&amp;(ROW()-1)))),Первоначальный[[#This Row],[Полученный платеж]]+Y1174),
S1174&gt;0,MIN(LOOKUP(,-1/($Z$12:Z1175=1),$C$12:C1175)+LOOKUP(,-1/($Z$12:Z1175=1),$H$12:H1175)-IF(Z1174=1,0,SUM(INDIRECT("T"&amp;(MAX((1=Z$12:Z1174)*ROW(Z$12:Z1174)+1,ROW($T$12))&amp;":T"&amp;(ROW()-1))))),Первоначальный[[#This Row],[Полученный платеж]]+Y1174)
)
)
)</f>
        <v>0</v>
      </c>
      <c r="U117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платеж]]+Y1174-Первоначальный[[#This Row],[Полученный платёж по процентам]])</f>
        <v>0</v>
      </c>
      <c r="V1175" s="55">
        <f t="shared" ca="1" si="219"/>
        <v>0</v>
      </c>
      <c r="W1175" s="55" cm="1">
        <f t="array" aca="1" ref="W1175" ca="1">IF(Первоначальный[[#This Row],[Итого остаток на начало периода]]&lt;1,0,
_xlfn.IFS(
AND(TYPE(VLOOKUP(1,$Z$12:Z1175,1,0))=16,Первоначальный[[#This Row],[Досрочное погашение (да/"")]]=""),0,
AND(S1174=0,Первоначальный[[#This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платеж]]+Y1174-SUM(Первоначальный[[#This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комиссиям]]),VLOOKUP(LOOKUP(,-1/($Z$12:Z1175=1),$A$12:A1175),График[[Срок конец]:[Возврат основной суммы долга]],3,0)),
AND(S1174=0,Первоначальный[[#This Row],[Дата платежа из графика]]="",Первоначальный[[#This Row],[Досрочное погашение (да/"")]]&lt;&gt;"Да"),0,
AND(S1174=0,Первоначальный[[#This Row],[Досрочное погашение (да/"")]]=""),MIN(Первоначальный[[#This Row],[Полученный платеж]]+Y1174-SUM(Первоначальный[[#This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комиссиям]]),VLOOKUP(LOOKUP(,-1/($Z$12:Z1175=1),$A$12:A1175),График[[Срок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платеж]]+Y1174-SUM(Первоначальный[[#This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S1174&gt;0,MIN(Первоначальный[[#This Row],[Полученный платеж]]+Y1174-SUM(Первоначальный[[#This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комиссиям]]),SUM(INDIRECT("M"&amp;(MAX((1=S$12:S1174)*ROW(S$12:S1174),ROW($W$12))&amp;":M"&amp;(ROW()))))-SUM(INDIRECT("W"&amp;(MAX((1=S$12:S1174)*ROW(S$12:S1174),ROW($W$12))&amp;":W"&amp;(ROW()-1)))))
)
)</f>
        <v>0</v>
      </c>
      <c r="X1175" s="55">
        <f t="shared" ca="1" si="220"/>
        <v>0</v>
      </c>
      <c r="Y1175" s="101">
        <f t="shared" ca="1" si="227"/>
        <v>0</v>
      </c>
      <c r="Z1175" s="133" t="str">
        <f>IF(TYPE((VLOOKUP(Первоначальный[[#This Row],[Дата платежа]],График[Срок конец],1,0)))=16,"",1)</f>
        <v/>
      </c>
      <c r="AA1175" s="57"/>
      <c r="AB1175" s="134"/>
      <c r="AC117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7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84397.75</v>
      </c>
      <c r="AE117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5405.7099999999837</v>
      </c>
      <c r="AF117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7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281343.36201147462</v>
      </c>
      <c r="AH1175" s="55"/>
      <c r="AI1175" s="55"/>
      <c r="AJ1175" s="55"/>
      <c r="AK1175" s="101">
        <f t="shared" ca="1" si="228"/>
        <v>520780.1620114746</v>
      </c>
      <c r="AL1175" s="129">
        <f t="array" ref="AL1175">MAX((УслРестрактов[Характеристика]="Дата реструктуризации")*(УслРестрактов[Значение]=Первоначальный!$A1175),0)</f>
        <v>0</v>
      </c>
    </row>
    <row r="1176" spans="1:38" x14ac:dyDescent="0.25">
      <c r="A1176" s="97">
        <f t="shared" si="221"/>
        <v>45307</v>
      </c>
      <c r="B1176" s="100">
        <f t="shared" ca="1" si="222"/>
        <v>149633.34</v>
      </c>
      <c r="C1176" s="55">
        <f t="shared" ca="1" si="218"/>
        <v>84397.75</v>
      </c>
      <c r="D1176" s="55">
        <f t="shared" ca="1" si="218"/>
        <v>5405.7099999999837</v>
      </c>
      <c r="E1176" s="55">
        <f t="shared" ca="1" si="223"/>
        <v>0</v>
      </c>
      <c r="F1176" s="55">
        <f t="shared" ca="1" si="224"/>
        <v>281343.36201147462</v>
      </c>
      <c r="G1176" s="101">
        <f t="shared" ca="1" si="225"/>
        <v>520780.1620114746</v>
      </c>
      <c r="H1176" s="100">
        <f ca="1">ROUND($B1176*VLOOKUP($A1176,$A$1:$B$10,2,1)/(365+IF(MOD(YEAR($A1176),4),0,1)*($A1176-$A1175)),2)-Первоначальный[[#This Row],[Проценты на просроченный платеж по ОД за период]]</f>
        <v>70.319999999999993</v>
      </c>
      <c r="I1176" s="55">
        <f t="shared" ca="1" si="226"/>
        <v>11.04</v>
      </c>
      <c r="J1176" s="55">
        <v>0</v>
      </c>
      <c r="K1176" s="55">
        <f t="shared" ca="1" si="229"/>
        <v>521.3935032786884</v>
      </c>
      <c r="L1176" s="55">
        <v>0</v>
      </c>
      <c r="M1176" s="113">
        <f>SUMIFS(График[Возврат основной суммы долга],График[Дата с учетом нерабочих дней],$A1176)</f>
        <v>0</v>
      </c>
      <c r="N1176" s="56">
        <f>SUMIFS(График[Возврат начисленных %],График[Дата с учетом нерабочих дней],$A1176)</f>
        <v>0</v>
      </c>
      <c r="O1176" s="101">
        <v>0</v>
      </c>
      <c r="P1176" s="100" cm="1">
        <f t="array" aca="1" ref="P1176" ca="1">MAX(IF(AA1175="Да",0,SUM(INDIRECT("M"&amp;(MAX(("Да"=AA$12:AA1175)*ROW(AA$12:AA1175)+1,ROW($P$12))&amp;":M"&amp;(ROW()))))-SUM(INDIRECT("W"&amp;(MAX(("Да"=AA$12:AA1175)*ROW(AA$12:AA1175)+1,ROW($P$12))&amp;":W"&amp;(ROW()))))),0)</f>
        <v>20306.809999999998</v>
      </c>
      <c r="Q1176" s="99">
        <f ca="1">MAX(SUM($N$13:N1176)-SUM($T$13:T1176),0)</f>
        <v>83971.890655737676</v>
      </c>
      <c r="R1176" s="99">
        <f ca="1">Первоначальный[[#This Row],[Просроченный платеж по ОД]]+Первоначальный[[#This Row],[Просроченный платеж по процентам]]</f>
        <v>104278.70065573767</v>
      </c>
      <c r="S1176" s="120">
        <f ca="1">IF(Первоначальный[[#This Row],[Просроченный платеж]]&lt;1,0,S1175+1)</f>
        <v>1072</v>
      </c>
      <c r="T1176" s="100" cm="1">
        <f t="array" aca="1" ref="T1176" ca="1">IF(Первоначальный[[#This Row],[Итого остаток на начало периода]]&lt;1,0,
IF(
AND(TYPE(VLOOKUP(1,$Z$12:Z1176,1,0))=16,Первоначальный[[#This Row],[Досрочное погашение (да/"")]]=""),0,
_xlfn.IFS(AND(S1175=0,Первоначальный[[#This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платеж]]&lt;&gt;0),MIN(LOOKUP(,-1/($Z$12:Z1176=1),$C$12:C1176)+LOOKUP(,-1/($Z$12:Z1176=1),$H$12:H1176),Первоначальный[[#This Row],[Полученный платеж]]+Y1175),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платеж]]+Y1175,SUM(Первоначальный[[#This Row],[Остаток процентов на начало периода]],Первоначальный[[#This Row],[Проценты за период]])),
AND(S1175=0,Первоначальный[[#This Row],[Дата платежа из графика]]=""),0,
AND(S1175=0,Первоначальный[[#This Row],[Дата платежа из графика]]=1,MAX((0&lt;&gt;S$12:S1175)*ROW(S$12:S1175),ROW($S$12))&gt;=MAX((1=Z$12:Z1175)*ROW(Z$12:Z1175),ROW($T$12)),TYPE(VLOOKUP("Да",(INDIRECT("AA"&amp;(MAX((1=Z$12:Z1175)*ROW(Z$12:Z1175),ROW($T$12))&amp;":AA"&amp;(ROW()-1)))),1,0))=16),MIN(LOOKUP(,-1/($Z$12:Z1176=1),$C$12:C1176)+LOOKUP(,-1/($Z$12:Z1176=1),$H$12:H1176),Первоначальный[[#This Row],[Полученный платеж]]+Y1175),
AND(S1175=0,TYPE(VLOOKUP("Да",(INDIRECT("AA"&amp;(MAX((1=Z$12:Z1175)*ROW(Z$12:Z1175),ROW($T$12))&amp;":AA"&amp;(ROW()-1)))),1,0))&lt;&gt;16),MIN(LOOKUP(,-1/($Z$12:Z1176=1),$C$12:C1176)+LOOKUP(,-1/($Z$12:Z1176=1),$H$12:H1176)-IF(AA1175="Да",0,SUM(INDIRECT("T"&amp;(MAX(("Да"=AA$12:AA1175)*ROW(AA$12:AA1175)+1,ROW($T$12))&amp;":T"&amp;(ROW()-1))))),Первоначальный[[#This Row],[Полученный платеж]]+Y1175),
AND(S1175=0,MAX((0&lt;&gt;N$12:N1175)*ROW(N$12:N1175),ROW($S$12))&gt;=MAX((1=Z$12:Z1175)*ROW(Z$12:Z1175),ROW($T$12))),MIN(LOOKUP(,-1/($Z$12:Z1176=1),$C$12:C1176)+LOOKUP(,-1/($Z$12:Z1176=1),$H$12:H1176)-IF(N1175&lt;&gt;0,0,SUM(INDIRECT("T"&amp;(MAX((0&lt;&gt;N$12:N1175)*ROW(N$12:N1175)+1,ROW($T$12))&amp;":T"&amp;(ROW()-1))))),Первоначальный[[#This Row],[Полученный платеж]]+Y1175),
AND(S1175=0,Первоначальный[[#This Row],[Дата платежа из графика]]=1),MIN(LOOKUP(,-1/($Z$12:Z1176=1),$C$12:C1176)+LOOKUP(,-1/($Z$12:Z1176=1),$H$12:H1176)-IF(Z1175=1,0,SUM(INDIRECT("T"&amp;(MAX((1=Z$12:Z1175)*ROW(Z$12:Z1175)+1,ROW($T$12))&amp;":T"&amp;(ROW()-1))))),Первоначальный[[#This Row],[Полученный платеж]]+Y1175),
AND(Z1175&gt;0,Первоначальный[[#This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платеж]]+Y1175),
AND(S1175&gt;0,MAX((0&lt;&gt;S$12:S1175)*ROW(S$12:S1175),ROW($S$12))&gt;=MAX((1=Z$12:Z1175)*ROW(Z$12:Z1175),ROW($T$12)),TYPE(VLOOKUP("Да",(INDIRECT("AA"&amp;(MAX((1=Z$12:Z1175)*ROW(Z$12:Z1175),ROW($T$12))&amp;":AA"&amp;(ROW()-1)))),1,0))=16),MIN(LOOKUP(,-1/($Z$12:Z1176=1),$C$12:C1176)+LOOKUP(,-1/($Z$12:Z1176=1),$H$12:H1176)-SUM(INDIRECT("T"&amp;(MAX((1=Z$12:Z1175)*ROW(Z$12:Z1175),ROW($T$12))&amp;":T"&amp;(ROW()-1)))),Первоначальный[[#This Row],[Полученный платеж]]+Y1175),
S1175&gt;0,MIN(LOOKUP(,-1/($Z$12:Z1176=1),$C$12:C1176)+LOOKUP(,-1/($Z$12:Z1176=1),$H$12:H1176)-IF(Z1175=1,0,SUM(INDIRECT("T"&amp;(MAX((1=Z$12:Z1175)*ROW(Z$12:Z1175)+1,ROW($T$12))&amp;":T"&amp;(ROW()-1))))),Первоначальный[[#This Row],[Полученный платеж]]+Y1175)
)
)
)</f>
        <v>0</v>
      </c>
      <c r="U117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платеж]]+Y1175-Первоначальный[[#This Row],[Полученный платёж по процентам]])</f>
        <v>0</v>
      </c>
      <c r="V1176" s="55">
        <f t="shared" ca="1" si="219"/>
        <v>0</v>
      </c>
      <c r="W1176" s="55" cm="1">
        <f t="array" aca="1" ref="W1176" ca="1">IF(Первоначальный[[#This Row],[Итого остаток на начало периода]]&lt;1,0,
_xlfn.IFS(
AND(TYPE(VLOOKUP(1,$Z$12:Z1176,1,0))=16,Первоначальный[[#This Row],[Досрочное погашение (да/"")]]=""),0,
AND(S1175=0,Первоначальный[[#This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платеж]]+Y1175-SUM(Первоначальный[[#This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комиссиям]]),VLOOKUP(LOOKUP(,-1/($Z$12:Z1176=1),$A$12:A1176),График[[Срок конец]:[Возврат основной суммы долга]],3,0)),
AND(S1175=0,Первоначальный[[#This Row],[Дата платежа из графика]]="",Первоначальный[[#This Row],[Досрочное погашение (да/"")]]&lt;&gt;"Да"),0,
AND(S1175=0,Первоначальный[[#This Row],[Досрочное погашение (да/"")]]=""),MIN(Первоначальный[[#This Row],[Полученный платеж]]+Y1175-SUM(Первоначальный[[#This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комиссиям]]),VLOOKUP(LOOKUP(,-1/($Z$12:Z1176=1),$A$12:A1176),График[[Срок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платеж]]+Y1175-SUM(Первоначальный[[#This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S1175&gt;0,MIN(Первоначальный[[#This Row],[Полученный платеж]]+Y1175-SUM(Первоначальный[[#This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комиссиям]]),SUM(INDIRECT("M"&amp;(MAX((1=S$12:S1175)*ROW(S$12:S1175),ROW($W$12))&amp;":M"&amp;(ROW()))))-SUM(INDIRECT("W"&amp;(MAX((1=S$12:S1175)*ROW(S$12:S1175),ROW($W$12))&amp;":W"&amp;(ROW()-1)))))
)
)</f>
        <v>0</v>
      </c>
      <c r="X1176" s="55">
        <f t="shared" ca="1" si="220"/>
        <v>0</v>
      </c>
      <c r="Y1176" s="101">
        <f t="shared" ca="1" si="227"/>
        <v>0</v>
      </c>
      <c r="Z1176" s="133" t="str">
        <f>IF(TYPE((VLOOKUP(Первоначальный[[#This Row],[Дата платежа]],График[Срок конец],1,0)))=16,"",1)</f>
        <v/>
      </c>
      <c r="AA1176" s="57"/>
      <c r="AB1176" s="134"/>
      <c r="AC117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7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84468.07</v>
      </c>
      <c r="AE117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5416.7499999999836</v>
      </c>
      <c r="AF117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7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281864.75551475328</v>
      </c>
      <c r="AH1176" s="55"/>
      <c r="AI1176" s="55"/>
      <c r="AJ1176" s="55"/>
      <c r="AK1176" s="101">
        <f t="shared" ca="1" si="228"/>
        <v>521382.91551475326</v>
      </c>
      <c r="AL1176" s="129">
        <f t="array" ref="AL1176">MAX((УслРестрактов[Характеристика]="Дата реструктуризации")*(УслРестрактов[Значение]=Первоначальный!$A1176),0)</f>
        <v>0</v>
      </c>
    </row>
    <row r="1177" spans="1:38" x14ac:dyDescent="0.25">
      <c r="A1177" s="97">
        <f t="shared" si="221"/>
        <v>45308</v>
      </c>
      <c r="B1177" s="100">
        <f t="shared" ca="1" si="222"/>
        <v>149633.34</v>
      </c>
      <c r="C1177" s="55">
        <f t="shared" ca="1" si="218"/>
        <v>84468.07</v>
      </c>
      <c r="D1177" s="55">
        <f t="shared" ca="1" si="218"/>
        <v>5416.7499999999836</v>
      </c>
      <c r="E1177" s="55">
        <f t="shared" ca="1" si="223"/>
        <v>0</v>
      </c>
      <c r="F1177" s="55">
        <f t="shared" ca="1" si="224"/>
        <v>281864.75551475328</v>
      </c>
      <c r="G1177" s="101">
        <f t="shared" ca="1" si="225"/>
        <v>521382.91551475326</v>
      </c>
      <c r="H1177" s="100">
        <f ca="1">ROUND($B1177*VLOOKUP($A1177,$A$1:$B$10,2,1)/(365+IF(MOD(YEAR($A1177),4),0,1)*($A1177-$A1176)),2)-Первоначальный[[#This Row],[Проценты на просроченный платеж по ОД за период]]</f>
        <v>70.319999999999993</v>
      </c>
      <c r="I1177" s="55">
        <f t="shared" ca="1" si="226"/>
        <v>11.04</v>
      </c>
      <c r="J1177" s="55">
        <v>0</v>
      </c>
      <c r="K1177" s="55">
        <f t="shared" ca="1" si="229"/>
        <v>521.3935032786884</v>
      </c>
      <c r="L1177" s="55">
        <v>0</v>
      </c>
      <c r="M1177" s="113">
        <f>SUMIFS(График[Возврат основной суммы долга],График[Дата с учетом нерабочих дней],$A1177)</f>
        <v>0</v>
      </c>
      <c r="N1177" s="56">
        <f>SUMIFS(График[Возврат начисленных %],График[Дата с учетом нерабочих дней],$A1177)</f>
        <v>0</v>
      </c>
      <c r="O1177" s="101">
        <v>0</v>
      </c>
      <c r="P1177" s="100" cm="1">
        <f t="array" aca="1" ref="P1177" ca="1">MAX(IF(AA1176="Да",0,SUM(INDIRECT("M"&amp;(MAX(("Да"=AA$12:AA1176)*ROW(AA$12:AA1176)+1,ROW($P$12))&amp;":M"&amp;(ROW()))))-SUM(INDIRECT("W"&amp;(MAX(("Да"=AA$12:AA1176)*ROW(AA$12:AA1176)+1,ROW($P$12))&amp;":W"&amp;(ROW()))))),0)</f>
        <v>20306.809999999998</v>
      </c>
      <c r="Q1177" s="99">
        <f ca="1">MAX(SUM($N$13:N1177)-SUM($T$13:T1177),0)</f>
        <v>83971.890655737676</v>
      </c>
      <c r="R1177" s="99">
        <f ca="1">Первоначальный[[#This Row],[Просроченный платеж по ОД]]+Первоначальный[[#This Row],[Просроченный платеж по процентам]]</f>
        <v>104278.70065573767</v>
      </c>
      <c r="S1177" s="120">
        <f ca="1">IF(Первоначальный[[#This Row],[Просроченный платеж]]&lt;1,0,S1176+1)</f>
        <v>1073</v>
      </c>
      <c r="T1177" s="100" cm="1">
        <f t="array" aca="1" ref="T1177" ca="1">IF(Первоначальный[[#This Row],[Итого остаток на начало периода]]&lt;1,0,
IF(
AND(TYPE(VLOOKUP(1,$Z$12:Z1177,1,0))=16,Первоначальный[[#This Row],[Досрочное погашение (да/"")]]=""),0,
_xlfn.IFS(AND(S1176=0,Первоначальный[[#This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платеж]]&lt;&gt;0),MIN(LOOKUP(,-1/($Z$12:Z1177=1),$C$12:C1177)+LOOKUP(,-1/($Z$12:Z1177=1),$H$12:H1177),Первоначальный[[#This Row],[Полученный платеж]]+Y1176),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платеж]]+Y1176,SUM(Первоначальный[[#This Row],[Остаток процентов на начало периода]],Первоначальный[[#This Row],[Проценты за период]])),
AND(S1176=0,Первоначальный[[#This Row],[Дата платежа из графика]]=""),0,
AND(S1176=0,Первоначальный[[#This Row],[Дата платежа из графика]]=1,MAX((0&lt;&gt;S$12:S1176)*ROW(S$12:S1176),ROW($S$12))&gt;=MAX((1=Z$12:Z1176)*ROW(Z$12:Z1176),ROW($T$12)),TYPE(VLOOKUP("Да",(INDIRECT("AA"&amp;(MAX((1=Z$12:Z1176)*ROW(Z$12:Z1176),ROW($T$12))&amp;":AA"&amp;(ROW()-1)))),1,0))=16),MIN(LOOKUP(,-1/($Z$12:Z1177=1),$C$12:C1177)+LOOKUP(,-1/($Z$12:Z1177=1),$H$12:H1177),Первоначальный[[#This Row],[Полученный платеж]]+Y1176),
AND(S1176=0,TYPE(VLOOKUP("Да",(INDIRECT("AA"&amp;(MAX((1=Z$12:Z1176)*ROW(Z$12:Z1176),ROW($T$12))&amp;":AA"&amp;(ROW()-1)))),1,0))&lt;&gt;16),MIN(LOOKUP(,-1/($Z$12:Z1177=1),$C$12:C1177)+LOOKUP(,-1/($Z$12:Z1177=1),$H$12:H1177)-IF(AA1176="Да",0,SUM(INDIRECT("T"&amp;(MAX(("Да"=AA$12:AA1176)*ROW(AA$12:AA1176)+1,ROW($T$12))&amp;":T"&amp;(ROW()-1))))),Первоначальный[[#This Row],[Полученный платеж]]+Y1176),
AND(S1176=0,MAX((0&lt;&gt;N$12:N1176)*ROW(N$12:N1176),ROW($S$12))&gt;=MAX((1=Z$12:Z1176)*ROW(Z$12:Z1176),ROW($T$12))),MIN(LOOKUP(,-1/($Z$12:Z1177=1),$C$12:C1177)+LOOKUP(,-1/($Z$12:Z1177=1),$H$12:H1177)-IF(N1176&lt;&gt;0,0,SUM(INDIRECT("T"&amp;(MAX((0&lt;&gt;N$12:N1176)*ROW(N$12:N1176)+1,ROW($T$12))&amp;":T"&amp;(ROW()-1))))),Первоначальный[[#This Row],[Полученный платеж]]+Y1176),
AND(S1176=0,Первоначальный[[#This Row],[Дата платежа из графика]]=1),MIN(LOOKUP(,-1/($Z$12:Z1177=1),$C$12:C1177)+LOOKUP(,-1/($Z$12:Z1177=1),$H$12:H1177)-IF(Z1176=1,0,SUM(INDIRECT("T"&amp;(MAX((1=Z$12:Z1176)*ROW(Z$12:Z1176)+1,ROW($T$12))&amp;":T"&amp;(ROW()-1))))),Первоначальный[[#This Row],[Полученный платеж]]+Y1176),
AND(Z1176&gt;0,Первоначальный[[#This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платеж]]+Y1176),
AND(S1176&gt;0,MAX((0&lt;&gt;S$12:S1176)*ROW(S$12:S1176),ROW($S$12))&gt;=MAX((1=Z$12:Z1176)*ROW(Z$12:Z1176),ROW($T$12)),TYPE(VLOOKUP("Да",(INDIRECT("AA"&amp;(MAX((1=Z$12:Z1176)*ROW(Z$12:Z1176),ROW($T$12))&amp;":AA"&amp;(ROW()-1)))),1,0))=16),MIN(LOOKUP(,-1/($Z$12:Z1177=1),$C$12:C1177)+LOOKUP(,-1/($Z$12:Z1177=1),$H$12:H1177)-SUM(INDIRECT("T"&amp;(MAX((1=Z$12:Z1176)*ROW(Z$12:Z1176),ROW($T$12))&amp;":T"&amp;(ROW()-1)))),Первоначальный[[#This Row],[Полученный платеж]]+Y1176),
S1176&gt;0,MIN(LOOKUP(,-1/($Z$12:Z1177=1),$C$12:C1177)+LOOKUP(,-1/($Z$12:Z1177=1),$H$12:H1177)-IF(Z1176=1,0,SUM(INDIRECT("T"&amp;(MAX((1=Z$12:Z1176)*ROW(Z$12:Z1176)+1,ROW($T$12))&amp;":T"&amp;(ROW()-1))))),Первоначальный[[#This Row],[Полученный платеж]]+Y1176)
)
)
)</f>
        <v>0</v>
      </c>
      <c r="U117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платеж]]+Y1176-Первоначальный[[#This Row],[Полученный платёж по процентам]])</f>
        <v>0</v>
      </c>
      <c r="V1177" s="55">
        <f t="shared" ca="1" si="219"/>
        <v>0</v>
      </c>
      <c r="W1177" s="55" cm="1">
        <f t="array" aca="1" ref="W1177" ca="1">IF(Первоначальный[[#This Row],[Итого остаток на начало периода]]&lt;1,0,
_xlfn.IFS(
AND(TYPE(VLOOKUP(1,$Z$12:Z1177,1,0))=16,Первоначальный[[#This Row],[Досрочное погашение (да/"")]]=""),0,
AND(S1176=0,Первоначальный[[#This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платеж]]+Y1176-SUM(Первоначальный[[#This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комиссиям]]),VLOOKUP(LOOKUP(,-1/($Z$12:Z1177=1),$A$12:A1177),График[[Срок конец]:[Возврат основной суммы долга]],3,0)),
AND(S1176=0,Первоначальный[[#This Row],[Дата платежа из графика]]="",Первоначальный[[#This Row],[Досрочное погашение (да/"")]]&lt;&gt;"Да"),0,
AND(S1176=0,Первоначальный[[#This Row],[Досрочное погашение (да/"")]]=""),MIN(Первоначальный[[#This Row],[Полученный платеж]]+Y1176-SUM(Первоначальный[[#This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комиссиям]]),VLOOKUP(LOOKUP(,-1/($Z$12:Z1177=1),$A$12:A1177),График[[Срок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платеж]]+Y1176-SUM(Первоначальный[[#This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S1176&gt;0,MIN(Первоначальный[[#This Row],[Полученный платеж]]+Y1176-SUM(Первоначальный[[#This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комиссиям]]),SUM(INDIRECT("M"&amp;(MAX((1=S$12:S1176)*ROW(S$12:S1176),ROW($W$12))&amp;":M"&amp;(ROW()))))-SUM(INDIRECT("W"&amp;(MAX((1=S$12:S1176)*ROW(S$12:S1176),ROW($W$12))&amp;":W"&amp;(ROW()-1)))))
)
)</f>
        <v>0</v>
      </c>
      <c r="X1177" s="55">
        <f t="shared" ca="1" si="220"/>
        <v>0</v>
      </c>
      <c r="Y1177" s="101">
        <f t="shared" ca="1" si="227"/>
        <v>0</v>
      </c>
      <c r="Z1177" s="133" t="str">
        <f>IF(TYPE((VLOOKUP(Первоначальный[[#This Row],[Дата платежа]],График[Срок конец],1,0)))=16,"",1)</f>
        <v/>
      </c>
      <c r="AA1177" s="57"/>
      <c r="AB1177" s="134"/>
      <c r="AC117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7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84538.390000000014</v>
      </c>
      <c r="AE117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5427.7899999999836</v>
      </c>
      <c r="AF117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7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282386.14901803195</v>
      </c>
      <c r="AH1177" s="55"/>
      <c r="AI1177" s="55"/>
      <c r="AJ1177" s="55"/>
      <c r="AK1177" s="101">
        <f t="shared" ca="1" si="228"/>
        <v>521985.66901803191</v>
      </c>
      <c r="AL1177" s="129">
        <f t="array" ref="AL1177">MAX((УслРестрактов[Характеристика]="Дата реструктуризации")*(УслРестрактов[Значение]=Первоначальный!$A1177),0)</f>
        <v>0</v>
      </c>
    </row>
    <row r="1178" spans="1:38" x14ac:dyDescent="0.25">
      <c r="A1178" s="97">
        <f t="shared" si="221"/>
        <v>45309</v>
      </c>
      <c r="B1178" s="100">
        <f t="shared" ca="1" si="222"/>
        <v>149633.34</v>
      </c>
      <c r="C1178" s="55">
        <f t="shared" ca="1" si="218"/>
        <v>84538.390000000014</v>
      </c>
      <c r="D1178" s="55">
        <f t="shared" ca="1" si="218"/>
        <v>5427.7899999999836</v>
      </c>
      <c r="E1178" s="55">
        <f t="shared" ca="1" si="223"/>
        <v>0</v>
      </c>
      <c r="F1178" s="55">
        <f t="shared" ca="1" si="224"/>
        <v>282386.14901803195</v>
      </c>
      <c r="G1178" s="101">
        <f t="shared" ca="1" si="225"/>
        <v>521985.66901803191</v>
      </c>
      <c r="H1178" s="100">
        <f ca="1">ROUND($B1178*VLOOKUP($A1178,$A$1:$B$10,2,1)/(365+IF(MOD(YEAR($A1178),4),0,1)*($A1178-$A1177)),2)-Первоначальный[[#This Row],[Проценты на просроченный платеж по ОД за период]]</f>
        <v>70.319999999999993</v>
      </c>
      <c r="I1178" s="55">
        <f t="shared" ca="1" si="226"/>
        <v>11.04</v>
      </c>
      <c r="J1178" s="55">
        <v>0</v>
      </c>
      <c r="K1178" s="55">
        <f t="shared" ca="1" si="229"/>
        <v>521.3935032786884</v>
      </c>
      <c r="L1178" s="55">
        <v>0</v>
      </c>
      <c r="M1178" s="113">
        <f>SUMIFS(График[Возврат основной суммы долга],График[Дата с учетом нерабочих дней],$A1178)</f>
        <v>0</v>
      </c>
      <c r="N1178" s="56">
        <f>SUMIFS(График[Возврат начисленных %],График[Дата с учетом нерабочих дней],$A1178)</f>
        <v>0</v>
      </c>
      <c r="O1178" s="101">
        <v>0</v>
      </c>
      <c r="P1178" s="100" cm="1">
        <f t="array" aca="1" ref="P1178" ca="1">MAX(IF(AA1177="Да",0,SUM(INDIRECT("M"&amp;(MAX(("Да"=AA$12:AA1177)*ROW(AA$12:AA1177)+1,ROW($P$12))&amp;":M"&amp;(ROW()))))-SUM(INDIRECT("W"&amp;(MAX(("Да"=AA$12:AA1177)*ROW(AA$12:AA1177)+1,ROW($P$12))&amp;":W"&amp;(ROW()))))),0)</f>
        <v>20306.809999999998</v>
      </c>
      <c r="Q1178" s="99">
        <f ca="1">MAX(SUM($N$13:N1178)-SUM($T$13:T1178),0)</f>
        <v>83971.890655737676</v>
      </c>
      <c r="R1178" s="99">
        <f ca="1">Первоначальный[[#This Row],[Просроченный платеж по ОД]]+Первоначальный[[#This Row],[Просроченный платеж по процентам]]</f>
        <v>104278.70065573767</v>
      </c>
      <c r="S1178" s="120">
        <f ca="1">IF(Первоначальный[[#This Row],[Просроченный платеж]]&lt;1,0,S1177+1)</f>
        <v>1074</v>
      </c>
      <c r="T1178" s="100" cm="1">
        <f t="array" aca="1" ref="T1178" ca="1">IF(Первоначальный[[#This Row],[Итого остаток на начало периода]]&lt;1,0,
IF(
AND(TYPE(VLOOKUP(1,$Z$12:Z1178,1,0))=16,Первоначальный[[#This Row],[Досрочное погашение (да/"")]]=""),0,
_xlfn.IFS(AND(S1177=0,Первоначальный[[#This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платеж]]&lt;&gt;0),MIN(LOOKUP(,-1/($Z$12:Z1178=1),$C$12:C1178)+LOOKUP(,-1/($Z$12:Z1178=1),$H$12:H1178),Первоначальный[[#This Row],[Полученный платеж]]+Y1177),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платеж]]+Y1177,SUM(Первоначальный[[#This Row],[Остаток процентов на начало периода]],Первоначальный[[#This Row],[Проценты за период]])),
AND(S1177=0,Первоначальный[[#This Row],[Дата платежа из графика]]=""),0,
AND(S1177=0,Первоначальный[[#This Row],[Дата платежа из графика]]=1,MAX((0&lt;&gt;S$12:S1177)*ROW(S$12:S1177),ROW($S$12))&gt;=MAX((1=Z$12:Z1177)*ROW(Z$12:Z1177),ROW($T$12)),TYPE(VLOOKUP("Да",(INDIRECT("AA"&amp;(MAX((1=Z$12:Z1177)*ROW(Z$12:Z1177),ROW($T$12))&amp;":AA"&amp;(ROW()-1)))),1,0))=16),MIN(LOOKUP(,-1/($Z$12:Z1178=1),$C$12:C1178)+LOOKUP(,-1/($Z$12:Z1178=1),$H$12:H1178),Первоначальный[[#This Row],[Полученный платеж]]+Y1177),
AND(S1177=0,TYPE(VLOOKUP("Да",(INDIRECT("AA"&amp;(MAX((1=Z$12:Z1177)*ROW(Z$12:Z1177),ROW($T$12))&amp;":AA"&amp;(ROW()-1)))),1,0))&lt;&gt;16),MIN(LOOKUP(,-1/($Z$12:Z1178=1),$C$12:C1178)+LOOKUP(,-1/($Z$12:Z1178=1),$H$12:H1178)-IF(AA1177="Да",0,SUM(INDIRECT("T"&amp;(MAX(("Да"=AA$12:AA1177)*ROW(AA$12:AA1177)+1,ROW($T$12))&amp;":T"&amp;(ROW()-1))))),Первоначальный[[#This Row],[Полученный платеж]]+Y1177),
AND(S1177=0,MAX((0&lt;&gt;N$12:N1177)*ROW(N$12:N1177),ROW($S$12))&gt;=MAX((1=Z$12:Z1177)*ROW(Z$12:Z1177),ROW($T$12))),MIN(LOOKUP(,-1/($Z$12:Z1178=1),$C$12:C1178)+LOOKUP(,-1/($Z$12:Z1178=1),$H$12:H1178)-IF(N1177&lt;&gt;0,0,SUM(INDIRECT("T"&amp;(MAX((0&lt;&gt;N$12:N1177)*ROW(N$12:N1177)+1,ROW($T$12))&amp;":T"&amp;(ROW()-1))))),Первоначальный[[#This Row],[Полученный платеж]]+Y1177),
AND(S1177=0,Первоначальный[[#This Row],[Дата платежа из графика]]=1),MIN(LOOKUP(,-1/($Z$12:Z1178=1),$C$12:C1178)+LOOKUP(,-1/($Z$12:Z1178=1),$H$12:H1178)-IF(Z1177=1,0,SUM(INDIRECT("T"&amp;(MAX((1=Z$12:Z1177)*ROW(Z$12:Z1177)+1,ROW($T$12))&amp;":T"&amp;(ROW()-1))))),Первоначальный[[#This Row],[Полученный платеж]]+Y1177),
AND(Z1177&gt;0,Первоначальный[[#This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платеж]]+Y1177),
AND(S1177&gt;0,MAX((0&lt;&gt;S$12:S1177)*ROW(S$12:S1177),ROW($S$12))&gt;=MAX((1=Z$12:Z1177)*ROW(Z$12:Z1177),ROW($T$12)),TYPE(VLOOKUP("Да",(INDIRECT("AA"&amp;(MAX((1=Z$12:Z1177)*ROW(Z$12:Z1177),ROW($T$12))&amp;":AA"&amp;(ROW()-1)))),1,0))=16),MIN(LOOKUP(,-1/($Z$12:Z1178=1),$C$12:C1178)+LOOKUP(,-1/($Z$12:Z1178=1),$H$12:H1178)-SUM(INDIRECT("T"&amp;(MAX((1=Z$12:Z1177)*ROW(Z$12:Z1177),ROW($T$12))&amp;":T"&amp;(ROW()-1)))),Первоначальный[[#This Row],[Полученный платеж]]+Y1177),
S1177&gt;0,MIN(LOOKUP(,-1/($Z$12:Z1178=1),$C$12:C1178)+LOOKUP(,-1/($Z$12:Z1178=1),$H$12:H1178)-IF(Z1177=1,0,SUM(INDIRECT("T"&amp;(MAX((1=Z$12:Z1177)*ROW(Z$12:Z1177)+1,ROW($T$12))&amp;":T"&amp;(ROW()-1))))),Первоначальный[[#This Row],[Полученный платеж]]+Y1177)
)
)
)</f>
        <v>0</v>
      </c>
      <c r="U117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платеж]]+Y1177-Первоначальный[[#This Row],[Полученный платёж по процентам]])</f>
        <v>0</v>
      </c>
      <c r="V1178" s="55">
        <f t="shared" ca="1" si="219"/>
        <v>0</v>
      </c>
      <c r="W1178" s="55" cm="1">
        <f t="array" aca="1" ref="W1178" ca="1">IF(Первоначальный[[#This Row],[Итого остаток на начало периода]]&lt;1,0,
_xlfn.IFS(
AND(TYPE(VLOOKUP(1,$Z$12:Z1178,1,0))=16,Первоначальный[[#This Row],[Досрочное погашение (да/"")]]=""),0,
AND(S1177=0,Первоначальный[[#This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платеж]]+Y1177-SUM(Первоначальный[[#This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комиссиям]]),VLOOKUP(LOOKUP(,-1/($Z$12:Z1178=1),$A$12:A1178),График[[Срок конец]:[Возврат основной суммы долга]],3,0)),
AND(S1177=0,Первоначальный[[#This Row],[Дата платежа из графика]]="",Первоначальный[[#This Row],[Досрочное погашение (да/"")]]&lt;&gt;"Да"),0,
AND(S1177=0,Первоначальный[[#This Row],[Досрочное погашение (да/"")]]=""),MIN(Первоначальный[[#This Row],[Полученный платеж]]+Y1177-SUM(Первоначальный[[#This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комиссиям]]),VLOOKUP(LOOKUP(,-1/($Z$12:Z1178=1),$A$12:A1178),График[[Срок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платеж]]+Y1177-SUM(Первоначальный[[#This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S1177&gt;0,MIN(Первоначальный[[#This Row],[Полученный платеж]]+Y1177-SUM(Первоначальный[[#This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комиссиям]]),SUM(INDIRECT("M"&amp;(MAX((1=S$12:S1177)*ROW(S$12:S1177),ROW($W$12))&amp;":M"&amp;(ROW()))))-SUM(INDIRECT("W"&amp;(MAX((1=S$12:S1177)*ROW(S$12:S1177),ROW($W$12))&amp;":W"&amp;(ROW()-1)))))
)
)</f>
        <v>0</v>
      </c>
      <c r="X1178" s="55">
        <f t="shared" ca="1" si="220"/>
        <v>0</v>
      </c>
      <c r="Y1178" s="101">
        <f t="shared" ca="1" si="227"/>
        <v>0</v>
      </c>
      <c r="Z1178" s="133" t="str">
        <f>IF(TYPE((VLOOKUP(Первоначальный[[#This Row],[Дата платежа]],График[Срок конец],1,0)))=16,"",1)</f>
        <v/>
      </c>
      <c r="AA1178" s="57"/>
      <c r="AB1178" s="134"/>
      <c r="AC117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7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84608.710000000021</v>
      </c>
      <c r="AE117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5438.8299999999836</v>
      </c>
      <c r="AF117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7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282907.54252131062</v>
      </c>
      <c r="AH1178" s="55"/>
      <c r="AI1178" s="55"/>
      <c r="AJ1178" s="55"/>
      <c r="AK1178" s="101">
        <f t="shared" ca="1" si="228"/>
        <v>522588.42252131063</v>
      </c>
      <c r="AL1178" s="129">
        <f t="array" ref="AL1178">MAX((УслРестрактов[Характеристика]="Дата реструктуризации")*(УслРестрактов[Значение]=Первоначальный!$A1178),0)</f>
        <v>0</v>
      </c>
    </row>
    <row r="1179" spans="1:38" x14ac:dyDescent="0.25">
      <c r="A1179" s="97">
        <f t="shared" si="221"/>
        <v>45310</v>
      </c>
      <c r="B1179" s="100">
        <f t="shared" ca="1" si="222"/>
        <v>149633.34</v>
      </c>
      <c r="C1179" s="55">
        <f t="shared" ca="1" si="218"/>
        <v>84608.710000000021</v>
      </c>
      <c r="D1179" s="55">
        <f t="shared" ca="1" si="218"/>
        <v>5438.8299999999836</v>
      </c>
      <c r="E1179" s="55">
        <f t="shared" ca="1" si="223"/>
        <v>0</v>
      </c>
      <c r="F1179" s="55">
        <f t="shared" ca="1" si="224"/>
        <v>282907.54252131062</v>
      </c>
      <c r="G1179" s="101">
        <f t="shared" ca="1" si="225"/>
        <v>522588.42252131063</v>
      </c>
      <c r="H1179" s="100">
        <f ca="1">ROUND($B1179*VLOOKUP($A1179,$A$1:$B$10,2,1)/(365+IF(MOD(YEAR($A1179),4),0,1)*($A1179-$A1178)),2)-Первоначальный[[#This Row],[Проценты на просроченный платеж по ОД за период]]</f>
        <v>70.319999999999993</v>
      </c>
      <c r="I1179" s="55">
        <f t="shared" ca="1" si="226"/>
        <v>11.04</v>
      </c>
      <c r="J1179" s="55">
        <v>0</v>
      </c>
      <c r="K1179" s="55">
        <f t="shared" ca="1" si="229"/>
        <v>521.3935032786884</v>
      </c>
      <c r="L1179" s="55">
        <v>0</v>
      </c>
      <c r="M1179" s="113">
        <f>SUMIFS(График[Возврат основной суммы долга],График[Дата с учетом нерабочих дней],$A1179)</f>
        <v>0</v>
      </c>
      <c r="N1179" s="56">
        <f>SUMIFS(График[Возврат начисленных %],График[Дата с учетом нерабочих дней],$A1179)</f>
        <v>0</v>
      </c>
      <c r="O1179" s="101">
        <v>0</v>
      </c>
      <c r="P1179" s="100" cm="1">
        <f t="array" aca="1" ref="P1179" ca="1">MAX(IF(AA1178="Да",0,SUM(INDIRECT("M"&amp;(MAX(("Да"=AA$12:AA1178)*ROW(AA$12:AA1178)+1,ROW($P$12))&amp;":M"&amp;(ROW()))))-SUM(INDIRECT("W"&amp;(MAX(("Да"=AA$12:AA1178)*ROW(AA$12:AA1178)+1,ROW($P$12))&amp;":W"&amp;(ROW()))))),0)</f>
        <v>20306.809999999998</v>
      </c>
      <c r="Q1179" s="99">
        <f ca="1">MAX(SUM($N$13:N1179)-SUM($T$13:T1179),0)</f>
        <v>83971.890655737676</v>
      </c>
      <c r="R1179" s="99">
        <f ca="1">Первоначальный[[#This Row],[Просроченный платеж по ОД]]+Первоначальный[[#This Row],[Просроченный платеж по процентам]]</f>
        <v>104278.70065573767</v>
      </c>
      <c r="S1179" s="120">
        <f ca="1">IF(Первоначальный[[#This Row],[Просроченный платеж]]&lt;1,0,S1178+1)</f>
        <v>1075</v>
      </c>
      <c r="T1179" s="100" cm="1">
        <f t="array" aca="1" ref="T1179" ca="1">IF(Первоначальный[[#This Row],[Итого остаток на начало периода]]&lt;1,0,
IF(
AND(TYPE(VLOOKUP(1,$Z$12:Z1179,1,0))=16,Первоначальный[[#This Row],[Досрочное погашение (да/"")]]=""),0,
_xlfn.IFS(AND(S1178=0,Первоначальный[[#This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платеж]]&lt;&gt;0),MIN(LOOKUP(,-1/($Z$12:Z1179=1),$C$12:C1179)+LOOKUP(,-1/($Z$12:Z1179=1),$H$12:H1179),Первоначальный[[#This Row],[Полученный платеж]]+Y1178),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платеж]]+Y1178,SUM(Первоначальный[[#This Row],[Остаток процентов на начало периода]],Первоначальный[[#This Row],[Проценты за период]])),
AND(S1178=0,Первоначальный[[#This Row],[Дата платежа из графика]]=""),0,
AND(S1178=0,Первоначальный[[#This Row],[Дата платежа из графика]]=1,MAX((0&lt;&gt;S$12:S1178)*ROW(S$12:S1178),ROW($S$12))&gt;=MAX((1=Z$12:Z1178)*ROW(Z$12:Z1178),ROW($T$12)),TYPE(VLOOKUP("Да",(INDIRECT("AA"&amp;(MAX((1=Z$12:Z1178)*ROW(Z$12:Z1178),ROW($T$12))&amp;":AA"&amp;(ROW()-1)))),1,0))=16),MIN(LOOKUP(,-1/($Z$12:Z1179=1),$C$12:C1179)+LOOKUP(,-1/($Z$12:Z1179=1),$H$12:H1179),Первоначальный[[#This Row],[Полученный платеж]]+Y1178),
AND(S1178=0,TYPE(VLOOKUP("Да",(INDIRECT("AA"&amp;(MAX((1=Z$12:Z1178)*ROW(Z$12:Z1178),ROW($T$12))&amp;":AA"&amp;(ROW()-1)))),1,0))&lt;&gt;16),MIN(LOOKUP(,-1/($Z$12:Z1179=1),$C$12:C1179)+LOOKUP(,-1/($Z$12:Z1179=1),$H$12:H1179)-IF(AA1178="Да",0,SUM(INDIRECT("T"&amp;(MAX(("Да"=AA$12:AA1178)*ROW(AA$12:AA1178)+1,ROW($T$12))&amp;":T"&amp;(ROW()-1))))),Первоначальный[[#This Row],[Полученный платеж]]+Y1178),
AND(S1178=0,MAX((0&lt;&gt;N$12:N1178)*ROW(N$12:N1178),ROW($S$12))&gt;=MAX((1=Z$12:Z1178)*ROW(Z$12:Z1178),ROW($T$12))),MIN(LOOKUP(,-1/($Z$12:Z1179=1),$C$12:C1179)+LOOKUP(,-1/($Z$12:Z1179=1),$H$12:H1179)-IF(N1178&lt;&gt;0,0,SUM(INDIRECT("T"&amp;(MAX((0&lt;&gt;N$12:N1178)*ROW(N$12:N1178)+1,ROW($T$12))&amp;":T"&amp;(ROW()-1))))),Первоначальный[[#This Row],[Полученный платеж]]+Y1178),
AND(S1178=0,Первоначальный[[#This Row],[Дата платежа из графика]]=1),MIN(LOOKUP(,-1/($Z$12:Z1179=1),$C$12:C1179)+LOOKUP(,-1/($Z$12:Z1179=1),$H$12:H1179)-IF(Z1178=1,0,SUM(INDIRECT("T"&amp;(MAX((1=Z$12:Z1178)*ROW(Z$12:Z1178)+1,ROW($T$12))&amp;":T"&amp;(ROW()-1))))),Первоначальный[[#This Row],[Полученный платеж]]+Y1178),
AND(Z1178&gt;0,Первоначальный[[#This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платеж]]+Y1178),
AND(S1178&gt;0,MAX((0&lt;&gt;S$12:S1178)*ROW(S$12:S1178),ROW($S$12))&gt;=MAX((1=Z$12:Z1178)*ROW(Z$12:Z1178),ROW($T$12)),TYPE(VLOOKUP("Да",(INDIRECT("AA"&amp;(MAX((1=Z$12:Z1178)*ROW(Z$12:Z1178),ROW($T$12))&amp;":AA"&amp;(ROW()-1)))),1,0))=16),MIN(LOOKUP(,-1/($Z$12:Z1179=1),$C$12:C1179)+LOOKUP(,-1/($Z$12:Z1179=1),$H$12:H1179)-SUM(INDIRECT("T"&amp;(MAX((1=Z$12:Z1178)*ROW(Z$12:Z1178),ROW($T$12))&amp;":T"&amp;(ROW()-1)))),Первоначальный[[#This Row],[Полученный платеж]]+Y1178),
S1178&gt;0,MIN(LOOKUP(,-1/($Z$12:Z1179=1),$C$12:C1179)+LOOKUP(,-1/($Z$12:Z1179=1),$H$12:H1179)-IF(Z1178=1,0,SUM(INDIRECT("T"&amp;(MAX((1=Z$12:Z1178)*ROW(Z$12:Z1178)+1,ROW($T$12))&amp;":T"&amp;(ROW()-1))))),Первоначальный[[#This Row],[Полученный платеж]]+Y1178)
)
)
)</f>
        <v>0</v>
      </c>
      <c r="U117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платеж]]+Y1178-Первоначальный[[#This Row],[Полученный платёж по процентам]])</f>
        <v>0</v>
      </c>
      <c r="V1179" s="55">
        <f t="shared" ca="1" si="219"/>
        <v>0</v>
      </c>
      <c r="W1179" s="55" cm="1">
        <f t="array" aca="1" ref="W1179" ca="1">IF(Первоначальный[[#This Row],[Итого остаток на начало периода]]&lt;1,0,
_xlfn.IFS(
AND(TYPE(VLOOKUP(1,$Z$12:Z1179,1,0))=16,Первоначальный[[#This Row],[Досрочное погашение (да/"")]]=""),0,
AND(S1178=0,Первоначальный[[#This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платеж]]+Y1178-SUM(Первоначальный[[#This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комиссиям]]),VLOOKUP(LOOKUP(,-1/($Z$12:Z1179=1),$A$12:A1179),График[[Срок конец]:[Возврат основной суммы долга]],3,0)),
AND(S1178=0,Первоначальный[[#This Row],[Дата платежа из графика]]="",Первоначальный[[#This Row],[Досрочное погашение (да/"")]]&lt;&gt;"Да"),0,
AND(S1178=0,Первоначальный[[#This Row],[Досрочное погашение (да/"")]]=""),MIN(Первоначальный[[#This Row],[Полученный платеж]]+Y1178-SUM(Первоначальный[[#This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комиссиям]]),VLOOKUP(LOOKUP(,-1/($Z$12:Z1179=1),$A$12:A1179),График[[Срок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платеж]]+Y1178-SUM(Первоначальный[[#This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S1178&gt;0,MIN(Первоначальный[[#This Row],[Полученный платеж]]+Y1178-SUM(Первоначальный[[#This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комиссиям]]),SUM(INDIRECT("M"&amp;(MAX((1=S$12:S1178)*ROW(S$12:S1178),ROW($W$12))&amp;":M"&amp;(ROW()))))-SUM(INDIRECT("W"&amp;(MAX((1=S$12:S1178)*ROW(S$12:S1178),ROW($W$12))&amp;":W"&amp;(ROW()-1)))))
)
)</f>
        <v>0</v>
      </c>
      <c r="X1179" s="55">
        <f t="shared" ca="1" si="220"/>
        <v>0</v>
      </c>
      <c r="Y1179" s="101">
        <f t="shared" ca="1" si="227"/>
        <v>0</v>
      </c>
      <c r="Z1179" s="133" t="str">
        <f>IF(TYPE((VLOOKUP(Первоначальный[[#This Row],[Дата платежа]],График[Срок конец],1,0)))=16,"",1)</f>
        <v/>
      </c>
      <c r="AA1179" s="57"/>
      <c r="AB1179" s="134"/>
      <c r="AC117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7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84679.030000000028</v>
      </c>
      <c r="AE117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5449.8699999999835</v>
      </c>
      <c r="AF117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7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283428.93602458929</v>
      </c>
      <c r="AH1179" s="55"/>
      <c r="AI1179" s="55"/>
      <c r="AJ1179" s="55"/>
      <c r="AK1179" s="101">
        <f t="shared" ca="1" si="228"/>
        <v>523191.17602458934</v>
      </c>
      <c r="AL1179" s="129">
        <f t="array" ref="AL1179">MAX((УслРестрактов[Характеристика]="Дата реструктуризации")*(УслРестрактов[Значение]=Первоначальный!$A1179),0)</f>
        <v>0</v>
      </c>
    </row>
    <row r="1180" spans="1:38" x14ac:dyDescent="0.25">
      <c r="A1180" s="97">
        <f t="shared" si="221"/>
        <v>45311</v>
      </c>
      <c r="B1180" s="100">
        <f t="shared" ca="1" si="222"/>
        <v>149633.34</v>
      </c>
      <c r="C1180" s="55">
        <f t="shared" ca="1" si="218"/>
        <v>84679.030000000028</v>
      </c>
      <c r="D1180" s="55">
        <f t="shared" ca="1" si="218"/>
        <v>5449.8699999999835</v>
      </c>
      <c r="E1180" s="55">
        <f t="shared" ca="1" si="223"/>
        <v>0</v>
      </c>
      <c r="F1180" s="55">
        <f t="shared" ca="1" si="224"/>
        <v>283428.93602458929</v>
      </c>
      <c r="G1180" s="101">
        <f t="shared" ca="1" si="225"/>
        <v>523191.17602458934</v>
      </c>
      <c r="H1180" s="100">
        <f ca="1">ROUND($B1180*VLOOKUP($A1180,$A$1:$B$10,2,1)/(365+IF(MOD(YEAR($A1180),4),0,1)*($A1180-$A1179)),2)-Первоначальный[[#This Row],[Проценты на просроченный платеж по ОД за период]]</f>
        <v>70.319999999999993</v>
      </c>
      <c r="I1180" s="55">
        <f t="shared" ca="1" si="226"/>
        <v>11.04</v>
      </c>
      <c r="J1180" s="55">
        <v>0</v>
      </c>
      <c r="K1180" s="55">
        <f t="shared" ca="1" si="229"/>
        <v>521.3935032786884</v>
      </c>
      <c r="L1180" s="55">
        <v>0</v>
      </c>
      <c r="M1180" s="113">
        <f>SUMIFS(График[Возврат основной суммы долга],График[Дата с учетом нерабочих дней],$A1180)</f>
        <v>0</v>
      </c>
      <c r="N1180" s="56">
        <f>SUMIFS(График[Возврат начисленных %],График[Дата с учетом нерабочих дней],$A1180)</f>
        <v>0</v>
      </c>
      <c r="O1180" s="101">
        <v>0</v>
      </c>
      <c r="P1180" s="100" cm="1">
        <f t="array" aca="1" ref="P1180" ca="1">MAX(IF(AA1179="Да",0,SUM(INDIRECT("M"&amp;(MAX(("Да"=AA$12:AA1179)*ROW(AA$12:AA1179)+1,ROW($P$12))&amp;":M"&amp;(ROW()))))-SUM(INDIRECT("W"&amp;(MAX(("Да"=AA$12:AA1179)*ROW(AA$12:AA1179)+1,ROW($P$12))&amp;":W"&amp;(ROW()))))),0)</f>
        <v>20306.809999999998</v>
      </c>
      <c r="Q1180" s="99">
        <f ca="1">MAX(SUM($N$13:N1180)-SUM($T$13:T1180),0)</f>
        <v>83971.890655737676</v>
      </c>
      <c r="R1180" s="99">
        <f ca="1">Первоначальный[[#This Row],[Просроченный платеж по ОД]]+Первоначальный[[#This Row],[Просроченный платеж по процентам]]</f>
        <v>104278.70065573767</v>
      </c>
      <c r="S1180" s="120">
        <f ca="1">IF(Первоначальный[[#This Row],[Просроченный платеж]]&lt;1,0,S1179+1)</f>
        <v>1076</v>
      </c>
      <c r="T1180" s="100" cm="1">
        <f t="array" aca="1" ref="T1180" ca="1">IF(Первоначальный[[#This Row],[Итого остаток на начало периода]]&lt;1,0,
IF(
AND(TYPE(VLOOKUP(1,$Z$12:Z1180,1,0))=16,Первоначальный[[#This Row],[Досрочное погашение (да/"")]]=""),0,
_xlfn.IFS(AND(S1179=0,Первоначальный[[#This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платеж]]&lt;&gt;0),MIN(LOOKUP(,-1/($Z$12:Z1180=1),$C$12:C1180)+LOOKUP(,-1/($Z$12:Z1180=1),$H$12:H1180),Первоначальный[[#This Row],[Полученный платеж]]+Y1179),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платеж]]+Y1179,SUM(Первоначальный[[#This Row],[Остаток процентов на начало периода]],Первоначальный[[#This Row],[Проценты за период]])),
AND(S1179=0,Первоначальный[[#This Row],[Дата платежа из графика]]=""),0,
AND(S1179=0,Первоначальный[[#This Row],[Дата платежа из графика]]=1,MAX((0&lt;&gt;S$12:S1179)*ROW(S$12:S1179),ROW($S$12))&gt;=MAX((1=Z$12:Z1179)*ROW(Z$12:Z1179),ROW($T$12)),TYPE(VLOOKUP("Да",(INDIRECT("AA"&amp;(MAX((1=Z$12:Z1179)*ROW(Z$12:Z1179),ROW($T$12))&amp;":AA"&amp;(ROW()-1)))),1,0))=16),MIN(LOOKUP(,-1/($Z$12:Z1180=1),$C$12:C1180)+LOOKUP(,-1/($Z$12:Z1180=1),$H$12:H1180),Первоначальный[[#This Row],[Полученный платеж]]+Y1179),
AND(S1179=0,TYPE(VLOOKUP("Да",(INDIRECT("AA"&amp;(MAX((1=Z$12:Z1179)*ROW(Z$12:Z1179),ROW($T$12))&amp;":AA"&amp;(ROW()-1)))),1,0))&lt;&gt;16),MIN(LOOKUP(,-1/($Z$12:Z1180=1),$C$12:C1180)+LOOKUP(,-1/($Z$12:Z1180=1),$H$12:H1180)-IF(AA1179="Да",0,SUM(INDIRECT("T"&amp;(MAX(("Да"=AA$12:AA1179)*ROW(AA$12:AA1179)+1,ROW($T$12))&amp;":T"&amp;(ROW()-1))))),Первоначальный[[#This Row],[Полученный платеж]]+Y1179),
AND(S1179=0,MAX((0&lt;&gt;N$12:N1179)*ROW(N$12:N1179),ROW($S$12))&gt;=MAX((1=Z$12:Z1179)*ROW(Z$12:Z1179),ROW($T$12))),MIN(LOOKUP(,-1/($Z$12:Z1180=1),$C$12:C1180)+LOOKUP(,-1/($Z$12:Z1180=1),$H$12:H1180)-IF(N1179&lt;&gt;0,0,SUM(INDIRECT("T"&amp;(MAX((0&lt;&gt;N$12:N1179)*ROW(N$12:N1179)+1,ROW($T$12))&amp;":T"&amp;(ROW()-1))))),Первоначальный[[#This Row],[Полученный платеж]]+Y1179),
AND(S1179=0,Первоначальный[[#This Row],[Дата платежа из графика]]=1),MIN(LOOKUP(,-1/($Z$12:Z1180=1),$C$12:C1180)+LOOKUP(,-1/($Z$12:Z1180=1),$H$12:H1180)-IF(Z1179=1,0,SUM(INDIRECT("T"&amp;(MAX((1=Z$12:Z1179)*ROW(Z$12:Z1179)+1,ROW($T$12))&amp;":T"&amp;(ROW()-1))))),Первоначальный[[#This Row],[Полученный платеж]]+Y1179),
AND(Z1179&gt;0,Первоначальный[[#This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платеж]]+Y1179),
AND(S1179&gt;0,MAX((0&lt;&gt;S$12:S1179)*ROW(S$12:S1179),ROW($S$12))&gt;=MAX((1=Z$12:Z1179)*ROW(Z$12:Z1179),ROW($T$12)),TYPE(VLOOKUP("Да",(INDIRECT("AA"&amp;(MAX((1=Z$12:Z1179)*ROW(Z$12:Z1179),ROW($T$12))&amp;":AA"&amp;(ROW()-1)))),1,0))=16),MIN(LOOKUP(,-1/($Z$12:Z1180=1),$C$12:C1180)+LOOKUP(,-1/($Z$12:Z1180=1),$H$12:H1180)-SUM(INDIRECT("T"&amp;(MAX((1=Z$12:Z1179)*ROW(Z$12:Z1179),ROW($T$12))&amp;":T"&amp;(ROW()-1)))),Первоначальный[[#This Row],[Полученный платеж]]+Y1179),
S1179&gt;0,MIN(LOOKUP(,-1/($Z$12:Z1180=1),$C$12:C1180)+LOOKUP(,-1/($Z$12:Z1180=1),$H$12:H1180)-IF(Z1179=1,0,SUM(INDIRECT("T"&amp;(MAX((1=Z$12:Z1179)*ROW(Z$12:Z1179)+1,ROW($T$12))&amp;":T"&amp;(ROW()-1))))),Первоначальный[[#This Row],[Полученный платеж]]+Y1179)
)
)
)</f>
        <v>0</v>
      </c>
      <c r="U118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платеж]]+Y1179-Первоначальный[[#This Row],[Полученный платёж по процентам]])</f>
        <v>0</v>
      </c>
      <c r="V1180" s="55">
        <f t="shared" ca="1" si="219"/>
        <v>0</v>
      </c>
      <c r="W1180" s="55" cm="1">
        <f t="array" aca="1" ref="W1180" ca="1">IF(Первоначальный[[#This Row],[Итого остаток на начало периода]]&lt;1,0,
_xlfn.IFS(
AND(TYPE(VLOOKUP(1,$Z$12:Z1180,1,0))=16,Первоначальный[[#This Row],[Досрочное погашение (да/"")]]=""),0,
AND(S1179=0,Первоначальный[[#This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платеж]]+Y1179-SUM(Первоначальный[[#This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комиссиям]]),VLOOKUP(LOOKUP(,-1/($Z$12:Z1180=1),$A$12:A1180),График[[Срок конец]:[Возврат основной суммы долга]],3,0)),
AND(S1179=0,Первоначальный[[#This Row],[Дата платежа из графика]]="",Первоначальный[[#This Row],[Досрочное погашение (да/"")]]&lt;&gt;"Да"),0,
AND(S1179=0,Первоначальный[[#This Row],[Досрочное погашение (да/"")]]=""),MIN(Первоначальный[[#This Row],[Полученный платеж]]+Y1179-SUM(Первоначальный[[#This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комиссиям]]),VLOOKUP(LOOKUP(,-1/($Z$12:Z1180=1),$A$12:A1180),График[[Срок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платеж]]+Y1179-SUM(Первоначальный[[#This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S1179&gt;0,MIN(Первоначальный[[#This Row],[Полученный платеж]]+Y1179-SUM(Первоначальный[[#This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комиссиям]]),SUM(INDIRECT("M"&amp;(MAX((1=S$12:S1179)*ROW(S$12:S1179),ROW($W$12))&amp;":M"&amp;(ROW()))))-SUM(INDIRECT("W"&amp;(MAX((1=S$12:S1179)*ROW(S$12:S1179),ROW($W$12))&amp;":W"&amp;(ROW()-1)))))
)
)</f>
        <v>0</v>
      </c>
      <c r="X1180" s="55">
        <f t="shared" ca="1" si="220"/>
        <v>0</v>
      </c>
      <c r="Y1180" s="101">
        <f t="shared" ca="1" si="227"/>
        <v>0</v>
      </c>
      <c r="Z1180" s="133" t="str">
        <f>IF(TYPE((VLOOKUP(Первоначальный[[#This Row],[Дата платежа]],График[Срок конец],1,0)))=16,"",1)</f>
        <v/>
      </c>
      <c r="AA1180" s="57"/>
      <c r="AB1180" s="134"/>
      <c r="AC118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8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84749.350000000035</v>
      </c>
      <c r="AE118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5460.9099999999835</v>
      </c>
      <c r="AF118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8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283950.32952786796</v>
      </c>
      <c r="AH1180" s="55"/>
      <c r="AI1180" s="55"/>
      <c r="AJ1180" s="55"/>
      <c r="AK1180" s="101">
        <f t="shared" ca="1" si="228"/>
        <v>523793.92952786793</v>
      </c>
      <c r="AL1180" s="129">
        <f t="array" ref="AL1180">MAX((УслРестрактов[Характеристика]="Дата реструктуризации")*(УслРестрактов[Значение]=Первоначальный!$A1180),0)</f>
        <v>0</v>
      </c>
    </row>
    <row r="1181" spans="1:38" x14ac:dyDescent="0.25">
      <c r="A1181" s="97">
        <f t="shared" si="221"/>
        <v>45312</v>
      </c>
      <c r="B1181" s="100">
        <f t="shared" ca="1" si="222"/>
        <v>149633.34</v>
      </c>
      <c r="C1181" s="55">
        <f t="shared" ca="1" si="218"/>
        <v>84749.350000000035</v>
      </c>
      <c r="D1181" s="55">
        <f t="shared" ca="1" si="218"/>
        <v>5460.9099999999835</v>
      </c>
      <c r="E1181" s="55">
        <f t="shared" ca="1" si="223"/>
        <v>0</v>
      </c>
      <c r="F1181" s="55">
        <f t="shared" ca="1" si="224"/>
        <v>283950.32952786796</v>
      </c>
      <c r="G1181" s="101">
        <f t="shared" ca="1" si="225"/>
        <v>523793.92952786793</v>
      </c>
      <c r="H1181" s="100">
        <f ca="1">ROUND($B1181*VLOOKUP($A1181,$A$1:$B$10,2,1)/(365+IF(MOD(YEAR($A1181),4),0,1)*($A1181-$A1180)),2)-Первоначальный[[#This Row],[Проценты на просроченный платеж по ОД за период]]</f>
        <v>70.319999999999993</v>
      </c>
      <c r="I1181" s="55">
        <f t="shared" ca="1" si="226"/>
        <v>11.04</v>
      </c>
      <c r="J1181" s="55">
        <v>0</v>
      </c>
      <c r="K1181" s="55">
        <f t="shared" ca="1" si="229"/>
        <v>521.3935032786884</v>
      </c>
      <c r="L1181" s="55">
        <v>0</v>
      </c>
      <c r="M1181" s="113">
        <f>SUMIFS(График[Возврат основной суммы долга],График[Дата с учетом нерабочих дней],$A1181)</f>
        <v>0</v>
      </c>
      <c r="N1181" s="56">
        <f>SUMIFS(График[Возврат начисленных %],График[Дата с учетом нерабочих дней],$A1181)</f>
        <v>0</v>
      </c>
      <c r="O1181" s="101">
        <v>0</v>
      </c>
      <c r="P1181" s="100" cm="1">
        <f t="array" aca="1" ref="P1181" ca="1">MAX(IF(AA1180="Да",0,SUM(INDIRECT("M"&amp;(MAX(("Да"=AA$12:AA1180)*ROW(AA$12:AA1180)+1,ROW($P$12))&amp;":M"&amp;(ROW()))))-SUM(INDIRECT("W"&amp;(MAX(("Да"=AA$12:AA1180)*ROW(AA$12:AA1180)+1,ROW($P$12))&amp;":W"&amp;(ROW()))))),0)</f>
        <v>20306.809999999998</v>
      </c>
      <c r="Q1181" s="99">
        <f ca="1">MAX(SUM($N$13:N1181)-SUM($T$13:T1181),0)</f>
        <v>83971.890655737676</v>
      </c>
      <c r="R1181" s="99">
        <f ca="1">Первоначальный[[#This Row],[Просроченный платеж по ОД]]+Первоначальный[[#This Row],[Просроченный платеж по процентам]]</f>
        <v>104278.70065573767</v>
      </c>
      <c r="S1181" s="120">
        <f ca="1">IF(Первоначальный[[#This Row],[Просроченный платеж]]&lt;1,0,S1180+1)</f>
        <v>1077</v>
      </c>
      <c r="T1181" s="100" cm="1">
        <f t="array" aca="1" ref="T1181" ca="1">IF(Первоначальный[[#This Row],[Итого остаток на начало периода]]&lt;1,0,
IF(
AND(TYPE(VLOOKUP(1,$Z$12:Z1181,1,0))=16,Первоначальный[[#This Row],[Досрочное погашение (да/"")]]=""),0,
_xlfn.IFS(AND(S1180=0,Первоначальный[[#This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платеж]]&lt;&gt;0),MIN(LOOKUP(,-1/($Z$12:Z1181=1),$C$12:C1181)+LOOKUP(,-1/($Z$12:Z1181=1),$H$12:H1181),Первоначальный[[#This Row],[Полученный платеж]]+Y1180),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платеж]]+Y1180,SUM(Первоначальный[[#This Row],[Остаток процентов на начало периода]],Первоначальный[[#This Row],[Проценты за период]])),
AND(S1180=0,Первоначальный[[#This Row],[Дата платежа из графика]]=""),0,
AND(S1180=0,Первоначальный[[#This Row],[Дата платежа из графика]]=1,MAX((0&lt;&gt;S$12:S1180)*ROW(S$12:S1180),ROW($S$12))&gt;=MAX((1=Z$12:Z1180)*ROW(Z$12:Z1180),ROW($T$12)),TYPE(VLOOKUP("Да",(INDIRECT("AA"&amp;(MAX((1=Z$12:Z1180)*ROW(Z$12:Z1180),ROW($T$12))&amp;":AA"&amp;(ROW()-1)))),1,0))=16),MIN(LOOKUP(,-1/($Z$12:Z1181=1),$C$12:C1181)+LOOKUP(,-1/($Z$12:Z1181=1),$H$12:H1181),Первоначальный[[#This Row],[Полученный платеж]]+Y1180),
AND(S1180=0,TYPE(VLOOKUP("Да",(INDIRECT("AA"&amp;(MAX((1=Z$12:Z1180)*ROW(Z$12:Z1180),ROW($T$12))&amp;":AA"&amp;(ROW()-1)))),1,0))&lt;&gt;16),MIN(LOOKUP(,-1/($Z$12:Z1181=1),$C$12:C1181)+LOOKUP(,-1/($Z$12:Z1181=1),$H$12:H1181)-IF(AA1180="Да",0,SUM(INDIRECT("T"&amp;(MAX(("Да"=AA$12:AA1180)*ROW(AA$12:AA1180)+1,ROW($T$12))&amp;":T"&amp;(ROW()-1))))),Первоначальный[[#This Row],[Полученный платеж]]+Y1180),
AND(S1180=0,MAX((0&lt;&gt;N$12:N1180)*ROW(N$12:N1180),ROW($S$12))&gt;=MAX((1=Z$12:Z1180)*ROW(Z$12:Z1180),ROW($T$12))),MIN(LOOKUP(,-1/($Z$12:Z1181=1),$C$12:C1181)+LOOKUP(,-1/($Z$12:Z1181=1),$H$12:H1181)-IF(N1180&lt;&gt;0,0,SUM(INDIRECT("T"&amp;(MAX((0&lt;&gt;N$12:N1180)*ROW(N$12:N1180)+1,ROW($T$12))&amp;":T"&amp;(ROW()-1))))),Первоначальный[[#This Row],[Полученный платеж]]+Y1180),
AND(S1180=0,Первоначальный[[#This Row],[Дата платежа из графика]]=1),MIN(LOOKUP(,-1/($Z$12:Z1181=1),$C$12:C1181)+LOOKUP(,-1/($Z$12:Z1181=1),$H$12:H1181)-IF(Z1180=1,0,SUM(INDIRECT("T"&amp;(MAX((1=Z$12:Z1180)*ROW(Z$12:Z1180)+1,ROW($T$12))&amp;":T"&amp;(ROW()-1))))),Первоначальный[[#This Row],[Полученный платеж]]+Y1180),
AND(Z1180&gt;0,Первоначальный[[#This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платеж]]+Y1180),
AND(S1180&gt;0,MAX((0&lt;&gt;S$12:S1180)*ROW(S$12:S1180),ROW($S$12))&gt;=MAX((1=Z$12:Z1180)*ROW(Z$12:Z1180),ROW($T$12)),TYPE(VLOOKUP("Да",(INDIRECT("AA"&amp;(MAX((1=Z$12:Z1180)*ROW(Z$12:Z1180),ROW($T$12))&amp;":AA"&amp;(ROW()-1)))),1,0))=16),MIN(LOOKUP(,-1/($Z$12:Z1181=1),$C$12:C1181)+LOOKUP(,-1/($Z$12:Z1181=1),$H$12:H1181)-SUM(INDIRECT("T"&amp;(MAX((1=Z$12:Z1180)*ROW(Z$12:Z1180),ROW($T$12))&amp;":T"&amp;(ROW()-1)))),Первоначальный[[#This Row],[Полученный платеж]]+Y1180),
S1180&gt;0,MIN(LOOKUP(,-1/($Z$12:Z1181=1),$C$12:C1181)+LOOKUP(,-1/($Z$12:Z1181=1),$H$12:H1181)-IF(Z1180=1,0,SUM(INDIRECT("T"&amp;(MAX((1=Z$12:Z1180)*ROW(Z$12:Z1180)+1,ROW($T$12))&amp;":T"&amp;(ROW()-1))))),Первоначальный[[#This Row],[Полученный платеж]]+Y1180)
)
)
)</f>
        <v>0</v>
      </c>
      <c r="U118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платеж]]+Y1180-Первоначальный[[#This Row],[Полученный платёж по процентам]])</f>
        <v>0</v>
      </c>
      <c r="V1181" s="55">
        <f t="shared" ca="1" si="219"/>
        <v>0</v>
      </c>
      <c r="W1181" s="55" cm="1">
        <f t="array" aca="1" ref="W1181" ca="1">IF(Первоначальный[[#This Row],[Итого остаток на начало периода]]&lt;1,0,
_xlfn.IFS(
AND(TYPE(VLOOKUP(1,$Z$12:Z1181,1,0))=16,Первоначальный[[#This Row],[Досрочное погашение (да/"")]]=""),0,
AND(S1180=0,Первоначальный[[#This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платеж]]+Y1180-SUM(Первоначальный[[#This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комиссиям]]),VLOOKUP(LOOKUP(,-1/($Z$12:Z1181=1),$A$12:A1181),График[[Срок конец]:[Возврат основной суммы долга]],3,0)),
AND(S1180=0,Первоначальный[[#This Row],[Дата платежа из графика]]="",Первоначальный[[#This Row],[Досрочное погашение (да/"")]]&lt;&gt;"Да"),0,
AND(S1180=0,Первоначальный[[#This Row],[Досрочное погашение (да/"")]]=""),MIN(Первоначальный[[#This Row],[Полученный платеж]]+Y1180-SUM(Первоначальный[[#This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комиссиям]]),VLOOKUP(LOOKUP(,-1/($Z$12:Z1181=1),$A$12:A1181),График[[Срок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платеж]]+Y1180-SUM(Первоначальный[[#This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S1180&gt;0,MIN(Первоначальный[[#This Row],[Полученный платеж]]+Y1180-SUM(Первоначальный[[#This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комиссиям]]),SUM(INDIRECT("M"&amp;(MAX((1=S$12:S1180)*ROW(S$12:S1180),ROW($W$12))&amp;":M"&amp;(ROW()))))-SUM(INDIRECT("W"&amp;(MAX((1=S$12:S1180)*ROW(S$12:S1180),ROW($W$12))&amp;":W"&amp;(ROW()-1)))))
)
)</f>
        <v>0</v>
      </c>
      <c r="X1181" s="55">
        <f t="shared" ca="1" si="220"/>
        <v>0</v>
      </c>
      <c r="Y1181" s="101">
        <f t="shared" ca="1" si="227"/>
        <v>0</v>
      </c>
      <c r="Z1181" s="133" t="str">
        <f>IF(TYPE((VLOOKUP(Первоначальный[[#This Row],[Дата платежа]],График[Срок конец],1,0)))=16,"",1)</f>
        <v/>
      </c>
      <c r="AA1181" s="57"/>
      <c r="AB1181" s="134"/>
      <c r="AC118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8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84819.670000000042</v>
      </c>
      <c r="AE118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5471.9499999999834</v>
      </c>
      <c r="AF118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8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284471.72303114663</v>
      </c>
      <c r="AH1181" s="55"/>
      <c r="AI1181" s="55"/>
      <c r="AJ1181" s="55"/>
      <c r="AK1181" s="101">
        <f t="shared" ca="1" si="228"/>
        <v>524396.68303114665</v>
      </c>
      <c r="AL1181" s="129">
        <f t="array" ref="AL1181">MAX((УслРестрактов[Характеристика]="Дата реструктуризации")*(УслРестрактов[Значение]=Первоначальный!$A1181),0)</f>
        <v>0</v>
      </c>
    </row>
    <row r="1182" spans="1:38" x14ac:dyDescent="0.25">
      <c r="A1182" s="97">
        <f t="shared" si="221"/>
        <v>45313</v>
      </c>
      <c r="B1182" s="100">
        <f t="shared" ca="1" si="222"/>
        <v>149633.34</v>
      </c>
      <c r="C1182" s="55">
        <f t="shared" ca="1" si="218"/>
        <v>84819.670000000042</v>
      </c>
      <c r="D1182" s="55">
        <f t="shared" ca="1" si="218"/>
        <v>5471.9499999999834</v>
      </c>
      <c r="E1182" s="55">
        <f t="shared" ca="1" si="223"/>
        <v>0</v>
      </c>
      <c r="F1182" s="55">
        <f t="shared" ca="1" si="224"/>
        <v>284471.72303114663</v>
      </c>
      <c r="G1182" s="101">
        <f t="shared" ca="1" si="225"/>
        <v>524396.68303114665</v>
      </c>
      <c r="H1182" s="100">
        <f ca="1">ROUND($B1182*VLOOKUP($A1182,$A$1:$B$10,2,1)/(365+IF(MOD(YEAR($A1182),4),0,1)*($A1182-$A1181)),2)-Первоначальный[[#This Row],[Проценты на просроченный платеж по ОД за период]]</f>
        <v>70.319999999999993</v>
      </c>
      <c r="I1182" s="55">
        <f t="shared" ca="1" si="226"/>
        <v>11.04</v>
      </c>
      <c r="J1182" s="55">
        <v>0</v>
      </c>
      <c r="K1182" s="55">
        <f t="shared" ca="1" si="229"/>
        <v>521.3935032786884</v>
      </c>
      <c r="L1182" s="55">
        <v>0</v>
      </c>
      <c r="M1182" s="113">
        <f>SUMIFS(График[Возврат основной суммы долга],График[Дата с учетом нерабочих дней],$A1182)</f>
        <v>0</v>
      </c>
      <c r="N1182" s="56">
        <f>SUMIFS(График[Возврат начисленных %],График[Дата с учетом нерабочих дней],$A1182)</f>
        <v>0</v>
      </c>
      <c r="O1182" s="101">
        <v>0</v>
      </c>
      <c r="P1182" s="100" cm="1">
        <f t="array" aca="1" ref="P1182" ca="1">MAX(IF(AA1181="Да",0,SUM(INDIRECT("M"&amp;(MAX(("Да"=AA$12:AA1181)*ROW(AA$12:AA1181)+1,ROW($P$12))&amp;":M"&amp;(ROW()))))-SUM(INDIRECT("W"&amp;(MAX(("Да"=AA$12:AA1181)*ROW(AA$12:AA1181)+1,ROW($P$12))&amp;":W"&amp;(ROW()))))),0)</f>
        <v>20306.809999999998</v>
      </c>
      <c r="Q1182" s="99">
        <f ca="1">MAX(SUM($N$13:N1182)-SUM($T$13:T1182),0)</f>
        <v>83971.890655737676</v>
      </c>
      <c r="R1182" s="99">
        <f ca="1">Первоначальный[[#This Row],[Просроченный платеж по ОД]]+Первоначальный[[#This Row],[Просроченный платеж по процентам]]</f>
        <v>104278.70065573767</v>
      </c>
      <c r="S1182" s="120">
        <f ca="1">IF(Первоначальный[[#This Row],[Просроченный платеж]]&lt;1,0,S1181+1)</f>
        <v>1078</v>
      </c>
      <c r="T1182" s="100" cm="1">
        <f t="array" aca="1" ref="T1182" ca="1">IF(Первоначальный[[#This Row],[Итого остаток на начало периода]]&lt;1,0,
IF(
AND(TYPE(VLOOKUP(1,$Z$12:Z1182,1,0))=16,Первоначальный[[#This Row],[Досрочное погашение (да/"")]]=""),0,
_xlfn.IFS(AND(S1181=0,Первоначальный[[#This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платеж]]&lt;&gt;0),MIN(LOOKUP(,-1/($Z$12:Z1182=1),$C$12:C1182)+LOOKUP(,-1/($Z$12:Z1182=1),$H$12:H1182),Первоначальный[[#This Row],[Полученный платеж]]+Y1181),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платеж]]+Y1181,SUM(Первоначальный[[#This Row],[Остаток процентов на начало периода]],Первоначальный[[#This Row],[Проценты за период]])),
AND(S1181=0,Первоначальный[[#This Row],[Дата платежа из графика]]=""),0,
AND(S1181=0,Первоначальный[[#This Row],[Дата платежа из графика]]=1,MAX((0&lt;&gt;S$12:S1181)*ROW(S$12:S1181),ROW($S$12))&gt;=MAX((1=Z$12:Z1181)*ROW(Z$12:Z1181),ROW($T$12)),TYPE(VLOOKUP("Да",(INDIRECT("AA"&amp;(MAX((1=Z$12:Z1181)*ROW(Z$12:Z1181),ROW($T$12))&amp;":AA"&amp;(ROW()-1)))),1,0))=16),MIN(LOOKUP(,-1/($Z$12:Z1182=1),$C$12:C1182)+LOOKUP(,-1/($Z$12:Z1182=1),$H$12:H1182),Первоначальный[[#This Row],[Полученный платеж]]+Y1181),
AND(S1181=0,TYPE(VLOOKUP("Да",(INDIRECT("AA"&amp;(MAX((1=Z$12:Z1181)*ROW(Z$12:Z1181),ROW($T$12))&amp;":AA"&amp;(ROW()-1)))),1,0))&lt;&gt;16),MIN(LOOKUP(,-1/($Z$12:Z1182=1),$C$12:C1182)+LOOKUP(,-1/($Z$12:Z1182=1),$H$12:H1182)-IF(AA1181="Да",0,SUM(INDIRECT("T"&amp;(MAX(("Да"=AA$12:AA1181)*ROW(AA$12:AA1181)+1,ROW($T$12))&amp;":T"&amp;(ROW()-1))))),Первоначальный[[#This Row],[Полученный платеж]]+Y1181),
AND(S1181=0,MAX((0&lt;&gt;N$12:N1181)*ROW(N$12:N1181),ROW($S$12))&gt;=MAX((1=Z$12:Z1181)*ROW(Z$12:Z1181),ROW($T$12))),MIN(LOOKUP(,-1/($Z$12:Z1182=1),$C$12:C1182)+LOOKUP(,-1/($Z$12:Z1182=1),$H$12:H1182)-IF(N1181&lt;&gt;0,0,SUM(INDIRECT("T"&amp;(MAX((0&lt;&gt;N$12:N1181)*ROW(N$12:N1181)+1,ROW($T$12))&amp;":T"&amp;(ROW()-1))))),Первоначальный[[#This Row],[Полученный платеж]]+Y1181),
AND(S1181=0,Первоначальный[[#This Row],[Дата платежа из графика]]=1),MIN(LOOKUP(,-1/($Z$12:Z1182=1),$C$12:C1182)+LOOKUP(,-1/($Z$12:Z1182=1),$H$12:H1182)-IF(Z1181=1,0,SUM(INDIRECT("T"&amp;(MAX((1=Z$12:Z1181)*ROW(Z$12:Z1181)+1,ROW($T$12))&amp;":T"&amp;(ROW()-1))))),Первоначальный[[#This Row],[Полученный платеж]]+Y1181),
AND(Z1181&gt;0,Первоначальный[[#This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платеж]]+Y1181),
AND(S1181&gt;0,MAX((0&lt;&gt;S$12:S1181)*ROW(S$12:S1181),ROW($S$12))&gt;=MAX((1=Z$12:Z1181)*ROW(Z$12:Z1181),ROW($T$12)),TYPE(VLOOKUP("Да",(INDIRECT("AA"&amp;(MAX((1=Z$12:Z1181)*ROW(Z$12:Z1181),ROW($T$12))&amp;":AA"&amp;(ROW()-1)))),1,0))=16),MIN(LOOKUP(,-1/($Z$12:Z1182=1),$C$12:C1182)+LOOKUP(,-1/($Z$12:Z1182=1),$H$12:H1182)-SUM(INDIRECT("T"&amp;(MAX((1=Z$12:Z1181)*ROW(Z$12:Z1181),ROW($T$12))&amp;":T"&amp;(ROW()-1)))),Первоначальный[[#This Row],[Полученный платеж]]+Y1181),
S1181&gt;0,MIN(LOOKUP(,-1/($Z$12:Z1182=1),$C$12:C1182)+LOOKUP(,-1/($Z$12:Z1182=1),$H$12:H1182)-IF(Z1181=1,0,SUM(INDIRECT("T"&amp;(MAX((1=Z$12:Z1181)*ROW(Z$12:Z1181)+1,ROW($T$12))&amp;":T"&amp;(ROW()-1))))),Первоначальный[[#This Row],[Полученный платеж]]+Y1181)
)
)
)</f>
        <v>0</v>
      </c>
      <c r="U118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платеж]]+Y1181-Первоначальный[[#This Row],[Полученный платёж по процентам]])</f>
        <v>0</v>
      </c>
      <c r="V1182" s="55">
        <f t="shared" ca="1" si="219"/>
        <v>0</v>
      </c>
      <c r="W1182" s="55" cm="1">
        <f t="array" aca="1" ref="W1182" ca="1">IF(Первоначальный[[#This Row],[Итого остаток на начало периода]]&lt;1,0,
_xlfn.IFS(
AND(TYPE(VLOOKUP(1,$Z$12:Z1182,1,0))=16,Первоначальный[[#This Row],[Досрочное погашение (да/"")]]=""),0,
AND(S1181=0,Первоначальный[[#This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платеж]]+Y1181-SUM(Первоначальный[[#This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комиссиям]]),VLOOKUP(LOOKUP(,-1/($Z$12:Z1182=1),$A$12:A1182),График[[Срок конец]:[Возврат основной суммы долга]],3,0)),
AND(S1181=0,Первоначальный[[#This Row],[Дата платежа из графика]]="",Первоначальный[[#This Row],[Досрочное погашение (да/"")]]&lt;&gt;"Да"),0,
AND(S1181=0,Первоначальный[[#This Row],[Досрочное погашение (да/"")]]=""),MIN(Первоначальный[[#This Row],[Полученный платеж]]+Y1181-SUM(Первоначальный[[#This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комиссиям]]),VLOOKUP(LOOKUP(,-1/($Z$12:Z1182=1),$A$12:A1182),График[[Срок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платеж]]+Y1181-SUM(Первоначальный[[#This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S1181&gt;0,MIN(Первоначальный[[#This Row],[Полученный платеж]]+Y1181-SUM(Первоначальный[[#This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комиссиям]]),SUM(INDIRECT("M"&amp;(MAX((1=S$12:S1181)*ROW(S$12:S1181),ROW($W$12))&amp;":M"&amp;(ROW()))))-SUM(INDIRECT("W"&amp;(MAX((1=S$12:S1181)*ROW(S$12:S1181),ROW($W$12))&amp;":W"&amp;(ROW()-1)))))
)
)</f>
        <v>0</v>
      </c>
      <c r="X1182" s="55">
        <f t="shared" ca="1" si="220"/>
        <v>0</v>
      </c>
      <c r="Y1182" s="101">
        <f t="shared" ca="1" si="227"/>
        <v>0</v>
      </c>
      <c r="Z1182" s="133" t="str">
        <f>IF(TYPE((VLOOKUP(Первоначальный[[#This Row],[Дата платежа]],График[Срок конец],1,0)))=16,"",1)</f>
        <v/>
      </c>
      <c r="AA1182" s="57"/>
      <c r="AB1182" s="134"/>
      <c r="AC118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8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84889.990000000049</v>
      </c>
      <c r="AE118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5482.9899999999834</v>
      </c>
      <c r="AF118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8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284993.11653442529</v>
      </c>
      <c r="AH1182" s="55"/>
      <c r="AI1182" s="55"/>
      <c r="AJ1182" s="55"/>
      <c r="AK1182" s="101">
        <f t="shared" ca="1" si="228"/>
        <v>524999.43653442536</v>
      </c>
      <c r="AL1182" s="129">
        <f t="array" ref="AL1182">MAX((УслРестрактов[Характеристика]="Дата реструктуризации")*(УслРестрактов[Значение]=Первоначальный!$A1182),0)</f>
        <v>0</v>
      </c>
    </row>
    <row r="1183" spans="1:38" x14ac:dyDescent="0.25">
      <c r="A1183" s="97">
        <f t="shared" si="221"/>
        <v>45314</v>
      </c>
      <c r="B1183" s="100">
        <f t="shared" ca="1" si="222"/>
        <v>149633.34</v>
      </c>
      <c r="C1183" s="55">
        <f t="shared" ca="1" si="218"/>
        <v>84889.990000000049</v>
      </c>
      <c r="D1183" s="55">
        <f t="shared" ca="1" si="218"/>
        <v>5482.9899999999834</v>
      </c>
      <c r="E1183" s="55">
        <f t="shared" ca="1" si="223"/>
        <v>0</v>
      </c>
      <c r="F1183" s="55">
        <f t="shared" ca="1" si="224"/>
        <v>284993.11653442529</v>
      </c>
      <c r="G1183" s="101">
        <f t="shared" ca="1" si="225"/>
        <v>524999.43653442536</v>
      </c>
      <c r="H1183" s="100">
        <f ca="1">ROUND($B1183*VLOOKUP($A1183,$A$1:$B$10,2,1)/(365+IF(MOD(YEAR($A1183),4),0,1)*($A1183-$A1182)),2)-Первоначальный[[#This Row],[Проценты на просроченный платеж по ОД за период]]</f>
        <v>70.319999999999993</v>
      </c>
      <c r="I1183" s="55">
        <f t="shared" ca="1" si="226"/>
        <v>11.04</v>
      </c>
      <c r="J1183" s="55">
        <v>0</v>
      </c>
      <c r="K1183" s="55">
        <f t="shared" ca="1" si="229"/>
        <v>521.3935032786884</v>
      </c>
      <c r="L1183" s="55">
        <v>0</v>
      </c>
      <c r="M1183" s="113">
        <f>SUMIFS(График[Возврат основной суммы долга],График[Дата с учетом нерабочих дней],$A1183)</f>
        <v>0</v>
      </c>
      <c r="N1183" s="56">
        <f>SUMIFS(График[Возврат начисленных %],График[Дата с учетом нерабочих дней],$A1183)</f>
        <v>0</v>
      </c>
      <c r="O1183" s="101">
        <v>0</v>
      </c>
      <c r="P1183" s="100" cm="1">
        <f t="array" aca="1" ref="P1183" ca="1">MAX(IF(AA1182="Да",0,SUM(INDIRECT("M"&amp;(MAX(("Да"=AA$12:AA1182)*ROW(AA$12:AA1182)+1,ROW($P$12))&amp;":M"&amp;(ROW()))))-SUM(INDIRECT("W"&amp;(MAX(("Да"=AA$12:AA1182)*ROW(AA$12:AA1182)+1,ROW($P$12))&amp;":W"&amp;(ROW()))))),0)</f>
        <v>20306.809999999998</v>
      </c>
      <c r="Q1183" s="99">
        <f ca="1">MAX(SUM($N$13:N1183)-SUM($T$13:T1183),0)</f>
        <v>83971.890655737676</v>
      </c>
      <c r="R1183" s="99">
        <f ca="1">Первоначальный[[#This Row],[Просроченный платеж по ОД]]+Первоначальный[[#This Row],[Просроченный платеж по процентам]]</f>
        <v>104278.70065573767</v>
      </c>
      <c r="S1183" s="120">
        <f ca="1">IF(Первоначальный[[#This Row],[Просроченный платеж]]&lt;1,0,S1182+1)</f>
        <v>1079</v>
      </c>
      <c r="T1183" s="100" cm="1">
        <f t="array" aca="1" ref="T1183" ca="1">IF(Первоначальный[[#This Row],[Итого остаток на начало периода]]&lt;1,0,
IF(
AND(TYPE(VLOOKUP(1,$Z$12:Z1183,1,0))=16,Первоначальный[[#This Row],[Досрочное погашение (да/"")]]=""),0,
_xlfn.IFS(AND(S1182=0,Первоначальный[[#This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платеж]]&lt;&gt;0),MIN(LOOKUP(,-1/($Z$12:Z1183=1),$C$12:C1183)+LOOKUP(,-1/($Z$12:Z1183=1),$H$12:H1183),Первоначальный[[#This Row],[Полученный платеж]]+Y1182),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платеж]]+Y1182,SUM(Первоначальный[[#This Row],[Остаток процентов на начало периода]],Первоначальный[[#This Row],[Проценты за период]])),
AND(S1182=0,Первоначальный[[#This Row],[Дата платежа из графика]]=""),0,
AND(S1182=0,Первоначальный[[#This Row],[Дата платежа из графика]]=1,MAX((0&lt;&gt;S$12:S1182)*ROW(S$12:S1182),ROW($S$12))&gt;=MAX((1=Z$12:Z1182)*ROW(Z$12:Z1182),ROW($T$12)),TYPE(VLOOKUP("Да",(INDIRECT("AA"&amp;(MAX((1=Z$12:Z1182)*ROW(Z$12:Z1182),ROW($T$12))&amp;":AA"&amp;(ROW()-1)))),1,0))=16),MIN(LOOKUP(,-1/($Z$12:Z1183=1),$C$12:C1183)+LOOKUP(,-1/($Z$12:Z1183=1),$H$12:H1183),Первоначальный[[#This Row],[Полученный платеж]]+Y1182),
AND(S1182=0,TYPE(VLOOKUP("Да",(INDIRECT("AA"&amp;(MAX((1=Z$12:Z1182)*ROW(Z$12:Z1182),ROW($T$12))&amp;":AA"&amp;(ROW()-1)))),1,0))&lt;&gt;16),MIN(LOOKUP(,-1/($Z$12:Z1183=1),$C$12:C1183)+LOOKUP(,-1/($Z$12:Z1183=1),$H$12:H1183)-IF(AA1182="Да",0,SUM(INDIRECT("T"&amp;(MAX(("Да"=AA$12:AA1182)*ROW(AA$12:AA1182)+1,ROW($T$12))&amp;":T"&amp;(ROW()-1))))),Первоначальный[[#This Row],[Полученный платеж]]+Y1182),
AND(S1182=0,MAX((0&lt;&gt;N$12:N1182)*ROW(N$12:N1182),ROW($S$12))&gt;=MAX((1=Z$12:Z1182)*ROW(Z$12:Z1182),ROW($T$12))),MIN(LOOKUP(,-1/($Z$12:Z1183=1),$C$12:C1183)+LOOKUP(,-1/($Z$12:Z1183=1),$H$12:H1183)-IF(N1182&lt;&gt;0,0,SUM(INDIRECT("T"&amp;(MAX((0&lt;&gt;N$12:N1182)*ROW(N$12:N1182)+1,ROW($T$12))&amp;":T"&amp;(ROW()-1))))),Первоначальный[[#This Row],[Полученный платеж]]+Y1182),
AND(S1182=0,Первоначальный[[#This Row],[Дата платежа из графика]]=1),MIN(LOOKUP(,-1/($Z$12:Z1183=1),$C$12:C1183)+LOOKUP(,-1/($Z$12:Z1183=1),$H$12:H1183)-IF(Z1182=1,0,SUM(INDIRECT("T"&amp;(MAX((1=Z$12:Z1182)*ROW(Z$12:Z1182)+1,ROW($T$12))&amp;":T"&amp;(ROW()-1))))),Первоначальный[[#This Row],[Полученный платеж]]+Y1182),
AND(Z1182&gt;0,Первоначальный[[#This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платеж]]+Y1182),
AND(S1182&gt;0,MAX((0&lt;&gt;S$12:S1182)*ROW(S$12:S1182),ROW($S$12))&gt;=MAX((1=Z$12:Z1182)*ROW(Z$12:Z1182),ROW($T$12)),TYPE(VLOOKUP("Да",(INDIRECT("AA"&amp;(MAX((1=Z$12:Z1182)*ROW(Z$12:Z1182),ROW($T$12))&amp;":AA"&amp;(ROW()-1)))),1,0))=16),MIN(LOOKUP(,-1/($Z$12:Z1183=1),$C$12:C1183)+LOOKUP(,-1/($Z$12:Z1183=1),$H$12:H1183)-SUM(INDIRECT("T"&amp;(MAX((1=Z$12:Z1182)*ROW(Z$12:Z1182),ROW($T$12))&amp;":T"&amp;(ROW()-1)))),Первоначальный[[#This Row],[Полученный платеж]]+Y1182),
S1182&gt;0,MIN(LOOKUP(,-1/($Z$12:Z1183=1),$C$12:C1183)+LOOKUP(,-1/($Z$12:Z1183=1),$H$12:H1183)-IF(Z1182=1,0,SUM(INDIRECT("T"&amp;(MAX((1=Z$12:Z1182)*ROW(Z$12:Z1182)+1,ROW($T$12))&amp;":T"&amp;(ROW()-1))))),Первоначальный[[#This Row],[Полученный платеж]]+Y1182)
)
)
)</f>
        <v>0</v>
      </c>
      <c r="U118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платеж]]+Y1182-Первоначальный[[#This Row],[Полученный платёж по процентам]])</f>
        <v>0</v>
      </c>
      <c r="V1183" s="55">
        <f t="shared" ca="1" si="219"/>
        <v>0</v>
      </c>
      <c r="W1183" s="55" cm="1">
        <f t="array" aca="1" ref="W1183" ca="1">IF(Первоначальный[[#This Row],[Итого остаток на начало периода]]&lt;1,0,
_xlfn.IFS(
AND(TYPE(VLOOKUP(1,$Z$12:Z1183,1,0))=16,Первоначальный[[#This Row],[Досрочное погашение (да/"")]]=""),0,
AND(S1182=0,Первоначальный[[#This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платеж]]+Y1182-SUM(Первоначальный[[#This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комиссиям]]),VLOOKUP(LOOKUP(,-1/($Z$12:Z1183=1),$A$12:A1183),График[[Срок конец]:[Возврат основной суммы долга]],3,0)),
AND(S1182=0,Первоначальный[[#This Row],[Дата платежа из графика]]="",Первоначальный[[#This Row],[Досрочное погашение (да/"")]]&lt;&gt;"Да"),0,
AND(S1182=0,Первоначальный[[#This Row],[Досрочное погашение (да/"")]]=""),MIN(Первоначальный[[#This Row],[Полученный платеж]]+Y1182-SUM(Первоначальный[[#This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комиссиям]]),VLOOKUP(LOOKUP(,-1/($Z$12:Z1183=1),$A$12:A1183),График[[Срок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платеж]]+Y1182-SUM(Первоначальный[[#This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S1182&gt;0,MIN(Первоначальный[[#This Row],[Полученный платеж]]+Y1182-SUM(Первоначальный[[#This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комиссиям]]),SUM(INDIRECT("M"&amp;(MAX((1=S$12:S1182)*ROW(S$12:S1182),ROW($W$12))&amp;":M"&amp;(ROW()))))-SUM(INDIRECT("W"&amp;(MAX((1=S$12:S1182)*ROW(S$12:S1182),ROW($W$12))&amp;":W"&amp;(ROW()-1)))))
)
)</f>
        <v>0</v>
      </c>
      <c r="X1183" s="55">
        <f t="shared" ca="1" si="220"/>
        <v>0</v>
      </c>
      <c r="Y1183" s="101">
        <f t="shared" ca="1" si="227"/>
        <v>0</v>
      </c>
      <c r="Z1183" s="133" t="str">
        <f>IF(TYPE((VLOOKUP(Первоначальный[[#This Row],[Дата платежа]],График[Срок конец],1,0)))=16,"",1)</f>
        <v/>
      </c>
      <c r="AA1183" s="57"/>
      <c r="AB1183" s="134"/>
      <c r="AC118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8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84960.310000000056</v>
      </c>
      <c r="AE118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5494.0299999999834</v>
      </c>
      <c r="AF118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8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285514.51003770396</v>
      </c>
      <c r="AH1183" s="55"/>
      <c r="AI1183" s="55"/>
      <c r="AJ1183" s="55"/>
      <c r="AK1183" s="101">
        <f t="shared" ca="1" si="228"/>
        <v>525602.19003770396</v>
      </c>
      <c r="AL1183" s="129">
        <f t="array" ref="AL1183">MAX((УслРестрактов[Характеристика]="Дата реструктуризации")*(УслРестрактов[Значение]=Первоначальный!$A1183),0)</f>
        <v>0</v>
      </c>
    </row>
    <row r="1184" spans="1:38" x14ac:dyDescent="0.25">
      <c r="A1184" s="97">
        <f t="shared" si="221"/>
        <v>45315</v>
      </c>
      <c r="B1184" s="100">
        <f t="shared" ca="1" si="222"/>
        <v>149633.34</v>
      </c>
      <c r="C1184" s="55">
        <f t="shared" ca="1" si="218"/>
        <v>84960.310000000056</v>
      </c>
      <c r="D1184" s="55">
        <f t="shared" ca="1" si="218"/>
        <v>5494.0299999999834</v>
      </c>
      <c r="E1184" s="55">
        <f t="shared" ca="1" si="223"/>
        <v>0</v>
      </c>
      <c r="F1184" s="55">
        <f t="shared" ca="1" si="224"/>
        <v>285514.51003770396</v>
      </c>
      <c r="G1184" s="101">
        <f t="shared" ca="1" si="225"/>
        <v>525602.19003770396</v>
      </c>
      <c r="H1184" s="100">
        <f ca="1">ROUND($B1184*VLOOKUP($A1184,$A$1:$B$10,2,1)/(365+IF(MOD(YEAR($A1184),4),0,1)*($A1184-$A1183)),2)-Первоначальный[[#This Row],[Проценты на просроченный платеж по ОД за период]]</f>
        <v>70.319999999999993</v>
      </c>
      <c r="I1184" s="55">
        <f t="shared" ca="1" si="226"/>
        <v>11.04</v>
      </c>
      <c r="J1184" s="55">
        <v>0</v>
      </c>
      <c r="K1184" s="55">
        <f t="shared" ca="1" si="229"/>
        <v>521.3935032786884</v>
      </c>
      <c r="L1184" s="55">
        <v>0</v>
      </c>
      <c r="M1184" s="113">
        <f>SUMIFS(График[Возврат основной суммы долга],График[Дата с учетом нерабочих дней],$A1184)</f>
        <v>0</v>
      </c>
      <c r="N1184" s="56">
        <f>SUMIFS(График[Возврат начисленных %],График[Дата с учетом нерабочих дней],$A1184)</f>
        <v>0</v>
      </c>
      <c r="O1184" s="101">
        <v>0</v>
      </c>
      <c r="P1184" s="100" cm="1">
        <f t="array" aca="1" ref="P1184" ca="1">MAX(IF(AA1183="Да",0,SUM(INDIRECT("M"&amp;(MAX(("Да"=AA$12:AA1183)*ROW(AA$12:AA1183)+1,ROW($P$12))&amp;":M"&amp;(ROW()))))-SUM(INDIRECT("W"&amp;(MAX(("Да"=AA$12:AA1183)*ROW(AA$12:AA1183)+1,ROW($P$12))&amp;":W"&amp;(ROW()))))),0)</f>
        <v>20306.809999999998</v>
      </c>
      <c r="Q1184" s="99">
        <f ca="1">MAX(SUM($N$13:N1184)-SUM($T$13:T1184),0)</f>
        <v>83971.890655737676</v>
      </c>
      <c r="R1184" s="99">
        <f ca="1">Первоначальный[[#This Row],[Просроченный платеж по ОД]]+Первоначальный[[#This Row],[Просроченный платеж по процентам]]</f>
        <v>104278.70065573767</v>
      </c>
      <c r="S1184" s="120">
        <f ca="1">IF(Первоначальный[[#This Row],[Просроченный платеж]]&lt;1,0,S1183+1)</f>
        <v>1080</v>
      </c>
      <c r="T1184" s="100" cm="1">
        <f t="array" aca="1" ref="T1184" ca="1">IF(Первоначальный[[#This Row],[Итого остаток на начало периода]]&lt;1,0,
IF(
AND(TYPE(VLOOKUP(1,$Z$12:Z1184,1,0))=16,Первоначальный[[#This Row],[Досрочное погашение (да/"")]]=""),0,
_xlfn.IFS(AND(S1183=0,Первоначальный[[#This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платеж]]&lt;&gt;0),MIN(LOOKUP(,-1/($Z$12:Z1184=1),$C$12:C1184)+LOOKUP(,-1/($Z$12:Z1184=1),$H$12:H1184),Первоначальный[[#This Row],[Полученный платеж]]+Y1183),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платеж]]+Y1183,SUM(Первоначальный[[#This Row],[Остаток процентов на начало периода]],Первоначальный[[#This Row],[Проценты за период]])),
AND(S1183=0,Первоначальный[[#This Row],[Дата платежа из графика]]=""),0,
AND(S1183=0,Первоначальный[[#This Row],[Дата платежа из графика]]=1,MAX((0&lt;&gt;S$12:S1183)*ROW(S$12:S1183),ROW($S$12))&gt;=MAX((1=Z$12:Z1183)*ROW(Z$12:Z1183),ROW($T$12)),TYPE(VLOOKUP("Да",(INDIRECT("AA"&amp;(MAX((1=Z$12:Z1183)*ROW(Z$12:Z1183),ROW($T$12))&amp;":AA"&amp;(ROW()-1)))),1,0))=16),MIN(LOOKUP(,-1/($Z$12:Z1184=1),$C$12:C1184)+LOOKUP(,-1/($Z$12:Z1184=1),$H$12:H1184),Первоначальный[[#This Row],[Полученный платеж]]+Y1183),
AND(S1183=0,TYPE(VLOOKUP("Да",(INDIRECT("AA"&amp;(MAX((1=Z$12:Z1183)*ROW(Z$12:Z1183),ROW($T$12))&amp;":AA"&amp;(ROW()-1)))),1,0))&lt;&gt;16),MIN(LOOKUP(,-1/($Z$12:Z1184=1),$C$12:C1184)+LOOKUP(,-1/($Z$12:Z1184=1),$H$12:H1184)-IF(AA1183="Да",0,SUM(INDIRECT("T"&amp;(MAX(("Да"=AA$12:AA1183)*ROW(AA$12:AA1183)+1,ROW($T$12))&amp;":T"&amp;(ROW()-1))))),Первоначальный[[#This Row],[Полученный платеж]]+Y1183),
AND(S1183=0,MAX((0&lt;&gt;N$12:N1183)*ROW(N$12:N1183),ROW($S$12))&gt;=MAX((1=Z$12:Z1183)*ROW(Z$12:Z1183),ROW($T$12))),MIN(LOOKUP(,-1/($Z$12:Z1184=1),$C$12:C1184)+LOOKUP(,-1/($Z$12:Z1184=1),$H$12:H1184)-IF(N1183&lt;&gt;0,0,SUM(INDIRECT("T"&amp;(MAX((0&lt;&gt;N$12:N1183)*ROW(N$12:N1183)+1,ROW($T$12))&amp;":T"&amp;(ROW()-1))))),Первоначальный[[#This Row],[Полученный платеж]]+Y1183),
AND(S1183=0,Первоначальный[[#This Row],[Дата платежа из графика]]=1),MIN(LOOKUP(,-1/($Z$12:Z1184=1),$C$12:C1184)+LOOKUP(,-1/($Z$12:Z1184=1),$H$12:H1184)-IF(Z1183=1,0,SUM(INDIRECT("T"&amp;(MAX((1=Z$12:Z1183)*ROW(Z$12:Z1183)+1,ROW($T$12))&amp;":T"&amp;(ROW()-1))))),Первоначальный[[#This Row],[Полученный платеж]]+Y1183),
AND(Z1183&gt;0,Первоначальный[[#This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платеж]]+Y1183),
AND(S1183&gt;0,MAX((0&lt;&gt;S$12:S1183)*ROW(S$12:S1183),ROW($S$12))&gt;=MAX((1=Z$12:Z1183)*ROW(Z$12:Z1183),ROW($T$12)),TYPE(VLOOKUP("Да",(INDIRECT("AA"&amp;(MAX((1=Z$12:Z1183)*ROW(Z$12:Z1183),ROW($T$12))&amp;":AA"&amp;(ROW()-1)))),1,0))=16),MIN(LOOKUP(,-1/($Z$12:Z1184=1),$C$12:C1184)+LOOKUP(,-1/($Z$12:Z1184=1),$H$12:H1184)-SUM(INDIRECT("T"&amp;(MAX((1=Z$12:Z1183)*ROW(Z$12:Z1183),ROW($T$12))&amp;":T"&amp;(ROW()-1)))),Первоначальный[[#This Row],[Полученный платеж]]+Y1183),
S1183&gt;0,MIN(LOOKUP(,-1/($Z$12:Z1184=1),$C$12:C1184)+LOOKUP(,-1/($Z$12:Z1184=1),$H$12:H1184)-IF(Z1183=1,0,SUM(INDIRECT("T"&amp;(MAX((1=Z$12:Z1183)*ROW(Z$12:Z1183)+1,ROW($T$12))&amp;":T"&amp;(ROW()-1))))),Первоначальный[[#This Row],[Полученный платеж]]+Y1183)
)
)
)</f>
        <v>0</v>
      </c>
      <c r="U118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платеж]]+Y1183-Первоначальный[[#This Row],[Полученный платёж по процентам]])</f>
        <v>0</v>
      </c>
      <c r="V1184" s="55">
        <f t="shared" ca="1" si="219"/>
        <v>0</v>
      </c>
      <c r="W1184" s="55" cm="1">
        <f t="array" aca="1" ref="W1184" ca="1">IF(Первоначальный[[#This Row],[Итого остаток на начало периода]]&lt;1,0,
_xlfn.IFS(
AND(TYPE(VLOOKUP(1,$Z$12:Z1184,1,0))=16,Первоначальный[[#This Row],[Досрочное погашение (да/"")]]=""),0,
AND(S1183=0,Первоначальный[[#This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платеж]]+Y1183-SUM(Первоначальный[[#This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комиссиям]]),VLOOKUP(LOOKUP(,-1/($Z$12:Z1184=1),$A$12:A1184),График[[Срок конец]:[Возврат основной суммы долга]],3,0)),
AND(S1183=0,Первоначальный[[#This Row],[Дата платежа из графика]]="",Первоначальный[[#This Row],[Досрочное погашение (да/"")]]&lt;&gt;"Да"),0,
AND(S1183=0,Первоначальный[[#This Row],[Досрочное погашение (да/"")]]=""),MIN(Первоначальный[[#This Row],[Полученный платеж]]+Y1183-SUM(Первоначальный[[#This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комиссиям]]),VLOOKUP(LOOKUP(,-1/($Z$12:Z1184=1),$A$12:A1184),График[[Срок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платеж]]+Y1183-SUM(Первоначальный[[#This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S1183&gt;0,MIN(Первоначальный[[#This Row],[Полученный платеж]]+Y1183-SUM(Первоначальный[[#This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комиссиям]]),SUM(INDIRECT("M"&amp;(MAX((1=S$12:S1183)*ROW(S$12:S1183),ROW($W$12))&amp;":M"&amp;(ROW()))))-SUM(INDIRECT("W"&amp;(MAX((1=S$12:S1183)*ROW(S$12:S1183),ROW($W$12))&amp;":W"&amp;(ROW()-1)))))
)
)</f>
        <v>0</v>
      </c>
      <c r="X1184" s="55">
        <f t="shared" ca="1" si="220"/>
        <v>0</v>
      </c>
      <c r="Y1184" s="101">
        <f t="shared" ca="1" si="227"/>
        <v>0</v>
      </c>
      <c r="Z1184" s="133" t="str">
        <f>IF(TYPE((VLOOKUP(Первоначальный[[#This Row],[Дата платежа]],График[Срок конец],1,0)))=16,"",1)</f>
        <v/>
      </c>
      <c r="AA1184" s="57"/>
      <c r="AB1184" s="134"/>
      <c r="AC118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8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85030.630000000063</v>
      </c>
      <c r="AE118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5505.0699999999833</v>
      </c>
      <c r="AF118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8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286035.90354098263</v>
      </c>
      <c r="AH1184" s="55"/>
      <c r="AI1184" s="55"/>
      <c r="AJ1184" s="55"/>
      <c r="AK1184" s="101">
        <f t="shared" ca="1" si="228"/>
        <v>526204.94354098267</v>
      </c>
      <c r="AL1184" s="129">
        <f t="array" ref="AL1184">MAX((УслРестрактов[Характеристика]="Дата реструктуризации")*(УслРестрактов[Значение]=Первоначальный!$A1184),0)</f>
        <v>0</v>
      </c>
    </row>
    <row r="1185" spans="1:38" x14ac:dyDescent="0.25">
      <c r="A1185" s="97">
        <f t="shared" si="221"/>
        <v>45316</v>
      </c>
      <c r="B1185" s="100">
        <f t="shared" ca="1" si="222"/>
        <v>149633.34</v>
      </c>
      <c r="C1185" s="55">
        <f t="shared" ca="1" si="218"/>
        <v>85030.630000000063</v>
      </c>
      <c r="D1185" s="55">
        <f t="shared" ca="1" si="218"/>
        <v>5505.0699999999833</v>
      </c>
      <c r="E1185" s="55">
        <f t="shared" ca="1" si="223"/>
        <v>0</v>
      </c>
      <c r="F1185" s="55">
        <f t="shared" ca="1" si="224"/>
        <v>286035.90354098263</v>
      </c>
      <c r="G1185" s="101">
        <f t="shared" ca="1" si="225"/>
        <v>526204.94354098267</v>
      </c>
      <c r="H1185" s="100">
        <f ca="1">ROUND($B1185*VLOOKUP($A1185,$A$1:$B$10,2,1)/(365+IF(MOD(YEAR($A1185),4),0,1)*($A1185-$A1184)),2)-Первоначальный[[#This Row],[Проценты на просроченный платеж по ОД за период]]</f>
        <v>70.319999999999993</v>
      </c>
      <c r="I1185" s="55">
        <f t="shared" ca="1" si="226"/>
        <v>11.04</v>
      </c>
      <c r="J1185" s="55">
        <v>0</v>
      </c>
      <c r="K1185" s="55">
        <f t="shared" ca="1" si="229"/>
        <v>521.3935032786884</v>
      </c>
      <c r="L1185" s="55">
        <v>0</v>
      </c>
      <c r="M1185" s="113">
        <f>SUMIFS(График[Возврат основной суммы долга],График[Дата с учетом нерабочих дней],$A1185)</f>
        <v>0</v>
      </c>
      <c r="N1185" s="56">
        <f>SUMIFS(График[Возврат начисленных %],График[Дата с учетом нерабочих дней],$A1185)</f>
        <v>0</v>
      </c>
      <c r="O1185" s="101">
        <v>0</v>
      </c>
      <c r="P1185" s="100" cm="1">
        <f t="array" aca="1" ref="P1185" ca="1">MAX(IF(AA1184="Да",0,SUM(INDIRECT("M"&amp;(MAX(("Да"=AA$12:AA1184)*ROW(AA$12:AA1184)+1,ROW($P$12))&amp;":M"&amp;(ROW()))))-SUM(INDIRECT("W"&amp;(MAX(("Да"=AA$12:AA1184)*ROW(AA$12:AA1184)+1,ROW($P$12))&amp;":W"&amp;(ROW()))))),0)</f>
        <v>20306.809999999998</v>
      </c>
      <c r="Q1185" s="99">
        <f ca="1">MAX(SUM($N$13:N1185)-SUM($T$13:T1185),0)</f>
        <v>83971.890655737676</v>
      </c>
      <c r="R1185" s="99">
        <f ca="1">Первоначальный[[#This Row],[Просроченный платеж по ОД]]+Первоначальный[[#This Row],[Просроченный платеж по процентам]]</f>
        <v>104278.70065573767</v>
      </c>
      <c r="S1185" s="120">
        <f ca="1">IF(Первоначальный[[#This Row],[Просроченный платеж]]&lt;1,0,S1184+1)</f>
        <v>1081</v>
      </c>
      <c r="T1185" s="100" cm="1">
        <f t="array" aca="1" ref="T1185" ca="1">IF(Первоначальный[[#This Row],[Итого остаток на начало периода]]&lt;1,0,
IF(
AND(TYPE(VLOOKUP(1,$Z$12:Z1185,1,0))=16,Первоначальный[[#This Row],[Досрочное погашение (да/"")]]=""),0,
_xlfn.IFS(AND(S1184=0,Первоначальный[[#This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платеж]]&lt;&gt;0),MIN(LOOKUP(,-1/($Z$12:Z1185=1),$C$12:C1185)+LOOKUP(,-1/($Z$12:Z1185=1),$H$12:H1185),Первоначальный[[#This Row],[Полученный платеж]]+Y1184),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платеж]]+Y1184,SUM(Первоначальный[[#This Row],[Остаток процентов на начало периода]],Первоначальный[[#This Row],[Проценты за период]])),
AND(S1184=0,Первоначальный[[#This Row],[Дата платежа из графика]]=""),0,
AND(S1184=0,Первоначальный[[#This Row],[Дата платежа из графика]]=1,MAX((0&lt;&gt;S$12:S1184)*ROW(S$12:S1184),ROW($S$12))&gt;=MAX((1=Z$12:Z1184)*ROW(Z$12:Z1184),ROW($T$12)),TYPE(VLOOKUP("Да",(INDIRECT("AA"&amp;(MAX((1=Z$12:Z1184)*ROW(Z$12:Z1184),ROW($T$12))&amp;":AA"&amp;(ROW()-1)))),1,0))=16),MIN(LOOKUP(,-1/($Z$12:Z1185=1),$C$12:C1185)+LOOKUP(,-1/($Z$12:Z1185=1),$H$12:H1185),Первоначальный[[#This Row],[Полученный платеж]]+Y1184),
AND(S1184=0,TYPE(VLOOKUP("Да",(INDIRECT("AA"&amp;(MAX((1=Z$12:Z1184)*ROW(Z$12:Z1184),ROW($T$12))&amp;":AA"&amp;(ROW()-1)))),1,0))&lt;&gt;16),MIN(LOOKUP(,-1/($Z$12:Z1185=1),$C$12:C1185)+LOOKUP(,-1/($Z$12:Z1185=1),$H$12:H1185)-IF(AA1184="Да",0,SUM(INDIRECT("T"&amp;(MAX(("Да"=AA$12:AA1184)*ROW(AA$12:AA1184)+1,ROW($T$12))&amp;":T"&amp;(ROW()-1))))),Первоначальный[[#This Row],[Полученный платеж]]+Y1184),
AND(S1184=0,MAX((0&lt;&gt;N$12:N1184)*ROW(N$12:N1184),ROW($S$12))&gt;=MAX((1=Z$12:Z1184)*ROW(Z$12:Z1184),ROW($T$12))),MIN(LOOKUP(,-1/($Z$12:Z1185=1),$C$12:C1185)+LOOKUP(,-1/($Z$12:Z1185=1),$H$12:H1185)-IF(N1184&lt;&gt;0,0,SUM(INDIRECT("T"&amp;(MAX((0&lt;&gt;N$12:N1184)*ROW(N$12:N1184)+1,ROW($T$12))&amp;":T"&amp;(ROW()-1))))),Первоначальный[[#This Row],[Полученный платеж]]+Y1184),
AND(S1184=0,Первоначальный[[#This Row],[Дата платежа из графика]]=1),MIN(LOOKUP(,-1/($Z$12:Z1185=1),$C$12:C1185)+LOOKUP(,-1/($Z$12:Z1185=1),$H$12:H1185)-IF(Z1184=1,0,SUM(INDIRECT("T"&amp;(MAX((1=Z$12:Z1184)*ROW(Z$12:Z1184)+1,ROW($T$12))&amp;":T"&amp;(ROW()-1))))),Первоначальный[[#This Row],[Полученный платеж]]+Y1184),
AND(Z1184&gt;0,Первоначальный[[#This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платеж]]+Y1184),
AND(S1184&gt;0,MAX((0&lt;&gt;S$12:S1184)*ROW(S$12:S1184),ROW($S$12))&gt;=MAX((1=Z$12:Z1184)*ROW(Z$12:Z1184),ROW($T$12)),TYPE(VLOOKUP("Да",(INDIRECT("AA"&amp;(MAX((1=Z$12:Z1184)*ROW(Z$12:Z1184),ROW($T$12))&amp;":AA"&amp;(ROW()-1)))),1,0))=16),MIN(LOOKUP(,-1/($Z$12:Z1185=1),$C$12:C1185)+LOOKUP(,-1/($Z$12:Z1185=1),$H$12:H1185)-SUM(INDIRECT("T"&amp;(MAX((1=Z$12:Z1184)*ROW(Z$12:Z1184),ROW($T$12))&amp;":T"&amp;(ROW()-1)))),Первоначальный[[#This Row],[Полученный платеж]]+Y1184),
S1184&gt;0,MIN(LOOKUP(,-1/($Z$12:Z1185=1),$C$12:C1185)+LOOKUP(,-1/($Z$12:Z1185=1),$H$12:H1185)-IF(Z1184=1,0,SUM(INDIRECT("T"&amp;(MAX((1=Z$12:Z1184)*ROW(Z$12:Z1184)+1,ROW($T$12))&amp;":T"&amp;(ROW()-1))))),Первоначальный[[#This Row],[Полученный платеж]]+Y1184)
)
)
)</f>
        <v>0</v>
      </c>
      <c r="U118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платеж]]+Y1184-Первоначальный[[#This Row],[Полученный платёж по процентам]])</f>
        <v>0</v>
      </c>
      <c r="V1185" s="55">
        <f t="shared" ca="1" si="219"/>
        <v>0</v>
      </c>
      <c r="W1185" s="55" cm="1">
        <f t="array" aca="1" ref="W1185" ca="1">IF(Первоначальный[[#This Row],[Итого остаток на начало периода]]&lt;1,0,
_xlfn.IFS(
AND(TYPE(VLOOKUP(1,$Z$12:Z1185,1,0))=16,Первоначальный[[#This Row],[Досрочное погашение (да/"")]]=""),0,
AND(S1184=0,Первоначальный[[#This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платеж]]+Y1184-SUM(Первоначальный[[#This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комиссиям]]),VLOOKUP(LOOKUP(,-1/($Z$12:Z1185=1),$A$12:A1185),График[[Срок конец]:[Возврат основной суммы долга]],3,0)),
AND(S1184=0,Первоначальный[[#This Row],[Дата платежа из графика]]="",Первоначальный[[#This Row],[Досрочное погашение (да/"")]]&lt;&gt;"Да"),0,
AND(S1184=0,Первоначальный[[#This Row],[Досрочное погашение (да/"")]]=""),MIN(Первоначальный[[#This Row],[Полученный платеж]]+Y1184-SUM(Первоначальный[[#This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комиссиям]]),VLOOKUP(LOOKUP(,-1/($Z$12:Z1185=1),$A$12:A1185),График[[Срок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платеж]]+Y1184-SUM(Первоначальный[[#This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S1184&gt;0,MIN(Первоначальный[[#This Row],[Полученный платеж]]+Y1184-SUM(Первоначальный[[#This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комиссиям]]),SUM(INDIRECT("M"&amp;(MAX((1=S$12:S1184)*ROW(S$12:S1184),ROW($W$12))&amp;":M"&amp;(ROW()))))-SUM(INDIRECT("W"&amp;(MAX((1=S$12:S1184)*ROW(S$12:S1184),ROW($W$12))&amp;":W"&amp;(ROW()-1)))))
)
)</f>
        <v>0</v>
      </c>
      <c r="X1185" s="55">
        <f t="shared" ca="1" si="220"/>
        <v>0</v>
      </c>
      <c r="Y1185" s="101">
        <f t="shared" ca="1" si="227"/>
        <v>0</v>
      </c>
      <c r="Z1185" s="133" t="str">
        <f>IF(TYPE((VLOOKUP(Первоначальный[[#This Row],[Дата платежа]],График[Срок конец],1,0)))=16,"",1)</f>
        <v/>
      </c>
      <c r="AA1185" s="57"/>
      <c r="AB1185" s="134"/>
      <c r="AC118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8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85100.95000000007</v>
      </c>
      <c r="AE118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5516.1099999999833</v>
      </c>
      <c r="AF118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8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286557.2970442613</v>
      </c>
      <c r="AH1185" s="55"/>
      <c r="AI1185" s="55"/>
      <c r="AJ1185" s="55"/>
      <c r="AK1185" s="101">
        <f t="shared" ca="1" si="228"/>
        <v>526807.69704426138</v>
      </c>
      <c r="AL1185" s="129">
        <f t="array" ref="AL1185">MAX((УслРестрактов[Характеристика]="Дата реструктуризации")*(УслРестрактов[Значение]=Первоначальный!$A1185),0)</f>
        <v>0</v>
      </c>
    </row>
    <row r="1186" spans="1:38" x14ac:dyDescent="0.25">
      <c r="A1186" s="97">
        <f t="shared" si="221"/>
        <v>45317</v>
      </c>
      <c r="B1186" s="100">
        <f t="shared" ca="1" si="222"/>
        <v>149633.34</v>
      </c>
      <c r="C1186" s="55">
        <f t="shared" ca="1" si="218"/>
        <v>85100.95000000007</v>
      </c>
      <c r="D1186" s="55">
        <f t="shared" ca="1" si="218"/>
        <v>5516.1099999999833</v>
      </c>
      <c r="E1186" s="55">
        <f t="shared" ca="1" si="223"/>
        <v>0</v>
      </c>
      <c r="F1186" s="55">
        <f t="shared" ca="1" si="224"/>
        <v>286557.2970442613</v>
      </c>
      <c r="G1186" s="101">
        <f t="shared" ca="1" si="225"/>
        <v>526807.69704426138</v>
      </c>
      <c r="H1186" s="100">
        <f ca="1">ROUND($B1186*VLOOKUP($A1186,$A$1:$B$10,2,1)/(365+IF(MOD(YEAR($A1186),4),0,1)*($A1186-$A1185)),2)-Первоначальный[[#This Row],[Проценты на просроченный платеж по ОД за период]]</f>
        <v>70.319999999999993</v>
      </c>
      <c r="I1186" s="55">
        <f t="shared" ca="1" si="226"/>
        <v>11.04</v>
      </c>
      <c r="J1186" s="55">
        <v>0</v>
      </c>
      <c r="K1186" s="55">
        <f t="shared" ca="1" si="229"/>
        <v>521.3935032786884</v>
      </c>
      <c r="L1186" s="55">
        <v>0</v>
      </c>
      <c r="M1186" s="113">
        <f>SUMIFS(График[Возврат основной суммы долга],График[Дата с учетом нерабочих дней],$A1186)</f>
        <v>0</v>
      </c>
      <c r="N1186" s="56">
        <f>SUMIFS(График[Возврат начисленных %],График[Дата с учетом нерабочих дней],$A1186)</f>
        <v>0</v>
      </c>
      <c r="O1186" s="101">
        <v>0</v>
      </c>
      <c r="P1186" s="100" cm="1">
        <f t="array" aca="1" ref="P1186" ca="1">MAX(IF(AA1185="Да",0,SUM(INDIRECT("M"&amp;(MAX(("Да"=AA$12:AA1185)*ROW(AA$12:AA1185)+1,ROW($P$12))&amp;":M"&amp;(ROW()))))-SUM(INDIRECT("W"&amp;(MAX(("Да"=AA$12:AA1185)*ROW(AA$12:AA1185)+1,ROW($P$12))&amp;":W"&amp;(ROW()))))),0)</f>
        <v>20306.809999999998</v>
      </c>
      <c r="Q1186" s="99">
        <f ca="1">MAX(SUM($N$13:N1186)-SUM($T$13:T1186),0)</f>
        <v>83971.890655737676</v>
      </c>
      <c r="R1186" s="99">
        <f ca="1">Первоначальный[[#This Row],[Просроченный платеж по ОД]]+Первоначальный[[#This Row],[Просроченный платеж по процентам]]</f>
        <v>104278.70065573767</v>
      </c>
      <c r="S1186" s="120">
        <f ca="1">IF(Первоначальный[[#This Row],[Просроченный платеж]]&lt;1,0,S1185+1)</f>
        <v>1082</v>
      </c>
      <c r="T1186" s="100" cm="1">
        <f t="array" aca="1" ref="T1186" ca="1">IF(Первоначальный[[#This Row],[Итого остаток на начало периода]]&lt;1,0,
IF(
AND(TYPE(VLOOKUP(1,$Z$12:Z1186,1,0))=16,Первоначальный[[#This Row],[Досрочное погашение (да/"")]]=""),0,
_xlfn.IFS(AND(S1185=0,Первоначальный[[#This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платеж]]&lt;&gt;0),MIN(LOOKUP(,-1/($Z$12:Z1186=1),$C$12:C1186)+LOOKUP(,-1/($Z$12:Z1186=1),$H$12:H1186),Первоначальный[[#This Row],[Полученный платеж]]+Y1185),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платеж]]+Y1185,SUM(Первоначальный[[#This Row],[Остаток процентов на начало периода]],Первоначальный[[#This Row],[Проценты за период]])),
AND(S1185=0,Первоначальный[[#This Row],[Дата платежа из графика]]=""),0,
AND(S1185=0,Первоначальный[[#This Row],[Дата платежа из графика]]=1,MAX((0&lt;&gt;S$12:S1185)*ROW(S$12:S1185),ROW($S$12))&gt;=MAX((1=Z$12:Z1185)*ROW(Z$12:Z1185),ROW($T$12)),TYPE(VLOOKUP("Да",(INDIRECT("AA"&amp;(MAX((1=Z$12:Z1185)*ROW(Z$12:Z1185),ROW($T$12))&amp;":AA"&amp;(ROW()-1)))),1,0))=16),MIN(LOOKUP(,-1/($Z$12:Z1186=1),$C$12:C1186)+LOOKUP(,-1/($Z$12:Z1186=1),$H$12:H1186),Первоначальный[[#This Row],[Полученный платеж]]+Y1185),
AND(S1185=0,TYPE(VLOOKUP("Да",(INDIRECT("AA"&amp;(MAX((1=Z$12:Z1185)*ROW(Z$12:Z1185),ROW($T$12))&amp;":AA"&amp;(ROW()-1)))),1,0))&lt;&gt;16),MIN(LOOKUP(,-1/($Z$12:Z1186=1),$C$12:C1186)+LOOKUP(,-1/($Z$12:Z1186=1),$H$12:H1186)-IF(AA1185="Да",0,SUM(INDIRECT("T"&amp;(MAX(("Да"=AA$12:AA1185)*ROW(AA$12:AA1185)+1,ROW($T$12))&amp;":T"&amp;(ROW()-1))))),Первоначальный[[#This Row],[Полученный платеж]]+Y1185),
AND(S1185=0,MAX((0&lt;&gt;N$12:N1185)*ROW(N$12:N1185),ROW($S$12))&gt;=MAX((1=Z$12:Z1185)*ROW(Z$12:Z1185),ROW($T$12))),MIN(LOOKUP(,-1/($Z$12:Z1186=1),$C$12:C1186)+LOOKUP(,-1/($Z$12:Z1186=1),$H$12:H1186)-IF(N1185&lt;&gt;0,0,SUM(INDIRECT("T"&amp;(MAX((0&lt;&gt;N$12:N1185)*ROW(N$12:N1185)+1,ROW($T$12))&amp;":T"&amp;(ROW()-1))))),Первоначальный[[#This Row],[Полученный платеж]]+Y1185),
AND(S1185=0,Первоначальный[[#This Row],[Дата платежа из графика]]=1),MIN(LOOKUP(,-1/($Z$12:Z1186=1),$C$12:C1186)+LOOKUP(,-1/($Z$12:Z1186=1),$H$12:H1186)-IF(Z1185=1,0,SUM(INDIRECT("T"&amp;(MAX((1=Z$12:Z1185)*ROW(Z$12:Z1185)+1,ROW($T$12))&amp;":T"&amp;(ROW()-1))))),Первоначальный[[#This Row],[Полученный платеж]]+Y1185),
AND(Z1185&gt;0,Первоначальный[[#This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платеж]]+Y1185),
AND(S1185&gt;0,MAX((0&lt;&gt;S$12:S1185)*ROW(S$12:S1185),ROW($S$12))&gt;=MAX((1=Z$12:Z1185)*ROW(Z$12:Z1185),ROW($T$12)),TYPE(VLOOKUP("Да",(INDIRECT("AA"&amp;(MAX((1=Z$12:Z1185)*ROW(Z$12:Z1185),ROW($T$12))&amp;":AA"&amp;(ROW()-1)))),1,0))=16),MIN(LOOKUP(,-1/($Z$12:Z1186=1),$C$12:C1186)+LOOKUP(,-1/($Z$12:Z1186=1),$H$12:H1186)-SUM(INDIRECT("T"&amp;(MAX((1=Z$12:Z1185)*ROW(Z$12:Z1185),ROW($T$12))&amp;":T"&amp;(ROW()-1)))),Первоначальный[[#This Row],[Полученный платеж]]+Y1185),
S1185&gt;0,MIN(LOOKUP(,-1/($Z$12:Z1186=1),$C$12:C1186)+LOOKUP(,-1/($Z$12:Z1186=1),$H$12:H1186)-IF(Z1185=1,0,SUM(INDIRECT("T"&amp;(MAX((1=Z$12:Z1185)*ROW(Z$12:Z1185)+1,ROW($T$12))&amp;":T"&amp;(ROW()-1))))),Первоначальный[[#This Row],[Полученный платеж]]+Y1185)
)
)
)</f>
        <v>0</v>
      </c>
      <c r="U118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платеж]]+Y1185-Первоначальный[[#This Row],[Полученный платёж по процентам]])</f>
        <v>0</v>
      </c>
      <c r="V1186" s="55">
        <f t="shared" ca="1" si="219"/>
        <v>0</v>
      </c>
      <c r="W1186" s="55" cm="1">
        <f t="array" aca="1" ref="W1186" ca="1">IF(Первоначальный[[#This Row],[Итого остаток на начало периода]]&lt;1,0,
_xlfn.IFS(
AND(TYPE(VLOOKUP(1,$Z$12:Z1186,1,0))=16,Первоначальный[[#This Row],[Досрочное погашение (да/"")]]=""),0,
AND(S1185=0,Первоначальный[[#This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платеж]]+Y1185-SUM(Первоначальный[[#This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комиссиям]]),VLOOKUP(LOOKUP(,-1/($Z$12:Z1186=1),$A$12:A1186),График[[Срок конец]:[Возврат основной суммы долга]],3,0)),
AND(S1185=0,Первоначальный[[#This Row],[Дата платежа из графика]]="",Первоначальный[[#This Row],[Досрочное погашение (да/"")]]&lt;&gt;"Да"),0,
AND(S1185=0,Первоначальный[[#This Row],[Досрочное погашение (да/"")]]=""),MIN(Первоначальный[[#This Row],[Полученный платеж]]+Y1185-SUM(Первоначальный[[#This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комиссиям]]),VLOOKUP(LOOKUP(,-1/($Z$12:Z1186=1),$A$12:A1186),График[[Срок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платеж]]+Y1185-SUM(Первоначальный[[#This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S1185&gt;0,MIN(Первоначальный[[#This Row],[Полученный платеж]]+Y1185-SUM(Первоначальный[[#This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комиссиям]]),SUM(INDIRECT("M"&amp;(MAX((1=S$12:S1185)*ROW(S$12:S1185),ROW($W$12))&amp;":M"&amp;(ROW()))))-SUM(INDIRECT("W"&amp;(MAX((1=S$12:S1185)*ROW(S$12:S1185),ROW($W$12))&amp;":W"&amp;(ROW()-1)))))
)
)</f>
        <v>0</v>
      </c>
      <c r="X1186" s="55">
        <f t="shared" ca="1" si="220"/>
        <v>0</v>
      </c>
      <c r="Y1186" s="101">
        <f t="shared" ca="1" si="227"/>
        <v>0</v>
      </c>
      <c r="Z1186" s="133" t="str">
        <f>IF(TYPE((VLOOKUP(Первоначальный[[#This Row],[Дата платежа]],График[Срок конец],1,0)))=16,"",1)</f>
        <v/>
      </c>
      <c r="AA1186" s="57"/>
      <c r="AB1186" s="134"/>
      <c r="AC118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8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85171.270000000077</v>
      </c>
      <c r="AE118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5527.1499999999833</v>
      </c>
      <c r="AF118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8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287078.69054753997</v>
      </c>
      <c r="AH1186" s="55"/>
      <c r="AI1186" s="55"/>
      <c r="AJ1186" s="55"/>
      <c r="AK1186" s="101">
        <f t="shared" ca="1" si="228"/>
        <v>527410.45054754009</v>
      </c>
      <c r="AL1186" s="129">
        <f t="array" ref="AL1186">MAX((УслРестрактов[Характеристика]="Дата реструктуризации")*(УслРестрактов[Значение]=Первоначальный!$A1186),0)</f>
        <v>0</v>
      </c>
    </row>
    <row r="1187" spans="1:38" x14ac:dyDescent="0.25">
      <c r="A1187" s="97">
        <f t="shared" si="221"/>
        <v>45318</v>
      </c>
      <c r="B1187" s="100">
        <f t="shared" ca="1" si="222"/>
        <v>149633.34</v>
      </c>
      <c r="C1187" s="55">
        <f t="shared" ca="1" si="218"/>
        <v>85171.270000000077</v>
      </c>
      <c r="D1187" s="55">
        <f t="shared" ca="1" si="218"/>
        <v>5527.1499999999833</v>
      </c>
      <c r="E1187" s="55">
        <f t="shared" ca="1" si="223"/>
        <v>0</v>
      </c>
      <c r="F1187" s="55">
        <f t="shared" ca="1" si="224"/>
        <v>287078.69054753997</v>
      </c>
      <c r="G1187" s="101">
        <f t="shared" ca="1" si="225"/>
        <v>527410.45054754009</v>
      </c>
      <c r="H1187" s="100">
        <f ca="1">ROUND($B1187*VLOOKUP($A1187,$A$1:$B$10,2,1)/(365+IF(MOD(YEAR($A1187),4),0,1)*($A1187-$A1186)),2)-Первоначальный[[#This Row],[Проценты на просроченный платеж по ОД за период]]</f>
        <v>70.319999999999993</v>
      </c>
      <c r="I1187" s="55">
        <f t="shared" ca="1" si="226"/>
        <v>11.04</v>
      </c>
      <c r="J1187" s="55">
        <v>0</v>
      </c>
      <c r="K1187" s="55">
        <f t="shared" ca="1" si="229"/>
        <v>521.3935032786884</v>
      </c>
      <c r="L1187" s="55">
        <v>0</v>
      </c>
      <c r="M1187" s="113">
        <f>SUMIFS(График[Возврат основной суммы долга],График[Дата с учетом нерабочих дней],$A1187)</f>
        <v>0</v>
      </c>
      <c r="N1187" s="56">
        <f>SUMIFS(График[Возврат начисленных %],График[Дата с учетом нерабочих дней],$A1187)</f>
        <v>0</v>
      </c>
      <c r="O1187" s="101">
        <v>0</v>
      </c>
      <c r="P1187" s="100" cm="1">
        <f t="array" aca="1" ref="P1187" ca="1">MAX(IF(AA1186="Да",0,SUM(INDIRECT("M"&amp;(MAX(("Да"=AA$12:AA1186)*ROW(AA$12:AA1186)+1,ROW($P$12))&amp;":M"&amp;(ROW()))))-SUM(INDIRECT("W"&amp;(MAX(("Да"=AA$12:AA1186)*ROW(AA$12:AA1186)+1,ROW($P$12))&amp;":W"&amp;(ROW()))))),0)</f>
        <v>20306.809999999998</v>
      </c>
      <c r="Q1187" s="99">
        <f ca="1">MAX(SUM($N$13:N1187)-SUM($T$13:T1187),0)</f>
        <v>83971.890655737676</v>
      </c>
      <c r="R1187" s="99">
        <f ca="1">Первоначальный[[#This Row],[Просроченный платеж по ОД]]+Первоначальный[[#This Row],[Просроченный платеж по процентам]]</f>
        <v>104278.70065573767</v>
      </c>
      <c r="S1187" s="120">
        <f ca="1">IF(Первоначальный[[#This Row],[Просроченный платеж]]&lt;1,0,S1186+1)</f>
        <v>1083</v>
      </c>
      <c r="T1187" s="100" cm="1">
        <f t="array" aca="1" ref="T1187" ca="1">IF(Первоначальный[[#This Row],[Итого остаток на начало периода]]&lt;1,0,
IF(
AND(TYPE(VLOOKUP(1,$Z$12:Z1187,1,0))=16,Первоначальный[[#This Row],[Досрочное погашение (да/"")]]=""),0,
_xlfn.IFS(AND(S1186=0,Первоначальный[[#This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платеж]]&lt;&gt;0),MIN(LOOKUP(,-1/($Z$12:Z1187=1),$C$12:C1187)+LOOKUP(,-1/($Z$12:Z1187=1),$H$12:H1187),Первоначальный[[#This Row],[Полученный платеж]]+Y1186),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платеж]]+Y1186,SUM(Первоначальный[[#This Row],[Остаток процентов на начало периода]],Первоначальный[[#This Row],[Проценты за период]])),
AND(S1186=0,Первоначальный[[#This Row],[Дата платежа из графика]]=""),0,
AND(S1186=0,Первоначальный[[#This Row],[Дата платежа из графика]]=1,MAX((0&lt;&gt;S$12:S1186)*ROW(S$12:S1186),ROW($S$12))&gt;=MAX((1=Z$12:Z1186)*ROW(Z$12:Z1186),ROW($T$12)),TYPE(VLOOKUP("Да",(INDIRECT("AA"&amp;(MAX((1=Z$12:Z1186)*ROW(Z$12:Z1186),ROW($T$12))&amp;":AA"&amp;(ROW()-1)))),1,0))=16),MIN(LOOKUP(,-1/($Z$12:Z1187=1),$C$12:C1187)+LOOKUP(,-1/($Z$12:Z1187=1),$H$12:H1187),Первоначальный[[#This Row],[Полученный платеж]]+Y1186),
AND(S1186=0,TYPE(VLOOKUP("Да",(INDIRECT("AA"&amp;(MAX((1=Z$12:Z1186)*ROW(Z$12:Z1186),ROW($T$12))&amp;":AA"&amp;(ROW()-1)))),1,0))&lt;&gt;16),MIN(LOOKUP(,-1/($Z$12:Z1187=1),$C$12:C1187)+LOOKUP(,-1/($Z$12:Z1187=1),$H$12:H1187)-IF(AA1186="Да",0,SUM(INDIRECT("T"&amp;(MAX(("Да"=AA$12:AA1186)*ROW(AA$12:AA1186)+1,ROW($T$12))&amp;":T"&amp;(ROW()-1))))),Первоначальный[[#This Row],[Полученный платеж]]+Y1186),
AND(S1186=0,MAX((0&lt;&gt;N$12:N1186)*ROW(N$12:N1186),ROW($S$12))&gt;=MAX((1=Z$12:Z1186)*ROW(Z$12:Z1186),ROW($T$12))),MIN(LOOKUP(,-1/($Z$12:Z1187=1),$C$12:C1187)+LOOKUP(,-1/($Z$12:Z1187=1),$H$12:H1187)-IF(N1186&lt;&gt;0,0,SUM(INDIRECT("T"&amp;(MAX((0&lt;&gt;N$12:N1186)*ROW(N$12:N1186)+1,ROW($T$12))&amp;":T"&amp;(ROW()-1))))),Первоначальный[[#This Row],[Полученный платеж]]+Y1186),
AND(S1186=0,Первоначальный[[#This Row],[Дата платежа из графика]]=1),MIN(LOOKUP(,-1/($Z$12:Z1187=1),$C$12:C1187)+LOOKUP(,-1/($Z$12:Z1187=1),$H$12:H1187)-IF(Z1186=1,0,SUM(INDIRECT("T"&amp;(MAX((1=Z$12:Z1186)*ROW(Z$12:Z1186)+1,ROW($T$12))&amp;":T"&amp;(ROW()-1))))),Первоначальный[[#This Row],[Полученный платеж]]+Y1186),
AND(Z1186&gt;0,Первоначальный[[#This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платеж]]+Y1186),
AND(S1186&gt;0,MAX((0&lt;&gt;S$12:S1186)*ROW(S$12:S1186),ROW($S$12))&gt;=MAX((1=Z$12:Z1186)*ROW(Z$12:Z1186),ROW($T$12)),TYPE(VLOOKUP("Да",(INDIRECT("AA"&amp;(MAX((1=Z$12:Z1186)*ROW(Z$12:Z1186),ROW($T$12))&amp;":AA"&amp;(ROW()-1)))),1,0))=16),MIN(LOOKUP(,-1/($Z$12:Z1187=1),$C$12:C1187)+LOOKUP(,-1/($Z$12:Z1187=1),$H$12:H1187)-SUM(INDIRECT("T"&amp;(MAX((1=Z$12:Z1186)*ROW(Z$12:Z1186),ROW($T$12))&amp;":T"&amp;(ROW()-1)))),Первоначальный[[#This Row],[Полученный платеж]]+Y1186),
S1186&gt;0,MIN(LOOKUP(,-1/($Z$12:Z1187=1),$C$12:C1187)+LOOKUP(,-1/($Z$12:Z1187=1),$H$12:H1187)-IF(Z1186=1,0,SUM(INDIRECT("T"&amp;(MAX((1=Z$12:Z1186)*ROW(Z$12:Z1186)+1,ROW($T$12))&amp;":T"&amp;(ROW()-1))))),Первоначальный[[#This Row],[Полученный платеж]]+Y1186)
)
)
)</f>
        <v>0</v>
      </c>
      <c r="U118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платеж]]+Y1186-Первоначальный[[#This Row],[Полученный платёж по процентам]])</f>
        <v>0</v>
      </c>
      <c r="V1187" s="55">
        <f t="shared" ca="1" si="219"/>
        <v>0</v>
      </c>
      <c r="W1187" s="55" cm="1">
        <f t="array" aca="1" ref="W1187" ca="1">IF(Первоначальный[[#This Row],[Итого остаток на начало периода]]&lt;1,0,
_xlfn.IFS(
AND(TYPE(VLOOKUP(1,$Z$12:Z1187,1,0))=16,Первоначальный[[#This Row],[Досрочное погашение (да/"")]]=""),0,
AND(S1186=0,Первоначальный[[#This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платеж]]+Y1186-SUM(Первоначальный[[#This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комиссиям]]),VLOOKUP(LOOKUP(,-1/($Z$12:Z1187=1),$A$12:A1187),График[[Срок конец]:[Возврат основной суммы долга]],3,0)),
AND(S1186=0,Первоначальный[[#This Row],[Дата платежа из графика]]="",Первоначальный[[#This Row],[Досрочное погашение (да/"")]]&lt;&gt;"Да"),0,
AND(S1186=0,Первоначальный[[#This Row],[Досрочное погашение (да/"")]]=""),MIN(Первоначальный[[#This Row],[Полученный платеж]]+Y1186-SUM(Первоначальный[[#This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комиссиям]]),VLOOKUP(LOOKUP(,-1/($Z$12:Z1187=1),$A$12:A1187),График[[Срок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платеж]]+Y1186-SUM(Первоначальный[[#This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S1186&gt;0,MIN(Первоначальный[[#This Row],[Полученный платеж]]+Y1186-SUM(Первоначальный[[#This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комиссиям]]),SUM(INDIRECT("M"&amp;(MAX((1=S$12:S1186)*ROW(S$12:S1186),ROW($W$12))&amp;":M"&amp;(ROW()))))-SUM(INDIRECT("W"&amp;(MAX((1=S$12:S1186)*ROW(S$12:S1186),ROW($W$12))&amp;":W"&amp;(ROW()-1)))))
)
)</f>
        <v>0</v>
      </c>
      <c r="X1187" s="55">
        <f t="shared" ca="1" si="220"/>
        <v>0</v>
      </c>
      <c r="Y1187" s="101">
        <f t="shared" ca="1" si="227"/>
        <v>0</v>
      </c>
      <c r="Z1187" s="133" t="str">
        <f>IF(TYPE((VLOOKUP(Первоначальный[[#This Row],[Дата платежа]],График[Срок конец],1,0)))=16,"",1)</f>
        <v/>
      </c>
      <c r="AA1187" s="57"/>
      <c r="AB1187" s="134"/>
      <c r="AC118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8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85241.590000000084</v>
      </c>
      <c r="AE118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5538.1899999999832</v>
      </c>
      <c r="AF118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8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287600.08405081864</v>
      </c>
      <c r="AH1187" s="55"/>
      <c r="AI1187" s="55"/>
      <c r="AJ1187" s="55"/>
      <c r="AK1187" s="101">
        <f t="shared" ca="1" si="228"/>
        <v>528013.20405081869</v>
      </c>
      <c r="AL1187" s="129">
        <f t="array" ref="AL1187">MAX((УслРестрактов[Характеристика]="Дата реструктуризации")*(УслРестрактов[Значение]=Первоначальный!$A1187),0)</f>
        <v>0</v>
      </c>
    </row>
    <row r="1188" spans="1:38" x14ac:dyDescent="0.25">
      <c r="A1188" s="97">
        <f t="shared" si="221"/>
        <v>45319</v>
      </c>
      <c r="B1188" s="100">
        <f t="shared" ca="1" si="222"/>
        <v>149633.34</v>
      </c>
      <c r="C1188" s="55">
        <f t="shared" ca="1" si="218"/>
        <v>85241.590000000084</v>
      </c>
      <c r="D1188" s="55">
        <f t="shared" ca="1" si="218"/>
        <v>5538.1899999999832</v>
      </c>
      <c r="E1188" s="55">
        <f t="shared" ca="1" si="223"/>
        <v>0</v>
      </c>
      <c r="F1188" s="55">
        <f t="shared" ca="1" si="224"/>
        <v>287600.08405081864</v>
      </c>
      <c r="G1188" s="101">
        <f t="shared" ca="1" si="225"/>
        <v>528013.20405081869</v>
      </c>
      <c r="H1188" s="100">
        <f ca="1">ROUND($B1188*VLOOKUP($A1188,$A$1:$B$10,2,1)/(365+IF(MOD(YEAR($A1188),4),0,1)*($A1188-$A1187)),2)-Первоначальный[[#This Row],[Проценты на просроченный платеж по ОД за период]]</f>
        <v>70.319999999999993</v>
      </c>
      <c r="I1188" s="55">
        <f t="shared" ca="1" si="226"/>
        <v>11.04</v>
      </c>
      <c r="J1188" s="55">
        <v>0</v>
      </c>
      <c r="K1188" s="55">
        <f t="shared" ca="1" si="229"/>
        <v>521.3935032786884</v>
      </c>
      <c r="L1188" s="55">
        <v>0</v>
      </c>
      <c r="M1188" s="113">
        <f>SUMIFS(График[Возврат основной суммы долга],График[Дата с учетом нерабочих дней],$A1188)</f>
        <v>0</v>
      </c>
      <c r="N1188" s="56">
        <f>SUMIFS(График[Возврат начисленных %],График[Дата с учетом нерабочих дней],$A1188)</f>
        <v>0</v>
      </c>
      <c r="O1188" s="101">
        <v>0</v>
      </c>
      <c r="P1188" s="100" cm="1">
        <f t="array" aca="1" ref="P1188" ca="1">MAX(IF(AA1187="Да",0,SUM(INDIRECT("M"&amp;(MAX(("Да"=AA$12:AA1187)*ROW(AA$12:AA1187)+1,ROW($P$12))&amp;":M"&amp;(ROW()))))-SUM(INDIRECT("W"&amp;(MAX(("Да"=AA$12:AA1187)*ROW(AA$12:AA1187)+1,ROW($P$12))&amp;":W"&amp;(ROW()))))),0)</f>
        <v>20306.809999999998</v>
      </c>
      <c r="Q1188" s="99">
        <f ca="1">MAX(SUM($N$13:N1188)-SUM($T$13:T1188),0)</f>
        <v>83971.890655737676</v>
      </c>
      <c r="R1188" s="99">
        <f ca="1">Первоначальный[[#This Row],[Просроченный платеж по ОД]]+Первоначальный[[#This Row],[Просроченный платеж по процентам]]</f>
        <v>104278.70065573767</v>
      </c>
      <c r="S1188" s="120">
        <f ca="1">IF(Первоначальный[[#This Row],[Просроченный платеж]]&lt;1,0,S1187+1)</f>
        <v>1084</v>
      </c>
      <c r="T1188" s="100" cm="1">
        <f t="array" aca="1" ref="T1188" ca="1">IF(Первоначальный[[#This Row],[Итого остаток на начало периода]]&lt;1,0,
IF(
AND(TYPE(VLOOKUP(1,$Z$12:Z1188,1,0))=16,Первоначальный[[#This Row],[Досрочное погашение (да/"")]]=""),0,
_xlfn.IFS(AND(S1187=0,Первоначальный[[#This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платеж]]&lt;&gt;0),MIN(LOOKUP(,-1/($Z$12:Z1188=1),$C$12:C1188)+LOOKUP(,-1/($Z$12:Z1188=1),$H$12:H1188),Первоначальный[[#This Row],[Полученный платеж]]+Y1187),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платеж]]+Y1187,SUM(Первоначальный[[#This Row],[Остаток процентов на начало периода]],Первоначальный[[#This Row],[Проценты за период]])),
AND(S1187=0,Первоначальный[[#This Row],[Дата платежа из графика]]=""),0,
AND(S1187=0,Первоначальный[[#This Row],[Дата платежа из графика]]=1,MAX((0&lt;&gt;S$12:S1187)*ROW(S$12:S1187),ROW($S$12))&gt;=MAX((1=Z$12:Z1187)*ROW(Z$12:Z1187),ROW($T$12)),TYPE(VLOOKUP("Да",(INDIRECT("AA"&amp;(MAX((1=Z$12:Z1187)*ROW(Z$12:Z1187),ROW($T$12))&amp;":AA"&amp;(ROW()-1)))),1,0))=16),MIN(LOOKUP(,-1/($Z$12:Z1188=1),$C$12:C1188)+LOOKUP(,-1/($Z$12:Z1188=1),$H$12:H1188),Первоначальный[[#This Row],[Полученный платеж]]+Y1187),
AND(S1187=0,TYPE(VLOOKUP("Да",(INDIRECT("AA"&amp;(MAX((1=Z$12:Z1187)*ROW(Z$12:Z1187),ROW($T$12))&amp;":AA"&amp;(ROW()-1)))),1,0))&lt;&gt;16),MIN(LOOKUP(,-1/($Z$12:Z1188=1),$C$12:C1188)+LOOKUP(,-1/($Z$12:Z1188=1),$H$12:H1188)-IF(AA1187="Да",0,SUM(INDIRECT("T"&amp;(MAX(("Да"=AA$12:AA1187)*ROW(AA$12:AA1187)+1,ROW($T$12))&amp;":T"&amp;(ROW()-1))))),Первоначальный[[#This Row],[Полученный платеж]]+Y1187),
AND(S1187=0,MAX((0&lt;&gt;N$12:N1187)*ROW(N$12:N1187),ROW($S$12))&gt;=MAX((1=Z$12:Z1187)*ROW(Z$12:Z1187),ROW($T$12))),MIN(LOOKUP(,-1/($Z$12:Z1188=1),$C$12:C1188)+LOOKUP(,-1/($Z$12:Z1188=1),$H$12:H1188)-IF(N1187&lt;&gt;0,0,SUM(INDIRECT("T"&amp;(MAX((0&lt;&gt;N$12:N1187)*ROW(N$12:N1187)+1,ROW($T$12))&amp;":T"&amp;(ROW()-1))))),Первоначальный[[#This Row],[Полученный платеж]]+Y1187),
AND(S1187=0,Первоначальный[[#This Row],[Дата платежа из графика]]=1),MIN(LOOKUP(,-1/($Z$12:Z1188=1),$C$12:C1188)+LOOKUP(,-1/($Z$12:Z1188=1),$H$12:H1188)-IF(Z1187=1,0,SUM(INDIRECT("T"&amp;(MAX((1=Z$12:Z1187)*ROW(Z$12:Z1187)+1,ROW($T$12))&amp;":T"&amp;(ROW()-1))))),Первоначальный[[#This Row],[Полученный платеж]]+Y1187),
AND(Z1187&gt;0,Первоначальный[[#This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платеж]]+Y1187),
AND(S1187&gt;0,MAX((0&lt;&gt;S$12:S1187)*ROW(S$12:S1187),ROW($S$12))&gt;=MAX((1=Z$12:Z1187)*ROW(Z$12:Z1187),ROW($T$12)),TYPE(VLOOKUP("Да",(INDIRECT("AA"&amp;(MAX((1=Z$12:Z1187)*ROW(Z$12:Z1187),ROW($T$12))&amp;":AA"&amp;(ROW()-1)))),1,0))=16),MIN(LOOKUP(,-1/($Z$12:Z1188=1),$C$12:C1188)+LOOKUP(,-1/($Z$12:Z1188=1),$H$12:H1188)-SUM(INDIRECT("T"&amp;(MAX((1=Z$12:Z1187)*ROW(Z$12:Z1187),ROW($T$12))&amp;":T"&amp;(ROW()-1)))),Первоначальный[[#This Row],[Полученный платеж]]+Y1187),
S1187&gt;0,MIN(LOOKUP(,-1/($Z$12:Z1188=1),$C$12:C1188)+LOOKUP(,-1/($Z$12:Z1188=1),$H$12:H1188)-IF(Z1187=1,0,SUM(INDIRECT("T"&amp;(MAX((1=Z$12:Z1187)*ROW(Z$12:Z1187)+1,ROW($T$12))&amp;":T"&amp;(ROW()-1))))),Первоначальный[[#This Row],[Полученный платеж]]+Y1187)
)
)
)</f>
        <v>0</v>
      </c>
      <c r="U118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платеж]]+Y1187-Первоначальный[[#This Row],[Полученный платёж по процентам]])</f>
        <v>0</v>
      </c>
      <c r="V1188" s="55">
        <f t="shared" ca="1" si="219"/>
        <v>0</v>
      </c>
      <c r="W1188" s="55" cm="1">
        <f t="array" aca="1" ref="W1188" ca="1">IF(Первоначальный[[#This Row],[Итого остаток на начало периода]]&lt;1,0,
_xlfn.IFS(
AND(TYPE(VLOOKUP(1,$Z$12:Z1188,1,0))=16,Первоначальный[[#This Row],[Досрочное погашение (да/"")]]=""),0,
AND(S1187=0,Первоначальный[[#This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платеж]]+Y1187-SUM(Первоначальный[[#This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комиссиям]]),VLOOKUP(LOOKUP(,-1/($Z$12:Z1188=1),$A$12:A1188),График[[Срок конец]:[Возврат основной суммы долга]],3,0)),
AND(S1187=0,Первоначальный[[#This Row],[Дата платежа из графика]]="",Первоначальный[[#This Row],[Досрочное погашение (да/"")]]&lt;&gt;"Да"),0,
AND(S1187=0,Первоначальный[[#This Row],[Досрочное погашение (да/"")]]=""),MIN(Первоначальный[[#This Row],[Полученный платеж]]+Y1187-SUM(Первоначальный[[#This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комиссиям]]),VLOOKUP(LOOKUP(,-1/($Z$12:Z1188=1),$A$12:A1188),График[[Срок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платеж]]+Y1187-SUM(Первоначальный[[#This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S1187&gt;0,MIN(Первоначальный[[#This Row],[Полученный платеж]]+Y1187-SUM(Первоначальный[[#This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комиссиям]]),SUM(INDIRECT("M"&amp;(MAX((1=S$12:S1187)*ROW(S$12:S1187),ROW($W$12))&amp;":M"&amp;(ROW()))))-SUM(INDIRECT("W"&amp;(MAX((1=S$12:S1187)*ROW(S$12:S1187),ROW($W$12))&amp;":W"&amp;(ROW()-1)))))
)
)</f>
        <v>0</v>
      </c>
      <c r="X1188" s="55">
        <f t="shared" ca="1" si="220"/>
        <v>0</v>
      </c>
      <c r="Y1188" s="101">
        <f t="shared" ca="1" si="227"/>
        <v>0</v>
      </c>
      <c r="Z1188" s="133" t="str">
        <f>IF(TYPE((VLOOKUP(Первоначальный[[#This Row],[Дата платежа]],График[Срок конец],1,0)))=16,"",1)</f>
        <v/>
      </c>
      <c r="AA1188" s="57"/>
      <c r="AB1188" s="134"/>
      <c r="AC118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8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85311.910000000091</v>
      </c>
      <c r="AE118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5549.2299999999832</v>
      </c>
      <c r="AF118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8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288121.47755409731</v>
      </c>
      <c r="AH1188" s="55"/>
      <c r="AI1188" s="55"/>
      <c r="AJ1188" s="55"/>
      <c r="AK1188" s="101">
        <f t="shared" ca="1" si="228"/>
        <v>528615.9575540974</v>
      </c>
      <c r="AL1188" s="129">
        <f t="array" ref="AL1188">MAX((УслРестрактов[Характеристика]="Дата реструктуризации")*(УслРестрактов[Значение]=Первоначальный!$A1188),0)</f>
        <v>0</v>
      </c>
    </row>
    <row r="1189" spans="1:38" x14ac:dyDescent="0.25">
      <c r="A1189" s="97">
        <f t="shared" si="221"/>
        <v>45320</v>
      </c>
      <c r="B1189" s="100">
        <f t="shared" ca="1" si="222"/>
        <v>149633.34</v>
      </c>
      <c r="C1189" s="55">
        <f t="shared" ca="1" si="218"/>
        <v>85311.910000000091</v>
      </c>
      <c r="D1189" s="55">
        <f t="shared" ca="1" si="218"/>
        <v>5549.2299999999832</v>
      </c>
      <c r="E1189" s="55">
        <f t="shared" ca="1" si="223"/>
        <v>0</v>
      </c>
      <c r="F1189" s="55">
        <f t="shared" ca="1" si="224"/>
        <v>288121.47755409731</v>
      </c>
      <c r="G1189" s="101">
        <f t="shared" ca="1" si="225"/>
        <v>528615.9575540974</v>
      </c>
      <c r="H1189" s="100">
        <f ca="1">ROUND($B1189*VLOOKUP($A1189,$A$1:$B$10,2,1)/(365+IF(MOD(YEAR($A1189),4),0,1)*($A1189-$A1188)),2)-Первоначальный[[#This Row],[Проценты на просроченный платеж по ОД за период]]</f>
        <v>70.319999999999993</v>
      </c>
      <c r="I1189" s="55">
        <f t="shared" ca="1" si="226"/>
        <v>11.04</v>
      </c>
      <c r="J1189" s="55">
        <v>0</v>
      </c>
      <c r="K1189" s="55">
        <f t="shared" ca="1" si="229"/>
        <v>521.3935032786884</v>
      </c>
      <c r="L1189" s="55">
        <v>0</v>
      </c>
      <c r="M1189" s="113">
        <f>SUMIFS(График[Возврат основной суммы долга],График[Дата с учетом нерабочих дней],$A1189)</f>
        <v>0</v>
      </c>
      <c r="N1189" s="56">
        <f>SUMIFS(График[Возврат начисленных %],График[Дата с учетом нерабочих дней],$A1189)</f>
        <v>0</v>
      </c>
      <c r="O1189" s="101">
        <v>0</v>
      </c>
      <c r="P1189" s="100" cm="1">
        <f t="array" aca="1" ref="P1189" ca="1">MAX(IF(AA1188="Да",0,SUM(INDIRECT("M"&amp;(MAX(("Да"=AA$12:AA1188)*ROW(AA$12:AA1188)+1,ROW($P$12))&amp;":M"&amp;(ROW()))))-SUM(INDIRECT("W"&amp;(MAX(("Да"=AA$12:AA1188)*ROW(AA$12:AA1188)+1,ROW($P$12))&amp;":W"&amp;(ROW()))))),0)</f>
        <v>20306.809999999998</v>
      </c>
      <c r="Q1189" s="99">
        <f ca="1">MAX(SUM($N$13:N1189)-SUM($T$13:T1189),0)</f>
        <v>83971.890655737676</v>
      </c>
      <c r="R1189" s="99">
        <f ca="1">Первоначальный[[#This Row],[Просроченный платеж по ОД]]+Первоначальный[[#This Row],[Просроченный платеж по процентам]]</f>
        <v>104278.70065573767</v>
      </c>
      <c r="S1189" s="120">
        <f ca="1">IF(Первоначальный[[#This Row],[Просроченный платеж]]&lt;1,0,S1188+1)</f>
        <v>1085</v>
      </c>
      <c r="T1189" s="100" cm="1">
        <f t="array" aca="1" ref="T1189" ca="1">IF(Первоначальный[[#This Row],[Итого остаток на начало периода]]&lt;1,0,
IF(
AND(TYPE(VLOOKUP(1,$Z$12:Z1189,1,0))=16,Первоначальный[[#This Row],[Досрочное погашение (да/"")]]=""),0,
_xlfn.IFS(AND(S1188=0,Первоначальный[[#This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платеж]]&lt;&gt;0),MIN(LOOKUP(,-1/($Z$12:Z1189=1),$C$12:C1189)+LOOKUP(,-1/($Z$12:Z1189=1),$H$12:H1189),Первоначальный[[#This Row],[Полученный платеж]]+Y1188),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платеж]]+Y1188,SUM(Первоначальный[[#This Row],[Остаток процентов на начало периода]],Первоначальный[[#This Row],[Проценты за период]])),
AND(S1188=0,Первоначальный[[#This Row],[Дата платежа из графика]]=""),0,
AND(S1188=0,Первоначальный[[#This Row],[Дата платежа из графика]]=1,MAX((0&lt;&gt;S$12:S1188)*ROW(S$12:S1188),ROW($S$12))&gt;=MAX((1=Z$12:Z1188)*ROW(Z$12:Z1188),ROW($T$12)),TYPE(VLOOKUP("Да",(INDIRECT("AA"&amp;(MAX((1=Z$12:Z1188)*ROW(Z$12:Z1188),ROW($T$12))&amp;":AA"&amp;(ROW()-1)))),1,0))=16),MIN(LOOKUP(,-1/($Z$12:Z1189=1),$C$12:C1189)+LOOKUP(,-1/($Z$12:Z1189=1),$H$12:H1189),Первоначальный[[#This Row],[Полученный платеж]]+Y1188),
AND(S1188=0,TYPE(VLOOKUP("Да",(INDIRECT("AA"&amp;(MAX((1=Z$12:Z1188)*ROW(Z$12:Z1188),ROW($T$12))&amp;":AA"&amp;(ROW()-1)))),1,0))&lt;&gt;16),MIN(LOOKUP(,-1/($Z$12:Z1189=1),$C$12:C1189)+LOOKUP(,-1/($Z$12:Z1189=1),$H$12:H1189)-IF(AA1188="Да",0,SUM(INDIRECT("T"&amp;(MAX(("Да"=AA$12:AA1188)*ROW(AA$12:AA1188)+1,ROW($T$12))&amp;":T"&amp;(ROW()-1))))),Первоначальный[[#This Row],[Полученный платеж]]+Y1188),
AND(S1188=0,MAX((0&lt;&gt;N$12:N1188)*ROW(N$12:N1188),ROW($S$12))&gt;=MAX((1=Z$12:Z1188)*ROW(Z$12:Z1188),ROW($T$12))),MIN(LOOKUP(,-1/($Z$12:Z1189=1),$C$12:C1189)+LOOKUP(,-1/($Z$12:Z1189=1),$H$12:H1189)-IF(N1188&lt;&gt;0,0,SUM(INDIRECT("T"&amp;(MAX((0&lt;&gt;N$12:N1188)*ROW(N$12:N1188)+1,ROW($T$12))&amp;":T"&amp;(ROW()-1))))),Первоначальный[[#This Row],[Полученный платеж]]+Y1188),
AND(S1188=0,Первоначальный[[#This Row],[Дата платежа из графика]]=1),MIN(LOOKUP(,-1/($Z$12:Z1189=1),$C$12:C1189)+LOOKUP(,-1/($Z$12:Z1189=1),$H$12:H1189)-IF(Z1188=1,0,SUM(INDIRECT("T"&amp;(MAX((1=Z$12:Z1188)*ROW(Z$12:Z1188)+1,ROW($T$12))&amp;":T"&amp;(ROW()-1))))),Первоначальный[[#This Row],[Полученный платеж]]+Y1188),
AND(Z1188&gt;0,Первоначальный[[#This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платеж]]+Y1188),
AND(S1188&gt;0,MAX((0&lt;&gt;S$12:S1188)*ROW(S$12:S1188),ROW($S$12))&gt;=MAX((1=Z$12:Z1188)*ROW(Z$12:Z1188),ROW($T$12)),TYPE(VLOOKUP("Да",(INDIRECT("AA"&amp;(MAX((1=Z$12:Z1188)*ROW(Z$12:Z1188),ROW($T$12))&amp;":AA"&amp;(ROW()-1)))),1,0))=16),MIN(LOOKUP(,-1/($Z$12:Z1189=1),$C$12:C1189)+LOOKUP(,-1/($Z$12:Z1189=1),$H$12:H1189)-SUM(INDIRECT("T"&amp;(MAX((1=Z$12:Z1188)*ROW(Z$12:Z1188),ROW($T$12))&amp;":T"&amp;(ROW()-1)))),Первоначальный[[#This Row],[Полученный платеж]]+Y1188),
S1188&gt;0,MIN(LOOKUP(,-1/($Z$12:Z1189=1),$C$12:C1189)+LOOKUP(,-1/($Z$12:Z1189=1),$H$12:H1189)-IF(Z1188=1,0,SUM(INDIRECT("T"&amp;(MAX((1=Z$12:Z1188)*ROW(Z$12:Z1188)+1,ROW($T$12))&amp;":T"&amp;(ROW()-1))))),Первоначальный[[#This Row],[Полученный платеж]]+Y1188)
)
)
)</f>
        <v>0</v>
      </c>
      <c r="U118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платеж]]+Y1188-Первоначальный[[#This Row],[Полученный платёж по процентам]])</f>
        <v>0</v>
      </c>
      <c r="V1189" s="55">
        <f t="shared" ca="1" si="219"/>
        <v>0</v>
      </c>
      <c r="W1189" s="55" cm="1">
        <f t="array" aca="1" ref="W1189" ca="1">IF(Первоначальный[[#This Row],[Итого остаток на начало периода]]&lt;1,0,
_xlfn.IFS(
AND(TYPE(VLOOKUP(1,$Z$12:Z1189,1,0))=16,Первоначальный[[#This Row],[Досрочное погашение (да/"")]]=""),0,
AND(S1188=0,Первоначальный[[#This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платеж]]+Y1188-SUM(Первоначальный[[#This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комиссиям]]),VLOOKUP(LOOKUP(,-1/($Z$12:Z1189=1),$A$12:A1189),График[[Срок конец]:[Возврат основной суммы долга]],3,0)),
AND(S1188=0,Первоначальный[[#This Row],[Дата платежа из графика]]="",Первоначальный[[#This Row],[Досрочное погашение (да/"")]]&lt;&gt;"Да"),0,
AND(S1188=0,Первоначальный[[#This Row],[Досрочное погашение (да/"")]]=""),MIN(Первоначальный[[#This Row],[Полученный платеж]]+Y1188-SUM(Первоначальный[[#This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комиссиям]]),VLOOKUP(LOOKUP(,-1/($Z$12:Z1189=1),$A$12:A1189),График[[Срок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платеж]]+Y1188-SUM(Первоначальный[[#This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S1188&gt;0,MIN(Первоначальный[[#This Row],[Полученный платеж]]+Y1188-SUM(Первоначальный[[#This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комиссиям]]),SUM(INDIRECT("M"&amp;(MAX((1=S$12:S1188)*ROW(S$12:S1188),ROW($W$12))&amp;":M"&amp;(ROW()))))-SUM(INDIRECT("W"&amp;(MAX((1=S$12:S1188)*ROW(S$12:S1188),ROW($W$12))&amp;":W"&amp;(ROW()-1)))))
)
)</f>
        <v>0</v>
      </c>
      <c r="X1189" s="55">
        <f t="shared" ca="1" si="220"/>
        <v>0</v>
      </c>
      <c r="Y1189" s="101">
        <f t="shared" ca="1" si="227"/>
        <v>0</v>
      </c>
      <c r="Z1189" s="133" t="str">
        <f>IF(TYPE((VLOOKUP(Первоначальный[[#This Row],[Дата платежа]],График[Срок конец],1,0)))=16,"",1)</f>
        <v/>
      </c>
      <c r="AA1189" s="57"/>
      <c r="AB1189" s="134"/>
      <c r="AC118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8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85382.230000000098</v>
      </c>
      <c r="AE118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5560.2699999999832</v>
      </c>
      <c r="AF118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8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288642.87105737597</v>
      </c>
      <c r="AH1189" s="55"/>
      <c r="AI1189" s="55"/>
      <c r="AJ1189" s="55"/>
      <c r="AK1189" s="101">
        <f t="shared" ca="1" si="228"/>
        <v>529218.71105737612</v>
      </c>
      <c r="AL1189" s="129">
        <f t="array" ref="AL1189">MAX((УслРестрактов[Характеристика]="Дата реструктуризации")*(УслРестрактов[Значение]=Первоначальный!$A1189),0)</f>
        <v>0</v>
      </c>
    </row>
    <row r="1190" spans="1:38" x14ac:dyDescent="0.25">
      <c r="A1190" s="97">
        <f t="shared" si="221"/>
        <v>45321</v>
      </c>
      <c r="B1190" s="100">
        <f t="shared" ca="1" si="222"/>
        <v>149633.34</v>
      </c>
      <c r="C1190" s="55">
        <f t="shared" ca="1" si="218"/>
        <v>85382.230000000098</v>
      </c>
      <c r="D1190" s="55">
        <f t="shared" ca="1" si="218"/>
        <v>5560.2699999999832</v>
      </c>
      <c r="E1190" s="55">
        <f t="shared" ca="1" si="223"/>
        <v>0</v>
      </c>
      <c r="F1190" s="55">
        <f t="shared" ca="1" si="224"/>
        <v>288642.87105737597</v>
      </c>
      <c r="G1190" s="101">
        <f t="shared" ca="1" si="225"/>
        <v>529218.71105737612</v>
      </c>
      <c r="H1190" s="100">
        <f ca="1">ROUND($B1190*VLOOKUP($A1190,$A$1:$B$10,2,1)/(365+IF(MOD(YEAR($A1190),4),0,1)*($A1190-$A1189)),2)-Первоначальный[[#This Row],[Проценты на просроченный платеж по ОД за период]]</f>
        <v>70.319999999999993</v>
      </c>
      <c r="I1190" s="55">
        <f t="shared" ca="1" si="226"/>
        <v>11.04</v>
      </c>
      <c r="J1190" s="55">
        <v>0</v>
      </c>
      <c r="K1190" s="55">
        <f t="shared" ca="1" si="229"/>
        <v>521.3935032786884</v>
      </c>
      <c r="L1190" s="55">
        <v>0</v>
      </c>
      <c r="M1190" s="113">
        <f>SUMIFS(График[Возврат основной суммы долга],График[Дата с учетом нерабочих дней],$A1190)</f>
        <v>0</v>
      </c>
      <c r="N1190" s="56">
        <f>SUMIFS(График[Возврат начисленных %],График[Дата с учетом нерабочих дней],$A1190)</f>
        <v>0</v>
      </c>
      <c r="O1190" s="101">
        <v>0</v>
      </c>
      <c r="P1190" s="100" cm="1">
        <f t="array" aca="1" ref="P1190" ca="1">MAX(IF(AA1189="Да",0,SUM(INDIRECT("M"&amp;(MAX(("Да"=AA$12:AA1189)*ROW(AA$12:AA1189)+1,ROW($P$12))&amp;":M"&amp;(ROW()))))-SUM(INDIRECT("W"&amp;(MAX(("Да"=AA$12:AA1189)*ROW(AA$12:AA1189)+1,ROW($P$12))&amp;":W"&amp;(ROW()))))),0)</f>
        <v>20306.809999999998</v>
      </c>
      <c r="Q1190" s="99">
        <f ca="1">MAX(SUM($N$13:N1190)-SUM($T$13:T1190),0)</f>
        <v>83971.890655737676</v>
      </c>
      <c r="R1190" s="99">
        <f ca="1">Первоначальный[[#This Row],[Просроченный платеж по ОД]]+Первоначальный[[#This Row],[Просроченный платеж по процентам]]</f>
        <v>104278.70065573767</v>
      </c>
      <c r="S1190" s="120">
        <f ca="1">IF(Первоначальный[[#This Row],[Просроченный платеж]]&lt;1,0,S1189+1)</f>
        <v>1086</v>
      </c>
      <c r="T1190" s="100" cm="1">
        <f t="array" aca="1" ref="T1190" ca="1">IF(Первоначальный[[#This Row],[Итого остаток на начало периода]]&lt;1,0,
IF(
AND(TYPE(VLOOKUP(1,$Z$12:Z1190,1,0))=16,Первоначальный[[#This Row],[Досрочное погашение (да/"")]]=""),0,
_xlfn.IFS(AND(S1189=0,Первоначальный[[#This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платеж]]&lt;&gt;0),MIN(LOOKUP(,-1/($Z$12:Z1190=1),$C$12:C1190)+LOOKUP(,-1/($Z$12:Z1190=1),$H$12:H1190),Первоначальный[[#This Row],[Полученный платеж]]+Y1189),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платеж]]+Y1189,SUM(Первоначальный[[#This Row],[Остаток процентов на начало периода]],Первоначальный[[#This Row],[Проценты за период]])),
AND(S1189=0,Первоначальный[[#This Row],[Дата платежа из графика]]=""),0,
AND(S1189=0,Первоначальный[[#This Row],[Дата платежа из графика]]=1,MAX((0&lt;&gt;S$12:S1189)*ROW(S$12:S1189),ROW($S$12))&gt;=MAX((1=Z$12:Z1189)*ROW(Z$12:Z1189),ROW($T$12)),TYPE(VLOOKUP("Да",(INDIRECT("AA"&amp;(MAX((1=Z$12:Z1189)*ROW(Z$12:Z1189),ROW($T$12))&amp;":AA"&amp;(ROW()-1)))),1,0))=16),MIN(LOOKUP(,-1/($Z$12:Z1190=1),$C$12:C1190)+LOOKUP(,-1/($Z$12:Z1190=1),$H$12:H1190),Первоначальный[[#This Row],[Полученный платеж]]+Y1189),
AND(S1189=0,TYPE(VLOOKUP("Да",(INDIRECT("AA"&amp;(MAX((1=Z$12:Z1189)*ROW(Z$12:Z1189),ROW($T$12))&amp;":AA"&amp;(ROW()-1)))),1,0))&lt;&gt;16),MIN(LOOKUP(,-1/($Z$12:Z1190=1),$C$12:C1190)+LOOKUP(,-1/($Z$12:Z1190=1),$H$12:H1190)-IF(AA1189="Да",0,SUM(INDIRECT("T"&amp;(MAX(("Да"=AA$12:AA1189)*ROW(AA$12:AA1189)+1,ROW($T$12))&amp;":T"&amp;(ROW()-1))))),Первоначальный[[#This Row],[Полученный платеж]]+Y1189),
AND(S1189=0,MAX((0&lt;&gt;N$12:N1189)*ROW(N$12:N1189),ROW($S$12))&gt;=MAX((1=Z$12:Z1189)*ROW(Z$12:Z1189),ROW($T$12))),MIN(LOOKUP(,-1/($Z$12:Z1190=1),$C$12:C1190)+LOOKUP(,-1/($Z$12:Z1190=1),$H$12:H1190)-IF(N1189&lt;&gt;0,0,SUM(INDIRECT("T"&amp;(MAX((0&lt;&gt;N$12:N1189)*ROW(N$12:N1189)+1,ROW($T$12))&amp;":T"&amp;(ROW()-1))))),Первоначальный[[#This Row],[Полученный платеж]]+Y1189),
AND(S1189=0,Первоначальный[[#This Row],[Дата платежа из графика]]=1),MIN(LOOKUP(,-1/($Z$12:Z1190=1),$C$12:C1190)+LOOKUP(,-1/($Z$12:Z1190=1),$H$12:H1190)-IF(Z1189=1,0,SUM(INDIRECT("T"&amp;(MAX((1=Z$12:Z1189)*ROW(Z$12:Z1189)+1,ROW($T$12))&amp;":T"&amp;(ROW()-1))))),Первоначальный[[#This Row],[Полученный платеж]]+Y1189),
AND(Z1189&gt;0,Первоначальный[[#This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платеж]]+Y1189),
AND(S1189&gt;0,MAX((0&lt;&gt;S$12:S1189)*ROW(S$12:S1189),ROW($S$12))&gt;=MAX((1=Z$12:Z1189)*ROW(Z$12:Z1189),ROW($T$12)),TYPE(VLOOKUP("Да",(INDIRECT("AA"&amp;(MAX((1=Z$12:Z1189)*ROW(Z$12:Z1189),ROW($T$12))&amp;":AA"&amp;(ROW()-1)))),1,0))=16),MIN(LOOKUP(,-1/($Z$12:Z1190=1),$C$12:C1190)+LOOKUP(,-1/($Z$12:Z1190=1),$H$12:H1190)-SUM(INDIRECT("T"&amp;(MAX((1=Z$12:Z1189)*ROW(Z$12:Z1189),ROW($T$12))&amp;":T"&amp;(ROW()-1)))),Первоначальный[[#This Row],[Полученный платеж]]+Y1189),
S1189&gt;0,MIN(LOOKUP(,-1/($Z$12:Z1190=1),$C$12:C1190)+LOOKUP(,-1/($Z$12:Z1190=1),$H$12:H1190)-IF(Z1189=1,0,SUM(INDIRECT("T"&amp;(MAX((1=Z$12:Z1189)*ROW(Z$12:Z1189)+1,ROW($T$12))&amp;":T"&amp;(ROW()-1))))),Первоначальный[[#This Row],[Полученный платеж]]+Y1189)
)
)
)</f>
        <v>0</v>
      </c>
      <c r="U119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платеж]]+Y1189-Первоначальный[[#This Row],[Полученный платёж по процентам]])</f>
        <v>0</v>
      </c>
      <c r="V1190" s="55">
        <f t="shared" ca="1" si="219"/>
        <v>0</v>
      </c>
      <c r="W1190" s="55" cm="1">
        <f t="array" aca="1" ref="W1190" ca="1">IF(Первоначальный[[#This Row],[Итого остаток на начало периода]]&lt;1,0,
_xlfn.IFS(
AND(TYPE(VLOOKUP(1,$Z$12:Z1190,1,0))=16,Первоначальный[[#This Row],[Досрочное погашение (да/"")]]=""),0,
AND(S1189=0,Первоначальный[[#This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платеж]]+Y1189-SUM(Первоначальный[[#This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комиссиям]]),VLOOKUP(LOOKUP(,-1/($Z$12:Z1190=1),$A$12:A1190),График[[Срок конец]:[Возврат основной суммы долга]],3,0)),
AND(S1189=0,Первоначальный[[#This Row],[Дата платежа из графика]]="",Первоначальный[[#This Row],[Досрочное погашение (да/"")]]&lt;&gt;"Да"),0,
AND(S1189=0,Первоначальный[[#This Row],[Досрочное погашение (да/"")]]=""),MIN(Первоначальный[[#This Row],[Полученный платеж]]+Y1189-SUM(Первоначальный[[#This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комиссиям]]),VLOOKUP(LOOKUP(,-1/($Z$12:Z1190=1),$A$12:A1190),График[[Срок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платеж]]+Y1189-SUM(Первоначальный[[#This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S1189&gt;0,MIN(Первоначальный[[#This Row],[Полученный платеж]]+Y1189-SUM(Первоначальный[[#This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комиссиям]]),SUM(INDIRECT("M"&amp;(MAX((1=S$12:S1189)*ROW(S$12:S1189),ROW($W$12))&amp;":M"&amp;(ROW()))))-SUM(INDIRECT("W"&amp;(MAX((1=S$12:S1189)*ROW(S$12:S1189),ROW($W$12))&amp;":W"&amp;(ROW()-1)))))
)
)</f>
        <v>0</v>
      </c>
      <c r="X1190" s="55">
        <f t="shared" ca="1" si="220"/>
        <v>0</v>
      </c>
      <c r="Y1190" s="101">
        <f t="shared" ca="1" si="227"/>
        <v>0</v>
      </c>
      <c r="Z1190" s="133" t="str">
        <f>IF(TYPE((VLOOKUP(Первоначальный[[#This Row],[Дата платежа]],График[Срок конец],1,0)))=16,"",1)</f>
        <v/>
      </c>
      <c r="AA1190" s="57"/>
      <c r="AB1190" s="134"/>
      <c r="AC119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9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85452.550000000105</v>
      </c>
      <c r="AE119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5571.3099999999831</v>
      </c>
      <c r="AF119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9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289164.26456065464</v>
      </c>
      <c r="AH1190" s="55"/>
      <c r="AI1190" s="55"/>
      <c r="AJ1190" s="55"/>
      <c r="AK1190" s="101">
        <f t="shared" ca="1" si="228"/>
        <v>529821.46456065471</v>
      </c>
      <c r="AL1190" s="129">
        <f t="array" ref="AL1190">MAX((УслРестрактов[Характеристика]="Дата реструктуризации")*(УслРестрактов[Значение]=Первоначальный!$A1190),0)</f>
        <v>0</v>
      </c>
    </row>
    <row r="1191" spans="1:38" x14ac:dyDescent="0.25">
      <c r="A1191" s="97">
        <f t="shared" si="221"/>
        <v>45322</v>
      </c>
      <c r="B1191" s="100">
        <f t="shared" ca="1" si="222"/>
        <v>149633.34</v>
      </c>
      <c r="C1191" s="55">
        <f t="shared" ca="1" si="218"/>
        <v>85452.550000000105</v>
      </c>
      <c r="D1191" s="55">
        <f t="shared" ca="1" si="218"/>
        <v>5571.3099999999831</v>
      </c>
      <c r="E1191" s="55">
        <f t="shared" ca="1" si="223"/>
        <v>0</v>
      </c>
      <c r="F1191" s="55">
        <f t="shared" ca="1" si="224"/>
        <v>289164.26456065464</v>
      </c>
      <c r="G1191" s="101">
        <f t="shared" ca="1" si="225"/>
        <v>529821.46456065471</v>
      </c>
      <c r="H1191" s="100">
        <f ca="1">ROUND($B1191*VLOOKUP($A1191,$A$1:$B$10,2,1)/(365+IF(MOD(YEAR($A1191),4),0,1)*($A1191-$A1190)),2)-Первоначальный[[#This Row],[Проценты на просроченный платеж по ОД за период]]</f>
        <v>70.319999999999993</v>
      </c>
      <c r="I1191" s="55">
        <f t="shared" ca="1" si="226"/>
        <v>11.04</v>
      </c>
      <c r="J1191" s="55">
        <v>0</v>
      </c>
      <c r="K1191" s="55">
        <f t="shared" ca="1" si="229"/>
        <v>521.3935032786884</v>
      </c>
      <c r="L1191" s="55">
        <v>0</v>
      </c>
      <c r="M1191" s="113">
        <f>SUMIFS(График[Возврат основной суммы долга],График[Дата с учетом нерабочих дней],$A1191)</f>
        <v>0</v>
      </c>
      <c r="N1191" s="56">
        <f>SUMIFS(График[Возврат начисленных %],График[Дата с учетом нерабочих дней],$A1191)</f>
        <v>0</v>
      </c>
      <c r="O1191" s="101">
        <v>0</v>
      </c>
      <c r="P1191" s="100" cm="1">
        <f t="array" aca="1" ref="P1191" ca="1">MAX(IF(AA1190="Да",0,SUM(INDIRECT("M"&amp;(MAX(("Да"=AA$12:AA1190)*ROW(AA$12:AA1190)+1,ROW($P$12))&amp;":M"&amp;(ROW()))))-SUM(INDIRECT("W"&amp;(MAX(("Да"=AA$12:AA1190)*ROW(AA$12:AA1190)+1,ROW($P$12))&amp;":W"&amp;(ROW()))))),0)</f>
        <v>20306.809999999998</v>
      </c>
      <c r="Q1191" s="99">
        <f ca="1">MAX(SUM($N$13:N1191)-SUM($T$13:T1191),0)</f>
        <v>83971.890655737676</v>
      </c>
      <c r="R1191" s="99">
        <f ca="1">Первоначальный[[#This Row],[Просроченный платеж по ОД]]+Первоначальный[[#This Row],[Просроченный платеж по процентам]]</f>
        <v>104278.70065573767</v>
      </c>
      <c r="S1191" s="120">
        <f ca="1">IF(Первоначальный[[#This Row],[Просроченный платеж]]&lt;1,0,S1190+1)</f>
        <v>1087</v>
      </c>
      <c r="T1191" s="100" cm="1">
        <f t="array" aca="1" ref="T1191" ca="1">IF(Первоначальный[[#This Row],[Итого остаток на начало периода]]&lt;1,0,
IF(
AND(TYPE(VLOOKUP(1,$Z$12:Z1191,1,0))=16,Первоначальный[[#This Row],[Досрочное погашение (да/"")]]=""),0,
_xlfn.IFS(AND(S1190=0,Первоначальный[[#This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платеж]]&lt;&gt;0),MIN(LOOKUP(,-1/($Z$12:Z1191=1),$C$12:C1191)+LOOKUP(,-1/($Z$12:Z1191=1),$H$12:H1191),Первоначальный[[#This Row],[Полученный платеж]]+Y1190),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платеж]]+Y1190,SUM(Первоначальный[[#This Row],[Остаток процентов на начало периода]],Первоначальный[[#This Row],[Проценты за период]])),
AND(S1190=0,Первоначальный[[#This Row],[Дата платежа из графика]]=""),0,
AND(S1190=0,Первоначальный[[#This Row],[Дата платежа из графика]]=1,MAX((0&lt;&gt;S$12:S1190)*ROW(S$12:S1190),ROW($S$12))&gt;=MAX((1=Z$12:Z1190)*ROW(Z$12:Z1190),ROW($T$12)),TYPE(VLOOKUP("Да",(INDIRECT("AA"&amp;(MAX((1=Z$12:Z1190)*ROW(Z$12:Z1190),ROW($T$12))&amp;":AA"&amp;(ROW()-1)))),1,0))=16),MIN(LOOKUP(,-1/($Z$12:Z1191=1),$C$12:C1191)+LOOKUP(,-1/($Z$12:Z1191=1),$H$12:H1191),Первоначальный[[#This Row],[Полученный платеж]]+Y1190),
AND(S1190=0,TYPE(VLOOKUP("Да",(INDIRECT("AA"&amp;(MAX((1=Z$12:Z1190)*ROW(Z$12:Z1190),ROW($T$12))&amp;":AA"&amp;(ROW()-1)))),1,0))&lt;&gt;16),MIN(LOOKUP(,-1/($Z$12:Z1191=1),$C$12:C1191)+LOOKUP(,-1/($Z$12:Z1191=1),$H$12:H1191)-IF(AA1190="Да",0,SUM(INDIRECT("T"&amp;(MAX(("Да"=AA$12:AA1190)*ROW(AA$12:AA1190)+1,ROW($T$12))&amp;":T"&amp;(ROW()-1))))),Первоначальный[[#This Row],[Полученный платеж]]+Y1190),
AND(S1190=0,MAX((0&lt;&gt;N$12:N1190)*ROW(N$12:N1190),ROW($S$12))&gt;=MAX((1=Z$12:Z1190)*ROW(Z$12:Z1190),ROW($T$12))),MIN(LOOKUP(,-1/($Z$12:Z1191=1),$C$12:C1191)+LOOKUP(,-1/($Z$12:Z1191=1),$H$12:H1191)-IF(N1190&lt;&gt;0,0,SUM(INDIRECT("T"&amp;(MAX((0&lt;&gt;N$12:N1190)*ROW(N$12:N1190)+1,ROW($T$12))&amp;":T"&amp;(ROW()-1))))),Первоначальный[[#This Row],[Полученный платеж]]+Y1190),
AND(S1190=0,Первоначальный[[#This Row],[Дата платежа из графика]]=1),MIN(LOOKUP(,-1/($Z$12:Z1191=1),$C$12:C1191)+LOOKUP(,-1/($Z$12:Z1191=1),$H$12:H1191)-IF(Z1190=1,0,SUM(INDIRECT("T"&amp;(MAX((1=Z$12:Z1190)*ROW(Z$12:Z1190)+1,ROW($T$12))&amp;":T"&amp;(ROW()-1))))),Первоначальный[[#This Row],[Полученный платеж]]+Y1190),
AND(Z1190&gt;0,Первоначальный[[#This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платеж]]+Y1190),
AND(S1190&gt;0,MAX((0&lt;&gt;S$12:S1190)*ROW(S$12:S1190),ROW($S$12))&gt;=MAX((1=Z$12:Z1190)*ROW(Z$12:Z1190),ROW($T$12)),TYPE(VLOOKUP("Да",(INDIRECT("AA"&amp;(MAX((1=Z$12:Z1190)*ROW(Z$12:Z1190),ROW($T$12))&amp;":AA"&amp;(ROW()-1)))),1,0))=16),MIN(LOOKUP(,-1/($Z$12:Z1191=1),$C$12:C1191)+LOOKUP(,-1/($Z$12:Z1191=1),$H$12:H1191)-SUM(INDIRECT("T"&amp;(MAX((1=Z$12:Z1190)*ROW(Z$12:Z1190),ROW($T$12))&amp;":T"&amp;(ROW()-1)))),Первоначальный[[#This Row],[Полученный платеж]]+Y1190),
S1190&gt;0,MIN(LOOKUP(,-1/($Z$12:Z1191=1),$C$12:C1191)+LOOKUP(,-1/($Z$12:Z1191=1),$H$12:H1191)-IF(Z1190=1,0,SUM(INDIRECT("T"&amp;(MAX((1=Z$12:Z1190)*ROW(Z$12:Z1190)+1,ROW($T$12))&amp;":T"&amp;(ROW()-1))))),Первоначальный[[#This Row],[Полученный платеж]]+Y1190)
)
)
)</f>
        <v>0</v>
      </c>
      <c r="U119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платеж]]+Y1190-Первоначальный[[#This Row],[Полученный платёж по процентам]])</f>
        <v>0</v>
      </c>
      <c r="V1191" s="55">
        <f t="shared" ca="1" si="219"/>
        <v>0</v>
      </c>
      <c r="W1191" s="55" cm="1">
        <f t="array" aca="1" ref="W1191" ca="1">IF(Первоначальный[[#This Row],[Итого остаток на начало периода]]&lt;1,0,
_xlfn.IFS(
AND(TYPE(VLOOKUP(1,$Z$12:Z1191,1,0))=16,Первоначальный[[#This Row],[Досрочное погашение (да/"")]]=""),0,
AND(S1190=0,Первоначальный[[#This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платеж]]+Y1190-SUM(Первоначальный[[#This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комиссиям]]),VLOOKUP(LOOKUP(,-1/($Z$12:Z1191=1),$A$12:A1191),График[[Срок конец]:[Возврат основной суммы долга]],3,0)),
AND(S1190=0,Первоначальный[[#This Row],[Дата платежа из графика]]="",Первоначальный[[#This Row],[Досрочное погашение (да/"")]]&lt;&gt;"Да"),0,
AND(S1190=0,Первоначальный[[#This Row],[Досрочное погашение (да/"")]]=""),MIN(Первоначальный[[#This Row],[Полученный платеж]]+Y1190-SUM(Первоначальный[[#This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комиссиям]]),VLOOKUP(LOOKUP(,-1/($Z$12:Z1191=1),$A$12:A1191),График[[Срок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платеж]]+Y1190-SUM(Первоначальный[[#This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S1190&gt;0,MIN(Первоначальный[[#This Row],[Полученный платеж]]+Y1190-SUM(Первоначальный[[#This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комиссиям]]),SUM(INDIRECT("M"&amp;(MAX((1=S$12:S1190)*ROW(S$12:S1190),ROW($W$12))&amp;":M"&amp;(ROW()))))-SUM(INDIRECT("W"&amp;(MAX((1=S$12:S1190)*ROW(S$12:S1190),ROW($W$12))&amp;":W"&amp;(ROW()-1)))))
)
)</f>
        <v>0</v>
      </c>
      <c r="X1191" s="55">
        <f t="shared" ca="1" si="220"/>
        <v>0</v>
      </c>
      <c r="Y1191" s="101">
        <f t="shared" ca="1" si="227"/>
        <v>0</v>
      </c>
      <c r="Z1191" s="133" t="str">
        <f>IF(TYPE((VLOOKUP(Первоначальный[[#This Row],[Дата платежа]],График[Срок конец],1,0)))=16,"",1)</f>
        <v/>
      </c>
      <c r="AA1191" s="57"/>
      <c r="AB1191" s="134"/>
      <c r="AC119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9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85522.870000000112</v>
      </c>
      <c r="AE119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5582.3499999999831</v>
      </c>
      <c r="AF119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9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289685.65806393331</v>
      </c>
      <c r="AH1191" s="55"/>
      <c r="AI1191" s="55"/>
      <c r="AJ1191" s="55"/>
      <c r="AK1191" s="101">
        <f t="shared" ca="1" si="228"/>
        <v>530424.21806393343</v>
      </c>
      <c r="AL1191" s="129">
        <f t="array" ref="AL1191">MAX((УслРестрактов[Характеристика]="Дата реструктуризации")*(УслРестрактов[Значение]=Первоначальный!$A1191),0)</f>
        <v>0</v>
      </c>
    </row>
    <row r="1192" spans="1:38" x14ac:dyDescent="0.25">
      <c r="A1192" s="97">
        <f t="shared" si="221"/>
        <v>45323</v>
      </c>
      <c r="B1192" s="100">
        <f t="shared" ca="1" si="222"/>
        <v>149633.34</v>
      </c>
      <c r="C1192" s="55">
        <f t="shared" ca="1" si="218"/>
        <v>85522.870000000112</v>
      </c>
      <c r="D1192" s="55">
        <f t="shared" ca="1" si="218"/>
        <v>5582.3499999999831</v>
      </c>
      <c r="E1192" s="55">
        <f t="shared" ca="1" si="223"/>
        <v>0</v>
      </c>
      <c r="F1192" s="55">
        <f t="shared" ca="1" si="224"/>
        <v>289685.65806393331</v>
      </c>
      <c r="G1192" s="101">
        <f t="shared" ca="1" si="225"/>
        <v>530424.21806393343</v>
      </c>
      <c r="H1192" s="100">
        <f ca="1">ROUND($B1192*VLOOKUP($A1192,$A$1:$B$10,2,1)/(365+IF(MOD(YEAR($A1192),4),0,1)*($A1192-$A1191)),2)-Первоначальный[[#This Row],[Проценты на просроченный платеж по ОД за период]]</f>
        <v>70.319999999999993</v>
      </c>
      <c r="I1192" s="55">
        <f t="shared" ca="1" si="226"/>
        <v>11.04</v>
      </c>
      <c r="J1192" s="55">
        <v>0</v>
      </c>
      <c r="K1192" s="55">
        <f t="shared" ca="1" si="229"/>
        <v>521.3935032786884</v>
      </c>
      <c r="L1192" s="55">
        <v>0</v>
      </c>
      <c r="M1192" s="113">
        <f>SUMIFS(График[Возврат основной суммы долга],График[Дата с учетом нерабочих дней],$A1192)</f>
        <v>0</v>
      </c>
      <c r="N1192" s="56">
        <f>SUMIFS(График[Возврат начисленных %],График[Дата с учетом нерабочих дней],$A1192)</f>
        <v>0</v>
      </c>
      <c r="O1192" s="101">
        <v>0</v>
      </c>
      <c r="P1192" s="100" cm="1">
        <f t="array" aca="1" ref="P1192" ca="1">MAX(IF(AA1191="Да",0,SUM(INDIRECT("M"&amp;(MAX(("Да"=AA$12:AA1191)*ROW(AA$12:AA1191)+1,ROW($P$12))&amp;":M"&amp;(ROW()))))-SUM(INDIRECT("W"&amp;(MAX(("Да"=AA$12:AA1191)*ROW(AA$12:AA1191)+1,ROW($P$12))&amp;":W"&amp;(ROW()))))),0)</f>
        <v>20306.809999999998</v>
      </c>
      <c r="Q1192" s="99">
        <f ca="1">MAX(SUM($N$13:N1192)-SUM($T$13:T1192),0)</f>
        <v>83971.890655737676</v>
      </c>
      <c r="R1192" s="99">
        <f ca="1">Первоначальный[[#This Row],[Просроченный платеж по ОД]]+Первоначальный[[#This Row],[Просроченный платеж по процентам]]</f>
        <v>104278.70065573767</v>
      </c>
      <c r="S1192" s="120">
        <f ca="1">IF(Первоначальный[[#This Row],[Просроченный платеж]]&lt;1,0,S1191+1)</f>
        <v>1088</v>
      </c>
      <c r="T1192" s="100" cm="1">
        <f t="array" aca="1" ref="T1192" ca="1">IF(Первоначальный[[#This Row],[Итого остаток на начало периода]]&lt;1,0,
IF(
AND(TYPE(VLOOKUP(1,$Z$12:Z1192,1,0))=16,Первоначальный[[#This Row],[Досрочное погашение (да/"")]]=""),0,
_xlfn.IFS(AND(S1191=0,Первоначальный[[#This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платеж]]&lt;&gt;0),MIN(LOOKUP(,-1/($Z$12:Z1192=1),$C$12:C1192)+LOOKUP(,-1/($Z$12:Z1192=1),$H$12:H1192),Первоначальный[[#This Row],[Полученный платеж]]+Y1191),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платеж]]+Y1191,SUM(Первоначальный[[#This Row],[Остаток процентов на начало периода]],Первоначальный[[#This Row],[Проценты за период]])),
AND(S1191=0,Первоначальный[[#This Row],[Дата платежа из графика]]=""),0,
AND(S1191=0,Первоначальный[[#This Row],[Дата платежа из графика]]=1,MAX((0&lt;&gt;S$12:S1191)*ROW(S$12:S1191),ROW($S$12))&gt;=MAX((1=Z$12:Z1191)*ROW(Z$12:Z1191),ROW($T$12)),TYPE(VLOOKUP("Да",(INDIRECT("AA"&amp;(MAX((1=Z$12:Z1191)*ROW(Z$12:Z1191),ROW($T$12))&amp;":AA"&amp;(ROW()-1)))),1,0))=16),MIN(LOOKUP(,-1/($Z$12:Z1192=1),$C$12:C1192)+LOOKUP(,-1/($Z$12:Z1192=1),$H$12:H1192),Первоначальный[[#This Row],[Полученный платеж]]+Y1191),
AND(S1191=0,TYPE(VLOOKUP("Да",(INDIRECT("AA"&amp;(MAX((1=Z$12:Z1191)*ROW(Z$12:Z1191),ROW($T$12))&amp;":AA"&amp;(ROW()-1)))),1,0))&lt;&gt;16),MIN(LOOKUP(,-1/($Z$12:Z1192=1),$C$12:C1192)+LOOKUP(,-1/($Z$12:Z1192=1),$H$12:H1192)-IF(AA1191="Да",0,SUM(INDIRECT("T"&amp;(MAX(("Да"=AA$12:AA1191)*ROW(AA$12:AA1191)+1,ROW($T$12))&amp;":T"&amp;(ROW()-1))))),Первоначальный[[#This Row],[Полученный платеж]]+Y1191),
AND(S1191=0,MAX((0&lt;&gt;N$12:N1191)*ROW(N$12:N1191),ROW($S$12))&gt;=MAX((1=Z$12:Z1191)*ROW(Z$12:Z1191),ROW($T$12))),MIN(LOOKUP(,-1/($Z$12:Z1192=1),$C$12:C1192)+LOOKUP(,-1/($Z$12:Z1192=1),$H$12:H1192)-IF(N1191&lt;&gt;0,0,SUM(INDIRECT("T"&amp;(MAX((0&lt;&gt;N$12:N1191)*ROW(N$12:N1191)+1,ROW($T$12))&amp;":T"&amp;(ROW()-1))))),Первоначальный[[#This Row],[Полученный платеж]]+Y1191),
AND(S1191=0,Первоначальный[[#This Row],[Дата платежа из графика]]=1),MIN(LOOKUP(,-1/($Z$12:Z1192=1),$C$12:C1192)+LOOKUP(,-1/($Z$12:Z1192=1),$H$12:H1192)-IF(Z1191=1,0,SUM(INDIRECT("T"&amp;(MAX((1=Z$12:Z1191)*ROW(Z$12:Z1191)+1,ROW($T$12))&amp;":T"&amp;(ROW()-1))))),Первоначальный[[#This Row],[Полученный платеж]]+Y1191),
AND(Z1191&gt;0,Первоначальный[[#This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платеж]]+Y1191),
AND(S1191&gt;0,MAX((0&lt;&gt;S$12:S1191)*ROW(S$12:S1191),ROW($S$12))&gt;=MAX((1=Z$12:Z1191)*ROW(Z$12:Z1191),ROW($T$12)),TYPE(VLOOKUP("Да",(INDIRECT("AA"&amp;(MAX((1=Z$12:Z1191)*ROW(Z$12:Z1191),ROW($T$12))&amp;":AA"&amp;(ROW()-1)))),1,0))=16),MIN(LOOKUP(,-1/($Z$12:Z1192=1),$C$12:C1192)+LOOKUP(,-1/($Z$12:Z1192=1),$H$12:H1192)-SUM(INDIRECT("T"&amp;(MAX((1=Z$12:Z1191)*ROW(Z$12:Z1191),ROW($T$12))&amp;":T"&amp;(ROW()-1)))),Первоначальный[[#This Row],[Полученный платеж]]+Y1191),
S1191&gt;0,MIN(LOOKUP(,-1/($Z$12:Z1192=1),$C$12:C1192)+LOOKUP(,-1/($Z$12:Z1192=1),$H$12:H1192)-IF(Z1191=1,0,SUM(INDIRECT("T"&amp;(MAX((1=Z$12:Z1191)*ROW(Z$12:Z1191)+1,ROW($T$12))&amp;":T"&amp;(ROW()-1))))),Первоначальный[[#This Row],[Полученный платеж]]+Y1191)
)
)
)</f>
        <v>0</v>
      </c>
      <c r="U119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платеж]]+Y1191-Первоначальный[[#This Row],[Полученный платёж по процентам]])</f>
        <v>0</v>
      </c>
      <c r="V1192" s="55">
        <f t="shared" ca="1" si="219"/>
        <v>0</v>
      </c>
      <c r="W1192" s="55" cm="1">
        <f t="array" aca="1" ref="W1192" ca="1">IF(Первоначальный[[#This Row],[Итого остаток на начало периода]]&lt;1,0,
_xlfn.IFS(
AND(TYPE(VLOOKUP(1,$Z$12:Z1192,1,0))=16,Первоначальный[[#This Row],[Досрочное погашение (да/"")]]=""),0,
AND(S1191=0,Первоначальный[[#This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платеж]]+Y1191-SUM(Первоначальный[[#This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комиссиям]]),VLOOKUP(LOOKUP(,-1/($Z$12:Z1192=1),$A$12:A1192),График[[Срок конец]:[Возврат основной суммы долга]],3,0)),
AND(S1191=0,Первоначальный[[#This Row],[Дата платежа из графика]]="",Первоначальный[[#This Row],[Досрочное погашение (да/"")]]&lt;&gt;"Да"),0,
AND(S1191=0,Первоначальный[[#This Row],[Досрочное погашение (да/"")]]=""),MIN(Первоначальный[[#This Row],[Полученный платеж]]+Y1191-SUM(Первоначальный[[#This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комиссиям]]),VLOOKUP(LOOKUP(,-1/($Z$12:Z1192=1),$A$12:A1192),График[[Срок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платеж]]+Y1191-SUM(Первоначальный[[#This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S1191&gt;0,MIN(Первоначальный[[#This Row],[Полученный платеж]]+Y1191-SUM(Первоначальный[[#This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комиссиям]]),SUM(INDIRECT("M"&amp;(MAX((1=S$12:S1191)*ROW(S$12:S1191),ROW($W$12))&amp;":M"&amp;(ROW()))))-SUM(INDIRECT("W"&amp;(MAX((1=S$12:S1191)*ROW(S$12:S1191),ROW($W$12))&amp;":W"&amp;(ROW()-1)))))
)
)</f>
        <v>0</v>
      </c>
      <c r="X1192" s="55">
        <f t="shared" ca="1" si="220"/>
        <v>0</v>
      </c>
      <c r="Y1192" s="101">
        <f t="shared" ca="1" si="227"/>
        <v>0</v>
      </c>
      <c r="Z1192" s="133" t="str">
        <f>IF(TYPE((VLOOKUP(Первоначальный[[#This Row],[Дата платежа]],График[Срок конец],1,0)))=16,"",1)</f>
        <v/>
      </c>
      <c r="AA1192" s="57"/>
      <c r="AB1192" s="134"/>
      <c r="AC119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9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85593.190000000119</v>
      </c>
      <c r="AE119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5593.389999999983</v>
      </c>
      <c r="AF119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9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290207.05156721198</v>
      </c>
      <c r="AH1192" s="55"/>
      <c r="AI1192" s="55"/>
      <c r="AJ1192" s="55"/>
      <c r="AK1192" s="101">
        <f t="shared" ca="1" si="228"/>
        <v>531026.97156721214</v>
      </c>
      <c r="AL1192" s="129">
        <f t="array" ref="AL1192">MAX((УслРестрактов[Характеристика]="Дата реструктуризации")*(УслРестрактов[Значение]=Первоначальный!$A1192),0)</f>
        <v>0</v>
      </c>
    </row>
    <row r="1193" spans="1:38" x14ac:dyDescent="0.25">
      <c r="A1193" s="97">
        <f t="shared" si="221"/>
        <v>45324</v>
      </c>
      <c r="B1193" s="100">
        <f t="shared" ca="1" si="222"/>
        <v>149633.34</v>
      </c>
      <c r="C1193" s="55">
        <f t="shared" ca="1" si="218"/>
        <v>85593.190000000119</v>
      </c>
      <c r="D1193" s="55">
        <f t="shared" ca="1" si="218"/>
        <v>5593.389999999983</v>
      </c>
      <c r="E1193" s="55">
        <f t="shared" ca="1" si="223"/>
        <v>0</v>
      </c>
      <c r="F1193" s="55">
        <f t="shared" ca="1" si="224"/>
        <v>290207.05156721198</v>
      </c>
      <c r="G1193" s="101">
        <f t="shared" ca="1" si="225"/>
        <v>531026.97156721214</v>
      </c>
      <c r="H1193" s="100">
        <f ca="1">ROUND($B1193*VLOOKUP($A1193,$A$1:$B$10,2,1)/(365+IF(MOD(YEAR($A1193),4),0,1)*($A1193-$A1192)),2)-Первоначальный[[#This Row],[Проценты на просроченный платеж по ОД за период]]</f>
        <v>70.319999999999993</v>
      </c>
      <c r="I1193" s="55">
        <f t="shared" ca="1" si="226"/>
        <v>11.04</v>
      </c>
      <c r="J1193" s="55">
        <v>0</v>
      </c>
      <c r="K1193" s="55">
        <f t="shared" ca="1" si="229"/>
        <v>521.3935032786884</v>
      </c>
      <c r="L1193" s="55">
        <v>0</v>
      </c>
      <c r="M1193" s="113">
        <f>SUMIFS(График[Возврат основной суммы долга],График[Дата с учетом нерабочих дней],$A1193)</f>
        <v>0</v>
      </c>
      <c r="N1193" s="56">
        <f>SUMIFS(График[Возврат начисленных %],График[Дата с учетом нерабочих дней],$A1193)</f>
        <v>0</v>
      </c>
      <c r="O1193" s="101">
        <v>0</v>
      </c>
      <c r="P1193" s="100" cm="1">
        <f t="array" aca="1" ref="P1193" ca="1">MAX(IF(AA1192="Да",0,SUM(INDIRECT("M"&amp;(MAX(("Да"=AA$12:AA1192)*ROW(AA$12:AA1192)+1,ROW($P$12))&amp;":M"&amp;(ROW()))))-SUM(INDIRECT("W"&amp;(MAX(("Да"=AA$12:AA1192)*ROW(AA$12:AA1192)+1,ROW($P$12))&amp;":W"&amp;(ROW()))))),0)</f>
        <v>20306.809999999998</v>
      </c>
      <c r="Q1193" s="99">
        <f ca="1">MAX(SUM($N$13:N1193)-SUM($T$13:T1193),0)</f>
        <v>83971.890655737676</v>
      </c>
      <c r="R1193" s="99">
        <f ca="1">Первоначальный[[#This Row],[Просроченный платеж по ОД]]+Первоначальный[[#This Row],[Просроченный платеж по процентам]]</f>
        <v>104278.70065573767</v>
      </c>
      <c r="S1193" s="120">
        <f ca="1">IF(Первоначальный[[#This Row],[Просроченный платеж]]&lt;1,0,S1192+1)</f>
        <v>1089</v>
      </c>
      <c r="T1193" s="100" cm="1">
        <f t="array" aca="1" ref="T1193" ca="1">IF(Первоначальный[[#This Row],[Итого остаток на начало периода]]&lt;1,0,
IF(
AND(TYPE(VLOOKUP(1,$Z$12:Z1193,1,0))=16,Первоначальный[[#This Row],[Досрочное погашение (да/"")]]=""),0,
_xlfn.IFS(AND(S1192=0,Первоначальный[[#This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платеж]]&lt;&gt;0),MIN(LOOKUP(,-1/($Z$12:Z1193=1),$C$12:C1193)+LOOKUP(,-1/($Z$12:Z1193=1),$H$12:H1193),Первоначальный[[#This Row],[Полученный платеж]]+Y1192),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платеж]]+Y1192,SUM(Первоначальный[[#This Row],[Остаток процентов на начало периода]],Первоначальный[[#This Row],[Проценты за период]])),
AND(S1192=0,Первоначальный[[#This Row],[Дата платежа из графика]]=""),0,
AND(S1192=0,Первоначальный[[#This Row],[Дата платежа из графика]]=1,MAX((0&lt;&gt;S$12:S1192)*ROW(S$12:S1192),ROW($S$12))&gt;=MAX((1=Z$12:Z1192)*ROW(Z$12:Z1192),ROW($T$12)),TYPE(VLOOKUP("Да",(INDIRECT("AA"&amp;(MAX((1=Z$12:Z1192)*ROW(Z$12:Z1192),ROW($T$12))&amp;":AA"&amp;(ROW()-1)))),1,0))=16),MIN(LOOKUP(,-1/($Z$12:Z1193=1),$C$12:C1193)+LOOKUP(,-1/($Z$12:Z1193=1),$H$12:H1193),Первоначальный[[#This Row],[Полученный платеж]]+Y1192),
AND(S1192=0,TYPE(VLOOKUP("Да",(INDIRECT("AA"&amp;(MAX((1=Z$12:Z1192)*ROW(Z$12:Z1192),ROW($T$12))&amp;":AA"&amp;(ROW()-1)))),1,0))&lt;&gt;16),MIN(LOOKUP(,-1/($Z$12:Z1193=1),$C$12:C1193)+LOOKUP(,-1/($Z$12:Z1193=1),$H$12:H1193)-IF(AA1192="Да",0,SUM(INDIRECT("T"&amp;(MAX(("Да"=AA$12:AA1192)*ROW(AA$12:AA1192)+1,ROW($T$12))&amp;":T"&amp;(ROW()-1))))),Первоначальный[[#This Row],[Полученный платеж]]+Y1192),
AND(S1192=0,MAX((0&lt;&gt;N$12:N1192)*ROW(N$12:N1192),ROW($S$12))&gt;=MAX((1=Z$12:Z1192)*ROW(Z$12:Z1192),ROW($T$12))),MIN(LOOKUP(,-1/($Z$12:Z1193=1),$C$12:C1193)+LOOKUP(,-1/($Z$12:Z1193=1),$H$12:H1193)-IF(N1192&lt;&gt;0,0,SUM(INDIRECT("T"&amp;(MAX((0&lt;&gt;N$12:N1192)*ROW(N$12:N1192)+1,ROW($T$12))&amp;":T"&amp;(ROW()-1))))),Первоначальный[[#This Row],[Полученный платеж]]+Y1192),
AND(S1192=0,Первоначальный[[#This Row],[Дата платежа из графика]]=1),MIN(LOOKUP(,-1/($Z$12:Z1193=1),$C$12:C1193)+LOOKUP(,-1/($Z$12:Z1193=1),$H$12:H1193)-IF(Z1192=1,0,SUM(INDIRECT("T"&amp;(MAX((1=Z$12:Z1192)*ROW(Z$12:Z1192)+1,ROW($T$12))&amp;":T"&amp;(ROW()-1))))),Первоначальный[[#This Row],[Полученный платеж]]+Y1192),
AND(Z1192&gt;0,Первоначальный[[#This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платеж]]+Y1192),
AND(S1192&gt;0,MAX((0&lt;&gt;S$12:S1192)*ROW(S$12:S1192),ROW($S$12))&gt;=MAX((1=Z$12:Z1192)*ROW(Z$12:Z1192),ROW($T$12)),TYPE(VLOOKUP("Да",(INDIRECT("AA"&amp;(MAX((1=Z$12:Z1192)*ROW(Z$12:Z1192),ROW($T$12))&amp;":AA"&amp;(ROW()-1)))),1,0))=16),MIN(LOOKUP(,-1/($Z$12:Z1193=1),$C$12:C1193)+LOOKUP(,-1/($Z$12:Z1193=1),$H$12:H1193)-SUM(INDIRECT("T"&amp;(MAX((1=Z$12:Z1192)*ROW(Z$12:Z1192),ROW($T$12))&amp;":T"&amp;(ROW()-1)))),Первоначальный[[#This Row],[Полученный платеж]]+Y1192),
S1192&gt;0,MIN(LOOKUP(,-1/($Z$12:Z1193=1),$C$12:C1193)+LOOKUP(,-1/($Z$12:Z1193=1),$H$12:H1193)-IF(Z1192=1,0,SUM(INDIRECT("T"&amp;(MAX((1=Z$12:Z1192)*ROW(Z$12:Z1192)+1,ROW($T$12))&amp;":T"&amp;(ROW()-1))))),Первоначальный[[#This Row],[Полученный платеж]]+Y1192)
)
)
)</f>
        <v>0</v>
      </c>
      <c r="U119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платеж]]+Y1192-Первоначальный[[#This Row],[Полученный платёж по процентам]])</f>
        <v>0</v>
      </c>
      <c r="V1193" s="55">
        <f t="shared" ca="1" si="219"/>
        <v>0</v>
      </c>
      <c r="W1193" s="55" cm="1">
        <f t="array" aca="1" ref="W1193" ca="1">IF(Первоначальный[[#This Row],[Итого остаток на начало периода]]&lt;1,0,
_xlfn.IFS(
AND(TYPE(VLOOKUP(1,$Z$12:Z1193,1,0))=16,Первоначальный[[#This Row],[Досрочное погашение (да/"")]]=""),0,
AND(S1192=0,Первоначальный[[#This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платеж]]+Y1192-SUM(Первоначальный[[#This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комиссиям]]),VLOOKUP(LOOKUP(,-1/($Z$12:Z1193=1),$A$12:A1193),График[[Срок конец]:[Возврат основной суммы долга]],3,0)),
AND(S1192=0,Первоначальный[[#This Row],[Дата платежа из графика]]="",Первоначальный[[#This Row],[Досрочное погашение (да/"")]]&lt;&gt;"Да"),0,
AND(S1192=0,Первоначальный[[#This Row],[Досрочное погашение (да/"")]]=""),MIN(Первоначальный[[#This Row],[Полученный платеж]]+Y1192-SUM(Первоначальный[[#This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комиссиям]]),VLOOKUP(LOOKUP(,-1/($Z$12:Z1193=1),$A$12:A1193),График[[Срок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платеж]]+Y1192-SUM(Первоначальный[[#This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S1192&gt;0,MIN(Первоначальный[[#This Row],[Полученный платеж]]+Y1192-SUM(Первоначальный[[#This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комиссиям]]),SUM(INDIRECT("M"&amp;(MAX((1=S$12:S1192)*ROW(S$12:S1192),ROW($W$12))&amp;":M"&amp;(ROW()))))-SUM(INDIRECT("W"&amp;(MAX((1=S$12:S1192)*ROW(S$12:S1192),ROW($W$12))&amp;":W"&amp;(ROW()-1)))))
)
)</f>
        <v>0</v>
      </c>
      <c r="X1193" s="55">
        <f t="shared" ca="1" si="220"/>
        <v>0</v>
      </c>
      <c r="Y1193" s="101">
        <f t="shared" ca="1" si="227"/>
        <v>0</v>
      </c>
      <c r="Z1193" s="133" t="str">
        <f>IF(TYPE((VLOOKUP(Первоначальный[[#This Row],[Дата платежа]],График[Срок конец],1,0)))=16,"",1)</f>
        <v/>
      </c>
      <c r="AA1193" s="57"/>
      <c r="AB1193" s="134"/>
      <c r="AC119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9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85663.510000000126</v>
      </c>
      <c r="AE119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5604.429999999983</v>
      </c>
      <c r="AF119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9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290728.44507049065</v>
      </c>
      <c r="AH1193" s="55"/>
      <c r="AI1193" s="55"/>
      <c r="AJ1193" s="55"/>
      <c r="AK1193" s="101">
        <f t="shared" ca="1" si="228"/>
        <v>531629.72507049073</v>
      </c>
      <c r="AL1193" s="129">
        <f t="array" ref="AL1193">MAX((УслРестрактов[Характеристика]="Дата реструктуризации")*(УслРестрактов[Значение]=Первоначальный!$A1193),0)</f>
        <v>0</v>
      </c>
    </row>
    <row r="1194" spans="1:38" x14ac:dyDescent="0.25">
      <c r="A1194" s="97">
        <f t="shared" si="221"/>
        <v>45325</v>
      </c>
      <c r="B1194" s="100">
        <f t="shared" ca="1" si="222"/>
        <v>149633.34</v>
      </c>
      <c r="C1194" s="55">
        <f t="shared" ca="1" si="218"/>
        <v>85663.510000000126</v>
      </c>
      <c r="D1194" s="55">
        <f t="shared" ca="1" si="218"/>
        <v>5604.429999999983</v>
      </c>
      <c r="E1194" s="55">
        <f t="shared" ca="1" si="223"/>
        <v>0</v>
      </c>
      <c r="F1194" s="55">
        <f t="shared" ca="1" si="224"/>
        <v>290728.44507049065</v>
      </c>
      <c r="G1194" s="101">
        <f t="shared" ca="1" si="225"/>
        <v>531629.72507049073</v>
      </c>
      <c r="H1194" s="100">
        <f ca="1">ROUND($B1194*VLOOKUP($A1194,$A$1:$B$10,2,1)/(365+IF(MOD(YEAR($A1194),4),0,1)*($A1194-$A1193)),2)-Первоначальный[[#This Row],[Проценты на просроченный платеж по ОД за период]]</f>
        <v>70.319999999999993</v>
      </c>
      <c r="I1194" s="55">
        <f t="shared" ca="1" si="226"/>
        <v>11.04</v>
      </c>
      <c r="J1194" s="55">
        <v>0</v>
      </c>
      <c r="K1194" s="55">
        <f t="shared" ca="1" si="229"/>
        <v>521.3935032786884</v>
      </c>
      <c r="L1194" s="55">
        <v>0</v>
      </c>
      <c r="M1194" s="113">
        <f>SUMIFS(График[Возврат основной суммы долга],График[Дата с учетом нерабочих дней],$A1194)</f>
        <v>0</v>
      </c>
      <c r="N1194" s="56">
        <f>SUMIFS(График[Возврат начисленных %],График[Дата с учетом нерабочих дней],$A1194)</f>
        <v>0</v>
      </c>
      <c r="O1194" s="101">
        <v>0</v>
      </c>
      <c r="P1194" s="100" cm="1">
        <f t="array" aca="1" ref="P1194" ca="1">MAX(IF(AA1193="Да",0,SUM(INDIRECT("M"&amp;(MAX(("Да"=AA$12:AA1193)*ROW(AA$12:AA1193)+1,ROW($P$12))&amp;":M"&amp;(ROW()))))-SUM(INDIRECT("W"&amp;(MAX(("Да"=AA$12:AA1193)*ROW(AA$12:AA1193)+1,ROW($P$12))&amp;":W"&amp;(ROW()))))),0)</f>
        <v>20306.809999999998</v>
      </c>
      <c r="Q1194" s="99">
        <f ca="1">MAX(SUM($N$13:N1194)-SUM($T$13:T1194),0)</f>
        <v>83971.890655737676</v>
      </c>
      <c r="R1194" s="99">
        <f ca="1">Первоначальный[[#This Row],[Просроченный платеж по ОД]]+Первоначальный[[#This Row],[Просроченный платеж по процентам]]</f>
        <v>104278.70065573767</v>
      </c>
      <c r="S1194" s="120">
        <f ca="1">IF(Первоначальный[[#This Row],[Просроченный платеж]]&lt;1,0,S1193+1)</f>
        <v>1090</v>
      </c>
      <c r="T1194" s="100" cm="1">
        <f t="array" aca="1" ref="T1194" ca="1">IF(Первоначальный[[#This Row],[Итого остаток на начало периода]]&lt;1,0,
IF(
AND(TYPE(VLOOKUP(1,$Z$12:Z1194,1,0))=16,Первоначальный[[#This Row],[Досрочное погашение (да/"")]]=""),0,
_xlfn.IFS(AND(S1193=0,Первоначальный[[#This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платеж]]&lt;&gt;0),MIN(LOOKUP(,-1/($Z$12:Z1194=1),$C$12:C1194)+LOOKUP(,-1/($Z$12:Z1194=1),$H$12:H1194),Первоначальный[[#This Row],[Полученный платеж]]+Y1193),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платеж]]+Y1193,SUM(Первоначальный[[#This Row],[Остаток процентов на начало периода]],Первоначальный[[#This Row],[Проценты за период]])),
AND(S1193=0,Первоначальный[[#This Row],[Дата платежа из графика]]=""),0,
AND(S1193=0,Первоначальный[[#This Row],[Дата платежа из графика]]=1,MAX((0&lt;&gt;S$12:S1193)*ROW(S$12:S1193),ROW($S$12))&gt;=MAX((1=Z$12:Z1193)*ROW(Z$12:Z1193),ROW($T$12)),TYPE(VLOOKUP("Да",(INDIRECT("AA"&amp;(MAX((1=Z$12:Z1193)*ROW(Z$12:Z1193),ROW($T$12))&amp;":AA"&amp;(ROW()-1)))),1,0))=16),MIN(LOOKUP(,-1/($Z$12:Z1194=1),$C$12:C1194)+LOOKUP(,-1/($Z$12:Z1194=1),$H$12:H1194),Первоначальный[[#This Row],[Полученный платеж]]+Y1193),
AND(S1193=0,TYPE(VLOOKUP("Да",(INDIRECT("AA"&amp;(MAX((1=Z$12:Z1193)*ROW(Z$12:Z1193),ROW($T$12))&amp;":AA"&amp;(ROW()-1)))),1,0))&lt;&gt;16),MIN(LOOKUP(,-1/($Z$12:Z1194=1),$C$12:C1194)+LOOKUP(,-1/($Z$12:Z1194=1),$H$12:H1194)-IF(AA1193="Да",0,SUM(INDIRECT("T"&amp;(MAX(("Да"=AA$12:AA1193)*ROW(AA$12:AA1193)+1,ROW($T$12))&amp;":T"&amp;(ROW()-1))))),Первоначальный[[#This Row],[Полученный платеж]]+Y1193),
AND(S1193=0,MAX((0&lt;&gt;N$12:N1193)*ROW(N$12:N1193),ROW($S$12))&gt;=MAX((1=Z$12:Z1193)*ROW(Z$12:Z1193),ROW($T$12))),MIN(LOOKUP(,-1/($Z$12:Z1194=1),$C$12:C1194)+LOOKUP(,-1/($Z$12:Z1194=1),$H$12:H1194)-IF(N1193&lt;&gt;0,0,SUM(INDIRECT("T"&amp;(MAX((0&lt;&gt;N$12:N1193)*ROW(N$12:N1193)+1,ROW($T$12))&amp;":T"&amp;(ROW()-1))))),Первоначальный[[#This Row],[Полученный платеж]]+Y1193),
AND(S1193=0,Первоначальный[[#This Row],[Дата платежа из графика]]=1),MIN(LOOKUP(,-1/($Z$12:Z1194=1),$C$12:C1194)+LOOKUP(,-1/($Z$12:Z1194=1),$H$12:H1194)-IF(Z1193=1,0,SUM(INDIRECT("T"&amp;(MAX((1=Z$12:Z1193)*ROW(Z$12:Z1193)+1,ROW($T$12))&amp;":T"&amp;(ROW()-1))))),Первоначальный[[#This Row],[Полученный платеж]]+Y1193),
AND(Z1193&gt;0,Первоначальный[[#This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платеж]]+Y1193),
AND(S1193&gt;0,MAX((0&lt;&gt;S$12:S1193)*ROW(S$12:S1193),ROW($S$12))&gt;=MAX((1=Z$12:Z1193)*ROW(Z$12:Z1193),ROW($T$12)),TYPE(VLOOKUP("Да",(INDIRECT("AA"&amp;(MAX((1=Z$12:Z1193)*ROW(Z$12:Z1193),ROW($T$12))&amp;":AA"&amp;(ROW()-1)))),1,0))=16),MIN(LOOKUP(,-1/($Z$12:Z1194=1),$C$12:C1194)+LOOKUP(,-1/($Z$12:Z1194=1),$H$12:H1194)-SUM(INDIRECT("T"&amp;(MAX((1=Z$12:Z1193)*ROW(Z$12:Z1193),ROW($T$12))&amp;":T"&amp;(ROW()-1)))),Первоначальный[[#This Row],[Полученный платеж]]+Y1193),
S1193&gt;0,MIN(LOOKUP(,-1/($Z$12:Z1194=1),$C$12:C1194)+LOOKUP(,-1/($Z$12:Z1194=1),$H$12:H1194)-IF(Z1193=1,0,SUM(INDIRECT("T"&amp;(MAX((1=Z$12:Z1193)*ROW(Z$12:Z1193)+1,ROW($T$12))&amp;":T"&amp;(ROW()-1))))),Первоначальный[[#This Row],[Полученный платеж]]+Y1193)
)
)
)</f>
        <v>0</v>
      </c>
      <c r="U119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платеж]]+Y1193-Первоначальный[[#This Row],[Полученный платёж по процентам]])</f>
        <v>0</v>
      </c>
      <c r="V1194" s="55">
        <f t="shared" ca="1" si="219"/>
        <v>0</v>
      </c>
      <c r="W1194" s="55" cm="1">
        <f t="array" aca="1" ref="W1194" ca="1">IF(Первоначальный[[#This Row],[Итого остаток на начало периода]]&lt;1,0,
_xlfn.IFS(
AND(TYPE(VLOOKUP(1,$Z$12:Z1194,1,0))=16,Первоначальный[[#This Row],[Досрочное погашение (да/"")]]=""),0,
AND(S1193=0,Первоначальный[[#This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платеж]]+Y1193-SUM(Первоначальный[[#This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комиссиям]]),VLOOKUP(LOOKUP(,-1/($Z$12:Z1194=1),$A$12:A1194),График[[Срок конец]:[Возврат основной суммы долга]],3,0)),
AND(S1193=0,Первоначальный[[#This Row],[Дата платежа из графика]]="",Первоначальный[[#This Row],[Досрочное погашение (да/"")]]&lt;&gt;"Да"),0,
AND(S1193=0,Первоначальный[[#This Row],[Досрочное погашение (да/"")]]=""),MIN(Первоначальный[[#This Row],[Полученный платеж]]+Y1193-SUM(Первоначальный[[#This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комиссиям]]),VLOOKUP(LOOKUP(,-1/($Z$12:Z1194=1),$A$12:A1194),График[[Срок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платеж]]+Y1193-SUM(Первоначальный[[#This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S1193&gt;0,MIN(Первоначальный[[#This Row],[Полученный платеж]]+Y1193-SUM(Первоначальный[[#This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комиссиям]]),SUM(INDIRECT("M"&amp;(MAX((1=S$12:S1193)*ROW(S$12:S1193),ROW($W$12))&amp;":M"&amp;(ROW()))))-SUM(INDIRECT("W"&amp;(MAX((1=S$12:S1193)*ROW(S$12:S1193),ROW($W$12))&amp;":W"&amp;(ROW()-1)))))
)
)</f>
        <v>0</v>
      </c>
      <c r="X1194" s="55">
        <f t="shared" ca="1" si="220"/>
        <v>0</v>
      </c>
      <c r="Y1194" s="101">
        <f t="shared" ca="1" si="227"/>
        <v>0</v>
      </c>
      <c r="Z1194" s="133" t="str">
        <f>IF(TYPE((VLOOKUP(Первоначальный[[#This Row],[Дата платежа]],График[Срок конец],1,0)))=16,"",1)</f>
        <v/>
      </c>
      <c r="AA1194" s="57"/>
      <c r="AB1194" s="134"/>
      <c r="AC119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9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85733.830000000133</v>
      </c>
      <c r="AE119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5615.469999999983</v>
      </c>
      <c r="AF119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9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291249.83857376932</v>
      </c>
      <c r="AH1194" s="55"/>
      <c r="AI1194" s="55"/>
      <c r="AJ1194" s="55"/>
      <c r="AK1194" s="101">
        <f t="shared" ca="1" si="228"/>
        <v>532232.47857376945</v>
      </c>
      <c r="AL1194" s="129">
        <f t="array" ref="AL1194">MAX((УслРестрактов[Характеристика]="Дата реструктуризации")*(УслРестрактов[Значение]=Первоначальный!$A1194),0)</f>
        <v>0</v>
      </c>
    </row>
    <row r="1195" spans="1:38" x14ac:dyDescent="0.25">
      <c r="A1195" s="97">
        <f t="shared" si="221"/>
        <v>45326</v>
      </c>
      <c r="B1195" s="100">
        <f t="shared" ca="1" si="222"/>
        <v>149633.34</v>
      </c>
      <c r="C1195" s="55">
        <f t="shared" ca="1" si="218"/>
        <v>85733.830000000133</v>
      </c>
      <c r="D1195" s="55">
        <f t="shared" ca="1" si="218"/>
        <v>5615.469999999983</v>
      </c>
      <c r="E1195" s="55">
        <f t="shared" ca="1" si="223"/>
        <v>0</v>
      </c>
      <c r="F1195" s="55">
        <f t="shared" ca="1" si="224"/>
        <v>291249.83857376932</v>
      </c>
      <c r="G1195" s="101">
        <f t="shared" ca="1" si="225"/>
        <v>532232.47857376945</v>
      </c>
      <c r="H1195" s="100">
        <f ca="1">ROUND($B1195*VLOOKUP($A1195,$A$1:$B$10,2,1)/(365+IF(MOD(YEAR($A1195),4),0,1)*($A1195-$A1194)),2)-Первоначальный[[#This Row],[Проценты на просроченный платеж по ОД за период]]</f>
        <v>70.319999999999993</v>
      </c>
      <c r="I1195" s="55">
        <f t="shared" ca="1" si="226"/>
        <v>11.04</v>
      </c>
      <c r="J1195" s="55">
        <v>0</v>
      </c>
      <c r="K1195" s="55">
        <f t="shared" ca="1" si="229"/>
        <v>521.3935032786884</v>
      </c>
      <c r="L1195" s="55">
        <v>0</v>
      </c>
      <c r="M1195" s="113">
        <f>SUMIFS(График[Возврат основной суммы долга],График[Дата с учетом нерабочих дней],$A1195)</f>
        <v>0</v>
      </c>
      <c r="N1195" s="56">
        <f>SUMIFS(График[Возврат начисленных %],График[Дата с учетом нерабочих дней],$A1195)</f>
        <v>0</v>
      </c>
      <c r="O1195" s="101">
        <v>0</v>
      </c>
      <c r="P1195" s="100" cm="1">
        <f t="array" aca="1" ref="P1195" ca="1">MAX(IF(AA1194="Да",0,SUM(INDIRECT("M"&amp;(MAX(("Да"=AA$12:AA1194)*ROW(AA$12:AA1194)+1,ROW($P$12))&amp;":M"&amp;(ROW()))))-SUM(INDIRECT("W"&amp;(MAX(("Да"=AA$12:AA1194)*ROW(AA$12:AA1194)+1,ROW($P$12))&amp;":W"&amp;(ROW()))))),0)</f>
        <v>20306.809999999998</v>
      </c>
      <c r="Q1195" s="99">
        <f ca="1">MAX(SUM($N$13:N1195)-SUM($T$13:T1195),0)</f>
        <v>83971.890655737676</v>
      </c>
      <c r="R1195" s="99">
        <f ca="1">Первоначальный[[#This Row],[Просроченный платеж по ОД]]+Первоначальный[[#This Row],[Просроченный платеж по процентам]]</f>
        <v>104278.70065573767</v>
      </c>
      <c r="S1195" s="120">
        <f ca="1">IF(Первоначальный[[#This Row],[Просроченный платеж]]&lt;1,0,S1194+1)</f>
        <v>1091</v>
      </c>
      <c r="T1195" s="100" cm="1">
        <f t="array" aca="1" ref="T1195" ca="1">IF(Первоначальный[[#This Row],[Итого остаток на начало периода]]&lt;1,0,
IF(
AND(TYPE(VLOOKUP(1,$Z$12:Z1195,1,0))=16,Первоначальный[[#This Row],[Досрочное погашение (да/"")]]=""),0,
_xlfn.IFS(AND(S1194=0,Первоначальный[[#This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платеж]]&lt;&gt;0),MIN(LOOKUP(,-1/($Z$12:Z1195=1),$C$12:C1195)+LOOKUP(,-1/($Z$12:Z1195=1),$H$12:H1195),Первоначальный[[#This Row],[Полученный платеж]]+Y1194),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платеж]]+Y1194,SUM(Первоначальный[[#This Row],[Остаток процентов на начало периода]],Первоначальный[[#This Row],[Проценты за период]])),
AND(S1194=0,Первоначальный[[#This Row],[Дата платежа из графика]]=""),0,
AND(S1194=0,Первоначальный[[#This Row],[Дата платежа из графика]]=1,MAX((0&lt;&gt;S$12:S1194)*ROW(S$12:S1194),ROW($S$12))&gt;=MAX((1=Z$12:Z1194)*ROW(Z$12:Z1194),ROW($T$12)),TYPE(VLOOKUP("Да",(INDIRECT("AA"&amp;(MAX((1=Z$12:Z1194)*ROW(Z$12:Z1194),ROW($T$12))&amp;":AA"&amp;(ROW()-1)))),1,0))=16),MIN(LOOKUP(,-1/($Z$12:Z1195=1),$C$12:C1195)+LOOKUP(,-1/($Z$12:Z1195=1),$H$12:H1195),Первоначальный[[#This Row],[Полученный платеж]]+Y1194),
AND(S1194=0,TYPE(VLOOKUP("Да",(INDIRECT("AA"&amp;(MAX((1=Z$12:Z1194)*ROW(Z$12:Z1194),ROW($T$12))&amp;":AA"&amp;(ROW()-1)))),1,0))&lt;&gt;16),MIN(LOOKUP(,-1/($Z$12:Z1195=1),$C$12:C1195)+LOOKUP(,-1/($Z$12:Z1195=1),$H$12:H1195)-IF(AA1194="Да",0,SUM(INDIRECT("T"&amp;(MAX(("Да"=AA$12:AA1194)*ROW(AA$12:AA1194)+1,ROW($T$12))&amp;":T"&amp;(ROW()-1))))),Первоначальный[[#This Row],[Полученный платеж]]+Y1194),
AND(S1194=0,MAX((0&lt;&gt;N$12:N1194)*ROW(N$12:N1194),ROW($S$12))&gt;=MAX((1=Z$12:Z1194)*ROW(Z$12:Z1194),ROW($T$12))),MIN(LOOKUP(,-1/($Z$12:Z1195=1),$C$12:C1195)+LOOKUP(,-1/($Z$12:Z1195=1),$H$12:H1195)-IF(N1194&lt;&gt;0,0,SUM(INDIRECT("T"&amp;(MAX((0&lt;&gt;N$12:N1194)*ROW(N$12:N1194)+1,ROW($T$12))&amp;":T"&amp;(ROW()-1))))),Первоначальный[[#This Row],[Полученный платеж]]+Y1194),
AND(S1194=0,Первоначальный[[#This Row],[Дата платежа из графика]]=1),MIN(LOOKUP(,-1/($Z$12:Z1195=1),$C$12:C1195)+LOOKUP(,-1/($Z$12:Z1195=1),$H$12:H1195)-IF(Z1194=1,0,SUM(INDIRECT("T"&amp;(MAX((1=Z$12:Z1194)*ROW(Z$12:Z1194)+1,ROW($T$12))&amp;":T"&amp;(ROW()-1))))),Первоначальный[[#This Row],[Полученный платеж]]+Y1194),
AND(Z1194&gt;0,Первоначальный[[#This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платеж]]+Y1194),
AND(S1194&gt;0,MAX((0&lt;&gt;S$12:S1194)*ROW(S$12:S1194),ROW($S$12))&gt;=MAX((1=Z$12:Z1194)*ROW(Z$12:Z1194),ROW($T$12)),TYPE(VLOOKUP("Да",(INDIRECT("AA"&amp;(MAX((1=Z$12:Z1194)*ROW(Z$12:Z1194),ROW($T$12))&amp;":AA"&amp;(ROW()-1)))),1,0))=16),MIN(LOOKUP(,-1/($Z$12:Z1195=1),$C$12:C1195)+LOOKUP(,-1/($Z$12:Z1195=1),$H$12:H1195)-SUM(INDIRECT("T"&amp;(MAX((1=Z$12:Z1194)*ROW(Z$12:Z1194),ROW($T$12))&amp;":T"&amp;(ROW()-1)))),Первоначальный[[#This Row],[Полученный платеж]]+Y1194),
S1194&gt;0,MIN(LOOKUP(,-1/($Z$12:Z1195=1),$C$12:C1195)+LOOKUP(,-1/($Z$12:Z1195=1),$H$12:H1195)-IF(Z1194=1,0,SUM(INDIRECT("T"&amp;(MAX((1=Z$12:Z1194)*ROW(Z$12:Z1194)+1,ROW($T$12))&amp;":T"&amp;(ROW()-1))))),Первоначальный[[#This Row],[Полученный платеж]]+Y1194)
)
)
)</f>
        <v>0</v>
      </c>
      <c r="U119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платеж]]+Y1194-Первоначальный[[#This Row],[Полученный платёж по процентам]])</f>
        <v>0</v>
      </c>
      <c r="V1195" s="55">
        <f t="shared" ca="1" si="219"/>
        <v>0</v>
      </c>
      <c r="W1195" s="55" cm="1">
        <f t="array" aca="1" ref="W1195" ca="1">IF(Первоначальный[[#This Row],[Итого остаток на начало периода]]&lt;1,0,
_xlfn.IFS(
AND(TYPE(VLOOKUP(1,$Z$12:Z1195,1,0))=16,Первоначальный[[#This Row],[Досрочное погашение (да/"")]]=""),0,
AND(S1194=0,Первоначальный[[#This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платеж]]+Y1194-SUM(Первоначальный[[#This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комиссиям]]),VLOOKUP(LOOKUP(,-1/($Z$12:Z1195=1),$A$12:A1195),График[[Срок конец]:[Возврат основной суммы долга]],3,0)),
AND(S1194=0,Первоначальный[[#This Row],[Дата платежа из графика]]="",Первоначальный[[#This Row],[Досрочное погашение (да/"")]]&lt;&gt;"Да"),0,
AND(S1194=0,Первоначальный[[#This Row],[Досрочное погашение (да/"")]]=""),MIN(Первоначальный[[#This Row],[Полученный платеж]]+Y1194-SUM(Первоначальный[[#This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комиссиям]]),VLOOKUP(LOOKUP(,-1/($Z$12:Z1195=1),$A$12:A1195),График[[Срок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платеж]]+Y1194-SUM(Первоначальный[[#This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S1194&gt;0,MIN(Первоначальный[[#This Row],[Полученный платеж]]+Y1194-SUM(Первоначальный[[#This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комиссиям]]),SUM(INDIRECT("M"&amp;(MAX((1=S$12:S1194)*ROW(S$12:S1194),ROW($W$12))&amp;":M"&amp;(ROW()))))-SUM(INDIRECT("W"&amp;(MAX((1=S$12:S1194)*ROW(S$12:S1194),ROW($W$12))&amp;":W"&amp;(ROW()-1)))))
)
)</f>
        <v>0</v>
      </c>
      <c r="X1195" s="55">
        <f t="shared" ca="1" si="220"/>
        <v>0</v>
      </c>
      <c r="Y1195" s="101">
        <f t="shared" ca="1" si="227"/>
        <v>0</v>
      </c>
      <c r="Z1195" s="133" t="str">
        <f>IF(TYPE((VLOOKUP(Первоначальный[[#This Row],[Дата платежа]],График[Срок конец],1,0)))=16,"",1)</f>
        <v/>
      </c>
      <c r="AA1195" s="57"/>
      <c r="AB1195" s="134"/>
      <c r="AC119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9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85804.15000000014</v>
      </c>
      <c r="AE119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5626.5099999999829</v>
      </c>
      <c r="AF119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9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291771.23207704799</v>
      </c>
      <c r="AH1195" s="55"/>
      <c r="AI1195" s="55"/>
      <c r="AJ1195" s="55"/>
      <c r="AK1195" s="101">
        <f t="shared" ca="1" si="228"/>
        <v>532835.23207704816</v>
      </c>
      <c r="AL1195" s="129">
        <f t="array" ref="AL1195">MAX((УслРестрактов[Характеристика]="Дата реструктуризации")*(УслРестрактов[Значение]=Первоначальный!$A1195),0)</f>
        <v>0</v>
      </c>
    </row>
    <row r="1196" spans="1:38" x14ac:dyDescent="0.25">
      <c r="A1196" s="97">
        <f t="shared" si="221"/>
        <v>45327</v>
      </c>
      <c r="B1196" s="100">
        <f t="shared" ca="1" si="222"/>
        <v>149633.34</v>
      </c>
      <c r="C1196" s="55">
        <f t="shared" ca="1" si="218"/>
        <v>85804.15000000014</v>
      </c>
      <c r="D1196" s="55">
        <f t="shared" ca="1" si="218"/>
        <v>5626.5099999999829</v>
      </c>
      <c r="E1196" s="55">
        <f t="shared" ca="1" si="223"/>
        <v>0</v>
      </c>
      <c r="F1196" s="55">
        <f t="shared" ca="1" si="224"/>
        <v>291771.23207704799</v>
      </c>
      <c r="G1196" s="101">
        <f t="shared" ca="1" si="225"/>
        <v>532835.23207704816</v>
      </c>
      <c r="H1196" s="100">
        <f ca="1">ROUND($B1196*VLOOKUP($A1196,$A$1:$B$10,2,1)/(365+IF(MOD(YEAR($A1196),4),0,1)*($A1196-$A1195)),2)-Первоначальный[[#This Row],[Проценты на просроченный платеж по ОД за период]]</f>
        <v>70.319999999999993</v>
      </c>
      <c r="I1196" s="55">
        <f t="shared" ca="1" si="226"/>
        <v>11.04</v>
      </c>
      <c r="J1196" s="55">
        <v>0</v>
      </c>
      <c r="K1196" s="55">
        <f t="shared" ca="1" si="229"/>
        <v>521.3935032786884</v>
      </c>
      <c r="L1196" s="55">
        <v>0</v>
      </c>
      <c r="M1196" s="113">
        <f>SUMIFS(График[Возврат основной суммы долга],График[Дата с учетом нерабочих дней],$A1196)</f>
        <v>0</v>
      </c>
      <c r="N1196" s="56">
        <f>SUMIFS(График[Возврат начисленных %],График[Дата с учетом нерабочих дней],$A1196)</f>
        <v>0</v>
      </c>
      <c r="O1196" s="101">
        <v>0</v>
      </c>
      <c r="P1196" s="100" cm="1">
        <f t="array" aca="1" ref="P1196" ca="1">MAX(IF(AA1195="Да",0,SUM(INDIRECT("M"&amp;(MAX(("Да"=AA$12:AA1195)*ROW(AA$12:AA1195)+1,ROW($P$12))&amp;":M"&amp;(ROW()))))-SUM(INDIRECT("W"&amp;(MAX(("Да"=AA$12:AA1195)*ROW(AA$12:AA1195)+1,ROW($P$12))&amp;":W"&amp;(ROW()))))),0)</f>
        <v>20306.809999999998</v>
      </c>
      <c r="Q1196" s="99">
        <f ca="1">MAX(SUM($N$13:N1196)-SUM($T$13:T1196),0)</f>
        <v>83971.890655737676</v>
      </c>
      <c r="R1196" s="99">
        <f ca="1">Первоначальный[[#This Row],[Просроченный платеж по ОД]]+Первоначальный[[#This Row],[Просроченный платеж по процентам]]</f>
        <v>104278.70065573767</v>
      </c>
      <c r="S1196" s="120">
        <f ca="1">IF(Первоначальный[[#This Row],[Просроченный платеж]]&lt;1,0,S1195+1)</f>
        <v>1092</v>
      </c>
      <c r="T1196" s="100" cm="1">
        <f t="array" aca="1" ref="T1196" ca="1">IF(Первоначальный[[#This Row],[Итого остаток на начало периода]]&lt;1,0,
IF(
AND(TYPE(VLOOKUP(1,$Z$12:Z1196,1,0))=16,Первоначальный[[#This Row],[Досрочное погашение (да/"")]]=""),0,
_xlfn.IFS(AND(S1195=0,Первоначальный[[#This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платеж]]&lt;&gt;0),MIN(LOOKUP(,-1/($Z$12:Z1196=1),$C$12:C1196)+LOOKUP(,-1/($Z$12:Z1196=1),$H$12:H1196),Первоначальный[[#This Row],[Полученный платеж]]+Y1195),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платеж]]+Y1195,SUM(Первоначальный[[#This Row],[Остаток процентов на начало периода]],Первоначальный[[#This Row],[Проценты за период]])),
AND(S1195=0,Первоначальный[[#This Row],[Дата платежа из графика]]=""),0,
AND(S1195=0,Первоначальный[[#This Row],[Дата платежа из графика]]=1,MAX((0&lt;&gt;S$12:S1195)*ROW(S$12:S1195),ROW($S$12))&gt;=MAX((1=Z$12:Z1195)*ROW(Z$12:Z1195),ROW($T$12)),TYPE(VLOOKUP("Да",(INDIRECT("AA"&amp;(MAX((1=Z$12:Z1195)*ROW(Z$12:Z1195),ROW($T$12))&amp;":AA"&amp;(ROW()-1)))),1,0))=16),MIN(LOOKUP(,-1/($Z$12:Z1196=1),$C$12:C1196)+LOOKUP(,-1/($Z$12:Z1196=1),$H$12:H1196),Первоначальный[[#This Row],[Полученный платеж]]+Y1195),
AND(S1195=0,TYPE(VLOOKUP("Да",(INDIRECT("AA"&amp;(MAX((1=Z$12:Z1195)*ROW(Z$12:Z1195),ROW($T$12))&amp;":AA"&amp;(ROW()-1)))),1,0))&lt;&gt;16),MIN(LOOKUP(,-1/($Z$12:Z1196=1),$C$12:C1196)+LOOKUP(,-1/($Z$12:Z1196=1),$H$12:H1196)-IF(AA1195="Да",0,SUM(INDIRECT("T"&amp;(MAX(("Да"=AA$12:AA1195)*ROW(AA$12:AA1195)+1,ROW($T$12))&amp;":T"&amp;(ROW()-1))))),Первоначальный[[#This Row],[Полученный платеж]]+Y1195),
AND(S1195=0,MAX((0&lt;&gt;N$12:N1195)*ROW(N$12:N1195),ROW($S$12))&gt;=MAX((1=Z$12:Z1195)*ROW(Z$12:Z1195),ROW($T$12))),MIN(LOOKUP(,-1/($Z$12:Z1196=1),$C$12:C1196)+LOOKUP(,-1/($Z$12:Z1196=1),$H$12:H1196)-IF(N1195&lt;&gt;0,0,SUM(INDIRECT("T"&amp;(MAX((0&lt;&gt;N$12:N1195)*ROW(N$12:N1195)+1,ROW($T$12))&amp;":T"&amp;(ROW()-1))))),Первоначальный[[#This Row],[Полученный платеж]]+Y1195),
AND(S1195=0,Первоначальный[[#This Row],[Дата платежа из графика]]=1),MIN(LOOKUP(,-1/($Z$12:Z1196=1),$C$12:C1196)+LOOKUP(,-1/($Z$12:Z1196=1),$H$12:H1196)-IF(Z1195=1,0,SUM(INDIRECT("T"&amp;(MAX((1=Z$12:Z1195)*ROW(Z$12:Z1195)+1,ROW($T$12))&amp;":T"&amp;(ROW()-1))))),Первоначальный[[#This Row],[Полученный платеж]]+Y1195),
AND(Z1195&gt;0,Первоначальный[[#This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платеж]]+Y1195),
AND(S1195&gt;0,MAX((0&lt;&gt;S$12:S1195)*ROW(S$12:S1195),ROW($S$12))&gt;=MAX((1=Z$12:Z1195)*ROW(Z$12:Z1195),ROW($T$12)),TYPE(VLOOKUP("Да",(INDIRECT("AA"&amp;(MAX((1=Z$12:Z1195)*ROW(Z$12:Z1195),ROW($T$12))&amp;":AA"&amp;(ROW()-1)))),1,0))=16),MIN(LOOKUP(,-1/($Z$12:Z1196=1),$C$12:C1196)+LOOKUP(,-1/($Z$12:Z1196=1),$H$12:H1196)-SUM(INDIRECT("T"&amp;(MAX((1=Z$12:Z1195)*ROW(Z$12:Z1195),ROW($T$12))&amp;":T"&amp;(ROW()-1)))),Первоначальный[[#This Row],[Полученный платеж]]+Y1195),
S1195&gt;0,MIN(LOOKUP(,-1/($Z$12:Z1196=1),$C$12:C1196)+LOOKUP(,-1/($Z$12:Z1196=1),$H$12:H1196)-IF(Z1195=1,0,SUM(INDIRECT("T"&amp;(MAX((1=Z$12:Z1195)*ROW(Z$12:Z1195)+1,ROW($T$12))&amp;":T"&amp;(ROW()-1))))),Первоначальный[[#This Row],[Полученный платеж]]+Y1195)
)
)
)</f>
        <v>0</v>
      </c>
      <c r="U119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платеж]]+Y1195-Первоначальный[[#This Row],[Полученный платёж по процентам]])</f>
        <v>0</v>
      </c>
      <c r="V1196" s="55">
        <f t="shared" ca="1" si="219"/>
        <v>0</v>
      </c>
      <c r="W1196" s="55" cm="1">
        <f t="array" aca="1" ref="W1196" ca="1">IF(Первоначальный[[#This Row],[Итого остаток на начало периода]]&lt;1,0,
_xlfn.IFS(
AND(TYPE(VLOOKUP(1,$Z$12:Z1196,1,0))=16,Первоначальный[[#This Row],[Досрочное погашение (да/"")]]=""),0,
AND(S1195=0,Первоначальный[[#This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платеж]]+Y1195-SUM(Первоначальный[[#This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комиссиям]]),VLOOKUP(LOOKUP(,-1/($Z$12:Z1196=1),$A$12:A1196),График[[Срок конец]:[Возврат основной суммы долга]],3,0)),
AND(S1195=0,Первоначальный[[#This Row],[Дата платежа из графика]]="",Первоначальный[[#This Row],[Досрочное погашение (да/"")]]&lt;&gt;"Да"),0,
AND(S1195=0,Первоначальный[[#This Row],[Досрочное погашение (да/"")]]=""),MIN(Первоначальный[[#This Row],[Полученный платеж]]+Y1195-SUM(Первоначальный[[#This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комиссиям]]),VLOOKUP(LOOKUP(,-1/($Z$12:Z1196=1),$A$12:A1196),График[[Срок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платеж]]+Y1195-SUM(Первоначальный[[#This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S1195&gt;0,MIN(Первоначальный[[#This Row],[Полученный платеж]]+Y1195-SUM(Первоначальный[[#This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комиссиям]]),SUM(INDIRECT("M"&amp;(MAX((1=S$12:S1195)*ROW(S$12:S1195),ROW($W$12))&amp;":M"&amp;(ROW()))))-SUM(INDIRECT("W"&amp;(MAX((1=S$12:S1195)*ROW(S$12:S1195),ROW($W$12))&amp;":W"&amp;(ROW()-1)))))
)
)</f>
        <v>0</v>
      </c>
      <c r="X1196" s="55">
        <f t="shared" ca="1" si="220"/>
        <v>0</v>
      </c>
      <c r="Y1196" s="101">
        <f t="shared" ca="1" si="227"/>
        <v>0</v>
      </c>
      <c r="Z1196" s="133" t="str">
        <f>IF(TYPE((VLOOKUP(Первоначальный[[#This Row],[Дата платежа]],График[Срок конец],1,0)))=16,"",1)</f>
        <v/>
      </c>
      <c r="AA1196" s="57"/>
      <c r="AB1196" s="134"/>
      <c r="AC119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9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85874.470000000147</v>
      </c>
      <c r="AE119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5637.5499999999829</v>
      </c>
      <c r="AF119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9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292292.62558032665</v>
      </c>
      <c r="AH1196" s="55"/>
      <c r="AI1196" s="55"/>
      <c r="AJ1196" s="55"/>
      <c r="AK1196" s="101">
        <f t="shared" ca="1" si="228"/>
        <v>533437.98558032676</v>
      </c>
      <c r="AL1196" s="129">
        <f t="array" ref="AL1196">MAX((УслРестрактов[Характеристика]="Дата реструктуризации")*(УслРестрактов[Значение]=Первоначальный!$A1196),0)</f>
        <v>0</v>
      </c>
    </row>
    <row r="1197" spans="1:38" x14ac:dyDescent="0.25">
      <c r="A1197" s="97">
        <f t="shared" si="221"/>
        <v>45328</v>
      </c>
      <c r="B1197" s="100">
        <f t="shared" ca="1" si="222"/>
        <v>149633.34</v>
      </c>
      <c r="C1197" s="55">
        <f t="shared" ca="1" si="218"/>
        <v>85874.470000000147</v>
      </c>
      <c r="D1197" s="55">
        <f t="shared" ca="1" si="218"/>
        <v>5637.5499999999829</v>
      </c>
      <c r="E1197" s="55">
        <f t="shared" ca="1" si="223"/>
        <v>0</v>
      </c>
      <c r="F1197" s="55">
        <f t="shared" ca="1" si="224"/>
        <v>292292.62558032665</v>
      </c>
      <c r="G1197" s="101">
        <f t="shared" ca="1" si="225"/>
        <v>533437.98558032676</v>
      </c>
      <c r="H1197" s="100">
        <f ca="1">ROUND($B1197*VLOOKUP($A1197,$A$1:$B$10,2,1)/(365+IF(MOD(YEAR($A1197),4),0,1)*($A1197-$A1196)),2)-Первоначальный[[#This Row],[Проценты на просроченный платеж по ОД за период]]</f>
        <v>70.319999999999993</v>
      </c>
      <c r="I1197" s="55">
        <f t="shared" ca="1" si="226"/>
        <v>11.04</v>
      </c>
      <c r="J1197" s="55">
        <v>0</v>
      </c>
      <c r="K1197" s="55">
        <f t="shared" ca="1" si="229"/>
        <v>521.3935032786884</v>
      </c>
      <c r="L1197" s="55">
        <v>0</v>
      </c>
      <c r="M1197" s="113">
        <f>SUMIFS(График[Возврат основной суммы долга],График[Дата с учетом нерабочих дней],$A1197)</f>
        <v>0</v>
      </c>
      <c r="N1197" s="56">
        <f>SUMIFS(График[Возврат начисленных %],График[Дата с учетом нерабочих дней],$A1197)</f>
        <v>0</v>
      </c>
      <c r="O1197" s="101">
        <v>0</v>
      </c>
      <c r="P1197" s="100" cm="1">
        <f t="array" aca="1" ref="P1197" ca="1">MAX(IF(AA1196="Да",0,SUM(INDIRECT("M"&amp;(MAX(("Да"=AA$12:AA1196)*ROW(AA$12:AA1196)+1,ROW($P$12))&amp;":M"&amp;(ROW()))))-SUM(INDIRECT("W"&amp;(MAX(("Да"=AA$12:AA1196)*ROW(AA$12:AA1196)+1,ROW($P$12))&amp;":W"&amp;(ROW()))))),0)</f>
        <v>20306.809999999998</v>
      </c>
      <c r="Q1197" s="99">
        <f ca="1">MAX(SUM($N$13:N1197)-SUM($T$13:T1197),0)</f>
        <v>83971.890655737676</v>
      </c>
      <c r="R1197" s="99">
        <f ca="1">Первоначальный[[#This Row],[Просроченный платеж по ОД]]+Первоначальный[[#This Row],[Просроченный платеж по процентам]]</f>
        <v>104278.70065573767</v>
      </c>
      <c r="S1197" s="120">
        <f ca="1">IF(Первоначальный[[#This Row],[Просроченный платеж]]&lt;1,0,S1196+1)</f>
        <v>1093</v>
      </c>
      <c r="T1197" s="100" cm="1">
        <f t="array" aca="1" ref="T1197" ca="1">IF(Первоначальный[[#This Row],[Итого остаток на начало периода]]&lt;1,0,
IF(
AND(TYPE(VLOOKUP(1,$Z$12:Z1197,1,0))=16,Первоначальный[[#This Row],[Досрочное погашение (да/"")]]=""),0,
_xlfn.IFS(AND(S1196=0,Первоначальный[[#This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платеж]]&lt;&gt;0),MIN(LOOKUP(,-1/($Z$12:Z1197=1),$C$12:C1197)+LOOKUP(,-1/($Z$12:Z1197=1),$H$12:H1197),Первоначальный[[#This Row],[Полученный платеж]]+Y1196),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платеж]]+Y1196,SUM(Первоначальный[[#This Row],[Остаток процентов на начало периода]],Первоначальный[[#This Row],[Проценты за период]])),
AND(S1196=0,Первоначальный[[#This Row],[Дата платежа из графика]]=""),0,
AND(S1196=0,Первоначальный[[#This Row],[Дата платежа из графика]]=1,MAX((0&lt;&gt;S$12:S1196)*ROW(S$12:S1196),ROW($S$12))&gt;=MAX((1=Z$12:Z1196)*ROW(Z$12:Z1196),ROW($T$12)),TYPE(VLOOKUP("Да",(INDIRECT("AA"&amp;(MAX((1=Z$12:Z1196)*ROW(Z$12:Z1196),ROW($T$12))&amp;":AA"&amp;(ROW()-1)))),1,0))=16),MIN(LOOKUP(,-1/($Z$12:Z1197=1),$C$12:C1197)+LOOKUP(,-1/($Z$12:Z1197=1),$H$12:H1197),Первоначальный[[#This Row],[Полученный платеж]]+Y1196),
AND(S1196=0,TYPE(VLOOKUP("Да",(INDIRECT("AA"&amp;(MAX((1=Z$12:Z1196)*ROW(Z$12:Z1196),ROW($T$12))&amp;":AA"&amp;(ROW()-1)))),1,0))&lt;&gt;16),MIN(LOOKUP(,-1/($Z$12:Z1197=1),$C$12:C1197)+LOOKUP(,-1/($Z$12:Z1197=1),$H$12:H1197)-IF(AA1196="Да",0,SUM(INDIRECT("T"&amp;(MAX(("Да"=AA$12:AA1196)*ROW(AA$12:AA1196)+1,ROW($T$12))&amp;":T"&amp;(ROW()-1))))),Первоначальный[[#This Row],[Полученный платеж]]+Y1196),
AND(S1196=0,MAX((0&lt;&gt;N$12:N1196)*ROW(N$12:N1196),ROW($S$12))&gt;=MAX((1=Z$12:Z1196)*ROW(Z$12:Z1196),ROW($T$12))),MIN(LOOKUP(,-1/($Z$12:Z1197=1),$C$12:C1197)+LOOKUP(,-1/($Z$12:Z1197=1),$H$12:H1197)-IF(N1196&lt;&gt;0,0,SUM(INDIRECT("T"&amp;(MAX((0&lt;&gt;N$12:N1196)*ROW(N$12:N1196)+1,ROW($T$12))&amp;":T"&amp;(ROW()-1))))),Первоначальный[[#This Row],[Полученный платеж]]+Y1196),
AND(S1196=0,Первоначальный[[#This Row],[Дата платежа из графика]]=1),MIN(LOOKUP(,-1/($Z$12:Z1197=1),$C$12:C1197)+LOOKUP(,-1/($Z$12:Z1197=1),$H$12:H1197)-IF(Z1196=1,0,SUM(INDIRECT("T"&amp;(MAX((1=Z$12:Z1196)*ROW(Z$12:Z1196)+1,ROW($T$12))&amp;":T"&amp;(ROW()-1))))),Первоначальный[[#This Row],[Полученный платеж]]+Y1196),
AND(Z1196&gt;0,Первоначальный[[#This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платеж]]+Y1196),
AND(S1196&gt;0,MAX((0&lt;&gt;S$12:S1196)*ROW(S$12:S1196),ROW($S$12))&gt;=MAX((1=Z$12:Z1196)*ROW(Z$12:Z1196),ROW($T$12)),TYPE(VLOOKUP("Да",(INDIRECT("AA"&amp;(MAX((1=Z$12:Z1196)*ROW(Z$12:Z1196),ROW($T$12))&amp;":AA"&amp;(ROW()-1)))),1,0))=16),MIN(LOOKUP(,-1/($Z$12:Z1197=1),$C$12:C1197)+LOOKUP(,-1/($Z$12:Z1197=1),$H$12:H1197)-SUM(INDIRECT("T"&amp;(MAX((1=Z$12:Z1196)*ROW(Z$12:Z1196),ROW($T$12))&amp;":T"&amp;(ROW()-1)))),Первоначальный[[#This Row],[Полученный платеж]]+Y1196),
S1196&gt;0,MIN(LOOKUP(,-1/($Z$12:Z1197=1),$C$12:C1197)+LOOKUP(,-1/($Z$12:Z1197=1),$H$12:H1197)-IF(Z1196=1,0,SUM(INDIRECT("T"&amp;(MAX((1=Z$12:Z1196)*ROW(Z$12:Z1196)+1,ROW($T$12))&amp;":T"&amp;(ROW()-1))))),Первоначальный[[#This Row],[Полученный платеж]]+Y1196)
)
)
)</f>
        <v>0</v>
      </c>
      <c r="U119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платеж]]+Y1196-Первоначальный[[#This Row],[Полученный платёж по процентам]])</f>
        <v>0</v>
      </c>
      <c r="V1197" s="55">
        <f t="shared" ca="1" si="219"/>
        <v>0</v>
      </c>
      <c r="W1197" s="55" cm="1">
        <f t="array" aca="1" ref="W1197" ca="1">IF(Первоначальный[[#This Row],[Итого остаток на начало периода]]&lt;1,0,
_xlfn.IFS(
AND(TYPE(VLOOKUP(1,$Z$12:Z1197,1,0))=16,Первоначальный[[#This Row],[Досрочное погашение (да/"")]]=""),0,
AND(S1196=0,Первоначальный[[#This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платеж]]+Y1196-SUM(Первоначальный[[#This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комиссиям]]),VLOOKUP(LOOKUP(,-1/($Z$12:Z1197=1),$A$12:A1197),График[[Срок конец]:[Возврат основной суммы долга]],3,0)),
AND(S1196=0,Первоначальный[[#This Row],[Дата платежа из графика]]="",Первоначальный[[#This Row],[Досрочное погашение (да/"")]]&lt;&gt;"Да"),0,
AND(S1196=0,Первоначальный[[#This Row],[Досрочное погашение (да/"")]]=""),MIN(Первоначальный[[#This Row],[Полученный платеж]]+Y1196-SUM(Первоначальный[[#This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комиссиям]]),VLOOKUP(LOOKUP(,-1/($Z$12:Z1197=1),$A$12:A1197),График[[Срок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платеж]]+Y1196-SUM(Первоначальный[[#This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S1196&gt;0,MIN(Первоначальный[[#This Row],[Полученный платеж]]+Y1196-SUM(Первоначальный[[#This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комиссиям]]),SUM(INDIRECT("M"&amp;(MAX((1=S$12:S1196)*ROW(S$12:S1196),ROW($W$12))&amp;":M"&amp;(ROW()))))-SUM(INDIRECT("W"&amp;(MAX((1=S$12:S1196)*ROW(S$12:S1196),ROW($W$12))&amp;":W"&amp;(ROW()-1)))))
)
)</f>
        <v>0</v>
      </c>
      <c r="X1197" s="55">
        <f t="shared" ca="1" si="220"/>
        <v>0</v>
      </c>
      <c r="Y1197" s="101">
        <f t="shared" ca="1" si="227"/>
        <v>0</v>
      </c>
      <c r="Z1197" s="133" t="str">
        <f>IF(TYPE((VLOOKUP(Первоначальный[[#This Row],[Дата платежа]],График[Срок конец],1,0)))=16,"",1)</f>
        <v/>
      </c>
      <c r="AA1197" s="57"/>
      <c r="AB1197" s="134"/>
      <c r="AC119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9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85944.790000000154</v>
      </c>
      <c r="AE119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5648.5899999999829</v>
      </c>
      <c r="AF119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9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292814.01908360532</v>
      </c>
      <c r="AH1197" s="55"/>
      <c r="AI1197" s="55"/>
      <c r="AJ1197" s="55"/>
      <c r="AK1197" s="101">
        <f t="shared" ca="1" si="228"/>
        <v>534040.73908360547</v>
      </c>
      <c r="AL1197" s="129">
        <f t="array" ref="AL1197">MAX((УслРестрактов[Характеристика]="Дата реструктуризации")*(УслРестрактов[Значение]=Первоначальный!$A1197),0)</f>
        <v>0</v>
      </c>
    </row>
    <row r="1198" spans="1:38" x14ac:dyDescent="0.25">
      <c r="A1198" s="97">
        <f t="shared" si="221"/>
        <v>45329</v>
      </c>
      <c r="B1198" s="100">
        <f t="shared" ca="1" si="222"/>
        <v>149633.34</v>
      </c>
      <c r="C1198" s="55">
        <f t="shared" ca="1" si="218"/>
        <v>85944.790000000154</v>
      </c>
      <c r="D1198" s="55">
        <f t="shared" ca="1" si="218"/>
        <v>5648.5899999999829</v>
      </c>
      <c r="E1198" s="55">
        <f t="shared" ca="1" si="223"/>
        <v>0</v>
      </c>
      <c r="F1198" s="55">
        <f t="shared" ca="1" si="224"/>
        <v>292814.01908360532</v>
      </c>
      <c r="G1198" s="101">
        <f t="shared" ca="1" si="225"/>
        <v>534040.73908360547</v>
      </c>
      <c r="H1198" s="100">
        <f ca="1">ROUND($B1198*VLOOKUP($A1198,$A$1:$B$10,2,1)/(365+IF(MOD(YEAR($A1198),4),0,1)*($A1198-$A1197)),2)-Первоначальный[[#This Row],[Проценты на просроченный платеж по ОД за период]]</f>
        <v>70.319999999999993</v>
      </c>
      <c r="I1198" s="55">
        <f t="shared" ca="1" si="226"/>
        <v>11.04</v>
      </c>
      <c r="J1198" s="55">
        <v>0</v>
      </c>
      <c r="K1198" s="55">
        <f t="shared" ca="1" si="229"/>
        <v>521.3935032786884</v>
      </c>
      <c r="L1198" s="55">
        <v>0</v>
      </c>
      <c r="M1198" s="113">
        <f>SUMIFS(График[Возврат основной суммы долга],График[Дата с учетом нерабочих дней],$A1198)</f>
        <v>0</v>
      </c>
      <c r="N1198" s="56">
        <f>SUMIFS(График[Возврат начисленных %],График[Дата с учетом нерабочих дней],$A1198)</f>
        <v>0</v>
      </c>
      <c r="O1198" s="101">
        <v>0</v>
      </c>
      <c r="P1198" s="100" cm="1">
        <f t="array" aca="1" ref="P1198" ca="1">MAX(IF(AA1197="Да",0,SUM(INDIRECT("M"&amp;(MAX(("Да"=AA$12:AA1197)*ROW(AA$12:AA1197)+1,ROW($P$12))&amp;":M"&amp;(ROW()))))-SUM(INDIRECT("W"&amp;(MAX(("Да"=AA$12:AA1197)*ROW(AA$12:AA1197)+1,ROW($P$12))&amp;":W"&amp;(ROW()))))),0)</f>
        <v>20306.809999999998</v>
      </c>
      <c r="Q1198" s="99">
        <f ca="1">MAX(SUM($N$13:N1198)-SUM($T$13:T1198),0)</f>
        <v>83971.890655737676</v>
      </c>
      <c r="R1198" s="99">
        <f ca="1">Первоначальный[[#This Row],[Просроченный платеж по ОД]]+Первоначальный[[#This Row],[Просроченный платеж по процентам]]</f>
        <v>104278.70065573767</v>
      </c>
      <c r="S1198" s="120">
        <f ca="1">IF(Первоначальный[[#This Row],[Просроченный платеж]]&lt;1,0,S1197+1)</f>
        <v>1094</v>
      </c>
      <c r="T1198" s="100" cm="1">
        <f t="array" aca="1" ref="T1198" ca="1">IF(Первоначальный[[#This Row],[Итого остаток на начало периода]]&lt;1,0,
IF(
AND(TYPE(VLOOKUP(1,$Z$12:Z1198,1,0))=16,Первоначальный[[#This Row],[Досрочное погашение (да/"")]]=""),0,
_xlfn.IFS(AND(S1197=0,Первоначальный[[#This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платеж]]&lt;&gt;0),MIN(LOOKUP(,-1/($Z$12:Z1198=1),$C$12:C1198)+LOOKUP(,-1/($Z$12:Z1198=1),$H$12:H1198),Первоначальный[[#This Row],[Полученный платеж]]+Y1197),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платеж]]+Y1197,SUM(Первоначальный[[#This Row],[Остаток процентов на начало периода]],Первоначальный[[#This Row],[Проценты за период]])),
AND(S1197=0,Первоначальный[[#This Row],[Дата платежа из графика]]=""),0,
AND(S1197=0,Первоначальный[[#This Row],[Дата платежа из графика]]=1,MAX((0&lt;&gt;S$12:S1197)*ROW(S$12:S1197),ROW($S$12))&gt;=MAX((1=Z$12:Z1197)*ROW(Z$12:Z1197),ROW($T$12)),TYPE(VLOOKUP("Да",(INDIRECT("AA"&amp;(MAX((1=Z$12:Z1197)*ROW(Z$12:Z1197),ROW($T$12))&amp;":AA"&amp;(ROW()-1)))),1,0))=16),MIN(LOOKUP(,-1/($Z$12:Z1198=1),$C$12:C1198)+LOOKUP(,-1/($Z$12:Z1198=1),$H$12:H1198),Первоначальный[[#This Row],[Полученный платеж]]+Y1197),
AND(S1197=0,TYPE(VLOOKUP("Да",(INDIRECT("AA"&amp;(MAX((1=Z$12:Z1197)*ROW(Z$12:Z1197),ROW($T$12))&amp;":AA"&amp;(ROW()-1)))),1,0))&lt;&gt;16),MIN(LOOKUP(,-1/($Z$12:Z1198=1),$C$12:C1198)+LOOKUP(,-1/($Z$12:Z1198=1),$H$12:H1198)-IF(AA1197="Да",0,SUM(INDIRECT("T"&amp;(MAX(("Да"=AA$12:AA1197)*ROW(AA$12:AA1197)+1,ROW($T$12))&amp;":T"&amp;(ROW()-1))))),Первоначальный[[#This Row],[Полученный платеж]]+Y1197),
AND(S1197=0,MAX((0&lt;&gt;N$12:N1197)*ROW(N$12:N1197),ROW($S$12))&gt;=MAX((1=Z$12:Z1197)*ROW(Z$12:Z1197),ROW($T$12))),MIN(LOOKUP(,-1/($Z$12:Z1198=1),$C$12:C1198)+LOOKUP(,-1/($Z$12:Z1198=1),$H$12:H1198)-IF(N1197&lt;&gt;0,0,SUM(INDIRECT("T"&amp;(MAX((0&lt;&gt;N$12:N1197)*ROW(N$12:N1197)+1,ROW($T$12))&amp;":T"&amp;(ROW()-1))))),Первоначальный[[#This Row],[Полученный платеж]]+Y1197),
AND(S1197=0,Первоначальный[[#This Row],[Дата платежа из графика]]=1),MIN(LOOKUP(,-1/($Z$12:Z1198=1),$C$12:C1198)+LOOKUP(,-1/($Z$12:Z1198=1),$H$12:H1198)-IF(Z1197=1,0,SUM(INDIRECT("T"&amp;(MAX((1=Z$12:Z1197)*ROW(Z$12:Z1197)+1,ROW($T$12))&amp;":T"&amp;(ROW()-1))))),Первоначальный[[#This Row],[Полученный платеж]]+Y1197),
AND(Z1197&gt;0,Первоначальный[[#This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платеж]]+Y1197),
AND(S1197&gt;0,MAX((0&lt;&gt;S$12:S1197)*ROW(S$12:S1197),ROW($S$12))&gt;=MAX((1=Z$12:Z1197)*ROW(Z$12:Z1197),ROW($T$12)),TYPE(VLOOKUP("Да",(INDIRECT("AA"&amp;(MAX((1=Z$12:Z1197)*ROW(Z$12:Z1197),ROW($T$12))&amp;":AA"&amp;(ROW()-1)))),1,0))=16),MIN(LOOKUP(,-1/($Z$12:Z1198=1),$C$12:C1198)+LOOKUP(,-1/($Z$12:Z1198=1),$H$12:H1198)-SUM(INDIRECT("T"&amp;(MAX((1=Z$12:Z1197)*ROW(Z$12:Z1197),ROW($T$12))&amp;":T"&amp;(ROW()-1)))),Первоначальный[[#This Row],[Полученный платеж]]+Y1197),
S1197&gt;0,MIN(LOOKUP(,-1/($Z$12:Z1198=1),$C$12:C1198)+LOOKUP(,-1/($Z$12:Z1198=1),$H$12:H1198)-IF(Z1197=1,0,SUM(INDIRECT("T"&amp;(MAX((1=Z$12:Z1197)*ROW(Z$12:Z1197)+1,ROW($T$12))&amp;":T"&amp;(ROW()-1))))),Первоначальный[[#This Row],[Полученный платеж]]+Y1197)
)
)
)</f>
        <v>0</v>
      </c>
      <c r="U119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платеж]]+Y1197-Первоначальный[[#This Row],[Полученный платёж по процентам]])</f>
        <v>0</v>
      </c>
      <c r="V1198" s="55">
        <f t="shared" ca="1" si="219"/>
        <v>0</v>
      </c>
      <c r="W1198" s="55" cm="1">
        <f t="array" aca="1" ref="W1198" ca="1">IF(Первоначальный[[#This Row],[Итого остаток на начало периода]]&lt;1,0,
_xlfn.IFS(
AND(TYPE(VLOOKUP(1,$Z$12:Z1198,1,0))=16,Первоначальный[[#This Row],[Досрочное погашение (да/"")]]=""),0,
AND(S1197=0,Первоначальный[[#This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платеж]]+Y1197-SUM(Первоначальный[[#This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комиссиям]]),VLOOKUP(LOOKUP(,-1/($Z$12:Z1198=1),$A$12:A1198),График[[Срок конец]:[Возврат основной суммы долга]],3,0)),
AND(S1197=0,Первоначальный[[#This Row],[Дата платежа из графика]]="",Первоначальный[[#This Row],[Досрочное погашение (да/"")]]&lt;&gt;"Да"),0,
AND(S1197=0,Первоначальный[[#This Row],[Досрочное погашение (да/"")]]=""),MIN(Первоначальный[[#This Row],[Полученный платеж]]+Y1197-SUM(Первоначальный[[#This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комиссиям]]),VLOOKUP(LOOKUP(,-1/($Z$12:Z1198=1),$A$12:A1198),График[[Срок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платеж]]+Y1197-SUM(Первоначальный[[#This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S1197&gt;0,MIN(Первоначальный[[#This Row],[Полученный платеж]]+Y1197-SUM(Первоначальный[[#This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комиссиям]]),SUM(INDIRECT("M"&amp;(MAX((1=S$12:S1197)*ROW(S$12:S1197),ROW($W$12))&amp;":M"&amp;(ROW()))))-SUM(INDIRECT("W"&amp;(MAX((1=S$12:S1197)*ROW(S$12:S1197),ROW($W$12))&amp;":W"&amp;(ROW()-1)))))
)
)</f>
        <v>0</v>
      </c>
      <c r="X1198" s="55">
        <f t="shared" ca="1" si="220"/>
        <v>0</v>
      </c>
      <c r="Y1198" s="101">
        <f t="shared" ca="1" si="227"/>
        <v>0</v>
      </c>
      <c r="Z1198" s="133" t="str">
        <f>IF(TYPE((VLOOKUP(Первоначальный[[#This Row],[Дата платежа]],График[Срок конец],1,0)))=16,"",1)</f>
        <v/>
      </c>
      <c r="AA1198" s="57"/>
      <c r="AB1198" s="134"/>
      <c r="AC119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9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86015.110000000161</v>
      </c>
      <c r="AE119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5659.6299999999828</v>
      </c>
      <c r="AF119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9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293335.41258688399</v>
      </c>
      <c r="AH1198" s="55"/>
      <c r="AI1198" s="55"/>
      <c r="AJ1198" s="55"/>
      <c r="AK1198" s="101">
        <f t="shared" ca="1" si="228"/>
        <v>534643.49258688418</v>
      </c>
      <c r="AL1198" s="129">
        <f t="array" ref="AL1198">MAX((УслРестрактов[Характеристика]="Дата реструктуризации")*(УслРестрактов[Значение]=Первоначальный!$A1198),0)</f>
        <v>0</v>
      </c>
    </row>
    <row r="1199" spans="1:38" x14ac:dyDescent="0.25">
      <c r="A1199" s="97">
        <f t="shared" si="221"/>
        <v>45330</v>
      </c>
      <c r="B1199" s="100">
        <f t="shared" ca="1" si="222"/>
        <v>149633.34</v>
      </c>
      <c r="C1199" s="55">
        <f t="shared" ca="1" si="218"/>
        <v>86015.110000000161</v>
      </c>
      <c r="D1199" s="55">
        <f t="shared" ca="1" si="218"/>
        <v>5659.6299999999828</v>
      </c>
      <c r="E1199" s="55">
        <f t="shared" ca="1" si="223"/>
        <v>0</v>
      </c>
      <c r="F1199" s="55">
        <f t="shared" ca="1" si="224"/>
        <v>293335.41258688399</v>
      </c>
      <c r="G1199" s="101">
        <f t="shared" ca="1" si="225"/>
        <v>534643.49258688418</v>
      </c>
      <c r="H1199" s="100">
        <f ca="1">ROUND($B1199*VLOOKUP($A1199,$A$1:$B$10,2,1)/(365+IF(MOD(YEAR($A1199),4),0,1)*($A1199-$A1198)),2)-Первоначальный[[#This Row],[Проценты на просроченный платеж по ОД за период]]</f>
        <v>70.319999999999993</v>
      </c>
      <c r="I1199" s="55">
        <f t="shared" ca="1" si="226"/>
        <v>11.04</v>
      </c>
      <c r="J1199" s="55">
        <v>0</v>
      </c>
      <c r="K1199" s="55">
        <f t="shared" ca="1" si="229"/>
        <v>521.3935032786884</v>
      </c>
      <c r="L1199" s="55">
        <v>0</v>
      </c>
      <c r="M1199" s="113">
        <f>SUMIFS(График[Возврат основной суммы долга],График[Дата с учетом нерабочих дней],$A1199)</f>
        <v>0</v>
      </c>
      <c r="N1199" s="56">
        <f>SUMIFS(График[Возврат начисленных %],График[Дата с учетом нерабочих дней],$A1199)</f>
        <v>0</v>
      </c>
      <c r="O1199" s="101">
        <v>0</v>
      </c>
      <c r="P1199" s="100" cm="1">
        <f t="array" aca="1" ref="P1199" ca="1">MAX(IF(AA1198="Да",0,SUM(INDIRECT("M"&amp;(MAX(("Да"=AA$12:AA1198)*ROW(AA$12:AA1198)+1,ROW($P$12))&amp;":M"&amp;(ROW()))))-SUM(INDIRECT("W"&amp;(MAX(("Да"=AA$12:AA1198)*ROW(AA$12:AA1198)+1,ROW($P$12))&amp;":W"&amp;(ROW()))))),0)</f>
        <v>20306.809999999998</v>
      </c>
      <c r="Q1199" s="99">
        <f ca="1">MAX(SUM($N$13:N1199)-SUM($T$13:T1199),0)</f>
        <v>83971.890655737676</v>
      </c>
      <c r="R1199" s="99">
        <f ca="1">Первоначальный[[#This Row],[Просроченный платеж по ОД]]+Первоначальный[[#This Row],[Просроченный платеж по процентам]]</f>
        <v>104278.70065573767</v>
      </c>
      <c r="S1199" s="120">
        <f ca="1">IF(Первоначальный[[#This Row],[Просроченный платеж]]&lt;1,0,S1198+1)</f>
        <v>1095</v>
      </c>
      <c r="T1199" s="100" cm="1">
        <f t="array" aca="1" ref="T1199" ca="1">IF(Первоначальный[[#This Row],[Итого остаток на начало периода]]&lt;1,0,
IF(
AND(TYPE(VLOOKUP(1,$Z$12:Z1199,1,0))=16,Первоначальный[[#This Row],[Досрочное погашение (да/"")]]=""),0,
_xlfn.IFS(AND(S1198=0,Первоначальный[[#This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платеж]]&lt;&gt;0),MIN(LOOKUP(,-1/($Z$12:Z1199=1),$C$12:C1199)+LOOKUP(,-1/($Z$12:Z1199=1),$H$12:H1199),Первоначальный[[#This Row],[Полученный платеж]]+Y1198),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платеж]]+Y1198,SUM(Первоначальный[[#This Row],[Остаток процентов на начало периода]],Первоначальный[[#This Row],[Проценты за период]])),
AND(S1198=0,Первоначальный[[#This Row],[Дата платежа из графика]]=""),0,
AND(S1198=0,Первоначальный[[#This Row],[Дата платежа из графика]]=1,MAX((0&lt;&gt;S$12:S1198)*ROW(S$12:S1198),ROW($S$12))&gt;=MAX((1=Z$12:Z1198)*ROW(Z$12:Z1198),ROW($T$12)),TYPE(VLOOKUP("Да",(INDIRECT("AA"&amp;(MAX((1=Z$12:Z1198)*ROW(Z$12:Z1198),ROW($T$12))&amp;":AA"&amp;(ROW()-1)))),1,0))=16),MIN(LOOKUP(,-1/($Z$12:Z1199=1),$C$12:C1199)+LOOKUP(,-1/($Z$12:Z1199=1),$H$12:H1199),Первоначальный[[#This Row],[Полученный платеж]]+Y1198),
AND(S1198=0,TYPE(VLOOKUP("Да",(INDIRECT("AA"&amp;(MAX((1=Z$12:Z1198)*ROW(Z$12:Z1198),ROW($T$12))&amp;":AA"&amp;(ROW()-1)))),1,0))&lt;&gt;16),MIN(LOOKUP(,-1/($Z$12:Z1199=1),$C$12:C1199)+LOOKUP(,-1/($Z$12:Z1199=1),$H$12:H1199)-IF(AA1198="Да",0,SUM(INDIRECT("T"&amp;(MAX(("Да"=AA$12:AA1198)*ROW(AA$12:AA1198)+1,ROW($T$12))&amp;":T"&amp;(ROW()-1))))),Первоначальный[[#This Row],[Полученный платеж]]+Y1198),
AND(S1198=0,MAX((0&lt;&gt;N$12:N1198)*ROW(N$12:N1198),ROW($S$12))&gt;=MAX((1=Z$12:Z1198)*ROW(Z$12:Z1198),ROW($T$12))),MIN(LOOKUP(,-1/($Z$12:Z1199=1),$C$12:C1199)+LOOKUP(,-1/($Z$12:Z1199=1),$H$12:H1199)-IF(N1198&lt;&gt;0,0,SUM(INDIRECT("T"&amp;(MAX((0&lt;&gt;N$12:N1198)*ROW(N$12:N1198)+1,ROW($T$12))&amp;":T"&amp;(ROW()-1))))),Первоначальный[[#This Row],[Полученный платеж]]+Y1198),
AND(S1198=0,Первоначальный[[#This Row],[Дата платежа из графика]]=1),MIN(LOOKUP(,-1/($Z$12:Z1199=1),$C$12:C1199)+LOOKUP(,-1/($Z$12:Z1199=1),$H$12:H1199)-IF(Z1198=1,0,SUM(INDIRECT("T"&amp;(MAX((1=Z$12:Z1198)*ROW(Z$12:Z1198)+1,ROW($T$12))&amp;":T"&amp;(ROW()-1))))),Первоначальный[[#This Row],[Полученный платеж]]+Y1198),
AND(Z1198&gt;0,Первоначальный[[#This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платеж]]+Y1198),
AND(S1198&gt;0,MAX((0&lt;&gt;S$12:S1198)*ROW(S$12:S1198),ROW($S$12))&gt;=MAX((1=Z$12:Z1198)*ROW(Z$12:Z1198),ROW($T$12)),TYPE(VLOOKUP("Да",(INDIRECT("AA"&amp;(MAX((1=Z$12:Z1198)*ROW(Z$12:Z1198),ROW($T$12))&amp;":AA"&amp;(ROW()-1)))),1,0))=16),MIN(LOOKUP(,-1/($Z$12:Z1199=1),$C$12:C1199)+LOOKUP(,-1/($Z$12:Z1199=1),$H$12:H1199)-SUM(INDIRECT("T"&amp;(MAX((1=Z$12:Z1198)*ROW(Z$12:Z1198),ROW($T$12))&amp;":T"&amp;(ROW()-1)))),Первоначальный[[#This Row],[Полученный платеж]]+Y1198),
S1198&gt;0,MIN(LOOKUP(,-1/($Z$12:Z1199=1),$C$12:C1199)+LOOKUP(,-1/($Z$12:Z1199=1),$H$12:H1199)-IF(Z1198=1,0,SUM(INDIRECT("T"&amp;(MAX((1=Z$12:Z1198)*ROW(Z$12:Z1198)+1,ROW($T$12))&amp;":T"&amp;(ROW()-1))))),Первоначальный[[#This Row],[Полученный платеж]]+Y1198)
)
)
)</f>
        <v>0</v>
      </c>
      <c r="U119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платеж]]+Y1198-Первоначальный[[#This Row],[Полученный платёж по процентам]])</f>
        <v>0</v>
      </c>
      <c r="V1199" s="55">
        <f t="shared" ca="1" si="219"/>
        <v>0</v>
      </c>
      <c r="W1199" s="55" cm="1">
        <f t="array" aca="1" ref="W1199" ca="1">IF(Первоначальный[[#This Row],[Итого остаток на начало периода]]&lt;1,0,
_xlfn.IFS(
AND(TYPE(VLOOKUP(1,$Z$12:Z1199,1,0))=16,Первоначальный[[#This Row],[Досрочное погашение (да/"")]]=""),0,
AND(S1198=0,Первоначальный[[#This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платеж]]+Y1198-SUM(Первоначальный[[#This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комиссиям]]),VLOOKUP(LOOKUP(,-1/($Z$12:Z1199=1),$A$12:A1199),График[[Срок конец]:[Возврат основной суммы долга]],3,0)),
AND(S1198=0,Первоначальный[[#This Row],[Дата платежа из графика]]="",Первоначальный[[#This Row],[Досрочное погашение (да/"")]]&lt;&gt;"Да"),0,
AND(S1198=0,Первоначальный[[#This Row],[Досрочное погашение (да/"")]]=""),MIN(Первоначальный[[#This Row],[Полученный платеж]]+Y1198-SUM(Первоначальный[[#This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комиссиям]]),VLOOKUP(LOOKUP(,-1/($Z$12:Z1199=1),$A$12:A1199),График[[Срок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платеж]]+Y1198-SUM(Первоначальный[[#This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S1198&gt;0,MIN(Первоначальный[[#This Row],[Полученный платеж]]+Y1198-SUM(Первоначальный[[#This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комиссиям]]),SUM(INDIRECT("M"&amp;(MAX((1=S$12:S1198)*ROW(S$12:S1198),ROW($W$12))&amp;":M"&amp;(ROW()))))-SUM(INDIRECT("W"&amp;(MAX((1=S$12:S1198)*ROW(S$12:S1198),ROW($W$12))&amp;":W"&amp;(ROW()-1)))))
)
)</f>
        <v>0</v>
      </c>
      <c r="X1199" s="55">
        <f t="shared" ca="1" si="220"/>
        <v>0</v>
      </c>
      <c r="Y1199" s="101">
        <f t="shared" ca="1" si="227"/>
        <v>0</v>
      </c>
      <c r="Z1199" s="133" t="str">
        <f>IF(TYPE((VLOOKUP(Первоначальный[[#This Row],[Дата платежа]],График[Срок конец],1,0)))=16,"",1)</f>
        <v/>
      </c>
      <c r="AA1199" s="57"/>
      <c r="AB1199" s="134"/>
      <c r="AC119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19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86085.430000000168</v>
      </c>
      <c r="AE119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5670.6699999999828</v>
      </c>
      <c r="AF119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19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293856.80609016266</v>
      </c>
      <c r="AH1199" s="55"/>
      <c r="AI1199" s="55"/>
      <c r="AJ1199" s="55"/>
      <c r="AK1199" s="101">
        <f t="shared" ca="1" si="228"/>
        <v>535246.24609016278</v>
      </c>
      <c r="AL1199" s="129">
        <f t="array" ref="AL1199">MAX((УслРестрактов[Характеристика]="Дата реструктуризации")*(УслРестрактов[Значение]=Первоначальный!$A1199),0)</f>
        <v>0</v>
      </c>
    </row>
    <row r="1200" spans="1:38" x14ac:dyDescent="0.25">
      <c r="A1200" s="97">
        <f t="shared" si="221"/>
        <v>45331</v>
      </c>
      <c r="B1200" s="100">
        <f t="shared" ca="1" si="222"/>
        <v>149633.34</v>
      </c>
      <c r="C1200" s="55">
        <f t="shared" ca="1" si="218"/>
        <v>86085.430000000168</v>
      </c>
      <c r="D1200" s="55">
        <f t="shared" ca="1" si="218"/>
        <v>5670.6699999999828</v>
      </c>
      <c r="E1200" s="55">
        <f t="shared" ca="1" si="223"/>
        <v>0</v>
      </c>
      <c r="F1200" s="55">
        <f t="shared" ca="1" si="224"/>
        <v>293856.80609016266</v>
      </c>
      <c r="G1200" s="101">
        <f t="shared" ca="1" si="225"/>
        <v>535246.24609016278</v>
      </c>
      <c r="H1200" s="100">
        <f ca="1">ROUND($B1200*VLOOKUP($A1200,$A$1:$B$10,2,1)/(365+IF(MOD(YEAR($A1200),4),0,1)*($A1200-$A1199)),2)-Первоначальный[[#This Row],[Проценты на просроченный платеж по ОД за период]]</f>
        <v>70.319999999999993</v>
      </c>
      <c r="I1200" s="55">
        <f t="shared" ca="1" si="226"/>
        <v>11.04</v>
      </c>
      <c r="J1200" s="55">
        <v>0</v>
      </c>
      <c r="K1200" s="55">
        <f t="shared" ca="1" si="229"/>
        <v>535.87850327868841</v>
      </c>
      <c r="L1200" s="55">
        <v>0</v>
      </c>
      <c r="M1200" s="113">
        <f>SUMIFS(График[Возврат основной суммы долга],График[Дата с учетом нерабочих дней],$A1200)</f>
        <v>717.17999999999984</v>
      </c>
      <c r="N1200" s="56">
        <f>SUMIFS(График[Возврат начисленных %],График[Дата с учетом нерабочих дней],$A1200)</f>
        <v>2179.8200000000002</v>
      </c>
      <c r="O1200" s="101">
        <v>0</v>
      </c>
      <c r="P1200" s="100" cm="1">
        <f t="array" aca="1" ref="P1200" ca="1">MAX(IF(AA1199="Да",0,SUM(INDIRECT("M"&amp;(MAX(("Да"=AA$12:AA1199)*ROW(AA$12:AA1199)+1,ROW($P$12))&amp;":M"&amp;(ROW()))))-SUM(INDIRECT("W"&amp;(MAX(("Да"=AA$12:AA1199)*ROW(AA$12:AA1199)+1,ROW($P$12))&amp;":W"&amp;(ROW()))))),0)</f>
        <v>21023.989999999998</v>
      </c>
      <c r="Q1200" s="99">
        <f ca="1">MAX(SUM($N$13:N1200)-SUM($T$13:T1200),0)</f>
        <v>86151.710655737683</v>
      </c>
      <c r="R1200" s="99">
        <f ca="1">Первоначальный[[#This Row],[Просроченный платеж по ОД]]+Первоначальный[[#This Row],[Просроченный платеж по процентам]]</f>
        <v>107175.70065573769</v>
      </c>
      <c r="S1200" s="120">
        <f ca="1">IF(Первоначальный[[#This Row],[Просроченный платеж]]&lt;1,0,S1199+1)</f>
        <v>1096</v>
      </c>
      <c r="T1200" s="100" cm="1">
        <f t="array" aca="1" ref="T1200" ca="1">IF(Первоначальный[[#This Row],[Итого остаток на начало периода]]&lt;1,0,
IF(
AND(TYPE(VLOOKUP(1,$Z$12:Z1200,1,0))=16,Первоначальный[[#This Row],[Досрочное погашение (да/"")]]=""),0,
_xlfn.IFS(AND(S1199=0,Первоначальный[[#This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платеж]]&lt;&gt;0),MIN(LOOKUP(,-1/($Z$12:Z1200=1),$C$12:C1200)+LOOKUP(,-1/($Z$12:Z1200=1),$H$12:H1200),Первоначальный[[#This Row],[Полученный платеж]]+Y1199),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платеж]]+Y1199,SUM(Первоначальный[[#This Row],[Остаток процентов на начало периода]],Первоначальный[[#This Row],[Проценты за период]])),
AND(S1199=0,Первоначальный[[#This Row],[Дата платежа из графика]]=""),0,
AND(S1199=0,Первоначальный[[#This Row],[Дата платежа из графика]]=1,MAX((0&lt;&gt;S$12:S1199)*ROW(S$12:S1199),ROW($S$12))&gt;=MAX((1=Z$12:Z1199)*ROW(Z$12:Z1199),ROW($T$12)),TYPE(VLOOKUP("Да",(INDIRECT("AA"&amp;(MAX((1=Z$12:Z1199)*ROW(Z$12:Z1199),ROW($T$12))&amp;":AA"&amp;(ROW()-1)))),1,0))=16),MIN(LOOKUP(,-1/($Z$12:Z1200=1),$C$12:C1200)+LOOKUP(,-1/($Z$12:Z1200=1),$H$12:H1200),Первоначальный[[#This Row],[Полученный платеж]]+Y1199),
AND(S1199=0,TYPE(VLOOKUP("Да",(INDIRECT("AA"&amp;(MAX((1=Z$12:Z1199)*ROW(Z$12:Z1199),ROW($T$12))&amp;":AA"&amp;(ROW()-1)))),1,0))&lt;&gt;16),MIN(LOOKUP(,-1/($Z$12:Z1200=1),$C$12:C1200)+LOOKUP(,-1/($Z$12:Z1200=1),$H$12:H1200)-IF(AA1199="Да",0,SUM(INDIRECT("T"&amp;(MAX(("Да"=AA$12:AA1199)*ROW(AA$12:AA1199)+1,ROW($T$12))&amp;":T"&amp;(ROW()-1))))),Первоначальный[[#This Row],[Полученный платеж]]+Y1199),
AND(S1199=0,MAX((0&lt;&gt;N$12:N1199)*ROW(N$12:N1199),ROW($S$12))&gt;=MAX((1=Z$12:Z1199)*ROW(Z$12:Z1199),ROW($T$12))),MIN(LOOKUP(,-1/($Z$12:Z1200=1),$C$12:C1200)+LOOKUP(,-1/($Z$12:Z1200=1),$H$12:H1200)-IF(N1199&lt;&gt;0,0,SUM(INDIRECT("T"&amp;(MAX((0&lt;&gt;N$12:N1199)*ROW(N$12:N1199)+1,ROW($T$12))&amp;":T"&amp;(ROW()-1))))),Первоначальный[[#This Row],[Полученный платеж]]+Y1199),
AND(S1199=0,Первоначальный[[#This Row],[Дата платежа из графика]]=1),MIN(LOOKUP(,-1/($Z$12:Z1200=1),$C$12:C1200)+LOOKUP(,-1/($Z$12:Z1200=1),$H$12:H1200)-IF(Z1199=1,0,SUM(INDIRECT("T"&amp;(MAX((1=Z$12:Z1199)*ROW(Z$12:Z1199)+1,ROW($T$12))&amp;":T"&amp;(ROW()-1))))),Первоначальный[[#This Row],[Полученный платеж]]+Y1199),
AND(Z1199&gt;0,Первоначальный[[#This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платеж]]+Y1199),
AND(S1199&gt;0,MAX((0&lt;&gt;S$12:S1199)*ROW(S$12:S1199),ROW($S$12))&gt;=MAX((1=Z$12:Z1199)*ROW(Z$12:Z1199),ROW($T$12)),TYPE(VLOOKUP("Да",(INDIRECT("AA"&amp;(MAX((1=Z$12:Z1199)*ROW(Z$12:Z1199),ROW($T$12))&amp;":AA"&amp;(ROW()-1)))),1,0))=16),MIN(LOOKUP(,-1/($Z$12:Z1200=1),$C$12:C1200)+LOOKUP(,-1/($Z$12:Z1200=1),$H$12:H1200)-SUM(INDIRECT("T"&amp;(MAX((1=Z$12:Z1199)*ROW(Z$12:Z1199),ROW($T$12))&amp;":T"&amp;(ROW()-1)))),Первоначальный[[#This Row],[Полученный платеж]]+Y1199),
S1199&gt;0,MIN(LOOKUP(,-1/($Z$12:Z1200=1),$C$12:C1200)+LOOKUP(,-1/($Z$12:Z1200=1),$H$12:H1200)-IF(Z1199=1,0,SUM(INDIRECT("T"&amp;(MAX((1=Z$12:Z1199)*ROW(Z$12:Z1199)+1,ROW($T$12))&amp;":T"&amp;(ROW()-1))))),Первоначальный[[#This Row],[Полученный платеж]]+Y1199)
)
)
)</f>
        <v>0</v>
      </c>
      <c r="U120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платеж]]+Y1199-Первоначальный[[#This Row],[Полученный платёж по процентам]])</f>
        <v>0</v>
      </c>
      <c r="V1200" s="55">
        <f t="shared" ca="1" si="219"/>
        <v>0</v>
      </c>
      <c r="W1200" s="55" cm="1">
        <f t="array" aca="1" ref="W1200" ca="1">IF(Первоначальный[[#This Row],[Итого остаток на начало периода]]&lt;1,0,
_xlfn.IFS(
AND(TYPE(VLOOKUP(1,$Z$12:Z1200,1,0))=16,Первоначальный[[#This Row],[Досрочное погашение (да/"")]]=""),0,
AND(S1199=0,Первоначальный[[#This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платеж]]+Y1199-SUM(Первоначальный[[#This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комиссиям]]),VLOOKUP(LOOKUP(,-1/($Z$12:Z1200=1),$A$12:A1200),График[[Срок конец]:[Возврат основной суммы долга]],3,0)),
AND(S1199=0,Первоначальный[[#This Row],[Дата платежа из графика]]="",Первоначальный[[#This Row],[Досрочное погашение (да/"")]]&lt;&gt;"Да"),0,
AND(S1199=0,Первоначальный[[#This Row],[Досрочное погашение (да/"")]]=""),MIN(Первоначальный[[#This Row],[Полученный платеж]]+Y1199-SUM(Первоначальный[[#This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комиссиям]]),VLOOKUP(LOOKUP(,-1/($Z$12:Z1200=1),$A$12:A1200),График[[Срок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платеж]]+Y1199-SUM(Первоначальный[[#This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S1199&gt;0,MIN(Первоначальный[[#This Row],[Полученный платеж]]+Y1199-SUM(Первоначальный[[#This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комиссиям]]),SUM(INDIRECT("M"&amp;(MAX((1=S$12:S1199)*ROW(S$12:S1199),ROW($W$12))&amp;":M"&amp;(ROW()))))-SUM(INDIRECT("W"&amp;(MAX((1=S$12:S1199)*ROW(S$12:S1199),ROW($W$12))&amp;":W"&amp;(ROW()-1)))))
)
)</f>
        <v>0</v>
      </c>
      <c r="X1200" s="55">
        <f t="shared" ca="1" si="220"/>
        <v>0</v>
      </c>
      <c r="Y1200" s="101">
        <f t="shared" ca="1" si="227"/>
        <v>0</v>
      </c>
      <c r="Z1200" s="133">
        <f>IF(TYPE((VLOOKUP(Первоначальный[[#This Row],[Дата платежа]],График[Срок конец],1,0)))=16,"",1)</f>
        <v>1</v>
      </c>
      <c r="AA1200" s="57"/>
      <c r="AB1200" s="134"/>
      <c r="AC120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0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86155.750000000175</v>
      </c>
      <c r="AE120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5681.7099999999828</v>
      </c>
      <c r="AF120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0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294392.68459344137</v>
      </c>
      <c r="AH1200" s="55"/>
      <c r="AI1200" s="55"/>
      <c r="AJ1200" s="55"/>
      <c r="AK1200" s="101">
        <f t="shared" ca="1" si="228"/>
        <v>535863.48459344148</v>
      </c>
      <c r="AL1200" s="129">
        <f t="array" ref="AL1200">MAX((УслРестрактов[Характеристика]="Дата реструктуризации")*(УслРестрактов[Значение]=Первоначальный!$A1200),0)</f>
        <v>0</v>
      </c>
    </row>
    <row r="1201" spans="1:38" x14ac:dyDescent="0.25">
      <c r="A1201" s="97">
        <f t="shared" si="221"/>
        <v>45332</v>
      </c>
      <c r="B1201" s="100">
        <f t="shared" ca="1" si="222"/>
        <v>149633.34</v>
      </c>
      <c r="C1201" s="55">
        <f t="shared" ca="1" si="218"/>
        <v>86155.750000000175</v>
      </c>
      <c r="D1201" s="55">
        <f t="shared" ca="1" si="218"/>
        <v>5681.7099999999828</v>
      </c>
      <c r="E1201" s="55">
        <f t="shared" ca="1" si="223"/>
        <v>0</v>
      </c>
      <c r="F1201" s="55">
        <f t="shared" ca="1" si="224"/>
        <v>294392.68459344137</v>
      </c>
      <c r="G1201" s="101">
        <f t="shared" ca="1" si="225"/>
        <v>535863.48459344148</v>
      </c>
      <c r="H1201" s="100">
        <f ca="1">ROUND($B1201*VLOOKUP($A1201,$A$1:$B$10,2,1)/(365+IF(MOD(YEAR($A1201),4),0,1)*($A1201-$A1200)),2)-Первоначальный[[#This Row],[Проценты на просроченный платеж по ОД за период]]</f>
        <v>69.930000000000007</v>
      </c>
      <c r="I1201" s="55">
        <f t="shared" ca="1" si="226"/>
        <v>11.43</v>
      </c>
      <c r="J1201" s="55">
        <v>0</v>
      </c>
      <c r="K1201" s="55">
        <f t="shared" ca="1" si="229"/>
        <v>535.87850327868841</v>
      </c>
      <c r="L1201" s="55">
        <v>0</v>
      </c>
      <c r="M1201" s="113">
        <f>SUMIFS(График[Возврат основной суммы долга],График[Дата с учетом нерабочих дней],$A1201)</f>
        <v>0</v>
      </c>
      <c r="N1201" s="56">
        <f>SUMIFS(График[Возврат начисленных %],График[Дата с учетом нерабочих дней],$A1201)</f>
        <v>0</v>
      </c>
      <c r="O1201" s="101">
        <v>0</v>
      </c>
      <c r="P1201" s="100" cm="1">
        <f t="array" aca="1" ref="P1201" ca="1">MAX(IF(AA1200="Да",0,SUM(INDIRECT("M"&amp;(MAX(("Да"=AA$12:AA1200)*ROW(AA$12:AA1200)+1,ROW($P$12))&amp;":M"&amp;(ROW()))))-SUM(INDIRECT("W"&amp;(MAX(("Да"=AA$12:AA1200)*ROW(AA$12:AA1200)+1,ROW($P$12))&amp;":W"&amp;(ROW()))))),0)</f>
        <v>21023.989999999998</v>
      </c>
      <c r="Q1201" s="99">
        <f ca="1">MAX(SUM($N$13:N1201)-SUM($T$13:T1201),0)</f>
        <v>86151.710655737683</v>
      </c>
      <c r="R1201" s="99">
        <f ca="1">Первоначальный[[#This Row],[Просроченный платеж по ОД]]+Первоначальный[[#This Row],[Просроченный платеж по процентам]]</f>
        <v>107175.70065573769</v>
      </c>
      <c r="S1201" s="120">
        <f ca="1">IF(Первоначальный[[#This Row],[Просроченный платеж]]&lt;1,0,S1200+1)</f>
        <v>1097</v>
      </c>
      <c r="T1201" s="100" cm="1">
        <f t="array" aca="1" ref="T1201" ca="1">IF(Первоначальный[[#This Row],[Итого остаток на начало периода]]&lt;1,0,
IF(
AND(TYPE(VLOOKUP(1,$Z$12:Z1201,1,0))=16,Первоначальный[[#This Row],[Досрочное погашение (да/"")]]=""),0,
_xlfn.IFS(AND(S1200=0,Первоначальный[[#This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платеж]]&lt;&gt;0),MIN(LOOKUP(,-1/($Z$12:Z1201=1),$C$12:C1201)+LOOKUP(,-1/($Z$12:Z1201=1),$H$12:H1201),Первоначальный[[#This Row],[Полученный платеж]]+Y1200),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платеж]]+Y1200,SUM(Первоначальный[[#This Row],[Остаток процентов на начало периода]],Первоначальный[[#This Row],[Проценты за период]])),
AND(S1200=0,Первоначальный[[#This Row],[Дата платежа из графика]]=""),0,
AND(S1200=0,Первоначальный[[#This Row],[Дата платежа из графика]]=1,MAX((0&lt;&gt;S$12:S1200)*ROW(S$12:S1200),ROW($S$12))&gt;=MAX((1=Z$12:Z1200)*ROW(Z$12:Z1200),ROW($T$12)),TYPE(VLOOKUP("Да",(INDIRECT("AA"&amp;(MAX((1=Z$12:Z1200)*ROW(Z$12:Z1200),ROW($T$12))&amp;":AA"&amp;(ROW()-1)))),1,0))=16),MIN(LOOKUP(,-1/($Z$12:Z1201=1),$C$12:C1201)+LOOKUP(,-1/($Z$12:Z1201=1),$H$12:H1201),Первоначальный[[#This Row],[Полученный платеж]]+Y1200),
AND(S1200=0,TYPE(VLOOKUP("Да",(INDIRECT("AA"&amp;(MAX((1=Z$12:Z1200)*ROW(Z$12:Z1200),ROW($T$12))&amp;":AA"&amp;(ROW()-1)))),1,0))&lt;&gt;16),MIN(LOOKUP(,-1/($Z$12:Z1201=1),$C$12:C1201)+LOOKUP(,-1/($Z$12:Z1201=1),$H$12:H1201)-IF(AA1200="Да",0,SUM(INDIRECT("T"&amp;(MAX(("Да"=AA$12:AA1200)*ROW(AA$12:AA1200)+1,ROW($T$12))&amp;":T"&amp;(ROW()-1))))),Первоначальный[[#This Row],[Полученный платеж]]+Y1200),
AND(S1200=0,MAX((0&lt;&gt;N$12:N1200)*ROW(N$12:N1200),ROW($S$12))&gt;=MAX((1=Z$12:Z1200)*ROW(Z$12:Z1200),ROW($T$12))),MIN(LOOKUP(,-1/($Z$12:Z1201=1),$C$12:C1201)+LOOKUP(,-1/($Z$12:Z1201=1),$H$12:H1201)-IF(N1200&lt;&gt;0,0,SUM(INDIRECT("T"&amp;(MAX((0&lt;&gt;N$12:N1200)*ROW(N$12:N1200)+1,ROW($T$12))&amp;":T"&amp;(ROW()-1))))),Первоначальный[[#This Row],[Полученный платеж]]+Y1200),
AND(S1200=0,Первоначальный[[#This Row],[Дата платежа из графика]]=1),MIN(LOOKUP(,-1/($Z$12:Z1201=1),$C$12:C1201)+LOOKUP(,-1/($Z$12:Z1201=1),$H$12:H1201)-IF(Z1200=1,0,SUM(INDIRECT("T"&amp;(MAX((1=Z$12:Z1200)*ROW(Z$12:Z1200)+1,ROW($T$12))&amp;":T"&amp;(ROW()-1))))),Первоначальный[[#This Row],[Полученный платеж]]+Y1200),
AND(Z1200&gt;0,Первоначальный[[#This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платеж]]+Y1200),
AND(S1200&gt;0,MAX((0&lt;&gt;S$12:S1200)*ROW(S$12:S1200),ROW($S$12))&gt;=MAX((1=Z$12:Z1200)*ROW(Z$12:Z1200),ROW($T$12)),TYPE(VLOOKUP("Да",(INDIRECT("AA"&amp;(MAX((1=Z$12:Z1200)*ROW(Z$12:Z1200),ROW($T$12))&amp;":AA"&amp;(ROW()-1)))),1,0))=16),MIN(LOOKUP(,-1/($Z$12:Z1201=1),$C$12:C1201)+LOOKUP(,-1/($Z$12:Z1201=1),$H$12:H1201)-SUM(INDIRECT("T"&amp;(MAX((1=Z$12:Z1200)*ROW(Z$12:Z1200),ROW($T$12))&amp;":T"&amp;(ROW()-1)))),Первоначальный[[#This Row],[Полученный платеж]]+Y1200),
S1200&gt;0,MIN(LOOKUP(,-1/($Z$12:Z1201=1),$C$12:C1201)+LOOKUP(,-1/($Z$12:Z1201=1),$H$12:H1201)-IF(Z1200=1,0,SUM(INDIRECT("T"&amp;(MAX((1=Z$12:Z1200)*ROW(Z$12:Z1200)+1,ROW($T$12))&amp;":T"&amp;(ROW()-1))))),Первоначальный[[#This Row],[Полученный платеж]]+Y1200)
)
)
)</f>
        <v>0</v>
      </c>
      <c r="U120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платеж]]+Y1200-Первоначальный[[#This Row],[Полученный платёж по процентам]])</f>
        <v>0</v>
      </c>
      <c r="V1201" s="55">
        <f t="shared" ca="1" si="219"/>
        <v>0</v>
      </c>
      <c r="W1201" s="55" cm="1">
        <f t="array" aca="1" ref="W1201" ca="1">IF(Первоначальный[[#This Row],[Итого остаток на начало периода]]&lt;1,0,
_xlfn.IFS(
AND(TYPE(VLOOKUP(1,$Z$12:Z1201,1,0))=16,Первоначальный[[#This Row],[Досрочное погашение (да/"")]]=""),0,
AND(S1200=0,Первоначальный[[#This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платеж]]+Y1200-SUM(Первоначальный[[#This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комиссиям]]),VLOOKUP(LOOKUP(,-1/($Z$12:Z1201=1),$A$12:A1201),График[[Срок конец]:[Возврат основной суммы долга]],3,0)),
AND(S1200=0,Первоначальный[[#This Row],[Дата платежа из графика]]="",Первоначальный[[#This Row],[Досрочное погашение (да/"")]]&lt;&gt;"Да"),0,
AND(S1200=0,Первоначальный[[#This Row],[Досрочное погашение (да/"")]]=""),MIN(Первоначальный[[#This Row],[Полученный платеж]]+Y1200-SUM(Первоначальный[[#This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комиссиям]]),VLOOKUP(LOOKUP(,-1/($Z$12:Z1201=1),$A$12:A1201),График[[Срок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платеж]]+Y1200-SUM(Первоначальный[[#This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S1200&gt;0,MIN(Первоначальный[[#This Row],[Полученный платеж]]+Y1200-SUM(Первоначальный[[#This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комиссиям]]),SUM(INDIRECT("M"&amp;(MAX((1=S$12:S1200)*ROW(S$12:S1200),ROW($W$12))&amp;":M"&amp;(ROW()))))-SUM(INDIRECT("W"&amp;(MAX((1=S$12:S1200)*ROW(S$12:S1200),ROW($W$12))&amp;":W"&amp;(ROW()-1)))))
)
)</f>
        <v>0</v>
      </c>
      <c r="X1201" s="55">
        <f t="shared" ca="1" si="220"/>
        <v>0</v>
      </c>
      <c r="Y1201" s="101">
        <f t="shared" ca="1" si="227"/>
        <v>0</v>
      </c>
      <c r="Z1201" s="133" t="str">
        <f>IF(TYPE((VLOOKUP(Первоначальный[[#This Row],[Дата платежа]],График[Срок конец],1,0)))=16,"",1)</f>
        <v/>
      </c>
      <c r="AA1201" s="57"/>
      <c r="AB1201" s="134"/>
      <c r="AC120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0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86225.680000000168</v>
      </c>
      <c r="AE120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5693.139999999983</v>
      </c>
      <c r="AF120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0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294928.56309672009</v>
      </c>
      <c r="AH1201" s="55"/>
      <c r="AI1201" s="55"/>
      <c r="AJ1201" s="55"/>
      <c r="AK1201" s="101">
        <f t="shared" ca="1" si="228"/>
        <v>536480.72309672018</v>
      </c>
      <c r="AL1201" s="129">
        <f t="array" ref="AL1201">MAX((УслРестрактов[Характеристика]="Дата реструктуризации")*(УслРестрактов[Значение]=Первоначальный!$A1201),0)</f>
        <v>0</v>
      </c>
    </row>
    <row r="1202" spans="1:38" x14ac:dyDescent="0.25">
      <c r="A1202" s="97">
        <f t="shared" si="221"/>
        <v>45333</v>
      </c>
      <c r="B1202" s="100">
        <f t="shared" ca="1" si="222"/>
        <v>149633.34</v>
      </c>
      <c r="C1202" s="55">
        <f t="shared" ca="1" si="218"/>
        <v>86225.680000000168</v>
      </c>
      <c r="D1202" s="55">
        <f t="shared" ca="1" si="218"/>
        <v>5693.139999999983</v>
      </c>
      <c r="E1202" s="55">
        <f t="shared" ca="1" si="223"/>
        <v>0</v>
      </c>
      <c r="F1202" s="55">
        <f t="shared" ca="1" si="224"/>
        <v>294928.56309672009</v>
      </c>
      <c r="G1202" s="101">
        <f t="shared" ca="1" si="225"/>
        <v>536480.72309672018</v>
      </c>
      <c r="H1202" s="100">
        <f ca="1">ROUND($B1202*VLOOKUP($A1202,$A$1:$B$10,2,1)/(365+IF(MOD(YEAR($A1202),4),0,1)*($A1202-$A1201)),2)-Первоначальный[[#This Row],[Проценты на просроченный платеж по ОД за период]]</f>
        <v>69.930000000000007</v>
      </c>
      <c r="I1202" s="55">
        <f t="shared" ca="1" si="226"/>
        <v>11.43</v>
      </c>
      <c r="J1202" s="55">
        <v>0</v>
      </c>
      <c r="K1202" s="55">
        <f t="shared" ca="1" si="229"/>
        <v>535.87850327868841</v>
      </c>
      <c r="L1202" s="55">
        <v>0</v>
      </c>
      <c r="M1202" s="113">
        <f>SUMIFS(График[Возврат основной суммы долга],График[Дата с учетом нерабочих дней],$A1202)</f>
        <v>0</v>
      </c>
      <c r="N1202" s="56">
        <f>SUMIFS(График[Возврат начисленных %],График[Дата с учетом нерабочих дней],$A1202)</f>
        <v>0</v>
      </c>
      <c r="O1202" s="101">
        <v>0</v>
      </c>
      <c r="P1202" s="100" cm="1">
        <f t="array" aca="1" ref="P1202" ca="1">MAX(IF(AA1201="Да",0,SUM(INDIRECT("M"&amp;(MAX(("Да"=AA$12:AA1201)*ROW(AA$12:AA1201)+1,ROW($P$12))&amp;":M"&amp;(ROW()))))-SUM(INDIRECT("W"&amp;(MAX(("Да"=AA$12:AA1201)*ROW(AA$12:AA1201)+1,ROW($P$12))&amp;":W"&amp;(ROW()))))),0)</f>
        <v>21023.989999999998</v>
      </c>
      <c r="Q1202" s="99">
        <f ca="1">MAX(SUM($N$13:N1202)-SUM($T$13:T1202),0)</f>
        <v>86151.710655737683</v>
      </c>
      <c r="R1202" s="99">
        <f ca="1">Первоначальный[[#This Row],[Просроченный платеж по ОД]]+Первоначальный[[#This Row],[Просроченный платеж по процентам]]</f>
        <v>107175.70065573769</v>
      </c>
      <c r="S1202" s="120">
        <f ca="1">IF(Первоначальный[[#This Row],[Просроченный платеж]]&lt;1,0,S1201+1)</f>
        <v>1098</v>
      </c>
      <c r="T1202" s="100" cm="1">
        <f t="array" aca="1" ref="T1202" ca="1">IF(Первоначальный[[#This Row],[Итого остаток на начало периода]]&lt;1,0,
IF(
AND(TYPE(VLOOKUP(1,$Z$12:Z1202,1,0))=16,Первоначальный[[#This Row],[Досрочное погашение (да/"")]]=""),0,
_xlfn.IFS(AND(S1201=0,Первоначальный[[#This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платеж]]&lt;&gt;0),MIN(LOOKUP(,-1/($Z$12:Z1202=1),$C$12:C1202)+LOOKUP(,-1/($Z$12:Z1202=1),$H$12:H1202),Первоначальный[[#This Row],[Полученный платеж]]+Y1201),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платеж]]+Y1201,SUM(Первоначальный[[#This Row],[Остаток процентов на начало периода]],Первоначальный[[#This Row],[Проценты за период]])),
AND(S1201=0,Первоначальный[[#This Row],[Дата платежа из графика]]=""),0,
AND(S1201=0,Первоначальный[[#This Row],[Дата платежа из графика]]=1,MAX((0&lt;&gt;S$12:S1201)*ROW(S$12:S1201),ROW($S$12))&gt;=MAX((1=Z$12:Z1201)*ROW(Z$12:Z1201),ROW($T$12)),TYPE(VLOOKUP("Да",(INDIRECT("AA"&amp;(MAX((1=Z$12:Z1201)*ROW(Z$12:Z1201),ROW($T$12))&amp;":AA"&amp;(ROW()-1)))),1,0))=16),MIN(LOOKUP(,-1/($Z$12:Z1202=1),$C$12:C1202)+LOOKUP(,-1/($Z$12:Z1202=1),$H$12:H1202),Первоначальный[[#This Row],[Полученный платеж]]+Y1201),
AND(S1201=0,TYPE(VLOOKUP("Да",(INDIRECT("AA"&amp;(MAX((1=Z$12:Z1201)*ROW(Z$12:Z1201),ROW($T$12))&amp;":AA"&amp;(ROW()-1)))),1,0))&lt;&gt;16),MIN(LOOKUP(,-1/($Z$12:Z1202=1),$C$12:C1202)+LOOKUP(,-1/($Z$12:Z1202=1),$H$12:H1202)-IF(AA1201="Да",0,SUM(INDIRECT("T"&amp;(MAX(("Да"=AA$12:AA1201)*ROW(AA$12:AA1201)+1,ROW($T$12))&amp;":T"&amp;(ROW()-1))))),Первоначальный[[#This Row],[Полученный платеж]]+Y1201),
AND(S1201=0,MAX((0&lt;&gt;N$12:N1201)*ROW(N$12:N1201),ROW($S$12))&gt;=MAX((1=Z$12:Z1201)*ROW(Z$12:Z1201),ROW($T$12))),MIN(LOOKUP(,-1/($Z$12:Z1202=1),$C$12:C1202)+LOOKUP(,-1/($Z$12:Z1202=1),$H$12:H1202)-IF(N1201&lt;&gt;0,0,SUM(INDIRECT("T"&amp;(MAX((0&lt;&gt;N$12:N1201)*ROW(N$12:N1201)+1,ROW($T$12))&amp;":T"&amp;(ROW()-1))))),Первоначальный[[#This Row],[Полученный платеж]]+Y1201),
AND(S1201=0,Первоначальный[[#This Row],[Дата платежа из графика]]=1),MIN(LOOKUP(,-1/($Z$12:Z1202=1),$C$12:C1202)+LOOKUP(,-1/($Z$12:Z1202=1),$H$12:H1202)-IF(Z1201=1,0,SUM(INDIRECT("T"&amp;(MAX((1=Z$12:Z1201)*ROW(Z$12:Z1201)+1,ROW($T$12))&amp;":T"&amp;(ROW()-1))))),Первоначальный[[#This Row],[Полученный платеж]]+Y1201),
AND(Z1201&gt;0,Первоначальный[[#This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платеж]]+Y1201),
AND(S1201&gt;0,MAX((0&lt;&gt;S$12:S1201)*ROW(S$12:S1201),ROW($S$12))&gt;=MAX((1=Z$12:Z1201)*ROW(Z$12:Z1201),ROW($T$12)),TYPE(VLOOKUP("Да",(INDIRECT("AA"&amp;(MAX((1=Z$12:Z1201)*ROW(Z$12:Z1201),ROW($T$12))&amp;":AA"&amp;(ROW()-1)))),1,0))=16),MIN(LOOKUP(,-1/($Z$12:Z1202=1),$C$12:C1202)+LOOKUP(,-1/($Z$12:Z1202=1),$H$12:H1202)-SUM(INDIRECT("T"&amp;(MAX((1=Z$12:Z1201)*ROW(Z$12:Z1201),ROW($T$12))&amp;":T"&amp;(ROW()-1)))),Первоначальный[[#This Row],[Полученный платеж]]+Y1201),
S1201&gt;0,MIN(LOOKUP(,-1/($Z$12:Z1202=1),$C$12:C1202)+LOOKUP(,-1/($Z$12:Z1202=1),$H$12:H1202)-IF(Z1201=1,0,SUM(INDIRECT("T"&amp;(MAX((1=Z$12:Z1201)*ROW(Z$12:Z1201)+1,ROW($T$12))&amp;":T"&amp;(ROW()-1))))),Первоначальный[[#This Row],[Полученный платеж]]+Y1201)
)
)
)</f>
        <v>0</v>
      </c>
      <c r="U120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платеж]]+Y1201-Первоначальный[[#This Row],[Полученный платёж по процентам]])</f>
        <v>0</v>
      </c>
      <c r="V1202" s="55">
        <f t="shared" ca="1" si="219"/>
        <v>0</v>
      </c>
      <c r="W1202" s="55" cm="1">
        <f t="array" aca="1" ref="W1202" ca="1">IF(Первоначальный[[#This Row],[Итого остаток на начало периода]]&lt;1,0,
_xlfn.IFS(
AND(TYPE(VLOOKUP(1,$Z$12:Z1202,1,0))=16,Первоначальный[[#This Row],[Досрочное погашение (да/"")]]=""),0,
AND(S1201=0,Первоначальный[[#This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платеж]]+Y1201-SUM(Первоначальный[[#This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комиссиям]]),VLOOKUP(LOOKUP(,-1/($Z$12:Z1202=1),$A$12:A1202),График[[Срок конец]:[Возврат основной суммы долга]],3,0)),
AND(S1201=0,Первоначальный[[#This Row],[Дата платежа из графика]]="",Первоначальный[[#This Row],[Досрочное погашение (да/"")]]&lt;&gt;"Да"),0,
AND(S1201=0,Первоначальный[[#This Row],[Досрочное погашение (да/"")]]=""),MIN(Первоначальный[[#This Row],[Полученный платеж]]+Y1201-SUM(Первоначальный[[#This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комиссиям]]),VLOOKUP(LOOKUP(,-1/($Z$12:Z1202=1),$A$12:A1202),График[[Срок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платеж]]+Y1201-SUM(Первоначальный[[#This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S1201&gt;0,MIN(Первоначальный[[#This Row],[Полученный платеж]]+Y1201-SUM(Первоначальный[[#This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комиссиям]]),SUM(INDIRECT("M"&amp;(MAX((1=S$12:S1201)*ROW(S$12:S1201),ROW($W$12))&amp;":M"&amp;(ROW()))))-SUM(INDIRECT("W"&amp;(MAX((1=S$12:S1201)*ROW(S$12:S1201),ROW($W$12))&amp;":W"&amp;(ROW()-1)))))
)
)</f>
        <v>0</v>
      </c>
      <c r="X1202" s="55">
        <f t="shared" ca="1" si="220"/>
        <v>0</v>
      </c>
      <c r="Y1202" s="101">
        <f t="shared" ca="1" si="227"/>
        <v>0</v>
      </c>
      <c r="Z1202" s="133" t="str">
        <f>IF(TYPE((VLOOKUP(Первоначальный[[#This Row],[Дата платежа]],График[Срок конец],1,0)))=16,"",1)</f>
        <v/>
      </c>
      <c r="AA1202" s="57"/>
      <c r="AB1202" s="134"/>
      <c r="AC120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0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86295.610000000161</v>
      </c>
      <c r="AE120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5704.5699999999833</v>
      </c>
      <c r="AF120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0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295464.4415999988</v>
      </c>
      <c r="AH1202" s="55"/>
      <c r="AI1202" s="55"/>
      <c r="AJ1202" s="55"/>
      <c r="AK1202" s="101">
        <f t="shared" ca="1" si="228"/>
        <v>537097.96159999887</v>
      </c>
      <c r="AL1202" s="129">
        <f t="array" ref="AL1202">MAX((УслРестрактов[Характеристика]="Дата реструктуризации")*(УслРестрактов[Значение]=Первоначальный!$A1202),0)</f>
        <v>0</v>
      </c>
    </row>
    <row r="1203" spans="1:38" x14ac:dyDescent="0.25">
      <c r="A1203" s="97">
        <f t="shared" si="221"/>
        <v>45334</v>
      </c>
      <c r="B1203" s="100">
        <f t="shared" ca="1" si="222"/>
        <v>149633.34</v>
      </c>
      <c r="C1203" s="55">
        <f t="shared" ca="1" si="218"/>
        <v>86295.610000000161</v>
      </c>
      <c r="D1203" s="55">
        <f t="shared" ca="1" si="218"/>
        <v>5704.5699999999833</v>
      </c>
      <c r="E1203" s="55">
        <f t="shared" ca="1" si="223"/>
        <v>0</v>
      </c>
      <c r="F1203" s="55">
        <f t="shared" ca="1" si="224"/>
        <v>295464.4415999988</v>
      </c>
      <c r="G1203" s="101">
        <f t="shared" ca="1" si="225"/>
        <v>537097.96159999887</v>
      </c>
      <c r="H1203" s="100">
        <f ca="1">ROUND($B1203*VLOOKUP($A1203,$A$1:$B$10,2,1)/(365+IF(MOD(YEAR($A1203),4),0,1)*($A1203-$A1202)),2)-Первоначальный[[#This Row],[Проценты на просроченный платеж по ОД за период]]</f>
        <v>69.930000000000007</v>
      </c>
      <c r="I1203" s="55">
        <f t="shared" ca="1" si="226"/>
        <v>11.43</v>
      </c>
      <c r="J1203" s="55">
        <v>0</v>
      </c>
      <c r="K1203" s="55">
        <f t="shared" ca="1" si="229"/>
        <v>535.87850327868841</v>
      </c>
      <c r="L1203" s="55">
        <v>0</v>
      </c>
      <c r="M1203" s="113">
        <f>SUMIFS(График[Возврат основной суммы долга],График[Дата с учетом нерабочих дней],$A1203)</f>
        <v>0</v>
      </c>
      <c r="N1203" s="56">
        <f>SUMIFS(График[Возврат начисленных %],График[Дата с учетом нерабочих дней],$A1203)</f>
        <v>0</v>
      </c>
      <c r="O1203" s="101">
        <v>0</v>
      </c>
      <c r="P1203" s="100" cm="1">
        <f t="array" aca="1" ref="P1203" ca="1">MAX(IF(AA1202="Да",0,SUM(INDIRECT("M"&amp;(MAX(("Да"=AA$12:AA1202)*ROW(AA$12:AA1202)+1,ROW($P$12))&amp;":M"&amp;(ROW()))))-SUM(INDIRECT("W"&amp;(MAX(("Да"=AA$12:AA1202)*ROW(AA$12:AA1202)+1,ROW($P$12))&amp;":W"&amp;(ROW()))))),0)</f>
        <v>21023.989999999998</v>
      </c>
      <c r="Q1203" s="99">
        <f ca="1">MAX(SUM($N$13:N1203)-SUM($T$13:T1203),0)</f>
        <v>86151.710655737683</v>
      </c>
      <c r="R1203" s="99">
        <f ca="1">Первоначальный[[#This Row],[Просроченный платеж по ОД]]+Первоначальный[[#This Row],[Просроченный платеж по процентам]]</f>
        <v>107175.70065573769</v>
      </c>
      <c r="S1203" s="120">
        <f ca="1">IF(Первоначальный[[#This Row],[Просроченный платеж]]&lt;1,0,S1202+1)</f>
        <v>1099</v>
      </c>
      <c r="T1203" s="100" cm="1">
        <f t="array" aca="1" ref="T1203" ca="1">IF(Первоначальный[[#This Row],[Итого остаток на начало периода]]&lt;1,0,
IF(
AND(TYPE(VLOOKUP(1,$Z$12:Z1203,1,0))=16,Первоначальный[[#This Row],[Досрочное погашение (да/"")]]=""),0,
_xlfn.IFS(AND(S1202=0,Первоначальный[[#This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платеж]]&lt;&gt;0),MIN(LOOKUP(,-1/($Z$12:Z1203=1),$C$12:C1203)+LOOKUP(,-1/($Z$12:Z1203=1),$H$12:H1203),Первоначальный[[#This Row],[Полученный платеж]]+Y1202),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платеж]]+Y1202,SUM(Первоначальный[[#This Row],[Остаток процентов на начало периода]],Первоначальный[[#This Row],[Проценты за период]])),
AND(S1202=0,Первоначальный[[#This Row],[Дата платежа из графика]]=""),0,
AND(S1202=0,Первоначальный[[#This Row],[Дата платежа из графика]]=1,MAX((0&lt;&gt;S$12:S1202)*ROW(S$12:S1202),ROW($S$12))&gt;=MAX((1=Z$12:Z1202)*ROW(Z$12:Z1202),ROW($T$12)),TYPE(VLOOKUP("Да",(INDIRECT("AA"&amp;(MAX((1=Z$12:Z1202)*ROW(Z$12:Z1202),ROW($T$12))&amp;":AA"&amp;(ROW()-1)))),1,0))=16),MIN(LOOKUP(,-1/($Z$12:Z1203=1),$C$12:C1203)+LOOKUP(,-1/($Z$12:Z1203=1),$H$12:H1203),Первоначальный[[#This Row],[Полученный платеж]]+Y1202),
AND(S1202=0,TYPE(VLOOKUP("Да",(INDIRECT("AA"&amp;(MAX((1=Z$12:Z1202)*ROW(Z$12:Z1202),ROW($T$12))&amp;":AA"&amp;(ROW()-1)))),1,0))&lt;&gt;16),MIN(LOOKUP(,-1/($Z$12:Z1203=1),$C$12:C1203)+LOOKUP(,-1/($Z$12:Z1203=1),$H$12:H1203)-IF(AA1202="Да",0,SUM(INDIRECT("T"&amp;(MAX(("Да"=AA$12:AA1202)*ROW(AA$12:AA1202)+1,ROW($T$12))&amp;":T"&amp;(ROW()-1))))),Первоначальный[[#This Row],[Полученный платеж]]+Y1202),
AND(S1202=0,MAX((0&lt;&gt;N$12:N1202)*ROW(N$12:N1202),ROW($S$12))&gt;=MAX((1=Z$12:Z1202)*ROW(Z$12:Z1202),ROW($T$12))),MIN(LOOKUP(,-1/($Z$12:Z1203=1),$C$12:C1203)+LOOKUP(,-1/($Z$12:Z1203=1),$H$12:H1203)-IF(N1202&lt;&gt;0,0,SUM(INDIRECT("T"&amp;(MAX((0&lt;&gt;N$12:N1202)*ROW(N$12:N1202)+1,ROW($T$12))&amp;":T"&amp;(ROW()-1))))),Первоначальный[[#This Row],[Полученный платеж]]+Y1202),
AND(S1202=0,Первоначальный[[#This Row],[Дата платежа из графика]]=1),MIN(LOOKUP(,-1/($Z$12:Z1203=1),$C$12:C1203)+LOOKUP(,-1/($Z$12:Z1203=1),$H$12:H1203)-IF(Z1202=1,0,SUM(INDIRECT("T"&amp;(MAX((1=Z$12:Z1202)*ROW(Z$12:Z1202)+1,ROW($T$12))&amp;":T"&amp;(ROW()-1))))),Первоначальный[[#This Row],[Полученный платеж]]+Y1202),
AND(Z1202&gt;0,Первоначальный[[#This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платеж]]+Y1202),
AND(S1202&gt;0,MAX((0&lt;&gt;S$12:S1202)*ROW(S$12:S1202),ROW($S$12))&gt;=MAX((1=Z$12:Z1202)*ROW(Z$12:Z1202),ROW($T$12)),TYPE(VLOOKUP("Да",(INDIRECT("AA"&amp;(MAX((1=Z$12:Z1202)*ROW(Z$12:Z1202),ROW($T$12))&amp;":AA"&amp;(ROW()-1)))),1,0))=16),MIN(LOOKUP(,-1/($Z$12:Z1203=1),$C$12:C1203)+LOOKUP(,-1/($Z$12:Z1203=1),$H$12:H1203)-SUM(INDIRECT("T"&amp;(MAX((1=Z$12:Z1202)*ROW(Z$12:Z1202),ROW($T$12))&amp;":T"&amp;(ROW()-1)))),Первоначальный[[#This Row],[Полученный платеж]]+Y1202),
S1202&gt;0,MIN(LOOKUP(,-1/($Z$12:Z1203=1),$C$12:C1203)+LOOKUP(,-1/($Z$12:Z1203=1),$H$12:H1203)-IF(Z1202=1,0,SUM(INDIRECT("T"&amp;(MAX((1=Z$12:Z1202)*ROW(Z$12:Z1202)+1,ROW($T$12))&amp;":T"&amp;(ROW()-1))))),Первоначальный[[#This Row],[Полученный платеж]]+Y1202)
)
)
)</f>
        <v>0</v>
      </c>
      <c r="U120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платеж]]+Y1202-Первоначальный[[#This Row],[Полученный платёж по процентам]])</f>
        <v>0</v>
      </c>
      <c r="V1203" s="55">
        <f t="shared" ca="1" si="219"/>
        <v>0</v>
      </c>
      <c r="W1203" s="55" cm="1">
        <f t="array" aca="1" ref="W1203" ca="1">IF(Первоначальный[[#This Row],[Итого остаток на начало периода]]&lt;1,0,
_xlfn.IFS(
AND(TYPE(VLOOKUP(1,$Z$12:Z1203,1,0))=16,Первоначальный[[#This Row],[Досрочное погашение (да/"")]]=""),0,
AND(S1202=0,Первоначальный[[#This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платеж]]+Y1202-SUM(Первоначальный[[#This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комиссиям]]),VLOOKUP(LOOKUP(,-1/($Z$12:Z1203=1),$A$12:A1203),График[[Срок конец]:[Возврат основной суммы долга]],3,0)),
AND(S1202=0,Первоначальный[[#This Row],[Дата платежа из графика]]="",Первоначальный[[#This Row],[Досрочное погашение (да/"")]]&lt;&gt;"Да"),0,
AND(S1202=0,Первоначальный[[#This Row],[Досрочное погашение (да/"")]]=""),MIN(Первоначальный[[#This Row],[Полученный платеж]]+Y1202-SUM(Первоначальный[[#This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комиссиям]]),VLOOKUP(LOOKUP(,-1/($Z$12:Z1203=1),$A$12:A1203),График[[Срок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платеж]]+Y1202-SUM(Первоначальный[[#This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S1202&gt;0,MIN(Первоначальный[[#This Row],[Полученный платеж]]+Y1202-SUM(Первоначальный[[#This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комиссиям]]),SUM(INDIRECT("M"&amp;(MAX((1=S$12:S1202)*ROW(S$12:S1202),ROW($W$12))&amp;":M"&amp;(ROW()))))-SUM(INDIRECT("W"&amp;(MAX((1=S$12:S1202)*ROW(S$12:S1202),ROW($W$12))&amp;":W"&amp;(ROW()-1)))))
)
)</f>
        <v>0</v>
      </c>
      <c r="X1203" s="55">
        <f t="shared" ca="1" si="220"/>
        <v>0</v>
      </c>
      <c r="Y1203" s="101">
        <f t="shared" ca="1" si="227"/>
        <v>0</v>
      </c>
      <c r="Z1203" s="133" t="str">
        <f>IF(TYPE((VLOOKUP(Первоначальный[[#This Row],[Дата платежа]],График[Срок конец],1,0)))=16,"",1)</f>
        <v/>
      </c>
      <c r="AA1203" s="57"/>
      <c r="AB1203" s="134"/>
      <c r="AC120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0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86365.540000000154</v>
      </c>
      <c r="AE120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5715.9999999999836</v>
      </c>
      <c r="AF120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0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296000.32010327751</v>
      </c>
      <c r="AH1203" s="55"/>
      <c r="AI1203" s="55"/>
      <c r="AJ1203" s="55"/>
      <c r="AK1203" s="101">
        <f t="shared" ca="1" si="228"/>
        <v>537715.20010327757</v>
      </c>
      <c r="AL1203" s="129">
        <f t="array" ref="AL1203">MAX((УслРестрактов[Характеристика]="Дата реструктуризации")*(УслРестрактов[Значение]=Первоначальный!$A1203),0)</f>
        <v>0</v>
      </c>
    </row>
    <row r="1204" spans="1:38" x14ac:dyDescent="0.25">
      <c r="A1204" s="97">
        <f t="shared" si="221"/>
        <v>45335</v>
      </c>
      <c r="B1204" s="100">
        <f t="shared" ca="1" si="222"/>
        <v>149633.34</v>
      </c>
      <c r="C1204" s="55">
        <f t="shared" ca="1" si="218"/>
        <v>86365.540000000154</v>
      </c>
      <c r="D1204" s="55">
        <f t="shared" ca="1" si="218"/>
        <v>5715.9999999999836</v>
      </c>
      <c r="E1204" s="55">
        <f t="shared" ca="1" si="223"/>
        <v>0</v>
      </c>
      <c r="F1204" s="55">
        <f t="shared" ca="1" si="224"/>
        <v>296000.32010327751</v>
      </c>
      <c r="G1204" s="101">
        <f t="shared" ca="1" si="225"/>
        <v>537715.20010327757</v>
      </c>
      <c r="H1204" s="100">
        <f ca="1">ROUND($B1204*VLOOKUP($A1204,$A$1:$B$10,2,1)/(365+IF(MOD(YEAR($A1204),4),0,1)*($A1204-$A1203)),2)-Первоначальный[[#This Row],[Проценты на просроченный платеж по ОД за период]]</f>
        <v>69.930000000000007</v>
      </c>
      <c r="I1204" s="55">
        <f t="shared" ca="1" si="226"/>
        <v>11.43</v>
      </c>
      <c r="J1204" s="55">
        <v>0</v>
      </c>
      <c r="K1204" s="55">
        <f t="shared" ca="1" si="229"/>
        <v>535.87850327868841</v>
      </c>
      <c r="L1204" s="55">
        <v>0</v>
      </c>
      <c r="M1204" s="113">
        <f>SUMIFS(График[Возврат основной суммы долга],График[Дата с учетом нерабочих дней],$A1204)</f>
        <v>0</v>
      </c>
      <c r="N1204" s="56">
        <f>SUMIFS(График[Возврат начисленных %],График[Дата с учетом нерабочих дней],$A1204)</f>
        <v>0</v>
      </c>
      <c r="O1204" s="101">
        <v>0</v>
      </c>
      <c r="P1204" s="100" cm="1">
        <f t="array" aca="1" ref="P1204" ca="1">MAX(IF(AA1203="Да",0,SUM(INDIRECT("M"&amp;(MAX(("Да"=AA$12:AA1203)*ROW(AA$12:AA1203)+1,ROW($P$12))&amp;":M"&amp;(ROW()))))-SUM(INDIRECT("W"&amp;(MAX(("Да"=AA$12:AA1203)*ROW(AA$12:AA1203)+1,ROW($P$12))&amp;":W"&amp;(ROW()))))),0)</f>
        <v>21023.989999999998</v>
      </c>
      <c r="Q1204" s="99">
        <f ca="1">MAX(SUM($N$13:N1204)-SUM($T$13:T1204),0)</f>
        <v>86151.710655737683</v>
      </c>
      <c r="R1204" s="99">
        <f ca="1">Первоначальный[[#This Row],[Просроченный платеж по ОД]]+Первоначальный[[#This Row],[Просроченный платеж по процентам]]</f>
        <v>107175.70065573769</v>
      </c>
      <c r="S1204" s="120">
        <f ca="1">IF(Первоначальный[[#This Row],[Просроченный платеж]]&lt;1,0,S1203+1)</f>
        <v>1100</v>
      </c>
      <c r="T1204" s="100" cm="1">
        <f t="array" aca="1" ref="T1204" ca="1">IF(Первоначальный[[#This Row],[Итого остаток на начало периода]]&lt;1,0,
IF(
AND(TYPE(VLOOKUP(1,$Z$12:Z1204,1,0))=16,Первоначальный[[#This Row],[Досрочное погашение (да/"")]]=""),0,
_xlfn.IFS(AND(S1203=0,Первоначальный[[#This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платеж]]&lt;&gt;0),MIN(LOOKUP(,-1/($Z$12:Z1204=1),$C$12:C1204)+LOOKUP(,-1/($Z$12:Z1204=1),$H$12:H1204),Первоначальный[[#This Row],[Полученный платеж]]+Y1203),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платеж]]+Y1203,SUM(Первоначальный[[#This Row],[Остаток процентов на начало периода]],Первоначальный[[#This Row],[Проценты за период]])),
AND(S1203=0,Первоначальный[[#This Row],[Дата платежа из графика]]=""),0,
AND(S1203=0,Первоначальный[[#This Row],[Дата платежа из графика]]=1,MAX((0&lt;&gt;S$12:S1203)*ROW(S$12:S1203),ROW($S$12))&gt;=MAX((1=Z$12:Z1203)*ROW(Z$12:Z1203),ROW($T$12)),TYPE(VLOOKUP("Да",(INDIRECT("AA"&amp;(MAX((1=Z$12:Z1203)*ROW(Z$12:Z1203),ROW($T$12))&amp;":AA"&amp;(ROW()-1)))),1,0))=16),MIN(LOOKUP(,-1/($Z$12:Z1204=1),$C$12:C1204)+LOOKUP(,-1/($Z$12:Z1204=1),$H$12:H1204),Первоначальный[[#This Row],[Полученный платеж]]+Y1203),
AND(S1203=0,TYPE(VLOOKUP("Да",(INDIRECT("AA"&amp;(MAX((1=Z$12:Z1203)*ROW(Z$12:Z1203),ROW($T$12))&amp;":AA"&amp;(ROW()-1)))),1,0))&lt;&gt;16),MIN(LOOKUP(,-1/($Z$12:Z1204=1),$C$12:C1204)+LOOKUP(,-1/($Z$12:Z1204=1),$H$12:H1204)-IF(AA1203="Да",0,SUM(INDIRECT("T"&amp;(MAX(("Да"=AA$12:AA1203)*ROW(AA$12:AA1203)+1,ROW($T$12))&amp;":T"&amp;(ROW()-1))))),Первоначальный[[#This Row],[Полученный платеж]]+Y1203),
AND(S1203=0,MAX((0&lt;&gt;N$12:N1203)*ROW(N$12:N1203),ROW($S$12))&gt;=MAX((1=Z$12:Z1203)*ROW(Z$12:Z1203),ROW($T$12))),MIN(LOOKUP(,-1/($Z$12:Z1204=1),$C$12:C1204)+LOOKUP(,-1/($Z$12:Z1204=1),$H$12:H1204)-IF(N1203&lt;&gt;0,0,SUM(INDIRECT("T"&amp;(MAX((0&lt;&gt;N$12:N1203)*ROW(N$12:N1203)+1,ROW($T$12))&amp;":T"&amp;(ROW()-1))))),Первоначальный[[#This Row],[Полученный платеж]]+Y1203),
AND(S1203=0,Первоначальный[[#This Row],[Дата платежа из графика]]=1),MIN(LOOKUP(,-1/($Z$12:Z1204=1),$C$12:C1204)+LOOKUP(,-1/($Z$12:Z1204=1),$H$12:H1204)-IF(Z1203=1,0,SUM(INDIRECT("T"&amp;(MAX((1=Z$12:Z1203)*ROW(Z$12:Z1203)+1,ROW($T$12))&amp;":T"&amp;(ROW()-1))))),Первоначальный[[#This Row],[Полученный платеж]]+Y1203),
AND(Z1203&gt;0,Первоначальный[[#This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платеж]]+Y1203),
AND(S1203&gt;0,MAX((0&lt;&gt;S$12:S1203)*ROW(S$12:S1203),ROW($S$12))&gt;=MAX((1=Z$12:Z1203)*ROW(Z$12:Z1203),ROW($T$12)),TYPE(VLOOKUP("Да",(INDIRECT("AA"&amp;(MAX((1=Z$12:Z1203)*ROW(Z$12:Z1203),ROW($T$12))&amp;":AA"&amp;(ROW()-1)))),1,0))=16),MIN(LOOKUP(,-1/($Z$12:Z1204=1),$C$12:C1204)+LOOKUP(,-1/($Z$12:Z1204=1),$H$12:H1204)-SUM(INDIRECT("T"&amp;(MAX((1=Z$12:Z1203)*ROW(Z$12:Z1203),ROW($T$12))&amp;":T"&amp;(ROW()-1)))),Первоначальный[[#This Row],[Полученный платеж]]+Y1203),
S1203&gt;0,MIN(LOOKUP(,-1/($Z$12:Z1204=1),$C$12:C1204)+LOOKUP(,-1/($Z$12:Z1204=1),$H$12:H1204)-IF(Z1203=1,0,SUM(INDIRECT("T"&amp;(MAX((1=Z$12:Z1203)*ROW(Z$12:Z1203)+1,ROW($T$12))&amp;":T"&amp;(ROW()-1))))),Первоначальный[[#This Row],[Полученный платеж]]+Y1203)
)
)
)</f>
        <v>0</v>
      </c>
      <c r="U120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платеж]]+Y1203-Первоначальный[[#This Row],[Полученный платёж по процентам]])</f>
        <v>0</v>
      </c>
      <c r="V1204" s="55">
        <f t="shared" ca="1" si="219"/>
        <v>0</v>
      </c>
      <c r="W1204" s="55" cm="1">
        <f t="array" aca="1" ref="W1204" ca="1">IF(Первоначальный[[#This Row],[Итого остаток на начало периода]]&lt;1,0,
_xlfn.IFS(
AND(TYPE(VLOOKUP(1,$Z$12:Z1204,1,0))=16,Первоначальный[[#This Row],[Досрочное погашение (да/"")]]=""),0,
AND(S1203=0,Первоначальный[[#This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платеж]]+Y1203-SUM(Первоначальный[[#This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комиссиям]]),VLOOKUP(LOOKUP(,-1/($Z$12:Z1204=1),$A$12:A1204),График[[Срок конец]:[Возврат основной суммы долга]],3,0)),
AND(S1203=0,Первоначальный[[#This Row],[Дата платежа из графика]]="",Первоначальный[[#This Row],[Досрочное погашение (да/"")]]&lt;&gt;"Да"),0,
AND(S1203=0,Первоначальный[[#This Row],[Досрочное погашение (да/"")]]=""),MIN(Первоначальный[[#This Row],[Полученный платеж]]+Y1203-SUM(Первоначальный[[#This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комиссиям]]),VLOOKUP(LOOKUP(,-1/($Z$12:Z1204=1),$A$12:A1204),График[[Срок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платеж]]+Y1203-SUM(Первоначальный[[#This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S1203&gt;0,MIN(Первоначальный[[#This Row],[Полученный платеж]]+Y1203-SUM(Первоначальный[[#This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комиссиям]]),SUM(INDIRECT("M"&amp;(MAX((1=S$12:S1203)*ROW(S$12:S1203),ROW($W$12))&amp;":M"&amp;(ROW()))))-SUM(INDIRECT("W"&amp;(MAX((1=S$12:S1203)*ROW(S$12:S1203),ROW($W$12))&amp;":W"&amp;(ROW()-1)))))
)
)</f>
        <v>0</v>
      </c>
      <c r="X1204" s="55">
        <f t="shared" ca="1" si="220"/>
        <v>0</v>
      </c>
      <c r="Y1204" s="101">
        <f t="shared" ca="1" si="227"/>
        <v>0</v>
      </c>
      <c r="Z1204" s="133" t="str">
        <f>IF(TYPE((VLOOKUP(Первоначальный[[#This Row],[Дата платежа]],График[Срок конец],1,0)))=16,"",1)</f>
        <v/>
      </c>
      <c r="AA1204" s="57"/>
      <c r="AB1204" s="134"/>
      <c r="AC120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0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86435.470000000147</v>
      </c>
      <c r="AE120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5727.4299999999839</v>
      </c>
      <c r="AF120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0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296536.19860655622</v>
      </c>
      <c r="AH1204" s="55"/>
      <c r="AI1204" s="55"/>
      <c r="AJ1204" s="55"/>
      <c r="AK1204" s="101">
        <f t="shared" ca="1" si="228"/>
        <v>538332.43860655639</v>
      </c>
      <c r="AL1204" s="129">
        <f t="array" ref="AL1204">MAX((УслРестрактов[Характеристика]="Дата реструктуризации")*(УслРестрактов[Значение]=Первоначальный!$A1204),0)</f>
        <v>0</v>
      </c>
    </row>
    <row r="1205" spans="1:38" x14ac:dyDescent="0.25">
      <c r="A1205" s="97">
        <f t="shared" si="221"/>
        <v>45336</v>
      </c>
      <c r="B1205" s="100">
        <f t="shared" ca="1" si="222"/>
        <v>149633.34</v>
      </c>
      <c r="C1205" s="55">
        <f t="shared" ca="1" si="218"/>
        <v>86435.470000000147</v>
      </c>
      <c r="D1205" s="55">
        <f t="shared" ca="1" si="218"/>
        <v>5727.4299999999839</v>
      </c>
      <c r="E1205" s="55">
        <f t="shared" ca="1" si="223"/>
        <v>0</v>
      </c>
      <c r="F1205" s="55">
        <f t="shared" ca="1" si="224"/>
        <v>296536.19860655622</v>
      </c>
      <c r="G1205" s="101">
        <f t="shared" ca="1" si="225"/>
        <v>538332.43860655639</v>
      </c>
      <c r="H1205" s="100">
        <f ca="1">ROUND($B1205*VLOOKUP($A1205,$A$1:$B$10,2,1)/(365+IF(MOD(YEAR($A1205),4),0,1)*($A1205-$A1204)),2)-Первоначальный[[#This Row],[Проценты на просроченный платеж по ОД за период]]</f>
        <v>69.930000000000007</v>
      </c>
      <c r="I1205" s="55">
        <f t="shared" ca="1" si="226"/>
        <v>11.43</v>
      </c>
      <c r="J1205" s="55">
        <v>0</v>
      </c>
      <c r="K1205" s="55">
        <f t="shared" ca="1" si="229"/>
        <v>535.87850327868841</v>
      </c>
      <c r="L1205" s="55">
        <v>0</v>
      </c>
      <c r="M1205" s="113">
        <f>SUMIFS(График[Возврат основной суммы долга],График[Дата с учетом нерабочих дней],$A1205)</f>
        <v>0</v>
      </c>
      <c r="N1205" s="56">
        <f>SUMIFS(График[Возврат начисленных %],График[Дата с учетом нерабочих дней],$A1205)</f>
        <v>0</v>
      </c>
      <c r="O1205" s="101">
        <v>0</v>
      </c>
      <c r="P1205" s="100" cm="1">
        <f t="array" aca="1" ref="P1205" ca="1">MAX(IF(AA1204="Да",0,SUM(INDIRECT("M"&amp;(MAX(("Да"=AA$12:AA1204)*ROW(AA$12:AA1204)+1,ROW($P$12))&amp;":M"&amp;(ROW()))))-SUM(INDIRECT("W"&amp;(MAX(("Да"=AA$12:AA1204)*ROW(AA$12:AA1204)+1,ROW($P$12))&amp;":W"&amp;(ROW()))))),0)</f>
        <v>21023.989999999998</v>
      </c>
      <c r="Q1205" s="99">
        <f ca="1">MAX(SUM($N$13:N1205)-SUM($T$13:T1205),0)</f>
        <v>86151.710655737683</v>
      </c>
      <c r="R1205" s="99">
        <f ca="1">Первоначальный[[#This Row],[Просроченный платеж по ОД]]+Первоначальный[[#This Row],[Просроченный платеж по процентам]]</f>
        <v>107175.70065573769</v>
      </c>
      <c r="S1205" s="120">
        <f ca="1">IF(Первоначальный[[#This Row],[Просроченный платеж]]&lt;1,0,S1204+1)</f>
        <v>1101</v>
      </c>
      <c r="T1205" s="100" cm="1">
        <f t="array" aca="1" ref="T1205" ca="1">IF(Первоначальный[[#This Row],[Итого остаток на начало периода]]&lt;1,0,
IF(
AND(TYPE(VLOOKUP(1,$Z$12:Z1205,1,0))=16,Первоначальный[[#This Row],[Досрочное погашение (да/"")]]=""),0,
_xlfn.IFS(AND(S1204=0,Первоначальный[[#This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платеж]]&lt;&gt;0),MIN(LOOKUP(,-1/($Z$12:Z1205=1),$C$12:C1205)+LOOKUP(,-1/($Z$12:Z1205=1),$H$12:H1205),Первоначальный[[#This Row],[Полученный платеж]]+Y1204),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платеж]]+Y1204,SUM(Первоначальный[[#This Row],[Остаток процентов на начало периода]],Первоначальный[[#This Row],[Проценты за период]])),
AND(S1204=0,Первоначальный[[#This Row],[Дата платежа из графика]]=""),0,
AND(S1204=0,Первоначальный[[#This Row],[Дата платежа из графика]]=1,MAX((0&lt;&gt;S$12:S1204)*ROW(S$12:S1204),ROW($S$12))&gt;=MAX((1=Z$12:Z1204)*ROW(Z$12:Z1204),ROW($T$12)),TYPE(VLOOKUP("Да",(INDIRECT("AA"&amp;(MAX((1=Z$12:Z1204)*ROW(Z$12:Z1204),ROW($T$12))&amp;":AA"&amp;(ROW()-1)))),1,0))=16),MIN(LOOKUP(,-1/($Z$12:Z1205=1),$C$12:C1205)+LOOKUP(,-1/($Z$12:Z1205=1),$H$12:H1205),Первоначальный[[#This Row],[Полученный платеж]]+Y1204),
AND(S1204=0,TYPE(VLOOKUP("Да",(INDIRECT("AA"&amp;(MAX((1=Z$12:Z1204)*ROW(Z$12:Z1204),ROW($T$12))&amp;":AA"&amp;(ROW()-1)))),1,0))&lt;&gt;16),MIN(LOOKUP(,-1/($Z$12:Z1205=1),$C$12:C1205)+LOOKUP(,-1/($Z$12:Z1205=1),$H$12:H1205)-IF(AA1204="Да",0,SUM(INDIRECT("T"&amp;(MAX(("Да"=AA$12:AA1204)*ROW(AA$12:AA1204)+1,ROW($T$12))&amp;":T"&amp;(ROW()-1))))),Первоначальный[[#This Row],[Полученный платеж]]+Y1204),
AND(S1204=0,MAX((0&lt;&gt;N$12:N1204)*ROW(N$12:N1204),ROW($S$12))&gt;=MAX((1=Z$12:Z1204)*ROW(Z$12:Z1204),ROW($T$12))),MIN(LOOKUP(,-1/($Z$12:Z1205=1),$C$12:C1205)+LOOKUP(,-1/($Z$12:Z1205=1),$H$12:H1205)-IF(N1204&lt;&gt;0,0,SUM(INDIRECT("T"&amp;(MAX((0&lt;&gt;N$12:N1204)*ROW(N$12:N1204)+1,ROW($T$12))&amp;":T"&amp;(ROW()-1))))),Первоначальный[[#This Row],[Полученный платеж]]+Y1204),
AND(S1204=0,Первоначальный[[#This Row],[Дата платежа из графика]]=1),MIN(LOOKUP(,-1/($Z$12:Z1205=1),$C$12:C1205)+LOOKUP(,-1/($Z$12:Z1205=1),$H$12:H1205)-IF(Z1204=1,0,SUM(INDIRECT("T"&amp;(MAX((1=Z$12:Z1204)*ROW(Z$12:Z1204)+1,ROW($T$12))&amp;":T"&amp;(ROW()-1))))),Первоначальный[[#This Row],[Полученный платеж]]+Y1204),
AND(Z1204&gt;0,Первоначальный[[#This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платеж]]+Y1204),
AND(S1204&gt;0,MAX((0&lt;&gt;S$12:S1204)*ROW(S$12:S1204),ROW($S$12))&gt;=MAX((1=Z$12:Z1204)*ROW(Z$12:Z1204),ROW($T$12)),TYPE(VLOOKUP("Да",(INDIRECT("AA"&amp;(MAX((1=Z$12:Z1204)*ROW(Z$12:Z1204),ROW($T$12))&amp;":AA"&amp;(ROW()-1)))),1,0))=16),MIN(LOOKUP(,-1/($Z$12:Z1205=1),$C$12:C1205)+LOOKUP(,-1/($Z$12:Z1205=1),$H$12:H1205)-SUM(INDIRECT("T"&amp;(MAX((1=Z$12:Z1204)*ROW(Z$12:Z1204),ROW($T$12))&amp;":T"&amp;(ROW()-1)))),Первоначальный[[#This Row],[Полученный платеж]]+Y1204),
S1204&gt;0,MIN(LOOKUP(,-1/($Z$12:Z1205=1),$C$12:C1205)+LOOKUP(,-1/($Z$12:Z1205=1),$H$12:H1205)-IF(Z1204=1,0,SUM(INDIRECT("T"&amp;(MAX((1=Z$12:Z1204)*ROW(Z$12:Z1204)+1,ROW($T$12))&amp;":T"&amp;(ROW()-1))))),Первоначальный[[#This Row],[Полученный платеж]]+Y1204)
)
)
)</f>
        <v>0</v>
      </c>
      <c r="U120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платеж]]+Y1204-Первоначальный[[#This Row],[Полученный платёж по процентам]])</f>
        <v>0</v>
      </c>
      <c r="V1205" s="55">
        <f t="shared" ca="1" si="219"/>
        <v>0</v>
      </c>
      <c r="W1205" s="55" cm="1">
        <f t="array" aca="1" ref="W1205" ca="1">IF(Первоначальный[[#This Row],[Итого остаток на начало периода]]&lt;1,0,
_xlfn.IFS(
AND(TYPE(VLOOKUP(1,$Z$12:Z1205,1,0))=16,Первоначальный[[#This Row],[Досрочное погашение (да/"")]]=""),0,
AND(S1204=0,Первоначальный[[#This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платеж]]+Y1204-SUM(Первоначальный[[#This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комиссиям]]),VLOOKUP(LOOKUP(,-1/($Z$12:Z1205=1),$A$12:A1205),График[[Срок конец]:[Возврат основной суммы долга]],3,0)),
AND(S1204=0,Первоначальный[[#This Row],[Дата платежа из графика]]="",Первоначальный[[#This Row],[Досрочное погашение (да/"")]]&lt;&gt;"Да"),0,
AND(S1204=0,Первоначальный[[#This Row],[Досрочное погашение (да/"")]]=""),MIN(Первоначальный[[#This Row],[Полученный платеж]]+Y1204-SUM(Первоначальный[[#This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комиссиям]]),VLOOKUP(LOOKUP(,-1/($Z$12:Z1205=1),$A$12:A1205),График[[Срок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платеж]]+Y1204-SUM(Первоначальный[[#This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S1204&gt;0,MIN(Первоначальный[[#This Row],[Полученный платеж]]+Y1204-SUM(Первоначальный[[#This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комиссиям]]),SUM(INDIRECT("M"&amp;(MAX((1=S$12:S1204)*ROW(S$12:S1204),ROW($W$12))&amp;":M"&amp;(ROW()))))-SUM(INDIRECT("W"&amp;(MAX((1=S$12:S1204)*ROW(S$12:S1204),ROW($W$12))&amp;":W"&amp;(ROW()-1)))))
)
)</f>
        <v>0</v>
      </c>
      <c r="X1205" s="55">
        <f t="shared" ca="1" si="220"/>
        <v>0</v>
      </c>
      <c r="Y1205" s="101">
        <f t="shared" ca="1" si="227"/>
        <v>0</v>
      </c>
      <c r="Z1205" s="133" t="str">
        <f>IF(TYPE((VLOOKUP(Первоначальный[[#This Row],[Дата платежа]],График[Срок конец],1,0)))=16,"",1)</f>
        <v/>
      </c>
      <c r="AA1205" s="57"/>
      <c r="AB1205" s="134"/>
      <c r="AC120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0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86505.40000000014</v>
      </c>
      <c r="AE120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5738.8599999999842</v>
      </c>
      <c r="AF120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0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297072.07710983494</v>
      </c>
      <c r="AH1205" s="55"/>
      <c r="AI1205" s="55"/>
      <c r="AJ1205" s="55"/>
      <c r="AK1205" s="101">
        <f t="shared" ca="1" si="228"/>
        <v>538949.67710983509</v>
      </c>
      <c r="AL1205" s="129">
        <f t="array" ref="AL1205">MAX((УслРестрактов[Характеристика]="Дата реструктуризации")*(УслРестрактов[Значение]=Первоначальный!$A1205),0)</f>
        <v>0</v>
      </c>
    </row>
    <row r="1206" spans="1:38" x14ac:dyDescent="0.25">
      <c r="A1206" s="97">
        <f t="shared" si="221"/>
        <v>45337</v>
      </c>
      <c r="B1206" s="100">
        <f t="shared" ca="1" si="222"/>
        <v>149633.34</v>
      </c>
      <c r="C1206" s="55">
        <f t="shared" ca="1" si="218"/>
        <v>86505.40000000014</v>
      </c>
      <c r="D1206" s="55">
        <f t="shared" ca="1" si="218"/>
        <v>5738.8599999999842</v>
      </c>
      <c r="E1206" s="55">
        <f t="shared" ca="1" si="223"/>
        <v>0</v>
      </c>
      <c r="F1206" s="55">
        <f t="shared" ca="1" si="224"/>
        <v>297072.07710983494</v>
      </c>
      <c r="G1206" s="101">
        <f t="shared" ca="1" si="225"/>
        <v>538949.67710983509</v>
      </c>
      <c r="H1206" s="100">
        <f ca="1">ROUND($B1206*VLOOKUP($A1206,$A$1:$B$10,2,1)/(365+IF(MOD(YEAR($A1206),4),0,1)*($A1206-$A1205)),2)-Первоначальный[[#This Row],[Проценты на просроченный платеж по ОД за период]]</f>
        <v>69.930000000000007</v>
      </c>
      <c r="I1206" s="55">
        <f t="shared" ca="1" si="226"/>
        <v>11.43</v>
      </c>
      <c r="J1206" s="55">
        <v>0</v>
      </c>
      <c r="K1206" s="55">
        <f t="shared" ca="1" si="229"/>
        <v>535.87850327868841</v>
      </c>
      <c r="L1206" s="55">
        <v>0</v>
      </c>
      <c r="M1206" s="113">
        <f>SUMIFS(График[Возврат основной суммы долга],График[Дата с учетом нерабочих дней],$A1206)</f>
        <v>0</v>
      </c>
      <c r="N1206" s="56">
        <f>SUMIFS(График[Возврат начисленных %],График[Дата с учетом нерабочих дней],$A1206)</f>
        <v>0</v>
      </c>
      <c r="O1206" s="101">
        <v>0</v>
      </c>
      <c r="P1206" s="100" cm="1">
        <f t="array" aca="1" ref="P1206" ca="1">MAX(IF(AA1205="Да",0,SUM(INDIRECT("M"&amp;(MAX(("Да"=AA$12:AA1205)*ROW(AA$12:AA1205)+1,ROW($P$12))&amp;":M"&amp;(ROW()))))-SUM(INDIRECT("W"&amp;(MAX(("Да"=AA$12:AA1205)*ROW(AA$12:AA1205)+1,ROW($P$12))&amp;":W"&amp;(ROW()))))),0)</f>
        <v>21023.989999999998</v>
      </c>
      <c r="Q1206" s="99">
        <f ca="1">MAX(SUM($N$13:N1206)-SUM($T$13:T1206),0)</f>
        <v>86151.710655737683</v>
      </c>
      <c r="R1206" s="99">
        <f ca="1">Первоначальный[[#This Row],[Просроченный платеж по ОД]]+Первоначальный[[#This Row],[Просроченный платеж по процентам]]</f>
        <v>107175.70065573769</v>
      </c>
      <c r="S1206" s="120">
        <f ca="1">IF(Первоначальный[[#This Row],[Просроченный платеж]]&lt;1,0,S1205+1)</f>
        <v>1102</v>
      </c>
      <c r="T1206" s="100" cm="1">
        <f t="array" aca="1" ref="T1206" ca="1">IF(Первоначальный[[#This Row],[Итого остаток на начало периода]]&lt;1,0,
IF(
AND(TYPE(VLOOKUP(1,$Z$12:Z1206,1,0))=16,Первоначальный[[#This Row],[Досрочное погашение (да/"")]]=""),0,
_xlfn.IFS(AND(S1205=0,Первоначальный[[#This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платеж]]&lt;&gt;0),MIN(LOOKUP(,-1/($Z$12:Z1206=1),$C$12:C1206)+LOOKUP(,-1/($Z$12:Z1206=1),$H$12:H1206),Первоначальный[[#This Row],[Полученный платеж]]+Y1205),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платеж]]+Y1205,SUM(Первоначальный[[#This Row],[Остаток процентов на начало периода]],Первоначальный[[#This Row],[Проценты за период]])),
AND(S1205=0,Первоначальный[[#This Row],[Дата платежа из графика]]=""),0,
AND(S1205=0,Первоначальный[[#This Row],[Дата платежа из графика]]=1,MAX((0&lt;&gt;S$12:S1205)*ROW(S$12:S1205),ROW($S$12))&gt;=MAX((1=Z$12:Z1205)*ROW(Z$12:Z1205),ROW($T$12)),TYPE(VLOOKUP("Да",(INDIRECT("AA"&amp;(MAX((1=Z$12:Z1205)*ROW(Z$12:Z1205),ROW($T$12))&amp;":AA"&amp;(ROW()-1)))),1,0))=16),MIN(LOOKUP(,-1/($Z$12:Z1206=1),$C$12:C1206)+LOOKUP(,-1/($Z$12:Z1206=1),$H$12:H1206),Первоначальный[[#This Row],[Полученный платеж]]+Y1205),
AND(S1205=0,TYPE(VLOOKUP("Да",(INDIRECT("AA"&amp;(MAX((1=Z$12:Z1205)*ROW(Z$12:Z1205),ROW($T$12))&amp;":AA"&amp;(ROW()-1)))),1,0))&lt;&gt;16),MIN(LOOKUP(,-1/($Z$12:Z1206=1),$C$12:C1206)+LOOKUP(,-1/($Z$12:Z1206=1),$H$12:H1206)-IF(AA1205="Да",0,SUM(INDIRECT("T"&amp;(MAX(("Да"=AA$12:AA1205)*ROW(AA$12:AA1205)+1,ROW($T$12))&amp;":T"&amp;(ROW()-1))))),Первоначальный[[#This Row],[Полученный платеж]]+Y1205),
AND(S1205=0,MAX((0&lt;&gt;N$12:N1205)*ROW(N$12:N1205),ROW($S$12))&gt;=MAX((1=Z$12:Z1205)*ROW(Z$12:Z1205),ROW($T$12))),MIN(LOOKUP(,-1/($Z$12:Z1206=1),$C$12:C1206)+LOOKUP(,-1/($Z$12:Z1206=1),$H$12:H1206)-IF(N1205&lt;&gt;0,0,SUM(INDIRECT("T"&amp;(MAX((0&lt;&gt;N$12:N1205)*ROW(N$12:N1205)+1,ROW($T$12))&amp;":T"&amp;(ROW()-1))))),Первоначальный[[#This Row],[Полученный платеж]]+Y1205),
AND(S1205=0,Первоначальный[[#This Row],[Дата платежа из графика]]=1),MIN(LOOKUP(,-1/($Z$12:Z1206=1),$C$12:C1206)+LOOKUP(,-1/($Z$12:Z1206=1),$H$12:H1206)-IF(Z1205=1,0,SUM(INDIRECT("T"&amp;(MAX((1=Z$12:Z1205)*ROW(Z$12:Z1205)+1,ROW($T$12))&amp;":T"&amp;(ROW()-1))))),Первоначальный[[#This Row],[Полученный платеж]]+Y1205),
AND(Z1205&gt;0,Первоначальный[[#This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платеж]]+Y1205),
AND(S1205&gt;0,MAX((0&lt;&gt;S$12:S1205)*ROW(S$12:S1205),ROW($S$12))&gt;=MAX((1=Z$12:Z1205)*ROW(Z$12:Z1205),ROW($T$12)),TYPE(VLOOKUP("Да",(INDIRECT("AA"&amp;(MAX((1=Z$12:Z1205)*ROW(Z$12:Z1205),ROW($T$12))&amp;":AA"&amp;(ROW()-1)))),1,0))=16),MIN(LOOKUP(,-1/($Z$12:Z1206=1),$C$12:C1206)+LOOKUP(,-1/($Z$12:Z1206=1),$H$12:H1206)-SUM(INDIRECT("T"&amp;(MAX((1=Z$12:Z1205)*ROW(Z$12:Z1205),ROW($T$12))&amp;":T"&amp;(ROW()-1)))),Первоначальный[[#This Row],[Полученный платеж]]+Y1205),
S1205&gt;0,MIN(LOOKUP(,-1/($Z$12:Z1206=1),$C$12:C1206)+LOOKUP(,-1/($Z$12:Z1206=1),$H$12:H1206)-IF(Z1205=1,0,SUM(INDIRECT("T"&amp;(MAX((1=Z$12:Z1205)*ROW(Z$12:Z1205)+1,ROW($T$12))&amp;":T"&amp;(ROW()-1))))),Первоначальный[[#This Row],[Полученный платеж]]+Y1205)
)
)
)</f>
        <v>0</v>
      </c>
      <c r="U120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платеж]]+Y1205-Первоначальный[[#This Row],[Полученный платёж по процентам]])</f>
        <v>0</v>
      </c>
      <c r="V1206" s="55">
        <f t="shared" ca="1" si="219"/>
        <v>0</v>
      </c>
      <c r="W1206" s="55" cm="1">
        <f t="array" aca="1" ref="W1206" ca="1">IF(Первоначальный[[#This Row],[Итого остаток на начало периода]]&lt;1,0,
_xlfn.IFS(
AND(TYPE(VLOOKUP(1,$Z$12:Z1206,1,0))=16,Первоначальный[[#This Row],[Досрочное погашение (да/"")]]=""),0,
AND(S1205=0,Первоначальный[[#This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платеж]]+Y1205-SUM(Первоначальный[[#This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комиссиям]]),VLOOKUP(LOOKUP(,-1/($Z$12:Z1206=1),$A$12:A1206),График[[Срок конец]:[Возврат основной суммы долга]],3,0)),
AND(S1205=0,Первоначальный[[#This Row],[Дата платежа из графика]]="",Первоначальный[[#This Row],[Досрочное погашение (да/"")]]&lt;&gt;"Да"),0,
AND(S1205=0,Первоначальный[[#This Row],[Досрочное погашение (да/"")]]=""),MIN(Первоначальный[[#This Row],[Полученный платеж]]+Y1205-SUM(Первоначальный[[#This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комиссиям]]),VLOOKUP(LOOKUP(,-1/($Z$12:Z1206=1),$A$12:A1206),График[[Срок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платеж]]+Y1205-SUM(Первоначальный[[#This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S1205&gt;0,MIN(Первоначальный[[#This Row],[Полученный платеж]]+Y1205-SUM(Первоначальный[[#This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комиссиям]]),SUM(INDIRECT("M"&amp;(MAX((1=S$12:S1205)*ROW(S$12:S1205),ROW($W$12))&amp;":M"&amp;(ROW()))))-SUM(INDIRECT("W"&amp;(MAX((1=S$12:S1205)*ROW(S$12:S1205),ROW($W$12))&amp;":W"&amp;(ROW()-1)))))
)
)</f>
        <v>0</v>
      </c>
      <c r="X1206" s="55">
        <f t="shared" ca="1" si="220"/>
        <v>0</v>
      </c>
      <c r="Y1206" s="101">
        <f t="shared" ca="1" si="227"/>
        <v>0</v>
      </c>
      <c r="Z1206" s="133" t="str">
        <f>IF(TYPE((VLOOKUP(Первоначальный[[#This Row],[Дата платежа]],График[Срок конец],1,0)))=16,"",1)</f>
        <v/>
      </c>
      <c r="AA1206" s="57"/>
      <c r="AB1206" s="134"/>
      <c r="AC120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0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86575.330000000133</v>
      </c>
      <c r="AE120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5750.2899999999845</v>
      </c>
      <c r="AF120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0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297607.95561311365</v>
      </c>
      <c r="AH1206" s="55"/>
      <c r="AI1206" s="55"/>
      <c r="AJ1206" s="55"/>
      <c r="AK1206" s="101">
        <f t="shared" ca="1" si="228"/>
        <v>539566.91561311379</v>
      </c>
      <c r="AL1206" s="129">
        <f t="array" ref="AL1206">MAX((УслРестрактов[Характеристика]="Дата реструктуризации")*(УслРестрактов[Значение]=Первоначальный!$A1206),0)</f>
        <v>0</v>
      </c>
    </row>
    <row r="1207" spans="1:38" x14ac:dyDescent="0.25">
      <c r="A1207" s="97">
        <f t="shared" si="221"/>
        <v>45338</v>
      </c>
      <c r="B1207" s="100">
        <f t="shared" ca="1" si="222"/>
        <v>149633.34</v>
      </c>
      <c r="C1207" s="55">
        <f t="shared" ca="1" si="218"/>
        <v>86575.330000000133</v>
      </c>
      <c r="D1207" s="55">
        <f t="shared" ca="1" si="218"/>
        <v>5750.2899999999845</v>
      </c>
      <c r="E1207" s="55">
        <f t="shared" ca="1" si="223"/>
        <v>0</v>
      </c>
      <c r="F1207" s="55">
        <f t="shared" ca="1" si="224"/>
        <v>297607.95561311365</v>
      </c>
      <c r="G1207" s="101">
        <f t="shared" ca="1" si="225"/>
        <v>539566.91561311379</v>
      </c>
      <c r="H1207" s="100">
        <f ca="1">ROUND($B1207*VLOOKUP($A1207,$A$1:$B$10,2,1)/(365+IF(MOD(YEAR($A1207),4),0,1)*($A1207-$A1206)),2)-Первоначальный[[#This Row],[Проценты на просроченный платеж по ОД за период]]</f>
        <v>69.930000000000007</v>
      </c>
      <c r="I1207" s="55">
        <f t="shared" ca="1" si="226"/>
        <v>11.43</v>
      </c>
      <c r="J1207" s="55">
        <v>0</v>
      </c>
      <c r="K1207" s="55">
        <f t="shared" ca="1" si="229"/>
        <v>535.87850327868841</v>
      </c>
      <c r="L1207" s="55">
        <v>0</v>
      </c>
      <c r="M1207" s="113">
        <f>SUMIFS(График[Возврат основной суммы долга],График[Дата с учетом нерабочих дней],$A1207)</f>
        <v>0</v>
      </c>
      <c r="N1207" s="56">
        <f>SUMIFS(График[Возврат начисленных %],График[Дата с учетом нерабочих дней],$A1207)</f>
        <v>0</v>
      </c>
      <c r="O1207" s="101">
        <v>0</v>
      </c>
      <c r="P1207" s="100" cm="1">
        <f t="array" aca="1" ref="P1207" ca="1">MAX(IF(AA1206="Да",0,SUM(INDIRECT("M"&amp;(MAX(("Да"=AA$12:AA1206)*ROW(AA$12:AA1206)+1,ROW($P$12))&amp;":M"&amp;(ROW()))))-SUM(INDIRECT("W"&amp;(MAX(("Да"=AA$12:AA1206)*ROW(AA$12:AA1206)+1,ROW($P$12))&amp;":W"&amp;(ROW()))))),0)</f>
        <v>21023.989999999998</v>
      </c>
      <c r="Q1207" s="99">
        <f ca="1">MAX(SUM($N$13:N1207)-SUM($T$13:T1207),0)</f>
        <v>86151.710655737683</v>
      </c>
      <c r="R1207" s="99">
        <f ca="1">Первоначальный[[#This Row],[Просроченный платеж по ОД]]+Первоначальный[[#This Row],[Просроченный платеж по процентам]]</f>
        <v>107175.70065573769</v>
      </c>
      <c r="S1207" s="120">
        <f ca="1">IF(Первоначальный[[#This Row],[Просроченный платеж]]&lt;1,0,S1206+1)</f>
        <v>1103</v>
      </c>
      <c r="T1207" s="100" cm="1">
        <f t="array" aca="1" ref="T1207" ca="1">IF(Первоначальный[[#This Row],[Итого остаток на начало периода]]&lt;1,0,
IF(
AND(TYPE(VLOOKUP(1,$Z$12:Z1207,1,0))=16,Первоначальный[[#This Row],[Досрочное погашение (да/"")]]=""),0,
_xlfn.IFS(AND(S1206=0,Первоначальный[[#This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платеж]]&lt;&gt;0),MIN(LOOKUP(,-1/($Z$12:Z1207=1),$C$12:C1207)+LOOKUP(,-1/($Z$12:Z1207=1),$H$12:H1207),Первоначальный[[#This Row],[Полученный платеж]]+Y1206),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платеж]]+Y1206,SUM(Первоначальный[[#This Row],[Остаток процентов на начало периода]],Первоначальный[[#This Row],[Проценты за период]])),
AND(S1206=0,Первоначальный[[#This Row],[Дата платежа из графика]]=""),0,
AND(S1206=0,Первоначальный[[#This Row],[Дата платежа из графика]]=1,MAX((0&lt;&gt;S$12:S1206)*ROW(S$12:S1206),ROW($S$12))&gt;=MAX((1=Z$12:Z1206)*ROW(Z$12:Z1206),ROW($T$12)),TYPE(VLOOKUP("Да",(INDIRECT("AA"&amp;(MAX((1=Z$12:Z1206)*ROW(Z$12:Z1206),ROW($T$12))&amp;":AA"&amp;(ROW()-1)))),1,0))=16),MIN(LOOKUP(,-1/($Z$12:Z1207=1),$C$12:C1207)+LOOKUP(,-1/($Z$12:Z1207=1),$H$12:H1207),Первоначальный[[#This Row],[Полученный платеж]]+Y1206),
AND(S1206=0,TYPE(VLOOKUP("Да",(INDIRECT("AA"&amp;(MAX((1=Z$12:Z1206)*ROW(Z$12:Z1206),ROW($T$12))&amp;":AA"&amp;(ROW()-1)))),1,0))&lt;&gt;16),MIN(LOOKUP(,-1/($Z$12:Z1207=1),$C$12:C1207)+LOOKUP(,-1/($Z$12:Z1207=1),$H$12:H1207)-IF(AA1206="Да",0,SUM(INDIRECT("T"&amp;(MAX(("Да"=AA$12:AA1206)*ROW(AA$12:AA1206)+1,ROW($T$12))&amp;":T"&amp;(ROW()-1))))),Первоначальный[[#This Row],[Полученный платеж]]+Y1206),
AND(S1206=0,MAX((0&lt;&gt;N$12:N1206)*ROW(N$12:N1206),ROW($S$12))&gt;=MAX((1=Z$12:Z1206)*ROW(Z$12:Z1206),ROW($T$12))),MIN(LOOKUP(,-1/($Z$12:Z1207=1),$C$12:C1207)+LOOKUP(,-1/($Z$12:Z1207=1),$H$12:H1207)-IF(N1206&lt;&gt;0,0,SUM(INDIRECT("T"&amp;(MAX((0&lt;&gt;N$12:N1206)*ROW(N$12:N1206)+1,ROW($T$12))&amp;":T"&amp;(ROW()-1))))),Первоначальный[[#This Row],[Полученный платеж]]+Y1206),
AND(S1206=0,Первоначальный[[#This Row],[Дата платежа из графика]]=1),MIN(LOOKUP(,-1/($Z$12:Z1207=1),$C$12:C1207)+LOOKUP(,-1/($Z$12:Z1207=1),$H$12:H1207)-IF(Z1206=1,0,SUM(INDIRECT("T"&amp;(MAX((1=Z$12:Z1206)*ROW(Z$12:Z1206)+1,ROW($T$12))&amp;":T"&amp;(ROW()-1))))),Первоначальный[[#This Row],[Полученный платеж]]+Y1206),
AND(Z1206&gt;0,Первоначальный[[#This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платеж]]+Y1206),
AND(S1206&gt;0,MAX((0&lt;&gt;S$12:S1206)*ROW(S$12:S1206),ROW($S$12))&gt;=MAX((1=Z$12:Z1206)*ROW(Z$12:Z1206),ROW($T$12)),TYPE(VLOOKUP("Да",(INDIRECT("AA"&amp;(MAX((1=Z$12:Z1206)*ROW(Z$12:Z1206),ROW($T$12))&amp;":AA"&amp;(ROW()-1)))),1,0))=16),MIN(LOOKUP(,-1/($Z$12:Z1207=1),$C$12:C1207)+LOOKUP(,-1/($Z$12:Z1207=1),$H$12:H1207)-SUM(INDIRECT("T"&amp;(MAX((1=Z$12:Z1206)*ROW(Z$12:Z1206),ROW($T$12))&amp;":T"&amp;(ROW()-1)))),Первоначальный[[#This Row],[Полученный платеж]]+Y1206),
S1206&gt;0,MIN(LOOKUP(,-1/($Z$12:Z1207=1),$C$12:C1207)+LOOKUP(,-1/($Z$12:Z1207=1),$H$12:H1207)-IF(Z1206=1,0,SUM(INDIRECT("T"&amp;(MAX((1=Z$12:Z1206)*ROW(Z$12:Z1206)+1,ROW($T$12))&amp;":T"&amp;(ROW()-1))))),Первоначальный[[#This Row],[Полученный платеж]]+Y1206)
)
)
)</f>
        <v>0</v>
      </c>
      <c r="U120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платеж]]+Y1206-Первоначальный[[#This Row],[Полученный платёж по процентам]])</f>
        <v>0</v>
      </c>
      <c r="V1207" s="55">
        <f t="shared" ca="1" si="219"/>
        <v>0</v>
      </c>
      <c r="W1207" s="55" cm="1">
        <f t="array" aca="1" ref="W1207" ca="1">IF(Первоначальный[[#This Row],[Итого остаток на начало периода]]&lt;1,0,
_xlfn.IFS(
AND(TYPE(VLOOKUP(1,$Z$12:Z1207,1,0))=16,Первоначальный[[#This Row],[Досрочное погашение (да/"")]]=""),0,
AND(S1206=0,Первоначальный[[#This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платеж]]+Y1206-SUM(Первоначальный[[#This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комиссиям]]),VLOOKUP(LOOKUP(,-1/($Z$12:Z1207=1),$A$12:A1207),График[[Срок конец]:[Возврат основной суммы долга]],3,0)),
AND(S1206=0,Первоначальный[[#This Row],[Дата платежа из графика]]="",Первоначальный[[#This Row],[Досрочное погашение (да/"")]]&lt;&gt;"Да"),0,
AND(S1206=0,Первоначальный[[#This Row],[Досрочное погашение (да/"")]]=""),MIN(Первоначальный[[#This Row],[Полученный платеж]]+Y1206-SUM(Первоначальный[[#This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комиссиям]]),VLOOKUP(LOOKUP(,-1/($Z$12:Z1207=1),$A$12:A1207),График[[Срок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платеж]]+Y1206-SUM(Первоначальный[[#This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S1206&gt;0,MIN(Первоначальный[[#This Row],[Полученный платеж]]+Y1206-SUM(Первоначальный[[#This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комиссиям]]),SUM(INDIRECT("M"&amp;(MAX((1=S$12:S1206)*ROW(S$12:S1206),ROW($W$12))&amp;":M"&amp;(ROW()))))-SUM(INDIRECT("W"&amp;(MAX((1=S$12:S1206)*ROW(S$12:S1206),ROW($W$12))&amp;":W"&amp;(ROW()-1)))))
)
)</f>
        <v>0</v>
      </c>
      <c r="X1207" s="55">
        <f t="shared" ca="1" si="220"/>
        <v>0</v>
      </c>
      <c r="Y1207" s="101">
        <f t="shared" ca="1" si="227"/>
        <v>0</v>
      </c>
      <c r="Z1207" s="133" t="str">
        <f>IF(TYPE((VLOOKUP(Первоначальный[[#This Row],[Дата платежа]],График[Срок конец],1,0)))=16,"",1)</f>
        <v/>
      </c>
      <c r="AA1207" s="57"/>
      <c r="AB1207" s="134"/>
      <c r="AC120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0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86645.260000000126</v>
      </c>
      <c r="AE120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5761.7199999999848</v>
      </c>
      <c r="AF120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0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298143.83411639236</v>
      </c>
      <c r="AH1207" s="55"/>
      <c r="AI1207" s="55"/>
      <c r="AJ1207" s="55"/>
      <c r="AK1207" s="101">
        <f t="shared" ca="1" si="228"/>
        <v>540184.15411639248</v>
      </c>
      <c r="AL1207" s="129">
        <f t="array" ref="AL1207">MAX((УслРестрактов[Характеристика]="Дата реструктуризации")*(УслРестрактов[Значение]=Первоначальный!$A1207),0)</f>
        <v>0</v>
      </c>
    </row>
    <row r="1208" spans="1:38" x14ac:dyDescent="0.25">
      <c r="A1208" s="97">
        <f t="shared" si="221"/>
        <v>45339</v>
      </c>
      <c r="B1208" s="100">
        <f t="shared" ca="1" si="222"/>
        <v>149633.34</v>
      </c>
      <c r="C1208" s="55">
        <f t="shared" ca="1" si="218"/>
        <v>86645.260000000126</v>
      </c>
      <c r="D1208" s="55">
        <f t="shared" ca="1" si="218"/>
        <v>5761.7199999999848</v>
      </c>
      <c r="E1208" s="55">
        <f t="shared" ca="1" si="223"/>
        <v>0</v>
      </c>
      <c r="F1208" s="55">
        <f t="shared" ca="1" si="224"/>
        <v>298143.83411639236</v>
      </c>
      <c r="G1208" s="101">
        <f t="shared" ca="1" si="225"/>
        <v>540184.15411639248</v>
      </c>
      <c r="H1208" s="100">
        <f ca="1">ROUND($B1208*VLOOKUP($A1208,$A$1:$B$10,2,1)/(365+IF(MOD(YEAR($A1208),4),0,1)*($A1208-$A1207)),2)-Первоначальный[[#This Row],[Проценты на просроченный платеж по ОД за период]]</f>
        <v>69.930000000000007</v>
      </c>
      <c r="I1208" s="55">
        <f t="shared" ca="1" si="226"/>
        <v>11.43</v>
      </c>
      <c r="J1208" s="55">
        <v>0</v>
      </c>
      <c r="K1208" s="55">
        <f t="shared" ca="1" si="229"/>
        <v>535.87850327868841</v>
      </c>
      <c r="L1208" s="55">
        <v>0</v>
      </c>
      <c r="M1208" s="113">
        <f>SUMIFS(График[Возврат основной суммы долга],График[Дата с учетом нерабочих дней],$A1208)</f>
        <v>0</v>
      </c>
      <c r="N1208" s="56">
        <f>SUMIFS(График[Возврат начисленных %],График[Дата с учетом нерабочих дней],$A1208)</f>
        <v>0</v>
      </c>
      <c r="O1208" s="101">
        <v>0</v>
      </c>
      <c r="P1208" s="100" cm="1">
        <f t="array" aca="1" ref="P1208" ca="1">MAX(IF(AA1207="Да",0,SUM(INDIRECT("M"&amp;(MAX(("Да"=AA$12:AA1207)*ROW(AA$12:AA1207)+1,ROW($P$12))&amp;":M"&amp;(ROW()))))-SUM(INDIRECT("W"&amp;(MAX(("Да"=AA$12:AA1207)*ROW(AA$12:AA1207)+1,ROW($P$12))&amp;":W"&amp;(ROW()))))),0)</f>
        <v>21023.989999999998</v>
      </c>
      <c r="Q1208" s="99">
        <f ca="1">MAX(SUM($N$13:N1208)-SUM($T$13:T1208),0)</f>
        <v>86151.710655737683</v>
      </c>
      <c r="R1208" s="99">
        <f ca="1">Первоначальный[[#This Row],[Просроченный платеж по ОД]]+Первоначальный[[#This Row],[Просроченный платеж по процентам]]</f>
        <v>107175.70065573769</v>
      </c>
      <c r="S1208" s="120">
        <f ca="1">IF(Первоначальный[[#This Row],[Просроченный платеж]]&lt;1,0,S1207+1)</f>
        <v>1104</v>
      </c>
      <c r="T1208" s="100" cm="1">
        <f t="array" aca="1" ref="T1208" ca="1">IF(Первоначальный[[#This Row],[Итого остаток на начало периода]]&lt;1,0,
IF(
AND(TYPE(VLOOKUP(1,$Z$12:Z1208,1,0))=16,Первоначальный[[#This Row],[Досрочное погашение (да/"")]]=""),0,
_xlfn.IFS(AND(S1207=0,Первоначальный[[#This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платеж]]&lt;&gt;0),MIN(LOOKUP(,-1/($Z$12:Z1208=1),$C$12:C1208)+LOOKUP(,-1/($Z$12:Z1208=1),$H$12:H1208),Первоначальный[[#This Row],[Полученный платеж]]+Y1207),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платеж]]+Y1207,SUM(Первоначальный[[#This Row],[Остаток процентов на начало периода]],Первоначальный[[#This Row],[Проценты за период]])),
AND(S1207=0,Первоначальный[[#This Row],[Дата платежа из графика]]=""),0,
AND(S1207=0,Первоначальный[[#This Row],[Дата платежа из графика]]=1,MAX((0&lt;&gt;S$12:S1207)*ROW(S$12:S1207),ROW($S$12))&gt;=MAX((1=Z$12:Z1207)*ROW(Z$12:Z1207),ROW($T$12)),TYPE(VLOOKUP("Да",(INDIRECT("AA"&amp;(MAX((1=Z$12:Z1207)*ROW(Z$12:Z1207),ROW($T$12))&amp;":AA"&amp;(ROW()-1)))),1,0))=16),MIN(LOOKUP(,-1/($Z$12:Z1208=1),$C$12:C1208)+LOOKUP(,-1/($Z$12:Z1208=1),$H$12:H1208),Первоначальный[[#This Row],[Полученный платеж]]+Y1207),
AND(S1207=0,TYPE(VLOOKUP("Да",(INDIRECT("AA"&amp;(MAX((1=Z$12:Z1207)*ROW(Z$12:Z1207),ROW($T$12))&amp;":AA"&amp;(ROW()-1)))),1,0))&lt;&gt;16),MIN(LOOKUP(,-1/($Z$12:Z1208=1),$C$12:C1208)+LOOKUP(,-1/($Z$12:Z1208=1),$H$12:H1208)-IF(AA1207="Да",0,SUM(INDIRECT("T"&amp;(MAX(("Да"=AA$12:AA1207)*ROW(AA$12:AA1207)+1,ROW($T$12))&amp;":T"&amp;(ROW()-1))))),Первоначальный[[#This Row],[Полученный платеж]]+Y1207),
AND(S1207=0,MAX((0&lt;&gt;N$12:N1207)*ROW(N$12:N1207),ROW($S$12))&gt;=MAX((1=Z$12:Z1207)*ROW(Z$12:Z1207),ROW($T$12))),MIN(LOOKUP(,-1/($Z$12:Z1208=1),$C$12:C1208)+LOOKUP(,-1/($Z$12:Z1208=1),$H$12:H1208)-IF(N1207&lt;&gt;0,0,SUM(INDIRECT("T"&amp;(MAX((0&lt;&gt;N$12:N1207)*ROW(N$12:N1207)+1,ROW($T$12))&amp;":T"&amp;(ROW()-1))))),Первоначальный[[#This Row],[Полученный платеж]]+Y1207),
AND(S1207=0,Первоначальный[[#This Row],[Дата платежа из графика]]=1),MIN(LOOKUP(,-1/($Z$12:Z1208=1),$C$12:C1208)+LOOKUP(,-1/($Z$12:Z1208=1),$H$12:H1208)-IF(Z1207=1,0,SUM(INDIRECT("T"&amp;(MAX((1=Z$12:Z1207)*ROW(Z$12:Z1207)+1,ROW($T$12))&amp;":T"&amp;(ROW()-1))))),Первоначальный[[#This Row],[Полученный платеж]]+Y1207),
AND(Z1207&gt;0,Первоначальный[[#This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платеж]]+Y1207),
AND(S1207&gt;0,MAX((0&lt;&gt;S$12:S1207)*ROW(S$12:S1207),ROW($S$12))&gt;=MAX((1=Z$12:Z1207)*ROW(Z$12:Z1207),ROW($T$12)),TYPE(VLOOKUP("Да",(INDIRECT("AA"&amp;(MAX((1=Z$12:Z1207)*ROW(Z$12:Z1207),ROW($T$12))&amp;":AA"&amp;(ROW()-1)))),1,0))=16),MIN(LOOKUP(,-1/($Z$12:Z1208=1),$C$12:C1208)+LOOKUP(,-1/($Z$12:Z1208=1),$H$12:H1208)-SUM(INDIRECT("T"&amp;(MAX((1=Z$12:Z1207)*ROW(Z$12:Z1207),ROW($T$12))&amp;":T"&amp;(ROW()-1)))),Первоначальный[[#This Row],[Полученный платеж]]+Y1207),
S1207&gt;0,MIN(LOOKUP(,-1/($Z$12:Z1208=1),$C$12:C1208)+LOOKUP(,-1/($Z$12:Z1208=1),$H$12:H1208)-IF(Z1207=1,0,SUM(INDIRECT("T"&amp;(MAX((1=Z$12:Z1207)*ROW(Z$12:Z1207)+1,ROW($T$12))&amp;":T"&amp;(ROW()-1))))),Первоначальный[[#This Row],[Полученный платеж]]+Y1207)
)
)
)</f>
        <v>0</v>
      </c>
      <c r="U120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платеж]]+Y1207-Первоначальный[[#This Row],[Полученный платёж по процентам]])</f>
        <v>0</v>
      </c>
      <c r="V1208" s="55">
        <f t="shared" ca="1" si="219"/>
        <v>0</v>
      </c>
      <c r="W1208" s="55" cm="1">
        <f t="array" aca="1" ref="W1208" ca="1">IF(Первоначальный[[#This Row],[Итого остаток на начало периода]]&lt;1,0,
_xlfn.IFS(
AND(TYPE(VLOOKUP(1,$Z$12:Z1208,1,0))=16,Первоначальный[[#This Row],[Досрочное погашение (да/"")]]=""),0,
AND(S1207=0,Первоначальный[[#This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платеж]]+Y1207-SUM(Первоначальный[[#This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комиссиям]]),VLOOKUP(LOOKUP(,-1/($Z$12:Z1208=1),$A$12:A1208),График[[Срок конец]:[Возврат основной суммы долга]],3,0)),
AND(S1207=0,Первоначальный[[#This Row],[Дата платежа из графика]]="",Первоначальный[[#This Row],[Досрочное погашение (да/"")]]&lt;&gt;"Да"),0,
AND(S1207=0,Первоначальный[[#This Row],[Досрочное погашение (да/"")]]=""),MIN(Первоначальный[[#This Row],[Полученный платеж]]+Y1207-SUM(Первоначальный[[#This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комиссиям]]),VLOOKUP(LOOKUP(,-1/($Z$12:Z1208=1),$A$12:A1208),График[[Срок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платеж]]+Y1207-SUM(Первоначальный[[#This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S1207&gt;0,MIN(Первоначальный[[#This Row],[Полученный платеж]]+Y1207-SUM(Первоначальный[[#This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комиссиям]]),SUM(INDIRECT("M"&amp;(MAX((1=S$12:S1207)*ROW(S$12:S1207),ROW($W$12))&amp;":M"&amp;(ROW()))))-SUM(INDIRECT("W"&amp;(MAX((1=S$12:S1207)*ROW(S$12:S1207),ROW($W$12))&amp;":W"&amp;(ROW()-1)))))
)
)</f>
        <v>0</v>
      </c>
      <c r="X1208" s="55">
        <f t="shared" ca="1" si="220"/>
        <v>0</v>
      </c>
      <c r="Y1208" s="101">
        <f t="shared" ca="1" si="227"/>
        <v>0</v>
      </c>
      <c r="Z1208" s="133" t="str">
        <f>IF(TYPE((VLOOKUP(Первоначальный[[#This Row],[Дата платежа]],График[Срок конец],1,0)))=16,"",1)</f>
        <v/>
      </c>
      <c r="AA1208" s="57"/>
      <c r="AB1208" s="134"/>
      <c r="AC120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0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86715.190000000119</v>
      </c>
      <c r="AE120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5773.1499999999851</v>
      </c>
      <c r="AF120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0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298679.71261967107</v>
      </c>
      <c r="AH1208" s="55"/>
      <c r="AI1208" s="55"/>
      <c r="AJ1208" s="55"/>
      <c r="AK1208" s="101">
        <f t="shared" ca="1" si="228"/>
        <v>540801.39261967118</v>
      </c>
      <c r="AL1208" s="129">
        <f t="array" ref="AL1208">MAX((УслРестрактов[Характеристика]="Дата реструктуризации")*(УслРестрактов[Значение]=Первоначальный!$A1208),0)</f>
        <v>0</v>
      </c>
    </row>
    <row r="1209" spans="1:38" x14ac:dyDescent="0.25">
      <c r="A1209" s="97">
        <f t="shared" si="221"/>
        <v>45340</v>
      </c>
      <c r="B1209" s="100">
        <f t="shared" ca="1" si="222"/>
        <v>149633.34</v>
      </c>
      <c r="C1209" s="55">
        <f t="shared" ca="1" si="218"/>
        <v>86715.190000000119</v>
      </c>
      <c r="D1209" s="55">
        <f t="shared" ca="1" si="218"/>
        <v>5773.1499999999851</v>
      </c>
      <c r="E1209" s="55">
        <f t="shared" ca="1" si="223"/>
        <v>0</v>
      </c>
      <c r="F1209" s="55">
        <f t="shared" ca="1" si="224"/>
        <v>298679.71261967107</v>
      </c>
      <c r="G1209" s="101">
        <f t="shared" ca="1" si="225"/>
        <v>540801.39261967118</v>
      </c>
      <c r="H1209" s="100">
        <f ca="1">ROUND($B1209*VLOOKUP($A1209,$A$1:$B$10,2,1)/(365+IF(MOD(YEAR($A1209),4),0,1)*($A1209-$A1208)),2)-Первоначальный[[#This Row],[Проценты на просроченный платеж по ОД за период]]</f>
        <v>69.930000000000007</v>
      </c>
      <c r="I1209" s="55">
        <f t="shared" ca="1" si="226"/>
        <v>11.43</v>
      </c>
      <c r="J1209" s="55">
        <v>0</v>
      </c>
      <c r="K1209" s="55">
        <f t="shared" ca="1" si="229"/>
        <v>535.87850327868841</v>
      </c>
      <c r="L1209" s="55">
        <v>0</v>
      </c>
      <c r="M1209" s="113">
        <f>SUMIFS(График[Возврат основной суммы долга],График[Дата с учетом нерабочих дней],$A1209)</f>
        <v>0</v>
      </c>
      <c r="N1209" s="56">
        <f>SUMIFS(График[Возврат начисленных %],График[Дата с учетом нерабочих дней],$A1209)</f>
        <v>0</v>
      </c>
      <c r="O1209" s="101">
        <v>0</v>
      </c>
      <c r="P1209" s="100" cm="1">
        <f t="array" aca="1" ref="P1209" ca="1">MAX(IF(AA1208="Да",0,SUM(INDIRECT("M"&amp;(MAX(("Да"=AA$12:AA1208)*ROW(AA$12:AA1208)+1,ROW($P$12))&amp;":M"&amp;(ROW()))))-SUM(INDIRECT("W"&amp;(MAX(("Да"=AA$12:AA1208)*ROW(AA$12:AA1208)+1,ROW($P$12))&amp;":W"&amp;(ROW()))))),0)</f>
        <v>21023.989999999998</v>
      </c>
      <c r="Q1209" s="99">
        <f ca="1">MAX(SUM($N$13:N1209)-SUM($T$13:T1209),0)</f>
        <v>86151.710655737683</v>
      </c>
      <c r="R1209" s="99">
        <f ca="1">Первоначальный[[#This Row],[Просроченный платеж по ОД]]+Первоначальный[[#This Row],[Просроченный платеж по процентам]]</f>
        <v>107175.70065573769</v>
      </c>
      <c r="S1209" s="120">
        <f ca="1">IF(Первоначальный[[#This Row],[Просроченный платеж]]&lt;1,0,S1208+1)</f>
        <v>1105</v>
      </c>
      <c r="T1209" s="100" cm="1">
        <f t="array" aca="1" ref="T1209" ca="1">IF(Первоначальный[[#This Row],[Итого остаток на начало периода]]&lt;1,0,
IF(
AND(TYPE(VLOOKUP(1,$Z$12:Z1209,1,0))=16,Первоначальный[[#This Row],[Досрочное погашение (да/"")]]=""),0,
_xlfn.IFS(AND(S1208=0,Первоначальный[[#This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платеж]]&lt;&gt;0),MIN(LOOKUP(,-1/($Z$12:Z1209=1),$C$12:C1209)+LOOKUP(,-1/($Z$12:Z1209=1),$H$12:H1209),Первоначальный[[#This Row],[Полученный платеж]]+Y1208),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платеж]]+Y1208,SUM(Первоначальный[[#This Row],[Остаток процентов на начало периода]],Первоначальный[[#This Row],[Проценты за период]])),
AND(S1208=0,Первоначальный[[#This Row],[Дата платежа из графика]]=""),0,
AND(S1208=0,Первоначальный[[#This Row],[Дата платежа из графика]]=1,MAX((0&lt;&gt;S$12:S1208)*ROW(S$12:S1208),ROW($S$12))&gt;=MAX((1=Z$12:Z1208)*ROW(Z$12:Z1208),ROW($T$12)),TYPE(VLOOKUP("Да",(INDIRECT("AA"&amp;(MAX((1=Z$12:Z1208)*ROW(Z$12:Z1208),ROW($T$12))&amp;":AA"&amp;(ROW()-1)))),1,0))=16),MIN(LOOKUP(,-1/($Z$12:Z1209=1),$C$12:C1209)+LOOKUP(,-1/($Z$12:Z1209=1),$H$12:H1209),Первоначальный[[#This Row],[Полученный платеж]]+Y1208),
AND(S1208=0,TYPE(VLOOKUP("Да",(INDIRECT("AA"&amp;(MAX((1=Z$12:Z1208)*ROW(Z$12:Z1208),ROW($T$12))&amp;":AA"&amp;(ROW()-1)))),1,0))&lt;&gt;16),MIN(LOOKUP(,-1/($Z$12:Z1209=1),$C$12:C1209)+LOOKUP(,-1/($Z$12:Z1209=1),$H$12:H1209)-IF(AA1208="Да",0,SUM(INDIRECT("T"&amp;(MAX(("Да"=AA$12:AA1208)*ROW(AA$12:AA1208)+1,ROW($T$12))&amp;":T"&amp;(ROW()-1))))),Первоначальный[[#This Row],[Полученный платеж]]+Y1208),
AND(S1208=0,MAX((0&lt;&gt;N$12:N1208)*ROW(N$12:N1208),ROW($S$12))&gt;=MAX((1=Z$12:Z1208)*ROW(Z$12:Z1208),ROW($T$12))),MIN(LOOKUP(,-1/($Z$12:Z1209=1),$C$12:C1209)+LOOKUP(,-1/($Z$12:Z1209=1),$H$12:H1209)-IF(N1208&lt;&gt;0,0,SUM(INDIRECT("T"&amp;(MAX((0&lt;&gt;N$12:N1208)*ROW(N$12:N1208)+1,ROW($T$12))&amp;":T"&amp;(ROW()-1))))),Первоначальный[[#This Row],[Полученный платеж]]+Y1208),
AND(S1208=0,Первоначальный[[#This Row],[Дата платежа из графика]]=1),MIN(LOOKUP(,-1/($Z$12:Z1209=1),$C$12:C1209)+LOOKUP(,-1/($Z$12:Z1209=1),$H$12:H1209)-IF(Z1208=1,0,SUM(INDIRECT("T"&amp;(MAX((1=Z$12:Z1208)*ROW(Z$12:Z1208)+1,ROW($T$12))&amp;":T"&amp;(ROW()-1))))),Первоначальный[[#This Row],[Полученный платеж]]+Y1208),
AND(Z1208&gt;0,Первоначальный[[#This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платеж]]+Y1208),
AND(S1208&gt;0,MAX((0&lt;&gt;S$12:S1208)*ROW(S$12:S1208),ROW($S$12))&gt;=MAX((1=Z$12:Z1208)*ROW(Z$12:Z1208),ROW($T$12)),TYPE(VLOOKUP("Да",(INDIRECT("AA"&amp;(MAX((1=Z$12:Z1208)*ROW(Z$12:Z1208),ROW($T$12))&amp;":AA"&amp;(ROW()-1)))),1,0))=16),MIN(LOOKUP(,-1/($Z$12:Z1209=1),$C$12:C1209)+LOOKUP(,-1/($Z$12:Z1209=1),$H$12:H1209)-SUM(INDIRECT("T"&amp;(MAX((1=Z$12:Z1208)*ROW(Z$12:Z1208),ROW($T$12))&amp;":T"&amp;(ROW()-1)))),Первоначальный[[#This Row],[Полученный платеж]]+Y1208),
S1208&gt;0,MIN(LOOKUP(,-1/($Z$12:Z1209=1),$C$12:C1209)+LOOKUP(,-1/($Z$12:Z1209=1),$H$12:H1209)-IF(Z1208=1,0,SUM(INDIRECT("T"&amp;(MAX((1=Z$12:Z1208)*ROW(Z$12:Z1208)+1,ROW($T$12))&amp;":T"&amp;(ROW()-1))))),Первоначальный[[#This Row],[Полученный платеж]]+Y1208)
)
)
)</f>
        <v>0</v>
      </c>
      <c r="U120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платеж]]+Y1208-Первоначальный[[#This Row],[Полученный платёж по процентам]])</f>
        <v>0</v>
      </c>
      <c r="V1209" s="55">
        <f t="shared" ca="1" si="219"/>
        <v>0</v>
      </c>
      <c r="W1209" s="55" cm="1">
        <f t="array" aca="1" ref="W1209" ca="1">IF(Первоначальный[[#This Row],[Итого остаток на начало периода]]&lt;1,0,
_xlfn.IFS(
AND(TYPE(VLOOKUP(1,$Z$12:Z1209,1,0))=16,Первоначальный[[#This Row],[Досрочное погашение (да/"")]]=""),0,
AND(S1208=0,Первоначальный[[#This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платеж]]+Y1208-SUM(Первоначальный[[#This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комиссиям]]),VLOOKUP(LOOKUP(,-1/($Z$12:Z1209=1),$A$12:A1209),График[[Срок конец]:[Возврат основной суммы долга]],3,0)),
AND(S1208=0,Первоначальный[[#This Row],[Дата платежа из графика]]="",Первоначальный[[#This Row],[Досрочное погашение (да/"")]]&lt;&gt;"Да"),0,
AND(S1208=0,Первоначальный[[#This Row],[Досрочное погашение (да/"")]]=""),MIN(Первоначальный[[#This Row],[Полученный платеж]]+Y1208-SUM(Первоначальный[[#This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комиссиям]]),VLOOKUP(LOOKUP(,-1/($Z$12:Z1209=1),$A$12:A1209),График[[Срок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платеж]]+Y1208-SUM(Первоначальный[[#This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S1208&gt;0,MIN(Первоначальный[[#This Row],[Полученный платеж]]+Y1208-SUM(Первоначальный[[#This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комиссиям]]),SUM(INDIRECT("M"&amp;(MAX((1=S$12:S1208)*ROW(S$12:S1208),ROW($W$12))&amp;":M"&amp;(ROW()))))-SUM(INDIRECT("W"&amp;(MAX((1=S$12:S1208)*ROW(S$12:S1208),ROW($W$12))&amp;":W"&amp;(ROW()-1)))))
)
)</f>
        <v>0</v>
      </c>
      <c r="X1209" s="55">
        <f t="shared" ca="1" si="220"/>
        <v>0</v>
      </c>
      <c r="Y1209" s="101">
        <f t="shared" ca="1" si="227"/>
        <v>0</v>
      </c>
      <c r="Z1209" s="133" t="str">
        <f>IF(TYPE((VLOOKUP(Первоначальный[[#This Row],[Дата платежа]],График[Срок конец],1,0)))=16,"",1)</f>
        <v/>
      </c>
      <c r="AA1209" s="57"/>
      <c r="AB1209" s="134"/>
      <c r="AC120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0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86785.120000000112</v>
      </c>
      <c r="AE120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5784.5799999999854</v>
      </c>
      <c r="AF120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0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299215.59112294979</v>
      </c>
      <c r="AH1209" s="55"/>
      <c r="AI1209" s="55"/>
      <c r="AJ1209" s="55"/>
      <c r="AK1209" s="101">
        <f t="shared" ca="1" si="228"/>
        <v>541418.63112294988</v>
      </c>
      <c r="AL1209" s="129">
        <f t="array" ref="AL1209">MAX((УслРестрактов[Характеристика]="Дата реструктуризации")*(УслРестрактов[Значение]=Первоначальный!$A1209),0)</f>
        <v>0</v>
      </c>
    </row>
    <row r="1210" spans="1:38" x14ac:dyDescent="0.25">
      <c r="A1210" s="97">
        <f t="shared" si="221"/>
        <v>45341</v>
      </c>
      <c r="B1210" s="100">
        <f t="shared" ca="1" si="222"/>
        <v>149633.34</v>
      </c>
      <c r="C1210" s="55">
        <f t="shared" ca="1" si="218"/>
        <v>86785.120000000112</v>
      </c>
      <c r="D1210" s="55">
        <f t="shared" ca="1" si="218"/>
        <v>5784.5799999999854</v>
      </c>
      <c r="E1210" s="55">
        <f t="shared" ca="1" si="223"/>
        <v>0</v>
      </c>
      <c r="F1210" s="55">
        <f t="shared" ca="1" si="224"/>
        <v>299215.59112294979</v>
      </c>
      <c r="G1210" s="101">
        <f t="shared" ca="1" si="225"/>
        <v>541418.63112294988</v>
      </c>
      <c r="H1210" s="100">
        <f ca="1">ROUND($B1210*VLOOKUP($A1210,$A$1:$B$10,2,1)/(365+IF(MOD(YEAR($A1210),4),0,1)*($A1210-$A1209)),2)-Первоначальный[[#This Row],[Проценты на просроченный платеж по ОД за период]]</f>
        <v>69.930000000000007</v>
      </c>
      <c r="I1210" s="55">
        <f t="shared" ca="1" si="226"/>
        <v>11.43</v>
      </c>
      <c r="J1210" s="55">
        <v>0</v>
      </c>
      <c r="K1210" s="55">
        <f t="shared" ca="1" si="229"/>
        <v>535.87850327868841</v>
      </c>
      <c r="L1210" s="55">
        <v>0</v>
      </c>
      <c r="M1210" s="113">
        <f>SUMIFS(График[Возврат основной суммы долга],График[Дата с учетом нерабочих дней],$A1210)</f>
        <v>0</v>
      </c>
      <c r="N1210" s="56">
        <f>SUMIFS(График[Возврат начисленных %],График[Дата с учетом нерабочих дней],$A1210)</f>
        <v>0</v>
      </c>
      <c r="O1210" s="101">
        <v>0</v>
      </c>
      <c r="P1210" s="100" cm="1">
        <f t="array" aca="1" ref="P1210" ca="1">MAX(IF(AA1209="Да",0,SUM(INDIRECT("M"&amp;(MAX(("Да"=AA$12:AA1209)*ROW(AA$12:AA1209)+1,ROW($P$12))&amp;":M"&amp;(ROW()))))-SUM(INDIRECT("W"&amp;(MAX(("Да"=AA$12:AA1209)*ROW(AA$12:AA1209)+1,ROW($P$12))&amp;":W"&amp;(ROW()))))),0)</f>
        <v>21023.989999999998</v>
      </c>
      <c r="Q1210" s="99">
        <f ca="1">MAX(SUM($N$13:N1210)-SUM($T$13:T1210),0)</f>
        <v>86151.710655737683</v>
      </c>
      <c r="R1210" s="99">
        <f ca="1">Первоначальный[[#This Row],[Просроченный платеж по ОД]]+Первоначальный[[#This Row],[Просроченный платеж по процентам]]</f>
        <v>107175.70065573769</v>
      </c>
      <c r="S1210" s="120">
        <f ca="1">IF(Первоначальный[[#This Row],[Просроченный платеж]]&lt;1,0,S1209+1)</f>
        <v>1106</v>
      </c>
      <c r="T1210" s="100" cm="1">
        <f t="array" aca="1" ref="T1210" ca="1">IF(Первоначальный[[#This Row],[Итого остаток на начало периода]]&lt;1,0,
IF(
AND(TYPE(VLOOKUP(1,$Z$12:Z1210,1,0))=16,Первоначальный[[#This Row],[Досрочное погашение (да/"")]]=""),0,
_xlfn.IFS(AND(S1209=0,Первоначальный[[#This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платеж]]&lt;&gt;0),MIN(LOOKUP(,-1/($Z$12:Z1210=1),$C$12:C1210)+LOOKUP(,-1/($Z$12:Z1210=1),$H$12:H1210),Первоначальный[[#This Row],[Полученный платеж]]+Y1209),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платеж]]+Y1209,SUM(Первоначальный[[#This Row],[Остаток процентов на начало периода]],Первоначальный[[#This Row],[Проценты за период]])),
AND(S1209=0,Первоначальный[[#This Row],[Дата платежа из графика]]=""),0,
AND(S1209=0,Первоначальный[[#This Row],[Дата платежа из графика]]=1,MAX((0&lt;&gt;S$12:S1209)*ROW(S$12:S1209),ROW($S$12))&gt;=MAX((1=Z$12:Z1209)*ROW(Z$12:Z1209),ROW($T$12)),TYPE(VLOOKUP("Да",(INDIRECT("AA"&amp;(MAX((1=Z$12:Z1209)*ROW(Z$12:Z1209),ROW($T$12))&amp;":AA"&amp;(ROW()-1)))),1,0))=16),MIN(LOOKUP(,-1/($Z$12:Z1210=1),$C$12:C1210)+LOOKUP(,-1/($Z$12:Z1210=1),$H$12:H1210),Первоначальный[[#This Row],[Полученный платеж]]+Y1209),
AND(S1209=0,TYPE(VLOOKUP("Да",(INDIRECT("AA"&amp;(MAX((1=Z$12:Z1209)*ROW(Z$12:Z1209),ROW($T$12))&amp;":AA"&amp;(ROW()-1)))),1,0))&lt;&gt;16),MIN(LOOKUP(,-1/($Z$12:Z1210=1),$C$12:C1210)+LOOKUP(,-1/($Z$12:Z1210=1),$H$12:H1210)-IF(AA1209="Да",0,SUM(INDIRECT("T"&amp;(MAX(("Да"=AA$12:AA1209)*ROW(AA$12:AA1209)+1,ROW($T$12))&amp;":T"&amp;(ROW()-1))))),Первоначальный[[#This Row],[Полученный платеж]]+Y1209),
AND(S1209=0,MAX((0&lt;&gt;N$12:N1209)*ROW(N$12:N1209),ROW($S$12))&gt;=MAX((1=Z$12:Z1209)*ROW(Z$12:Z1209),ROW($T$12))),MIN(LOOKUP(,-1/($Z$12:Z1210=1),$C$12:C1210)+LOOKUP(,-1/($Z$12:Z1210=1),$H$12:H1210)-IF(N1209&lt;&gt;0,0,SUM(INDIRECT("T"&amp;(MAX((0&lt;&gt;N$12:N1209)*ROW(N$12:N1209)+1,ROW($T$12))&amp;":T"&amp;(ROW()-1))))),Первоначальный[[#This Row],[Полученный платеж]]+Y1209),
AND(S1209=0,Первоначальный[[#This Row],[Дата платежа из графика]]=1),MIN(LOOKUP(,-1/($Z$12:Z1210=1),$C$12:C1210)+LOOKUP(,-1/($Z$12:Z1210=1),$H$12:H1210)-IF(Z1209=1,0,SUM(INDIRECT("T"&amp;(MAX((1=Z$12:Z1209)*ROW(Z$12:Z1209)+1,ROW($T$12))&amp;":T"&amp;(ROW()-1))))),Первоначальный[[#This Row],[Полученный платеж]]+Y1209),
AND(Z1209&gt;0,Первоначальный[[#This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платеж]]+Y1209),
AND(S1209&gt;0,MAX((0&lt;&gt;S$12:S1209)*ROW(S$12:S1209),ROW($S$12))&gt;=MAX((1=Z$12:Z1209)*ROW(Z$12:Z1209),ROW($T$12)),TYPE(VLOOKUP("Да",(INDIRECT("AA"&amp;(MAX((1=Z$12:Z1209)*ROW(Z$12:Z1209),ROW($T$12))&amp;":AA"&amp;(ROW()-1)))),1,0))=16),MIN(LOOKUP(,-1/($Z$12:Z1210=1),$C$12:C1210)+LOOKUP(,-1/($Z$12:Z1210=1),$H$12:H1210)-SUM(INDIRECT("T"&amp;(MAX((1=Z$12:Z1209)*ROW(Z$12:Z1209),ROW($T$12))&amp;":T"&amp;(ROW()-1)))),Первоначальный[[#This Row],[Полученный платеж]]+Y1209),
S1209&gt;0,MIN(LOOKUP(,-1/($Z$12:Z1210=1),$C$12:C1210)+LOOKUP(,-1/($Z$12:Z1210=1),$H$12:H1210)-IF(Z1209=1,0,SUM(INDIRECT("T"&amp;(MAX((1=Z$12:Z1209)*ROW(Z$12:Z1209)+1,ROW($T$12))&amp;":T"&amp;(ROW()-1))))),Первоначальный[[#This Row],[Полученный платеж]]+Y1209)
)
)
)</f>
        <v>0</v>
      </c>
      <c r="U121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платеж]]+Y1209-Первоначальный[[#This Row],[Полученный платёж по процентам]])</f>
        <v>0</v>
      </c>
      <c r="V1210" s="55">
        <f t="shared" ca="1" si="219"/>
        <v>0</v>
      </c>
      <c r="W1210" s="55" cm="1">
        <f t="array" aca="1" ref="W1210" ca="1">IF(Первоначальный[[#This Row],[Итого остаток на начало периода]]&lt;1,0,
_xlfn.IFS(
AND(TYPE(VLOOKUP(1,$Z$12:Z1210,1,0))=16,Первоначальный[[#This Row],[Досрочное погашение (да/"")]]=""),0,
AND(S1209=0,Первоначальный[[#This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платеж]]+Y1209-SUM(Первоначальный[[#This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комиссиям]]),VLOOKUP(LOOKUP(,-1/($Z$12:Z1210=1),$A$12:A1210),График[[Срок конец]:[Возврат основной суммы долга]],3,0)),
AND(S1209=0,Первоначальный[[#This Row],[Дата платежа из графика]]="",Первоначальный[[#This Row],[Досрочное погашение (да/"")]]&lt;&gt;"Да"),0,
AND(S1209=0,Первоначальный[[#This Row],[Досрочное погашение (да/"")]]=""),MIN(Первоначальный[[#This Row],[Полученный платеж]]+Y1209-SUM(Первоначальный[[#This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комиссиям]]),VLOOKUP(LOOKUP(,-1/($Z$12:Z1210=1),$A$12:A1210),График[[Срок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платеж]]+Y1209-SUM(Первоначальный[[#This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S1209&gt;0,MIN(Первоначальный[[#This Row],[Полученный платеж]]+Y1209-SUM(Первоначальный[[#This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комиссиям]]),SUM(INDIRECT("M"&amp;(MAX((1=S$12:S1209)*ROW(S$12:S1209),ROW($W$12))&amp;":M"&amp;(ROW()))))-SUM(INDIRECT("W"&amp;(MAX((1=S$12:S1209)*ROW(S$12:S1209),ROW($W$12))&amp;":W"&amp;(ROW()-1)))))
)
)</f>
        <v>0</v>
      </c>
      <c r="X1210" s="55">
        <f t="shared" ca="1" si="220"/>
        <v>0</v>
      </c>
      <c r="Y1210" s="101">
        <f t="shared" ca="1" si="227"/>
        <v>0</v>
      </c>
      <c r="Z1210" s="133" t="str">
        <f>IF(TYPE((VLOOKUP(Первоначальный[[#This Row],[Дата платежа]],График[Срок конец],1,0)))=16,"",1)</f>
        <v/>
      </c>
      <c r="AA1210" s="57"/>
      <c r="AB1210" s="134"/>
      <c r="AC121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1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86855.050000000105</v>
      </c>
      <c r="AE121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5796.0099999999857</v>
      </c>
      <c r="AF121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1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299751.4696262285</v>
      </c>
      <c r="AH1210" s="55"/>
      <c r="AI1210" s="55"/>
      <c r="AJ1210" s="55"/>
      <c r="AK1210" s="101">
        <f t="shared" ca="1" si="228"/>
        <v>542035.86962622858</v>
      </c>
      <c r="AL1210" s="129">
        <f t="array" ref="AL1210">MAX((УслРестрактов[Характеристика]="Дата реструктуризации")*(УслРестрактов[Значение]=Первоначальный!$A1210),0)</f>
        <v>0</v>
      </c>
    </row>
    <row r="1211" spans="1:38" x14ac:dyDescent="0.25">
      <c r="A1211" s="97">
        <f t="shared" si="221"/>
        <v>45342</v>
      </c>
      <c r="B1211" s="100">
        <f t="shared" ca="1" si="222"/>
        <v>149633.34</v>
      </c>
      <c r="C1211" s="55">
        <f t="shared" ca="1" si="218"/>
        <v>86855.050000000105</v>
      </c>
      <c r="D1211" s="55">
        <f t="shared" ca="1" si="218"/>
        <v>5796.0099999999857</v>
      </c>
      <c r="E1211" s="55">
        <f t="shared" ca="1" si="223"/>
        <v>0</v>
      </c>
      <c r="F1211" s="55">
        <f t="shared" ca="1" si="224"/>
        <v>299751.4696262285</v>
      </c>
      <c r="G1211" s="101">
        <f t="shared" ca="1" si="225"/>
        <v>542035.86962622858</v>
      </c>
      <c r="H1211" s="100">
        <f ca="1">ROUND($B1211*VLOOKUP($A1211,$A$1:$B$10,2,1)/(365+IF(MOD(YEAR($A1211),4),0,1)*($A1211-$A1210)),2)-Первоначальный[[#This Row],[Проценты на просроченный платеж по ОД за период]]</f>
        <v>69.930000000000007</v>
      </c>
      <c r="I1211" s="55">
        <f t="shared" ca="1" si="226"/>
        <v>11.43</v>
      </c>
      <c r="J1211" s="55">
        <v>0</v>
      </c>
      <c r="K1211" s="55">
        <f t="shared" ca="1" si="229"/>
        <v>535.87850327868841</v>
      </c>
      <c r="L1211" s="55">
        <v>0</v>
      </c>
      <c r="M1211" s="113">
        <f>SUMIFS(График[Возврат основной суммы долга],График[Дата с учетом нерабочих дней],$A1211)</f>
        <v>0</v>
      </c>
      <c r="N1211" s="56">
        <f>SUMIFS(График[Возврат начисленных %],График[Дата с учетом нерабочих дней],$A1211)</f>
        <v>0</v>
      </c>
      <c r="O1211" s="101">
        <v>0</v>
      </c>
      <c r="P1211" s="100" cm="1">
        <f t="array" aca="1" ref="P1211" ca="1">MAX(IF(AA1210="Да",0,SUM(INDIRECT("M"&amp;(MAX(("Да"=AA$12:AA1210)*ROW(AA$12:AA1210)+1,ROW($P$12))&amp;":M"&amp;(ROW()))))-SUM(INDIRECT("W"&amp;(MAX(("Да"=AA$12:AA1210)*ROW(AA$12:AA1210)+1,ROW($P$12))&amp;":W"&amp;(ROW()))))),0)</f>
        <v>21023.989999999998</v>
      </c>
      <c r="Q1211" s="99">
        <f ca="1">MAX(SUM($N$13:N1211)-SUM($T$13:T1211),0)</f>
        <v>86151.710655737683</v>
      </c>
      <c r="R1211" s="99">
        <f ca="1">Первоначальный[[#This Row],[Просроченный платеж по ОД]]+Первоначальный[[#This Row],[Просроченный платеж по процентам]]</f>
        <v>107175.70065573769</v>
      </c>
      <c r="S1211" s="120">
        <f ca="1">IF(Первоначальный[[#This Row],[Просроченный платеж]]&lt;1,0,S1210+1)</f>
        <v>1107</v>
      </c>
      <c r="T1211" s="100" cm="1">
        <f t="array" aca="1" ref="T1211" ca="1">IF(Первоначальный[[#This Row],[Итого остаток на начало периода]]&lt;1,0,
IF(
AND(TYPE(VLOOKUP(1,$Z$12:Z1211,1,0))=16,Первоначальный[[#This Row],[Досрочное погашение (да/"")]]=""),0,
_xlfn.IFS(AND(S1210=0,Первоначальный[[#This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платеж]]&lt;&gt;0),MIN(LOOKUP(,-1/($Z$12:Z1211=1),$C$12:C1211)+LOOKUP(,-1/($Z$12:Z1211=1),$H$12:H1211),Первоначальный[[#This Row],[Полученный платеж]]+Y1210),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платеж]]+Y1210,SUM(Первоначальный[[#This Row],[Остаток процентов на начало периода]],Первоначальный[[#This Row],[Проценты за период]])),
AND(S1210=0,Первоначальный[[#This Row],[Дата платежа из графика]]=""),0,
AND(S1210=0,Первоначальный[[#This Row],[Дата платежа из графика]]=1,MAX((0&lt;&gt;S$12:S1210)*ROW(S$12:S1210),ROW($S$12))&gt;=MAX((1=Z$12:Z1210)*ROW(Z$12:Z1210),ROW($T$12)),TYPE(VLOOKUP("Да",(INDIRECT("AA"&amp;(MAX((1=Z$12:Z1210)*ROW(Z$12:Z1210),ROW($T$12))&amp;":AA"&amp;(ROW()-1)))),1,0))=16),MIN(LOOKUP(,-1/($Z$12:Z1211=1),$C$12:C1211)+LOOKUP(,-1/($Z$12:Z1211=1),$H$12:H1211),Первоначальный[[#This Row],[Полученный платеж]]+Y1210),
AND(S1210=0,TYPE(VLOOKUP("Да",(INDIRECT("AA"&amp;(MAX((1=Z$12:Z1210)*ROW(Z$12:Z1210),ROW($T$12))&amp;":AA"&amp;(ROW()-1)))),1,0))&lt;&gt;16),MIN(LOOKUP(,-1/($Z$12:Z1211=1),$C$12:C1211)+LOOKUP(,-1/($Z$12:Z1211=1),$H$12:H1211)-IF(AA1210="Да",0,SUM(INDIRECT("T"&amp;(MAX(("Да"=AA$12:AA1210)*ROW(AA$12:AA1210)+1,ROW($T$12))&amp;":T"&amp;(ROW()-1))))),Первоначальный[[#This Row],[Полученный платеж]]+Y1210),
AND(S1210=0,MAX((0&lt;&gt;N$12:N1210)*ROW(N$12:N1210),ROW($S$12))&gt;=MAX((1=Z$12:Z1210)*ROW(Z$12:Z1210),ROW($T$12))),MIN(LOOKUP(,-1/($Z$12:Z1211=1),$C$12:C1211)+LOOKUP(,-1/($Z$12:Z1211=1),$H$12:H1211)-IF(N1210&lt;&gt;0,0,SUM(INDIRECT("T"&amp;(MAX((0&lt;&gt;N$12:N1210)*ROW(N$12:N1210)+1,ROW($T$12))&amp;":T"&amp;(ROW()-1))))),Первоначальный[[#This Row],[Полученный платеж]]+Y1210),
AND(S1210=0,Первоначальный[[#This Row],[Дата платежа из графика]]=1),MIN(LOOKUP(,-1/($Z$12:Z1211=1),$C$12:C1211)+LOOKUP(,-1/($Z$12:Z1211=1),$H$12:H1211)-IF(Z1210=1,0,SUM(INDIRECT("T"&amp;(MAX((1=Z$12:Z1210)*ROW(Z$12:Z1210)+1,ROW($T$12))&amp;":T"&amp;(ROW()-1))))),Первоначальный[[#This Row],[Полученный платеж]]+Y1210),
AND(Z1210&gt;0,Первоначальный[[#This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платеж]]+Y1210),
AND(S1210&gt;0,MAX((0&lt;&gt;S$12:S1210)*ROW(S$12:S1210),ROW($S$12))&gt;=MAX((1=Z$12:Z1210)*ROW(Z$12:Z1210),ROW($T$12)),TYPE(VLOOKUP("Да",(INDIRECT("AA"&amp;(MAX((1=Z$12:Z1210)*ROW(Z$12:Z1210),ROW($T$12))&amp;":AA"&amp;(ROW()-1)))),1,0))=16),MIN(LOOKUP(,-1/($Z$12:Z1211=1),$C$12:C1211)+LOOKUP(,-1/($Z$12:Z1211=1),$H$12:H1211)-SUM(INDIRECT("T"&amp;(MAX((1=Z$12:Z1210)*ROW(Z$12:Z1210),ROW($T$12))&amp;":T"&amp;(ROW()-1)))),Первоначальный[[#This Row],[Полученный платеж]]+Y1210),
S1210&gt;0,MIN(LOOKUP(,-1/($Z$12:Z1211=1),$C$12:C1211)+LOOKUP(,-1/($Z$12:Z1211=1),$H$12:H1211)-IF(Z1210=1,0,SUM(INDIRECT("T"&amp;(MAX((1=Z$12:Z1210)*ROW(Z$12:Z1210)+1,ROW($T$12))&amp;":T"&amp;(ROW()-1))))),Первоначальный[[#This Row],[Полученный платеж]]+Y1210)
)
)
)</f>
        <v>0</v>
      </c>
      <c r="U121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платеж]]+Y1210-Первоначальный[[#This Row],[Полученный платёж по процентам]])</f>
        <v>0</v>
      </c>
      <c r="V1211" s="55">
        <f t="shared" ca="1" si="219"/>
        <v>0</v>
      </c>
      <c r="W1211" s="55" cm="1">
        <f t="array" aca="1" ref="W1211" ca="1">IF(Первоначальный[[#This Row],[Итого остаток на начало периода]]&lt;1,0,
_xlfn.IFS(
AND(TYPE(VLOOKUP(1,$Z$12:Z1211,1,0))=16,Первоначальный[[#This Row],[Досрочное погашение (да/"")]]=""),0,
AND(S1210=0,Первоначальный[[#This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платеж]]+Y1210-SUM(Первоначальный[[#This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комиссиям]]),VLOOKUP(LOOKUP(,-1/($Z$12:Z1211=1),$A$12:A1211),График[[Срок конец]:[Возврат основной суммы долга]],3,0)),
AND(S1210=0,Первоначальный[[#This Row],[Дата платежа из графика]]="",Первоначальный[[#This Row],[Досрочное погашение (да/"")]]&lt;&gt;"Да"),0,
AND(S1210=0,Первоначальный[[#This Row],[Досрочное погашение (да/"")]]=""),MIN(Первоначальный[[#This Row],[Полученный платеж]]+Y1210-SUM(Первоначальный[[#This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комиссиям]]),VLOOKUP(LOOKUP(,-1/($Z$12:Z1211=1),$A$12:A1211),График[[Срок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платеж]]+Y1210-SUM(Первоначальный[[#This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S1210&gt;0,MIN(Первоначальный[[#This Row],[Полученный платеж]]+Y1210-SUM(Первоначальный[[#This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комиссиям]]),SUM(INDIRECT("M"&amp;(MAX((1=S$12:S1210)*ROW(S$12:S1210),ROW($W$12))&amp;":M"&amp;(ROW()))))-SUM(INDIRECT("W"&amp;(MAX((1=S$12:S1210)*ROW(S$12:S1210),ROW($W$12))&amp;":W"&amp;(ROW()-1)))))
)
)</f>
        <v>0</v>
      </c>
      <c r="X1211" s="55">
        <f t="shared" ca="1" si="220"/>
        <v>0</v>
      </c>
      <c r="Y1211" s="101">
        <f t="shared" ca="1" si="227"/>
        <v>0</v>
      </c>
      <c r="Z1211" s="133" t="str">
        <f>IF(TYPE((VLOOKUP(Первоначальный[[#This Row],[Дата платежа]],График[Срок конец],1,0)))=16,"",1)</f>
        <v/>
      </c>
      <c r="AA1211" s="57"/>
      <c r="AB1211" s="134"/>
      <c r="AC121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1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86924.980000000098</v>
      </c>
      <c r="AE121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5807.439999999986</v>
      </c>
      <c r="AF121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1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300287.34812950721</v>
      </c>
      <c r="AH1211" s="55"/>
      <c r="AI1211" s="55"/>
      <c r="AJ1211" s="55"/>
      <c r="AK1211" s="101">
        <f t="shared" ca="1" si="228"/>
        <v>542653.10812950728</v>
      </c>
      <c r="AL1211" s="129">
        <f t="array" ref="AL1211">MAX((УслРестрактов[Характеристика]="Дата реструктуризации")*(УслРестрактов[Значение]=Первоначальный!$A1211),0)</f>
        <v>0</v>
      </c>
    </row>
    <row r="1212" spans="1:38" x14ac:dyDescent="0.25">
      <c r="A1212" s="97">
        <f t="shared" si="221"/>
        <v>45343</v>
      </c>
      <c r="B1212" s="100">
        <f t="shared" ca="1" si="222"/>
        <v>149633.34</v>
      </c>
      <c r="C1212" s="55">
        <f t="shared" ca="1" si="218"/>
        <v>86924.980000000098</v>
      </c>
      <c r="D1212" s="55">
        <f t="shared" ca="1" si="218"/>
        <v>5807.439999999986</v>
      </c>
      <c r="E1212" s="55">
        <f t="shared" ca="1" si="223"/>
        <v>0</v>
      </c>
      <c r="F1212" s="55">
        <f t="shared" ca="1" si="224"/>
        <v>300287.34812950721</v>
      </c>
      <c r="G1212" s="101">
        <f t="shared" ca="1" si="225"/>
        <v>542653.10812950728</v>
      </c>
      <c r="H1212" s="100">
        <f ca="1">ROUND($B1212*VLOOKUP($A1212,$A$1:$B$10,2,1)/(365+IF(MOD(YEAR($A1212),4),0,1)*($A1212-$A1211)),2)-Первоначальный[[#This Row],[Проценты на просроченный платеж по ОД за период]]</f>
        <v>69.930000000000007</v>
      </c>
      <c r="I1212" s="55">
        <f t="shared" ca="1" si="226"/>
        <v>11.43</v>
      </c>
      <c r="J1212" s="55">
        <v>0</v>
      </c>
      <c r="K1212" s="55">
        <f t="shared" ca="1" si="229"/>
        <v>535.87850327868841</v>
      </c>
      <c r="L1212" s="55">
        <v>0</v>
      </c>
      <c r="M1212" s="113">
        <f>SUMIFS(График[Возврат основной суммы долга],График[Дата с учетом нерабочих дней],$A1212)</f>
        <v>0</v>
      </c>
      <c r="N1212" s="56">
        <f>SUMIFS(График[Возврат начисленных %],График[Дата с учетом нерабочих дней],$A1212)</f>
        <v>0</v>
      </c>
      <c r="O1212" s="101">
        <v>0</v>
      </c>
      <c r="P1212" s="100" cm="1">
        <f t="array" aca="1" ref="P1212" ca="1">MAX(IF(AA1211="Да",0,SUM(INDIRECT("M"&amp;(MAX(("Да"=AA$12:AA1211)*ROW(AA$12:AA1211)+1,ROW($P$12))&amp;":M"&amp;(ROW()))))-SUM(INDIRECT("W"&amp;(MAX(("Да"=AA$12:AA1211)*ROW(AA$12:AA1211)+1,ROW($P$12))&amp;":W"&amp;(ROW()))))),0)</f>
        <v>21023.989999999998</v>
      </c>
      <c r="Q1212" s="99">
        <f ca="1">MAX(SUM($N$13:N1212)-SUM($T$13:T1212),0)</f>
        <v>86151.710655737683</v>
      </c>
      <c r="R1212" s="99">
        <f ca="1">Первоначальный[[#This Row],[Просроченный платеж по ОД]]+Первоначальный[[#This Row],[Просроченный платеж по процентам]]</f>
        <v>107175.70065573769</v>
      </c>
      <c r="S1212" s="120">
        <f ca="1">IF(Первоначальный[[#This Row],[Просроченный платеж]]&lt;1,0,S1211+1)</f>
        <v>1108</v>
      </c>
      <c r="T1212" s="100" cm="1">
        <f t="array" aca="1" ref="T1212" ca="1">IF(Первоначальный[[#This Row],[Итого остаток на начало периода]]&lt;1,0,
IF(
AND(TYPE(VLOOKUP(1,$Z$12:Z1212,1,0))=16,Первоначальный[[#This Row],[Досрочное погашение (да/"")]]=""),0,
_xlfn.IFS(AND(S1211=0,Первоначальный[[#This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платеж]]&lt;&gt;0),MIN(LOOKUP(,-1/($Z$12:Z1212=1),$C$12:C1212)+LOOKUP(,-1/($Z$12:Z1212=1),$H$12:H1212),Первоначальный[[#This Row],[Полученный платеж]]+Y1211),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платеж]]+Y1211,SUM(Первоначальный[[#This Row],[Остаток процентов на начало периода]],Первоначальный[[#This Row],[Проценты за период]])),
AND(S1211=0,Первоначальный[[#This Row],[Дата платежа из графика]]=""),0,
AND(S1211=0,Первоначальный[[#This Row],[Дата платежа из графика]]=1,MAX((0&lt;&gt;S$12:S1211)*ROW(S$12:S1211),ROW($S$12))&gt;=MAX((1=Z$12:Z1211)*ROW(Z$12:Z1211),ROW($T$12)),TYPE(VLOOKUP("Да",(INDIRECT("AA"&amp;(MAX((1=Z$12:Z1211)*ROW(Z$12:Z1211),ROW($T$12))&amp;":AA"&amp;(ROW()-1)))),1,0))=16),MIN(LOOKUP(,-1/($Z$12:Z1212=1),$C$12:C1212)+LOOKUP(,-1/($Z$12:Z1212=1),$H$12:H1212),Первоначальный[[#This Row],[Полученный платеж]]+Y1211),
AND(S1211=0,TYPE(VLOOKUP("Да",(INDIRECT("AA"&amp;(MAX((1=Z$12:Z1211)*ROW(Z$12:Z1211),ROW($T$12))&amp;":AA"&amp;(ROW()-1)))),1,0))&lt;&gt;16),MIN(LOOKUP(,-1/($Z$12:Z1212=1),$C$12:C1212)+LOOKUP(,-1/($Z$12:Z1212=1),$H$12:H1212)-IF(AA1211="Да",0,SUM(INDIRECT("T"&amp;(MAX(("Да"=AA$12:AA1211)*ROW(AA$12:AA1211)+1,ROW($T$12))&amp;":T"&amp;(ROW()-1))))),Первоначальный[[#This Row],[Полученный платеж]]+Y1211),
AND(S1211=0,MAX((0&lt;&gt;N$12:N1211)*ROW(N$12:N1211),ROW($S$12))&gt;=MAX((1=Z$12:Z1211)*ROW(Z$12:Z1211),ROW($T$12))),MIN(LOOKUP(,-1/($Z$12:Z1212=1),$C$12:C1212)+LOOKUP(,-1/($Z$12:Z1212=1),$H$12:H1212)-IF(N1211&lt;&gt;0,0,SUM(INDIRECT("T"&amp;(MAX((0&lt;&gt;N$12:N1211)*ROW(N$12:N1211)+1,ROW($T$12))&amp;":T"&amp;(ROW()-1))))),Первоначальный[[#This Row],[Полученный платеж]]+Y1211),
AND(S1211=0,Первоначальный[[#This Row],[Дата платежа из графика]]=1),MIN(LOOKUP(,-1/($Z$12:Z1212=1),$C$12:C1212)+LOOKUP(,-1/($Z$12:Z1212=1),$H$12:H1212)-IF(Z1211=1,0,SUM(INDIRECT("T"&amp;(MAX((1=Z$12:Z1211)*ROW(Z$12:Z1211)+1,ROW($T$12))&amp;":T"&amp;(ROW()-1))))),Первоначальный[[#This Row],[Полученный платеж]]+Y1211),
AND(Z1211&gt;0,Первоначальный[[#This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платеж]]+Y1211),
AND(S1211&gt;0,MAX((0&lt;&gt;S$12:S1211)*ROW(S$12:S1211),ROW($S$12))&gt;=MAX((1=Z$12:Z1211)*ROW(Z$12:Z1211),ROW($T$12)),TYPE(VLOOKUP("Да",(INDIRECT("AA"&amp;(MAX((1=Z$12:Z1211)*ROW(Z$12:Z1211),ROW($T$12))&amp;":AA"&amp;(ROW()-1)))),1,0))=16),MIN(LOOKUP(,-1/($Z$12:Z1212=1),$C$12:C1212)+LOOKUP(,-1/($Z$12:Z1212=1),$H$12:H1212)-SUM(INDIRECT("T"&amp;(MAX((1=Z$12:Z1211)*ROW(Z$12:Z1211),ROW($T$12))&amp;":T"&amp;(ROW()-1)))),Первоначальный[[#This Row],[Полученный платеж]]+Y1211),
S1211&gt;0,MIN(LOOKUP(,-1/($Z$12:Z1212=1),$C$12:C1212)+LOOKUP(,-1/($Z$12:Z1212=1),$H$12:H1212)-IF(Z1211=1,0,SUM(INDIRECT("T"&amp;(MAX((1=Z$12:Z1211)*ROW(Z$12:Z1211)+1,ROW($T$12))&amp;":T"&amp;(ROW()-1))))),Первоначальный[[#This Row],[Полученный платеж]]+Y1211)
)
)
)</f>
        <v>0</v>
      </c>
      <c r="U121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платеж]]+Y1211-Первоначальный[[#This Row],[Полученный платёж по процентам]])</f>
        <v>0</v>
      </c>
      <c r="V1212" s="55">
        <f t="shared" ca="1" si="219"/>
        <v>0</v>
      </c>
      <c r="W1212" s="55" cm="1">
        <f t="array" aca="1" ref="W1212" ca="1">IF(Первоначальный[[#This Row],[Итого остаток на начало периода]]&lt;1,0,
_xlfn.IFS(
AND(TYPE(VLOOKUP(1,$Z$12:Z1212,1,0))=16,Первоначальный[[#This Row],[Досрочное погашение (да/"")]]=""),0,
AND(S1211=0,Первоначальный[[#This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платеж]]+Y1211-SUM(Первоначальный[[#This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комиссиям]]),VLOOKUP(LOOKUP(,-1/($Z$12:Z1212=1),$A$12:A1212),График[[Срок конец]:[Возврат основной суммы долга]],3,0)),
AND(S1211=0,Первоначальный[[#This Row],[Дата платежа из графика]]="",Первоначальный[[#This Row],[Досрочное погашение (да/"")]]&lt;&gt;"Да"),0,
AND(S1211=0,Первоначальный[[#This Row],[Досрочное погашение (да/"")]]=""),MIN(Первоначальный[[#This Row],[Полученный платеж]]+Y1211-SUM(Первоначальный[[#This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комиссиям]]),VLOOKUP(LOOKUP(,-1/($Z$12:Z1212=1),$A$12:A1212),График[[Срок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платеж]]+Y1211-SUM(Первоначальный[[#This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S1211&gt;0,MIN(Первоначальный[[#This Row],[Полученный платеж]]+Y1211-SUM(Первоначальный[[#This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комиссиям]]),SUM(INDIRECT("M"&amp;(MAX((1=S$12:S1211)*ROW(S$12:S1211),ROW($W$12))&amp;":M"&amp;(ROW()))))-SUM(INDIRECT("W"&amp;(MAX((1=S$12:S1211)*ROW(S$12:S1211),ROW($W$12))&amp;":W"&amp;(ROW()-1)))))
)
)</f>
        <v>0</v>
      </c>
      <c r="X1212" s="55">
        <f t="shared" ca="1" si="220"/>
        <v>0</v>
      </c>
      <c r="Y1212" s="101">
        <f t="shared" ca="1" si="227"/>
        <v>0</v>
      </c>
      <c r="Z1212" s="133" t="str">
        <f>IF(TYPE((VLOOKUP(Первоначальный[[#This Row],[Дата платежа]],График[Срок конец],1,0)))=16,"",1)</f>
        <v/>
      </c>
      <c r="AA1212" s="57"/>
      <c r="AB1212" s="134"/>
      <c r="AC121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1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86994.910000000091</v>
      </c>
      <c r="AE121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5818.8699999999862</v>
      </c>
      <c r="AF121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1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300823.22663278593</v>
      </c>
      <c r="AH1212" s="55"/>
      <c r="AI1212" s="55"/>
      <c r="AJ1212" s="55"/>
      <c r="AK1212" s="101">
        <f t="shared" ca="1" si="228"/>
        <v>543270.34663278598</v>
      </c>
      <c r="AL1212" s="129">
        <f t="array" ref="AL1212">MAX((УслРестрактов[Характеристика]="Дата реструктуризации")*(УслРестрактов[Значение]=Первоначальный!$A1212),0)</f>
        <v>0</v>
      </c>
    </row>
    <row r="1213" spans="1:38" x14ac:dyDescent="0.25">
      <c r="A1213" s="97">
        <f t="shared" si="221"/>
        <v>45344</v>
      </c>
      <c r="B1213" s="100">
        <f t="shared" ca="1" si="222"/>
        <v>149633.34</v>
      </c>
      <c r="C1213" s="55">
        <f t="shared" ca="1" si="218"/>
        <v>86994.910000000091</v>
      </c>
      <c r="D1213" s="55">
        <f t="shared" ca="1" si="218"/>
        <v>5818.8699999999862</v>
      </c>
      <c r="E1213" s="55">
        <f t="shared" ca="1" si="223"/>
        <v>0</v>
      </c>
      <c r="F1213" s="55">
        <f t="shared" ca="1" si="224"/>
        <v>300823.22663278593</v>
      </c>
      <c r="G1213" s="101">
        <f t="shared" ca="1" si="225"/>
        <v>543270.34663278598</v>
      </c>
      <c r="H1213" s="100">
        <f ca="1">ROUND($B1213*VLOOKUP($A1213,$A$1:$B$10,2,1)/(365+IF(MOD(YEAR($A1213),4),0,1)*($A1213-$A1212)),2)-Первоначальный[[#This Row],[Проценты на просроченный платеж по ОД за период]]</f>
        <v>69.930000000000007</v>
      </c>
      <c r="I1213" s="55">
        <f t="shared" ca="1" si="226"/>
        <v>11.43</v>
      </c>
      <c r="J1213" s="55">
        <v>0</v>
      </c>
      <c r="K1213" s="55">
        <f t="shared" ca="1" si="229"/>
        <v>535.87850327868841</v>
      </c>
      <c r="L1213" s="55">
        <v>0</v>
      </c>
      <c r="M1213" s="113">
        <f>SUMIFS(График[Возврат основной суммы долга],График[Дата с учетом нерабочих дней],$A1213)</f>
        <v>0</v>
      </c>
      <c r="N1213" s="56">
        <f>SUMIFS(График[Возврат начисленных %],График[Дата с учетом нерабочих дней],$A1213)</f>
        <v>0</v>
      </c>
      <c r="O1213" s="101">
        <v>0</v>
      </c>
      <c r="P1213" s="100" cm="1">
        <f t="array" aca="1" ref="P1213" ca="1">MAX(IF(AA1212="Да",0,SUM(INDIRECT("M"&amp;(MAX(("Да"=AA$12:AA1212)*ROW(AA$12:AA1212)+1,ROW($P$12))&amp;":M"&amp;(ROW()))))-SUM(INDIRECT("W"&amp;(MAX(("Да"=AA$12:AA1212)*ROW(AA$12:AA1212)+1,ROW($P$12))&amp;":W"&amp;(ROW()))))),0)</f>
        <v>21023.989999999998</v>
      </c>
      <c r="Q1213" s="99">
        <f ca="1">MAX(SUM($N$13:N1213)-SUM($T$13:T1213),0)</f>
        <v>86151.710655737683</v>
      </c>
      <c r="R1213" s="99">
        <f ca="1">Первоначальный[[#This Row],[Просроченный платеж по ОД]]+Первоначальный[[#This Row],[Просроченный платеж по процентам]]</f>
        <v>107175.70065573769</v>
      </c>
      <c r="S1213" s="120">
        <f ca="1">IF(Первоначальный[[#This Row],[Просроченный платеж]]&lt;1,0,S1212+1)</f>
        <v>1109</v>
      </c>
      <c r="T1213" s="100" cm="1">
        <f t="array" aca="1" ref="T1213" ca="1">IF(Первоначальный[[#This Row],[Итого остаток на начало периода]]&lt;1,0,
IF(
AND(TYPE(VLOOKUP(1,$Z$12:Z1213,1,0))=16,Первоначальный[[#This Row],[Досрочное погашение (да/"")]]=""),0,
_xlfn.IFS(AND(S1212=0,Первоначальный[[#This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платеж]]&lt;&gt;0),MIN(LOOKUP(,-1/($Z$12:Z1213=1),$C$12:C1213)+LOOKUP(,-1/($Z$12:Z1213=1),$H$12:H1213),Первоначальный[[#This Row],[Полученный платеж]]+Y1212),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платеж]]+Y1212,SUM(Первоначальный[[#This Row],[Остаток процентов на начало периода]],Первоначальный[[#This Row],[Проценты за период]])),
AND(S1212=0,Первоначальный[[#This Row],[Дата платежа из графика]]=""),0,
AND(S1212=0,Первоначальный[[#This Row],[Дата платежа из графика]]=1,MAX((0&lt;&gt;S$12:S1212)*ROW(S$12:S1212),ROW($S$12))&gt;=MAX((1=Z$12:Z1212)*ROW(Z$12:Z1212),ROW($T$12)),TYPE(VLOOKUP("Да",(INDIRECT("AA"&amp;(MAX((1=Z$12:Z1212)*ROW(Z$12:Z1212),ROW($T$12))&amp;":AA"&amp;(ROW()-1)))),1,0))=16),MIN(LOOKUP(,-1/($Z$12:Z1213=1),$C$12:C1213)+LOOKUP(,-1/($Z$12:Z1213=1),$H$12:H1213),Первоначальный[[#This Row],[Полученный платеж]]+Y1212),
AND(S1212=0,TYPE(VLOOKUP("Да",(INDIRECT("AA"&amp;(MAX((1=Z$12:Z1212)*ROW(Z$12:Z1212),ROW($T$12))&amp;":AA"&amp;(ROW()-1)))),1,0))&lt;&gt;16),MIN(LOOKUP(,-1/($Z$12:Z1213=1),$C$12:C1213)+LOOKUP(,-1/($Z$12:Z1213=1),$H$12:H1213)-IF(AA1212="Да",0,SUM(INDIRECT("T"&amp;(MAX(("Да"=AA$12:AA1212)*ROW(AA$12:AA1212)+1,ROW($T$12))&amp;":T"&amp;(ROW()-1))))),Первоначальный[[#This Row],[Полученный платеж]]+Y1212),
AND(S1212=0,MAX((0&lt;&gt;N$12:N1212)*ROW(N$12:N1212),ROW($S$12))&gt;=MAX((1=Z$12:Z1212)*ROW(Z$12:Z1212),ROW($T$12))),MIN(LOOKUP(,-1/($Z$12:Z1213=1),$C$12:C1213)+LOOKUP(,-1/($Z$12:Z1213=1),$H$12:H1213)-IF(N1212&lt;&gt;0,0,SUM(INDIRECT("T"&amp;(MAX((0&lt;&gt;N$12:N1212)*ROW(N$12:N1212)+1,ROW($T$12))&amp;":T"&amp;(ROW()-1))))),Первоначальный[[#This Row],[Полученный платеж]]+Y1212),
AND(S1212=0,Первоначальный[[#This Row],[Дата платежа из графика]]=1),MIN(LOOKUP(,-1/($Z$12:Z1213=1),$C$12:C1213)+LOOKUP(,-1/($Z$12:Z1213=1),$H$12:H1213)-IF(Z1212=1,0,SUM(INDIRECT("T"&amp;(MAX((1=Z$12:Z1212)*ROW(Z$12:Z1212)+1,ROW($T$12))&amp;":T"&amp;(ROW()-1))))),Первоначальный[[#This Row],[Полученный платеж]]+Y1212),
AND(Z1212&gt;0,Первоначальный[[#This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платеж]]+Y1212),
AND(S1212&gt;0,MAX((0&lt;&gt;S$12:S1212)*ROW(S$12:S1212),ROW($S$12))&gt;=MAX((1=Z$12:Z1212)*ROW(Z$12:Z1212),ROW($T$12)),TYPE(VLOOKUP("Да",(INDIRECT("AA"&amp;(MAX((1=Z$12:Z1212)*ROW(Z$12:Z1212),ROW($T$12))&amp;":AA"&amp;(ROW()-1)))),1,0))=16),MIN(LOOKUP(,-1/($Z$12:Z1213=1),$C$12:C1213)+LOOKUP(,-1/($Z$12:Z1213=1),$H$12:H1213)-SUM(INDIRECT("T"&amp;(MAX((1=Z$12:Z1212)*ROW(Z$12:Z1212),ROW($T$12))&amp;":T"&amp;(ROW()-1)))),Первоначальный[[#This Row],[Полученный платеж]]+Y1212),
S1212&gt;0,MIN(LOOKUP(,-1/($Z$12:Z1213=1),$C$12:C1213)+LOOKUP(,-1/($Z$12:Z1213=1),$H$12:H1213)-IF(Z1212=1,0,SUM(INDIRECT("T"&amp;(MAX((1=Z$12:Z1212)*ROW(Z$12:Z1212)+1,ROW($T$12))&amp;":T"&amp;(ROW()-1))))),Первоначальный[[#This Row],[Полученный платеж]]+Y1212)
)
)
)</f>
        <v>0</v>
      </c>
      <c r="U121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платеж]]+Y1212-Первоначальный[[#This Row],[Полученный платёж по процентам]])</f>
        <v>0</v>
      </c>
      <c r="V1213" s="55">
        <f t="shared" ca="1" si="219"/>
        <v>0</v>
      </c>
      <c r="W1213" s="55" cm="1">
        <f t="array" aca="1" ref="W1213" ca="1">IF(Первоначальный[[#This Row],[Итого остаток на начало периода]]&lt;1,0,
_xlfn.IFS(
AND(TYPE(VLOOKUP(1,$Z$12:Z1213,1,0))=16,Первоначальный[[#This Row],[Досрочное погашение (да/"")]]=""),0,
AND(S1212=0,Первоначальный[[#This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платеж]]+Y1212-SUM(Первоначальный[[#This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комиссиям]]),VLOOKUP(LOOKUP(,-1/($Z$12:Z1213=1),$A$12:A1213),График[[Срок конец]:[Возврат основной суммы долга]],3,0)),
AND(S1212=0,Первоначальный[[#This Row],[Дата платежа из графика]]="",Первоначальный[[#This Row],[Досрочное погашение (да/"")]]&lt;&gt;"Да"),0,
AND(S1212=0,Первоначальный[[#This Row],[Досрочное погашение (да/"")]]=""),MIN(Первоначальный[[#This Row],[Полученный платеж]]+Y1212-SUM(Первоначальный[[#This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комиссиям]]),VLOOKUP(LOOKUP(,-1/($Z$12:Z1213=1),$A$12:A1213),График[[Срок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платеж]]+Y1212-SUM(Первоначальный[[#This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S1212&gt;0,MIN(Первоначальный[[#This Row],[Полученный платеж]]+Y1212-SUM(Первоначальный[[#This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комиссиям]]),SUM(INDIRECT("M"&amp;(MAX((1=S$12:S1212)*ROW(S$12:S1212),ROW($W$12))&amp;":M"&amp;(ROW()))))-SUM(INDIRECT("W"&amp;(MAX((1=S$12:S1212)*ROW(S$12:S1212),ROW($W$12))&amp;":W"&amp;(ROW()-1)))))
)
)</f>
        <v>0</v>
      </c>
      <c r="X1213" s="55">
        <f t="shared" ca="1" si="220"/>
        <v>0</v>
      </c>
      <c r="Y1213" s="101">
        <f t="shared" ca="1" si="227"/>
        <v>0</v>
      </c>
      <c r="Z1213" s="133" t="str">
        <f>IF(TYPE((VLOOKUP(Первоначальный[[#This Row],[Дата платежа]],График[Срок конец],1,0)))=16,"",1)</f>
        <v/>
      </c>
      <c r="AA1213" s="57"/>
      <c r="AB1213" s="134"/>
      <c r="AC121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1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87064.840000000084</v>
      </c>
      <c r="AE121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5830.2999999999865</v>
      </c>
      <c r="AF121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1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301359.10513606464</v>
      </c>
      <c r="AH1213" s="55"/>
      <c r="AI1213" s="55"/>
      <c r="AJ1213" s="55"/>
      <c r="AK1213" s="101">
        <f t="shared" ca="1" si="228"/>
        <v>543887.58513606468</v>
      </c>
      <c r="AL1213" s="129">
        <f t="array" ref="AL1213">MAX((УслРестрактов[Характеристика]="Дата реструктуризации")*(УслРестрактов[Значение]=Первоначальный!$A1213),0)</f>
        <v>0</v>
      </c>
    </row>
    <row r="1214" spans="1:38" x14ac:dyDescent="0.25">
      <c r="A1214" s="97">
        <f t="shared" si="221"/>
        <v>45345</v>
      </c>
      <c r="B1214" s="100">
        <f t="shared" ca="1" si="222"/>
        <v>149633.34</v>
      </c>
      <c r="C1214" s="55">
        <f t="shared" ca="1" si="218"/>
        <v>87064.840000000084</v>
      </c>
      <c r="D1214" s="55">
        <f t="shared" ca="1" si="218"/>
        <v>5830.2999999999865</v>
      </c>
      <c r="E1214" s="55">
        <f t="shared" ca="1" si="223"/>
        <v>0</v>
      </c>
      <c r="F1214" s="55">
        <f t="shared" ca="1" si="224"/>
        <v>301359.10513606464</v>
      </c>
      <c r="G1214" s="101">
        <f t="shared" ca="1" si="225"/>
        <v>543887.58513606468</v>
      </c>
      <c r="H1214" s="100">
        <f ca="1">ROUND($B1214*VLOOKUP($A1214,$A$1:$B$10,2,1)/(365+IF(MOD(YEAR($A1214),4),0,1)*($A1214-$A1213)),2)-Первоначальный[[#This Row],[Проценты на просроченный платеж по ОД за период]]</f>
        <v>69.930000000000007</v>
      </c>
      <c r="I1214" s="55">
        <f t="shared" ca="1" si="226"/>
        <v>11.43</v>
      </c>
      <c r="J1214" s="55">
        <v>0</v>
      </c>
      <c r="K1214" s="55">
        <f t="shared" ca="1" si="229"/>
        <v>535.87850327868841</v>
      </c>
      <c r="L1214" s="55">
        <v>0</v>
      </c>
      <c r="M1214" s="113">
        <f>SUMIFS(График[Возврат основной суммы долга],График[Дата с учетом нерабочих дней],$A1214)</f>
        <v>0</v>
      </c>
      <c r="N1214" s="56">
        <f>SUMIFS(График[Возврат начисленных %],График[Дата с учетом нерабочих дней],$A1214)</f>
        <v>0</v>
      </c>
      <c r="O1214" s="101">
        <v>0</v>
      </c>
      <c r="P1214" s="100" cm="1">
        <f t="array" aca="1" ref="P1214" ca="1">MAX(IF(AA1213="Да",0,SUM(INDIRECT("M"&amp;(MAX(("Да"=AA$12:AA1213)*ROW(AA$12:AA1213)+1,ROW($P$12))&amp;":M"&amp;(ROW()))))-SUM(INDIRECT("W"&amp;(MAX(("Да"=AA$12:AA1213)*ROW(AA$12:AA1213)+1,ROW($P$12))&amp;":W"&amp;(ROW()))))),0)</f>
        <v>21023.989999999998</v>
      </c>
      <c r="Q1214" s="99">
        <f ca="1">MAX(SUM($N$13:N1214)-SUM($T$13:T1214),0)</f>
        <v>86151.710655737683</v>
      </c>
      <c r="R1214" s="99">
        <f ca="1">Первоначальный[[#This Row],[Просроченный платеж по ОД]]+Первоначальный[[#This Row],[Просроченный платеж по процентам]]</f>
        <v>107175.70065573769</v>
      </c>
      <c r="S1214" s="120">
        <f ca="1">IF(Первоначальный[[#This Row],[Просроченный платеж]]&lt;1,0,S1213+1)</f>
        <v>1110</v>
      </c>
      <c r="T1214" s="100" cm="1">
        <f t="array" aca="1" ref="T1214" ca="1">IF(Первоначальный[[#This Row],[Итого остаток на начало периода]]&lt;1,0,
IF(
AND(TYPE(VLOOKUP(1,$Z$12:Z1214,1,0))=16,Первоначальный[[#This Row],[Досрочное погашение (да/"")]]=""),0,
_xlfn.IFS(AND(S1213=0,Первоначальный[[#This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платеж]]&lt;&gt;0),MIN(LOOKUP(,-1/($Z$12:Z1214=1),$C$12:C1214)+LOOKUP(,-1/($Z$12:Z1214=1),$H$12:H1214),Первоначальный[[#This Row],[Полученный платеж]]+Y1213),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платеж]]+Y1213,SUM(Первоначальный[[#This Row],[Остаток процентов на начало периода]],Первоначальный[[#This Row],[Проценты за период]])),
AND(S1213=0,Первоначальный[[#This Row],[Дата платежа из графика]]=""),0,
AND(S1213=0,Первоначальный[[#This Row],[Дата платежа из графика]]=1,MAX((0&lt;&gt;S$12:S1213)*ROW(S$12:S1213),ROW($S$12))&gt;=MAX((1=Z$12:Z1213)*ROW(Z$12:Z1213),ROW($T$12)),TYPE(VLOOKUP("Да",(INDIRECT("AA"&amp;(MAX((1=Z$12:Z1213)*ROW(Z$12:Z1213),ROW($T$12))&amp;":AA"&amp;(ROW()-1)))),1,0))=16),MIN(LOOKUP(,-1/($Z$12:Z1214=1),$C$12:C1214)+LOOKUP(,-1/($Z$12:Z1214=1),$H$12:H1214),Первоначальный[[#This Row],[Полученный платеж]]+Y1213),
AND(S1213=0,TYPE(VLOOKUP("Да",(INDIRECT("AA"&amp;(MAX((1=Z$12:Z1213)*ROW(Z$12:Z1213),ROW($T$12))&amp;":AA"&amp;(ROW()-1)))),1,0))&lt;&gt;16),MIN(LOOKUP(,-1/($Z$12:Z1214=1),$C$12:C1214)+LOOKUP(,-1/($Z$12:Z1214=1),$H$12:H1214)-IF(AA1213="Да",0,SUM(INDIRECT("T"&amp;(MAX(("Да"=AA$12:AA1213)*ROW(AA$12:AA1213)+1,ROW($T$12))&amp;":T"&amp;(ROW()-1))))),Первоначальный[[#This Row],[Полученный платеж]]+Y1213),
AND(S1213=0,MAX((0&lt;&gt;N$12:N1213)*ROW(N$12:N1213),ROW($S$12))&gt;=MAX((1=Z$12:Z1213)*ROW(Z$12:Z1213),ROW($T$12))),MIN(LOOKUP(,-1/($Z$12:Z1214=1),$C$12:C1214)+LOOKUP(,-1/($Z$12:Z1214=1),$H$12:H1214)-IF(N1213&lt;&gt;0,0,SUM(INDIRECT("T"&amp;(MAX((0&lt;&gt;N$12:N1213)*ROW(N$12:N1213)+1,ROW($T$12))&amp;":T"&amp;(ROW()-1))))),Первоначальный[[#This Row],[Полученный платеж]]+Y1213),
AND(S1213=0,Первоначальный[[#This Row],[Дата платежа из графика]]=1),MIN(LOOKUP(,-1/($Z$12:Z1214=1),$C$12:C1214)+LOOKUP(,-1/($Z$12:Z1214=1),$H$12:H1214)-IF(Z1213=1,0,SUM(INDIRECT("T"&amp;(MAX((1=Z$12:Z1213)*ROW(Z$12:Z1213)+1,ROW($T$12))&amp;":T"&amp;(ROW()-1))))),Первоначальный[[#This Row],[Полученный платеж]]+Y1213),
AND(Z1213&gt;0,Первоначальный[[#This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платеж]]+Y1213),
AND(S1213&gt;0,MAX((0&lt;&gt;S$12:S1213)*ROW(S$12:S1213),ROW($S$12))&gt;=MAX((1=Z$12:Z1213)*ROW(Z$12:Z1213),ROW($T$12)),TYPE(VLOOKUP("Да",(INDIRECT("AA"&amp;(MAX((1=Z$12:Z1213)*ROW(Z$12:Z1213),ROW($T$12))&amp;":AA"&amp;(ROW()-1)))),1,0))=16),MIN(LOOKUP(,-1/($Z$12:Z1214=1),$C$12:C1214)+LOOKUP(,-1/($Z$12:Z1214=1),$H$12:H1214)-SUM(INDIRECT("T"&amp;(MAX((1=Z$12:Z1213)*ROW(Z$12:Z1213),ROW($T$12))&amp;":T"&amp;(ROW()-1)))),Первоначальный[[#This Row],[Полученный платеж]]+Y1213),
S1213&gt;0,MIN(LOOKUP(,-1/($Z$12:Z1214=1),$C$12:C1214)+LOOKUP(,-1/($Z$12:Z1214=1),$H$12:H1214)-IF(Z1213=1,0,SUM(INDIRECT("T"&amp;(MAX((1=Z$12:Z1213)*ROW(Z$12:Z1213)+1,ROW($T$12))&amp;":T"&amp;(ROW()-1))))),Первоначальный[[#This Row],[Полученный платеж]]+Y1213)
)
)
)</f>
        <v>0</v>
      </c>
      <c r="U121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платеж]]+Y1213-Первоначальный[[#This Row],[Полученный платёж по процентам]])</f>
        <v>0</v>
      </c>
      <c r="V1214" s="55">
        <f t="shared" ca="1" si="219"/>
        <v>0</v>
      </c>
      <c r="W1214" s="55" cm="1">
        <f t="array" aca="1" ref="W1214" ca="1">IF(Первоначальный[[#This Row],[Итого остаток на начало периода]]&lt;1,0,
_xlfn.IFS(
AND(TYPE(VLOOKUP(1,$Z$12:Z1214,1,0))=16,Первоначальный[[#This Row],[Досрочное погашение (да/"")]]=""),0,
AND(S1213=0,Первоначальный[[#This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платеж]]+Y1213-SUM(Первоначальный[[#This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комиссиям]]),VLOOKUP(LOOKUP(,-1/($Z$12:Z1214=1),$A$12:A1214),График[[Срок конец]:[Возврат основной суммы долга]],3,0)),
AND(S1213=0,Первоначальный[[#This Row],[Дата платежа из графика]]="",Первоначальный[[#This Row],[Досрочное погашение (да/"")]]&lt;&gt;"Да"),0,
AND(S1213=0,Первоначальный[[#This Row],[Досрочное погашение (да/"")]]=""),MIN(Первоначальный[[#This Row],[Полученный платеж]]+Y1213-SUM(Первоначальный[[#This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комиссиям]]),VLOOKUP(LOOKUP(,-1/($Z$12:Z1214=1),$A$12:A1214),График[[Срок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платеж]]+Y1213-SUM(Первоначальный[[#This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S1213&gt;0,MIN(Первоначальный[[#This Row],[Полученный платеж]]+Y1213-SUM(Первоначальный[[#This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комиссиям]]),SUM(INDIRECT("M"&amp;(MAX((1=S$12:S1213)*ROW(S$12:S1213),ROW($W$12))&amp;":M"&amp;(ROW()))))-SUM(INDIRECT("W"&amp;(MAX((1=S$12:S1213)*ROW(S$12:S1213),ROW($W$12))&amp;":W"&amp;(ROW()-1)))))
)
)</f>
        <v>0</v>
      </c>
      <c r="X1214" s="55">
        <f t="shared" ca="1" si="220"/>
        <v>0</v>
      </c>
      <c r="Y1214" s="101">
        <f t="shared" ca="1" si="227"/>
        <v>0</v>
      </c>
      <c r="Z1214" s="133" t="str">
        <f>IF(TYPE((VLOOKUP(Первоначальный[[#This Row],[Дата платежа]],График[Срок конец],1,0)))=16,"",1)</f>
        <v/>
      </c>
      <c r="AA1214" s="57"/>
      <c r="AB1214" s="134"/>
      <c r="AC121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1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87134.770000000077</v>
      </c>
      <c r="AE121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5841.7299999999868</v>
      </c>
      <c r="AF121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1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301894.98363934335</v>
      </c>
      <c r="AH1214" s="55"/>
      <c r="AI1214" s="55"/>
      <c r="AJ1214" s="55"/>
      <c r="AK1214" s="101">
        <f t="shared" ca="1" si="228"/>
        <v>544504.82363934338</v>
      </c>
      <c r="AL1214" s="129">
        <f t="array" ref="AL1214">MAX((УслРестрактов[Характеристика]="Дата реструктуризации")*(УслРестрактов[Значение]=Первоначальный!$A1214),0)</f>
        <v>0</v>
      </c>
    </row>
    <row r="1215" spans="1:38" x14ac:dyDescent="0.25">
      <c r="A1215" s="97">
        <f t="shared" si="221"/>
        <v>45346</v>
      </c>
      <c r="B1215" s="100">
        <f t="shared" ca="1" si="222"/>
        <v>149633.34</v>
      </c>
      <c r="C1215" s="55">
        <f t="shared" ca="1" si="218"/>
        <v>87134.770000000077</v>
      </c>
      <c r="D1215" s="55">
        <f t="shared" ca="1" si="218"/>
        <v>5841.7299999999868</v>
      </c>
      <c r="E1215" s="55">
        <f t="shared" ca="1" si="223"/>
        <v>0</v>
      </c>
      <c r="F1215" s="55">
        <f t="shared" ca="1" si="224"/>
        <v>301894.98363934335</v>
      </c>
      <c r="G1215" s="101">
        <f t="shared" ca="1" si="225"/>
        <v>544504.82363934338</v>
      </c>
      <c r="H1215" s="100">
        <f ca="1">ROUND($B1215*VLOOKUP($A1215,$A$1:$B$10,2,1)/(365+IF(MOD(YEAR($A1215),4),0,1)*($A1215-$A1214)),2)-Первоначальный[[#This Row],[Проценты на просроченный платеж по ОД за период]]</f>
        <v>69.930000000000007</v>
      </c>
      <c r="I1215" s="55">
        <f t="shared" ca="1" si="226"/>
        <v>11.43</v>
      </c>
      <c r="J1215" s="55">
        <v>0</v>
      </c>
      <c r="K1215" s="55">
        <f t="shared" ca="1" si="229"/>
        <v>535.87850327868841</v>
      </c>
      <c r="L1215" s="55">
        <v>0</v>
      </c>
      <c r="M1215" s="113">
        <f>SUMIFS(График[Возврат основной суммы долга],График[Дата с учетом нерабочих дней],$A1215)</f>
        <v>0</v>
      </c>
      <c r="N1215" s="56">
        <f>SUMIFS(График[Возврат начисленных %],График[Дата с учетом нерабочих дней],$A1215)</f>
        <v>0</v>
      </c>
      <c r="O1215" s="101">
        <v>0</v>
      </c>
      <c r="P1215" s="100" cm="1">
        <f t="array" aca="1" ref="P1215" ca="1">MAX(IF(AA1214="Да",0,SUM(INDIRECT("M"&amp;(MAX(("Да"=AA$12:AA1214)*ROW(AA$12:AA1214)+1,ROW($P$12))&amp;":M"&amp;(ROW()))))-SUM(INDIRECT("W"&amp;(MAX(("Да"=AA$12:AA1214)*ROW(AA$12:AA1214)+1,ROW($P$12))&amp;":W"&amp;(ROW()))))),0)</f>
        <v>21023.989999999998</v>
      </c>
      <c r="Q1215" s="99">
        <f ca="1">MAX(SUM($N$13:N1215)-SUM($T$13:T1215),0)</f>
        <v>86151.710655737683</v>
      </c>
      <c r="R1215" s="99">
        <f ca="1">Первоначальный[[#This Row],[Просроченный платеж по ОД]]+Первоначальный[[#This Row],[Просроченный платеж по процентам]]</f>
        <v>107175.70065573769</v>
      </c>
      <c r="S1215" s="120">
        <f ca="1">IF(Первоначальный[[#This Row],[Просроченный платеж]]&lt;1,0,S1214+1)</f>
        <v>1111</v>
      </c>
      <c r="T1215" s="100" cm="1">
        <f t="array" aca="1" ref="T1215" ca="1">IF(Первоначальный[[#This Row],[Итого остаток на начало периода]]&lt;1,0,
IF(
AND(TYPE(VLOOKUP(1,$Z$12:Z1215,1,0))=16,Первоначальный[[#This Row],[Досрочное погашение (да/"")]]=""),0,
_xlfn.IFS(AND(S1214=0,Первоначальный[[#This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платеж]]&lt;&gt;0),MIN(LOOKUP(,-1/($Z$12:Z1215=1),$C$12:C1215)+LOOKUP(,-1/($Z$12:Z1215=1),$H$12:H1215),Первоначальный[[#This Row],[Полученный платеж]]+Y1214),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платеж]]+Y1214,SUM(Первоначальный[[#This Row],[Остаток процентов на начало периода]],Первоначальный[[#This Row],[Проценты за период]])),
AND(S1214=0,Первоначальный[[#This Row],[Дата платежа из графика]]=""),0,
AND(S1214=0,Первоначальный[[#This Row],[Дата платежа из графика]]=1,MAX((0&lt;&gt;S$12:S1214)*ROW(S$12:S1214),ROW($S$12))&gt;=MAX((1=Z$12:Z1214)*ROW(Z$12:Z1214),ROW($T$12)),TYPE(VLOOKUP("Да",(INDIRECT("AA"&amp;(MAX((1=Z$12:Z1214)*ROW(Z$12:Z1214),ROW($T$12))&amp;":AA"&amp;(ROW()-1)))),1,0))=16),MIN(LOOKUP(,-1/($Z$12:Z1215=1),$C$12:C1215)+LOOKUP(,-1/($Z$12:Z1215=1),$H$12:H1215),Первоначальный[[#This Row],[Полученный платеж]]+Y1214),
AND(S1214=0,TYPE(VLOOKUP("Да",(INDIRECT("AA"&amp;(MAX((1=Z$12:Z1214)*ROW(Z$12:Z1214),ROW($T$12))&amp;":AA"&amp;(ROW()-1)))),1,0))&lt;&gt;16),MIN(LOOKUP(,-1/($Z$12:Z1215=1),$C$12:C1215)+LOOKUP(,-1/($Z$12:Z1215=1),$H$12:H1215)-IF(AA1214="Да",0,SUM(INDIRECT("T"&amp;(MAX(("Да"=AA$12:AA1214)*ROW(AA$12:AA1214)+1,ROW($T$12))&amp;":T"&amp;(ROW()-1))))),Первоначальный[[#This Row],[Полученный платеж]]+Y1214),
AND(S1214=0,MAX((0&lt;&gt;N$12:N1214)*ROW(N$12:N1214),ROW($S$12))&gt;=MAX((1=Z$12:Z1214)*ROW(Z$12:Z1214),ROW($T$12))),MIN(LOOKUP(,-1/($Z$12:Z1215=1),$C$12:C1215)+LOOKUP(,-1/($Z$12:Z1215=1),$H$12:H1215)-IF(N1214&lt;&gt;0,0,SUM(INDIRECT("T"&amp;(MAX((0&lt;&gt;N$12:N1214)*ROW(N$12:N1214)+1,ROW($T$12))&amp;":T"&amp;(ROW()-1))))),Первоначальный[[#This Row],[Полученный платеж]]+Y1214),
AND(S1214=0,Первоначальный[[#This Row],[Дата платежа из графика]]=1),MIN(LOOKUP(,-1/($Z$12:Z1215=1),$C$12:C1215)+LOOKUP(,-1/($Z$12:Z1215=1),$H$12:H1215)-IF(Z1214=1,0,SUM(INDIRECT("T"&amp;(MAX((1=Z$12:Z1214)*ROW(Z$12:Z1214)+1,ROW($T$12))&amp;":T"&amp;(ROW()-1))))),Первоначальный[[#This Row],[Полученный платеж]]+Y1214),
AND(Z1214&gt;0,Первоначальный[[#This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платеж]]+Y1214),
AND(S1214&gt;0,MAX((0&lt;&gt;S$12:S1214)*ROW(S$12:S1214),ROW($S$12))&gt;=MAX((1=Z$12:Z1214)*ROW(Z$12:Z1214),ROW($T$12)),TYPE(VLOOKUP("Да",(INDIRECT("AA"&amp;(MAX((1=Z$12:Z1214)*ROW(Z$12:Z1214),ROW($T$12))&amp;":AA"&amp;(ROW()-1)))),1,0))=16),MIN(LOOKUP(,-1/($Z$12:Z1215=1),$C$12:C1215)+LOOKUP(,-1/($Z$12:Z1215=1),$H$12:H1215)-SUM(INDIRECT("T"&amp;(MAX((1=Z$12:Z1214)*ROW(Z$12:Z1214),ROW($T$12))&amp;":T"&amp;(ROW()-1)))),Первоначальный[[#This Row],[Полученный платеж]]+Y1214),
S1214&gt;0,MIN(LOOKUP(,-1/($Z$12:Z1215=1),$C$12:C1215)+LOOKUP(,-1/($Z$12:Z1215=1),$H$12:H1215)-IF(Z1214=1,0,SUM(INDIRECT("T"&amp;(MAX((1=Z$12:Z1214)*ROW(Z$12:Z1214)+1,ROW($T$12))&amp;":T"&amp;(ROW()-1))))),Первоначальный[[#This Row],[Полученный платеж]]+Y1214)
)
)
)</f>
        <v>0</v>
      </c>
      <c r="U121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платеж]]+Y1214-Первоначальный[[#This Row],[Полученный платёж по процентам]])</f>
        <v>0</v>
      </c>
      <c r="V1215" s="55">
        <f t="shared" ca="1" si="219"/>
        <v>0</v>
      </c>
      <c r="W1215" s="55" cm="1">
        <f t="array" aca="1" ref="W1215" ca="1">IF(Первоначальный[[#This Row],[Итого остаток на начало периода]]&lt;1,0,
_xlfn.IFS(
AND(TYPE(VLOOKUP(1,$Z$12:Z1215,1,0))=16,Первоначальный[[#This Row],[Досрочное погашение (да/"")]]=""),0,
AND(S1214=0,Первоначальный[[#This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платеж]]+Y1214-SUM(Первоначальный[[#This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комиссиям]]),VLOOKUP(LOOKUP(,-1/($Z$12:Z1215=1),$A$12:A1215),График[[Срок конец]:[Возврат основной суммы долга]],3,0)),
AND(S1214=0,Первоначальный[[#This Row],[Дата платежа из графика]]="",Первоначальный[[#This Row],[Досрочное погашение (да/"")]]&lt;&gt;"Да"),0,
AND(S1214=0,Первоначальный[[#This Row],[Досрочное погашение (да/"")]]=""),MIN(Первоначальный[[#This Row],[Полученный платеж]]+Y1214-SUM(Первоначальный[[#This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комиссиям]]),VLOOKUP(LOOKUP(,-1/($Z$12:Z1215=1),$A$12:A1215),График[[Срок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платеж]]+Y1214-SUM(Первоначальный[[#This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S1214&gt;0,MIN(Первоначальный[[#This Row],[Полученный платеж]]+Y1214-SUM(Первоначальный[[#This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комиссиям]]),SUM(INDIRECT("M"&amp;(MAX((1=S$12:S1214)*ROW(S$12:S1214),ROW($W$12))&amp;":M"&amp;(ROW()))))-SUM(INDIRECT("W"&amp;(MAX((1=S$12:S1214)*ROW(S$12:S1214),ROW($W$12))&amp;":W"&amp;(ROW()-1)))))
)
)</f>
        <v>0</v>
      </c>
      <c r="X1215" s="55">
        <f t="shared" ca="1" si="220"/>
        <v>0</v>
      </c>
      <c r="Y1215" s="101">
        <f t="shared" ca="1" si="227"/>
        <v>0</v>
      </c>
      <c r="Z1215" s="133" t="str">
        <f>IF(TYPE((VLOOKUP(Первоначальный[[#This Row],[Дата платежа]],График[Срок конец],1,0)))=16,"",1)</f>
        <v/>
      </c>
      <c r="AA1215" s="57"/>
      <c r="AB1215" s="134"/>
      <c r="AC121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1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87204.70000000007</v>
      </c>
      <c r="AE121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5853.1599999999871</v>
      </c>
      <c r="AF121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1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302430.86214262206</v>
      </c>
      <c r="AH1215" s="55"/>
      <c r="AI1215" s="55"/>
      <c r="AJ1215" s="55"/>
      <c r="AK1215" s="101">
        <f t="shared" ca="1" si="228"/>
        <v>545122.06214262208</v>
      </c>
      <c r="AL1215" s="129">
        <f t="array" ref="AL1215">MAX((УслРестрактов[Характеристика]="Дата реструктуризации")*(УслРестрактов[Значение]=Первоначальный!$A1215),0)</f>
        <v>0</v>
      </c>
    </row>
    <row r="1216" spans="1:38" x14ac:dyDescent="0.25">
      <c r="A1216" s="97">
        <f t="shared" si="221"/>
        <v>45347</v>
      </c>
      <c r="B1216" s="100">
        <f t="shared" ca="1" si="222"/>
        <v>149633.34</v>
      </c>
      <c r="C1216" s="55">
        <f t="shared" ca="1" si="218"/>
        <v>87204.70000000007</v>
      </c>
      <c r="D1216" s="55">
        <f t="shared" ca="1" si="218"/>
        <v>5853.1599999999871</v>
      </c>
      <c r="E1216" s="55">
        <f t="shared" ca="1" si="223"/>
        <v>0</v>
      </c>
      <c r="F1216" s="55">
        <f t="shared" ca="1" si="224"/>
        <v>302430.86214262206</v>
      </c>
      <c r="G1216" s="101">
        <f t="shared" ca="1" si="225"/>
        <v>545122.06214262208</v>
      </c>
      <c r="H1216" s="100">
        <f ca="1">ROUND($B1216*VLOOKUP($A1216,$A$1:$B$10,2,1)/(365+IF(MOD(YEAR($A1216),4),0,1)*($A1216-$A1215)),2)-Первоначальный[[#This Row],[Проценты на просроченный платеж по ОД за период]]</f>
        <v>69.930000000000007</v>
      </c>
      <c r="I1216" s="55">
        <f t="shared" ca="1" si="226"/>
        <v>11.43</v>
      </c>
      <c r="J1216" s="55">
        <v>0</v>
      </c>
      <c r="K1216" s="55">
        <f t="shared" ca="1" si="229"/>
        <v>535.87850327868841</v>
      </c>
      <c r="L1216" s="55">
        <v>0</v>
      </c>
      <c r="M1216" s="113">
        <f>SUMIFS(График[Возврат основной суммы долга],График[Дата с учетом нерабочих дней],$A1216)</f>
        <v>0</v>
      </c>
      <c r="N1216" s="56">
        <f>SUMIFS(График[Возврат начисленных %],График[Дата с учетом нерабочих дней],$A1216)</f>
        <v>0</v>
      </c>
      <c r="O1216" s="101">
        <v>0</v>
      </c>
      <c r="P1216" s="100" cm="1">
        <f t="array" aca="1" ref="P1216" ca="1">MAX(IF(AA1215="Да",0,SUM(INDIRECT("M"&amp;(MAX(("Да"=AA$12:AA1215)*ROW(AA$12:AA1215)+1,ROW($P$12))&amp;":M"&amp;(ROW()))))-SUM(INDIRECT("W"&amp;(MAX(("Да"=AA$12:AA1215)*ROW(AA$12:AA1215)+1,ROW($P$12))&amp;":W"&amp;(ROW()))))),0)</f>
        <v>21023.989999999998</v>
      </c>
      <c r="Q1216" s="99">
        <f ca="1">MAX(SUM($N$13:N1216)-SUM($T$13:T1216),0)</f>
        <v>86151.710655737683</v>
      </c>
      <c r="R1216" s="99">
        <f ca="1">Первоначальный[[#This Row],[Просроченный платеж по ОД]]+Первоначальный[[#This Row],[Просроченный платеж по процентам]]</f>
        <v>107175.70065573769</v>
      </c>
      <c r="S1216" s="120">
        <f ca="1">IF(Первоначальный[[#This Row],[Просроченный платеж]]&lt;1,0,S1215+1)</f>
        <v>1112</v>
      </c>
      <c r="T1216" s="100" cm="1">
        <f t="array" aca="1" ref="T1216" ca="1">IF(Первоначальный[[#This Row],[Итого остаток на начало периода]]&lt;1,0,
IF(
AND(TYPE(VLOOKUP(1,$Z$12:Z1216,1,0))=16,Первоначальный[[#This Row],[Досрочное погашение (да/"")]]=""),0,
_xlfn.IFS(AND(S1215=0,Первоначальный[[#This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платеж]]&lt;&gt;0),MIN(LOOKUP(,-1/($Z$12:Z1216=1),$C$12:C1216)+LOOKUP(,-1/($Z$12:Z1216=1),$H$12:H1216),Первоначальный[[#This Row],[Полученный платеж]]+Y1215),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платеж]]+Y1215,SUM(Первоначальный[[#This Row],[Остаток процентов на начало периода]],Первоначальный[[#This Row],[Проценты за период]])),
AND(S1215=0,Первоначальный[[#This Row],[Дата платежа из графика]]=""),0,
AND(S1215=0,Первоначальный[[#This Row],[Дата платежа из графика]]=1,MAX((0&lt;&gt;S$12:S1215)*ROW(S$12:S1215),ROW($S$12))&gt;=MAX((1=Z$12:Z1215)*ROW(Z$12:Z1215),ROW($T$12)),TYPE(VLOOKUP("Да",(INDIRECT("AA"&amp;(MAX((1=Z$12:Z1215)*ROW(Z$12:Z1215),ROW($T$12))&amp;":AA"&amp;(ROW()-1)))),1,0))=16),MIN(LOOKUP(,-1/($Z$12:Z1216=1),$C$12:C1216)+LOOKUP(,-1/($Z$12:Z1216=1),$H$12:H1216),Первоначальный[[#This Row],[Полученный платеж]]+Y1215),
AND(S1215=0,TYPE(VLOOKUP("Да",(INDIRECT("AA"&amp;(MAX((1=Z$12:Z1215)*ROW(Z$12:Z1215),ROW($T$12))&amp;":AA"&amp;(ROW()-1)))),1,0))&lt;&gt;16),MIN(LOOKUP(,-1/($Z$12:Z1216=1),$C$12:C1216)+LOOKUP(,-1/($Z$12:Z1216=1),$H$12:H1216)-IF(AA1215="Да",0,SUM(INDIRECT("T"&amp;(MAX(("Да"=AA$12:AA1215)*ROW(AA$12:AA1215)+1,ROW($T$12))&amp;":T"&amp;(ROW()-1))))),Первоначальный[[#This Row],[Полученный платеж]]+Y1215),
AND(S1215=0,MAX((0&lt;&gt;N$12:N1215)*ROW(N$12:N1215),ROW($S$12))&gt;=MAX((1=Z$12:Z1215)*ROW(Z$12:Z1215),ROW($T$12))),MIN(LOOKUP(,-1/($Z$12:Z1216=1),$C$12:C1216)+LOOKUP(,-1/($Z$12:Z1216=1),$H$12:H1216)-IF(N1215&lt;&gt;0,0,SUM(INDIRECT("T"&amp;(MAX((0&lt;&gt;N$12:N1215)*ROW(N$12:N1215)+1,ROW($T$12))&amp;":T"&amp;(ROW()-1))))),Первоначальный[[#This Row],[Полученный платеж]]+Y1215),
AND(S1215=0,Первоначальный[[#This Row],[Дата платежа из графика]]=1),MIN(LOOKUP(,-1/($Z$12:Z1216=1),$C$12:C1216)+LOOKUP(,-1/($Z$12:Z1216=1),$H$12:H1216)-IF(Z1215=1,0,SUM(INDIRECT("T"&amp;(MAX((1=Z$12:Z1215)*ROW(Z$12:Z1215)+1,ROW($T$12))&amp;":T"&amp;(ROW()-1))))),Первоначальный[[#This Row],[Полученный платеж]]+Y1215),
AND(Z1215&gt;0,Первоначальный[[#This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платеж]]+Y1215),
AND(S1215&gt;0,MAX((0&lt;&gt;S$12:S1215)*ROW(S$12:S1215),ROW($S$12))&gt;=MAX((1=Z$12:Z1215)*ROW(Z$12:Z1215),ROW($T$12)),TYPE(VLOOKUP("Да",(INDIRECT("AA"&amp;(MAX((1=Z$12:Z1215)*ROW(Z$12:Z1215),ROW($T$12))&amp;":AA"&amp;(ROW()-1)))),1,0))=16),MIN(LOOKUP(,-1/($Z$12:Z1216=1),$C$12:C1216)+LOOKUP(,-1/($Z$12:Z1216=1),$H$12:H1216)-SUM(INDIRECT("T"&amp;(MAX((1=Z$12:Z1215)*ROW(Z$12:Z1215),ROW($T$12))&amp;":T"&amp;(ROW()-1)))),Первоначальный[[#This Row],[Полученный платеж]]+Y1215),
S1215&gt;0,MIN(LOOKUP(,-1/($Z$12:Z1216=1),$C$12:C1216)+LOOKUP(,-1/($Z$12:Z1216=1),$H$12:H1216)-IF(Z1215=1,0,SUM(INDIRECT("T"&amp;(MAX((1=Z$12:Z1215)*ROW(Z$12:Z1215)+1,ROW($T$12))&amp;":T"&amp;(ROW()-1))))),Первоначальный[[#This Row],[Полученный платеж]]+Y1215)
)
)
)</f>
        <v>0</v>
      </c>
      <c r="U121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платеж]]+Y1215-Первоначальный[[#This Row],[Полученный платёж по процентам]])</f>
        <v>0</v>
      </c>
      <c r="V1216" s="55">
        <f t="shared" ca="1" si="219"/>
        <v>0</v>
      </c>
      <c r="W1216" s="55" cm="1">
        <f t="array" aca="1" ref="W1216" ca="1">IF(Первоначальный[[#This Row],[Итого остаток на начало периода]]&lt;1,0,
_xlfn.IFS(
AND(TYPE(VLOOKUP(1,$Z$12:Z1216,1,0))=16,Первоначальный[[#This Row],[Досрочное погашение (да/"")]]=""),0,
AND(S1215=0,Первоначальный[[#This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платеж]]+Y1215-SUM(Первоначальный[[#This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комиссиям]]),VLOOKUP(LOOKUP(,-1/($Z$12:Z1216=1),$A$12:A1216),График[[Срок конец]:[Возврат основной суммы долга]],3,0)),
AND(S1215=0,Первоначальный[[#This Row],[Дата платежа из графика]]="",Первоначальный[[#This Row],[Досрочное погашение (да/"")]]&lt;&gt;"Да"),0,
AND(S1215=0,Первоначальный[[#This Row],[Досрочное погашение (да/"")]]=""),MIN(Первоначальный[[#This Row],[Полученный платеж]]+Y1215-SUM(Первоначальный[[#This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комиссиям]]),VLOOKUP(LOOKUP(,-1/($Z$12:Z1216=1),$A$12:A1216),График[[Срок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платеж]]+Y1215-SUM(Первоначальный[[#This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S1215&gt;0,MIN(Первоначальный[[#This Row],[Полученный платеж]]+Y1215-SUM(Первоначальный[[#This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комиссиям]]),SUM(INDIRECT("M"&amp;(MAX((1=S$12:S1215)*ROW(S$12:S1215),ROW($W$12))&amp;":M"&amp;(ROW()))))-SUM(INDIRECT("W"&amp;(MAX((1=S$12:S1215)*ROW(S$12:S1215),ROW($W$12))&amp;":W"&amp;(ROW()-1)))))
)
)</f>
        <v>0</v>
      </c>
      <c r="X1216" s="55">
        <f t="shared" ca="1" si="220"/>
        <v>0</v>
      </c>
      <c r="Y1216" s="101">
        <f t="shared" ca="1" si="227"/>
        <v>0</v>
      </c>
      <c r="Z1216" s="133" t="str">
        <f>IF(TYPE((VLOOKUP(Первоначальный[[#This Row],[Дата платежа]],График[Срок конец],1,0)))=16,"",1)</f>
        <v/>
      </c>
      <c r="AA1216" s="57"/>
      <c r="AB1216" s="134"/>
      <c r="AC121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1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87274.630000000063</v>
      </c>
      <c r="AE121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5864.5899999999874</v>
      </c>
      <c r="AF121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1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302966.74064590078</v>
      </c>
      <c r="AH1216" s="55"/>
      <c r="AI1216" s="55"/>
      <c r="AJ1216" s="55"/>
      <c r="AK1216" s="101">
        <f t="shared" ca="1" si="228"/>
        <v>545739.30064590089</v>
      </c>
      <c r="AL1216" s="129">
        <f t="array" ref="AL1216">MAX((УслРестрактов[Характеристика]="Дата реструктуризации")*(УслРестрактов[Значение]=Первоначальный!$A1216),0)</f>
        <v>0</v>
      </c>
    </row>
    <row r="1217" spans="1:38" x14ac:dyDescent="0.25">
      <c r="A1217" s="97">
        <f t="shared" si="221"/>
        <v>45348</v>
      </c>
      <c r="B1217" s="100">
        <f t="shared" ca="1" si="222"/>
        <v>149633.34</v>
      </c>
      <c r="C1217" s="55">
        <f t="shared" ref="C1217:D1280" ca="1" si="230">AD1216+AI1216</f>
        <v>87274.630000000063</v>
      </c>
      <c r="D1217" s="55">
        <f t="shared" ca="1" si="230"/>
        <v>5864.5899999999874</v>
      </c>
      <c r="E1217" s="55">
        <f t="shared" ca="1" si="223"/>
        <v>0</v>
      </c>
      <c r="F1217" s="55">
        <f t="shared" ca="1" si="224"/>
        <v>302966.74064590078</v>
      </c>
      <c r="G1217" s="101">
        <f t="shared" ca="1" si="225"/>
        <v>545739.30064590089</v>
      </c>
      <c r="H1217" s="100">
        <f ca="1">ROUND($B1217*VLOOKUP($A1217,$A$1:$B$10,2,1)/(365+IF(MOD(YEAR($A1217),4),0,1)*($A1217-$A1216)),2)-Первоначальный[[#This Row],[Проценты на просроченный платеж по ОД за период]]</f>
        <v>69.930000000000007</v>
      </c>
      <c r="I1217" s="55">
        <f t="shared" ca="1" si="226"/>
        <v>11.43</v>
      </c>
      <c r="J1217" s="55">
        <v>0</v>
      </c>
      <c r="K1217" s="55">
        <f t="shared" ca="1" si="229"/>
        <v>535.87850327868841</v>
      </c>
      <c r="L1217" s="55">
        <v>0</v>
      </c>
      <c r="M1217" s="113">
        <f>SUMIFS(График[Возврат основной суммы долга],График[Дата с учетом нерабочих дней],$A1217)</f>
        <v>0</v>
      </c>
      <c r="N1217" s="56">
        <f>SUMIFS(График[Возврат начисленных %],График[Дата с учетом нерабочих дней],$A1217)</f>
        <v>0</v>
      </c>
      <c r="O1217" s="101">
        <v>0</v>
      </c>
      <c r="P1217" s="100" cm="1">
        <f t="array" aca="1" ref="P1217" ca="1">MAX(IF(AA1216="Да",0,SUM(INDIRECT("M"&amp;(MAX(("Да"=AA$12:AA1216)*ROW(AA$12:AA1216)+1,ROW($P$12))&amp;":M"&amp;(ROW()))))-SUM(INDIRECT("W"&amp;(MAX(("Да"=AA$12:AA1216)*ROW(AA$12:AA1216)+1,ROW($P$12))&amp;":W"&amp;(ROW()))))),0)</f>
        <v>21023.989999999998</v>
      </c>
      <c r="Q1217" s="99">
        <f ca="1">MAX(SUM($N$13:N1217)-SUM($T$13:T1217),0)</f>
        <v>86151.710655737683</v>
      </c>
      <c r="R1217" s="99">
        <f ca="1">Первоначальный[[#This Row],[Просроченный платеж по ОД]]+Первоначальный[[#This Row],[Просроченный платеж по процентам]]</f>
        <v>107175.70065573769</v>
      </c>
      <c r="S1217" s="120">
        <f ca="1">IF(Первоначальный[[#This Row],[Просроченный платеж]]&lt;1,0,S1216+1)</f>
        <v>1113</v>
      </c>
      <c r="T1217" s="100" cm="1">
        <f t="array" aca="1" ref="T1217" ca="1">IF(Первоначальный[[#This Row],[Итого остаток на начало периода]]&lt;1,0,
IF(
AND(TYPE(VLOOKUP(1,$Z$12:Z1217,1,0))=16,Первоначальный[[#This Row],[Досрочное погашение (да/"")]]=""),0,
_xlfn.IFS(AND(S1216=0,Первоначальный[[#This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платеж]]&lt;&gt;0),MIN(LOOKUP(,-1/($Z$12:Z1217=1),$C$12:C1217)+LOOKUP(,-1/($Z$12:Z1217=1),$H$12:H1217),Первоначальный[[#This Row],[Полученный платеж]]+Y1216),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платеж]]+Y1216,SUM(Первоначальный[[#This Row],[Остаток процентов на начало периода]],Первоначальный[[#This Row],[Проценты за период]])),
AND(S1216=0,Первоначальный[[#This Row],[Дата платежа из графика]]=""),0,
AND(S1216=0,Первоначальный[[#This Row],[Дата платежа из графика]]=1,MAX((0&lt;&gt;S$12:S1216)*ROW(S$12:S1216),ROW($S$12))&gt;=MAX((1=Z$12:Z1216)*ROW(Z$12:Z1216),ROW($T$12)),TYPE(VLOOKUP("Да",(INDIRECT("AA"&amp;(MAX((1=Z$12:Z1216)*ROW(Z$12:Z1216),ROW($T$12))&amp;":AA"&amp;(ROW()-1)))),1,0))=16),MIN(LOOKUP(,-1/($Z$12:Z1217=1),$C$12:C1217)+LOOKUP(,-1/($Z$12:Z1217=1),$H$12:H1217),Первоначальный[[#This Row],[Полученный платеж]]+Y1216),
AND(S1216=0,TYPE(VLOOKUP("Да",(INDIRECT("AA"&amp;(MAX((1=Z$12:Z1216)*ROW(Z$12:Z1216),ROW($T$12))&amp;":AA"&amp;(ROW()-1)))),1,0))&lt;&gt;16),MIN(LOOKUP(,-1/($Z$12:Z1217=1),$C$12:C1217)+LOOKUP(,-1/($Z$12:Z1217=1),$H$12:H1217)-IF(AA1216="Да",0,SUM(INDIRECT("T"&amp;(MAX(("Да"=AA$12:AA1216)*ROW(AA$12:AA1216)+1,ROW($T$12))&amp;":T"&amp;(ROW()-1))))),Первоначальный[[#This Row],[Полученный платеж]]+Y1216),
AND(S1216=0,MAX((0&lt;&gt;N$12:N1216)*ROW(N$12:N1216),ROW($S$12))&gt;=MAX((1=Z$12:Z1216)*ROW(Z$12:Z1216),ROW($T$12))),MIN(LOOKUP(,-1/($Z$12:Z1217=1),$C$12:C1217)+LOOKUP(,-1/($Z$12:Z1217=1),$H$12:H1217)-IF(N1216&lt;&gt;0,0,SUM(INDIRECT("T"&amp;(MAX((0&lt;&gt;N$12:N1216)*ROW(N$12:N1216)+1,ROW($T$12))&amp;":T"&amp;(ROW()-1))))),Первоначальный[[#This Row],[Полученный платеж]]+Y1216),
AND(S1216=0,Первоначальный[[#This Row],[Дата платежа из графика]]=1),MIN(LOOKUP(,-1/($Z$12:Z1217=1),$C$12:C1217)+LOOKUP(,-1/($Z$12:Z1217=1),$H$12:H1217)-IF(Z1216=1,0,SUM(INDIRECT("T"&amp;(MAX((1=Z$12:Z1216)*ROW(Z$12:Z1216)+1,ROW($T$12))&amp;":T"&amp;(ROW()-1))))),Первоначальный[[#This Row],[Полученный платеж]]+Y1216),
AND(Z1216&gt;0,Первоначальный[[#This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платеж]]+Y1216),
AND(S1216&gt;0,MAX((0&lt;&gt;S$12:S1216)*ROW(S$12:S1216),ROW($S$12))&gt;=MAX((1=Z$12:Z1216)*ROW(Z$12:Z1216),ROW($T$12)),TYPE(VLOOKUP("Да",(INDIRECT("AA"&amp;(MAX((1=Z$12:Z1216)*ROW(Z$12:Z1216),ROW($T$12))&amp;":AA"&amp;(ROW()-1)))),1,0))=16),MIN(LOOKUP(,-1/($Z$12:Z1217=1),$C$12:C1217)+LOOKUP(,-1/($Z$12:Z1217=1),$H$12:H1217)-SUM(INDIRECT("T"&amp;(MAX((1=Z$12:Z1216)*ROW(Z$12:Z1216),ROW($T$12))&amp;":T"&amp;(ROW()-1)))),Первоначальный[[#This Row],[Полученный платеж]]+Y1216),
S1216&gt;0,MIN(LOOKUP(,-1/($Z$12:Z1217=1),$C$12:C1217)+LOOKUP(,-1/($Z$12:Z1217=1),$H$12:H1217)-IF(Z1216=1,0,SUM(INDIRECT("T"&amp;(MAX((1=Z$12:Z1216)*ROW(Z$12:Z1216)+1,ROW($T$12))&amp;":T"&amp;(ROW()-1))))),Первоначальный[[#This Row],[Полученный платеж]]+Y1216)
)
)
)</f>
        <v>0</v>
      </c>
      <c r="U121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платеж]]+Y1216-Первоначальный[[#This Row],[Полученный платёж по процентам]])</f>
        <v>0</v>
      </c>
      <c r="V1217" s="55">
        <f t="shared" ca="1" si="219"/>
        <v>0</v>
      </c>
      <c r="W1217" s="55" cm="1">
        <f t="array" aca="1" ref="W1217" ca="1">IF(Первоначальный[[#This Row],[Итого остаток на начало периода]]&lt;1,0,
_xlfn.IFS(
AND(TYPE(VLOOKUP(1,$Z$12:Z1217,1,0))=16,Первоначальный[[#This Row],[Досрочное погашение (да/"")]]=""),0,
AND(S1216=0,Первоначальный[[#This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платеж]]+Y1216-SUM(Первоначальный[[#This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комиссиям]]),VLOOKUP(LOOKUP(,-1/($Z$12:Z1217=1),$A$12:A1217),График[[Срок конец]:[Возврат основной суммы долга]],3,0)),
AND(S1216=0,Первоначальный[[#This Row],[Дата платежа из графика]]="",Первоначальный[[#This Row],[Досрочное погашение (да/"")]]&lt;&gt;"Да"),0,
AND(S1216=0,Первоначальный[[#This Row],[Досрочное погашение (да/"")]]=""),MIN(Первоначальный[[#This Row],[Полученный платеж]]+Y1216-SUM(Первоначальный[[#This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комиссиям]]),VLOOKUP(LOOKUP(,-1/($Z$12:Z1217=1),$A$12:A1217),График[[Срок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платеж]]+Y1216-SUM(Первоначальный[[#This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S1216&gt;0,MIN(Первоначальный[[#This Row],[Полученный платеж]]+Y1216-SUM(Первоначальный[[#This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комиссиям]]),SUM(INDIRECT("M"&amp;(MAX((1=S$12:S1216)*ROW(S$12:S1216),ROW($W$12))&amp;":M"&amp;(ROW()))))-SUM(INDIRECT("W"&amp;(MAX((1=S$12:S1216)*ROW(S$12:S1216),ROW($W$12))&amp;":W"&amp;(ROW()-1)))))
)
)</f>
        <v>0</v>
      </c>
      <c r="X1217" s="55">
        <f t="shared" ca="1" si="220"/>
        <v>0</v>
      </c>
      <c r="Y1217" s="101">
        <f t="shared" ca="1" si="227"/>
        <v>0</v>
      </c>
      <c r="Z1217" s="133" t="str">
        <f>IF(TYPE((VLOOKUP(Первоначальный[[#This Row],[Дата платежа]],График[Срок конец],1,0)))=16,"",1)</f>
        <v/>
      </c>
      <c r="AA1217" s="57"/>
      <c r="AB1217" s="134"/>
      <c r="AC121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1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87344.560000000056</v>
      </c>
      <c r="AE121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5876.0199999999877</v>
      </c>
      <c r="AF121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1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303502.61914917949</v>
      </c>
      <c r="AH1217" s="55"/>
      <c r="AI1217" s="55"/>
      <c r="AJ1217" s="55"/>
      <c r="AK1217" s="101">
        <f t="shared" ca="1" si="228"/>
        <v>546356.53914917959</v>
      </c>
      <c r="AL1217" s="129">
        <f t="array" ref="AL1217">MAX((УслРестрактов[Характеристика]="Дата реструктуризации")*(УслРестрактов[Значение]=Первоначальный!$A1217),0)</f>
        <v>0</v>
      </c>
    </row>
    <row r="1218" spans="1:38" x14ac:dyDescent="0.25">
      <c r="A1218" s="97">
        <f t="shared" si="221"/>
        <v>45349</v>
      </c>
      <c r="B1218" s="100">
        <f t="shared" ca="1" si="222"/>
        <v>149633.34</v>
      </c>
      <c r="C1218" s="55">
        <f t="shared" ca="1" si="230"/>
        <v>87344.560000000056</v>
      </c>
      <c r="D1218" s="55">
        <f t="shared" ca="1" si="230"/>
        <v>5876.0199999999877</v>
      </c>
      <c r="E1218" s="55">
        <f t="shared" ca="1" si="223"/>
        <v>0</v>
      </c>
      <c r="F1218" s="55">
        <f t="shared" ca="1" si="224"/>
        <v>303502.61914917949</v>
      </c>
      <c r="G1218" s="101">
        <f t="shared" ca="1" si="225"/>
        <v>546356.53914917959</v>
      </c>
      <c r="H1218" s="100">
        <f ca="1">ROUND($B1218*VLOOKUP($A1218,$A$1:$B$10,2,1)/(365+IF(MOD(YEAR($A1218),4),0,1)*($A1218-$A1217)),2)-Первоначальный[[#This Row],[Проценты на просроченный платеж по ОД за период]]</f>
        <v>69.930000000000007</v>
      </c>
      <c r="I1218" s="55">
        <f t="shared" ca="1" si="226"/>
        <v>11.43</v>
      </c>
      <c r="J1218" s="55">
        <v>0</v>
      </c>
      <c r="K1218" s="55">
        <f t="shared" ca="1" si="229"/>
        <v>535.87850327868841</v>
      </c>
      <c r="L1218" s="55">
        <v>0</v>
      </c>
      <c r="M1218" s="113">
        <f>SUMIFS(График[Возврат основной суммы долга],График[Дата с учетом нерабочих дней],$A1218)</f>
        <v>0</v>
      </c>
      <c r="N1218" s="56">
        <f>SUMIFS(График[Возврат начисленных %],График[Дата с учетом нерабочих дней],$A1218)</f>
        <v>0</v>
      </c>
      <c r="O1218" s="101">
        <v>0</v>
      </c>
      <c r="P1218" s="100" cm="1">
        <f t="array" aca="1" ref="P1218" ca="1">MAX(IF(AA1217="Да",0,SUM(INDIRECT("M"&amp;(MAX(("Да"=AA$12:AA1217)*ROW(AA$12:AA1217)+1,ROW($P$12))&amp;":M"&amp;(ROW()))))-SUM(INDIRECT("W"&amp;(MAX(("Да"=AA$12:AA1217)*ROW(AA$12:AA1217)+1,ROW($P$12))&amp;":W"&amp;(ROW()))))),0)</f>
        <v>21023.989999999998</v>
      </c>
      <c r="Q1218" s="99">
        <f ca="1">MAX(SUM($N$13:N1218)-SUM($T$13:T1218),0)</f>
        <v>86151.710655737683</v>
      </c>
      <c r="R1218" s="99">
        <f ca="1">Первоначальный[[#This Row],[Просроченный платеж по ОД]]+Первоначальный[[#This Row],[Просроченный платеж по процентам]]</f>
        <v>107175.70065573769</v>
      </c>
      <c r="S1218" s="120">
        <f ca="1">IF(Первоначальный[[#This Row],[Просроченный платеж]]&lt;1,0,S1217+1)</f>
        <v>1114</v>
      </c>
      <c r="T1218" s="100" cm="1">
        <f t="array" aca="1" ref="T1218" ca="1">IF(Первоначальный[[#This Row],[Итого остаток на начало периода]]&lt;1,0,
IF(
AND(TYPE(VLOOKUP(1,$Z$12:Z1218,1,0))=16,Первоначальный[[#This Row],[Досрочное погашение (да/"")]]=""),0,
_xlfn.IFS(AND(S1217=0,Первоначальный[[#This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платеж]]&lt;&gt;0),MIN(LOOKUP(,-1/($Z$12:Z1218=1),$C$12:C1218)+LOOKUP(,-1/($Z$12:Z1218=1),$H$12:H1218),Первоначальный[[#This Row],[Полученный платеж]]+Y1217),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платеж]]+Y1217,SUM(Первоначальный[[#This Row],[Остаток процентов на начало периода]],Первоначальный[[#This Row],[Проценты за период]])),
AND(S1217=0,Первоначальный[[#This Row],[Дата платежа из графика]]=""),0,
AND(S1217=0,Первоначальный[[#This Row],[Дата платежа из графика]]=1,MAX((0&lt;&gt;S$12:S1217)*ROW(S$12:S1217),ROW($S$12))&gt;=MAX((1=Z$12:Z1217)*ROW(Z$12:Z1217),ROW($T$12)),TYPE(VLOOKUP("Да",(INDIRECT("AA"&amp;(MAX((1=Z$12:Z1217)*ROW(Z$12:Z1217),ROW($T$12))&amp;":AA"&amp;(ROW()-1)))),1,0))=16),MIN(LOOKUP(,-1/($Z$12:Z1218=1),$C$12:C1218)+LOOKUP(,-1/($Z$12:Z1218=1),$H$12:H1218),Первоначальный[[#This Row],[Полученный платеж]]+Y1217),
AND(S1217=0,TYPE(VLOOKUP("Да",(INDIRECT("AA"&amp;(MAX((1=Z$12:Z1217)*ROW(Z$12:Z1217),ROW($T$12))&amp;":AA"&amp;(ROW()-1)))),1,0))&lt;&gt;16),MIN(LOOKUP(,-1/($Z$12:Z1218=1),$C$12:C1218)+LOOKUP(,-1/($Z$12:Z1218=1),$H$12:H1218)-IF(AA1217="Да",0,SUM(INDIRECT("T"&amp;(MAX(("Да"=AA$12:AA1217)*ROW(AA$12:AA1217)+1,ROW($T$12))&amp;":T"&amp;(ROW()-1))))),Первоначальный[[#This Row],[Полученный платеж]]+Y1217),
AND(S1217=0,MAX((0&lt;&gt;N$12:N1217)*ROW(N$12:N1217),ROW($S$12))&gt;=MAX((1=Z$12:Z1217)*ROW(Z$12:Z1217),ROW($T$12))),MIN(LOOKUP(,-1/($Z$12:Z1218=1),$C$12:C1218)+LOOKUP(,-1/($Z$12:Z1218=1),$H$12:H1218)-IF(N1217&lt;&gt;0,0,SUM(INDIRECT("T"&amp;(MAX((0&lt;&gt;N$12:N1217)*ROW(N$12:N1217)+1,ROW($T$12))&amp;":T"&amp;(ROW()-1))))),Первоначальный[[#This Row],[Полученный платеж]]+Y1217),
AND(S1217=0,Первоначальный[[#This Row],[Дата платежа из графика]]=1),MIN(LOOKUP(,-1/($Z$12:Z1218=1),$C$12:C1218)+LOOKUP(,-1/($Z$12:Z1218=1),$H$12:H1218)-IF(Z1217=1,0,SUM(INDIRECT("T"&amp;(MAX((1=Z$12:Z1217)*ROW(Z$12:Z1217)+1,ROW($T$12))&amp;":T"&amp;(ROW()-1))))),Первоначальный[[#This Row],[Полученный платеж]]+Y1217),
AND(Z1217&gt;0,Первоначальный[[#This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платеж]]+Y1217),
AND(S1217&gt;0,MAX((0&lt;&gt;S$12:S1217)*ROW(S$12:S1217),ROW($S$12))&gt;=MAX((1=Z$12:Z1217)*ROW(Z$12:Z1217),ROW($T$12)),TYPE(VLOOKUP("Да",(INDIRECT("AA"&amp;(MAX((1=Z$12:Z1217)*ROW(Z$12:Z1217),ROW($T$12))&amp;":AA"&amp;(ROW()-1)))),1,0))=16),MIN(LOOKUP(,-1/($Z$12:Z1218=1),$C$12:C1218)+LOOKUP(,-1/($Z$12:Z1218=1),$H$12:H1218)-SUM(INDIRECT("T"&amp;(MAX((1=Z$12:Z1217)*ROW(Z$12:Z1217),ROW($T$12))&amp;":T"&amp;(ROW()-1)))),Первоначальный[[#This Row],[Полученный платеж]]+Y1217),
S1217&gt;0,MIN(LOOKUP(,-1/($Z$12:Z1218=1),$C$12:C1218)+LOOKUP(,-1/($Z$12:Z1218=1),$H$12:H1218)-IF(Z1217=1,0,SUM(INDIRECT("T"&amp;(MAX((1=Z$12:Z1217)*ROW(Z$12:Z1217)+1,ROW($T$12))&amp;":T"&amp;(ROW()-1))))),Первоначальный[[#This Row],[Полученный платеж]]+Y1217)
)
)
)</f>
        <v>0</v>
      </c>
      <c r="U121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платеж]]+Y1217-Первоначальный[[#This Row],[Полученный платёж по процентам]])</f>
        <v>0</v>
      </c>
      <c r="V1218" s="55">
        <f t="shared" ca="1" si="219"/>
        <v>0</v>
      </c>
      <c r="W1218" s="55" cm="1">
        <f t="array" aca="1" ref="W1218" ca="1">IF(Первоначальный[[#This Row],[Итого остаток на начало периода]]&lt;1,0,
_xlfn.IFS(
AND(TYPE(VLOOKUP(1,$Z$12:Z1218,1,0))=16,Первоначальный[[#This Row],[Досрочное погашение (да/"")]]=""),0,
AND(S1217=0,Первоначальный[[#This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платеж]]+Y1217-SUM(Первоначальный[[#This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комиссиям]]),VLOOKUP(LOOKUP(,-1/($Z$12:Z1218=1),$A$12:A1218),График[[Срок конец]:[Возврат основной суммы долга]],3,0)),
AND(S1217=0,Первоначальный[[#This Row],[Дата платежа из графика]]="",Первоначальный[[#This Row],[Досрочное погашение (да/"")]]&lt;&gt;"Да"),0,
AND(S1217=0,Первоначальный[[#This Row],[Досрочное погашение (да/"")]]=""),MIN(Первоначальный[[#This Row],[Полученный платеж]]+Y1217-SUM(Первоначальный[[#This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комиссиям]]),VLOOKUP(LOOKUP(,-1/($Z$12:Z1218=1),$A$12:A1218),График[[Срок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платеж]]+Y1217-SUM(Первоначальный[[#This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S1217&gt;0,MIN(Первоначальный[[#This Row],[Полученный платеж]]+Y1217-SUM(Первоначальный[[#This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комиссиям]]),SUM(INDIRECT("M"&amp;(MAX((1=S$12:S1217)*ROW(S$12:S1217),ROW($W$12))&amp;":M"&amp;(ROW()))))-SUM(INDIRECT("W"&amp;(MAX((1=S$12:S1217)*ROW(S$12:S1217),ROW($W$12))&amp;":W"&amp;(ROW()-1)))))
)
)</f>
        <v>0</v>
      </c>
      <c r="X1218" s="55">
        <f t="shared" ca="1" si="220"/>
        <v>0</v>
      </c>
      <c r="Y1218" s="101">
        <f t="shared" ca="1" si="227"/>
        <v>0</v>
      </c>
      <c r="Z1218" s="133" t="str">
        <f>IF(TYPE((VLOOKUP(Первоначальный[[#This Row],[Дата платежа]],График[Срок конец],1,0)))=16,"",1)</f>
        <v/>
      </c>
      <c r="AA1218" s="57"/>
      <c r="AB1218" s="134"/>
      <c r="AC121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1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87414.490000000049</v>
      </c>
      <c r="AE121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5887.449999999988</v>
      </c>
      <c r="AF121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1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304038.4976524582</v>
      </c>
      <c r="AH1218" s="55"/>
      <c r="AI1218" s="55"/>
      <c r="AJ1218" s="55"/>
      <c r="AK1218" s="101">
        <f t="shared" ca="1" si="228"/>
        <v>546973.77765245829</v>
      </c>
      <c r="AL1218" s="129">
        <f t="array" ref="AL1218">MAX((УслРестрактов[Характеристика]="Дата реструктуризации")*(УслРестрактов[Значение]=Первоначальный!$A1218),0)</f>
        <v>0</v>
      </c>
    </row>
    <row r="1219" spans="1:38" x14ac:dyDescent="0.25">
      <c r="A1219" s="97">
        <f t="shared" si="221"/>
        <v>45350</v>
      </c>
      <c r="B1219" s="100">
        <f t="shared" ca="1" si="222"/>
        <v>149633.34</v>
      </c>
      <c r="C1219" s="55">
        <f t="shared" ca="1" si="230"/>
        <v>87414.490000000049</v>
      </c>
      <c r="D1219" s="55">
        <f t="shared" ca="1" si="230"/>
        <v>5887.449999999988</v>
      </c>
      <c r="E1219" s="55">
        <f t="shared" ca="1" si="223"/>
        <v>0</v>
      </c>
      <c r="F1219" s="55">
        <f t="shared" ca="1" si="224"/>
        <v>304038.4976524582</v>
      </c>
      <c r="G1219" s="101">
        <f t="shared" ca="1" si="225"/>
        <v>546973.77765245829</v>
      </c>
      <c r="H1219" s="100">
        <f ca="1">ROUND($B1219*VLOOKUP($A1219,$A$1:$B$10,2,1)/(365+IF(MOD(YEAR($A1219),4),0,1)*($A1219-$A1218)),2)-Первоначальный[[#This Row],[Проценты на просроченный платеж по ОД за период]]</f>
        <v>69.930000000000007</v>
      </c>
      <c r="I1219" s="55">
        <f t="shared" ca="1" si="226"/>
        <v>11.43</v>
      </c>
      <c r="J1219" s="55">
        <v>0</v>
      </c>
      <c r="K1219" s="55">
        <f t="shared" ca="1" si="229"/>
        <v>535.87850327868841</v>
      </c>
      <c r="L1219" s="55">
        <v>0</v>
      </c>
      <c r="M1219" s="113">
        <f>SUMIFS(График[Возврат основной суммы долга],График[Дата с учетом нерабочих дней],$A1219)</f>
        <v>0</v>
      </c>
      <c r="N1219" s="56">
        <f>SUMIFS(График[Возврат начисленных %],График[Дата с учетом нерабочих дней],$A1219)</f>
        <v>0</v>
      </c>
      <c r="O1219" s="101">
        <v>0</v>
      </c>
      <c r="P1219" s="100" cm="1">
        <f t="array" aca="1" ref="P1219" ca="1">MAX(IF(AA1218="Да",0,SUM(INDIRECT("M"&amp;(MAX(("Да"=AA$12:AA1218)*ROW(AA$12:AA1218)+1,ROW($P$12))&amp;":M"&amp;(ROW()))))-SUM(INDIRECT("W"&amp;(MAX(("Да"=AA$12:AA1218)*ROW(AA$12:AA1218)+1,ROW($P$12))&amp;":W"&amp;(ROW()))))),0)</f>
        <v>21023.989999999998</v>
      </c>
      <c r="Q1219" s="99">
        <f ca="1">MAX(SUM($N$13:N1219)-SUM($T$13:T1219),0)</f>
        <v>86151.710655737683</v>
      </c>
      <c r="R1219" s="99">
        <f ca="1">Первоначальный[[#This Row],[Просроченный платеж по ОД]]+Первоначальный[[#This Row],[Просроченный платеж по процентам]]</f>
        <v>107175.70065573769</v>
      </c>
      <c r="S1219" s="120">
        <f ca="1">IF(Первоначальный[[#This Row],[Просроченный платеж]]&lt;1,0,S1218+1)</f>
        <v>1115</v>
      </c>
      <c r="T1219" s="100" cm="1">
        <f t="array" aca="1" ref="T1219" ca="1">IF(Первоначальный[[#This Row],[Итого остаток на начало периода]]&lt;1,0,
IF(
AND(TYPE(VLOOKUP(1,$Z$12:Z1219,1,0))=16,Первоначальный[[#This Row],[Досрочное погашение (да/"")]]=""),0,
_xlfn.IFS(AND(S1218=0,Первоначальный[[#This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платеж]]&lt;&gt;0),MIN(LOOKUP(,-1/($Z$12:Z1219=1),$C$12:C1219)+LOOKUP(,-1/($Z$12:Z1219=1),$H$12:H1219),Первоначальный[[#This Row],[Полученный платеж]]+Y1218),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платеж]]+Y1218,SUM(Первоначальный[[#This Row],[Остаток процентов на начало периода]],Первоначальный[[#This Row],[Проценты за период]])),
AND(S1218=0,Первоначальный[[#This Row],[Дата платежа из графика]]=""),0,
AND(S1218=0,Первоначальный[[#This Row],[Дата платежа из графика]]=1,MAX((0&lt;&gt;S$12:S1218)*ROW(S$12:S1218),ROW($S$12))&gt;=MAX((1=Z$12:Z1218)*ROW(Z$12:Z1218),ROW($T$12)),TYPE(VLOOKUP("Да",(INDIRECT("AA"&amp;(MAX((1=Z$12:Z1218)*ROW(Z$12:Z1218),ROW($T$12))&amp;":AA"&amp;(ROW()-1)))),1,0))=16),MIN(LOOKUP(,-1/($Z$12:Z1219=1),$C$12:C1219)+LOOKUP(,-1/($Z$12:Z1219=1),$H$12:H1219),Первоначальный[[#This Row],[Полученный платеж]]+Y1218),
AND(S1218=0,TYPE(VLOOKUP("Да",(INDIRECT("AA"&amp;(MAX((1=Z$12:Z1218)*ROW(Z$12:Z1218),ROW($T$12))&amp;":AA"&amp;(ROW()-1)))),1,0))&lt;&gt;16),MIN(LOOKUP(,-1/($Z$12:Z1219=1),$C$12:C1219)+LOOKUP(,-1/($Z$12:Z1219=1),$H$12:H1219)-IF(AA1218="Да",0,SUM(INDIRECT("T"&amp;(MAX(("Да"=AA$12:AA1218)*ROW(AA$12:AA1218)+1,ROW($T$12))&amp;":T"&amp;(ROW()-1))))),Первоначальный[[#This Row],[Полученный платеж]]+Y1218),
AND(S1218=0,MAX((0&lt;&gt;N$12:N1218)*ROW(N$12:N1218),ROW($S$12))&gt;=MAX((1=Z$12:Z1218)*ROW(Z$12:Z1218),ROW($T$12))),MIN(LOOKUP(,-1/($Z$12:Z1219=1),$C$12:C1219)+LOOKUP(,-1/($Z$12:Z1219=1),$H$12:H1219)-IF(N1218&lt;&gt;0,0,SUM(INDIRECT("T"&amp;(MAX((0&lt;&gt;N$12:N1218)*ROW(N$12:N1218)+1,ROW($T$12))&amp;":T"&amp;(ROW()-1))))),Первоначальный[[#This Row],[Полученный платеж]]+Y1218),
AND(S1218=0,Первоначальный[[#This Row],[Дата платежа из графика]]=1),MIN(LOOKUP(,-1/($Z$12:Z1219=1),$C$12:C1219)+LOOKUP(,-1/($Z$12:Z1219=1),$H$12:H1219)-IF(Z1218=1,0,SUM(INDIRECT("T"&amp;(MAX((1=Z$12:Z1218)*ROW(Z$12:Z1218)+1,ROW($T$12))&amp;":T"&amp;(ROW()-1))))),Первоначальный[[#This Row],[Полученный платеж]]+Y1218),
AND(Z1218&gt;0,Первоначальный[[#This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платеж]]+Y1218),
AND(S1218&gt;0,MAX((0&lt;&gt;S$12:S1218)*ROW(S$12:S1218),ROW($S$12))&gt;=MAX((1=Z$12:Z1218)*ROW(Z$12:Z1218),ROW($T$12)),TYPE(VLOOKUP("Да",(INDIRECT("AA"&amp;(MAX((1=Z$12:Z1218)*ROW(Z$12:Z1218),ROW($T$12))&amp;":AA"&amp;(ROW()-1)))),1,0))=16),MIN(LOOKUP(,-1/($Z$12:Z1219=1),$C$12:C1219)+LOOKUP(,-1/($Z$12:Z1219=1),$H$12:H1219)-SUM(INDIRECT("T"&amp;(MAX((1=Z$12:Z1218)*ROW(Z$12:Z1218),ROW($T$12))&amp;":T"&amp;(ROW()-1)))),Первоначальный[[#This Row],[Полученный платеж]]+Y1218),
S1218&gt;0,MIN(LOOKUP(,-1/($Z$12:Z1219=1),$C$12:C1219)+LOOKUP(,-1/($Z$12:Z1219=1),$H$12:H1219)-IF(Z1218=1,0,SUM(INDIRECT("T"&amp;(MAX((1=Z$12:Z1218)*ROW(Z$12:Z1218)+1,ROW($T$12))&amp;":T"&amp;(ROW()-1))))),Первоначальный[[#This Row],[Полученный платеж]]+Y1218)
)
)
)</f>
        <v>0</v>
      </c>
      <c r="U121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платеж]]+Y1218-Первоначальный[[#This Row],[Полученный платёж по процентам]])</f>
        <v>0</v>
      </c>
      <c r="V1219" s="55">
        <f t="shared" ca="1" si="219"/>
        <v>0</v>
      </c>
      <c r="W1219" s="55" cm="1">
        <f t="array" aca="1" ref="W1219" ca="1">IF(Первоначальный[[#This Row],[Итого остаток на начало периода]]&lt;1,0,
_xlfn.IFS(
AND(TYPE(VLOOKUP(1,$Z$12:Z1219,1,0))=16,Первоначальный[[#This Row],[Досрочное погашение (да/"")]]=""),0,
AND(S1218=0,Первоначальный[[#This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платеж]]+Y1218-SUM(Первоначальный[[#This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комиссиям]]),VLOOKUP(LOOKUP(,-1/($Z$12:Z1219=1),$A$12:A1219),График[[Срок конец]:[Возврат основной суммы долга]],3,0)),
AND(S1218=0,Первоначальный[[#This Row],[Дата платежа из графика]]="",Первоначальный[[#This Row],[Досрочное погашение (да/"")]]&lt;&gt;"Да"),0,
AND(S1218=0,Первоначальный[[#This Row],[Досрочное погашение (да/"")]]=""),MIN(Первоначальный[[#This Row],[Полученный платеж]]+Y1218-SUM(Первоначальный[[#This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комиссиям]]),VLOOKUP(LOOKUP(,-1/($Z$12:Z1219=1),$A$12:A1219),График[[Срок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платеж]]+Y1218-SUM(Первоначальный[[#This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S1218&gt;0,MIN(Первоначальный[[#This Row],[Полученный платеж]]+Y1218-SUM(Первоначальный[[#This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комиссиям]]),SUM(INDIRECT("M"&amp;(MAX((1=S$12:S1218)*ROW(S$12:S1218),ROW($W$12))&amp;":M"&amp;(ROW()))))-SUM(INDIRECT("W"&amp;(MAX((1=S$12:S1218)*ROW(S$12:S1218),ROW($W$12))&amp;":W"&amp;(ROW()-1)))))
)
)</f>
        <v>0</v>
      </c>
      <c r="X1219" s="55">
        <f t="shared" ca="1" si="220"/>
        <v>0</v>
      </c>
      <c r="Y1219" s="101">
        <f t="shared" ca="1" si="227"/>
        <v>0</v>
      </c>
      <c r="Z1219" s="133" t="str">
        <f>IF(TYPE((VLOOKUP(Первоначальный[[#This Row],[Дата платежа]],График[Срок конец],1,0)))=16,"",1)</f>
        <v/>
      </c>
      <c r="AA1219" s="57"/>
      <c r="AB1219" s="134"/>
      <c r="AC121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1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87484.420000000042</v>
      </c>
      <c r="AE121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5898.8799999999883</v>
      </c>
      <c r="AF121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1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304574.37615573691</v>
      </c>
      <c r="AH1219" s="55"/>
      <c r="AI1219" s="55"/>
      <c r="AJ1219" s="55"/>
      <c r="AK1219" s="101">
        <f t="shared" ca="1" si="228"/>
        <v>547591.01615573699</v>
      </c>
      <c r="AL1219" s="129">
        <f t="array" ref="AL1219">MAX((УслРестрактов[Характеристика]="Дата реструктуризации")*(УслРестрактов[Значение]=Первоначальный!$A1219),0)</f>
        <v>0</v>
      </c>
    </row>
    <row r="1220" spans="1:38" x14ac:dyDescent="0.25">
      <c r="A1220" s="97">
        <f t="shared" si="221"/>
        <v>45351</v>
      </c>
      <c r="B1220" s="100">
        <f t="shared" ca="1" si="222"/>
        <v>149633.34</v>
      </c>
      <c r="C1220" s="55">
        <f t="shared" ca="1" si="230"/>
        <v>87484.420000000042</v>
      </c>
      <c r="D1220" s="55">
        <f t="shared" ca="1" si="230"/>
        <v>5898.8799999999883</v>
      </c>
      <c r="E1220" s="55">
        <f t="shared" ca="1" si="223"/>
        <v>0</v>
      </c>
      <c r="F1220" s="55">
        <f t="shared" ca="1" si="224"/>
        <v>304574.37615573691</v>
      </c>
      <c r="G1220" s="101">
        <f t="shared" ca="1" si="225"/>
        <v>547591.01615573699</v>
      </c>
      <c r="H1220" s="100">
        <f ca="1">ROUND($B1220*VLOOKUP($A1220,$A$1:$B$10,2,1)/(365+IF(MOD(YEAR($A1220),4),0,1)*($A1220-$A1219)),2)-Первоначальный[[#This Row],[Проценты на просроченный платеж по ОД за период]]</f>
        <v>69.930000000000007</v>
      </c>
      <c r="I1220" s="55">
        <f t="shared" ca="1" si="226"/>
        <v>11.43</v>
      </c>
      <c r="J1220" s="55">
        <v>0</v>
      </c>
      <c r="K1220" s="55">
        <f t="shared" ca="1" si="229"/>
        <v>535.87850327868841</v>
      </c>
      <c r="L1220" s="55">
        <v>0</v>
      </c>
      <c r="M1220" s="113">
        <f>SUMIFS(График[Возврат основной суммы долга],График[Дата с учетом нерабочих дней],$A1220)</f>
        <v>0</v>
      </c>
      <c r="N1220" s="56">
        <f>SUMIFS(График[Возврат начисленных %],График[Дата с учетом нерабочих дней],$A1220)</f>
        <v>0</v>
      </c>
      <c r="O1220" s="101">
        <v>0</v>
      </c>
      <c r="P1220" s="100" cm="1">
        <f t="array" aca="1" ref="P1220" ca="1">MAX(IF(AA1219="Да",0,SUM(INDIRECT("M"&amp;(MAX(("Да"=AA$12:AA1219)*ROW(AA$12:AA1219)+1,ROW($P$12))&amp;":M"&amp;(ROW()))))-SUM(INDIRECT("W"&amp;(MAX(("Да"=AA$12:AA1219)*ROW(AA$12:AA1219)+1,ROW($P$12))&amp;":W"&amp;(ROW()))))),0)</f>
        <v>21023.989999999998</v>
      </c>
      <c r="Q1220" s="99">
        <f ca="1">MAX(SUM($N$13:N1220)-SUM($T$13:T1220),0)</f>
        <v>86151.710655737683</v>
      </c>
      <c r="R1220" s="99">
        <f ca="1">Первоначальный[[#This Row],[Просроченный платеж по ОД]]+Первоначальный[[#This Row],[Просроченный платеж по процентам]]</f>
        <v>107175.70065573769</v>
      </c>
      <c r="S1220" s="120">
        <f ca="1">IF(Первоначальный[[#This Row],[Просроченный платеж]]&lt;1,0,S1219+1)</f>
        <v>1116</v>
      </c>
      <c r="T1220" s="100" cm="1">
        <f t="array" aca="1" ref="T1220" ca="1">IF(Первоначальный[[#This Row],[Итого остаток на начало периода]]&lt;1,0,
IF(
AND(TYPE(VLOOKUP(1,$Z$12:Z1220,1,0))=16,Первоначальный[[#This Row],[Досрочное погашение (да/"")]]=""),0,
_xlfn.IFS(AND(S1219=0,Первоначальный[[#This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платеж]]&lt;&gt;0),MIN(LOOKUP(,-1/($Z$12:Z1220=1),$C$12:C1220)+LOOKUP(,-1/($Z$12:Z1220=1),$H$12:H1220),Первоначальный[[#This Row],[Полученный платеж]]+Y1219),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платеж]]+Y1219,SUM(Первоначальный[[#This Row],[Остаток процентов на начало периода]],Первоначальный[[#This Row],[Проценты за период]])),
AND(S1219=0,Первоначальный[[#This Row],[Дата платежа из графика]]=""),0,
AND(S1219=0,Первоначальный[[#This Row],[Дата платежа из графика]]=1,MAX((0&lt;&gt;S$12:S1219)*ROW(S$12:S1219),ROW($S$12))&gt;=MAX((1=Z$12:Z1219)*ROW(Z$12:Z1219),ROW($T$12)),TYPE(VLOOKUP("Да",(INDIRECT("AA"&amp;(MAX((1=Z$12:Z1219)*ROW(Z$12:Z1219),ROW($T$12))&amp;":AA"&amp;(ROW()-1)))),1,0))=16),MIN(LOOKUP(,-1/($Z$12:Z1220=1),$C$12:C1220)+LOOKUP(,-1/($Z$12:Z1220=1),$H$12:H1220),Первоначальный[[#This Row],[Полученный платеж]]+Y1219),
AND(S1219=0,TYPE(VLOOKUP("Да",(INDIRECT("AA"&amp;(MAX((1=Z$12:Z1219)*ROW(Z$12:Z1219),ROW($T$12))&amp;":AA"&amp;(ROW()-1)))),1,0))&lt;&gt;16),MIN(LOOKUP(,-1/($Z$12:Z1220=1),$C$12:C1220)+LOOKUP(,-1/($Z$12:Z1220=1),$H$12:H1220)-IF(AA1219="Да",0,SUM(INDIRECT("T"&amp;(MAX(("Да"=AA$12:AA1219)*ROW(AA$12:AA1219)+1,ROW($T$12))&amp;":T"&amp;(ROW()-1))))),Первоначальный[[#This Row],[Полученный платеж]]+Y1219),
AND(S1219=0,MAX((0&lt;&gt;N$12:N1219)*ROW(N$12:N1219),ROW($S$12))&gt;=MAX((1=Z$12:Z1219)*ROW(Z$12:Z1219),ROW($T$12))),MIN(LOOKUP(,-1/($Z$12:Z1220=1),$C$12:C1220)+LOOKUP(,-1/($Z$12:Z1220=1),$H$12:H1220)-IF(N1219&lt;&gt;0,0,SUM(INDIRECT("T"&amp;(MAX((0&lt;&gt;N$12:N1219)*ROW(N$12:N1219)+1,ROW($T$12))&amp;":T"&amp;(ROW()-1))))),Первоначальный[[#This Row],[Полученный платеж]]+Y1219),
AND(S1219=0,Первоначальный[[#This Row],[Дата платежа из графика]]=1),MIN(LOOKUP(,-1/($Z$12:Z1220=1),$C$12:C1220)+LOOKUP(,-1/($Z$12:Z1220=1),$H$12:H1220)-IF(Z1219=1,0,SUM(INDIRECT("T"&amp;(MAX((1=Z$12:Z1219)*ROW(Z$12:Z1219)+1,ROW($T$12))&amp;":T"&amp;(ROW()-1))))),Первоначальный[[#This Row],[Полученный платеж]]+Y1219),
AND(Z1219&gt;0,Первоначальный[[#This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платеж]]+Y1219),
AND(S1219&gt;0,MAX((0&lt;&gt;S$12:S1219)*ROW(S$12:S1219),ROW($S$12))&gt;=MAX((1=Z$12:Z1219)*ROW(Z$12:Z1219),ROW($T$12)),TYPE(VLOOKUP("Да",(INDIRECT("AA"&amp;(MAX((1=Z$12:Z1219)*ROW(Z$12:Z1219),ROW($T$12))&amp;":AA"&amp;(ROW()-1)))),1,0))=16),MIN(LOOKUP(,-1/($Z$12:Z1220=1),$C$12:C1220)+LOOKUP(,-1/($Z$12:Z1220=1),$H$12:H1220)-SUM(INDIRECT("T"&amp;(MAX((1=Z$12:Z1219)*ROW(Z$12:Z1219),ROW($T$12))&amp;":T"&amp;(ROW()-1)))),Первоначальный[[#This Row],[Полученный платеж]]+Y1219),
S1219&gt;0,MIN(LOOKUP(,-1/($Z$12:Z1220=1),$C$12:C1220)+LOOKUP(,-1/($Z$12:Z1220=1),$H$12:H1220)-IF(Z1219=1,0,SUM(INDIRECT("T"&amp;(MAX((1=Z$12:Z1219)*ROW(Z$12:Z1219)+1,ROW($T$12))&amp;":T"&amp;(ROW()-1))))),Первоначальный[[#This Row],[Полученный платеж]]+Y1219)
)
)
)</f>
        <v>0</v>
      </c>
      <c r="U122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платеж]]+Y1219-Первоначальный[[#This Row],[Полученный платёж по процентам]])</f>
        <v>0</v>
      </c>
      <c r="V1220" s="55">
        <f t="shared" ca="1" si="219"/>
        <v>0</v>
      </c>
      <c r="W1220" s="55" cm="1">
        <f t="array" aca="1" ref="W1220" ca="1">IF(Первоначальный[[#This Row],[Итого остаток на начало периода]]&lt;1,0,
_xlfn.IFS(
AND(TYPE(VLOOKUP(1,$Z$12:Z1220,1,0))=16,Первоначальный[[#This Row],[Досрочное погашение (да/"")]]=""),0,
AND(S1219=0,Первоначальный[[#This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платеж]]+Y1219-SUM(Первоначальный[[#This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комиссиям]]),VLOOKUP(LOOKUP(,-1/($Z$12:Z1220=1),$A$12:A1220),График[[Срок конец]:[Возврат основной суммы долга]],3,0)),
AND(S1219=0,Первоначальный[[#This Row],[Дата платежа из графика]]="",Первоначальный[[#This Row],[Досрочное погашение (да/"")]]&lt;&gt;"Да"),0,
AND(S1219=0,Первоначальный[[#This Row],[Досрочное погашение (да/"")]]=""),MIN(Первоначальный[[#This Row],[Полученный платеж]]+Y1219-SUM(Первоначальный[[#This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комиссиям]]),VLOOKUP(LOOKUP(,-1/($Z$12:Z1220=1),$A$12:A1220),График[[Срок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платеж]]+Y1219-SUM(Первоначальный[[#This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S1219&gt;0,MIN(Первоначальный[[#This Row],[Полученный платеж]]+Y1219-SUM(Первоначальный[[#This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комиссиям]]),SUM(INDIRECT("M"&amp;(MAX((1=S$12:S1219)*ROW(S$12:S1219),ROW($W$12))&amp;":M"&amp;(ROW()))))-SUM(INDIRECT("W"&amp;(MAX((1=S$12:S1219)*ROW(S$12:S1219),ROW($W$12))&amp;":W"&amp;(ROW()-1)))))
)
)</f>
        <v>0</v>
      </c>
      <c r="X1220" s="55">
        <f t="shared" ca="1" si="220"/>
        <v>0</v>
      </c>
      <c r="Y1220" s="101">
        <f t="shared" ca="1" si="227"/>
        <v>0</v>
      </c>
      <c r="Z1220" s="133" t="str">
        <f>IF(TYPE((VLOOKUP(Первоначальный[[#This Row],[Дата платежа]],График[Срок конец],1,0)))=16,"",1)</f>
        <v/>
      </c>
      <c r="AA1220" s="57"/>
      <c r="AB1220" s="134"/>
      <c r="AC122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2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87554.350000000035</v>
      </c>
      <c r="AE122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5910.3099999999886</v>
      </c>
      <c r="AF122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2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305110.25465901563</v>
      </c>
      <c r="AH1220" s="55"/>
      <c r="AI1220" s="55"/>
      <c r="AJ1220" s="55"/>
      <c r="AK1220" s="101">
        <f t="shared" ca="1" si="228"/>
        <v>548208.25465901569</v>
      </c>
      <c r="AL1220" s="129">
        <f t="array" ref="AL1220">MAX((УслРестрактов[Характеристика]="Дата реструктуризации")*(УслРестрактов[Значение]=Первоначальный!$A1220),0)</f>
        <v>0</v>
      </c>
    </row>
    <row r="1221" spans="1:38" x14ac:dyDescent="0.25">
      <c r="A1221" s="97">
        <f t="shared" si="221"/>
        <v>45352</v>
      </c>
      <c r="B1221" s="100">
        <f t="shared" ca="1" si="222"/>
        <v>149633.34</v>
      </c>
      <c r="C1221" s="55">
        <f t="shared" ca="1" si="230"/>
        <v>87554.350000000035</v>
      </c>
      <c r="D1221" s="55">
        <f t="shared" ca="1" si="230"/>
        <v>5910.3099999999886</v>
      </c>
      <c r="E1221" s="55">
        <f t="shared" ca="1" si="223"/>
        <v>0</v>
      </c>
      <c r="F1221" s="55">
        <f t="shared" ca="1" si="224"/>
        <v>305110.25465901563</v>
      </c>
      <c r="G1221" s="101">
        <f t="shared" ca="1" si="225"/>
        <v>548208.25465901569</v>
      </c>
      <c r="H1221" s="100">
        <f ca="1">ROUND($B1221*VLOOKUP($A1221,$A$1:$B$10,2,1)/(365+IF(MOD(YEAR($A1221),4),0,1)*($A1221-$A1220)),2)-Первоначальный[[#This Row],[Проценты на просроченный платеж по ОД за период]]</f>
        <v>69.930000000000007</v>
      </c>
      <c r="I1221" s="55">
        <f t="shared" ca="1" si="226"/>
        <v>11.43</v>
      </c>
      <c r="J1221" s="55">
        <v>0</v>
      </c>
      <c r="K1221" s="55">
        <f t="shared" ca="1" si="229"/>
        <v>535.87850327868841</v>
      </c>
      <c r="L1221" s="55">
        <v>0</v>
      </c>
      <c r="M1221" s="113">
        <f>SUMIFS(График[Возврат основной суммы долга],График[Дата с учетом нерабочих дней],$A1221)</f>
        <v>0</v>
      </c>
      <c r="N1221" s="56">
        <f>SUMIFS(График[Возврат начисленных %],График[Дата с учетом нерабочих дней],$A1221)</f>
        <v>0</v>
      </c>
      <c r="O1221" s="101">
        <v>0</v>
      </c>
      <c r="P1221" s="100" cm="1">
        <f t="array" aca="1" ref="P1221" ca="1">MAX(IF(AA1220="Да",0,SUM(INDIRECT("M"&amp;(MAX(("Да"=AA$12:AA1220)*ROW(AA$12:AA1220)+1,ROW($P$12))&amp;":M"&amp;(ROW()))))-SUM(INDIRECT("W"&amp;(MAX(("Да"=AA$12:AA1220)*ROW(AA$12:AA1220)+1,ROW($P$12))&amp;":W"&amp;(ROW()))))),0)</f>
        <v>21023.989999999998</v>
      </c>
      <c r="Q1221" s="99">
        <f ca="1">MAX(SUM($N$13:N1221)-SUM($T$13:T1221),0)</f>
        <v>86151.710655737683</v>
      </c>
      <c r="R1221" s="99">
        <f ca="1">Первоначальный[[#This Row],[Просроченный платеж по ОД]]+Первоначальный[[#This Row],[Просроченный платеж по процентам]]</f>
        <v>107175.70065573769</v>
      </c>
      <c r="S1221" s="120">
        <f ca="1">IF(Первоначальный[[#This Row],[Просроченный платеж]]&lt;1,0,S1220+1)</f>
        <v>1117</v>
      </c>
      <c r="T1221" s="100" cm="1">
        <f t="array" aca="1" ref="T1221" ca="1">IF(Первоначальный[[#This Row],[Итого остаток на начало периода]]&lt;1,0,
IF(
AND(TYPE(VLOOKUP(1,$Z$12:Z1221,1,0))=16,Первоначальный[[#This Row],[Досрочное погашение (да/"")]]=""),0,
_xlfn.IFS(AND(S1220=0,Первоначальный[[#This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платеж]]&lt;&gt;0),MIN(LOOKUP(,-1/($Z$12:Z1221=1),$C$12:C1221)+LOOKUP(,-1/($Z$12:Z1221=1),$H$12:H1221),Первоначальный[[#This Row],[Полученный платеж]]+Y1220),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платеж]]+Y1220,SUM(Первоначальный[[#This Row],[Остаток процентов на начало периода]],Первоначальный[[#This Row],[Проценты за период]])),
AND(S1220=0,Первоначальный[[#This Row],[Дата платежа из графика]]=""),0,
AND(S1220=0,Первоначальный[[#This Row],[Дата платежа из графика]]=1,MAX((0&lt;&gt;S$12:S1220)*ROW(S$12:S1220),ROW($S$12))&gt;=MAX((1=Z$12:Z1220)*ROW(Z$12:Z1220),ROW($T$12)),TYPE(VLOOKUP("Да",(INDIRECT("AA"&amp;(MAX((1=Z$12:Z1220)*ROW(Z$12:Z1220),ROW($T$12))&amp;":AA"&amp;(ROW()-1)))),1,0))=16),MIN(LOOKUP(,-1/($Z$12:Z1221=1),$C$12:C1221)+LOOKUP(,-1/($Z$12:Z1221=1),$H$12:H1221),Первоначальный[[#This Row],[Полученный платеж]]+Y1220),
AND(S1220=0,TYPE(VLOOKUP("Да",(INDIRECT("AA"&amp;(MAX((1=Z$12:Z1220)*ROW(Z$12:Z1220),ROW($T$12))&amp;":AA"&amp;(ROW()-1)))),1,0))&lt;&gt;16),MIN(LOOKUP(,-1/($Z$12:Z1221=1),$C$12:C1221)+LOOKUP(,-1/($Z$12:Z1221=1),$H$12:H1221)-IF(AA1220="Да",0,SUM(INDIRECT("T"&amp;(MAX(("Да"=AA$12:AA1220)*ROW(AA$12:AA1220)+1,ROW($T$12))&amp;":T"&amp;(ROW()-1))))),Первоначальный[[#This Row],[Полученный платеж]]+Y1220),
AND(S1220=0,MAX((0&lt;&gt;N$12:N1220)*ROW(N$12:N1220),ROW($S$12))&gt;=MAX((1=Z$12:Z1220)*ROW(Z$12:Z1220),ROW($T$12))),MIN(LOOKUP(,-1/($Z$12:Z1221=1),$C$12:C1221)+LOOKUP(,-1/($Z$12:Z1221=1),$H$12:H1221)-IF(N1220&lt;&gt;0,0,SUM(INDIRECT("T"&amp;(MAX((0&lt;&gt;N$12:N1220)*ROW(N$12:N1220)+1,ROW($T$12))&amp;":T"&amp;(ROW()-1))))),Первоначальный[[#This Row],[Полученный платеж]]+Y1220),
AND(S1220=0,Первоначальный[[#This Row],[Дата платежа из графика]]=1),MIN(LOOKUP(,-1/($Z$12:Z1221=1),$C$12:C1221)+LOOKUP(,-1/($Z$12:Z1221=1),$H$12:H1221)-IF(Z1220=1,0,SUM(INDIRECT("T"&amp;(MAX((1=Z$12:Z1220)*ROW(Z$12:Z1220)+1,ROW($T$12))&amp;":T"&amp;(ROW()-1))))),Первоначальный[[#This Row],[Полученный платеж]]+Y1220),
AND(Z1220&gt;0,Первоначальный[[#This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платеж]]+Y1220),
AND(S1220&gt;0,MAX((0&lt;&gt;S$12:S1220)*ROW(S$12:S1220),ROW($S$12))&gt;=MAX((1=Z$12:Z1220)*ROW(Z$12:Z1220),ROW($T$12)),TYPE(VLOOKUP("Да",(INDIRECT("AA"&amp;(MAX((1=Z$12:Z1220)*ROW(Z$12:Z1220),ROW($T$12))&amp;":AA"&amp;(ROW()-1)))),1,0))=16),MIN(LOOKUP(,-1/($Z$12:Z1221=1),$C$12:C1221)+LOOKUP(,-1/($Z$12:Z1221=1),$H$12:H1221)-SUM(INDIRECT("T"&amp;(MAX((1=Z$12:Z1220)*ROW(Z$12:Z1220),ROW($T$12))&amp;":T"&amp;(ROW()-1)))),Первоначальный[[#This Row],[Полученный платеж]]+Y1220),
S1220&gt;0,MIN(LOOKUP(,-1/($Z$12:Z1221=1),$C$12:C1221)+LOOKUP(,-1/($Z$12:Z1221=1),$H$12:H1221)-IF(Z1220=1,0,SUM(INDIRECT("T"&amp;(MAX((1=Z$12:Z1220)*ROW(Z$12:Z1220)+1,ROW($T$12))&amp;":T"&amp;(ROW()-1))))),Первоначальный[[#This Row],[Полученный платеж]]+Y1220)
)
)
)</f>
        <v>0</v>
      </c>
      <c r="U122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платеж]]+Y1220-Первоначальный[[#This Row],[Полученный платёж по процентам]])</f>
        <v>0</v>
      </c>
      <c r="V1221" s="55">
        <f t="shared" ca="1" si="219"/>
        <v>0</v>
      </c>
      <c r="W1221" s="55" cm="1">
        <f t="array" aca="1" ref="W1221" ca="1">IF(Первоначальный[[#This Row],[Итого остаток на начало периода]]&lt;1,0,
_xlfn.IFS(
AND(TYPE(VLOOKUP(1,$Z$12:Z1221,1,0))=16,Первоначальный[[#This Row],[Досрочное погашение (да/"")]]=""),0,
AND(S1220=0,Первоначальный[[#This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платеж]]+Y1220-SUM(Первоначальный[[#This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комиссиям]]),VLOOKUP(LOOKUP(,-1/($Z$12:Z1221=1),$A$12:A1221),График[[Срок конец]:[Возврат основной суммы долга]],3,0)),
AND(S1220=0,Первоначальный[[#This Row],[Дата платежа из графика]]="",Первоначальный[[#This Row],[Досрочное погашение (да/"")]]&lt;&gt;"Да"),0,
AND(S1220=0,Первоначальный[[#This Row],[Досрочное погашение (да/"")]]=""),MIN(Первоначальный[[#This Row],[Полученный платеж]]+Y1220-SUM(Первоначальный[[#This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комиссиям]]),VLOOKUP(LOOKUP(,-1/($Z$12:Z1221=1),$A$12:A1221),График[[Срок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платеж]]+Y1220-SUM(Первоначальный[[#This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S1220&gt;0,MIN(Первоначальный[[#This Row],[Полученный платеж]]+Y1220-SUM(Первоначальный[[#This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комиссиям]]),SUM(INDIRECT("M"&amp;(MAX((1=S$12:S1220)*ROW(S$12:S1220),ROW($W$12))&amp;":M"&amp;(ROW()))))-SUM(INDIRECT("W"&amp;(MAX((1=S$12:S1220)*ROW(S$12:S1220),ROW($W$12))&amp;":W"&amp;(ROW()-1)))))
)
)</f>
        <v>0</v>
      </c>
      <c r="X1221" s="55">
        <f t="shared" ca="1" si="220"/>
        <v>0</v>
      </c>
      <c r="Y1221" s="101">
        <f t="shared" ca="1" si="227"/>
        <v>0</v>
      </c>
      <c r="Z1221" s="133" t="str">
        <f>IF(TYPE((VLOOKUP(Первоначальный[[#This Row],[Дата платежа]],График[Срок конец],1,0)))=16,"",1)</f>
        <v/>
      </c>
      <c r="AA1221" s="57"/>
      <c r="AB1221" s="134"/>
      <c r="AC122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2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87624.280000000028</v>
      </c>
      <c r="AE122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5921.7399999999889</v>
      </c>
      <c r="AF122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2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305646.13316229434</v>
      </c>
      <c r="AH1221" s="55"/>
      <c r="AI1221" s="55"/>
      <c r="AJ1221" s="55"/>
      <c r="AK1221" s="101">
        <f t="shared" ca="1" si="228"/>
        <v>548825.49316229438</v>
      </c>
      <c r="AL1221" s="129">
        <f t="array" ref="AL1221">MAX((УслРестрактов[Характеристика]="Дата реструктуризации")*(УслРестрактов[Значение]=Первоначальный!$A1221),0)</f>
        <v>0</v>
      </c>
    </row>
    <row r="1222" spans="1:38" x14ac:dyDescent="0.25">
      <c r="A1222" s="97">
        <f t="shared" si="221"/>
        <v>45353</v>
      </c>
      <c r="B1222" s="100">
        <f t="shared" ca="1" si="222"/>
        <v>149633.34</v>
      </c>
      <c r="C1222" s="55">
        <f t="shared" ca="1" si="230"/>
        <v>87624.280000000028</v>
      </c>
      <c r="D1222" s="55">
        <f t="shared" ca="1" si="230"/>
        <v>5921.7399999999889</v>
      </c>
      <c r="E1222" s="55">
        <f t="shared" ca="1" si="223"/>
        <v>0</v>
      </c>
      <c r="F1222" s="55">
        <f t="shared" ca="1" si="224"/>
        <v>305646.13316229434</v>
      </c>
      <c r="G1222" s="101">
        <f t="shared" ca="1" si="225"/>
        <v>548825.49316229438</v>
      </c>
      <c r="H1222" s="100">
        <f ca="1">ROUND($B1222*VLOOKUP($A1222,$A$1:$B$10,2,1)/(365+IF(MOD(YEAR($A1222),4),0,1)*($A1222-$A1221)),2)-Первоначальный[[#This Row],[Проценты на просроченный платеж по ОД за период]]</f>
        <v>69.930000000000007</v>
      </c>
      <c r="I1222" s="55">
        <f t="shared" ca="1" si="226"/>
        <v>11.43</v>
      </c>
      <c r="J1222" s="55">
        <v>0</v>
      </c>
      <c r="K1222" s="55">
        <f t="shared" ca="1" si="229"/>
        <v>535.87850327868841</v>
      </c>
      <c r="L1222" s="55">
        <v>0</v>
      </c>
      <c r="M1222" s="113">
        <f>SUMIFS(График[Возврат основной суммы долга],График[Дата с учетом нерабочих дней],$A1222)</f>
        <v>0</v>
      </c>
      <c r="N1222" s="56">
        <f>SUMIFS(График[Возврат начисленных %],График[Дата с учетом нерабочих дней],$A1222)</f>
        <v>0</v>
      </c>
      <c r="O1222" s="101">
        <v>0</v>
      </c>
      <c r="P1222" s="100" cm="1">
        <f t="array" aca="1" ref="P1222" ca="1">MAX(IF(AA1221="Да",0,SUM(INDIRECT("M"&amp;(MAX(("Да"=AA$12:AA1221)*ROW(AA$12:AA1221)+1,ROW($P$12))&amp;":M"&amp;(ROW()))))-SUM(INDIRECT("W"&amp;(MAX(("Да"=AA$12:AA1221)*ROW(AA$12:AA1221)+1,ROW($P$12))&amp;":W"&amp;(ROW()))))),0)</f>
        <v>21023.989999999998</v>
      </c>
      <c r="Q1222" s="99">
        <f ca="1">MAX(SUM($N$13:N1222)-SUM($T$13:T1222),0)</f>
        <v>86151.710655737683</v>
      </c>
      <c r="R1222" s="99">
        <f ca="1">Первоначальный[[#This Row],[Просроченный платеж по ОД]]+Первоначальный[[#This Row],[Просроченный платеж по процентам]]</f>
        <v>107175.70065573769</v>
      </c>
      <c r="S1222" s="120">
        <f ca="1">IF(Первоначальный[[#This Row],[Просроченный платеж]]&lt;1,0,S1221+1)</f>
        <v>1118</v>
      </c>
      <c r="T1222" s="100" cm="1">
        <f t="array" aca="1" ref="T1222" ca="1">IF(Первоначальный[[#This Row],[Итого остаток на начало периода]]&lt;1,0,
IF(
AND(TYPE(VLOOKUP(1,$Z$12:Z1222,1,0))=16,Первоначальный[[#This Row],[Досрочное погашение (да/"")]]=""),0,
_xlfn.IFS(AND(S1221=0,Первоначальный[[#This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платеж]]&lt;&gt;0),MIN(LOOKUP(,-1/($Z$12:Z1222=1),$C$12:C1222)+LOOKUP(,-1/($Z$12:Z1222=1),$H$12:H1222),Первоначальный[[#This Row],[Полученный платеж]]+Y1221),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платеж]]+Y1221,SUM(Первоначальный[[#This Row],[Остаток процентов на начало периода]],Первоначальный[[#This Row],[Проценты за период]])),
AND(S1221=0,Первоначальный[[#This Row],[Дата платежа из графика]]=""),0,
AND(S1221=0,Первоначальный[[#This Row],[Дата платежа из графика]]=1,MAX((0&lt;&gt;S$12:S1221)*ROW(S$12:S1221),ROW($S$12))&gt;=MAX((1=Z$12:Z1221)*ROW(Z$12:Z1221),ROW($T$12)),TYPE(VLOOKUP("Да",(INDIRECT("AA"&amp;(MAX((1=Z$12:Z1221)*ROW(Z$12:Z1221),ROW($T$12))&amp;":AA"&amp;(ROW()-1)))),1,0))=16),MIN(LOOKUP(,-1/($Z$12:Z1222=1),$C$12:C1222)+LOOKUP(,-1/($Z$12:Z1222=1),$H$12:H1222),Первоначальный[[#This Row],[Полученный платеж]]+Y1221),
AND(S1221=0,TYPE(VLOOKUP("Да",(INDIRECT("AA"&amp;(MAX((1=Z$12:Z1221)*ROW(Z$12:Z1221),ROW($T$12))&amp;":AA"&amp;(ROW()-1)))),1,0))&lt;&gt;16),MIN(LOOKUP(,-1/($Z$12:Z1222=1),$C$12:C1222)+LOOKUP(,-1/($Z$12:Z1222=1),$H$12:H1222)-IF(AA1221="Да",0,SUM(INDIRECT("T"&amp;(MAX(("Да"=AA$12:AA1221)*ROW(AA$12:AA1221)+1,ROW($T$12))&amp;":T"&amp;(ROW()-1))))),Первоначальный[[#This Row],[Полученный платеж]]+Y1221),
AND(S1221=0,MAX((0&lt;&gt;N$12:N1221)*ROW(N$12:N1221),ROW($S$12))&gt;=MAX((1=Z$12:Z1221)*ROW(Z$12:Z1221),ROW($T$12))),MIN(LOOKUP(,-1/($Z$12:Z1222=1),$C$12:C1222)+LOOKUP(,-1/($Z$12:Z1222=1),$H$12:H1222)-IF(N1221&lt;&gt;0,0,SUM(INDIRECT("T"&amp;(MAX((0&lt;&gt;N$12:N1221)*ROW(N$12:N1221)+1,ROW($T$12))&amp;":T"&amp;(ROW()-1))))),Первоначальный[[#This Row],[Полученный платеж]]+Y1221),
AND(S1221=0,Первоначальный[[#This Row],[Дата платежа из графика]]=1),MIN(LOOKUP(,-1/($Z$12:Z1222=1),$C$12:C1222)+LOOKUP(,-1/($Z$12:Z1222=1),$H$12:H1222)-IF(Z1221=1,0,SUM(INDIRECT("T"&amp;(MAX((1=Z$12:Z1221)*ROW(Z$12:Z1221)+1,ROW($T$12))&amp;":T"&amp;(ROW()-1))))),Первоначальный[[#This Row],[Полученный платеж]]+Y1221),
AND(Z1221&gt;0,Первоначальный[[#This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платеж]]+Y1221),
AND(S1221&gt;0,MAX((0&lt;&gt;S$12:S1221)*ROW(S$12:S1221),ROW($S$12))&gt;=MAX((1=Z$12:Z1221)*ROW(Z$12:Z1221),ROW($T$12)),TYPE(VLOOKUP("Да",(INDIRECT("AA"&amp;(MAX((1=Z$12:Z1221)*ROW(Z$12:Z1221),ROW($T$12))&amp;":AA"&amp;(ROW()-1)))),1,0))=16),MIN(LOOKUP(,-1/($Z$12:Z1222=1),$C$12:C1222)+LOOKUP(,-1/($Z$12:Z1222=1),$H$12:H1222)-SUM(INDIRECT("T"&amp;(MAX((1=Z$12:Z1221)*ROW(Z$12:Z1221),ROW($T$12))&amp;":T"&amp;(ROW()-1)))),Первоначальный[[#This Row],[Полученный платеж]]+Y1221),
S1221&gt;0,MIN(LOOKUP(,-1/($Z$12:Z1222=1),$C$12:C1222)+LOOKUP(,-1/($Z$12:Z1222=1),$H$12:H1222)-IF(Z1221=1,0,SUM(INDIRECT("T"&amp;(MAX((1=Z$12:Z1221)*ROW(Z$12:Z1221)+1,ROW($T$12))&amp;":T"&amp;(ROW()-1))))),Первоначальный[[#This Row],[Полученный платеж]]+Y1221)
)
)
)</f>
        <v>0</v>
      </c>
      <c r="U122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платеж]]+Y1221-Первоначальный[[#This Row],[Полученный платёж по процентам]])</f>
        <v>0</v>
      </c>
      <c r="V1222" s="55">
        <f t="shared" ca="1" si="219"/>
        <v>0</v>
      </c>
      <c r="W1222" s="55" cm="1">
        <f t="array" aca="1" ref="W1222" ca="1">IF(Первоначальный[[#This Row],[Итого остаток на начало периода]]&lt;1,0,
_xlfn.IFS(
AND(TYPE(VLOOKUP(1,$Z$12:Z1222,1,0))=16,Первоначальный[[#This Row],[Досрочное погашение (да/"")]]=""),0,
AND(S1221=0,Первоначальный[[#This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платеж]]+Y1221-SUM(Первоначальный[[#This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комиссиям]]),VLOOKUP(LOOKUP(,-1/($Z$12:Z1222=1),$A$12:A1222),График[[Срок конец]:[Возврат основной суммы долга]],3,0)),
AND(S1221=0,Первоначальный[[#This Row],[Дата платежа из графика]]="",Первоначальный[[#This Row],[Досрочное погашение (да/"")]]&lt;&gt;"Да"),0,
AND(S1221=0,Первоначальный[[#This Row],[Досрочное погашение (да/"")]]=""),MIN(Первоначальный[[#This Row],[Полученный платеж]]+Y1221-SUM(Первоначальный[[#This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комиссиям]]),VLOOKUP(LOOKUP(,-1/($Z$12:Z1222=1),$A$12:A1222),График[[Срок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платеж]]+Y1221-SUM(Первоначальный[[#This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S1221&gt;0,MIN(Первоначальный[[#This Row],[Полученный платеж]]+Y1221-SUM(Первоначальный[[#This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комиссиям]]),SUM(INDIRECT("M"&amp;(MAX((1=S$12:S1221)*ROW(S$12:S1221),ROW($W$12))&amp;":M"&amp;(ROW()))))-SUM(INDIRECT("W"&amp;(MAX((1=S$12:S1221)*ROW(S$12:S1221),ROW($W$12))&amp;":W"&amp;(ROW()-1)))))
)
)</f>
        <v>0</v>
      </c>
      <c r="X1222" s="55">
        <f t="shared" ca="1" si="220"/>
        <v>0</v>
      </c>
      <c r="Y1222" s="101">
        <f t="shared" ca="1" si="227"/>
        <v>0</v>
      </c>
      <c r="Z1222" s="133" t="str">
        <f>IF(TYPE((VLOOKUP(Первоначальный[[#This Row],[Дата платежа]],График[Срок конец],1,0)))=16,"",1)</f>
        <v/>
      </c>
      <c r="AA1222" s="57"/>
      <c r="AB1222" s="134"/>
      <c r="AC122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2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87694.210000000021</v>
      </c>
      <c r="AE122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5933.1699999999892</v>
      </c>
      <c r="AF122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2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306182.01166557305</v>
      </c>
      <c r="AH1222" s="55"/>
      <c r="AI1222" s="55"/>
      <c r="AJ1222" s="55"/>
      <c r="AK1222" s="101">
        <f t="shared" ca="1" si="228"/>
        <v>549442.73166557308</v>
      </c>
      <c r="AL1222" s="129">
        <f t="array" ref="AL1222">MAX((УслРестрактов[Характеристика]="Дата реструктуризации")*(УслРестрактов[Значение]=Первоначальный!$A1222),0)</f>
        <v>0</v>
      </c>
    </row>
    <row r="1223" spans="1:38" x14ac:dyDescent="0.25">
      <c r="A1223" s="97">
        <f t="shared" si="221"/>
        <v>45354</v>
      </c>
      <c r="B1223" s="100">
        <f t="shared" ca="1" si="222"/>
        <v>149633.34</v>
      </c>
      <c r="C1223" s="55">
        <f t="shared" ca="1" si="230"/>
        <v>87694.210000000021</v>
      </c>
      <c r="D1223" s="55">
        <f t="shared" ca="1" si="230"/>
        <v>5933.1699999999892</v>
      </c>
      <c r="E1223" s="55">
        <f t="shared" ca="1" si="223"/>
        <v>0</v>
      </c>
      <c r="F1223" s="55">
        <f t="shared" ca="1" si="224"/>
        <v>306182.01166557305</v>
      </c>
      <c r="G1223" s="101">
        <f t="shared" ca="1" si="225"/>
        <v>549442.73166557308</v>
      </c>
      <c r="H1223" s="100">
        <f ca="1">ROUND($B1223*VLOOKUP($A1223,$A$1:$B$10,2,1)/(365+IF(MOD(YEAR($A1223),4),0,1)*($A1223-$A1222)),2)-Первоначальный[[#This Row],[Проценты на просроченный платеж по ОД за период]]</f>
        <v>69.930000000000007</v>
      </c>
      <c r="I1223" s="55">
        <f t="shared" ca="1" si="226"/>
        <v>11.43</v>
      </c>
      <c r="J1223" s="55">
        <v>0</v>
      </c>
      <c r="K1223" s="55">
        <f t="shared" ca="1" si="229"/>
        <v>535.87850327868841</v>
      </c>
      <c r="L1223" s="55">
        <v>0</v>
      </c>
      <c r="M1223" s="113">
        <f>SUMIFS(График[Возврат основной суммы долга],График[Дата с учетом нерабочих дней],$A1223)</f>
        <v>0</v>
      </c>
      <c r="N1223" s="56">
        <f>SUMIFS(График[Возврат начисленных %],График[Дата с учетом нерабочих дней],$A1223)</f>
        <v>0</v>
      </c>
      <c r="O1223" s="101">
        <v>0</v>
      </c>
      <c r="P1223" s="100" cm="1">
        <f t="array" aca="1" ref="P1223" ca="1">MAX(IF(AA1222="Да",0,SUM(INDIRECT("M"&amp;(MAX(("Да"=AA$12:AA1222)*ROW(AA$12:AA1222)+1,ROW($P$12))&amp;":M"&amp;(ROW()))))-SUM(INDIRECT("W"&amp;(MAX(("Да"=AA$12:AA1222)*ROW(AA$12:AA1222)+1,ROW($P$12))&amp;":W"&amp;(ROW()))))),0)</f>
        <v>21023.989999999998</v>
      </c>
      <c r="Q1223" s="99">
        <f ca="1">MAX(SUM($N$13:N1223)-SUM($T$13:T1223),0)</f>
        <v>86151.710655737683</v>
      </c>
      <c r="R1223" s="99">
        <f ca="1">Первоначальный[[#This Row],[Просроченный платеж по ОД]]+Первоначальный[[#This Row],[Просроченный платеж по процентам]]</f>
        <v>107175.70065573769</v>
      </c>
      <c r="S1223" s="120">
        <f ca="1">IF(Первоначальный[[#This Row],[Просроченный платеж]]&lt;1,0,S1222+1)</f>
        <v>1119</v>
      </c>
      <c r="T1223" s="100" cm="1">
        <f t="array" aca="1" ref="T1223" ca="1">IF(Первоначальный[[#This Row],[Итого остаток на начало периода]]&lt;1,0,
IF(
AND(TYPE(VLOOKUP(1,$Z$12:Z1223,1,0))=16,Первоначальный[[#This Row],[Досрочное погашение (да/"")]]=""),0,
_xlfn.IFS(AND(S1222=0,Первоначальный[[#This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платеж]]&lt;&gt;0),MIN(LOOKUP(,-1/($Z$12:Z1223=1),$C$12:C1223)+LOOKUP(,-1/($Z$12:Z1223=1),$H$12:H1223),Первоначальный[[#This Row],[Полученный платеж]]+Y1222),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платеж]]+Y1222,SUM(Первоначальный[[#This Row],[Остаток процентов на начало периода]],Первоначальный[[#This Row],[Проценты за период]])),
AND(S1222=0,Первоначальный[[#This Row],[Дата платежа из графика]]=""),0,
AND(S1222=0,Первоначальный[[#This Row],[Дата платежа из графика]]=1,MAX((0&lt;&gt;S$12:S1222)*ROW(S$12:S1222),ROW($S$12))&gt;=MAX((1=Z$12:Z1222)*ROW(Z$12:Z1222),ROW($T$12)),TYPE(VLOOKUP("Да",(INDIRECT("AA"&amp;(MAX((1=Z$12:Z1222)*ROW(Z$12:Z1222),ROW($T$12))&amp;":AA"&amp;(ROW()-1)))),1,0))=16),MIN(LOOKUP(,-1/($Z$12:Z1223=1),$C$12:C1223)+LOOKUP(,-1/($Z$12:Z1223=1),$H$12:H1223),Первоначальный[[#This Row],[Полученный платеж]]+Y1222),
AND(S1222=0,TYPE(VLOOKUP("Да",(INDIRECT("AA"&amp;(MAX((1=Z$12:Z1222)*ROW(Z$12:Z1222),ROW($T$12))&amp;":AA"&amp;(ROW()-1)))),1,0))&lt;&gt;16),MIN(LOOKUP(,-1/($Z$12:Z1223=1),$C$12:C1223)+LOOKUP(,-1/($Z$12:Z1223=1),$H$12:H1223)-IF(AA1222="Да",0,SUM(INDIRECT("T"&amp;(MAX(("Да"=AA$12:AA1222)*ROW(AA$12:AA1222)+1,ROW($T$12))&amp;":T"&amp;(ROW()-1))))),Первоначальный[[#This Row],[Полученный платеж]]+Y1222),
AND(S1222=0,MAX((0&lt;&gt;N$12:N1222)*ROW(N$12:N1222),ROW($S$12))&gt;=MAX((1=Z$12:Z1222)*ROW(Z$12:Z1222),ROW($T$12))),MIN(LOOKUP(,-1/($Z$12:Z1223=1),$C$12:C1223)+LOOKUP(,-1/($Z$12:Z1223=1),$H$12:H1223)-IF(N1222&lt;&gt;0,0,SUM(INDIRECT("T"&amp;(MAX((0&lt;&gt;N$12:N1222)*ROW(N$12:N1222)+1,ROW($T$12))&amp;":T"&amp;(ROW()-1))))),Первоначальный[[#This Row],[Полученный платеж]]+Y1222),
AND(S1222=0,Первоначальный[[#This Row],[Дата платежа из графика]]=1),MIN(LOOKUP(,-1/($Z$12:Z1223=1),$C$12:C1223)+LOOKUP(,-1/($Z$12:Z1223=1),$H$12:H1223)-IF(Z1222=1,0,SUM(INDIRECT("T"&amp;(MAX((1=Z$12:Z1222)*ROW(Z$12:Z1222)+1,ROW($T$12))&amp;":T"&amp;(ROW()-1))))),Первоначальный[[#This Row],[Полученный платеж]]+Y1222),
AND(Z1222&gt;0,Первоначальный[[#This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платеж]]+Y1222),
AND(S1222&gt;0,MAX((0&lt;&gt;S$12:S1222)*ROW(S$12:S1222),ROW($S$12))&gt;=MAX((1=Z$12:Z1222)*ROW(Z$12:Z1222),ROW($T$12)),TYPE(VLOOKUP("Да",(INDIRECT("AA"&amp;(MAX((1=Z$12:Z1222)*ROW(Z$12:Z1222),ROW($T$12))&amp;":AA"&amp;(ROW()-1)))),1,0))=16),MIN(LOOKUP(,-1/($Z$12:Z1223=1),$C$12:C1223)+LOOKUP(,-1/($Z$12:Z1223=1),$H$12:H1223)-SUM(INDIRECT("T"&amp;(MAX((1=Z$12:Z1222)*ROW(Z$12:Z1222),ROW($T$12))&amp;":T"&amp;(ROW()-1)))),Первоначальный[[#This Row],[Полученный платеж]]+Y1222),
S1222&gt;0,MIN(LOOKUP(,-1/($Z$12:Z1223=1),$C$12:C1223)+LOOKUP(,-1/($Z$12:Z1223=1),$H$12:H1223)-IF(Z1222=1,0,SUM(INDIRECT("T"&amp;(MAX((1=Z$12:Z1222)*ROW(Z$12:Z1222)+1,ROW($T$12))&amp;":T"&amp;(ROW()-1))))),Первоначальный[[#This Row],[Полученный платеж]]+Y1222)
)
)
)</f>
        <v>0</v>
      </c>
      <c r="U122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платеж]]+Y1222-Первоначальный[[#This Row],[Полученный платёж по процентам]])</f>
        <v>0</v>
      </c>
      <c r="V1223" s="55">
        <f t="shared" ca="1" si="219"/>
        <v>0</v>
      </c>
      <c r="W1223" s="55" cm="1">
        <f t="array" aca="1" ref="W1223" ca="1">IF(Первоначальный[[#This Row],[Итого остаток на начало периода]]&lt;1,0,
_xlfn.IFS(
AND(TYPE(VLOOKUP(1,$Z$12:Z1223,1,0))=16,Первоначальный[[#This Row],[Досрочное погашение (да/"")]]=""),0,
AND(S1222=0,Первоначальный[[#This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платеж]]+Y1222-SUM(Первоначальный[[#This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комиссиям]]),VLOOKUP(LOOKUP(,-1/($Z$12:Z1223=1),$A$12:A1223),График[[Срок конец]:[Возврат основной суммы долга]],3,0)),
AND(S1222=0,Первоначальный[[#This Row],[Дата платежа из графика]]="",Первоначальный[[#This Row],[Досрочное погашение (да/"")]]&lt;&gt;"Да"),0,
AND(S1222=0,Первоначальный[[#This Row],[Досрочное погашение (да/"")]]=""),MIN(Первоначальный[[#This Row],[Полученный платеж]]+Y1222-SUM(Первоначальный[[#This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комиссиям]]),VLOOKUP(LOOKUP(,-1/($Z$12:Z1223=1),$A$12:A1223),График[[Срок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платеж]]+Y1222-SUM(Первоначальный[[#This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S1222&gt;0,MIN(Первоначальный[[#This Row],[Полученный платеж]]+Y1222-SUM(Первоначальный[[#This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комиссиям]]),SUM(INDIRECT("M"&amp;(MAX((1=S$12:S1222)*ROW(S$12:S1222),ROW($W$12))&amp;":M"&amp;(ROW()))))-SUM(INDIRECT("W"&amp;(MAX((1=S$12:S1222)*ROW(S$12:S1222),ROW($W$12))&amp;":W"&amp;(ROW()-1)))))
)
)</f>
        <v>0</v>
      </c>
      <c r="X1223" s="55">
        <f t="shared" ca="1" si="220"/>
        <v>0</v>
      </c>
      <c r="Y1223" s="101">
        <f t="shared" ca="1" si="227"/>
        <v>0</v>
      </c>
      <c r="Z1223" s="133" t="str">
        <f>IF(TYPE((VLOOKUP(Первоначальный[[#This Row],[Дата платежа]],График[Срок конец],1,0)))=16,"",1)</f>
        <v/>
      </c>
      <c r="AA1223" s="57"/>
      <c r="AB1223" s="134"/>
      <c r="AC122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2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87764.140000000014</v>
      </c>
      <c r="AE122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5944.5999999999894</v>
      </c>
      <c r="AF122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2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306717.89016885177</v>
      </c>
      <c r="AH1223" s="55"/>
      <c r="AI1223" s="55"/>
      <c r="AJ1223" s="55"/>
      <c r="AK1223" s="101">
        <f t="shared" ca="1" si="228"/>
        <v>550059.97016885178</v>
      </c>
      <c r="AL1223" s="129">
        <f t="array" ref="AL1223">MAX((УслРестрактов[Характеристика]="Дата реструктуризации")*(УслРестрактов[Значение]=Первоначальный!$A1223),0)</f>
        <v>0</v>
      </c>
    </row>
    <row r="1224" spans="1:38" x14ac:dyDescent="0.25">
      <c r="A1224" s="97">
        <f t="shared" si="221"/>
        <v>45355</v>
      </c>
      <c r="B1224" s="100">
        <f t="shared" ca="1" si="222"/>
        <v>149633.34</v>
      </c>
      <c r="C1224" s="55">
        <f t="shared" ca="1" si="230"/>
        <v>87764.140000000014</v>
      </c>
      <c r="D1224" s="55">
        <f t="shared" ca="1" si="230"/>
        <v>5944.5999999999894</v>
      </c>
      <c r="E1224" s="55">
        <f t="shared" ca="1" si="223"/>
        <v>0</v>
      </c>
      <c r="F1224" s="55">
        <f t="shared" ca="1" si="224"/>
        <v>306717.89016885177</v>
      </c>
      <c r="G1224" s="101">
        <f t="shared" ca="1" si="225"/>
        <v>550059.97016885178</v>
      </c>
      <c r="H1224" s="100">
        <f ca="1">ROUND($B1224*VLOOKUP($A1224,$A$1:$B$10,2,1)/(365+IF(MOD(YEAR($A1224),4),0,1)*($A1224-$A1223)),2)-Первоначальный[[#This Row],[Проценты на просроченный платеж по ОД за период]]</f>
        <v>69.930000000000007</v>
      </c>
      <c r="I1224" s="55">
        <f t="shared" ca="1" si="226"/>
        <v>11.43</v>
      </c>
      <c r="J1224" s="55">
        <v>0</v>
      </c>
      <c r="K1224" s="55">
        <f t="shared" ca="1" si="229"/>
        <v>535.87850327868841</v>
      </c>
      <c r="L1224" s="55">
        <v>0</v>
      </c>
      <c r="M1224" s="113">
        <f>SUMIFS(График[Возврат основной суммы долга],График[Дата с учетом нерабочих дней],$A1224)</f>
        <v>0</v>
      </c>
      <c r="N1224" s="56">
        <f>SUMIFS(График[Возврат начисленных %],График[Дата с учетом нерабочих дней],$A1224)</f>
        <v>0</v>
      </c>
      <c r="O1224" s="101">
        <v>0</v>
      </c>
      <c r="P1224" s="100" cm="1">
        <f t="array" aca="1" ref="P1224" ca="1">MAX(IF(AA1223="Да",0,SUM(INDIRECT("M"&amp;(MAX(("Да"=AA$12:AA1223)*ROW(AA$12:AA1223)+1,ROW($P$12))&amp;":M"&amp;(ROW()))))-SUM(INDIRECT("W"&amp;(MAX(("Да"=AA$12:AA1223)*ROW(AA$12:AA1223)+1,ROW($P$12))&amp;":W"&amp;(ROW()))))),0)</f>
        <v>21023.989999999998</v>
      </c>
      <c r="Q1224" s="99">
        <f ca="1">MAX(SUM($N$13:N1224)-SUM($T$13:T1224),0)</f>
        <v>86151.710655737683</v>
      </c>
      <c r="R1224" s="99">
        <f ca="1">Первоначальный[[#This Row],[Просроченный платеж по ОД]]+Первоначальный[[#This Row],[Просроченный платеж по процентам]]</f>
        <v>107175.70065573769</v>
      </c>
      <c r="S1224" s="120">
        <f ca="1">IF(Первоначальный[[#This Row],[Просроченный платеж]]&lt;1,0,S1223+1)</f>
        <v>1120</v>
      </c>
      <c r="T1224" s="100" cm="1">
        <f t="array" aca="1" ref="T1224" ca="1">IF(Первоначальный[[#This Row],[Итого остаток на начало периода]]&lt;1,0,
IF(
AND(TYPE(VLOOKUP(1,$Z$12:Z1224,1,0))=16,Первоначальный[[#This Row],[Досрочное погашение (да/"")]]=""),0,
_xlfn.IFS(AND(S1223=0,Первоначальный[[#This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платеж]]&lt;&gt;0),MIN(LOOKUP(,-1/($Z$12:Z1224=1),$C$12:C1224)+LOOKUP(,-1/($Z$12:Z1224=1),$H$12:H1224),Первоначальный[[#This Row],[Полученный платеж]]+Y1223),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платеж]]+Y1223,SUM(Первоначальный[[#This Row],[Остаток процентов на начало периода]],Первоначальный[[#This Row],[Проценты за период]])),
AND(S1223=0,Первоначальный[[#This Row],[Дата платежа из графика]]=""),0,
AND(S1223=0,Первоначальный[[#This Row],[Дата платежа из графика]]=1,MAX((0&lt;&gt;S$12:S1223)*ROW(S$12:S1223),ROW($S$12))&gt;=MAX((1=Z$12:Z1223)*ROW(Z$12:Z1223),ROW($T$12)),TYPE(VLOOKUP("Да",(INDIRECT("AA"&amp;(MAX((1=Z$12:Z1223)*ROW(Z$12:Z1223),ROW($T$12))&amp;":AA"&amp;(ROW()-1)))),1,0))=16),MIN(LOOKUP(,-1/($Z$12:Z1224=1),$C$12:C1224)+LOOKUP(,-1/($Z$12:Z1224=1),$H$12:H1224),Первоначальный[[#This Row],[Полученный платеж]]+Y1223),
AND(S1223=0,TYPE(VLOOKUP("Да",(INDIRECT("AA"&amp;(MAX((1=Z$12:Z1223)*ROW(Z$12:Z1223),ROW($T$12))&amp;":AA"&amp;(ROW()-1)))),1,0))&lt;&gt;16),MIN(LOOKUP(,-1/($Z$12:Z1224=1),$C$12:C1224)+LOOKUP(,-1/($Z$12:Z1224=1),$H$12:H1224)-IF(AA1223="Да",0,SUM(INDIRECT("T"&amp;(MAX(("Да"=AA$12:AA1223)*ROW(AA$12:AA1223)+1,ROW($T$12))&amp;":T"&amp;(ROW()-1))))),Первоначальный[[#This Row],[Полученный платеж]]+Y1223),
AND(S1223=0,MAX((0&lt;&gt;N$12:N1223)*ROW(N$12:N1223),ROW($S$12))&gt;=MAX((1=Z$12:Z1223)*ROW(Z$12:Z1223),ROW($T$12))),MIN(LOOKUP(,-1/($Z$12:Z1224=1),$C$12:C1224)+LOOKUP(,-1/($Z$12:Z1224=1),$H$12:H1224)-IF(N1223&lt;&gt;0,0,SUM(INDIRECT("T"&amp;(MAX((0&lt;&gt;N$12:N1223)*ROW(N$12:N1223)+1,ROW($T$12))&amp;":T"&amp;(ROW()-1))))),Первоначальный[[#This Row],[Полученный платеж]]+Y1223),
AND(S1223=0,Первоначальный[[#This Row],[Дата платежа из графика]]=1),MIN(LOOKUP(,-1/($Z$12:Z1224=1),$C$12:C1224)+LOOKUP(,-1/($Z$12:Z1224=1),$H$12:H1224)-IF(Z1223=1,0,SUM(INDIRECT("T"&amp;(MAX((1=Z$12:Z1223)*ROW(Z$12:Z1223)+1,ROW($T$12))&amp;":T"&amp;(ROW()-1))))),Первоначальный[[#This Row],[Полученный платеж]]+Y1223),
AND(Z1223&gt;0,Первоначальный[[#This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платеж]]+Y1223),
AND(S1223&gt;0,MAX((0&lt;&gt;S$12:S1223)*ROW(S$12:S1223),ROW($S$12))&gt;=MAX((1=Z$12:Z1223)*ROW(Z$12:Z1223),ROW($T$12)),TYPE(VLOOKUP("Да",(INDIRECT("AA"&amp;(MAX((1=Z$12:Z1223)*ROW(Z$12:Z1223),ROW($T$12))&amp;":AA"&amp;(ROW()-1)))),1,0))=16),MIN(LOOKUP(,-1/($Z$12:Z1224=1),$C$12:C1224)+LOOKUP(,-1/($Z$12:Z1224=1),$H$12:H1224)-SUM(INDIRECT("T"&amp;(MAX((1=Z$12:Z1223)*ROW(Z$12:Z1223),ROW($T$12))&amp;":T"&amp;(ROW()-1)))),Первоначальный[[#This Row],[Полученный платеж]]+Y1223),
S1223&gt;0,MIN(LOOKUP(,-1/($Z$12:Z1224=1),$C$12:C1224)+LOOKUP(,-1/($Z$12:Z1224=1),$H$12:H1224)-IF(Z1223=1,0,SUM(INDIRECT("T"&amp;(MAX((1=Z$12:Z1223)*ROW(Z$12:Z1223)+1,ROW($T$12))&amp;":T"&amp;(ROW()-1))))),Первоначальный[[#This Row],[Полученный платеж]]+Y1223)
)
)
)</f>
        <v>0</v>
      </c>
      <c r="U122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платеж]]+Y1223-Первоначальный[[#This Row],[Полученный платёж по процентам]])</f>
        <v>0</v>
      </c>
      <c r="V1224" s="55">
        <f t="shared" ca="1" si="219"/>
        <v>0</v>
      </c>
      <c r="W1224" s="55" cm="1">
        <f t="array" aca="1" ref="W1224" ca="1">IF(Первоначальный[[#This Row],[Итого остаток на начало периода]]&lt;1,0,
_xlfn.IFS(
AND(TYPE(VLOOKUP(1,$Z$12:Z1224,1,0))=16,Первоначальный[[#This Row],[Досрочное погашение (да/"")]]=""),0,
AND(S1223=0,Первоначальный[[#This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платеж]]+Y1223-SUM(Первоначальный[[#This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комиссиям]]),VLOOKUP(LOOKUP(,-1/($Z$12:Z1224=1),$A$12:A1224),График[[Срок конец]:[Возврат основной суммы долга]],3,0)),
AND(S1223=0,Первоначальный[[#This Row],[Дата платежа из графика]]="",Первоначальный[[#This Row],[Досрочное погашение (да/"")]]&lt;&gt;"Да"),0,
AND(S1223=0,Первоначальный[[#This Row],[Досрочное погашение (да/"")]]=""),MIN(Первоначальный[[#This Row],[Полученный платеж]]+Y1223-SUM(Первоначальный[[#This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комиссиям]]),VLOOKUP(LOOKUP(,-1/($Z$12:Z1224=1),$A$12:A1224),График[[Срок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платеж]]+Y1223-SUM(Первоначальный[[#This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S1223&gt;0,MIN(Первоначальный[[#This Row],[Полученный платеж]]+Y1223-SUM(Первоначальный[[#This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комиссиям]]),SUM(INDIRECT("M"&amp;(MAX((1=S$12:S1223)*ROW(S$12:S1223),ROW($W$12))&amp;":M"&amp;(ROW()))))-SUM(INDIRECT("W"&amp;(MAX((1=S$12:S1223)*ROW(S$12:S1223),ROW($W$12))&amp;":W"&amp;(ROW()-1)))))
)
)</f>
        <v>0</v>
      </c>
      <c r="X1224" s="55">
        <f t="shared" ca="1" si="220"/>
        <v>0</v>
      </c>
      <c r="Y1224" s="101">
        <f t="shared" ca="1" si="227"/>
        <v>0</v>
      </c>
      <c r="Z1224" s="133" t="str">
        <f>IF(TYPE((VLOOKUP(Первоначальный[[#This Row],[Дата платежа]],График[Срок конец],1,0)))=16,"",1)</f>
        <v/>
      </c>
      <c r="AA1224" s="57"/>
      <c r="AB1224" s="134"/>
      <c r="AC122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2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87834.07</v>
      </c>
      <c r="AE122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5956.0299999999897</v>
      </c>
      <c r="AF122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2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307253.76867213048</v>
      </c>
      <c r="AH1224" s="55"/>
      <c r="AI1224" s="55"/>
      <c r="AJ1224" s="55"/>
      <c r="AK1224" s="101">
        <f t="shared" ca="1" si="228"/>
        <v>550677.20867213048</v>
      </c>
      <c r="AL1224" s="129">
        <f t="array" ref="AL1224">MAX((УслРестрактов[Характеристика]="Дата реструктуризации")*(УслРестрактов[Значение]=Первоначальный!$A1224),0)</f>
        <v>0</v>
      </c>
    </row>
    <row r="1225" spans="1:38" x14ac:dyDescent="0.25">
      <c r="A1225" s="97">
        <f t="shared" si="221"/>
        <v>45356</v>
      </c>
      <c r="B1225" s="100">
        <f t="shared" ca="1" si="222"/>
        <v>149633.34</v>
      </c>
      <c r="C1225" s="55">
        <f t="shared" ca="1" si="230"/>
        <v>87834.07</v>
      </c>
      <c r="D1225" s="55">
        <f t="shared" ca="1" si="230"/>
        <v>5956.0299999999897</v>
      </c>
      <c r="E1225" s="55">
        <f t="shared" ca="1" si="223"/>
        <v>0</v>
      </c>
      <c r="F1225" s="55">
        <f t="shared" ca="1" si="224"/>
        <v>307253.76867213048</v>
      </c>
      <c r="G1225" s="101">
        <f t="shared" ca="1" si="225"/>
        <v>550677.20867213048</v>
      </c>
      <c r="H1225" s="100">
        <f ca="1">ROUND($B1225*VLOOKUP($A1225,$A$1:$B$10,2,1)/(365+IF(MOD(YEAR($A1225),4),0,1)*($A1225-$A1224)),2)-Первоначальный[[#This Row],[Проценты на просроченный платеж по ОД за период]]</f>
        <v>69.930000000000007</v>
      </c>
      <c r="I1225" s="55">
        <f t="shared" ca="1" si="226"/>
        <v>11.43</v>
      </c>
      <c r="J1225" s="55">
        <v>0</v>
      </c>
      <c r="K1225" s="55">
        <f t="shared" ca="1" si="229"/>
        <v>535.87850327868841</v>
      </c>
      <c r="L1225" s="55">
        <v>0</v>
      </c>
      <c r="M1225" s="113">
        <f>SUMIFS(График[Возврат основной суммы долга],График[Дата с учетом нерабочих дней],$A1225)</f>
        <v>0</v>
      </c>
      <c r="N1225" s="56">
        <f>SUMIFS(График[Возврат начисленных %],График[Дата с учетом нерабочих дней],$A1225)</f>
        <v>0</v>
      </c>
      <c r="O1225" s="101">
        <v>0</v>
      </c>
      <c r="P1225" s="100" cm="1">
        <f t="array" aca="1" ref="P1225" ca="1">MAX(IF(AA1224="Да",0,SUM(INDIRECT("M"&amp;(MAX(("Да"=AA$12:AA1224)*ROW(AA$12:AA1224)+1,ROW($P$12))&amp;":M"&amp;(ROW()))))-SUM(INDIRECT("W"&amp;(MAX(("Да"=AA$12:AA1224)*ROW(AA$12:AA1224)+1,ROW($P$12))&amp;":W"&amp;(ROW()))))),0)</f>
        <v>21023.989999999998</v>
      </c>
      <c r="Q1225" s="99">
        <f ca="1">MAX(SUM($N$13:N1225)-SUM($T$13:T1225),0)</f>
        <v>86151.710655737683</v>
      </c>
      <c r="R1225" s="99">
        <f ca="1">Первоначальный[[#This Row],[Просроченный платеж по ОД]]+Первоначальный[[#This Row],[Просроченный платеж по процентам]]</f>
        <v>107175.70065573769</v>
      </c>
      <c r="S1225" s="120">
        <f ca="1">IF(Первоначальный[[#This Row],[Просроченный платеж]]&lt;1,0,S1224+1)</f>
        <v>1121</v>
      </c>
      <c r="T1225" s="100" cm="1">
        <f t="array" aca="1" ref="T1225" ca="1">IF(Первоначальный[[#This Row],[Итого остаток на начало периода]]&lt;1,0,
IF(
AND(TYPE(VLOOKUP(1,$Z$12:Z1225,1,0))=16,Первоначальный[[#This Row],[Досрочное погашение (да/"")]]=""),0,
_xlfn.IFS(AND(S1224=0,Первоначальный[[#This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платеж]]&lt;&gt;0),MIN(LOOKUP(,-1/($Z$12:Z1225=1),$C$12:C1225)+LOOKUP(,-1/($Z$12:Z1225=1),$H$12:H1225),Первоначальный[[#This Row],[Полученный платеж]]+Y1224),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платеж]]+Y1224,SUM(Первоначальный[[#This Row],[Остаток процентов на начало периода]],Первоначальный[[#This Row],[Проценты за период]])),
AND(S1224=0,Первоначальный[[#This Row],[Дата платежа из графика]]=""),0,
AND(S1224=0,Первоначальный[[#This Row],[Дата платежа из графика]]=1,MAX((0&lt;&gt;S$12:S1224)*ROW(S$12:S1224),ROW($S$12))&gt;=MAX((1=Z$12:Z1224)*ROW(Z$12:Z1224),ROW($T$12)),TYPE(VLOOKUP("Да",(INDIRECT("AA"&amp;(MAX((1=Z$12:Z1224)*ROW(Z$12:Z1224),ROW($T$12))&amp;":AA"&amp;(ROW()-1)))),1,0))=16),MIN(LOOKUP(,-1/($Z$12:Z1225=1),$C$12:C1225)+LOOKUP(,-1/($Z$12:Z1225=1),$H$12:H1225),Первоначальный[[#This Row],[Полученный платеж]]+Y1224),
AND(S1224=0,TYPE(VLOOKUP("Да",(INDIRECT("AA"&amp;(MAX((1=Z$12:Z1224)*ROW(Z$12:Z1224),ROW($T$12))&amp;":AA"&amp;(ROW()-1)))),1,0))&lt;&gt;16),MIN(LOOKUP(,-1/($Z$12:Z1225=1),$C$12:C1225)+LOOKUP(,-1/($Z$12:Z1225=1),$H$12:H1225)-IF(AA1224="Да",0,SUM(INDIRECT("T"&amp;(MAX(("Да"=AA$12:AA1224)*ROW(AA$12:AA1224)+1,ROW($T$12))&amp;":T"&amp;(ROW()-1))))),Первоначальный[[#This Row],[Полученный платеж]]+Y1224),
AND(S1224=0,MAX((0&lt;&gt;N$12:N1224)*ROW(N$12:N1224),ROW($S$12))&gt;=MAX((1=Z$12:Z1224)*ROW(Z$12:Z1224),ROW($T$12))),MIN(LOOKUP(,-1/($Z$12:Z1225=1),$C$12:C1225)+LOOKUP(,-1/($Z$12:Z1225=1),$H$12:H1225)-IF(N1224&lt;&gt;0,0,SUM(INDIRECT("T"&amp;(MAX((0&lt;&gt;N$12:N1224)*ROW(N$12:N1224)+1,ROW($T$12))&amp;":T"&amp;(ROW()-1))))),Первоначальный[[#This Row],[Полученный платеж]]+Y1224),
AND(S1224=0,Первоначальный[[#This Row],[Дата платежа из графика]]=1),MIN(LOOKUP(,-1/($Z$12:Z1225=1),$C$12:C1225)+LOOKUP(,-1/($Z$12:Z1225=1),$H$12:H1225)-IF(Z1224=1,0,SUM(INDIRECT("T"&amp;(MAX((1=Z$12:Z1224)*ROW(Z$12:Z1224)+1,ROW($T$12))&amp;":T"&amp;(ROW()-1))))),Первоначальный[[#This Row],[Полученный платеж]]+Y1224),
AND(Z1224&gt;0,Первоначальный[[#This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платеж]]+Y1224),
AND(S1224&gt;0,MAX((0&lt;&gt;S$12:S1224)*ROW(S$12:S1224),ROW($S$12))&gt;=MAX((1=Z$12:Z1224)*ROW(Z$12:Z1224),ROW($T$12)),TYPE(VLOOKUP("Да",(INDIRECT("AA"&amp;(MAX((1=Z$12:Z1224)*ROW(Z$12:Z1224),ROW($T$12))&amp;":AA"&amp;(ROW()-1)))),1,0))=16),MIN(LOOKUP(,-1/($Z$12:Z1225=1),$C$12:C1225)+LOOKUP(,-1/($Z$12:Z1225=1),$H$12:H1225)-SUM(INDIRECT("T"&amp;(MAX((1=Z$12:Z1224)*ROW(Z$12:Z1224),ROW($T$12))&amp;":T"&amp;(ROW()-1)))),Первоначальный[[#This Row],[Полученный платеж]]+Y1224),
S1224&gt;0,MIN(LOOKUP(,-1/($Z$12:Z1225=1),$C$12:C1225)+LOOKUP(,-1/($Z$12:Z1225=1),$H$12:H1225)-IF(Z1224=1,0,SUM(INDIRECT("T"&amp;(MAX((1=Z$12:Z1224)*ROW(Z$12:Z1224)+1,ROW($T$12))&amp;":T"&amp;(ROW()-1))))),Первоначальный[[#This Row],[Полученный платеж]]+Y1224)
)
)
)</f>
        <v>0</v>
      </c>
      <c r="U122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платеж]]+Y1224-Первоначальный[[#This Row],[Полученный платёж по процентам]])</f>
        <v>0</v>
      </c>
      <c r="V1225" s="55">
        <f t="shared" ca="1" si="219"/>
        <v>0</v>
      </c>
      <c r="W1225" s="55" cm="1">
        <f t="array" aca="1" ref="W1225" ca="1">IF(Первоначальный[[#This Row],[Итого остаток на начало периода]]&lt;1,0,
_xlfn.IFS(
AND(TYPE(VLOOKUP(1,$Z$12:Z1225,1,0))=16,Первоначальный[[#This Row],[Досрочное погашение (да/"")]]=""),0,
AND(S1224=0,Первоначальный[[#This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платеж]]+Y1224-SUM(Первоначальный[[#This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комиссиям]]),VLOOKUP(LOOKUP(,-1/($Z$12:Z1225=1),$A$12:A1225),График[[Срок конец]:[Возврат основной суммы долга]],3,0)),
AND(S1224=0,Первоначальный[[#This Row],[Дата платежа из графика]]="",Первоначальный[[#This Row],[Досрочное погашение (да/"")]]&lt;&gt;"Да"),0,
AND(S1224=0,Первоначальный[[#This Row],[Досрочное погашение (да/"")]]=""),MIN(Первоначальный[[#This Row],[Полученный платеж]]+Y1224-SUM(Первоначальный[[#This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комиссиям]]),VLOOKUP(LOOKUP(,-1/($Z$12:Z1225=1),$A$12:A1225),График[[Срок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платеж]]+Y1224-SUM(Первоначальный[[#This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S1224&gt;0,MIN(Первоначальный[[#This Row],[Полученный платеж]]+Y1224-SUM(Первоначальный[[#This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комиссиям]]),SUM(INDIRECT("M"&amp;(MAX((1=S$12:S1224)*ROW(S$12:S1224),ROW($W$12))&amp;":M"&amp;(ROW()))))-SUM(INDIRECT("W"&amp;(MAX((1=S$12:S1224)*ROW(S$12:S1224),ROW($W$12))&amp;":W"&amp;(ROW()-1)))))
)
)</f>
        <v>0</v>
      </c>
      <c r="X1225" s="55">
        <f t="shared" ca="1" si="220"/>
        <v>0</v>
      </c>
      <c r="Y1225" s="101">
        <f t="shared" ca="1" si="227"/>
        <v>0</v>
      </c>
      <c r="Z1225" s="133" t="str">
        <f>IF(TYPE((VLOOKUP(Первоначальный[[#This Row],[Дата платежа]],График[Срок конец],1,0)))=16,"",1)</f>
        <v/>
      </c>
      <c r="AA1225" s="57"/>
      <c r="AB1225" s="134"/>
      <c r="AC122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2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87904</v>
      </c>
      <c r="AE122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5967.45999999999</v>
      </c>
      <c r="AF122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2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307789.64717540919</v>
      </c>
      <c r="AH1225" s="55"/>
      <c r="AI1225" s="55"/>
      <c r="AJ1225" s="55"/>
      <c r="AK1225" s="101">
        <f t="shared" ca="1" si="228"/>
        <v>551294.44717540918</v>
      </c>
      <c r="AL1225" s="129">
        <f t="array" ref="AL1225">MAX((УслРестрактов[Характеристика]="Дата реструктуризации")*(УслРестрактов[Значение]=Первоначальный!$A1225),0)</f>
        <v>0</v>
      </c>
    </row>
    <row r="1226" spans="1:38" x14ac:dyDescent="0.25">
      <c r="A1226" s="97">
        <f t="shared" si="221"/>
        <v>45357</v>
      </c>
      <c r="B1226" s="100">
        <f t="shared" ca="1" si="222"/>
        <v>149633.34</v>
      </c>
      <c r="C1226" s="55">
        <f t="shared" ca="1" si="230"/>
        <v>87904</v>
      </c>
      <c r="D1226" s="55">
        <f t="shared" ca="1" si="230"/>
        <v>5967.45999999999</v>
      </c>
      <c r="E1226" s="55">
        <f t="shared" ca="1" si="223"/>
        <v>0</v>
      </c>
      <c r="F1226" s="55">
        <f t="shared" ca="1" si="224"/>
        <v>307789.64717540919</v>
      </c>
      <c r="G1226" s="101">
        <f t="shared" ca="1" si="225"/>
        <v>551294.44717540918</v>
      </c>
      <c r="H1226" s="100">
        <f ca="1">ROUND($B1226*VLOOKUP($A1226,$A$1:$B$10,2,1)/(365+IF(MOD(YEAR($A1226),4),0,1)*($A1226-$A1225)),2)-Первоначальный[[#This Row],[Проценты на просроченный платеж по ОД за период]]</f>
        <v>69.930000000000007</v>
      </c>
      <c r="I1226" s="55">
        <f t="shared" ca="1" si="226"/>
        <v>11.43</v>
      </c>
      <c r="J1226" s="55">
        <v>0</v>
      </c>
      <c r="K1226" s="55">
        <f t="shared" ca="1" si="229"/>
        <v>535.87850327868841</v>
      </c>
      <c r="L1226" s="55">
        <v>0</v>
      </c>
      <c r="M1226" s="113">
        <f>SUMIFS(График[Возврат основной суммы долга],График[Дата с учетом нерабочих дней],$A1226)</f>
        <v>0</v>
      </c>
      <c r="N1226" s="56">
        <f>SUMIFS(График[Возврат начисленных %],График[Дата с учетом нерабочих дней],$A1226)</f>
        <v>0</v>
      </c>
      <c r="O1226" s="101">
        <v>0</v>
      </c>
      <c r="P1226" s="100" cm="1">
        <f t="array" aca="1" ref="P1226" ca="1">MAX(IF(AA1225="Да",0,SUM(INDIRECT("M"&amp;(MAX(("Да"=AA$12:AA1225)*ROW(AA$12:AA1225)+1,ROW($P$12))&amp;":M"&amp;(ROW()))))-SUM(INDIRECT("W"&amp;(MAX(("Да"=AA$12:AA1225)*ROW(AA$12:AA1225)+1,ROW($P$12))&amp;":W"&amp;(ROW()))))),0)</f>
        <v>21023.989999999998</v>
      </c>
      <c r="Q1226" s="99">
        <f ca="1">MAX(SUM($N$13:N1226)-SUM($T$13:T1226),0)</f>
        <v>86151.710655737683</v>
      </c>
      <c r="R1226" s="99">
        <f ca="1">Первоначальный[[#This Row],[Просроченный платеж по ОД]]+Первоначальный[[#This Row],[Просроченный платеж по процентам]]</f>
        <v>107175.70065573769</v>
      </c>
      <c r="S1226" s="120">
        <f ca="1">IF(Первоначальный[[#This Row],[Просроченный платеж]]&lt;1,0,S1225+1)</f>
        <v>1122</v>
      </c>
      <c r="T1226" s="100" cm="1">
        <f t="array" aca="1" ref="T1226" ca="1">IF(Первоначальный[[#This Row],[Итого остаток на начало периода]]&lt;1,0,
IF(
AND(TYPE(VLOOKUP(1,$Z$12:Z1226,1,0))=16,Первоначальный[[#This Row],[Досрочное погашение (да/"")]]=""),0,
_xlfn.IFS(AND(S1225=0,Первоначальный[[#This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платеж]]&lt;&gt;0),MIN(LOOKUP(,-1/($Z$12:Z1226=1),$C$12:C1226)+LOOKUP(,-1/($Z$12:Z1226=1),$H$12:H1226),Первоначальный[[#This Row],[Полученный платеж]]+Y1225),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платеж]]+Y1225,SUM(Первоначальный[[#This Row],[Остаток процентов на начало периода]],Первоначальный[[#This Row],[Проценты за период]])),
AND(S1225=0,Первоначальный[[#This Row],[Дата платежа из графика]]=""),0,
AND(S1225=0,Первоначальный[[#This Row],[Дата платежа из графика]]=1,MAX((0&lt;&gt;S$12:S1225)*ROW(S$12:S1225),ROW($S$12))&gt;=MAX((1=Z$12:Z1225)*ROW(Z$12:Z1225),ROW($T$12)),TYPE(VLOOKUP("Да",(INDIRECT("AA"&amp;(MAX((1=Z$12:Z1225)*ROW(Z$12:Z1225),ROW($T$12))&amp;":AA"&amp;(ROW()-1)))),1,0))=16),MIN(LOOKUP(,-1/($Z$12:Z1226=1),$C$12:C1226)+LOOKUP(,-1/($Z$12:Z1226=1),$H$12:H1226),Первоначальный[[#This Row],[Полученный платеж]]+Y1225),
AND(S1225=0,TYPE(VLOOKUP("Да",(INDIRECT("AA"&amp;(MAX((1=Z$12:Z1225)*ROW(Z$12:Z1225),ROW($T$12))&amp;":AA"&amp;(ROW()-1)))),1,0))&lt;&gt;16),MIN(LOOKUP(,-1/($Z$12:Z1226=1),$C$12:C1226)+LOOKUP(,-1/($Z$12:Z1226=1),$H$12:H1226)-IF(AA1225="Да",0,SUM(INDIRECT("T"&amp;(MAX(("Да"=AA$12:AA1225)*ROW(AA$12:AA1225)+1,ROW($T$12))&amp;":T"&amp;(ROW()-1))))),Первоначальный[[#This Row],[Полученный платеж]]+Y1225),
AND(S1225=0,MAX((0&lt;&gt;N$12:N1225)*ROW(N$12:N1225),ROW($S$12))&gt;=MAX((1=Z$12:Z1225)*ROW(Z$12:Z1225),ROW($T$12))),MIN(LOOKUP(,-1/($Z$12:Z1226=1),$C$12:C1226)+LOOKUP(,-1/($Z$12:Z1226=1),$H$12:H1226)-IF(N1225&lt;&gt;0,0,SUM(INDIRECT("T"&amp;(MAX((0&lt;&gt;N$12:N1225)*ROW(N$12:N1225)+1,ROW($T$12))&amp;":T"&amp;(ROW()-1))))),Первоначальный[[#This Row],[Полученный платеж]]+Y1225),
AND(S1225=0,Первоначальный[[#This Row],[Дата платежа из графика]]=1),MIN(LOOKUP(,-1/($Z$12:Z1226=1),$C$12:C1226)+LOOKUP(,-1/($Z$12:Z1226=1),$H$12:H1226)-IF(Z1225=1,0,SUM(INDIRECT("T"&amp;(MAX((1=Z$12:Z1225)*ROW(Z$12:Z1225)+1,ROW($T$12))&amp;":T"&amp;(ROW()-1))))),Первоначальный[[#This Row],[Полученный платеж]]+Y1225),
AND(Z1225&gt;0,Первоначальный[[#This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платеж]]+Y1225),
AND(S1225&gt;0,MAX((0&lt;&gt;S$12:S1225)*ROW(S$12:S1225),ROW($S$12))&gt;=MAX((1=Z$12:Z1225)*ROW(Z$12:Z1225),ROW($T$12)),TYPE(VLOOKUP("Да",(INDIRECT("AA"&amp;(MAX((1=Z$12:Z1225)*ROW(Z$12:Z1225),ROW($T$12))&amp;":AA"&amp;(ROW()-1)))),1,0))=16),MIN(LOOKUP(,-1/($Z$12:Z1226=1),$C$12:C1226)+LOOKUP(,-1/($Z$12:Z1226=1),$H$12:H1226)-SUM(INDIRECT("T"&amp;(MAX((1=Z$12:Z1225)*ROW(Z$12:Z1225),ROW($T$12))&amp;":T"&amp;(ROW()-1)))),Первоначальный[[#This Row],[Полученный платеж]]+Y1225),
S1225&gt;0,MIN(LOOKUP(,-1/($Z$12:Z1226=1),$C$12:C1226)+LOOKUP(,-1/($Z$12:Z1226=1),$H$12:H1226)-IF(Z1225=1,0,SUM(INDIRECT("T"&amp;(MAX((1=Z$12:Z1225)*ROW(Z$12:Z1225)+1,ROW($T$12))&amp;":T"&amp;(ROW()-1))))),Первоначальный[[#This Row],[Полученный платеж]]+Y1225)
)
)
)</f>
        <v>0</v>
      </c>
      <c r="U122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платеж]]+Y1225-Первоначальный[[#This Row],[Полученный платёж по процентам]])</f>
        <v>0</v>
      </c>
      <c r="V1226" s="55">
        <f t="shared" ca="1" si="219"/>
        <v>0</v>
      </c>
      <c r="W1226" s="55" cm="1">
        <f t="array" aca="1" ref="W1226" ca="1">IF(Первоначальный[[#This Row],[Итого остаток на начало периода]]&lt;1,0,
_xlfn.IFS(
AND(TYPE(VLOOKUP(1,$Z$12:Z1226,1,0))=16,Первоначальный[[#This Row],[Досрочное погашение (да/"")]]=""),0,
AND(S1225=0,Первоначальный[[#This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платеж]]+Y1225-SUM(Первоначальный[[#This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комиссиям]]),VLOOKUP(LOOKUP(,-1/($Z$12:Z1226=1),$A$12:A1226),График[[Срок конец]:[Возврат основной суммы долга]],3,0)),
AND(S1225=0,Первоначальный[[#This Row],[Дата платежа из графика]]="",Первоначальный[[#This Row],[Досрочное погашение (да/"")]]&lt;&gt;"Да"),0,
AND(S1225=0,Первоначальный[[#This Row],[Досрочное погашение (да/"")]]=""),MIN(Первоначальный[[#This Row],[Полученный платеж]]+Y1225-SUM(Первоначальный[[#This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комиссиям]]),VLOOKUP(LOOKUP(,-1/($Z$12:Z1226=1),$A$12:A1226),График[[Срок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платеж]]+Y1225-SUM(Первоначальный[[#This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S1225&gt;0,MIN(Первоначальный[[#This Row],[Полученный платеж]]+Y1225-SUM(Первоначальный[[#This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комиссиям]]),SUM(INDIRECT("M"&amp;(MAX((1=S$12:S1225)*ROW(S$12:S1225),ROW($W$12))&amp;":M"&amp;(ROW()))))-SUM(INDIRECT("W"&amp;(MAX((1=S$12:S1225)*ROW(S$12:S1225),ROW($W$12))&amp;":W"&amp;(ROW()-1)))))
)
)</f>
        <v>0</v>
      </c>
      <c r="X1226" s="55">
        <f t="shared" ca="1" si="220"/>
        <v>0</v>
      </c>
      <c r="Y1226" s="101">
        <f t="shared" ca="1" si="227"/>
        <v>0</v>
      </c>
      <c r="Z1226" s="133" t="str">
        <f>IF(TYPE((VLOOKUP(Первоначальный[[#This Row],[Дата платежа]],График[Срок конец],1,0)))=16,"",1)</f>
        <v/>
      </c>
      <c r="AA1226" s="57"/>
      <c r="AB1226" s="134"/>
      <c r="AC122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2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87973.93</v>
      </c>
      <c r="AE122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5978.8899999999903</v>
      </c>
      <c r="AF122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2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308325.5256786879</v>
      </c>
      <c r="AH1226" s="55"/>
      <c r="AI1226" s="55"/>
      <c r="AJ1226" s="55"/>
      <c r="AK1226" s="101">
        <f t="shared" ca="1" si="228"/>
        <v>551911.68567868788</v>
      </c>
      <c r="AL1226" s="129">
        <f t="array" ref="AL1226">MAX((УслРестрактов[Характеристика]="Дата реструктуризации")*(УслРестрактов[Значение]=Первоначальный!$A1226),0)</f>
        <v>0</v>
      </c>
    </row>
    <row r="1227" spans="1:38" x14ac:dyDescent="0.25">
      <c r="A1227" s="97">
        <f t="shared" si="221"/>
        <v>45358</v>
      </c>
      <c r="B1227" s="100">
        <f t="shared" ca="1" si="222"/>
        <v>149633.34</v>
      </c>
      <c r="C1227" s="55">
        <f t="shared" ca="1" si="230"/>
        <v>87973.93</v>
      </c>
      <c r="D1227" s="55">
        <f t="shared" ca="1" si="230"/>
        <v>5978.8899999999903</v>
      </c>
      <c r="E1227" s="55">
        <f t="shared" ca="1" si="223"/>
        <v>0</v>
      </c>
      <c r="F1227" s="55">
        <f t="shared" ca="1" si="224"/>
        <v>308325.5256786879</v>
      </c>
      <c r="G1227" s="101">
        <f t="shared" ca="1" si="225"/>
        <v>551911.68567868788</v>
      </c>
      <c r="H1227" s="100">
        <f ca="1">ROUND($B1227*VLOOKUP($A1227,$A$1:$B$10,2,1)/(365+IF(MOD(YEAR($A1227),4),0,1)*($A1227-$A1226)),2)-Первоначальный[[#This Row],[Проценты на просроченный платеж по ОД за период]]</f>
        <v>69.930000000000007</v>
      </c>
      <c r="I1227" s="55">
        <f t="shared" ca="1" si="226"/>
        <v>11.43</v>
      </c>
      <c r="J1227" s="55">
        <v>0</v>
      </c>
      <c r="K1227" s="55">
        <f t="shared" ca="1" si="229"/>
        <v>535.87850327868841</v>
      </c>
      <c r="L1227" s="55">
        <v>0</v>
      </c>
      <c r="M1227" s="113">
        <f>SUMIFS(График[Возврат основной суммы долга],График[Дата с учетом нерабочих дней],$A1227)</f>
        <v>0</v>
      </c>
      <c r="N1227" s="56">
        <f>SUMIFS(График[Возврат начисленных %],График[Дата с учетом нерабочих дней],$A1227)</f>
        <v>0</v>
      </c>
      <c r="O1227" s="101">
        <v>0</v>
      </c>
      <c r="P1227" s="100" cm="1">
        <f t="array" aca="1" ref="P1227" ca="1">MAX(IF(AA1226="Да",0,SUM(INDIRECT("M"&amp;(MAX(("Да"=AA$12:AA1226)*ROW(AA$12:AA1226)+1,ROW($P$12))&amp;":M"&amp;(ROW()))))-SUM(INDIRECT("W"&amp;(MAX(("Да"=AA$12:AA1226)*ROW(AA$12:AA1226)+1,ROW($P$12))&amp;":W"&amp;(ROW()))))),0)</f>
        <v>21023.989999999998</v>
      </c>
      <c r="Q1227" s="99">
        <f ca="1">MAX(SUM($N$13:N1227)-SUM($T$13:T1227),0)</f>
        <v>86151.710655737683</v>
      </c>
      <c r="R1227" s="99">
        <f ca="1">Первоначальный[[#This Row],[Просроченный платеж по ОД]]+Первоначальный[[#This Row],[Просроченный платеж по процентам]]</f>
        <v>107175.70065573769</v>
      </c>
      <c r="S1227" s="120">
        <f ca="1">IF(Первоначальный[[#This Row],[Просроченный платеж]]&lt;1,0,S1226+1)</f>
        <v>1123</v>
      </c>
      <c r="T1227" s="100" cm="1">
        <f t="array" aca="1" ref="T1227" ca="1">IF(Первоначальный[[#This Row],[Итого остаток на начало периода]]&lt;1,0,
IF(
AND(TYPE(VLOOKUP(1,$Z$12:Z1227,1,0))=16,Первоначальный[[#This Row],[Досрочное погашение (да/"")]]=""),0,
_xlfn.IFS(AND(S1226=0,Первоначальный[[#This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платеж]]&lt;&gt;0),MIN(LOOKUP(,-1/($Z$12:Z1227=1),$C$12:C1227)+LOOKUP(,-1/($Z$12:Z1227=1),$H$12:H1227),Первоначальный[[#This Row],[Полученный платеж]]+Y1226),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платеж]]+Y1226,SUM(Первоначальный[[#This Row],[Остаток процентов на начало периода]],Первоначальный[[#This Row],[Проценты за период]])),
AND(S1226=0,Первоначальный[[#This Row],[Дата платежа из графика]]=""),0,
AND(S1226=0,Первоначальный[[#This Row],[Дата платежа из графика]]=1,MAX((0&lt;&gt;S$12:S1226)*ROW(S$12:S1226),ROW($S$12))&gt;=MAX((1=Z$12:Z1226)*ROW(Z$12:Z1226),ROW($T$12)),TYPE(VLOOKUP("Да",(INDIRECT("AA"&amp;(MAX((1=Z$12:Z1226)*ROW(Z$12:Z1226),ROW($T$12))&amp;":AA"&amp;(ROW()-1)))),1,0))=16),MIN(LOOKUP(,-1/($Z$12:Z1227=1),$C$12:C1227)+LOOKUP(,-1/($Z$12:Z1227=1),$H$12:H1227),Первоначальный[[#This Row],[Полученный платеж]]+Y1226),
AND(S1226=0,TYPE(VLOOKUP("Да",(INDIRECT("AA"&amp;(MAX((1=Z$12:Z1226)*ROW(Z$12:Z1226),ROW($T$12))&amp;":AA"&amp;(ROW()-1)))),1,0))&lt;&gt;16),MIN(LOOKUP(,-1/($Z$12:Z1227=1),$C$12:C1227)+LOOKUP(,-1/($Z$12:Z1227=1),$H$12:H1227)-IF(AA1226="Да",0,SUM(INDIRECT("T"&amp;(MAX(("Да"=AA$12:AA1226)*ROW(AA$12:AA1226)+1,ROW($T$12))&amp;":T"&amp;(ROW()-1))))),Первоначальный[[#This Row],[Полученный платеж]]+Y1226),
AND(S1226=0,MAX((0&lt;&gt;N$12:N1226)*ROW(N$12:N1226),ROW($S$12))&gt;=MAX((1=Z$12:Z1226)*ROW(Z$12:Z1226),ROW($T$12))),MIN(LOOKUP(,-1/($Z$12:Z1227=1),$C$12:C1227)+LOOKUP(,-1/($Z$12:Z1227=1),$H$12:H1227)-IF(N1226&lt;&gt;0,0,SUM(INDIRECT("T"&amp;(MAX((0&lt;&gt;N$12:N1226)*ROW(N$12:N1226)+1,ROW($T$12))&amp;":T"&amp;(ROW()-1))))),Первоначальный[[#This Row],[Полученный платеж]]+Y1226),
AND(S1226=0,Первоначальный[[#This Row],[Дата платежа из графика]]=1),MIN(LOOKUP(,-1/($Z$12:Z1227=1),$C$12:C1227)+LOOKUP(,-1/($Z$12:Z1227=1),$H$12:H1227)-IF(Z1226=1,0,SUM(INDIRECT("T"&amp;(MAX((1=Z$12:Z1226)*ROW(Z$12:Z1226)+1,ROW($T$12))&amp;":T"&amp;(ROW()-1))))),Первоначальный[[#This Row],[Полученный платеж]]+Y1226),
AND(Z1226&gt;0,Первоначальный[[#This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платеж]]+Y1226),
AND(S1226&gt;0,MAX((0&lt;&gt;S$12:S1226)*ROW(S$12:S1226),ROW($S$12))&gt;=MAX((1=Z$12:Z1226)*ROW(Z$12:Z1226),ROW($T$12)),TYPE(VLOOKUP("Да",(INDIRECT("AA"&amp;(MAX((1=Z$12:Z1226)*ROW(Z$12:Z1226),ROW($T$12))&amp;":AA"&amp;(ROW()-1)))),1,0))=16),MIN(LOOKUP(,-1/($Z$12:Z1227=1),$C$12:C1227)+LOOKUP(,-1/($Z$12:Z1227=1),$H$12:H1227)-SUM(INDIRECT("T"&amp;(MAX((1=Z$12:Z1226)*ROW(Z$12:Z1226),ROW($T$12))&amp;":T"&amp;(ROW()-1)))),Первоначальный[[#This Row],[Полученный платеж]]+Y1226),
S1226&gt;0,MIN(LOOKUP(,-1/($Z$12:Z1227=1),$C$12:C1227)+LOOKUP(,-1/($Z$12:Z1227=1),$H$12:H1227)-IF(Z1226=1,0,SUM(INDIRECT("T"&amp;(MAX((1=Z$12:Z1226)*ROW(Z$12:Z1226)+1,ROW($T$12))&amp;":T"&amp;(ROW()-1))))),Первоначальный[[#This Row],[Полученный платеж]]+Y1226)
)
)
)</f>
        <v>0</v>
      </c>
      <c r="U122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платеж]]+Y1226-Первоначальный[[#This Row],[Полученный платёж по процентам]])</f>
        <v>0</v>
      </c>
      <c r="V1227" s="55">
        <f t="shared" ca="1" si="219"/>
        <v>0</v>
      </c>
      <c r="W1227" s="55" cm="1">
        <f t="array" aca="1" ref="W1227" ca="1">IF(Первоначальный[[#This Row],[Итого остаток на начало периода]]&lt;1,0,
_xlfn.IFS(
AND(TYPE(VLOOKUP(1,$Z$12:Z1227,1,0))=16,Первоначальный[[#This Row],[Досрочное погашение (да/"")]]=""),0,
AND(S1226=0,Первоначальный[[#This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платеж]]+Y1226-SUM(Первоначальный[[#This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комиссиям]]),VLOOKUP(LOOKUP(,-1/($Z$12:Z1227=1),$A$12:A1227),График[[Срок конец]:[Возврат основной суммы долга]],3,0)),
AND(S1226=0,Первоначальный[[#This Row],[Дата платежа из графика]]="",Первоначальный[[#This Row],[Досрочное погашение (да/"")]]&lt;&gt;"Да"),0,
AND(S1226=0,Первоначальный[[#This Row],[Досрочное погашение (да/"")]]=""),MIN(Первоначальный[[#This Row],[Полученный платеж]]+Y1226-SUM(Первоначальный[[#This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комиссиям]]),VLOOKUP(LOOKUP(,-1/($Z$12:Z1227=1),$A$12:A1227),График[[Срок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платеж]]+Y1226-SUM(Первоначальный[[#This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S1226&gt;0,MIN(Первоначальный[[#This Row],[Полученный платеж]]+Y1226-SUM(Первоначальный[[#This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комиссиям]]),SUM(INDIRECT("M"&amp;(MAX((1=S$12:S1226)*ROW(S$12:S1226),ROW($W$12))&amp;":M"&amp;(ROW()))))-SUM(INDIRECT("W"&amp;(MAX((1=S$12:S1226)*ROW(S$12:S1226),ROW($W$12))&amp;":W"&amp;(ROW()-1)))))
)
)</f>
        <v>0</v>
      </c>
      <c r="X1227" s="55">
        <f t="shared" ca="1" si="220"/>
        <v>0</v>
      </c>
      <c r="Y1227" s="101">
        <f t="shared" ca="1" si="227"/>
        <v>0</v>
      </c>
      <c r="Z1227" s="133" t="str">
        <f>IF(TYPE((VLOOKUP(Первоначальный[[#This Row],[Дата платежа]],График[Срок конец],1,0)))=16,"",1)</f>
        <v/>
      </c>
      <c r="AA1227" s="57"/>
      <c r="AB1227" s="134"/>
      <c r="AC122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2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88043.859999999986</v>
      </c>
      <c r="AE122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5990.3199999999906</v>
      </c>
      <c r="AF122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2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308861.40418196662</v>
      </c>
      <c r="AH1227" s="55"/>
      <c r="AI1227" s="55"/>
      <c r="AJ1227" s="55"/>
      <c r="AK1227" s="101">
        <f t="shared" ca="1" si="228"/>
        <v>552528.92418196658</v>
      </c>
      <c r="AL1227" s="129">
        <f t="array" ref="AL1227">MAX((УслРестрактов[Характеристика]="Дата реструктуризации")*(УслРестрактов[Значение]=Первоначальный!$A1227),0)</f>
        <v>0</v>
      </c>
    </row>
    <row r="1228" spans="1:38" x14ac:dyDescent="0.25">
      <c r="A1228" s="97">
        <f t="shared" si="221"/>
        <v>45359</v>
      </c>
      <c r="B1228" s="100">
        <f t="shared" ca="1" si="222"/>
        <v>149633.34</v>
      </c>
      <c r="C1228" s="55">
        <f t="shared" ca="1" si="230"/>
        <v>88043.859999999986</v>
      </c>
      <c r="D1228" s="55">
        <f t="shared" ca="1" si="230"/>
        <v>5990.3199999999906</v>
      </c>
      <c r="E1228" s="55">
        <f t="shared" ca="1" si="223"/>
        <v>0</v>
      </c>
      <c r="F1228" s="55">
        <f t="shared" ca="1" si="224"/>
        <v>308861.40418196662</v>
      </c>
      <c r="G1228" s="101">
        <f t="shared" ca="1" si="225"/>
        <v>552528.92418196658</v>
      </c>
      <c r="H1228" s="100">
        <f ca="1">ROUND($B1228*VLOOKUP($A1228,$A$1:$B$10,2,1)/(365+IF(MOD(YEAR($A1228),4),0,1)*($A1228-$A1227)),2)-Первоначальный[[#This Row],[Проценты на просроченный платеж по ОД за период]]</f>
        <v>69.930000000000007</v>
      </c>
      <c r="I1228" s="55">
        <f t="shared" ca="1" si="226"/>
        <v>11.43</v>
      </c>
      <c r="J1228" s="55">
        <v>0</v>
      </c>
      <c r="K1228" s="55">
        <f t="shared" ca="1" si="229"/>
        <v>535.87850327868841</v>
      </c>
      <c r="L1228" s="55">
        <v>0</v>
      </c>
      <c r="M1228" s="113">
        <f>SUMIFS(График[Возврат основной суммы долга],График[Дата с учетом нерабочих дней],$A1228)</f>
        <v>0</v>
      </c>
      <c r="N1228" s="56">
        <f>SUMIFS(График[Возврат начисленных %],График[Дата с учетом нерабочих дней],$A1228)</f>
        <v>0</v>
      </c>
      <c r="O1228" s="101">
        <v>0</v>
      </c>
      <c r="P1228" s="100" cm="1">
        <f t="array" aca="1" ref="P1228" ca="1">MAX(IF(AA1227="Да",0,SUM(INDIRECT("M"&amp;(MAX(("Да"=AA$12:AA1227)*ROW(AA$12:AA1227)+1,ROW($P$12))&amp;":M"&amp;(ROW()))))-SUM(INDIRECT("W"&amp;(MAX(("Да"=AA$12:AA1227)*ROW(AA$12:AA1227)+1,ROW($P$12))&amp;":W"&amp;(ROW()))))),0)</f>
        <v>21023.989999999998</v>
      </c>
      <c r="Q1228" s="99">
        <f ca="1">MAX(SUM($N$13:N1228)-SUM($T$13:T1228),0)</f>
        <v>86151.710655737683</v>
      </c>
      <c r="R1228" s="99">
        <f ca="1">Первоначальный[[#This Row],[Просроченный платеж по ОД]]+Первоначальный[[#This Row],[Просроченный платеж по процентам]]</f>
        <v>107175.70065573769</v>
      </c>
      <c r="S1228" s="120">
        <f ca="1">IF(Первоначальный[[#This Row],[Просроченный платеж]]&lt;1,0,S1227+1)</f>
        <v>1124</v>
      </c>
      <c r="T1228" s="100" cm="1">
        <f t="array" aca="1" ref="T1228" ca="1">IF(Первоначальный[[#This Row],[Итого остаток на начало периода]]&lt;1,0,
IF(
AND(TYPE(VLOOKUP(1,$Z$12:Z1228,1,0))=16,Первоначальный[[#This Row],[Досрочное погашение (да/"")]]=""),0,
_xlfn.IFS(AND(S1227=0,Первоначальный[[#This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платеж]]&lt;&gt;0),MIN(LOOKUP(,-1/($Z$12:Z1228=1),$C$12:C1228)+LOOKUP(,-1/($Z$12:Z1228=1),$H$12:H1228),Первоначальный[[#This Row],[Полученный платеж]]+Y1227),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платеж]]+Y1227,SUM(Первоначальный[[#This Row],[Остаток процентов на начало периода]],Первоначальный[[#This Row],[Проценты за период]])),
AND(S1227=0,Первоначальный[[#This Row],[Дата платежа из графика]]=""),0,
AND(S1227=0,Первоначальный[[#This Row],[Дата платежа из графика]]=1,MAX((0&lt;&gt;S$12:S1227)*ROW(S$12:S1227),ROW($S$12))&gt;=MAX((1=Z$12:Z1227)*ROW(Z$12:Z1227),ROW($T$12)),TYPE(VLOOKUP("Да",(INDIRECT("AA"&amp;(MAX((1=Z$12:Z1227)*ROW(Z$12:Z1227),ROW($T$12))&amp;":AA"&amp;(ROW()-1)))),1,0))=16),MIN(LOOKUP(,-1/($Z$12:Z1228=1),$C$12:C1228)+LOOKUP(,-1/($Z$12:Z1228=1),$H$12:H1228),Первоначальный[[#This Row],[Полученный платеж]]+Y1227),
AND(S1227=0,TYPE(VLOOKUP("Да",(INDIRECT("AA"&amp;(MAX((1=Z$12:Z1227)*ROW(Z$12:Z1227),ROW($T$12))&amp;":AA"&amp;(ROW()-1)))),1,0))&lt;&gt;16),MIN(LOOKUP(,-1/($Z$12:Z1228=1),$C$12:C1228)+LOOKUP(,-1/($Z$12:Z1228=1),$H$12:H1228)-IF(AA1227="Да",0,SUM(INDIRECT("T"&amp;(MAX(("Да"=AA$12:AA1227)*ROW(AA$12:AA1227)+1,ROW($T$12))&amp;":T"&amp;(ROW()-1))))),Первоначальный[[#This Row],[Полученный платеж]]+Y1227),
AND(S1227=0,MAX((0&lt;&gt;N$12:N1227)*ROW(N$12:N1227),ROW($S$12))&gt;=MAX((1=Z$12:Z1227)*ROW(Z$12:Z1227),ROW($T$12))),MIN(LOOKUP(,-1/($Z$12:Z1228=1),$C$12:C1228)+LOOKUP(,-1/($Z$12:Z1228=1),$H$12:H1228)-IF(N1227&lt;&gt;0,0,SUM(INDIRECT("T"&amp;(MAX((0&lt;&gt;N$12:N1227)*ROW(N$12:N1227)+1,ROW($T$12))&amp;":T"&amp;(ROW()-1))))),Первоначальный[[#This Row],[Полученный платеж]]+Y1227),
AND(S1227=0,Первоначальный[[#This Row],[Дата платежа из графика]]=1),MIN(LOOKUP(,-1/($Z$12:Z1228=1),$C$12:C1228)+LOOKUP(,-1/($Z$12:Z1228=1),$H$12:H1228)-IF(Z1227=1,0,SUM(INDIRECT("T"&amp;(MAX((1=Z$12:Z1227)*ROW(Z$12:Z1227)+1,ROW($T$12))&amp;":T"&amp;(ROW()-1))))),Первоначальный[[#This Row],[Полученный платеж]]+Y1227),
AND(Z1227&gt;0,Первоначальный[[#This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платеж]]+Y1227),
AND(S1227&gt;0,MAX((0&lt;&gt;S$12:S1227)*ROW(S$12:S1227),ROW($S$12))&gt;=MAX((1=Z$12:Z1227)*ROW(Z$12:Z1227),ROW($T$12)),TYPE(VLOOKUP("Да",(INDIRECT("AA"&amp;(MAX((1=Z$12:Z1227)*ROW(Z$12:Z1227),ROW($T$12))&amp;":AA"&amp;(ROW()-1)))),1,0))=16),MIN(LOOKUP(,-1/($Z$12:Z1228=1),$C$12:C1228)+LOOKUP(,-1/($Z$12:Z1228=1),$H$12:H1228)-SUM(INDIRECT("T"&amp;(MAX((1=Z$12:Z1227)*ROW(Z$12:Z1227),ROW($T$12))&amp;":T"&amp;(ROW()-1)))),Первоначальный[[#This Row],[Полученный платеж]]+Y1227),
S1227&gt;0,MIN(LOOKUP(,-1/($Z$12:Z1228=1),$C$12:C1228)+LOOKUP(,-1/($Z$12:Z1228=1),$H$12:H1228)-IF(Z1227=1,0,SUM(INDIRECT("T"&amp;(MAX((1=Z$12:Z1227)*ROW(Z$12:Z1227)+1,ROW($T$12))&amp;":T"&amp;(ROW()-1))))),Первоначальный[[#This Row],[Полученный платеж]]+Y1227)
)
)
)</f>
        <v>0</v>
      </c>
      <c r="U122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платеж]]+Y1227-Первоначальный[[#This Row],[Полученный платёж по процентам]])</f>
        <v>0</v>
      </c>
      <c r="V1228" s="55">
        <f t="shared" ca="1" si="219"/>
        <v>0</v>
      </c>
      <c r="W1228" s="55" cm="1">
        <f t="array" aca="1" ref="W1228" ca="1">IF(Первоначальный[[#This Row],[Итого остаток на начало периода]]&lt;1,0,
_xlfn.IFS(
AND(TYPE(VLOOKUP(1,$Z$12:Z1228,1,0))=16,Первоначальный[[#This Row],[Досрочное погашение (да/"")]]=""),0,
AND(S1227=0,Первоначальный[[#This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платеж]]+Y1227-SUM(Первоначальный[[#This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комиссиям]]),VLOOKUP(LOOKUP(,-1/($Z$12:Z1228=1),$A$12:A1228),График[[Срок конец]:[Возврат основной суммы долга]],3,0)),
AND(S1227=0,Первоначальный[[#This Row],[Дата платежа из графика]]="",Первоначальный[[#This Row],[Досрочное погашение (да/"")]]&lt;&gt;"Да"),0,
AND(S1227=0,Первоначальный[[#This Row],[Досрочное погашение (да/"")]]=""),MIN(Первоначальный[[#This Row],[Полученный платеж]]+Y1227-SUM(Первоначальный[[#This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комиссиям]]),VLOOKUP(LOOKUP(,-1/($Z$12:Z1228=1),$A$12:A1228),График[[Срок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платеж]]+Y1227-SUM(Первоначальный[[#This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S1227&gt;0,MIN(Первоначальный[[#This Row],[Полученный платеж]]+Y1227-SUM(Первоначальный[[#This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комиссиям]]),SUM(INDIRECT("M"&amp;(MAX((1=S$12:S1227)*ROW(S$12:S1227),ROW($W$12))&amp;":M"&amp;(ROW()))))-SUM(INDIRECT("W"&amp;(MAX((1=S$12:S1227)*ROW(S$12:S1227),ROW($W$12))&amp;":W"&amp;(ROW()-1)))))
)
)</f>
        <v>0</v>
      </c>
      <c r="X1228" s="55">
        <f t="shared" ca="1" si="220"/>
        <v>0</v>
      </c>
      <c r="Y1228" s="101">
        <f t="shared" ca="1" si="227"/>
        <v>0</v>
      </c>
      <c r="Z1228" s="133" t="str">
        <f>IF(TYPE((VLOOKUP(Первоначальный[[#This Row],[Дата платежа]],График[Срок конец],1,0)))=16,"",1)</f>
        <v/>
      </c>
      <c r="AA1228" s="57"/>
      <c r="AB1228" s="134"/>
      <c r="AC122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2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88113.789999999979</v>
      </c>
      <c r="AE122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6001.7499999999909</v>
      </c>
      <c r="AF122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2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309397.28268524533</v>
      </c>
      <c r="AH1228" s="55"/>
      <c r="AI1228" s="55"/>
      <c r="AJ1228" s="55"/>
      <c r="AK1228" s="101">
        <f t="shared" ca="1" si="228"/>
        <v>553146.16268524528</v>
      </c>
      <c r="AL1228" s="129">
        <f t="array" ref="AL1228">MAX((УслРестрактов[Характеристика]="Дата реструктуризации")*(УслРестрактов[Значение]=Первоначальный!$A1228),0)</f>
        <v>0</v>
      </c>
    </row>
    <row r="1229" spans="1:38" x14ac:dyDescent="0.25">
      <c r="A1229" s="97">
        <f t="shared" si="221"/>
        <v>45360</v>
      </c>
      <c r="B1229" s="100">
        <f t="shared" ca="1" si="222"/>
        <v>149633.34</v>
      </c>
      <c r="C1229" s="55">
        <f t="shared" ca="1" si="230"/>
        <v>88113.789999999979</v>
      </c>
      <c r="D1229" s="55">
        <f t="shared" ca="1" si="230"/>
        <v>6001.7499999999909</v>
      </c>
      <c r="E1229" s="55">
        <f t="shared" ca="1" si="223"/>
        <v>0</v>
      </c>
      <c r="F1229" s="55">
        <f t="shared" ca="1" si="224"/>
        <v>309397.28268524533</v>
      </c>
      <c r="G1229" s="101">
        <f t="shared" ca="1" si="225"/>
        <v>553146.16268524528</v>
      </c>
      <c r="H1229" s="100">
        <f ca="1">ROUND($B1229*VLOOKUP($A1229,$A$1:$B$10,2,1)/(365+IF(MOD(YEAR($A1229),4),0,1)*($A1229-$A1228)),2)-Первоначальный[[#This Row],[Проценты на просроченный платеж по ОД за период]]</f>
        <v>69.930000000000007</v>
      </c>
      <c r="I1229" s="55">
        <f t="shared" ca="1" si="226"/>
        <v>11.43</v>
      </c>
      <c r="J1229" s="55">
        <v>0</v>
      </c>
      <c r="K1229" s="55">
        <f t="shared" ca="1" si="229"/>
        <v>535.87850327868841</v>
      </c>
      <c r="L1229" s="55">
        <v>0</v>
      </c>
      <c r="M1229" s="113">
        <f>SUMIFS(График[Возврат основной суммы долга],График[Дата с учетом нерабочих дней],$A1229)</f>
        <v>0</v>
      </c>
      <c r="N1229" s="56">
        <f>SUMIFS(График[Возврат начисленных %],График[Дата с учетом нерабочих дней],$A1229)</f>
        <v>0</v>
      </c>
      <c r="O1229" s="101">
        <v>0</v>
      </c>
      <c r="P1229" s="100" cm="1">
        <f t="array" aca="1" ref="P1229" ca="1">MAX(IF(AA1228="Да",0,SUM(INDIRECT("M"&amp;(MAX(("Да"=AA$12:AA1228)*ROW(AA$12:AA1228)+1,ROW($P$12))&amp;":M"&amp;(ROW()))))-SUM(INDIRECT("W"&amp;(MAX(("Да"=AA$12:AA1228)*ROW(AA$12:AA1228)+1,ROW($P$12))&amp;":W"&amp;(ROW()))))),0)</f>
        <v>21023.989999999998</v>
      </c>
      <c r="Q1229" s="99">
        <f ca="1">MAX(SUM($N$13:N1229)-SUM($T$13:T1229),0)</f>
        <v>86151.710655737683</v>
      </c>
      <c r="R1229" s="99">
        <f ca="1">Первоначальный[[#This Row],[Просроченный платеж по ОД]]+Первоначальный[[#This Row],[Просроченный платеж по процентам]]</f>
        <v>107175.70065573769</v>
      </c>
      <c r="S1229" s="120">
        <f ca="1">IF(Первоначальный[[#This Row],[Просроченный платеж]]&lt;1,0,S1228+1)</f>
        <v>1125</v>
      </c>
      <c r="T1229" s="100" cm="1">
        <f t="array" aca="1" ref="T1229" ca="1">IF(Первоначальный[[#This Row],[Итого остаток на начало периода]]&lt;1,0,
IF(
AND(TYPE(VLOOKUP(1,$Z$12:Z1229,1,0))=16,Первоначальный[[#This Row],[Досрочное погашение (да/"")]]=""),0,
_xlfn.IFS(AND(S1228=0,Первоначальный[[#This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платеж]]&lt;&gt;0),MIN(LOOKUP(,-1/($Z$12:Z1229=1),$C$12:C1229)+LOOKUP(,-1/($Z$12:Z1229=1),$H$12:H1229),Первоначальный[[#This Row],[Полученный платеж]]+Y1228),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платеж]]+Y1228,SUM(Первоначальный[[#This Row],[Остаток процентов на начало периода]],Первоначальный[[#This Row],[Проценты за период]])),
AND(S1228=0,Первоначальный[[#This Row],[Дата платежа из графика]]=""),0,
AND(S1228=0,Первоначальный[[#This Row],[Дата платежа из графика]]=1,MAX((0&lt;&gt;S$12:S1228)*ROW(S$12:S1228),ROW($S$12))&gt;=MAX((1=Z$12:Z1228)*ROW(Z$12:Z1228),ROW($T$12)),TYPE(VLOOKUP("Да",(INDIRECT("AA"&amp;(MAX((1=Z$12:Z1228)*ROW(Z$12:Z1228),ROW($T$12))&amp;":AA"&amp;(ROW()-1)))),1,0))=16),MIN(LOOKUP(,-1/($Z$12:Z1229=1),$C$12:C1229)+LOOKUP(,-1/($Z$12:Z1229=1),$H$12:H1229),Первоначальный[[#This Row],[Полученный платеж]]+Y1228),
AND(S1228=0,TYPE(VLOOKUP("Да",(INDIRECT("AA"&amp;(MAX((1=Z$12:Z1228)*ROW(Z$12:Z1228),ROW($T$12))&amp;":AA"&amp;(ROW()-1)))),1,0))&lt;&gt;16),MIN(LOOKUP(,-1/($Z$12:Z1229=1),$C$12:C1229)+LOOKUP(,-1/($Z$12:Z1229=1),$H$12:H1229)-IF(AA1228="Да",0,SUM(INDIRECT("T"&amp;(MAX(("Да"=AA$12:AA1228)*ROW(AA$12:AA1228)+1,ROW($T$12))&amp;":T"&amp;(ROW()-1))))),Первоначальный[[#This Row],[Полученный платеж]]+Y1228),
AND(S1228=0,MAX((0&lt;&gt;N$12:N1228)*ROW(N$12:N1228),ROW($S$12))&gt;=MAX((1=Z$12:Z1228)*ROW(Z$12:Z1228),ROW($T$12))),MIN(LOOKUP(,-1/($Z$12:Z1229=1),$C$12:C1229)+LOOKUP(,-1/($Z$12:Z1229=1),$H$12:H1229)-IF(N1228&lt;&gt;0,0,SUM(INDIRECT("T"&amp;(MAX((0&lt;&gt;N$12:N1228)*ROW(N$12:N1228)+1,ROW($T$12))&amp;":T"&amp;(ROW()-1))))),Первоначальный[[#This Row],[Полученный платеж]]+Y1228),
AND(S1228=0,Первоначальный[[#This Row],[Дата платежа из графика]]=1),MIN(LOOKUP(,-1/($Z$12:Z1229=1),$C$12:C1229)+LOOKUP(,-1/($Z$12:Z1229=1),$H$12:H1229)-IF(Z1228=1,0,SUM(INDIRECT("T"&amp;(MAX((1=Z$12:Z1228)*ROW(Z$12:Z1228)+1,ROW($T$12))&amp;":T"&amp;(ROW()-1))))),Первоначальный[[#This Row],[Полученный платеж]]+Y1228),
AND(Z1228&gt;0,Первоначальный[[#This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платеж]]+Y1228),
AND(S1228&gt;0,MAX((0&lt;&gt;S$12:S1228)*ROW(S$12:S1228),ROW($S$12))&gt;=MAX((1=Z$12:Z1228)*ROW(Z$12:Z1228),ROW($T$12)),TYPE(VLOOKUP("Да",(INDIRECT("AA"&amp;(MAX((1=Z$12:Z1228)*ROW(Z$12:Z1228),ROW($T$12))&amp;":AA"&amp;(ROW()-1)))),1,0))=16),MIN(LOOKUP(,-1/($Z$12:Z1229=1),$C$12:C1229)+LOOKUP(,-1/($Z$12:Z1229=1),$H$12:H1229)-SUM(INDIRECT("T"&amp;(MAX((1=Z$12:Z1228)*ROW(Z$12:Z1228),ROW($T$12))&amp;":T"&amp;(ROW()-1)))),Первоначальный[[#This Row],[Полученный платеж]]+Y1228),
S1228&gt;0,MIN(LOOKUP(,-1/($Z$12:Z1229=1),$C$12:C1229)+LOOKUP(,-1/($Z$12:Z1229=1),$H$12:H1229)-IF(Z1228=1,0,SUM(INDIRECT("T"&amp;(MAX((1=Z$12:Z1228)*ROW(Z$12:Z1228)+1,ROW($T$12))&amp;":T"&amp;(ROW()-1))))),Первоначальный[[#This Row],[Полученный платеж]]+Y1228)
)
)
)</f>
        <v>0</v>
      </c>
      <c r="U122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платеж]]+Y1228-Первоначальный[[#This Row],[Полученный платёж по процентам]])</f>
        <v>0</v>
      </c>
      <c r="V1229" s="55">
        <f t="shared" ref="V1229:V1292" ca="1" si="231">MAX(MIN(SUM(O1229,Y1228)-SUM(T1229:T1229),SUM(E1229,J1229)),0)</f>
        <v>0</v>
      </c>
      <c r="W1229" s="55" cm="1">
        <f t="array" aca="1" ref="W1229" ca="1">IF(Первоначальный[[#This Row],[Итого остаток на начало периода]]&lt;1,0,
_xlfn.IFS(
AND(TYPE(VLOOKUP(1,$Z$12:Z1229,1,0))=16,Первоначальный[[#This Row],[Досрочное погашение (да/"")]]=""),0,
AND(S1228=0,Первоначальный[[#This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платеж]]+Y1228-SUM(Первоначальный[[#This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комиссиям]]),VLOOKUP(LOOKUP(,-1/($Z$12:Z1229=1),$A$12:A1229),График[[Срок конец]:[Возврат основной суммы долга]],3,0)),
AND(S1228=0,Первоначальный[[#This Row],[Дата платежа из графика]]="",Первоначальный[[#This Row],[Досрочное погашение (да/"")]]&lt;&gt;"Да"),0,
AND(S1228=0,Первоначальный[[#This Row],[Досрочное погашение (да/"")]]=""),MIN(Первоначальный[[#This Row],[Полученный платеж]]+Y1228-SUM(Первоначальный[[#This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комиссиям]]),VLOOKUP(LOOKUP(,-1/($Z$12:Z1229=1),$A$12:A1229),График[[Срок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платеж]]+Y1228-SUM(Первоначальный[[#This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S1228&gt;0,MIN(Первоначальный[[#This Row],[Полученный платеж]]+Y1228-SUM(Первоначальный[[#This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комиссиям]]),SUM(INDIRECT("M"&amp;(MAX((1=S$12:S1228)*ROW(S$12:S1228),ROW($W$12))&amp;":M"&amp;(ROW()))))-SUM(INDIRECT("W"&amp;(MAX((1=S$12:S1228)*ROW(S$12:S1228),ROW($W$12))&amp;":W"&amp;(ROW()-1)))))
)
)</f>
        <v>0</v>
      </c>
      <c r="X1229" s="55">
        <f t="shared" ref="X1229:X1292" ca="1" si="232">MAX(MIN(SUM(O1229,Y1228)-SUM(T1229:W1229),SUM(F1229,K1229)),0)</f>
        <v>0</v>
      </c>
      <c r="Y1229" s="101">
        <f t="shared" ca="1" si="227"/>
        <v>0</v>
      </c>
      <c r="Z1229" s="133">
        <f>IF(TYPE((VLOOKUP(Первоначальный[[#This Row],[Дата платежа]],График[Срок конец],1,0)))=16,"",1)</f>
        <v>1</v>
      </c>
      <c r="AA1229" s="57"/>
      <c r="AB1229" s="134"/>
      <c r="AC122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2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88183.719999999972</v>
      </c>
      <c r="AE122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6013.1799999999912</v>
      </c>
      <c r="AF122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2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309933.16118852404</v>
      </c>
      <c r="AH1229" s="55"/>
      <c r="AI1229" s="55"/>
      <c r="AJ1229" s="55"/>
      <c r="AK1229" s="101">
        <f t="shared" ca="1" si="228"/>
        <v>553763.40118852397</v>
      </c>
      <c r="AL1229" s="129">
        <f t="array" ref="AL1229">MAX((УслРестрактов[Характеристика]="Дата реструктуризации")*(УслРестрактов[Значение]=Первоначальный!$A1229),0)</f>
        <v>0</v>
      </c>
    </row>
    <row r="1230" spans="1:38" x14ac:dyDescent="0.25">
      <c r="A1230" s="97">
        <f t="shared" ref="A1230:A1293" si="233">A1229+1</f>
        <v>45361</v>
      </c>
      <c r="B1230" s="100">
        <f t="shared" ref="B1230:B1293" ca="1" si="234">AC1229</f>
        <v>149633.34</v>
      </c>
      <c r="C1230" s="55">
        <f t="shared" ca="1" si="230"/>
        <v>88183.719999999972</v>
      </c>
      <c r="D1230" s="55">
        <f t="shared" ca="1" si="230"/>
        <v>6013.1799999999912</v>
      </c>
      <c r="E1230" s="55">
        <f t="shared" ref="E1230:E1293" ca="1" si="235">AF1229</f>
        <v>0</v>
      </c>
      <c r="F1230" s="55">
        <f t="shared" ref="F1230:F1293" ca="1" si="236">AG1229+AH1229</f>
        <v>309933.16118852404</v>
      </c>
      <c r="G1230" s="101">
        <f t="shared" ref="G1230:G1293" ca="1" si="237">AK1229</f>
        <v>553763.40118852397</v>
      </c>
      <c r="H1230" s="100">
        <f ca="1">ROUND($B1230*VLOOKUP($A1230,$A$1:$B$10,2,1)/(365+IF(MOD(YEAR($A1230),4),0,1)*($A1230-$A1229)),2)-Первоначальный[[#This Row],[Проценты на просроченный платеж по ОД за период]]</f>
        <v>69.930000000000007</v>
      </c>
      <c r="I1230" s="55">
        <f t="shared" ref="I1230:I1293" ca="1" si="238">ROUND(P1229*VLOOKUP($A1230,$A$1:$B$10,2,1)/(365+IF(MOD(YEAR($A1230),4),0,1)*($A1230-$A1229)),2)</f>
        <v>11.43</v>
      </c>
      <c r="J1230" s="55">
        <v>0</v>
      </c>
      <c r="K1230" s="55">
        <f t="shared" ca="1" si="229"/>
        <v>535.87850327868841</v>
      </c>
      <c r="L1230" s="55">
        <v>0</v>
      </c>
      <c r="M1230" s="113">
        <f>SUMIFS(График[Возврат основной суммы долга],График[Дата с учетом нерабочих дней],$A1230)</f>
        <v>0</v>
      </c>
      <c r="N1230" s="56">
        <f>SUMIFS(График[Возврат начисленных %],График[Дата с учетом нерабочих дней],$A1230)</f>
        <v>0</v>
      </c>
      <c r="O1230" s="101">
        <v>0</v>
      </c>
      <c r="P1230" s="100" cm="1">
        <f t="array" aca="1" ref="P1230" ca="1">MAX(IF(AA1229="Да",0,SUM(INDIRECT("M"&amp;(MAX(("Да"=AA$12:AA1229)*ROW(AA$12:AA1229)+1,ROW($P$12))&amp;":M"&amp;(ROW()))))-SUM(INDIRECT("W"&amp;(MAX(("Да"=AA$12:AA1229)*ROW(AA$12:AA1229)+1,ROW($P$12))&amp;":W"&amp;(ROW()))))),0)</f>
        <v>21023.989999999998</v>
      </c>
      <c r="Q1230" s="99">
        <f ca="1">MAX(SUM($N$13:N1230)-SUM($T$13:T1230),0)</f>
        <v>86151.710655737683</v>
      </c>
      <c r="R1230" s="99">
        <f ca="1">Первоначальный[[#This Row],[Просроченный платеж по ОД]]+Первоначальный[[#This Row],[Просроченный платеж по процентам]]</f>
        <v>107175.70065573769</v>
      </c>
      <c r="S1230" s="120">
        <f ca="1">IF(Первоначальный[[#This Row],[Просроченный платеж]]&lt;1,0,S1229+1)</f>
        <v>1126</v>
      </c>
      <c r="T1230" s="100" cm="1">
        <f t="array" aca="1" ref="T1230" ca="1">IF(Первоначальный[[#This Row],[Итого остаток на начало периода]]&lt;1,0,
IF(
AND(TYPE(VLOOKUP(1,$Z$12:Z1230,1,0))=16,Первоначальный[[#This Row],[Досрочное погашение (да/"")]]=""),0,
_xlfn.IFS(AND(S1229=0,Первоначальный[[#This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платеж]]&lt;&gt;0),MIN(LOOKUP(,-1/($Z$12:Z1230=1),$C$12:C1230)+LOOKUP(,-1/($Z$12:Z1230=1),$H$12:H1230),Первоначальный[[#This Row],[Полученный платеж]]+Y1229),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платеж]]+Y1229,SUM(Первоначальный[[#This Row],[Остаток процентов на начало периода]],Первоначальный[[#This Row],[Проценты за период]])),
AND(S1229=0,Первоначальный[[#This Row],[Дата платежа из графика]]=""),0,
AND(S1229=0,Первоначальный[[#This Row],[Дата платежа из графика]]=1,MAX((0&lt;&gt;S$12:S1229)*ROW(S$12:S1229),ROW($S$12))&gt;=MAX((1=Z$12:Z1229)*ROW(Z$12:Z1229),ROW($T$12)),TYPE(VLOOKUP("Да",(INDIRECT("AA"&amp;(MAX((1=Z$12:Z1229)*ROW(Z$12:Z1229),ROW($T$12))&amp;":AA"&amp;(ROW()-1)))),1,0))=16),MIN(LOOKUP(,-1/($Z$12:Z1230=1),$C$12:C1230)+LOOKUP(,-1/($Z$12:Z1230=1),$H$12:H1230),Первоначальный[[#This Row],[Полученный платеж]]+Y1229),
AND(S1229=0,TYPE(VLOOKUP("Да",(INDIRECT("AA"&amp;(MAX((1=Z$12:Z1229)*ROW(Z$12:Z1229),ROW($T$12))&amp;":AA"&amp;(ROW()-1)))),1,0))&lt;&gt;16),MIN(LOOKUP(,-1/($Z$12:Z1230=1),$C$12:C1230)+LOOKUP(,-1/($Z$12:Z1230=1),$H$12:H1230)-IF(AA1229="Да",0,SUM(INDIRECT("T"&amp;(MAX(("Да"=AA$12:AA1229)*ROW(AA$12:AA1229)+1,ROW($T$12))&amp;":T"&amp;(ROW()-1))))),Первоначальный[[#This Row],[Полученный платеж]]+Y1229),
AND(S1229=0,MAX((0&lt;&gt;N$12:N1229)*ROW(N$12:N1229),ROW($S$12))&gt;=MAX((1=Z$12:Z1229)*ROW(Z$12:Z1229),ROW($T$12))),MIN(LOOKUP(,-1/($Z$12:Z1230=1),$C$12:C1230)+LOOKUP(,-1/($Z$12:Z1230=1),$H$12:H1230)-IF(N1229&lt;&gt;0,0,SUM(INDIRECT("T"&amp;(MAX((0&lt;&gt;N$12:N1229)*ROW(N$12:N1229)+1,ROW($T$12))&amp;":T"&amp;(ROW()-1))))),Первоначальный[[#This Row],[Полученный платеж]]+Y1229),
AND(S1229=0,Первоначальный[[#This Row],[Дата платежа из графика]]=1),MIN(LOOKUP(,-1/($Z$12:Z1230=1),$C$12:C1230)+LOOKUP(,-1/($Z$12:Z1230=1),$H$12:H1230)-IF(Z1229=1,0,SUM(INDIRECT("T"&amp;(MAX((1=Z$12:Z1229)*ROW(Z$12:Z1229)+1,ROW($T$12))&amp;":T"&amp;(ROW()-1))))),Первоначальный[[#This Row],[Полученный платеж]]+Y1229),
AND(Z1229&gt;0,Первоначальный[[#This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платеж]]+Y1229),
AND(S1229&gt;0,MAX((0&lt;&gt;S$12:S1229)*ROW(S$12:S1229),ROW($S$12))&gt;=MAX((1=Z$12:Z1229)*ROW(Z$12:Z1229),ROW($T$12)),TYPE(VLOOKUP("Да",(INDIRECT("AA"&amp;(MAX((1=Z$12:Z1229)*ROW(Z$12:Z1229),ROW($T$12))&amp;":AA"&amp;(ROW()-1)))),1,0))=16),MIN(LOOKUP(,-1/($Z$12:Z1230=1),$C$12:C1230)+LOOKUP(,-1/($Z$12:Z1230=1),$H$12:H1230)-SUM(INDIRECT("T"&amp;(MAX((1=Z$12:Z1229)*ROW(Z$12:Z1229),ROW($T$12))&amp;":T"&amp;(ROW()-1)))),Первоначальный[[#This Row],[Полученный платеж]]+Y1229),
S1229&gt;0,MIN(LOOKUP(,-1/($Z$12:Z1230=1),$C$12:C1230)+LOOKUP(,-1/($Z$12:Z1230=1),$H$12:H1230)-IF(Z1229=1,0,SUM(INDIRECT("T"&amp;(MAX((1=Z$12:Z1229)*ROW(Z$12:Z1229)+1,ROW($T$12))&amp;":T"&amp;(ROW()-1))))),Первоначальный[[#This Row],[Полученный платеж]]+Y1229)
)
)
)</f>
        <v>0</v>
      </c>
      <c r="U123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платеж]]+Y1229-Первоначальный[[#This Row],[Полученный платёж по процентам]])</f>
        <v>0</v>
      </c>
      <c r="V1230" s="55">
        <f t="shared" ca="1" si="231"/>
        <v>0</v>
      </c>
      <c r="W1230" s="55" cm="1">
        <f t="array" aca="1" ref="W1230" ca="1">IF(Первоначальный[[#This Row],[Итого остаток на начало периода]]&lt;1,0,
_xlfn.IFS(
AND(TYPE(VLOOKUP(1,$Z$12:Z1230,1,0))=16,Первоначальный[[#This Row],[Досрочное погашение (да/"")]]=""),0,
AND(S1229=0,Первоначальный[[#This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платеж]]+Y1229-SUM(Первоначальный[[#This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комиссиям]]),VLOOKUP(LOOKUP(,-1/($Z$12:Z1230=1),$A$12:A1230),График[[Срок конец]:[Возврат основной суммы долга]],3,0)),
AND(S1229=0,Первоначальный[[#This Row],[Дата платежа из графика]]="",Первоначальный[[#This Row],[Досрочное погашение (да/"")]]&lt;&gt;"Да"),0,
AND(S1229=0,Первоначальный[[#This Row],[Досрочное погашение (да/"")]]=""),MIN(Первоначальный[[#This Row],[Полученный платеж]]+Y1229-SUM(Первоначальный[[#This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комиссиям]]),VLOOKUP(LOOKUP(,-1/($Z$12:Z1230=1),$A$12:A1230),График[[Срок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платеж]]+Y1229-SUM(Первоначальный[[#This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S1229&gt;0,MIN(Первоначальный[[#This Row],[Полученный платеж]]+Y1229-SUM(Первоначальный[[#This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комиссиям]]),SUM(INDIRECT("M"&amp;(MAX((1=S$12:S1229)*ROW(S$12:S1229),ROW($W$12))&amp;":M"&amp;(ROW()))))-SUM(INDIRECT("W"&amp;(MAX((1=S$12:S1229)*ROW(S$12:S1229),ROW($W$12))&amp;":W"&amp;(ROW()-1)))))
)
)</f>
        <v>0</v>
      </c>
      <c r="X1230" s="55">
        <f t="shared" ca="1" si="232"/>
        <v>0</v>
      </c>
      <c r="Y1230" s="101">
        <f t="shared" ref="Y1230:Y1293" ca="1" si="239">ROUND(Y1229+O1230-SUM(T1230:X1230),2)</f>
        <v>0</v>
      </c>
      <c r="Z1230" s="133" t="str">
        <f>IF(TYPE((VLOOKUP(Первоначальный[[#This Row],[Дата платежа]],График[Срок конец],1,0)))=16,"",1)</f>
        <v/>
      </c>
      <c r="AA1230" s="57"/>
      <c r="AB1230" s="134"/>
      <c r="AC123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3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88253.649999999965</v>
      </c>
      <c r="AE123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6024.6099999999915</v>
      </c>
      <c r="AF123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3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310469.03969180275</v>
      </c>
      <c r="AH1230" s="55"/>
      <c r="AI1230" s="55"/>
      <c r="AJ1230" s="55"/>
      <c r="AK1230" s="101">
        <f t="shared" ref="AK1230:AK1293" ca="1" si="240">SUM(AC1230:AJ1230)</f>
        <v>554380.63969180267</v>
      </c>
      <c r="AL1230" s="129">
        <f t="array" ref="AL1230">MAX((УслРестрактов[Характеристика]="Дата реструктуризации")*(УслРестрактов[Значение]=Первоначальный!$A1230),0)</f>
        <v>0</v>
      </c>
    </row>
    <row r="1231" spans="1:38" x14ac:dyDescent="0.25">
      <c r="A1231" s="97">
        <f t="shared" si="233"/>
        <v>45362</v>
      </c>
      <c r="B1231" s="100">
        <f t="shared" ca="1" si="234"/>
        <v>149633.34</v>
      </c>
      <c r="C1231" s="55">
        <f t="shared" ca="1" si="230"/>
        <v>88253.649999999965</v>
      </c>
      <c r="D1231" s="55">
        <f t="shared" ca="1" si="230"/>
        <v>6024.6099999999915</v>
      </c>
      <c r="E1231" s="55">
        <f t="shared" ca="1" si="235"/>
        <v>0</v>
      </c>
      <c r="F1231" s="55">
        <f t="shared" ca="1" si="236"/>
        <v>310469.03969180275</v>
      </c>
      <c r="G1231" s="101">
        <f t="shared" ca="1" si="237"/>
        <v>554380.63969180267</v>
      </c>
      <c r="H1231" s="100">
        <f ca="1">ROUND($B1231*VLOOKUP($A1231,$A$1:$B$10,2,1)/(365+IF(MOD(YEAR($A1231),4),0,1)*($A1231-$A1230)),2)-Первоначальный[[#This Row],[Проценты на просроченный платеж по ОД за период]]</f>
        <v>69.930000000000007</v>
      </c>
      <c r="I1231" s="55">
        <f t="shared" ca="1" si="238"/>
        <v>11.43</v>
      </c>
      <c r="J1231" s="55">
        <v>0</v>
      </c>
      <c r="K1231" s="55">
        <f t="shared" ref="K1231:K1294" ca="1" si="241">IF(S1231&lt;&gt;0,R1231*$B$7,0)</f>
        <v>550.36350327868843</v>
      </c>
      <c r="L1231" s="55">
        <v>0</v>
      </c>
      <c r="M1231" s="113">
        <f>SUMIFS(График[Возврат основной суммы долга],График[Дата с учетом нерабочих дней],$A1231)</f>
        <v>869.11999999999989</v>
      </c>
      <c r="N1231" s="56">
        <f>SUMIFS(График[Возврат начисленных %],График[Дата с учетом нерабочих дней],$A1231)</f>
        <v>2027.88</v>
      </c>
      <c r="O1231" s="101">
        <v>0</v>
      </c>
      <c r="P1231" s="100" cm="1">
        <f t="array" aca="1" ref="P1231" ca="1">MAX(IF(AA1230="Да",0,SUM(INDIRECT("M"&amp;(MAX(("Да"=AA$12:AA1230)*ROW(AA$12:AA1230)+1,ROW($P$12))&amp;":M"&amp;(ROW()))))-SUM(INDIRECT("W"&amp;(MAX(("Да"=AA$12:AA1230)*ROW(AA$12:AA1230)+1,ROW($P$12))&amp;":W"&amp;(ROW()))))),0)</f>
        <v>21893.109999999997</v>
      </c>
      <c r="Q1231" s="99">
        <f ca="1">MAX(SUM($N$13:N1231)-SUM($T$13:T1231),0)</f>
        <v>88179.590655737687</v>
      </c>
      <c r="R1231" s="99">
        <f ca="1">Первоначальный[[#This Row],[Просроченный платеж по ОД]]+Первоначальный[[#This Row],[Просроченный платеж по процентам]]</f>
        <v>110072.70065573769</v>
      </c>
      <c r="S1231" s="120">
        <f ca="1">IF(Первоначальный[[#This Row],[Просроченный платеж]]&lt;1,0,S1230+1)</f>
        <v>1127</v>
      </c>
      <c r="T1231" s="100" cm="1">
        <f t="array" aca="1" ref="T1231" ca="1">IF(Первоначальный[[#This Row],[Итого остаток на начало периода]]&lt;1,0,
IF(
AND(TYPE(VLOOKUP(1,$Z$12:Z1231,1,0))=16,Первоначальный[[#This Row],[Досрочное погашение (да/"")]]=""),0,
_xlfn.IFS(AND(S1230=0,Первоначальный[[#This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платеж]]&lt;&gt;0),MIN(LOOKUP(,-1/($Z$12:Z1231=1),$C$12:C1231)+LOOKUP(,-1/($Z$12:Z1231=1),$H$12:H1231),Первоначальный[[#This Row],[Полученный платеж]]+Y1230),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платеж]]+Y1230,SUM(Первоначальный[[#This Row],[Остаток процентов на начало периода]],Первоначальный[[#This Row],[Проценты за период]])),
AND(S1230=0,Первоначальный[[#This Row],[Дата платежа из графика]]=""),0,
AND(S1230=0,Первоначальный[[#This Row],[Дата платежа из графика]]=1,MAX((0&lt;&gt;S$12:S1230)*ROW(S$12:S1230),ROW($S$12))&gt;=MAX((1=Z$12:Z1230)*ROW(Z$12:Z1230),ROW($T$12)),TYPE(VLOOKUP("Да",(INDIRECT("AA"&amp;(MAX((1=Z$12:Z1230)*ROW(Z$12:Z1230),ROW($T$12))&amp;":AA"&amp;(ROW()-1)))),1,0))=16),MIN(LOOKUP(,-1/($Z$12:Z1231=1),$C$12:C1231)+LOOKUP(,-1/($Z$12:Z1231=1),$H$12:H1231),Первоначальный[[#This Row],[Полученный платеж]]+Y1230),
AND(S1230=0,TYPE(VLOOKUP("Да",(INDIRECT("AA"&amp;(MAX((1=Z$12:Z1230)*ROW(Z$12:Z1230),ROW($T$12))&amp;":AA"&amp;(ROW()-1)))),1,0))&lt;&gt;16),MIN(LOOKUP(,-1/($Z$12:Z1231=1),$C$12:C1231)+LOOKUP(,-1/($Z$12:Z1231=1),$H$12:H1231)-IF(AA1230="Да",0,SUM(INDIRECT("T"&amp;(MAX(("Да"=AA$12:AA1230)*ROW(AA$12:AA1230)+1,ROW($T$12))&amp;":T"&amp;(ROW()-1))))),Первоначальный[[#This Row],[Полученный платеж]]+Y1230),
AND(S1230=0,MAX((0&lt;&gt;N$12:N1230)*ROW(N$12:N1230),ROW($S$12))&gt;=MAX((1=Z$12:Z1230)*ROW(Z$12:Z1230),ROW($T$12))),MIN(LOOKUP(,-1/($Z$12:Z1231=1),$C$12:C1231)+LOOKUP(,-1/($Z$12:Z1231=1),$H$12:H1231)-IF(N1230&lt;&gt;0,0,SUM(INDIRECT("T"&amp;(MAX((0&lt;&gt;N$12:N1230)*ROW(N$12:N1230)+1,ROW($T$12))&amp;":T"&amp;(ROW()-1))))),Первоначальный[[#This Row],[Полученный платеж]]+Y1230),
AND(S1230=0,Первоначальный[[#This Row],[Дата платежа из графика]]=1),MIN(LOOKUP(,-1/($Z$12:Z1231=1),$C$12:C1231)+LOOKUP(,-1/($Z$12:Z1231=1),$H$12:H1231)-IF(Z1230=1,0,SUM(INDIRECT("T"&amp;(MAX((1=Z$12:Z1230)*ROW(Z$12:Z1230)+1,ROW($T$12))&amp;":T"&amp;(ROW()-1))))),Первоначальный[[#This Row],[Полученный платеж]]+Y1230),
AND(Z1230&gt;0,Первоначальный[[#This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платеж]]+Y1230),
AND(S1230&gt;0,MAX((0&lt;&gt;S$12:S1230)*ROW(S$12:S1230),ROW($S$12))&gt;=MAX((1=Z$12:Z1230)*ROW(Z$12:Z1230),ROW($T$12)),TYPE(VLOOKUP("Да",(INDIRECT("AA"&amp;(MAX((1=Z$12:Z1230)*ROW(Z$12:Z1230),ROW($T$12))&amp;":AA"&amp;(ROW()-1)))),1,0))=16),MIN(LOOKUP(,-1/($Z$12:Z1231=1),$C$12:C1231)+LOOKUP(,-1/($Z$12:Z1231=1),$H$12:H1231)-SUM(INDIRECT("T"&amp;(MAX((1=Z$12:Z1230)*ROW(Z$12:Z1230),ROW($T$12))&amp;":T"&amp;(ROW()-1)))),Первоначальный[[#This Row],[Полученный платеж]]+Y1230),
S1230&gt;0,MIN(LOOKUP(,-1/($Z$12:Z1231=1),$C$12:C1231)+LOOKUP(,-1/($Z$12:Z1231=1),$H$12:H1231)-IF(Z1230=1,0,SUM(INDIRECT("T"&amp;(MAX((1=Z$12:Z1230)*ROW(Z$12:Z1230)+1,ROW($T$12))&amp;":T"&amp;(ROW()-1))))),Первоначальный[[#This Row],[Полученный платеж]]+Y1230)
)
)
)</f>
        <v>0</v>
      </c>
      <c r="U123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платеж]]+Y1230-Первоначальный[[#This Row],[Полученный платёж по процентам]])</f>
        <v>0</v>
      </c>
      <c r="V1231" s="55">
        <f t="shared" ca="1" si="231"/>
        <v>0</v>
      </c>
      <c r="W1231" s="55" cm="1">
        <f t="array" aca="1" ref="W1231" ca="1">IF(Первоначальный[[#This Row],[Итого остаток на начало периода]]&lt;1,0,
_xlfn.IFS(
AND(TYPE(VLOOKUP(1,$Z$12:Z1231,1,0))=16,Первоначальный[[#This Row],[Досрочное погашение (да/"")]]=""),0,
AND(S1230=0,Первоначальный[[#This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платеж]]+Y1230-SUM(Первоначальный[[#This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комиссиям]]),VLOOKUP(LOOKUP(,-1/($Z$12:Z1231=1),$A$12:A1231),График[[Срок конец]:[Возврат основной суммы долга]],3,0)),
AND(S1230=0,Первоначальный[[#This Row],[Дата платежа из графика]]="",Первоначальный[[#This Row],[Досрочное погашение (да/"")]]&lt;&gt;"Да"),0,
AND(S1230=0,Первоначальный[[#This Row],[Досрочное погашение (да/"")]]=""),MIN(Первоначальный[[#This Row],[Полученный платеж]]+Y1230-SUM(Первоначальный[[#This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комиссиям]]),VLOOKUP(LOOKUP(,-1/($Z$12:Z1231=1),$A$12:A1231),График[[Срок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платеж]]+Y1230-SUM(Первоначальный[[#This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S1230&gt;0,MIN(Первоначальный[[#This Row],[Полученный платеж]]+Y1230-SUM(Первоначальный[[#This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комиссиям]]),SUM(INDIRECT("M"&amp;(MAX((1=S$12:S1230)*ROW(S$12:S1230),ROW($W$12))&amp;":M"&amp;(ROW()))))-SUM(INDIRECT("W"&amp;(MAX((1=S$12:S1230)*ROW(S$12:S1230),ROW($W$12))&amp;":W"&amp;(ROW()-1)))))
)
)</f>
        <v>0</v>
      </c>
      <c r="X1231" s="55">
        <f t="shared" ca="1" si="232"/>
        <v>0</v>
      </c>
      <c r="Y1231" s="101">
        <f t="shared" ca="1" si="239"/>
        <v>0</v>
      </c>
      <c r="Z1231" s="133" t="str">
        <f>IF(TYPE((VLOOKUP(Первоначальный[[#This Row],[Дата платежа]],График[Срок конец],1,0)))=16,"",1)</f>
        <v/>
      </c>
      <c r="AA1231" s="57"/>
      <c r="AB1231" s="134"/>
      <c r="AC123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3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88323.579999999958</v>
      </c>
      <c r="AE123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6036.0399999999918</v>
      </c>
      <c r="AF123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3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311019.40319508145</v>
      </c>
      <c r="AH1231" s="55"/>
      <c r="AI1231" s="55"/>
      <c r="AJ1231" s="55"/>
      <c r="AK1231" s="101">
        <f t="shared" ca="1" si="240"/>
        <v>555012.36319508136</v>
      </c>
      <c r="AL1231" s="129">
        <f t="array" ref="AL1231">MAX((УслРестрактов[Характеристика]="Дата реструктуризации")*(УслРестрактов[Значение]=Первоначальный!$A1231),0)</f>
        <v>0</v>
      </c>
    </row>
    <row r="1232" spans="1:38" x14ac:dyDescent="0.25">
      <c r="A1232" s="97">
        <f t="shared" si="233"/>
        <v>45363</v>
      </c>
      <c r="B1232" s="100">
        <f t="shared" ca="1" si="234"/>
        <v>149633.34</v>
      </c>
      <c r="C1232" s="55">
        <f t="shared" ca="1" si="230"/>
        <v>88323.579999999958</v>
      </c>
      <c r="D1232" s="55">
        <f t="shared" ca="1" si="230"/>
        <v>6036.0399999999918</v>
      </c>
      <c r="E1232" s="55">
        <f t="shared" ca="1" si="235"/>
        <v>0</v>
      </c>
      <c r="F1232" s="55">
        <f t="shared" ca="1" si="236"/>
        <v>311019.40319508145</v>
      </c>
      <c r="G1232" s="101">
        <f t="shared" ca="1" si="237"/>
        <v>555012.36319508136</v>
      </c>
      <c r="H1232" s="100">
        <f ca="1">ROUND($B1232*VLOOKUP($A1232,$A$1:$B$10,2,1)/(365+IF(MOD(YEAR($A1232),4),0,1)*($A1232-$A1231)),2)-Первоначальный[[#This Row],[Проценты на просроченный платеж по ОД за период]]</f>
        <v>69.459999999999994</v>
      </c>
      <c r="I1232" s="55">
        <f t="shared" ca="1" si="238"/>
        <v>11.9</v>
      </c>
      <c r="J1232" s="55">
        <v>0</v>
      </c>
      <c r="K1232" s="55">
        <f t="shared" ca="1" si="241"/>
        <v>550.36350327868843</v>
      </c>
      <c r="L1232" s="55">
        <v>0</v>
      </c>
      <c r="M1232" s="113">
        <f>SUMIFS(График[Возврат основной суммы долга],График[Дата с учетом нерабочих дней],$A1232)</f>
        <v>0</v>
      </c>
      <c r="N1232" s="56">
        <f>SUMIFS(График[Возврат начисленных %],График[Дата с учетом нерабочих дней],$A1232)</f>
        <v>0</v>
      </c>
      <c r="O1232" s="101">
        <v>0</v>
      </c>
      <c r="P1232" s="100" cm="1">
        <f t="array" aca="1" ref="P1232" ca="1">MAX(IF(AA1231="Да",0,SUM(INDIRECT("M"&amp;(MAX(("Да"=AA$12:AA1231)*ROW(AA$12:AA1231)+1,ROW($P$12))&amp;":M"&amp;(ROW()))))-SUM(INDIRECT("W"&amp;(MAX(("Да"=AA$12:AA1231)*ROW(AA$12:AA1231)+1,ROW($P$12))&amp;":W"&amp;(ROW()))))),0)</f>
        <v>21893.109999999997</v>
      </c>
      <c r="Q1232" s="99">
        <f ca="1">MAX(SUM($N$13:N1232)-SUM($T$13:T1232),0)</f>
        <v>88179.590655737687</v>
      </c>
      <c r="R1232" s="99">
        <f ca="1">Первоначальный[[#This Row],[Просроченный платеж по ОД]]+Первоначальный[[#This Row],[Просроченный платеж по процентам]]</f>
        <v>110072.70065573769</v>
      </c>
      <c r="S1232" s="120">
        <f ca="1">IF(Первоначальный[[#This Row],[Просроченный платеж]]&lt;1,0,S1231+1)</f>
        <v>1128</v>
      </c>
      <c r="T1232" s="100" cm="1">
        <f t="array" aca="1" ref="T1232" ca="1">IF(Первоначальный[[#This Row],[Итого остаток на начало периода]]&lt;1,0,
IF(
AND(TYPE(VLOOKUP(1,$Z$12:Z1232,1,0))=16,Первоначальный[[#This Row],[Досрочное погашение (да/"")]]=""),0,
_xlfn.IFS(AND(S1231=0,Первоначальный[[#This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платеж]]&lt;&gt;0),MIN(LOOKUP(,-1/($Z$12:Z1232=1),$C$12:C1232)+LOOKUP(,-1/($Z$12:Z1232=1),$H$12:H1232),Первоначальный[[#This Row],[Полученный платеж]]+Y1231),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платеж]]+Y1231,SUM(Первоначальный[[#This Row],[Остаток процентов на начало периода]],Первоначальный[[#This Row],[Проценты за период]])),
AND(S1231=0,Первоначальный[[#This Row],[Дата платежа из графика]]=""),0,
AND(S1231=0,Первоначальный[[#This Row],[Дата платежа из графика]]=1,MAX((0&lt;&gt;S$12:S1231)*ROW(S$12:S1231),ROW($S$12))&gt;=MAX((1=Z$12:Z1231)*ROW(Z$12:Z1231),ROW($T$12)),TYPE(VLOOKUP("Да",(INDIRECT("AA"&amp;(MAX((1=Z$12:Z1231)*ROW(Z$12:Z1231),ROW($T$12))&amp;":AA"&amp;(ROW()-1)))),1,0))=16),MIN(LOOKUP(,-1/($Z$12:Z1232=1),$C$12:C1232)+LOOKUP(,-1/($Z$12:Z1232=1),$H$12:H1232),Первоначальный[[#This Row],[Полученный платеж]]+Y1231),
AND(S1231=0,TYPE(VLOOKUP("Да",(INDIRECT("AA"&amp;(MAX((1=Z$12:Z1231)*ROW(Z$12:Z1231),ROW($T$12))&amp;":AA"&amp;(ROW()-1)))),1,0))&lt;&gt;16),MIN(LOOKUP(,-1/($Z$12:Z1232=1),$C$12:C1232)+LOOKUP(,-1/($Z$12:Z1232=1),$H$12:H1232)-IF(AA1231="Да",0,SUM(INDIRECT("T"&amp;(MAX(("Да"=AA$12:AA1231)*ROW(AA$12:AA1231)+1,ROW($T$12))&amp;":T"&amp;(ROW()-1))))),Первоначальный[[#This Row],[Полученный платеж]]+Y1231),
AND(S1231=0,MAX((0&lt;&gt;N$12:N1231)*ROW(N$12:N1231),ROW($S$12))&gt;=MAX((1=Z$12:Z1231)*ROW(Z$12:Z1231),ROW($T$12))),MIN(LOOKUP(,-1/($Z$12:Z1232=1),$C$12:C1232)+LOOKUP(,-1/($Z$12:Z1232=1),$H$12:H1232)-IF(N1231&lt;&gt;0,0,SUM(INDIRECT("T"&amp;(MAX((0&lt;&gt;N$12:N1231)*ROW(N$12:N1231)+1,ROW($T$12))&amp;":T"&amp;(ROW()-1))))),Первоначальный[[#This Row],[Полученный платеж]]+Y1231),
AND(S1231=0,Первоначальный[[#This Row],[Дата платежа из графика]]=1),MIN(LOOKUP(,-1/($Z$12:Z1232=1),$C$12:C1232)+LOOKUP(,-1/($Z$12:Z1232=1),$H$12:H1232)-IF(Z1231=1,0,SUM(INDIRECT("T"&amp;(MAX((1=Z$12:Z1231)*ROW(Z$12:Z1231)+1,ROW($T$12))&amp;":T"&amp;(ROW()-1))))),Первоначальный[[#This Row],[Полученный платеж]]+Y1231),
AND(Z1231&gt;0,Первоначальный[[#This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платеж]]+Y1231),
AND(S1231&gt;0,MAX((0&lt;&gt;S$12:S1231)*ROW(S$12:S1231),ROW($S$12))&gt;=MAX((1=Z$12:Z1231)*ROW(Z$12:Z1231),ROW($T$12)),TYPE(VLOOKUP("Да",(INDIRECT("AA"&amp;(MAX((1=Z$12:Z1231)*ROW(Z$12:Z1231),ROW($T$12))&amp;":AA"&amp;(ROW()-1)))),1,0))=16),MIN(LOOKUP(,-1/($Z$12:Z1232=1),$C$12:C1232)+LOOKUP(,-1/($Z$12:Z1232=1),$H$12:H1232)-SUM(INDIRECT("T"&amp;(MAX((1=Z$12:Z1231)*ROW(Z$12:Z1231),ROW($T$12))&amp;":T"&amp;(ROW()-1)))),Первоначальный[[#This Row],[Полученный платеж]]+Y1231),
S1231&gt;0,MIN(LOOKUP(,-1/($Z$12:Z1232=1),$C$12:C1232)+LOOKUP(,-1/($Z$12:Z1232=1),$H$12:H1232)-IF(Z1231=1,0,SUM(INDIRECT("T"&amp;(MAX((1=Z$12:Z1231)*ROW(Z$12:Z1231)+1,ROW($T$12))&amp;":T"&amp;(ROW()-1))))),Первоначальный[[#This Row],[Полученный платеж]]+Y1231)
)
)
)</f>
        <v>0</v>
      </c>
      <c r="U123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платеж]]+Y1231-Первоначальный[[#This Row],[Полученный платёж по процентам]])</f>
        <v>0</v>
      </c>
      <c r="V1232" s="55">
        <f t="shared" ca="1" si="231"/>
        <v>0</v>
      </c>
      <c r="W1232" s="55" cm="1">
        <f t="array" aca="1" ref="W1232" ca="1">IF(Первоначальный[[#This Row],[Итого остаток на начало периода]]&lt;1,0,
_xlfn.IFS(
AND(TYPE(VLOOKUP(1,$Z$12:Z1232,1,0))=16,Первоначальный[[#This Row],[Досрочное погашение (да/"")]]=""),0,
AND(S1231=0,Первоначальный[[#This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платеж]]+Y1231-SUM(Первоначальный[[#This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комиссиям]]),VLOOKUP(LOOKUP(,-1/($Z$12:Z1232=1),$A$12:A1232),График[[Срок конец]:[Возврат основной суммы долга]],3,0)),
AND(S1231=0,Первоначальный[[#This Row],[Дата платежа из графика]]="",Первоначальный[[#This Row],[Досрочное погашение (да/"")]]&lt;&gt;"Да"),0,
AND(S1231=0,Первоначальный[[#This Row],[Досрочное погашение (да/"")]]=""),MIN(Первоначальный[[#This Row],[Полученный платеж]]+Y1231-SUM(Первоначальный[[#This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комиссиям]]),VLOOKUP(LOOKUP(,-1/($Z$12:Z1232=1),$A$12:A1232),График[[Срок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платеж]]+Y1231-SUM(Первоначальный[[#This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S1231&gt;0,MIN(Первоначальный[[#This Row],[Полученный платеж]]+Y1231-SUM(Первоначальный[[#This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комиссиям]]),SUM(INDIRECT("M"&amp;(MAX((1=S$12:S1231)*ROW(S$12:S1231),ROW($W$12))&amp;":M"&amp;(ROW()))))-SUM(INDIRECT("W"&amp;(MAX((1=S$12:S1231)*ROW(S$12:S1231),ROW($W$12))&amp;":W"&amp;(ROW()-1)))))
)
)</f>
        <v>0</v>
      </c>
      <c r="X1232" s="55">
        <f t="shared" ca="1" si="232"/>
        <v>0</v>
      </c>
      <c r="Y1232" s="101">
        <f t="shared" ca="1" si="239"/>
        <v>0</v>
      </c>
      <c r="Z1232" s="133" t="str">
        <f>IF(TYPE((VLOOKUP(Первоначальный[[#This Row],[Дата платежа]],График[Срок конец],1,0)))=16,"",1)</f>
        <v/>
      </c>
      <c r="AA1232" s="57"/>
      <c r="AB1232" s="134"/>
      <c r="AC123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3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88393.039999999964</v>
      </c>
      <c r="AE123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6047.9399999999914</v>
      </c>
      <c r="AF123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3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311569.76669836015</v>
      </c>
      <c r="AH1232" s="55"/>
      <c r="AI1232" s="55"/>
      <c r="AJ1232" s="55"/>
      <c r="AK1232" s="101">
        <f t="shared" ca="1" si="240"/>
        <v>555644.08669836004</v>
      </c>
      <c r="AL1232" s="129">
        <f t="array" ref="AL1232">MAX((УслРестрактов[Характеристика]="Дата реструктуризации")*(УслРестрактов[Значение]=Первоначальный!$A1232),0)</f>
        <v>0</v>
      </c>
    </row>
    <row r="1233" spans="1:38" x14ac:dyDescent="0.25">
      <c r="A1233" s="97">
        <f t="shared" si="233"/>
        <v>45364</v>
      </c>
      <c r="B1233" s="100">
        <f t="shared" ca="1" si="234"/>
        <v>149633.34</v>
      </c>
      <c r="C1233" s="55">
        <f t="shared" ca="1" si="230"/>
        <v>88393.039999999964</v>
      </c>
      <c r="D1233" s="55">
        <f t="shared" ca="1" si="230"/>
        <v>6047.9399999999914</v>
      </c>
      <c r="E1233" s="55">
        <f t="shared" ca="1" si="235"/>
        <v>0</v>
      </c>
      <c r="F1233" s="55">
        <f t="shared" ca="1" si="236"/>
        <v>311569.76669836015</v>
      </c>
      <c r="G1233" s="101">
        <f t="shared" ca="1" si="237"/>
        <v>555644.08669836004</v>
      </c>
      <c r="H1233" s="100">
        <f ca="1">ROUND($B1233*VLOOKUP($A1233,$A$1:$B$10,2,1)/(365+IF(MOD(YEAR($A1233),4),0,1)*($A1233-$A1232)),2)-Первоначальный[[#This Row],[Проценты на просроченный платеж по ОД за период]]</f>
        <v>69.459999999999994</v>
      </c>
      <c r="I1233" s="55">
        <f t="shared" ca="1" si="238"/>
        <v>11.9</v>
      </c>
      <c r="J1233" s="55">
        <v>0</v>
      </c>
      <c r="K1233" s="55">
        <f t="shared" ca="1" si="241"/>
        <v>550.36350327868843</v>
      </c>
      <c r="L1233" s="55">
        <v>0</v>
      </c>
      <c r="M1233" s="113">
        <f>SUMIFS(График[Возврат основной суммы долга],График[Дата с учетом нерабочих дней],$A1233)</f>
        <v>0</v>
      </c>
      <c r="N1233" s="56">
        <f>SUMIFS(График[Возврат начисленных %],График[Дата с учетом нерабочих дней],$A1233)</f>
        <v>0</v>
      </c>
      <c r="O1233" s="101">
        <v>0</v>
      </c>
      <c r="P1233" s="100" cm="1">
        <f t="array" aca="1" ref="P1233" ca="1">MAX(IF(AA1232="Да",0,SUM(INDIRECT("M"&amp;(MAX(("Да"=AA$12:AA1232)*ROW(AA$12:AA1232)+1,ROW($P$12))&amp;":M"&amp;(ROW()))))-SUM(INDIRECT("W"&amp;(MAX(("Да"=AA$12:AA1232)*ROW(AA$12:AA1232)+1,ROW($P$12))&amp;":W"&amp;(ROW()))))),0)</f>
        <v>21893.109999999997</v>
      </c>
      <c r="Q1233" s="99">
        <f ca="1">MAX(SUM($N$13:N1233)-SUM($T$13:T1233),0)</f>
        <v>88179.590655737687</v>
      </c>
      <c r="R1233" s="99">
        <f ca="1">Первоначальный[[#This Row],[Просроченный платеж по ОД]]+Первоначальный[[#This Row],[Просроченный платеж по процентам]]</f>
        <v>110072.70065573769</v>
      </c>
      <c r="S1233" s="120">
        <f ca="1">IF(Первоначальный[[#This Row],[Просроченный платеж]]&lt;1,0,S1232+1)</f>
        <v>1129</v>
      </c>
      <c r="T1233" s="100" cm="1">
        <f t="array" aca="1" ref="T1233" ca="1">IF(Первоначальный[[#This Row],[Итого остаток на начало периода]]&lt;1,0,
IF(
AND(TYPE(VLOOKUP(1,$Z$12:Z1233,1,0))=16,Первоначальный[[#This Row],[Досрочное погашение (да/"")]]=""),0,
_xlfn.IFS(AND(S1232=0,Первоначальный[[#This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платеж]]&lt;&gt;0),MIN(LOOKUP(,-1/($Z$12:Z1233=1),$C$12:C1233)+LOOKUP(,-1/($Z$12:Z1233=1),$H$12:H1233),Первоначальный[[#This Row],[Полученный платеж]]+Y1232),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платеж]]+Y1232,SUM(Первоначальный[[#This Row],[Остаток процентов на начало периода]],Первоначальный[[#This Row],[Проценты за период]])),
AND(S1232=0,Первоначальный[[#This Row],[Дата платежа из графика]]=""),0,
AND(S1232=0,Первоначальный[[#This Row],[Дата платежа из графика]]=1,MAX((0&lt;&gt;S$12:S1232)*ROW(S$12:S1232),ROW($S$12))&gt;=MAX((1=Z$12:Z1232)*ROW(Z$12:Z1232),ROW($T$12)),TYPE(VLOOKUP("Да",(INDIRECT("AA"&amp;(MAX((1=Z$12:Z1232)*ROW(Z$12:Z1232),ROW($T$12))&amp;":AA"&amp;(ROW()-1)))),1,0))=16),MIN(LOOKUP(,-1/($Z$12:Z1233=1),$C$12:C1233)+LOOKUP(,-1/($Z$12:Z1233=1),$H$12:H1233),Первоначальный[[#This Row],[Полученный платеж]]+Y1232),
AND(S1232=0,TYPE(VLOOKUP("Да",(INDIRECT("AA"&amp;(MAX((1=Z$12:Z1232)*ROW(Z$12:Z1232),ROW($T$12))&amp;":AA"&amp;(ROW()-1)))),1,0))&lt;&gt;16),MIN(LOOKUP(,-1/($Z$12:Z1233=1),$C$12:C1233)+LOOKUP(,-1/($Z$12:Z1233=1),$H$12:H1233)-IF(AA1232="Да",0,SUM(INDIRECT("T"&amp;(MAX(("Да"=AA$12:AA1232)*ROW(AA$12:AA1232)+1,ROW($T$12))&amp;":T"&amp;(ROW()-1))))),Первоначальный[[#This Row],[Полученный платеж]]+Y1232),
AND(S1232=0,MAX((0&lt;&gt;N$12:N1232)*ROW(N$12:N1232),ROW($S$12))&gt;=MAX((1=Z$12:Z1232)*ROW(Z$12:Z1232),ROW($T$12))),MIN(LOOKUP(,-1/($Z$12:Z1233=1),$C$12:C1233)+LOOKUP(,-1/($Z$12:Z1233=1),$H$12:H1233)-IF(N1232&lt;&gt;0,0,SUM(INDIRECT("T"&amp;(MAX((0&lt;&gt;N$12:N1232)*ROW(N$12:N1232)+1,ROW($T$12))&amp;":T"&amp;(ROW()-1))))),Первоначальный[[#This Row],[Полученный платеж]]+Y1232),
AND(S1232=0,Первоначальный[[#This Row],[Дата платежа из графика]]=1),MIN(LOOKUP(,-1/($Z$12:Z1233=1),$C$12:C1233)+LOOKUP(,-1/($Z$12:Z1233=1),$H$12:H1233)-IF(Z1232=1,0,SUM(INDIRECT("T"&amp;(MAX((1=Z$12:Z1232)*ROW(Z$12:Z1232)+1,ROW($T$12))&amp;":T"&amp;(ROW()-1))))),Первоначальный[[#This Row],[Полученный платеж]]+Y1232),
AND(Z1232&gt;0,Первоначальный[[#This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платеж]]+Y1232),
AND(S1232&gt;0,MAX((0&lt;&gt;S$12:S1232)*ROW(S$12:S1232),ROW($S$12))&gt;=MAX((1=Z$12:Z1232)*ROW(Z$12:Z1232),ROW($T$12)),TYPE(VLOOKUP("Да",(INDIRECT("AA"&amp;(MAX((1=Z$12:Z1232)*ROW(Z$12:Z1232),ROW($T$12))&amp;":AA"&amp;(ROW()-1)))),1,0))=16),MIN(LOOKUP(,-1/($Z$12:Z1233=1),$C$12:C1233)+LOOKUP(,-1/($Z$12:Z1233=1),$H$12:H1233)-SUM(INDIRECT("T"&amp;(MAX((1=Z$12:Z1232)*ROW(Z$12:Z1232),ROW($T$12))&amp;":T"&amp;(ROW()-1)))),Первоначальный[[#This Row],[Полученный платеж]]+Y1232),
S1232&gt;0,MIN(LOOKUP(,-1/($Z$12:Z1233=1),$C$12:C1233)+LOOKUP(,-1/($Z$12:Z1233=1),$H$12:H1233)-IF(Z1232=1,0,SUM(INDIRECT("T"&amp;(MAX((1=Z$12:Z1232)*ROW(Z$12:Z1232)+1,ROW($T$12))&amp;":T"&amp;(ROW()-1))))),Первоначальный[[#This Row],[Полученный платеж]]+Y1232)
)
)
)</f>
        <v>0</v>
      </c>
      <c r="U123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платеж]]+Y1232-Первоначальный[[#This Row],[Полученный платёж по процентам]])</f>
        <v>0</v>
      </c>
      <c r="V1233" s="55">
        <f t="shared" ca="1" si="231"/>
        <v>0</v>
      </c>
      <c r="W1233" s="55" cm="1">
        <f t="array" aca="1" ref="W1233" ca="1">IF(Первоначальный[[#This Row],[Итого остаток на начало периода]]&lt;1,0,
_xlfn.IFS(
AND(TYPE(VLOOKUP(1,$Z$12:Z1233,1,0))=16,Первоначальный[[#This Row],[Досрочное погашение (да/"")]]=""),0,
AND(S1232=0,Первоначальный[[#This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платеж]]+Y1232-SUM(Первоначальный[[#This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комиссиям]]),VLOOKUP(LOOKUP(,-1/($Z$12:Z1233=1),$A$12:A1233),График[[Срок конец]:[Возврат основной суммы долга]],3,0)),
AND(S1232=0,Первоначальный[[#This Row],[Дата платежа из графика]]="",Первоначальный[[#This Row],[Досрочное погашение (да/"")]]&lt;&gt;"Да"),0,
AND(S1232=0,Первоначальный[[#This Row],[Досрочное погашение (да/"")]]=""),MIN(Первоначальный[[#This Row],[Полученный платеж]]+Y1232-SUM(Первоначальный[[#This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комиссиям]]),VLOOKUP(LOOKUP(,-1/($Z$12:Z1233=1),$A$12:A1233),График[[Срок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платеж]]+Y1232-SUM(Первоначальный[[#This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S1232&gt;0,MIN(Первоначальный[[#This Row],[Полученный платеж]]+Y1232-SUM(Первоначальный[[#This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комиссиям]]),SUM(INDIRECT("M"&amp;(MAX((1=S$12:S1232)*ROW(S$12:S1232),ROW($W$12))&amp;":M"&amp;(ROW()))))-SUM(INDIRECT("W"&amp;(MAX((1=S$12:S1232)*ROW(S$12:S1232),ROW($W$12))&amp;":W"&amp;(ROW()-1)))))
)
)</f>
        <v>0</v>
      </c>
      <c r="X1233" s="55">
        <f t="shared" ca="1" si="232"/>
        <v>0</v>
      </c>
      <c r="Y1233" s="101">
        <f t="shared" ca="1" si="239"/>
        <v>0</v>
      </c>
      <c r="Z1233" s="133" t="str">
        <f>IF(TYPE((VLOOKUP(Первоначальный[[#This Row],[Дата платежа]],График[Срок конец],1,0)))=16,"",1)</f>
        <v/>
      </c>
      <c r="AA1233" s="57"/>
      <c r="AB1233" s="134"/>
      <c r="AC123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3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88462.499999999971</v>
      </c>
      <c r="AE123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6059.8399999999911</v>
      </c>
      <c r="AF123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3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312120.13020163885</v>
      </c>
      <c r="AH1233" s="55"/>
      <c r="AI1233" s="55"/>
      <c r="AJ1233" s="55"/>
      <c r="AK1233" s="101">
        <f t="shared" ca="1" si="240"/>
        <v>556275.81020163884</v>
      </c>
      <c r="AL1233" s="129">
        <f t="array" ref="AL1233">MAX((УслРестрактов[Характеристика]="Дата реструктуризации")*(УслРестрактов[Значение]=Первоначальный!$A1233),0)</f>
        <v>0</v>
      </c>
    </row>
    <row r="1234" spans="1:38" x14ac:dyDescent="0.25">
      <c r="A1234" s="97">
        <f t="shared" si="233"/>
        <v>45365</v>
      </c>
      <c r="B1234" s="100">
        <f t="shared" ca="1" si="234"/>
        <v>149633.34</v>
      </c>
      <c r="C1234" s="55">
        <f t="shared" ca="1" si="230"/>
        <v>88462.499999999971</v>
      </c>
      <c r="D1234" s="55">
        <f t="shared" ca="1" si="230"/>
        <v>6059.8399999999911</v>
      </c>
      <c r="E1234" s="55">
        <f t="shared" ca="1" si="235"/>
        <v>0</v>
      </c>
      <c r="F1234" s="55">
        <f t="shared" ca="1" si="236"/>
        <v>312120.13020163885</v>
      </c>
      <c r="G1234" s="101">
        <f t="shared" ca="1" si="237"/>
        <v>556275.81020163884</v>
      </c>
      <c r="H1234" s="100">
        <f ca="1">ROUND($B1234*VLOOKUP($A1234,$A$1:$B$10,2,1)/(365+IF(MOD(YEAR($A1234),4),0,1)*($A1234-$A1233)),2)-Первоначальный[[#This Row],[Проценты на просроченный платеж по ОД за период]]</f>
        <v>69.459999999999994</v>
      </c>
      <c r="I1234" s="55">
        <f t="shared" ca="1" si="238"/>
        <v>11.9</v>
      </c>
      <c r="J1234" s="55">
        <v>0</v>
      </c>
      <c r="K1234" s="55">
        <f t="shared" ca="1" si="241"/>
        <v>550.36350327868843</v>
      </c>
      <c r="L1234" s="55">
        <v>0</v>
      </c>
      <c r="M1234" s="113">
        <f>SUMIFS(График[Возврат основной суммы долга],График[Дата с учетом нерабочих дней],$A1234)</f>
        <v>0</v>
      </c>
      <c r="N1234" s="56">
        <f>SUMIFS(График[Возврат начисленных %],График[Дата с учетом нерабочих дней],$A1234)</f>
        <v>0</v>
      </c>
      <c r="O1234" s="101">
        <v>0</v>
      </c>
      <c r="P1234" s="100" cm="1">
        <f t="array" aca="1" ref="P1234" ca="1">MAX(IF(AA1233="Да",0,SUM(INDIRECT("M"&amp;(MAX(("Да"=AA$12:AA1233)*ROW(AA$12:AA1233)+1,ROW($P$12))&amp;":M"&amp;(ROW()))))-SUM(INDIRECT("W"&amp;(MAX(("Да"=AA$12:AA1233)*ROW(AA$12:AA1233)+1,ROW($P$12))&amp;":W"&amp;(ROW()))))),0)</f>
        <v>21893.109999999997</v>
      </c>
      <c r="Q1234" s="99">
        <f ca="1">MAX(SUM($N$13:N1234)-SUM($T$13:T1234),0)</f>
        <v>88179.590655737687</v>
      </c>
      <c r="R1234" s="99">
        <f ca="1">Первоначальный[[#This Row],[Просроченный платеж по ОД]]+Первоначальный[[#This Row],[Просроченный платеж по процентам]]</f>
        <v>110072.70065573769</v>
      </c>
      <c r="S1234" s="120">
        <f ca="1">IF(Первоначальный[[#This Row],[Просроченный платеж]]&lt;1,0,S1233+1)</f>
        <v>1130</v>
      </c>
      <c r="T1234" s="100" cm="1">
        <f t="array" aca="1" ref="T1234" ca="1">IF(Первоначальный[[#This Row],[Итого остаток на начало периода]]&lt;1,0,
IF(
AND(TYPE(VLOOKUP(1,$Z$12:Z1234,1,0))=16,Первоначальный[[#This Row],[Досрочное погашение (да/"")]]=""),0,
_xlfn.IFS(AND(S1233=0,Первоначальный[[#This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платеж]]&lt;&gt;0),MIN(LOOKUP(,-1/($Z$12:Z1234=1),$C$12:C1234)+LOOKUP(,-1/($Z$12:Z1234=1),$H$12:H1234),Первоначальный[[#This Row],[Полученный платеж]]+Y1233),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платеж]]+Y1233,SUM(Первоначальный[[#This Row],[Остаток процентов на начало периода]],Первоначальный[[#This Row],[Проценты за период]])),
AND(S1233=0,Первоначальный[[#This Row],[Дата платежа из графика]]=""),0,
AND(S1233=0,Первоначальный[[#This Row],[Дата платежа из графика]]=1,MAX((0&lt;&gt;S$12:S1233)*ROW(S$12:S1233),ROW($S$12))&gt;=MAX((1=Z$12:Z1233)*ROW(Z$12:Z1233),ROW($T$12)),TYPE(VLOOKUP("Да",(INDIRECT("AA"&amp;(MAX((1=Z$12:Z1233)*ROW(Z$12:Z1233),ROW($T$12))&amp;":AA"&amp;(ROW()-1)))),1,0))=16),MIN(LOOKUP(,-1/($Z$12:Z1234=1),$C$12:C1234)+LOOKUP(,-1/($Z$12:Z1234=1),$H$12:H1234),Первоначальный[[#This Row],[Полученный платеж]]+Y1233),
AND(S1233=0,TYPE(VLOOKUP("Да",(INDIRECT("AA"&amp;(MAX((1=Z$12:Z1233)*ROW(Z$12:Z1233),ROW($T$12))&amp;":AA"&amp;(ROW()-1)))),1,0))&lt;&gt;16),MIN(LOOKUP(,-1/($Z$12:Z1234=1),$C$12:C1234)+LOOKUP(,-1/($Z$12:Z1234=1),$H$12:H1234)-IF(AA1233="Да",0,SUM(INDIRECT("T"&amp;(MAX(("Да"=AA$12:AA1233)*ROW(AA$12:AA1233)+1,ROW($T$12))&amp;":T"&amp;(ROW()-1))))),Первоначальный[[#This Row],[Полученный платеж]]+Y1233),
AND(S1233=0,MAX((0&lt;&gt;N$12:N1233)*ROW(N$12:N1233),ROW($S$12))&gt;=MAX((1=Z$12:Z1233)*ROW(Z$12:Z1233),ROW($T$12))),MIN(LOOKUP(,-1/($Z$12:Z1234=1),$C$12:C1234)+LOOKUP(,-1/($Z$12:Z1234=1),$H$12:H1234)-IF(N1233&lt;&gt;0,0,SUM(INDIRECT("T"&amp;(MAX((0&lt;&gt;N$12:N1233)*ROW(N$12:N1233)+1,ROW($T$12))&amp;":T"&amp;(ROW()-1))))),Первоначальный[[#This Row],[Полученный платеж]]+Y1233),
AND(S1233=0,Первоначальный[[#This Row],[Дата платежа из графика]]=1),MIN(LOOKUP(,-1/($Z$12:Z1234=1),$C$12:C1234)+LOOKUP(,-1/($Z$12:Z1234=1),$H$12:H1234)-IF(Z1233=1,0,SUM(INDIRECT("T"&amp;(MAX((1=Z$12:Z1233)*ROW(Z$12:Z1233)+1,ROW($T$12))&amp;":T"&amp;(ROW()-1))))),Первоначальный[[#This Row],[Полученный платеж]]+Y1233),
AND(Z1233&gt;0,Первоначальный[[#This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платеж]]+Y1233),
AND(S1233&gt;0,MAX((0&lt;&gt;S$12:S1233)*ROW(S$12:S1233),ROW($S$12))&gt;=MAX((1=Z$12:Z1233)*ROW(Z$12:Z1233),ROW($T$12)),TYPE(VLOOKUP("Да",(INDIRECT("AA"&amp;(MAX((1=Z$12:Z1233)*ROW(Z$12:Z1233),ROW($T$12))&amp;":AA"&amp;(ROW()-1)))),1,0))=16),MIN(LOOKUP(,-1/($Z$12:Z1234=1),$C$12:C1234)+LOOKUP(,-1/($Z$12:Z1234=1),$H$12:H1234)-SUM(INDIRECT("T"&amp;(MAX((1=Z$12:Z1233)*ROW(Z$12:Z1233),ROW($T$12))&amp;":T"&amp;(ROW()-1)))),Первоначальный[[#This Row],[Полученный платеж]]+Y1233),
S1233&gt;0,MIN(LOOKUP(,-1/($Z$12:Z1234=1),$C$12:C1234)+LOOKUP(,-1/($Z$12:Z1234=1),$H$12:H1234)-IF(Z1233=1,0,SUM(INDIRECT("T"&amp;(MAX((1=Z$12:Z1233)*ROW(Z$12:Z1233)+1,ROW($T$12))&amp;":T"&amp;(ROW()-1))))),Первоначальный[[#This Row],[Полученный платеж]]+Y1233)
)
)
)</f>
        <v>0</v>
      </c>
      <c r="U123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платеж]]+Y1233-Первоначальный[[#This Row],[Полученный платёж по процентам]])</f>
        <v>0</v>
      </c>
      <c r="V1234" s="55">
        <f t="shared" ca="1" si="231"/>
        <v>0</v>
      </c>
      <c r="W1234" s="55" cm="1">
        <f t="array" aca="1" ref="W1234" ca="1">IF(Первоначальный[[#This Row],[Итого остаток на начало периода]]&lt;1,0,
_xlfn.IFS(
AND(TYPE(VLOOKUP(1,$Z$12:Z1234,1,0))=16,Первоначальный[[#This Row],[Досрочное погашение (да/"")]]=""),0,
AND(S1233=0,Первоначальный[[#This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платеж]]+Y1233-SUM(Первоначальный[[#This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комиссиям]]),VLOOKUP(LOOKUP(,-1/($Z$12:Z1234=1),$A$12:A1234),График[[Срок конец]:[Возврат основной суммы долга]],3,0)),
AND(S1233=0,Первоначальный[[#This Row],[Дата платежа из графика]]="",Первоначальный[[#This Row],[Досрочное погашение (да/"")]]&lt;&gt;"Да"),0,
AND(S1233=0,Первоначальный[[#This Row],[Досрочное погашение (да/"")]]=""),MIN(Первоначальный[[#This Row],[Полученный платеж]]+Y1233-SUM(Первоначальный[[#This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комиссиям]]),VLOOKUP(LOOKUP(,-1/($Z$12:Z1234=1),$A$12:A1234),График[[Срок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платеж]]+Y1233-SUM(Первоначальный[[#This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S1233&gt;0,MIN(Первоначальный[[#This Row],[Полученный платеж]]+Y1233-SUM(Первоначальный[[#This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комиссиям]]),SUM(INDIRECT("M"&amp;(MAX((1=S$12:S1233)*ROW(S$12:S1233),ROW($W$12))&amp;":M"&amp;(ROW()))))-SUM(INDIRECT("W"&amp;(MAX((1=S$12:S1233)*ROW(S$12:S1233),ROW($W$12))&amp;":W"&amp;(ROW()-1)))))
)
)</f>
        <v>0</v>
      </c>
      <c r="X1234" s="55">
        <f t="shared" ca="1" si="232"/>
        <v>0</v>
      </c>
      <c r="Y1234" s="101">
        <f t="shared" ca="1" si="239"/>
        <v>0</v>
      </c>
      <c r="Z1234" s="133" t="str">
        <f>IF(TYPE((VLOOKUP(Первоначальный[[#This Row],[Дата платежа]],График[Срок конец],1,0)))=16,"",1)</f>
        <v/>
      </c>
      <c r="AA1234" s="57"/>
      <c r="AB1234" s="134"/>
      <c r="AC123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3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88531.959999999977</v>
      </c>
      <c r="AE123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6071.7399999999907</v>
      </c>
      <c r="AF123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3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312670.49370491755</v>
      </c>
      <c r="AH1234" s="55"/>
      <c r="AI1234" s="55"/>
      <c r="AJ1234" s="55"/>
      <c r="AK1234" s="101">
        <f t="shared" ca="1" si="240"/>
        <v>556907.53370491753</v>
      </c>
      <c r="AL1234" s="129">
        <f t="array" ref="AL1234">MAX((УслРестрактов[Характеристика]="Дата реструктуризации")*(УслРестрактов[Значение]=Первоначальный!$A1234),0)</f>
        <v>0</v>
      </c>
    </row>
    <row r="1235" spans="1:38" x14ac:dyDescent="0.25">
      <c r="A1235" s="97">
        <f t="shared" si="233"/>
        <v>45366</v>
      </c>
      <c r="B1235" s="100">
        <f t="shared" ca="1" si="234"/>
        <v>149633.34</v>
      </c>
      <c r="C1235" s="55">
        <f t="shared" ca="1" si="230"/>
        <v>88531.959999999977</v>
      </c>
      <c r="D1235" s="55">
        <f t="shared" ca="1" si="230"/>
        <v>6071.7399999999907</v>
      </c>
      <c r="E1235" s="55">
        <f t="shared" ca="1" si="235"/>
        <v>0</v>
      </c>
      <c r="F1235" s="55">
        <f t="shared" ca="1" si="236"/>
        <v>312670.49370491755</v>
      </c>
      <c r="G1235" s="101">
        <f t="shared" ca="1" si="237"/>
        <v>556907.53370491753</v>
      </c>
      <c r="H1235" s="100">
        <f ca="1">ROUND($B1235*VLOOKUP($A1235,$A$1:$B$10,2,1)/(365+IF(MOD(YEAR($A1235),4),0,1)*($A1235-$A1234)),2)-Первоначальный[[#This Row],[Проценты на просроченный платеж по ОД за период]]</f>
        <v>69.459999999999994</v>
      </c>
      <c r="I1235" s="55">
        <f t="shared" ca="1" si="238"/>
        <v>11.9</v>
      </c>
      <c r="J1235" s="55">
        <v>0</v>
      </c>
      <c r="K1235" s="55">
        <f t="shared" ca="1" si="241"/>
        <v>550.36350327868843</v>
      </c>
      <c r="L1235" s="55">
        <v>0</v>
      </c>
      <c r="M1235" s="113">
        <f>SUMIFS(График[Возврат основной суммы долга],График[Дата с учетом нерабочих дней],$A1235)</f>
        <v>0</v>
      </c>
      <c r="N1235" s="56">
        <f>SUMIFS(График[Возврат начисленных %],График[Дата с учетом нерабочих дней],$A1235)</f>
        <v>0</v>
      </c>
      <c r="O1235" s="101">
        <v>0</v>
      </c>
      <c r="P1235" s="100" cm="1">
        <f t="array" aca="1" ref="P1235" ca="1">MAX(IF(AA1234="Да",0,SUM(INDIRECT("M"&amp;(MAX(("Да"=AA$12:AA1234)*ROW(AA$12:AA1234)+1,ROW($P$12))&amp;":M"&amp;(ROW()))))-SUM(INDIRECT("W"&amp;(MAX(("Да"=AA$12:AA1234)*ROW(AA$12:AA1234)+1,ROW($P$12))&amp;":W"&amp;(ROW()))))),0)</f>
        <v>21893.109999999997</v>
      </c>
      <c r="Q1235" s="99">
        <f ca="1">MAX(SUM($N$13:N1235)-SUM($T$13:T1235),0)</f>
        <v>88179.590655737687</v>
      </c>
      <c r="R1235" s="99">
        <f ca="1">Первоначальный[[#This Row],[Просроченный платеж по ОД]]+Первоначальный[[#This Row],[Просроченный платеж по процентам]]</f>
        <v>110072.70065573769</v>
      </c>
      <c r="S1235" s="120">
        <f ca="1">IF(Первоначальный[[#This Row],[Просроченный платеж]]&lt;1,0,S1234+1)</f>
        <v>1131</v>
      </c>
      <c r="T1235" s="100" cm="1">
        <f t="array" aca="1" ref="T1235" ca="1">IF(Первоначальный[[#This Row],[Итого остаток на начало периода]]&lt;1,0,
IF(
AND(TYPE(VLOOKUP(1,$Z$12:Z1235,1,0))=16,Первоначальный[[#This Row],[Досрочное погашение (да/"")]]=""),0,
_xlfn.IFS(AND(S1234=0,Первоначальный[[#This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платеж]]&lt;&gt;0),MIN(LOOKUP(,-1/($Z$12:Z1235=1),$C$12:C1235)+LOOKUP(,-1/($Z$12:Z1235=1),$H$12:H1235),Первоначальный[[#This Row],[Полученный платеж]]+Y1234),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платеж]]+Y1234,SUM(Первоначальный[[#This Row],[Остаток процентов на начало периода]],Первоначальный[[#This Row],[Проценты за период]])),
AND(S1234=0,Первоначальный[[#This Row],[Дата платежа из графика]]=""),0,
AND(S1234=0,Первоначальный[[#This Row],[Дата платежа из графика]]=1,MAX((0&lt;&gt;S$12:S1234)*ROW(S$12:S1234),ROW($S$12))&gt;=MAX((1=Z$12:Z1234)*ROW(Z$12:Z1234),ROW($T$12)),TYPE(VLOOKUP("Да",(INDIRECT("AA"&amp;(MAX((1=Z$12:Z1234)*ROW(Z$12:Z1234),ROW($T$12))&amp;":AA"&amp;(ROW()-1)))),1,0))=16),MIN(LOOKUP(,-1/($Z$12:Z1235=1),$C$12:C1235)+LOOKUP(,-1/($Z$12:Z1235=1),$H$12:H1235),Первоначальный[[#This Row],[Полученный платеж]]+Y1234),
AND(S1234=0,TYPE(VLOOKUP("Да",(INDIRECT("AA"&amp;(MAX((1=Z$12:Z1234)*ROW(Z$12:Z1234),ROW($T$12))&amp;":AA"&amp;(ROW()-1)))),1,0))&lt;&gt;16),MIN(LOOKUP(,-1/($Z$12:Z1235=1),$C$12:C1235)+LOOKUP(,-1/($Z$12:Z1235=1),$H$12:H1235)-IF(AA1234="Да",0,SUM(INDIRECT("T"&amp;(MAX(("Да"=AA$12:AA1234)*ROW(AA$12:AA1234)+1,ROW($T$12))&amp;":T"&amp;(ROW()-1))))),Первоначальный[[#This Row],[Полученный платеж]]+Y1234),
AND(S1234=0,MAX((0&lt;&gt;N$12:N1234)*ROW(N$12:N1234),ROW($S$12))&gt;=MAX((1=Z$12:Z1234)*ROW(Z$12:Z1234),ROW($T$12))),MIN(LOOKUP(,-1/($Z$12:Z1235=1),$C$12:C1235)+LOOKUP(,-1/($Z$12:Z1235=1),$H$12:H1235)-IF(N1234&lt;&gt;0,0,SUM(INDIRECT("T"&amp;(MAX((0&lt;&gt;N$12:N1234)*ROW(N$12:N1234)+1,ROW($T$12))&amp;":T"&amp;(ROW()-1))))),Первоначальный[[#This Row],[Полученный платеж]]+Y1234),
AND(S1234=0,Первоначальный[[#This Row],[Дата платежа из графика]]=1),MIN(LOOKUP(,-1/($Z$12:Z1235=1),$C$12:C1235)+LOOKUP(,-1/($Z$12:Z1235=1),$H$12:H1235)-IF(Z1234=1,0,SUM(INDIRECT("T"&amp;(MAX((1=Z$12:Z1234)*ROW(Z$12:Z1234)+1,ROW($T$12))&amp;":T"&amp;(ROW()-1))))),Первоначальный[[#This Row],[Полученный платеж]]+Y1234),
AND(Z1234&gt;0,Первоначальный[[#This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платеж]]+Y1234),
AND(S1234&gt;0,MAX((0&lt;&gt;S$12:S1234)*ROW(S$12:S1234),ROW($S$12))&gt;=MAX((1=Z$12:Z1234)*ROW(Z$12:Z1234),ROW($T$12)),TYPE(VLOOKUP("Да",(INDIRECT("AA"&amp;(MAX((1=Z$12:Z1234)*ROW(Z$12:Z1234),ROW($T$12))&amp;":AA"&amp;(ROW()-1)))),1,0))=16),MIN(LOOKUP(,-1/($Z$12:Z1235=1),$C$12:C1235)+LOOKUP(,-1/($Z$12:Z1235=1),$H$12:H1235)-SUM(INDIRECT("T"&amp;(MAX((1=Z$12:Z1234)*ROW(Z$12:Z1234),ROW($T$12))&amp;":T"&amp;(ROW()-1)))),Первоначальный[[#This Row],[Полученный платеж]]+Y1234),
S1234&gt;0,MIN(LOOKUP(,-1/($Z$12:Z1235=1),$C$12:C1235)+LOOKUP(,-1/($Z$12:Z1235=1),$H$12:H1235)-IF(Z1234=1,0,SUM(INDIRECT("T"&amp;(MAX((1=Z$12:Z1234)*ROW(Z$12:Z1234)+1,ROW($T$12))&amp;":T"&amp;(ROW()-1))))),Первоначальный[[#This Row],[Полученный платеж]]+Y1234)
)
)
)</f>
        <v>0</v>
      </c>
      <c r="U123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платеж]]+Y1234-Первоначальный[[#This Row],[Полученный платёж по процентам]])</f>
        <v>0</v>
      </c>
      <c r="V1235" s="55">
        <f t="shared" ca="1" si="231"/>
        <v>0</v>
      </c>
      <c r="W1235" s="55" cm="1">
        <f t="array" aca="1" ref="W1235" ca="1">IF(Первоначальный[[#This Row],[Итого остаток на начало периода]]&lt;1,0,
_xlfn.IFS(
AND(TYPE(VLOOKUP(1,$Z$12:Z1235,1,0))=16,Первоначальный[[#This Row],[Досрочное погашение (да/"")]]=""),0,
AND(S1234=0,Первоначальный[[#This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платеж]]+Y1234-SUM(Первоначальный[[#This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комиссиям]]),VLOOKUP(LOOKUP(,-1/($Z$12:Z1235=1),$A$12:A1235),График[[Срок конец]:[Возврат основной суммы долга]],3,0)),
AND(S1234=0,Первоначальный[[#This Row],[Дата платежа из графика]]="",Первоначальный[[#This Row],[Досрочное погашение (да/"")]]&lt;&gt;"Да"),0,
AND(S1234=0,Первоначальный[[#This Row],[Досрочное погашение (да/"")]]=""),MIN(Первоначальный[[#This Row],[Полученный платеж]]+Y1234-SUM(Первоначальный[[#This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комиссиям]]),VLOOKUP(LOOKUP(,-1/($Z$12:Z1235=1),$A$12:A1235),График[[Срок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платеж]]+Y1234-SUM(Первоначальный[[#This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S1234&gt;0,MIN(Первоначальный[[#This Row],[Полученный платеж]]+Y1234-SUM(Первоначальный[[#This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комиссиям]]),SUM(INDIRECT("M"&amp;(MAX((1=S$12:S1234)*ROW(S$12:S1234),ROW($W$12))&amp;":M"&amp;(ROW()))))-SUM(INDIRECT("W"&amp;(MAX((1=S$12:S1234)*ROW(S$12:S1234),ROW($W$12))&amp;":W"&amp;(ROW()-1)))))
)
)</f>
        <v>0</v>
      </c>
      <c r="X1235" s="55">
        <f t="shared" ca="1" si="232"/>
        <v>0</v>
      </c>
      <c r="Y1235" s="101">
        <f t="shared" ca="1" si="239"/>
        <v>0</v>
      </c>
      <c r="Z1235" s="133" t="str">
        <f>IF(TYPE((VLOOKUP(Первоначальный[[#This Row],[Дата платежа]],График[Срок конец],1,0)))=16,"",1)</f>
        <v/>
      </c>
      <c r="AA1235" s="57"/>
      <c r="AB1235" s="134"/>
      <c r="AC123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3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88601.419999999984</v>
      </c>
      <c r="AE123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6083.6399999999903</v>
      </c>
      <c r="AF123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3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313220.85720819625</v>
      </c>
      <c r="AH1235" s="55"/>
      <c r="AI1235" s="55"/>
      <c r="AJ1235" s="55"/>
      <c r="AK1235" s="101">
        <f t="shared" ca="1" si="240"/>
        <v>557539.25720819621</v>
      </c>
      <c r="AL1235" s="129">
        <f t="array" ref="AL1235">MAX((УслРестрактов[Характеристика]="Дата реструктуризации")*(УслРестрактов[Значение]=Первоначальный!$A1235),0)</f>
        <v>0</v>
      </c>
    </row>
    <row r="1236" spans="1:38" x14ac:dyDescent="0.25">
      <c r="A1236" s="97">
        <f t="shared" si="233"/>
        <v>45367</v>
      </c>
      <c r="B1236" s="100">
        <f t="shared" ca="1" si="234"/>
        <v>149633.34</v>
      </c>
      <c r="C1236" s="55">
        <f t="shared" ca="1" si="230"/>
        <v>88601.419999999984</v>
      </c>
      <c r="D1236" s="55">
        <f t="shared" ca="1" si="230"/>
        <v>6083.6399999999903</v>
      </c>
      <c r="E1236" s="55">
        <f t="shared" ca="1" si="235"/>
        <v>0</v>
      </c>
      <c r="F1236" s="55">
        <f t="shared" ca="1" si="236"/>
        <v>313220.85720819625</v>
      </c>
      <c r="G1236" s="101">
        <f t="shared" ca="1" si="237"/>
        <v>557539.25720819621</v>
      </c>
      <c r="H1236" s="100">
        <f ca="1">ROUND($B1236*VLOOKUP($A1236,$A$1:$B$10,2,1)/(365+IF(MOD(YEAR($A1236),4),0,1)*($A1236-$A1235)),2)-Первоначальный[[#This Row],[Проценты на просроченный платеж по ОД за период]]</f>
        <v>69.459999999999994</v>
      </c>
      <c r="I1236" s="55">
        <f t="shared" ca="1" si="238"/>
        <v>11.9</v>
      </c>
      <c r="J1236" s="55">
        <v>0</v>
      </c>
      <c r="K1236" s="55">
        <f t="shared" ca="1" si="241"/>
        <v>550.36350327868843</v>
      </c>
      <c r="L1236" s="55">
        <v>0</v>
      </c>
      <c r="M1236" s="113">
        <f>SUMIFS(График[Возврат основной суммы долга],График[Дата с учетом нерабочих дней],$A1236)</f>
        <v>0</v>
      </c>
      <c r="N1236" s="56">
        <f>SUMIFS(График[Возврат начисленных %],График[Дата с учетом нерабочих дней],$A1236)</f>
        <v>0</v>
      </c>
      <c r="O1236" s="101">
        <v>0</v>
      </c>
      <c r="P1236" s="100" cm="1">
        <f t="array" aca="1" ref="P1236" ca="1">MAX(IF(AA1235="Да",0,SUM(INDIRECT("M"&amp;(MAX(("Да"=AA$12:AA1235)*ROW(AA$12:AA1235)+1,ROW($P$12))&amp;":M"&amp;(ROW()))))-SUM(INDIRECT("W"&amp;(MAX(("Да"=AA$12:AA1235)*ROW(AA$12:AA1235)+1,ROW($P$12))&amp;":W"&amp;(ROW()))))),0)</f>
        <v>21893.109999999997</v>
      </c>
      <c r="Q1236" s="99">
        <f ca="1">MAX(SUM($N$13:N1236)-SUM($T$13:T1236),0)</f>
        <v>88179.590655737687</v>
      </c>
      <c r="R1236" s="99">
        <f ca="1">Первоначальный[[#This Row],[Просроченный платеж по ОД]]+Первоначальный[[#This Row],[Просроченный платеж по процентам]]</f>
        <v>110072.70065573769</v>
      </c>
      <c r="S1236" s="120">
        <f ca="1">IF(Первоначальный[[#This Row],[Просроченный платеж]]&lt;1,0,S1235+1)</f>
        <v>1132</v>
      </c>
      <c r="T1236" s="100" cm="1">
        <f t="array" aca="1" ref="T1236" ca="1">IF(Первоначальный[[#This Row],[Итого остаток на начало периода]]&lt;1,0,
IF(
AND(TYPE(VLOOKUP(1,$Z$12:Z1236,1,0))=16,Первоначальный[[#This Row],[Досрочное погашение (да/"")]]=""),0,
_xlfn.IFS(AND(S1235=0,Первоначальный[[#This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платеж]]&lt;&gt;0),MIN(LOOKUP(,-1/($Z$12:Z1236=1),$C$12:C1236)+LOOKUP(,-1/($Z$12:Z1236=1),$H$12:H1236),Первоначальный[[#This Row],[Полученный платеж]]+Y1235),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платеж]]+Y1235,SUM(Первоначальный[[#This Row],[Остаток процентов на начало периода]],Первоначальный[[#This Row],[Проценты за период]])),
AND(S1235=0,Первоначальный[[#This Row],[Дата платежа из графика]]=""),0,
AND(S1235=0,Первоначальный[[#This Row],[Дата платежа из графика]]=1,MAX((0&lt;&gt;S$12:S1235)*ROW(S$12:S1235),ROW($S$12))&gt;=MAX((1=Z$12:Z1235)*ROW(Z$12:Z1235),ROW($T$12)),TYPE(VLOOKUP("Да",(INDIRECT("AA"&amp;(MAX((1=Z$12:Z1235)*ROW(Z$12:Z1235),ROW($T$12))&amp;":AA"&amp;(ROW()-1)))),1,0))=16),MIN(LOOKUP(,-1/($Z$12:Z1236=1),$C$12:C1236)+LOOKUP(,-1/($Z$12:Z1236=1),$H$12:H1236),Первоначальный[[#This Row],[Полученный платеж]]+Y1235),
AND(S1235=0,TYPE(VLOOKUP("Да",(INDIRECT("AA"&amp;(MAX((1=Z$12:Z1235)*ROW(Z$12:Z1235),ROW($T$12))&amp;":AA"&amp;(ROW()-1)))),1,0))&lt;&gt;16),MIN(LOOKUP(,-1/($Z$12:Z1236=1),$C$12:C1236)+LOOKUP(,-1/($Z$12:Z1236=1),$H$12:H1236)-IF(AA1235="Да",0,SUM(INDIRECT("T"&amp;(MAX(("Да"=AA$12:AA1235)*ROW(AA$12:AA1235)+1,ROW($T$12))&amp;":T"&amp;(ROW()-1))))),Первоначальный[[#This Row],[Полученный платеж]]+Y1235),
AND(S1235=0,MAX((0&lt;&gt;N$12:N1235)*ROW(N$12:N1235),ROW($S$12))&gt;=MAX((1=Z$12:Z1235)*ROW(Z$12:Z1235),ROW($T$12))),MIN(LOOKUP(,-1/($Z$12:Z1236=1),$C$12:C1236)+LOOKUP(,-1/($Z$12:Z1236=1),$H$12:H1236)-IF(N1235&lt;&gt;0,0,SUM(INDIRECT("T"&amp;(MAX((0&lt;&gt;N$12:N1235)*ROW(N$12:N1235)+1,ROW($T$12))&amp;":T"&amp;(ROW()-1))))),Первоначальный[[#This Row],[Полученный платеж]]+Y1235),
AND(S1235=0,Первоначальный[[#This Row],[Дата платежа из графика]]=1),MIN(LOOKUP(,-1/($Z$12:Z1236=1),$C$12:C1236)+LOOKUP(,-1/($Z$12:Z1236=1),$H$12:H1236)-IF(Z1235=1,0,SUM(INDIRECT("T"&amp;(MAX((1=Z$12:Z1235)*ROW(Z$12:Z1235)+1,ROW($T$12))&amp;":T"&amp;(ROW()-1))))),Первоначальный[[#This Row],[Полученный платеж]]+Y1235),
AND(Z1235&gt;0,Первоначальный[[#This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платеж]]+Y1235),
AND(S1235&gt;0,MAX((0&lt;&gt;S$12:S1235)*ROW(S$12:S1235),ROW($S$12))&gt;=MAX((1=Z$12:Z1235)*ROW(Z$12:Z1235),ROW($T$12)),TYPE(VLOOKUP("Да",(INDIRECT("AA"&amp;(MAX((1=Z$12:Z1235)*ROW(Z$12:Z1235),ROW($T$12))&amp;":AA"&amp;(ROW()-1)))),1,0))=16),MIN(LOOKUP(,-1/($Z$12:Z1236=1),$C$12:C1236)+LOOKUP(,-1/($Z$12:Z1236=1),$H$12:H1236)-SUM(INDIRECT("T"&amp;(MAX((1=Z$12:Z1235)*ROW(Z$12:Z1235),ROW($T$12))&amp;":T"&amp;(ROW()-1)))),Первоначальный[[#This Row],[Полученный платеж]]+Y1235),
S1235&gt;0,MIN(LOOKUP(,-1/($Z$12:Z1236=1),$C$12:C1236)+LOOKUP(,-1/($Z$12:Z1236=1),$H$12:H1236)-IF(Z1235=1,0,SUM(INDIRECT("T"&amp;(MAX((1=Z$12:Z1235)*ROW(Z$12:Z1235)+1,ROW($T$12))&amp;":T"&amp;(ROW()-1))))),Первоначальный[[#This Row],[Полученный платеж]]+Y1235)
)
)
)</f>
        <v>0</v>
      </c>
      <c r="U123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платеж]]+Y1235-Первоначальный[[#This Row],[Полученный платёж по процентам]])</f>
        <v>0</v>
      </c>
      <c r="V1236" s="55">
        <f t="shared" ca="1" si="231"/>
        <v>0</v>
      </c>
      <c r="W1236" s="55" cm="1">
        <f t="array" aca="1" ref="W1236" ca="1">IF(Первоначальный[[#This Row],[Итого остаток на начало периода]]&lt;1,0,
_xlfn.IFS(
AND(TYPE(VLOOKUP(1,$Z$12:Z1236,1,0))=16,Первоначальный[[#This Row],[Досрочное погашение (да/"")]]=""),0,
AND(S1235=0,Первоначальный[[#This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платеж]]+Y1235-SUM(Первоначальный[[#This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комиссиям]]),VLOOKUP(LOOKUP(,-1/($Z$12:Z1236=1),$A$12:A1236),График[[Срок конец]:[Возврат основной суммы долга]],3,0)),
AND(S1235=0,Первоначальный[[#This Row],[Дата платежа из графика]]="",Первоначальный[[#This Row],[Досрочное погашение (да/"")]]&lt;&gt;"Да"),0,
AND(S1235=0,Первоначальный[[#This Row],[Досрочное погашение (да/"")]]=""),MIN(Первоначальный[[#This Row],[Полученный платеж]]+Y1235-SUM(Первоначальный[[#This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комиссиям]]),VLOOKUP(LOOKUP(,-1/($Z$12:Z1236=1),$A$12:A1236),График[[Срок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платеж]]+Y1235-SUM(Первоначальный[[#This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S1235&gt;0,MIN(Первоначальный[[#This Row],[Полученный платеж]]+Y1235-SUM(Первоначальный[[#This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комиссиям]]),SUM(INDIRECT("M"&amp;(MAX((1=S$12:S1235)*ROW(S$12:S1235),ROW($W$12))&amp;":M"&amp;(ROW()))))-SUM(INDIRECT("W"&amp;(MAX((1=S$12:S1235)*ROW(S$12:S1235),ROW($W$12))&amp;":W"&amp;(ROW()-1)))))
)
)</f>
        <v>0</v>
      </c>
      <c r="X1236" s="55">
        <f t="shared" ca="1" si="232"/>
        <v>0</v>
      </c>
      <c r="Y1236" s="101">
        <f t="shared" ca="1" si="239"/>
        <v>0</v>
      </c>
      <c r="Z1236" s="133" t="str">
        <f>IF(TYPE((VLOOKUP(Первоначальный[[#This Row],[Дата платежа]],График[Срок конец],1,0)))=16,"",1)</f>
        <v/>
      </c>
      <c r="AA1236" s="57"/>
      <c r="AB1236" s="134"/>
      <c r="AC123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3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88670.87999999999</v>
      </c>
      <c r="AE123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6095.53999999999</v>
      </c>
      <c r="AF123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3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313771.22071147495</v>
      </c>
      <c r="AH1236" s="55"/>
      <c r="AI1236" s="55"/>
      <c r="AJ1236" s="55"/>
      <c r="AK1236" s="101">
        <f t="shared" ca="1" si="240"/>
        <v>558170.9807114749</v>
      </c>
      <c r="AL1236" s="129">
        <f t="array" ref="AL1236">MAX((УслРестрактов[Характеристика]="Дата реструктуризации")*(УслРестрактов[Значение]=Первоначальный!$A1236),0)</f>
        <v>0</v>
      </c>
    </row>
    <row r="1237" spans="1:38" x14ac:dyDescent="0.25">
      <c r="A1237" s="97">
        <f t="shared" si="233"/>
        <v>45368</v>
      </c>
      <c r="B1237" s="100">
        <f t="shared" ca="1" si="234"/>
        <v>149633.34</v>
      </c>
      <c r="C1237" s="55">
        <f t="shared" ca="1" si="230"/>
        <v>88670.87999999999</v>
      </c>
      <c r="D1237" s="55">
        <f t="shared" ca="1" si="230"/>
        <v>6095.53999999999</v>
      </c>
      <c r="E1237" s="55">
        <f t="shared" ca="1" si="235"/>
        <v>0</v>
      </c>
      <c r="F1237" s="55">
        <f t="shared" ca="1" si="236"/>
        <v>313771.22071147495</v>
      </c>
      <c r="G1237" s="101">
        <f t="shared" ca="1" si="237"/>
        <v>558170.9807114749</v>
      </c>
      <c r="H1237" s="100">
        <f ca="1">ROUND($B1237*VLOOKUP($A1237,$A$1:$B$10,2,1)/(365+IF(MOD(YEAR($A1237),4),0,1)*($A1237-$A1236)),2)-Первоначальный[[#This Row],[Проценты на просроченный платеж по ОД за период]]</f>
        <v>69.459999999999994</v>
      </c>
      <c r="I1237" s="55">
        <f t="shared" ca="1" si="238"/>
        <v>11.9</v>
      </c>
      <c r="J1237" s="55">
        <v>0</v>
      </c>
      <c r="K1237" s="55">
        <f t="shared" ca="1" si="241"/>
        <v>550.36350327868843</v>
      </c>
      <c r="L1237" s="55">
        <v>0</v>
      </c>
      <c r="M1237" s="113">
        <f>SUMIFS(График[Возврат основной суммы долга],График[Дата с учетом нерабочих дней],$A1237)</f>
        <v>0</v>
      </c>
      <c r="N1237" s="56">
        <f>SUMIFS(График[Возврат начисленных %],График[Дата с учетом нерабочих дней],$A1237)</f>
        <v>0</v>
      </c>
      <c r="O1237" s="101">
        <v>0</v>
      </c>
      <c r="P1237" s="100" cm="1">
        <f t="array" aca="1" ref="P1237" ca="1">MAX(IF(AA1236="Да",0,SUM(INDIRECT("M"&amp;(MAX(("Да"=AA$12:AA1236)*ROW(AA$12:AA1236)+1,ROW($P$12))&amp;":M"&amp;(ROW()))))-SUM(INDIRECT("W"&amp;(MAX(("Да"=AA$12:AA1236)*ROW(AA$12:AA1236)+1,ROW($P$12))&amp;":W"&amp;(ROW()))))),0)</f>
        <v>21893.109999999997</v>
      </c>
      <c r="Q1237" s="99">
        <f ca="1">MAX(SUM($N$13:N1237)-SUM($T$13:T1237),0)</f>
        <v>88179.590655737687</v>
      </c>
      <c r="R1237" s="99">
        <f ca="1">Первоначальный[[#This Row],[Просроченный платеж по ОД]]+Первоначальный[[#This Row],[Просроченный платеж по процентам]]</f>
        <v>110072.70065573769</v>
      </c>
      <c r="S1237" s="120">
        <f ca="1">IF(Первоначальный[[#This Row],[Просроченный платеж]]&lt;1,0,S1236+1)</f>
        <v>1133</v>
      </c>
      <c r="T1237" s="100" cm="1">
        <f t="array" aca="1" ref="T1237" ca="1">IF(Первоначальный[[#This Row],[Итого остаток на начало периода]]&lt;1,0,
IF(
AND(TYPE(VLOOKUP(1,$Z$12:Z1237,1,0))=16,Первоначальный[[#This Row],[Досрочное погашение (да/"")]]=""),0,
_xlfn.IFS(AND(S1236=0,Первоначальный[[#This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платеж]]&lt;&gt;0),MIN(LOOKUP(,-1/($Z$12:Z1237=1),$C$12:C1237)+LOOKUP(,-1/($Z$12:Z1237=1),$H$12:H1237),Первоначальный[[#This Row],[Полученный платеж]]+Y1236),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платеж]]+Y1236,SUM(Первоначальный[[#This Row],[Остаток процентов на начало периода]],Первоначальный[[#This Row],[Проценты за период]])),
AND(S1236=0,Первоначальный[[#This Row],[Дата платежа из графика]]=""),0,
AND(S1236=0,Первоначальный[[#This Row],[Дата платежа из графика]]=1,MAX((0&lt;&gt;S$12:S1236)*ROW(S$12:S1236),ROW($S$12))&gt;=MAX((1=Z$12:Z1236)*ROW(Z$12:Z1236),ROW($T$12)),TYPE(VLOOKUP("Да",(INDIRECT("AA"&amp;(MAX((1=Z$12:Z1236)*ROW(Z$12:Z1236),ROW($T$12))&amp;":AA"&amp;(ROW()-1)))),1,0))=16),MIN(LOOKUP(,-1/($Z$12:Z1237=1),$C$12:C1237)+LOOKUP(,-1/($Z$12:Z1237=1),$H$12:H1237),Первоначальный[[#This Row],[Полученный платеж]]+Y1236),
AND(S1236=0,TYPE(VLOOKUP("Да",(INDIRECT("AA"&amp;(MAX((1=Z$12:Z1236)*ROW(Z$12:Z1236),ROW($T$12))&amp;":AA"&amp;(ROW()-1)))),1,0))&lt;&gt;16),MIN(LOOKUP(,-1/($Z$12:Z1237=1),$C$12:C1237)+LOOKUP(,-1/($Z$12:Z1237=1),$H$12:H1237)-IF(AA1236="Да",0,SUM(INDIRECT("T"&amp;(MAX(("Да"=AA$12:AA1236)*ROW(AA$12:AA1236)+1,ROW($T$12))&amp;":T"&amp;(ROW()-1))))),Первоначальный[[#This Row],[Полученный платеж]]+Y1236),
AND(S1236=0,MAX((0&lt;&gt;N$12:N1236)*ROW(N$12:N1236),ROW($S$12))&gt;=MAX((1=Z$12:Z1236)*ROW(Z$12:Z1236),ROW($T$12))),MIN(LOOKUP(,-1/($Z$12:Z1237=1),$C$12:C1237)+LOOKUP(,-1/($Z$12:Z1237=1),$H$12:H1237)-IF(N1236&lt;&gt;0,0,SUM(INDIRECT("T"&amp;(MAX((0&lt;&gt;N$12:N1236)*ROW(N$12:N1236)+1,ROW($T$12))&amp;":T"&amp;(ROW()-1))))),Первоначальный[[#This Row],[Полученный платеж]]+Y1236),
AND(S1236=0,Первоначальный[[#This Row],[Дата платежа из графика]]=1),MIN(LOOKUP(,-1/($Z$12:Z1237=1),$C$12:C1237)+LOOKUP(,-1/($Z$12:Z1237=1),$H$12:H1237)-IF(Z1236=1,0,SUM(INDIRECT("T"&amp;(MAX((1=Z$12:Z1236)*ROW(Z$12:Z1236)+1,ROW($T$12))&amp;":T"&amp;(ROW()-1))))),Первоначальный[[#This Row],[Полученный платеж]]+Y1236),
AND(Z1236&gt;0,Первоначальный[[#This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платеж]]+Y1236),
AND(S1236&gt;0,MAX((0&lt;&gt;S$12:S1236)*ROW(S$12:S1236),ROW($S$12))&gt;=MAX((1=Z$12:Z1236)*ROW(Z$12:Z1236),ROW($T$12)),TYPE(VLOOKUP("Да",(INDIRECT("AA"&amp;(MAX((1=Z$12:Z1236)*ROW(Z$12:Z1236),ROW($T$12))&amp;":AA"&amp;(ROW()-1)))),1,0))=16),MIN(LOOKUP(,-1/($Z$12:Z1237=1),$C$12:C1237)+LOOKUP(,-1/($Z$12:Z1237=1),$H$12:H1237)-SUM(INDIRECT("T"&amp;(MAX((1=Z$12:Z1236)*ROW(Z$12:Z1236),ROW($T$12))&amp;":T"&amp;(ROW()-1)))),Первоначальный[[#This Row],[Полученный платеж]]+Y1236),
S1236&gt;0,MIN(LOOKUP(,-1/($Z$12:Z1237=1),$C$12:C1237)+LOOKUP(,-1/($Z$12:Z1237=1),$H$12:H1237)-IF(Z1236=1,0,SUM(INDIRECT("T"&amp;(MAX((1=Z$12:Z1236)*ROW(Z$12:Z1236)+1,ROW($T$12))&amp;":T"&amp;(ROW()-1))))),Первоначальный[[#This Row],[Полученный платеж]]+Y1236)
)
)
)</f>
        <v>0</v>
      </c>
      <c r="U123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платеж]]+Y1236-Первоначальный[[#This Row],[Полученный платёж по процентам]])</f>
        <v>0</v>
      </c>
      <c r="V1237" s="55">
        <f t="shared" ca="1" si="231"/>
        <v>0</v>
      </c>
      <c r="W1237" s="55" cm="1">
        <f t="array" aca="1" ref="W1237" ca="1">IF(Первоначальный[[#This Row],[Итого остаток на начало периода]]&lt;1,0,
_xlfn.IFS(
AND(TYPE(VLOOKUP(1,$Z$12:Z1237,1,0))=16,Первоначальный[[#This Row],[Досрочное погашение (да/"")]]=""),0,
AND(S1236=0,Первоначальный[[#This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платеж]]+Y1236-SUM(Первоначальный[[#This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комиссиям]]),VLOOKUP(LOOKUP(,-1/($Z$12:Z1237=1),$A$12:A1237),График[[Срок конец]:[Возврат основной суммы долга]],3,0)),
AND(S1236=0,Первоначальный[[#This Row],[Дата платежа из графика]]="",Первоначальный[[#This Row],[Досрочное погашение (да/"")]]&lt;&gt;"Да"),0,
AND(S1236=0,Первоначальный[[#This Row],[Досрочное погашение (да/"")]]=""),MIN(Первоначальный[[#This Row],[Полученный платеж]]+Y1236-SUM(Первоначальный[[#This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комиссиям]]),VLOOKUP(LOOKUP(,-1/($Z$12:Z1237=1),$A$12:A1237),График[[Срок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платеж]]+Y1236-SUM(Первоначальный[[#This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S1236&gt;0,MIN(Первоначальный[[#This Row],[Полученный платеж]]+Y1236-SUM(Первоначальный[[#This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комиссиям]]),SUM(INDIRECT("M"&amp;(MAX((1=S$12:S1236)*ROW(S$12:S1236),ROW($W$12))&amp;":M"&amp;(ROW()))))-SUM(INDIRECT("W"&amp;(MAX((1=S$12:S1236)*ROW(S$12:S1236),ROW($W$12))&amp;":W"&amp;(ROW()-1)))))
)
)</f>
        <v>0</v>
      </c>
      <c r="X1237" s="55">
        <f t="shared" ca="1" si="232"/>
        <v>0</v>
      </c>
      <c r="Y1237" s="101">
        <f t="shared" ca="1" si="239"/>
        <v>0</v>
      </c>
      <c r="Z1237" s="133" t="str">
        <f>IF(TYPE((VLOOKUP(Первоначальный[[#This Row],[Дата платежа]],График[Срок конец],1,0)))=16,"",1)</f>
        <v/>
      </c>
      <c r="AA1237" s="57"/>
      <c r="AB1237" s="134"/>
      <c r="AC123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3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88740.34</v>
      </c>
      <c r="AE123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6107.4399999999896</v>
      </c>
      <c r="AF123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3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314321.58421475365</v>
      </c>
      <c r="AH1237" s="55"/>
      <c r="AI1237" s="55"/>
      <c r="AJ1237" s="55"/>
      <c r="AK1237" s="101">
        <f t="shared" ca="1" si="240"/>
        <v>558802.70421475358</v>
      </c>
      <c r="AL1237" s="129">
        <f t="array" ref="AL1237">MAX((УслРестрактов[Характеристика]="Дата реструктуризации")*(УслРестрактов[Значение]=Первоначальный!$A1237),0)</f>
        <v>0</v>
      </c>
    </row>
    <row r="1238" spans="1:38" x14ac:dyDescent="0.25">
      <c r="A1238" s="97">
        <f t="shared" si="233"/>
        <v>45369</v>
      </c>
      <c r="B1238" s="100">
        <f t="shared" ca="1" si="234"/>
        <v>149633.34</v>
      </c>
      <c r="C1238" s="55">
        <f t="shared" ca="1" si="230"/>
        <v>88740.34</v>
      </c>
      <c r="D1238" s="55">
        <f t="shared" ca="1" si="230"/>
        <v>6107.4399999999896</v>
      </c>
      <c r="E1238" s="55">
        <f t="shared" ca="1" si="235"/>
        <v>0</v>
      </c>
      <c r="F1238" s="55">
        <f t="shared" ca="1" si="236"/>
        <v>314321.58421475365</v>
      </c>
      <c r="G1238" s="101">
        <f t="shared" ca="1" si="237"/>
        <v>558802.70421475358</v>
      </c>
      <c r="H1238" s="100">
        <f ca="1">ROUND($B1238*VLOOKUP($A1238,$A$1:$B$10,2,1)/(365+IF(MOD(YEAR($A1238),4),0,1)*($A1238-$A1237)),2)-Первоначальный[[#This Row],[Проценты на просроченный платеж по ОД за период]]</f>
        <v>69.459999999999994</v>
      </c>
      <c r="I1238" s="55">
        <f t="shared" ca="1" si="238"/>
        <v>11.9</v>
      </c>
      <c r="J1238" s="55">
        <v>0</v>
      </c>
      <c r="K1238" s="55">
        <f t="shared" ca="1" si="241"/>
        <v>550.36350327868843</v>
      </c>
      <c r="L1238" s="55">
        <v>0</v>
      </c>
      <c r="M1238" s="113">
        <f>SUMIFS(График[Возврат основной суммы долга],График[Дата с учетом нерабочих дней],$A1238)</f>
        <v>0</v>
      </c>
      <c r="N1238" s="56">
        <f>SUMIFS(График[Возврат начисленных %],График[Дата с учетом нерабочих дней],$A1238)</f>
        <v>0</v>
      </c>
      <c r="O1238" s="101">
        <v>0</v>
      </c>
      <c r="P1238" s="100" cm="1">
        <f t="array" aca="1" ref="P1238" ca="1">MAX(IF(AA1237="Да",0,SUM(INDIRECT("M"&amp;(MAX(("Да"=AA$12:AA1237)*ROW(AA$12:AA1237)+1,ROW($P$12))&amp;":M"&amp;(ROW()))))-SUM(INDIRECT("W"&amp;(MAX(("Да"=AA$12:AA1237)*ROW(AA$12:AA1237)+1,ROW($P$12))&amp;":W"&amp;(ROW()))))),0)</f>
        <v>21893.109999999997</v>
      </c>
      <c r="Q1238" s="99">
        <f ca="1">MAX(SUM($N$13:N1238)-SUM($T$13:T1238),0)</f>
        <v>88179.590655737687</v>
      </c>
      <c r="R1238" s="99">
        <f ca="1">Первоначальный[[#This Row],[Просроченный платеж по ОД]]+Первоначальный[[#This Row],[Просроченный платеж по процентам]]</f>
        <v>110072.70065573769</v>
      </c>
      <c r="S1238" s="120">
        <f ca="1">IF(Первоначальный[[#This Row],[Просроченный платеж]]&lt;1,0,S1237+1)</f>
        <v>1134</v>
      </c>
      <c r="T1238" s="100" cm="1">
        <f t="array" aca="1" ref="T1238" ca="1">IF(Первоначальный[[#This Row],[Итого остаток на начало периода]]&lt;1,0,
IF(
AND(TYPE(VLOOKUP(1,$Z$12:Z1238,1,0))=16,Первоначальный[[#This Row],[Досрочное погашение (да/"")]]=""),0,
_xlfn.IFS(AND(S1237=0,Первоначальный[[#This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платеж]]&lt;&gt;0),MIN(LOOKUP(,-1/($Z$12:Z1238=1),$C$12:C1238)+LOOKUP(,-1/($Z$12:Z1238=1),$H$12:H1238),Первоначальный[[#This Row],[Полученный платеж]]+Y1237),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платеж]]+Y1237,SUM(Первоначальный[[#This Row],[Остаток процентов на начало периода]],Первоначальный[[#This Row],[Проценты за период]])),
AND(S1237=0,Первоначальный[[#This Row],[Дата платежа из графика]]=""),0,
AND(S1237=0,Первоначальный[[#This Row],[Дата платежа из графика]]=1,MAX((0&lt;&gt;S$12:S1237)*ROW(S$12:S1237),ROW($S$12))&gt;=MAX((1=Z$12:Z1237)*ROW(Z$12:Z1237),ROW($T$12)),TYPE(VLOOKUP("Да",(INDIRECT("AA"&amp;(MAX((1=Z$12:Z1237)*ROW(Z$12:Z1237),ROW($T$12))&amp;":AA"&amp;(ROW()-1)))),1,0))=16),MIN(LOOKUP(,-1/($Z$12:Z1238=1),$C$12:C1238)+LOOKUP(,-1/($Z$12:Z1238=1),$H$12:H1238),Первоначальный[[#This Row],[Полученный платеж]]+Y1237),
AND(S1237=0,TYPE(VLOOKUP("Да",(INDIRECT("AA"&amp;(MAX((1=Z$12:Z1237)*ROW(Z$12:Z1237),ROW($T$12))&amp;":AA"&amp;(ROW()-1)))),1,0))&lt;&gt;16),MIN(LOOKUP(,-1/($Z$12:Z1238=1),$C$12:C1238)+LOOKUP(,-1/($Z$12:Z1238=1),$H$12:H1238)-IF(AA1237="Да",0,SUM(INDIRECT("T"&amp;(MAX(("Да"=AA$12:AA1237)*ROW(AA$12:AA1237)+1,ROW($T$12))&amp;":T"&amp;(ROW()-1))))),Первоначальный[[#This Row],[Полученный платеж]]+Y1237),
AND(S1237=0,MAX((0&lt;&gt;N$12:N1237)*ROW(N$12:N1237),ROW($S$12))&gt;=MAX((1=Z$12:Z1237)*ROW(Z$12:Z1237),ROW($T$12))),MIN(LOOKUP(,-1/($Z$12:Z1238=1),$C$12:C1238)+LOOKUP(,-1/($Z$12:Z1238=1),$H$12:H1238)-IF(N1237&lt;&gt;0,0,SUM(INDIRECT("T"&amp;(MAX((0&lt;&gt;N$12:N1237)*ROW(N$12:N1237)+1,ROW($T$12))&amp;":T"&amp;(ROW()-1))))),Первоначальный[[#This Row],[Полученный платеж]]+Y1237),
AND(S1237=0,Первоначальный[[#This Row],[Дата платежа из графика]]=1),MIN(LOOKUP(,-1/($Z$12:Z1238=1),$C$12:C1238)+LOOKUP(,-1/($Z$12:Z1238=1),$H$12:H1238)-IF(Z1237=1,0,SUM(INDIRECT("T"&amp;(MAX((1=Z$12:Z1237)*ROW(Z$12:Z1237)+1,ROW($T$12))&amp;":T"&amp;(ROW()-1))))),Первоначальный[[#This Row],[Полученный платеж]]+Y1237),
AND(Z1237&gt;0,Первоначальный[[#This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платеж]]+Y1237),
AND(S1237&gt;0,MAX((0&lt;&gt;S$12:S1237)*ROW(S$12:S1237),ROW($S$12))&gt;=MAX((1=Z$12:Z1237)*ROW(Z$12:Z1237),ROW($T$12)),TYPE(VLOOKUP("Да",(INDIRECT("AA"&amp;(MAX((1=Z$12:Z1237)*ROW(Z$12:Z1237),ROW($T$12))&amp;":AA"&amp;(ROW()-1)))),1,0))=16),MIN(LOOKUP(,-1/($Z$12:Z1238=1),$C$12:C1238)+LOOKUP(,-1/($Z$12:Z1238=1),$H$12:H1238)-SUM(INDIRECT("T"&amp;(MAX((1=Z$12:Z1237)*ROW(Z$12:Z1237),ROW($T$12))&amp;":T"&amp;(ROW()-1)))),Первоначальный[[#This Row],[Полученный платеж]]+Y1237),
S1237&gt;0,MIN(LOOKUP(,-1/($Z$12:Z1238=1),$C$12:C1238)+LOOKUP(,-1/($Z$12:Z1238=1),$H$12:H1238)-IF(Z1237=1,0,SUM(INDIRECT("T"&amp;(MAX((1=Z$12:Z1237)*ROW(Z$12:Z1237)+1,ROW($T$12))&amp;":T"&amp;(ROW()-1))))),Первоначальный[[#This Row],[Полученный платеж]]+Y1237)
)
)
)</f>
        <v>0</v>
      </c>
      <c r="U123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платеж]]+Y1237-Первоначальный[[#This Row],[Полученный платёж по процентам]])</f>
        <v>0</v>
      </c>
      <c r="V1238" s="55">
        <f t="shared" ca="1" si="231"/>
        <v>0</v>
      </c>
      <c r="W1238" s="55" cm="1">
        <f t="array" aca="1" ref="W1238" ca="1">IF(Первоначальный[[#This Row],[Итого остаток на начало периода]]&lt;1,0,
_xlfn.IFS(
AND(TYPE(VLOOKUP(1,$Z$12:Z1238,1,0))=16,Первоначальный[[#This Row],[Досрочное погашение (да/"")]]=""),0,
AND(S1237=0,Первоначальный[[#This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платеж]]+Y1237-SUM(Первоначальный[[#This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комиссиям]]),VLOOKUP(LOOKUP(,-1/($Z$12:Z1238=1),$A$12:A1238),График[[Срок конец]:[Возврат основной суммы долга]],3,0)),
AND(S1237=0,Первоначальный[[#This Row],[Дата платежа из графика]]="",Первоначальный[[#This Row],[Досрочное погашение (да/"")]]&lt;&gt;"Да"),0,
AND(S1237=0,Первоначальный[[#This Row],[Досрочное погашение (да/"")]]=""),MIN(Первоначальный[[#This Row],[Полученный платеж]]+Y1237-SUM(Первоначальный[[#This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комиссиям]]),VLOOKUP(LOOKUP(,-1/($Z$12:Z1238=1),$A$12:A1238),График[[Срок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платеж]]+Y1237-SUM(Первоначальный[[#This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S1237&gt;0,MIN(Первоначальный[[#This Row],[Полученный платеж]]+Y1237-SUM(Первоначальный[[#This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комиссиям]]),SUM(INDIRECT("M"&amp;(MAX((1=S$12:S1237)*ROW(S$12:S1237),ROW($W$12))&amp;":M"&amp;(ROW()))))-SUM(INDIRECT("W"&amp;(MAX((1=S$12:S1237)*ROW(S$12:S1237),ROW($W$12))&amp;":W"&amp;(ROW()-1)))))
)
)</f>
        <v>0</v>
      </c>
      <c r="X1238" s="55">
        <f t="shared" ca="1" si="232"/>
        <v>0</v>
      </c>
      <c r="Y1238" s="101">
        <f t="shared" ca="1" si="239"/>
        <v>0</v>
      </c>
      <c r="Z1238" s="133" t="str">
        <f>IF(TYPE((VLOOKUP(Первоначальный[[#This Row],[Дата платежа]],График[Срок конец],1,0)))=16,"",1)</f>
        <v/>
      </c>
      <c r="AA1238" s="57"/>
      <c r="AB1238" s="134"/>
      <c r="AC123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3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88809.8</v>
      </c>
      <c r="AE123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6119.3399999999892</v>
      </c>
      <c r="AF123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3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314871.94771803234</v>
      </c>
      <c r="AH1238" s="55"/>
      <c r="AI1238" s="55"/>
      <c r="AJ1238" s="55"/>
      <c r="AK1238" s="101">
        <f t="shared" ca="1" si="240"/>
        <v>559434.42771803238</v>
      </c>
      <c r="AL1238" s="129">
        <f t="array" ref="AL1238">MAX((УслРестрактов[Характеристика]="Дата реструктуризации")*(УслРестрактов[Значение]=Первоначальный!$A1238),0)</f>
        <v>0</v>
      </c>
    </row>
    <row r="1239" spans="1:38" x14ac:dyDescent="0.25">
      <c r="A1239" s="97">
        <f t="shared" si="233"/>
        <v>45370</v>
      </c>
      <c r="B1239" s="100">
        <f t="shared" ca="1" si="234"/>
        <v>149633.34</v>
      </c>
      <c r="C1239" s="55">
        <f t="shared" ca="1" si="230"/>
        <v>88809.8</v>
      </c>
      <c r="D1239" s="55">
        <f t="shared" ca="1" si="230"/>
        <v>6119.3399999999892</v>
      </c>
      <c r="E1239" s="55">
        <f t="shared" ca="1" si="235"/>
        <v>0</v>
      </c>
      <c r="F1239" s="55">
        <f t="shared" ca="1" si="236"/>
        <v>314871.94771803234</v>
      </c>
      <c r="G1239" s="101">
        <f t="shared" ca="1" si="237"/>
        <v>559434.42771803238</v>
      </c>
      <c r="H1239" s="100">
        <f ca="1">ROUND($B1239*VLOOKUP($A1239,$A$1:$B$10,2,1)/(365+IF(MOD(YEAR($A1239),4),0,1)*($A1239-$A1238)),2)-Первоначальный[[#This Row],[Проценты на просроченный платеж по ОД за период]]</f>
        <v>69.459999999999994</v>
      </c>
      <c r="I1239" s="55">
        <f t="shared" ca="1" si="238"/>
        <v>11.9</v>
      </c>
      <c r="J1239" s="55">
        <v>0</v>
      </c>
      <c r="K1239" s="55">
        <f t="shared" ca="1" si="241"/>
        <v>550.36350327868843</v>
      </c>
      <c r="L1239" s="55">
        <v>0</v>
      </c>
      <c r="M1239" s="113">
        <f>SUMIFS(График[Возврат основной суммы долга],График[Дата с учетом нерабочих дней],$A1239)</f>
        <v>0</v>
      </c>
      <c r="N1239" s="56">
        <f>SUMIFS(График[Возврат начисленных %],График[Дата с учетом нерабочих дней],$A1239)</f>
        <v>0</v>
      </c>
      <c r="O1239" s="101">
        <v>0</v>
      </c>
      <c r="P1239" s="100" cm="1">
        <f t="array" aca="1" ref="P1239" ca="1">MAX(IF(AA1238="Да",0,SUM(INDIRECT("M"&amp;(MAX(("Да"=AA$12:AA1238)*ROW(AA$12:AA1238)+1,ROW($P$12))&amp;":M"&amp;(ROW()))))-SUM(INDIRECT("W"&amp;(MAX(("Да"=AA$12:AA1238)*ROW(AA$12:AA1238)+1,ROW($P$12))&amp;":W"&amp;(ROW()))))),0)</f>
        <v>21893.109999999997</v>
      </c>
      <c r="Q1239" s="99">
        <f ca="1">MAX(SUM($N$13:N1239)-SUM($T$13:T1239),0)</f>
        <v>88179.590655737687</v>
      </c>
      <c r="R1239" s="99">
        <f ca="1">Первоначальный[[#This Row],[Просроченный платеж по ОД]]+Первоначальный[[#This Row],[Просроченный платеж по процентам]]</f>
        <v>110072.70065573769</v>
      </c>
      <c r="S1239" s="120">
        <f ca="1">IF(Первоначальный[[#This Row],[Просроченный платеж]]&lt;1,0,S1238+1)</f>
        <v>1135</v>
      </c>
      <c r="T1239" s="100" cm="1">
        <f t="array" aca="1" ref="T1239" ca="1">IF(Первоначальный[[#This Row],[Итого остаток на начало периода]]&lt;1,0,
IF(
AND(TYPE(VLOOKUP(1,$Z$12:Z1239,1,0))=16,Первоначальный[[#This Row],[Досрочное погашение (да/"")]]=""),0,
_xlfn.IFS(AND(S1238=0,Первоначальный[[#This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платеж]]&lt;&gt;0),MIN(LOOKUP(,-1/($Z$12:Z1239=1),$C$12:C1239)+LOOKUP(,-1/($Z$12:Z1239=1),$H$12:H1239),Первоначальный[[#This Row],[Полученный платеж]]+Y1238),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платеж]]+Y1238,SUM(Первоначальный[[#This Row],[Остаток процентов на начало периода]],Первоначальный[[#This Row],[Проценты за период]])),
AND(S1238=0,Первоначальный[[#This Row],[Дата платежа из графика]]=""),0,
AND(S1238=0,Первоначальный[[#This Row],[Дата платежа из графика]]=1,MAX((0&lt;&gt;S$12:S1238)*ROW(S$12:S1238),ROW($S$12))&gt;=MAX((1=Z$12:Z1238)*ROW(Z$12:Z1238),ROW($T$12)),TYPE(VLOOKUP("Да",(INDIRECT("AA"&amp;(MAX((1=Z$12:Z1238)*ROW(Z$12:Z1238),ROW($T$12))&amp;":AA"&amp;(ROW()-1)))),1,0))=16),MIN(LOOKUP(,-1/($Z$12:Z1239=1),$C$12:C1239)+LOOKUP(,-1/($Z$12:Z1239=1),$H$12:H1239),Первоначальный[[#This Row],[Полученный платеж]]+Y1238),
AND(S1238=0,TYPE(VLOOKUP("Да",(INDIRECT("AA"&amp;(MAX((1=Z$12:Z1238)*ROW(Z$12:Z1238),ROW($T$12))&amp;":AA"&amp;(ROW()-1)))),1,0))&lt;&gt;16),MIN(LOOKUP(,-1/($Z$12:Z1239=1),$C$12:C1239)+LOOKUP(,-1/($Z$12:Z1239=1),$H$12:H1239)-IF(AA1238="Да",0,SUM(INDIRECT("T"&amp;(MAX(("Да"=AA$12:AA1238)*ROW(AA$12:AA1238)+1,ROW($T$12))&amp;":T"&amp;(ROW()-1))))),Первоначальный[[#This Row],[Полученный платеж]]+Y1238),
AND(S1238=0,MAX((0&lt;&gt;N$12:N1238)*ROW(N$12:N1238),ROW($S$12))&gt;=MAX((1=Z$12:Z1238)*ROW(Z$12:Z1238),ROW($T$12))),MIN(LOOKUP(,-1/($Z$12:Z1239=1),$C$12:C1239)+LOOKUP(,-1/($Z$12:Z1239=1),$H$12:H1239)-IF(N1238&lt;&gt;0,0,SUM(INDIRECT("T"&amp;(MAX((0&lt;&gt;N$12:N1238)*ROW(N$12:N1238)+1,ROW($T$12))&amp;":T"&amp;(ROW()-1))))),Первоначальный[[#This Row],[Полученный платеж]]+Y1238),
AND(S1238=0,Первоначальный[[#This Row],[Дата платежа из графика]]=1),MIN(LOOKUP(,-1/($Z$12:Z1239=1),$C$12:C1239)+LOOKUP(,-1/($Z$12:Z1239=1),$H$12:H1239)-IF(Z1238=1,0,SUM(INDIRECT("T"&amp;(MAX((1=Z$12:Z1238)*ROW(Z$12:Z1238)+1,ROW($T$12))&amp;":T"&amp;(ROW()-1))))),Первоначальный[[#This Row],[Полученный платеж]]+Y1238),
AND(Z1238&gt;0,Первоначальный[[#This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платеж]]+Y1238),
AND(S1238&gt;0,MAX((0&lt;&gt;S$12:S1238)*ROW(S$12:S1238),ROW($S$12))&gt;=MAX((1=Z$12:Z1238)*ROW(Z$12:Z1238),ROW($T$12)),TYPE(VLOOKUP("Да",(INDIRECT("AA"&amp;(MAX((1=Z$12:Z1238)*ROW(Z$12:Z1238),ROW($T$12))&amp;":AA"&amp;(ROW()-1)))),1,0))=16),MIN(LOOKUP(,-1/($Z$12:Z1239=1),$C$12:C1239)+LOOKUP(,-1/($Z$12:Z1239=1),$H$12:H1239)-SUM(INDIRECT("T"&amp;(MAX((1=Z$12:Z1238)*ROW(Z$12:Z1238),ROW($T$12))&amp;":T"&amp;(ROW()-1)))),Первоначальный[[#This Row],[Полученный платеж]]+Y1238),
S1238&gt;0,MIN(LOOKUP(,-1/($Z$12:Z1239=1),$C$12:C1239)+LOOKUP(,-1/($Z$12:Z1239=1),$H$12:H1239)-IF(Z1238=1,0,SUM(INDIRECT("T"&amp;(MAX((1=Z$12:Z1238)*ROW(Z$12:Z1238)+1,ROW($T$12))&amp;":T"&amp;(ROW()-1))))),Первоначальный[[#This Row],[Полученный платеж]]+Y1238)
)
)
)</f>
        <v>0</v>
      </c>
      <c r="U123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платеж]]+Y1238-Первоначальный[[#This Row],[Полученный платёж по процентам]])</f>
        <v>0</v>
      </c>
      <c r="V1239" s="55">
        <f t="shared" ca="1" si="231"/>
        <v>0</v>
      </c>
      <c r="W1239" s="55" cm="1">
        <f t="array" aca="1" ref="W1239" ca="1">IF(Первоначальный[[#This Row],[Итого остаток на начало периода]]&lt;1,0,
_xlfn.IFS(
AND(TYPE(VLOOKUP(1,$Z$12:Z1239,1,0))=16,Первоначальный[[#This Row],[Досрочное погашение (да/"")]]=""),0,
AND(S1238=0,Первоначальный[[#This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платеж]]+Y1238-SUM(Первоначальный[[#This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комиссиям]]),VLOOKUP(LOOKUP(,-1/($Z$12:Z1239=1),$A$12:A1239),График[[Срок конец]:[Возврат основной суммы долга]],3,0)),
AND(S1238=0,Первоначальный[[#This Row],[Дата платежа из графика]]="",Первоначальный[[#This Row],[Досрочное погашение (да/"")]]&lt;&gt;"Да"),0,
AND(S1238=0,Первоначальный[[#This Row],[Досрочное погашение (да/"")]]=""),MIN(Первоначальный[[#This Row],[Полученный платеж]]+Y1238-SUM(Первоначальный[[#This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комиссиям]]),VLOOKUP(LOOKUP(,-1/($Z$12:Z1239=1),$A$12:A1239),График[[Срок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платеж]]+Y1238-SUM(Первоначальный[[#This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S1238&gt;0,MIN(Первоначальный[[#This Row],[Полученный платеж]]+Y1238-SUM(Первоначальный[[#This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комиссиям]]),SUM(INDIRECT("M"&amp;(MAX((1=S$12:S1238)*ROW(S$12:S1238),ROW($W$12))&amp;":M"&amp;(ROW()))))-SUM(INDIRECT("W"&amp;(MAX((1=S$12:S1238)*ROW(S$12:S1238),ROW($W$12))&amp;":W"&amp;(ROW()-1)))))
)
)</f>
        <v>0</v>
      </c>
      <c r="X1239" s="55">
        <f t="shared" ca="1" si="232"/>
        <v>0</v>
      </c>
      <c r="Y1239" s="101">
        <f t="shared" ca="1" si="239"/>
        <v>0</v>
      </c>
      <c r="Z1239" s="133" t="str">
        <f>IF(TYPE((VLOOKUP(Первоначальный[[#This Row],[Дата платежа]],График[Срок конец],1,0)))=16,"",1)</f>
        <v/>
      </c>
      <c r="AA1239" s="57"/>
      <c r="AB1239" s="134"/>
      <c r="AC123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3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88879.260000000009</v>
      </c>
      <c r="AE123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6131.2399999999889</v>
      </c>
      <c r="AF123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3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315422.31122131104</v>
      </c>
      <c r="AH1239" s="55"/>
      <c r="AI1239" s="55"/>
      <c r="AJ1239" s="55"/>
      <c r="AK1239" s="101">
        <f t="shared" ca="1" si="240"/>
        <v>560066.15122131107</v>
      </c>
      <c r="AL1239" s="129">
        <f t="array" ref="AL1239">MAX((УслРестрактов[Характеристика]="Дата реструктуризации")*(УслРестрактов[Значение]=Первоначальный!$A1239),0)</f>
        <v>0</v>
      </c>
    </row>
    <row r="1240" spans="1:38" x14ac:dyDescent="0.25">
      <c r="A1240" s="97">
        <f t="shared" si="233"/>
        <v>45371</v>
      </c>
      <c r="B1240" s="100">
        <f t="shared" ca="1" si="234"/>
        <v>149633.34</v>
      </c>
      <c r="C1240" s="55">
        <f t="shared" ca="1" si="230"/>
        <v>88879.260000000009</v>
      </c>
      <c r="D1240" s="55">
        <f t="shared" ca="1" si="230"/>
        <v>6131.2399999999889</v>
      </c>
      <c r="E1240" s="55">
        <f t="shared" ca="1" si="235"/>
        <v>0</v>
      </c>
      <c r="F1240" s="55">
        <f t="shared" ca="1" si="236"/>
        <v>315422.31122131104</v>
      </c>
      <c r="G1240" s="101">
        <f t="shared" ca="1" si="237"/>
        <v>560066.15122131107</v>
      </c>
      <c r="H1240" s="100">
        <f ca="1">ROUND($B1240*VLOOKUP($A1240,$A$1:$B$10,2,1)/(365+IF(MOD(YEAR($A1240),4),0,1)*($A1240-$A1239)),2)-Первоначальный[[#This Row],[Проценты на просроченный платеж по ОД за период]]</f>
        <v>69.459999999999994</v>
      </c>
      <c r="I1240" s="55">
        <f t="shared" ca="1" si="238"/>
        <v>11.9</v>
      </c>
      <c r="J1240" s="55">
        <v>0</v>
      </c>
      <c r="K1240" s="55">
        <f t="shared" ca="1" si="241"/>
        <v>550.36350327868843</v>
      </c>
      <c r="L1240" s="55">
        <v>0</v>
      </c>
      <c r="M1240" s="113">
        <f>SUMIFS(График[Возврат основной суммы долга],График[Дата с учетом нерабочих дней],$A1240)</f>
        <v>0</v>
      </c>
      <c r="N1240" s="56">
        <f>SUMIFS(График[Возврат начисленных %],График[Дата с учетом нерабочих дней],$A1240)</f>
        <v>0</v>
      </c>
      <c r="O1240" s="101">
        <v>0</v>
      </c>
      <c r="P1240" s="100" cm="1">
        <f t="array" aca="1" ref="P1240" ca="1">MAX(IF(AA1239="Да",0,SUM(INDIRECT("M"&amp;(MAX(("Да"=AA$12:AA1239)*ROW(AA$12:AA1239)+1,ROW($P$12))&amp;":M"&amp;(ROW()))))-SUM(INDIRECT("W"&amp;(MAX(("Да"=AA$12:AA1239)*ROW(AA$12:AA1239)+1,ROW($P$12))&amp;":W"&amp;(ROW()))))),0)</f>
        <v>21893.109999999997</v>
      </c>
      <c r="Q1240" s="99">
        <f ca="1">MAX(SUM($N$13:N1240)-SUM($T$13:T1240),0)</f>
        <v>88179.590655737687</v>
      </c>
      <c r="R1240" s="99">
        <f ca="1">Первоначальный[[#This Row],[Просроченный платеж по ОД]]+Первоначальный[[#This Row],[Просроченный платеж по процентам]]</f>
        <v>110072.70065573769</v>
      </c>
      <c r="S1240" s="120">
        <f ca="1">IF(Первоначальный[[#This Row],[Просроченный платеж]]&lt;1,0,S1239+1)</f>
        <v>1136</v>
      </c>
      <c r="T1240" s="100" cm="1">
        <f t="array" aca="1" ref="T1240" ca="1">IF(Первоначальный[[#This Row],[Итого остаток на начало периода]]&lt;1,0,
IF(
AND(TYPE(VLOOKUP(1,$Z$12:Z1240,1,0))=16,Первоначальный[[#This Row],[Досрочное погашение (да/"")]]=""),0,
_xlfn.IFS(AND(S1239=0,Первоначальный[[#This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платеж]]&lt;&gt;0),MIN(LOOKUP(,-1/($Z$12:Z1240=1),$C$12:C1240)+LOOKUP(,-1/($Z$12:Z1240=1),$H$12:H1240),Первоначальный[[#This Row],[Полученный платеж]]+Y1239),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платеж]]+Y1239,SUM(Первоначальный[[#This Row],[Остаток процентов на начало периода]],Первоначальный[[#This Row],[Проценты за период]])),
AND(S1239=0,Первоначальный[[#This Row],[Дата платежа из графика]]=""),0,
AND(S1239=0,Первоначальный[[#This Row],[Дата платежа из графика]]=1,MAX((0&lt;&gt;S$12:S1239)*ROW(S$12:S1239),ROW($S$12))&gt;=MAX((1=Z$12:Z1239)*ROW(Z$12:Z1239),ROW($T$12)),TYPE(VLOOKUP("Да",(INDIRECT("AA"&amp;(MAX((1=Z$12:Z1239)*ROW(Z$12:Z1239),ROW($T$12))&amp;":AA"&amp;(ROW()-1)))),1,0))=16),MIN(LOOKUP(,-1/($Z$12:Z1240=1),$C$12:C1240)+LOOKUP(,-1/($Z$12:Z1240=1),$H$12:H1240),Первоначальный[[#This Row],[Полученный платеж]]+Y1239),
AND(S1239=0,TYPE(VLOOKUP("Да",(INDIRECT("AA"&amp;(MAX((1=Z$12:Z1239)*ROW(Z$12:Z1239),ROW($T$12))&amp;":AA"&amp;(ROW()-1)))),1,0))&lt;&gt;16),MIN(LOOKUP(,-1/($Z$12:Z1240=1),$C$12:C1240)+LOOKUP(,-1/($Z$12:Z1240=1),$H$12:H1240)-IF(AA1239="Да",0,SUM(INDIRECT("T"&amp;(MAX(("Да"=AA$12:AA1239)*ROW(AA$12:AA1239)+1,ROW($T$12))&amp;":T"&amp;(ROW()-1))))),Первоначальный[[#This Row],[Полученный платеж]]+Y1239),
AND(S1239=0,MAX((0&lt;&gt;N$12:N1239)*ROW(N$12:N1239),ROW($S$12))&gt;=MAX((1=Z$12:Z1239)*ROW(Z$12:Z1239),ROW($T$12))),MIN(LOOKUP(,-1/($Z$12:Z1240=1),$C$12:C1240)+LOOKUP(,-1/($Z$12:Z1240=1),$H$12:H1240)-IF(N1239&lt;&gt;0,0,SUM(INDIRECT("T"&amp;(MAX((0&lt;&gt;N$12:N1239)*ROW(N$12:N1239)+1,ROW($T$12))&amp;":T"&amp;(ROW()-1))))),Первоначальный[[#This Row],[Полученный платеж]]+Y1239),
AND(S1239=0,Первоначальный[[#This Row],[Дата платежа из графика]]=1),MIN(LOOKUP(,-1/($Z$12:Z1240=1),$C$12:C1240)+LOOKUP(,-1/($Z$12:Z1240=1),$H$12:H1240)-IF(Z1239=1,0,SUM(INDIRECT("T"&amp;(MAX((1=Z$12:Z1239)*ROW(Z$12:Z1239)+1,ROW($T$12))&amp;":T"&amp;(ROW()-1))))),Первоначальный[[#This Row],[Полученный платеж]]+Y1239),
AND(Z1239&gt;0,Первоначальный[[#This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платеж]]+Y1239),
AND(S1239&gt;0,MAX((0&lt;&gt;S$12:S1239)*ROW(S$12:S1239),ROW($S$12))&gt;=MAX((1=Z$12:Z1239)*ROW(Z$12:Z1239),ROW($T$12)),TYPE(VLOOKUP("Да",(INDIRECT("AA"&amp;(MAX((1=Z$12:Z1239)*ROW(Z$12:Z1239),ROW($T$12))&amp;":AA"&amp;(ROW()-1)))),1,0))=16),MIN(LOOKUP(,-1/($Z$12:Z1240=1),$C$12:C1240)+LOOKUP(,-1/($Z$12:Z1240=1),$H$12:H1240)-SUM(INDIRECT("T"&amp;(MAX((1=Z$12:Z1239)*ROW(Z$12:Z1239),ROW($T$12))&amp;":T"&amp;(ROW()-1)))),Первоначальный[[#This Row],[Полученный платеж]]+Y1239),
S1239&gt;0,MIN(LOOKUP(,-1/($Z$12:Z1240=1),$C$12:C1240)+LOOKUP(,-1/($Z$12:Z1240=1),$H$12:H1240)-IF(Z1239=1,0,SUM(INDIRECT("T"&amp;(MAX((1=Z$12:Z1239)*ROW(Z$12:Z1239)+1,ROW($T$12))&amp;":T"&amp;(ROW()-1))))),Первоначальный[[#This Row],[Полученный платеж]]+Y1239)
)
)
)</f>
        <v>0</v>
      </c>
      <c r="U124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платеж]]+Y1239-Первоначальный[[#This Row],[Полученный платёж по процентам]])</f>
        <v>0</v>
      </c>
      <c r="V1240" s="55">
        <f t="shared" ca="1" si="231"/>
        <v>0</v>
      </c>
      <c r="W1240" s="55" cm="1">
        <f t="array" aca="1" ref="W1240" ca="1">IF(Первоначальный[[#This Row],[Итого остаток на начало периода]]&lt;1,0,
_xlfn.IFS(
AND(TYPE(VLOOKUP(1,$Z$12:Z1240,1,0))=16,Первоначальный[[#This Row],[Досрочное погашение (да/"")]]=""),0,
AND(S1239=0,Первоначальный[[#This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платеж]]+Y1239-SUM(Первоначальный[[#This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комиссиям]]),VLOOKUP(LOOKUP(,-1/($Z$12:Z1240=1),$A$12:A1240),График[[Срок конец]:[Возврат основной суммы долга]],3,0)),
AND(S1239=0,Первоначальный[[#This Row],[Дата платежа из графика]]="",Первоначальный[[#This Row],[Досрочное погашение (да/"")]]&lt;&gt;"Да"),0,
AND(S1239=0,Первоначальный[[#This Row],[Досрочное погашение (да/"")]]=""),MIN(Первоначальный[[#This Row],[Полученный платеж]]+Y1239-SUM(Первоначальный[[#This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комиссиям]]),VLOOKUP(LOOKUP(,-1/($Z$12:Z1240=1),$A$12:A1240),График[[Срок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платеж]]+Y1239-SUM(Первоначальный[[#This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S1239&gt;0,MIN(Первоначальный[[#This Row],[Полученный платеж]]+Y1239-SUM(Первоначальный[[#This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комиссиям]]),SUM(INDIRECT("M"&amp;(MAX((1=S$12:S1239)*ROW(S$12:S1239),ROW($W$12))&amp;":M"&amp;(ROW()))))-SUM(INDIRECT("W"&amp;(MAX((1=S$12:S1239)*ROW(S$12:S1239),ROW($W$12))&amp;":W"&amp;(ROW()-1)))))
)
)</f>
        <v>0</v>
      </c>
      <c r="X1240" s="55">
        <f t="shared" ca="1" si="232"/>
        <v>0</v>
      </c>
      <c r="Y1240" s="101">
        <f t="shared" ca="1" si="239"/>
        <v>0</v>
      </c>
      <c r="Z1240" s="133" t="str">
        <f>IF(TYPE((VLOOKUP(Первоначальный[[#This Row],[Дата платежа]],График[Срок конец],1,0)))=16,"",1)</f>
        <v/>
      </c>
      <c r="AA1240" s="57"/>
      <c r="AB1240" s="134"/>
      <c r="AC124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4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88948.720000000016</v>
      </c>
      <c r="AE124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6143.1399999999885</v>
      </c>
      <c r="AF124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4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315972.67472458974</v>
      </c>
      <c r="AH1240" s="55"/>
      <c r="AI1240" s="55"/>
      <c r="AJ1240" s="55"/>
      <c r="AK1240" s="101">
        <f t="shared" ca="1" si="240"/>
        <v>560697.87472458975</v>
      </c>
      <c r="AL1240" s="129">
        <f t="array" ref="AL1240">MAX((УслРестрактов[Характеристика]="Дата реструктуризации")*(УслРестрактов[Значение]=Первоначальный!$A1240),0)</f>
        <v>0</v>
      </c>
    </row>
    <row r="1241" spans="1:38" x14ac:dyDescent="0.25">
      <c r="A1241" s="97">
        <f t="shared" si="233"/>
        <v>45372</v>
      </c>
      <c r="B1241" s="100">
        <f t="shared" ca="1" si="234"/>
        <v>149633.34</v>
      </c>
      <c r="C1241" s="55">
        <f t="shared" ca="1" si="230"/>
        <v>88948.720000000016</v>
      </c>
      <c r="D1241" s="55">
        <f t="shared" ca="1" si="230"/>
        <v>6143.1399999999885</v>
      </c>
      <c r="E1241" s="55">
        <f t="shared" ca="1" si="235"/>
        <v>0</v>
      </c>
      <c r="F1241" s="55">
        <f t="shared" ca="1" si="236"/>
        <v>315972.67472458974</v>
      </c>
      <c r="G1241" s="101">
        <f t="shared" ca="1" si="237"/>
        <v>560697.87472458975</v>
      </c>
      <c r="H1241" s="100">
        <f ca="1">ROUND($B1241*VLOOKUP($A1241,$A$1:$B$10,2,1)/(365+IF(MOD(YEAR($A1241),4),0,1)*($A1241-$A1240)),2)-Первоначальный[[#This Row],[Проценты на просроченный платеж по ОД за период]]</f>
        <v>69.459999999999994</v>
      </c>
      <c r="I1241" s="55">
        <f t="shared" ca="1" si="238"/>
        <v>11.9</v>
      </c>
      <c r="J1241" s="55">
        <v>0</v>
      </c>
      <c r="K1241" s="55">
        <f t="shared" ca="1" si="241"/>
        <v>550.36350327868843</v>
      </c>
      <c r="L1241" s="55">
        <v>0</v>
      </c>
      <c r="M1241" s="113">
        <f>SUMIFS(График[Возврат основной суммы долга],График[Дата с учетом нерабочих дней],$A1241)</f>
        <v>0</v>
      </c>
      <c r="N1241" s="56">
        <f>SUMIFS(График[Возврат начисленных %],График[Дата с учетом нерабочих дней],$A1241)</f>
        <v>0</v>
      </c>
      <c r="O1241" s="101">
        <v>0</v>
      </c>
      <c r="P1241" s="100" cm="1">
        <f t="array" aca="1" ref="P1241" ca="1">MAX(IF(AA1240="Да",0,SUM(INDIRECT("M"&amp;(MAX(("Да"=AA$12:AA1240)*ROW(AA$12:AA1240)+1,ROW($P$12))&amp;":M"&amp;(ROW()))))-SUM(INDIRECT("W"&amp;(MAX(("Да"=AA$12:AA1240)*ROW(AA$12:AA1240)+1,ROW($P$12))&amp;":W"&amp;(ROW()))))),0)</f>
        <v>21893.109999999997</v>
      </c>
      <c r="Q1241" s="99">
        <f ca="1">MAX(SUM($N$13:N1241)-SUM($T$13:T1241),0)</f>
        <v>88179.590655737687</v>
      </c>
      <c r="R1241" s="99">
        <f ca="1">Первоначальный[[#This Row],[Просроченный платеж по ОД]]+Первоначальный[[#This Row],[Просроченный платеж по процентам]]</f>
        <v>110072.70065573769</v>
      </c>
      <c r="S1241" s="120">
        <f ca="1">IF(Первоначальный[[#This Row],[Просроченный платеж]]&lt;1,0,S1240+1)</f>
        <v>1137</v>
      </c>
      <c r="T1241" s="100" cm="1">
        <f t="array" aca="1" ref="T1241" ca="1">IF(Первоначальный[[#This Row],[Итого остаток на начало периода]]&lt;1,0,
IF(
AND(TYPE(VLOOKUP(1,$Z$12:Z1241,1,0))=16,Первоначальный[[#This Row],[Досрочное погашение (да/"")]]=""),0,
_xlfn.IFS(AND(S1240=0,Первоначальный[[#This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платеж]]&lt;&gt;0),MIN(LOOKUP(,-1/($Z$12:Z1241=1),$C$12:C1241)+LOOKUP(,-1/($Z$12:Z1241=1),$H$12:H1241),Первоначальный[[#This Row],[Полученный платеж]]+Y1240),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платеж]]+Y1240,SUM(Первоначальный[[#This Row],[Остаток процентов на начало периода]],Первоначальный[[#This Row],[Проценты за период]])),
AND(S1240=0,Первоначальный[[#This Row],[Дата платежа из графика]]=""),0,
AND(S1240=0,Первоначальный[[#This Row],[Дата платежа из графика]]=1,MAX((0&lt;&gt;S$12:S1240)*ROW(S$12:S1240),ROW($S$12))&gt;=MAX((1=Z$12:Z1240)*ROW(Z$12:Z1240),ROW($T$12)),TYPE(VLOOKUP("Да",(INDIRECT("AA"&amp;(MAX((1=Z$12:Z1240)*ROW(Z$12:Z1240),ROW($T$12))&amp;":AA"&amp;(ROW()-1)))),1,0))=16),MIN(LOOKUP(,-1/($Z$12:Z1241=1),$C$12:C1241)+LOOKUP(,-1/($Z$12:Z1241=1),$H$12:H1241),Первоначальный[[#This Row],[Полученный платеж]]+Y1240),
AND(S1240=0,TYPE(VLOOKUP("Да",(INDIRECT("AA"&amp;(MAX((1=Z$12:Z1240)*ROW(Z$12:Z1240),ROW($T$12))&amp;":AA"&amp;(ROW()-1)))),1,0))&lt;&gt;16),MIN(LOOKUP(,-1/($Z$12:Z1241=1),$C$12:C1241)+LOOKUP(,-1/($Z$12:Z1241=1),$H$12:H1241)-IF(AA1240="Да",0,SUM(INDIRECT("T"&amp;(MAX(("Да"=AA$12:AA1240)*ROW(AA$12:AA1240)+1,ROW($T$12))&amp;":T"&amp;(ROW()-1))))),Первоначальный[[#This Row],[Полученный платеж]]+Y1240),
AND(S1240=0,MAX((0&lt;&gt;N$12:N1240)*ROW(N$12:N1240),ROW($S$12))&gt;=MAX((1=Z$12:Z1240)*ROW(Z$12:Z1240),ROW($T$12))),MIN(LOOKUP(,-1/($Z$12:Z1241=1),$C$12:C1241)+LOOKUP(,-1/($Z$12:Z1241=1),$H$12:H1241)-IF(N1240&lt;&gt;0,0,SUM(INDIRECT("T"&amp;(MAX((0&lt;&gt;N$12:N1240)*ROW(N$12:N1240)+1,ROW($T$12))&amp;":T"&amp;(ROW()-1))))),Первоначальный[[#This Row],[Полученный платеж]]+Y1240),
AND(S1240=0,Первоначальный[[#This Row],[Дата платежа из графика]]=1),MIN(LOOKUP(,-1/($Z$12:Z1241=1),$C$12:C1241)+LOOKUP(,-1/($Z$12:Z1241=1),$H$12:H1241)-IF(Z1240=1,0,SUM(INDIRECT("T"&amp;(MAX((1=Z$12:Z1240)*ROW(Z$12:Z1240)+1,ROW($T$12))&amp;":T"&amp;(ROW()-1))))),Первоначальный[[#This Row],[Полученный платеж]]+Y1240),
AND(Z1240&gt;0,Первоначальный[[#This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платеж]]+Y1240),
AND(S1240&gt;0,MAX((0&lt;&gt;S$12:S1240)*ROW(S$12:S1240),ROW($S$12))&gt;=MAX((1=Z$12:Z1240)*ROW(Z$12:Z1240),ROW($T$12)),TYPE(VLOOKUP("Да",(INDIRECT("AA"&amp;(MAX((1=Z$12:Z1240)*ROW(Z$12:Z1240),ROW($T$12))&amp;":AA"&amp;(ROW()-1)))),1,0))=16),MIN(LOOKUP(,-1/($Z$12:Z1241=1),$C$12:C1241)+LOOKUP(,-1/($Z$12:Z1241=1),$H$12:H1241)-SUM(INDIRECT("T"&amp;(MAX((1=Z$12:Z1240)*ROW(Z$12:Z1240),ROW($T$12))&amp;":T"&amp;(ROW()-1)))),Первоначальный[[#This Row],[Полученный платеж]]+Y1240),
S1240&gt;0,MIN(LOOKUP(,-1/($Z$12:Z1241=1),$C$12:C1241)+LOOKUP(,-1/($Z$12:Z1241=1),$H$12:H1241)-IF(Z1240=1,0,SUM(INDIRECT("T"&amp;(MAX((1=Z$12:Z1240)*ROW(Z$12:Z1240)+1,ROW($T$12))&amp;":T"&amp;(ROW()-1))))),Первоначальный[[#This Row],[Полученный платеж]]+Y1240)
)
)
)</f>
        <v>0</v>
      </c>
      <c r="U124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платеж]]+Y1240-Первоначальный[[#This Row],[Полученный платёж по процентам]])</f>
        <v>0</v>
      </c>
      <c r="V1241" s="55">
        <f t="shared" ca="1" si="231"/>
        <v>0</v>
      </c>
      <c r="W1241" s="55" cm="1">
        <f t="array" aca="1" ref="W1241" ca="1">IF(Первоначальный[[#This Row],[Итого остаток на начало периода]]&lt;1,0,
_xlfn.IFS(
AND(TYPE(VLOOKUP(1,$Z$12:Z1241,1,0))=16,Первоначальный[[#This Row],[Досрочное погашение (да/"")]]=""),0,
AND(S1240=0,Первоначальный[[#This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платеж]]+Y1240-SUM(Первоначальный[[#This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комиссиям]]),VLOOKUP(LOOKUP(,-1/($Z$12:Z1241=1),$A$12:A1241),График[[Срок конец]:[Возврат основной суммы долга]],3,0)),
AND(S1240=0,Первоначальный[[#This Row],[Дата платежа из графика]]="",Первоначальный[[#This Row],[Досрочное погашение (да/"")]]&lt;&gt;"Да"),0,
AND(S1240=0,Первоначальный[[#This Row],[Досрочное погашение (да/"")]]=""),MIN(Первоначальный[[#This Row],[Полученный платеж]]+Y1240-SUM(Первоначальный[[#This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комиссиям]]),VLOOKUP(LOOKUP(,-1/($Z$12:Z1241=1),$A$12:A1241),График[[Срок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платеж]]+Y1240-SUM(Первоначальный[[#This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S1240&gt;0,MIN(Первоначальный[[#This Row],[Полученный платеж]]+Y1240-SUM(Первоначальный[[#This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комиссиям]]),SUM(INDIRECT("M"&amp;(MAX((1=S$12:S1240)*ROW(S$12:S1240),ROW($W$12))&amp;":M"&amp;(ROW()))))-SUM(INDIRECT("W"&amp;(MAX((1=S$12:S1240)*ROW(S$12:S1240),ROW($W$12))&amp;":W"&amp;(ROW()-1)))))
)
)</f>
        <v>0</v>
      </c>
      <c r="X1241" s="55">
        <f t="shared" ca="1" si="232"/>
        <v>0</v>
      </c>
      <c r="Y1241" s="101">
        <f t="shared" ca="1" si="239"/>
        <v>0</v>
      </c>
      <c r="Z1241" s="133" t="str">
        <f>IF(TYPE((VLOOKUP(Первоначальный[[#This Row],[Дата платежа]],График[Срок конец],1,0)))=16,"",1)</f>
        <v/>
      </c>
      <c r="AA1241" s="57"/>
      <c r="AB1241" s="134"/>
      <c r="AC124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4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89018.180000000022</v>
      </c>
      <c r="AE124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6155.0399999999881</v>
      </c>
      <c r="AF124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4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316523.03822786844</v>
      </c>
      <c r="AH1241" s="55"/>
      <c r="AI1241" s="55"/>
      <c r="AJ1241" s="55"/>
      <c r="AK1241" s="101">
        <f t="shared" ca="1" si="240"/>
        <v>561329.59822786844</v>
      </c>
      <c r="AL1241" s="129">
        <f t="array" ref="AL1241">MAX((УслРестрактов[Характеристика]="Дата реструктуризации")*(УслРестрактов[Значение]=Первоначальный!$A1241),0)</f>
        <v>0</v>
      </c>
    </row>
    <row r="1242" spans="1:38" x14ac:dyDescent="0.25">
      <c r="A1242" s="97">
        <f t="shared" si="233"/>
        <v>45373</v>
      </c>
      <c r="B1242" s="100">
        <f t="shared" ca="1" si="234"/>
        <v>149633.34</v>
      </c>
      <c r="C1242" s="55">
        <f t="shared" ca="1" si="230"/>
        <v>89018.180000000022</v>
      </c>
      <c r="D1242" s="55">
        <f t="shared" ca="1" si="230"/>
        <v>6155.0399999999881</v>
      </c>
      <c r="E1242" s="55">
        <f t="shared" ca="1" si="235"/>
        <v>0</v>
      </c>
      <c r="F1242" s="55">
        <f t="shared" ca="1" si="236"/>
        <v>316523.03822786844</v>
      </c>
      <c r="G1242" s="101">
        <f t="shared" ca="1" si="237"/>
        <v>561329.59822786844</v>
      </c>
      <c r="H1242" s="100">
        <f ca="1">ROUND($B1242*VLOOKUP($A1242,$A$1:$B$10,2,1)/(365+IF(MOD(YEAR($A1242),4),0,1)*($A1242-$A1241)),2)-Первоначальный[[#This Row],[Проценты на просроченный платеж по ОД за период]]</f>
        <v>69.459999999999994</v>
      </c>
      <c r="I1242" s="55">
        <f t="shared" ca="1" si="238"/>
        <v>11.9</v>
      </c>
      <c r="J1242" s="55">
        <v>0</v>
      </c>
      <c r="K1242" s="55">
        <f t="shared" ca="1" si="241"/>
        <v>550.36350327868843</v>
      </c>
      <c r="L1242" s="55">
        <v>0</v>
      </c>
      <c r="M1242" s="113">
        <f>SUMIFS(График[Возврат основной суммы долга],График[Дата с учетом нерабочих дней],$A1242)</f>
        <v>0</v>
      </c>
      <c r="N1242" s="56">
        <f>SUMIFS(График[Возврат начисленных %],График[Дата с учетом нерабочих дней],$A1242)</f>
        <v>0</v>
      </c>
      <c r="O1242" s="101">
        <v>0</v>
      </c>
      <c r="P1242" s="100" cm="1">
        <f t="array" aca="1" ref="P1242" ca="1">MAX(IF(AA1241="Да",0,SUM(INDIRECT("M"&amp;(MAX(("Да"=AA$12:AA1241)*ROW(AA$12:AA1241)+1,ROW($P$12))&amp;":M"&amp;(ROW()))))-SUM(INDIRECT("W"&amp;(MAX(("Да"=AA$12:AA1241)*ROW(AA$12:AA1241)+1,ROW($P$12))&amp;":W"&amp;(ROW()))))),0)</f>
        <v>21893.109999999997</v>
      </c>
      <c r="Q1242" s="99">
        <f ca="1">MAX(SUM($N$13:N1242)-SUM($T$13:T1242),0)</f>
        <v>88179.590655737687</v>
      </c>
      <c r="R1242" s="99">
        <f ca="1">Первоначальный[[#This Row],[Просроченный платеж по ОД]]+Первоначальный[[#This Row],[Просроченный платеж по процентам]]</f>
        <v>110072.70065573769</v>
      </c>
      <c r="S1242" s="120">
        <f ca="1">IF(Первоначальный[[#This Row],[Просроченный платеж]]&lt;1,0,S1241+1)</f>
        <v>1138</v>
      </c>
      <c r="T1242" s="100" cm="1">
        <f t="array" aca="1" ref="T1242" ca="1">IF(Первоначальный[[#This Row],[Итого остаток на начало периода]]&lt;1,0,
IF(
AND(TYPE(VLOOKUP(1,$Z$12:Z1242,1,0))=16,Первоначальный[[#This Row],[Досрочное погашение (да/"")]]=""),0,
_xlfn.IFS(AND(S1241=0,Первоначальный[[#This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платеж]]&lt;&gt;0),MIN(LOOKUP(,-1/($Z$12:Z1242=1),$C$12:C1242)+LOOKUP(,-1/($Z$12:Z1242=1),$H$12:H1242),Первоначальный[[#This Row],[Полученный платеж]]+Y1241),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платеж]]+Y1241,SUM(Первоначальный[[#This Row],[Остаток процентов на начало периода]],Первоначальный[[#This Row],[Проценты за период]])),
AND(S1241=0,Первоначальный[[#This Row],[Дата платежа из графика]]=""),0,
AND(S1241=0,Первоначальный[[#This Row],[Дата платежа из графика]]=1,MAX((0&lt;&gt;S$12:S1241)*ROW(S$12:S1241),ROW($S$12))&gt;=MAX((1=Z$12:Z1241)*ROW(Z$12:Z1241),ROW($T$12)),TYPE(VLOOKUP("Да",(INDIRECT("AA"&amp;(MAX((1=Z$12:Z1241)*ROW(Z$12:Z1241),ROW($T$12))&amp;":AA"&amp;(ROW()-1)))),1,0))=16),MIN(LOOKUP(,-1/($Z$12:Z1242=1),$C$12:C1242)+LOOKUP(,-1/($Z$12:Z1242=1),$H$12:H1242),Первоначальный[[#This Row],[Полученный платеж]]+Y1241),
AND(S1241=0,TYPE(VLOOKUP("Да",(INDIRECT("AA"&amp;(MAX((1=Z$12:Z1241)*ROW(Z$12:Z1241),ROW($T$12))&amp;":AA"&amp;(ROW()-1)))),1,0))&lt;&gt;16),MIN(LOOKUP(,-1/($Z$12:Z1242=1),$C$12:C1242)+LOOKUP(,-1/($Z$12:Z1242=1),$H$12:H1242)-IF(AA1241="Да",0,SUM(INDIRECT("T"&amp;(MAX(("Да"=AA$12:AA1241)*ROW(AA$12:AA1241)+1,ROW($T$12))&amp;":T"&amp;(ROW()-1))))),Первоначальный[[#This Row],[Полученный платеж]]+Y1241),
AND(S1241=0,MAX((0&lt;&gt;N$12:N1241)*ROW(N$12:N1241),ROW($S$12))&gt;=MAX((1=Z$12:Z1241)*ROW(Z$12:Z1241),ROW($T$12))),MIN(LOOKUP(,-1/($Z$12:Z1242=1),$C$12:C1242)+LOOKUP(,-1/($Z$12:Z1242=1),$H$12:H1242)-IF(N1241&lt;&gt;0,0,SUM(INDIRECT("T"&amp;(MAX((0&lt;&gt;N$12:N1241)*ROW(N$12:N1241)+1,ROW($T$12))&amp;":T"&amp;(ROW()-1))))),Первоначальный[[#This Row],[Полученный платеж]]+Y1241),
AND(S1241=0,Первоначальный[[#This Row],[Дата платежа из графика]]=1),MIN(LOOKUP(,-1/($Z$12:Z1242=1),$C$12:C1242)+LOOKUP(,-1/($Z$12:Z1242=1),$H$12:H1242)-IF(Z1241=1,0,SUM(INDIRECT("T"&amp;(MAX((1=Z$12:Z1241)*ROW(Z$12:Z1241)+1,ROW($T$12))&amp;":T"&amp;(ROW()-1))))),Первоначальный[[#This Row],[Полученный платеж]]+Y1241),
AND(Z1241&gt;0,Первоначальный[[#This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платеж]]+Y1241),
AND(S1241&gt;0,MAX((0&lt;&gt;S$12:S1241)*ROW(S$12:S1241),ROW($S$12))&gt;=MAX((1=Z$12:Z1241)*ROW(Z$12:Z1241),ROW($T$12)),TYPE(VLOOKUP("Да",(INDIRECT("AA"&amp;(MAX((1=Z$12:Z1241)*ROW(Z$12:Z1241),ROW($T$12))&amp;":AA"&amp;(ROW()-1)))),1,0))=16),MIN(LOOKUP(,-1/($Z$12:Z1242=1),$C$12:C1242)+LOOKUP(,-1/($Z$12:Z1242=1),$H$12:H1242)-SUM(INDIRECT("T"&amp;(MAX((1=Z$12:Z1241)*ROW(Z$12:Z1241),ROW($T$12))&amp;":T"&amp;(ROW()-1)))),Первоначальный[[#This Row],[Полученный платеж]]+Y1241),
S1241&gt;0,MIN(LOOKUP(,-1/($Z$12:Z1242=1),$C$12:C1242)+LOOKUP(,-1/($Z$12:Z1242=1),$H$12:H1242)-IF(Z1241=1,0,SUM(INDIRECT("T"&amp;(MAX((1=Z$12:Z1241)*ROW(Z$12:Z1241)+1,ROW($T$12))&amp;":T"&amp;(ROW()-1))))),Первоначальный[[#This Row],[Полученный платеж]]+Y1241)
)
)
)</f>
        <v>0</v>
      </c>
      <c r="U124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платеж]]+Y1241-Первоначальный[[#This Row],[Полученный платёж по процентам]])</f>
        <v>0</v>
      </c>
      <c r="V1242" s="55">
        <f t="shared" ca="1" si="231"/>
        <v>0</v>
      </c>
      <c r="W1242" s="55" cm="1">
        <f t="array" aca="1" ref="W1242" ca="1">IF(Первоначальный[[#This Row],[Итого остаток на начало периода]]&lt;1,0,
_xlfn.IFS(
AND(TYPE(VLOOKUP(1,$Z$12:Z1242,1,0))=16,Первоначальный[[#This Row],[Досрочное погашение (да/"")]]=""),0,
AND(S1241=0,Первоначальный[[#This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платеж]]+Y1241-SUM(Первоначальный[[#This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комиссиям]]),VLOOKUP(LOOKUP(,-1/($Z$12:Z1242=1),$A$12:A1242),График[[Срок конец]:[Возврат основной суммы долга]],3,0)),
AND(S1241=0,Первоначальный[[#This Row],[Дата платежа из графика]]="",Первоначальный[[#This Row],[Досрочное погашение (да/"")]]&lt;&gt;"Да"),0,
AND(S1241=0,Первоначальный[[#This Row],[Досрочное погашение (да/"")]]=""),MIN(Первоначальный[[#This Row],[Полученный платеж]]+Y1241-SUM(Первоначальный[[#This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комиссиям]]),VLOOKUP(LOOKUP(,-1/($Z$12:Z1242=1),$A$12:A1242),График[[Срок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платеж]]+Y1241-SUM(Первоначальный[[#This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S1241&gt;0,MIN(Первоначальный[[#This Row],[Полученный платеж]]+Y1241-SUM(Первоначальный[[#This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комиссиям]]),SUM(INDIRECT("M"&amp;(MAX((1=S$12:S1241)*ROW(S$12:S1241),ROW($W$12))&amp;":M"&amp;(ROW()))))-SUM(INDIRECT("W"&amp;(MAX((1=S$12:S1241)*ROW(S$12:S1241),ROW($W$12))&amp;":W"&amp;(ROW()-1)))))
)
)</f>
        <v>0</v>
      </c>
      <c r="X1242" s="55">
        <f t="shared" ca="1" si="232"/>
        <v>0</v>
      </c>
      <c r="Y1242" s="101">
        <f t="shared" ca="1" si="239"/>
        <v>0</v>
      </c>
      <c r="Z1242" s="133" t="str">
        <f>IF(TYPE((VLOOKUP(Первоначальный[[#This Row],[Дата платежа]],График[Срок конец],1,0)))=16,"",1)</f>
        <v/>
      </c>
      <c r="AA1242" s="57"/>
      <c r="AB1242" s="134"/>
      <c r="AC124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4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89087.640000000029</v>
      </c>
      <c r="AE124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6166.9399999999878</v>
      </c>
      <c r="AF124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4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317073.40173114714</v>
      </c>
      <c r="AH1242" s="55"/>
      <c r="AI1242" s="55"/>
      <c r="AJ1242" s="55"/>
      <c r="AK1242" s="101">
        <f t="shared" ca="1" si="240"/>
        <v>561961.32173114712</v>
      </c>
      <c r="AL1242" s="129">
        <f t="array" ref="AL1242">MAX((УслРестрактов[Характеристика]="Дата реструктуризации")*(УслРестрактов[Значение]=Первоначальный!$A1242),0)</f>
        <v>0</v>
      </c>
    </row>
    <row r="1243" spans="1:38" x14ac:dyDescent="0.25">
      <c r="A1243" s="97">
        <f t="shared" si="233"/>
        <v>45374</v>
      </c>
      <c r="B1243" s="100">
        <f t="shared" ca="1" si="234"/>
        <v>149633.34</v>
      </c>
      <c r="C1243" s="55">
        <f t="shared" ca="1" si="230"/>
        <v>89087.640000000029</v>
      </c>
      <c r="D1243" s="55">
        <f t="shared" ca="1" si="230"/>
        <v>6166.9399999999878</v>
      </c>
      <c r="E1243" s="55">
        <f t="shared" ca="1" si="235"/>
        <v>0</v>
      </c>
      <c r="F1243" s="55">
        <f t="shared" ca="1" si="236"/>
        <v>317073.40173114714</v>
      </c>
      <c r="G1243" s="101">
        <f t="shared" ca="1" si="237"/>
        <v>561961.32173114712</v>
      </c>
      <c r="H1243" s="100">
        <f ca="1">ROUND($B1243*VLOOKUP($A1243,$A$1:$B$10,2,1)/(365+IF(MOD(YEAR($A1243),4),0,1)*($A1243-$A1242)),2)-Первоначальный[[#This Row],[Проценты на просроченный платеж по ОД за период]]</f>
        <v>69.459999999999994</v>
      </c>
      <c r="I1243" s="55">
        <f t="shared" ca="1" si="238"/>
        <v>11.9</v>
      </c>
      <c r="J1243" s="55">
        <v>0</v>
      </c>
      <c r="K1243" s="55">
        <f t="shared" ca="1" si="241"/>
        <v>550.36350327868843</v>
      </c>
      <c r="L1243" s="55">
        <v>0</v>
      </c>
      <c r="M1243" s="113">
        <f>SUMIFS(График[Возврат основной суммы долга],График[Дата с учетом нерабочих дней],$A1243)</f>
        <v>0</v>
      </c>
      <c r="N1243" s="56">
        <f>SUMIFS(График[Возврат начисленных %],График[Дата с учетом нерабочих дней],$A1243)</f>
        <v>0</v>
      </c>
      <c r="O1243" s="101">
        <v>0</v>
      </c>
      <c r="P1243" s="100" cm="1">
        <f t="array" aca="1" ref="P1243" ca="1">MAX(IF(AA1242="Да",0,SUM(INDIRECT("M"&amp;(MAX(("Да"=AA$12:AA1242)*ROW(AA$12:AA1242)+1,ROW($P$12))&amp;":M"&amp;(ROW()))))-SUM(INDIRECT("W"&amp;(MAX(("Да"=AA$12:AA1242)*ROW(AA$12:AA1242)+1,ROW($P$12))&amp;":W"&amp;(ROW()))))),0)</f>
        <v>21893.109999999997</v>
      </c>
      <c r="Q1243" s="99">
        <f ca="1">MAX(SUM($N$13:N1243)-SUM($T$13:T1243),0)</f>
        <v>88179.590655737687</v>
      </c>
      <c r="R1243" s="99">
        <f ca="1">Первоначальный[[#This Row],[Просроченный платеж по ОД]]+Первоначальный[[#This Row],[Просроченный платеж по процентам]]</f>
        <v>110072.70065573769</v>
      </c>
      <c r="S1243" s="120">
        <f ca="1">IF(Первоначальный[[#This Row],[Просроченный платеж]]&lt;1,0,S1242+1)</f>
        <v>1139</v>
      </c>
      <c r="T1243" s="100" cm="1">
        <f t="array" aca="1" ref="T1243" ca="1">IF(Первоначальный[[#This Row],[Итого остаток на начало периода]]&lt;1,0,
IF(
AND(TYPE(VLOOKUP(1,$Z$12:Z1243,1,0))=16,Первоначальный[[#This Row],[Досрочное погашение (да/"")]]=""),0,
_xlfn.IFS(AND(S1242=0,Первоначальный[[#This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платеж]]&lt;&gt;0),MIN(LOOKUP(,-1/($Z$12:Z1243=1),$C$12:C1243)+LOOKUP(,-1/($Z$12:Z1243=1),$H$12:H1243),Первоначальный[[#This Row],[Полученный платеж]]+Y1242),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платеж]]+Y1242,SUM(Первоначальный[[#This Row],[Остаток процентов на начало периода]],Первоначальный[[#This Row],[Проценты за период]])),
AND(S1242=0,Первоначальный[[#This Row],[Дата платежа из графика]]=""),0,
AND(S1242=0,Первоначальный[[#This Row],[Дата платежа из графика]]=1,MAX((0&lt;&gt;S$12:S1242)*ROW(S$12:S1242),ROW($S$12))&gt;=MAX((1=Z$12:Z1242)*ROW(Z$12:Z1242),ROW($T$12)),TYPE(VLOOKUP("Да",(INDIRECT("AA"&amp;(MAX((1=Z$12:Z1242)*ROW(Z$12:Z1242),ROW($T$12))&amp;":AA"&amp;(ROW()-1)))),1,0))=16),MIN(LOOKUP(,-1/($Z$12:Z1243=1),$C$12:C1243)+LOOKUP(,-1/($Z$12:Z1243=1),$H$12:H1243),Первоначальный[[#This Row],[Полученный платеж]]+Y1242),
AND(S1242=0,TYPE(VLOOKUP("Да",(INDIRECT("AA"&amp;(MAX((1=Z$12:Z1242)*ROW(Z$12:Z1242),ROW($T$12))&amp;":AA"&amp;(ROW()-1)))),1,0))&lt;&gt;16),MIN(LOOKUP(,-1/($Z$12:Z1243=1),$C$12:C1243)+LOOKUP(,-1/($Z$12:Z1243=1),$H$12:H1243)-IF(AA1242="Да",0,SUM(INDIRECT("T"&amp;(MAX(("Да"=AA$12:AA1242)*ROW(AA$12:AA1242)+1,ROW($T$12))&amp;":T"&amp;(ROW()-1))))),Первоначальный[[#This Row],[Полученный платеж]]+Y1242),
AND(S1242=0,MAX((0&lt;&gt;N$12:N1242)*ROW(N$12:N1242),ROW($S$12))&gt;=MAX((1=Z$12:Z1242)*ROW(Z$12:Z1242),ROW($T$12))),MIN(LOOKUP(,-1/($Z$12:Z1243=1),$C$12:C1243)+LOOKUP(,-1/($Z$12:Z1243=1),$H$12:H1243)-IF(N1242&lt;&gt;0,0,SUM(INDIRECT("T"&amp;(MAX((0&lt;&gt;N$12:N1242)*ROW(N$12:N1242)+1,ROW($T$12))&amp;":T"&amp;(ROW()-1))))),Первоначальный[[#This Row],[Полученный платеж]]+Y1242),
AND(S1242=0,Первоначальный[[#This Row],[Дата платежа из графика]]=1),MIN(LOOKUP(,-1/($Z$12:Z1243=1),$C$12:C1243)+LOOKUP(,-1/($Z$12:Z1243=1),$H$12:H1243)-IF(Z1242=1,0,SUM(INDIRECT("T"&amp;(MAX((1=Z$12:Z1242)*ROW(Z$12:Z1242)+1,ROW($T$12))&amp;":T"&amp;(ROW()-1))))),Первоначальный[[#This Row],[Полученный платеж]]+Y1242),
AND(Z1242&gt;0,Первоначальный[[#This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платеж]]+Y1242),
AND(S1242&gt;0,MAX((0&lt;&gt;S$12:S1242)*ROW(S$12:S1242),ROW($S$12))&gt;=MAX((1=Z$12:Z1242)*ROW(Z$12:Z1242),ROW($T$12)),TYPE(VLOOKUP("Да",(INDIRECT("AA"&amp;(MAX((1=Z$12:Z1242)*ROW(Z$12:Z1242),ROW($T$12))&amp;":AA"&amp;(ROW()-1)))),1,0))=16),MIN(LOOKUP(,-1/($Z$12:Z1243=1),$C$12:C1243)+LOOKUP(,-1/($Z$12:Z1243=1),$H$12:H1243)-SUM(INDIRECT("T"&amp;(MAX((1=Z$12:Z1242)*ROW(Z$12:Z1242),ROW($T$12))&amp;":T"&amp;(ROW()-1)))),Первоначальный[[#This Row],[Полученный платеж]]+Y1242),
S1242&gt;0,MIN(LOOKUP(,-1/($Z$12:Z1243=1),$C$12:C1243)+LOOKUP(,-1/($Z$12:Z1243=1),$H$12:H1243)-IF(Z1242=1,0,SUM(INDIRECT("T"&amp;(MAX((1=Z$12:Z1242)*ROW(Z$12:Z1242)+1,ROW($T$12))&amp;":T"&amp;(ROW()-1))))),Первоначальный[[#This Row],[Полученный платеж]]+Y1242)
)
)
)</f>
        <v>0</v>
      </c>
      <c r="U124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платеж]]+Y1242-Первоначальный[[#This Row],[Полученный платёж по процентам]])</f>
        <v>0</v>
      </c>
      <c r="V1243" s="55">
        <f t="shared" ca="1" si="231"/>
        <v>0</v>
      </c>
      <c r="W1243" s="55" cm="1">
        <f t="array" aca="1" ref="W1243" ca="1">IF(Первоначальный[[#This Row],[Итого остаток на начало периода]]&lt;1,0,
_xlfn.IFS(
AND(TYPE(VLOOKUP(1,$Z$12:Z1243,1,0))=16,Первоначальный[[#This Row],[Досрочное погашение (да/"")]]=""),0,
AND(S1242=0,Первоначальный[[#This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платеж]]+Y1242-SUM(Первоначальный[[#This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комиссиям]]),VLOOKUP(LOOKUP(,-1/($Z$12:Z1243=1),$A$12:A1243),График[[Срок конец]:[Возврат основной суммы долга]],3,0)),
AND(S1242=0,Первоначальный[[#This Row],[Дата платежа из графика]]="",Первоначальный[[#This Row],[Досрочное погашение (да/"")]]&lt;&gt;"Да"),0,
AND(S1242=0,Первоначальный[[#This Row],[Досрочное погашение (да/"")]]=""),MIN(Первоначальный[[#This Row],[Полученный платеж]]+Y1242-SUM(Первоначальный[[#This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комиссиям]]),VLOOKUP(LOOKUP(,-1/($Z$12:Z1243=1),$A$12:A1243),График[[Срок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платеж]]+Y1242-SUM(Первоначальный[[#This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S1242&gt;0,MIN(Первоначальный[[#This Row],[Полученный платеж]]+Y1242-SUM(Первоначальный[[#This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комиссиям]]),SUM(INDIRECT("M"&amp;(MAX((1=S$12:S1242)*ROW(S$12:S1242),ROW($W$12))&amp;":M"&amp;(ROW()))))-SUM(INDIRECT("W"&amp;(MAX((1=S$12:S1242)*ROW(S$12:S1242),ROW($W$12))&amp;":W"&amp;(ROW()-1)))))
)
)</f>
        <v>0</v>
      </c>
      <c r="X1243" s="55">
        <f t="shared" ca="1" si="232"/>
        <v>0</v>
      </c>
      <c r="Y1243" s="101">
        <f t="shared" ca="1" si="239"/>
        <v>0</v>
      </c>
      <c r="Z1243" s="133" t="str">
        <f>IF(TYPE((VLOOKUP(Первоначальный[[#This Row],[Дата платежа]],График[Срок конец],1,0)))=16,"",1)</f>
        <v/>
      </c>
      <c r="AA1243" s="57"/>
      <c r="AB1243" s="134"/>
      <c r="AC124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4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89157.100000000035</v>
      </c>
      <c r="AE124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6178.8399999999874</v>
      </c>
      <c r="AF124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4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317623.76523442584</v>
      </c>
      <c r="AH1243" s="55"/>
      <c r="AI1243" s="55"/>
      <c r="AJ1243" s="55"/>
      <c r="AK1243" s="101">
        <f t="shared" ca="1" si="240"/>
        <v>562593.04523442592</v>
      </c>
      <c r="AL1243" s="129">
        <f t="array" ref="AL1243">MAX((УслРестрактов[Характеристика]="Дата реструктуризации")*(УслРестрактов[Значение]=Первоначальный!$A1243),0)</f>
        <v>0</v>
      </c>
    </row>
    <row r="1244" spans="1:38" x14ac:dyDescent="0.25">
      <c r="A1244" s="97">
        <f t="shared" si="233"/>
        <v>45375</v>
      </c>
      <c r="B1244" s="100">
        <f t="shared" ca="1" si="234"/>
        <v>149633.34</v>
      </c>
      <c r="C1244" s="55">
        <f t="shared" ca="1" si="230"/>
        <v>89157.100000000035</v>
      </c>
      <c r="D1244" s="55">
        <f t="shared" ca="1" si="230"/>
        <v>6178.8399999999874</v>
      </c>
      <c r="E1244" s="55">
        <f t="shared" ca="1" si="235"/>
        <v>0</v>
      </c>
      <c r="F1244" s="55">
        <f t="shared" ca="1" si="236"/>
        <v>317623.76523442584</v>
      </c>
      <c r="G1244" s="101">
        <f t="shared" ca="1" si="237"/>
        <v>562593.04523442592</v>
      </c>
      <c r="H1244" s="100">
        <f ca="1">ROUND($B1244*VLOOKUP($A1244,$A$1:$B$10,2,1)/(365+IF(MOD(YEAR($A1244),4),0,1)*($A1244-$A1243)),2)-Первоначальный[[#This Row],[Проценты на просроченный платеж по ОД за период]]</f>
        <v>69.459999999999994</v>
      </c>
      <c r="I1244" s="55">
        <f t="shared" ca="1" si="238"/>
        <v>11.9</v>
      </c>
      <c r="J1244" s="55">
        <v>0</v>
      </c>
      <c r="K1244" s="55">
        <f t="shared" ca="1" si="241"/>
        <v>550.36350327868843</v>
      </c>
      <c r="L1244" s="55">
        <v>0</v>
      </c>
      <c r="M1244" s="113">
        <f>SUMIFS(График[Возврат основной суммы долга],График[Дата с учетом нерабочих дней],$A1244)</f>
        <v>0</v>
      </c>
      <c r="N1244" s="56">
        <f>SUMIFS(График[Возврат начисленных %],График[Дата с учетом нерабочих дней],$A1244)</f>
        <v>0</v>
      </c>
      <c r="O1244" s="101">
        <v>0</v>
      </c>
      <c r="P1244" s="100" cm="1">
        <f t="array" aca="1" ref="P1244" ca="1">MAX(IF(AA1243="Да",0,SUM(INDIRECT("M"&amp;(MAX(("Да"=AA$12:AA1243)*ROW(AA$12:AA1243)+1,ROW($P$12))&amp;":M"&amp;(ROW()))))-SUM(INDIRECT("W"&amp;(MAX(("Да"=AA$12:AA1243)*ROW(AA$12:AA1243)+1,ROW($P$12))&amp;":W"&amp;(ROW()))))),0)</f>
        <v>21893.109999999997</v>
      </c>
      <c r="Q1244" s="99">
        <f ca="1">MAX(SUM($N$13:N1244)-SUM($T$13:T1244),0)</f>
        <v>88179.590655737687</v>
      </c>
      <c r="R1244" s="99">
        <f ca="1">Первоначальный[[#This Row],[Просроченный платеж по ОД]]+Первоначальный[[#This Row],[Просроченный платеж по процентам]]</f>
        <v>110072.70065573769</v>
      </c>
      <c r="S1244" s="120">
        <f ca="1">IF(Первоначальный[[#This Row],[Просроченный платеж]]&lt;1,0,S1243+1)</f>
        <v>1140</v>
      </c>
      <c r="T1244" s="100" cm="1">
        <f t="array" aca="1" ref="T1244" ca="1">IF(Первоначальный[[#This Row],[Итого остаток на начало периода]]&lt;1,0,
IF(
AND(TYPE(VLOOKUP(1,$Z$12:Z1244,1,0))=16,Первоначальный[[#This Row],[Досрочное погашение (да/"")]]=""),0,
_xlfn.IFS(AND(S1243=0,Первоначальный[[#This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платеж]]&lt;&gt;0),MIN(LOOKUP(,-1/($Z$12:Z1244=1),$C$12:C1244)+LOOKUP(,-1/($Z$12:Z1244=1),$H$12:H1244),Первоначальный[[#This Row],[Полученный платеж]]+Y1243),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платеж]]+Y1243,SUM(Первоначальный[[#This Row],[Остаток процентов на начало периода]],Первоначальный[[#This Row],[Проценты за период]])),
AND(S1243=0,Первоначальный[[#This Row],[Дата платежа из графика]]=""),0,
AND(S1243=0,Первоначальный[[#This Row],[Дата платежа из графика]]=1,MAX((0&lt;&gt;S$12:S1243)*ROW(S$12:S1243),ROW($S$12))&gt;=MAX((1=Z$12:Z1243)*ROW(Z$12:Z1243),ROW($T$12)),TYPE(VLOOKUP("Да",(INDIRECT("AA"&amp;(MAX((1=Z$12:Z1243)*ROW(Z$12:Z1243),ROW($T$12))&amp;":AA"&amp;(ROW()-1)))),1,0))=16),MIN(LOOKUP(,-1/($Z$12:Z1244=1),$C$12:C1244)+LOOKUP(,-1/($Z$12:Z1244=1),$H$12:H1244),Первоначальный[[#This Row],[Полученный платеж]]+Y1243),
AND(S1243=0,TYPE(VLOOKUP("Да",(INDIRECT("AA"&amp;(MAX((1=Z$12:Z1243)*ROW(Z$12:Z1243),ROW($T$12))&amp;":AA"&amp;(ROW()-1)))),1,0))&lt;&gt;16),MIN(LOOKUP(,-1/($Z$12:Z1244=1),$C$12:C1244)+LOOKUP(,-1/($Z$12:Z1244=1),$H$12:H1244)-IF(AA1243="Да",0,SUM(INDIRECT("T"&amp;(MAX(("Да"=AA$12:AA1243)*ROW(AA$12:AA1243)+1,ROW($T$12))&amp;":T"&amp;(ROW()-1))))),Первоначальный[[#This Row],[Полученный платеж]]+Y1243),
AND(S1243=0,MAX((0&lt;&gt;N$12:N1243)*ROW(N$12:N1243),ROW($S$12))&gt;=MAX((1=Z$12:Z1243)*ROW(Z$12:Z1243),ROW($T$12))),MIN(LOOKUP(,-1/($Z$12:Z1244=1),$C$12:C1244)+LOOKUP(,-1/($Z$12:Z1244=1),$H$12:H1244)-IF(N1243&lt;&gt;0,0,SUM(INDIRECT("T"&amp;(MAX((0&lt;&gt;N$12:N1243)*ROW(N$12:N1243)+1,ROW($T$12))&amp;":T"&amp;(ROW()-1))))),Первоначальный[[#This Row],[Полученный платеж]]+Y1243),
AND(S1243=0,Первоначальный[[#This Row],[Дата платежа из графика]]=1),MIN(LOOKUP(,-1/($Z$12:Z1244=1),$C$12:C1244)+LOOKUP(,-1/($Z$12:Z1244=1),$H$12:H1244)-IF(Z1243=1,0,SUM(INDIRECT("T"&amp;(MAX((1=Z$12:Z1243)*ROW(Z$12:Z1243)+1,ROW($T$12))&amp;":T"&amp;(ROW()-1))))),Первоначальный[[#This Row],[Полученный платеж]]+Y1243),
AND(Z1243&gt;0,Первоначальный[[#This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платеж]]+Y1243),
AND(S1243&gt;0,MAX((0&lt;&gt;S$12:S1243)*ROW(S$12:S1243),ROW($S$12))&gt;=MAX((1=Z$12:Z1243)*ROW(Z$12:Z1243),ROW($T$12)),TYPE(VLOOKUP("Да",(INDIRECT("AA"&amp;(MAX((1=Z$12:Z1243)*ROW(Z$12:Z1243),ROW($T$12))&amp;":AA"&amp;(ROW()-1)))),1,0))=16),MIN(LOOKUP(,-1/($Z$12:Z1244=1),$C$12:C1244)+LOOKUP(,-1/($Z$12:Z1244=1),$H$12:H1244)-SUM(INDIRECT("T"&amp;(MAX((1=Z$12:Z1243)*ROW(Z$12:Z1243),ROW($T$12))&amp;":T"&amp;(ROW()-1)))),Первоначальный[[#This Row],[Полученный платеж]]+Y1243),
S1243&gt;0,MIN(LOOKUP(,-1/($Z$12:Z1244=1),$C$12:C1244)+LOOKUP(,-1/($Z$12:Z1244=1),$H$12:H1244)-IF(Z1243=1,0,SUM(INDIRECT("T"&amp;(MAX((1=Z$12:Z1243)*ROW(Z$12:Z1243)+1,ROW($T$12))&amp;":T"&amp;(ROW()-1))))),Первоначальный[[#This Row],[Полученный платеж]]+Y1243)
)
)
)</f>
        <v>0</v>
      </c>
      <c r="U124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платеж]]+Y1243-Первоначальный[[#This Row],[Полученный платёж по процентам]])</f>
        <v>0</v>
      </c>
      <c r="V1244" s="55">
        <f t="shared" ca="1" si="231"/>
        <v>0</v>
      </c>
      <c r="W1244" s="55" cm="1">
        <f t="array" aca="1" ref="W1244" ca="1">IF(Первоначальный[[#This Row],[Итого остаток на начало периода]]&lt;1,0,
_xlfn.IFS(
AND(TYPE(VLOOKUP(1,$Z$12:Z1244,1,0))=16,Первоначальный[[#This Row],[Досрочное погашение (да/"")]]=""),0,
AND(S1243=0,Первоначальный[[#This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платеж]]+Y1243-SUM(Первоначальный[[#This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комиссиям]]),VLOOKUP(LOOKUP(,-1/($Z$12:Z1244=1),$A$12:A1244),График[[Срок конец]:[Возврат основной суммы долга]],3,0)),
AND(S1243=0,Первоначальный[[#This Row],[Дата платежа из графика]]="",Первоначальный[[#This Row],[Досрочное погашение (да/"")]]&lt;&gt;"Да"),0,
AND(S1243=0,Первоначальный[[#This Row],[Досрочное погашение (да/"")]]=""),MIN(Первоначальный[[#This Row],[Полученный платеж]]+Y1243-SUM(Первоначальный[[#This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комиссиям]]),VLOOKUP(LOOKUP(,-1/($Z$12:Z1244=1),$A$12:A1244),График[[Срок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платеж]]+Y1243-SUM(Первоначальный[[#This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S1243&gt;0,MIN(Первоначальный[[#This Row],[Полученный платеж]]+Y1243-SUM(Первоначальный[[#This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комиссиям]]),SUM(INDIRECT("M"&amp;(MAX((1=S$12:S1243)*ROW(S$12:S1243),ROW($W$12))&amp;":M"&amp;(ROW()))))-SUM(INDIRECT("W"&amp;(MAX((1=S$12:S1243)*ROW(S$12:S1243),ROW($W$12))&amp;":W"&amp;(ROW()-1)))))
)
)</f>
        <v>0</v>
      </c>
      <c r="X1244" s="55">
        <f t="shared" ca="1" si="232"/>
        <v>0</v>
      </c>
      <c r="Y1244" s="101">
        <f t="shared" ca="1" si="239"/>
        <v>0</v>
      </c>
      <c r="Z1244" s="133" t="str">
        <f>IF(TYPE((VLOOKUP(Первоначальный[[#This Row],[Дата платежа]],График[Срок конец],1,0)))=16,"",1)</f>
        <v/>
      </c>
      <c r="AA1244" s="57"/>
      <c r="AB1244" s="134"/>
      <c r="AC124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4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89226.560000000041</v>
      </c>
      <c r="AE124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6190.739999999987</v>
      </c>
      <c r="AF124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4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318174.12873770454</v>
      </c>
      <c r="AH1244" s="55"/>
      <c r="AI1244" s="55"/>
      <c r="AJ1244" s="55"/>
      <c r="AK1244" s="101">
        <f t="shared" ca="1" si="240"/>
        <v>563224.76873770449</v>
      </c>
      <c r="AL1244" s="129">
        <f t="array" ref="AL1244">MAX((УслРестрактов[Характеристика]="Дата реструктуризации")*(УслРестрактов[Значение]=Первоначальный!$A1244),0)</f>
        <v>0</v>
      </c>
    </row>
    <row r="1245" spans="1:38" x14ac:dyDescent="0.25">
      <c r="A1245" s="97">
        <f t="shared" si="233"/>
        <v>45376</v>
      </c>
      <c r="B1245" s="100">
        <f t="shared" ca="1" si="234"/>
        <v>149633.34</v>
      </c>
      <c r="C1245" s="55">
        <f t="shared" ca="1" si="230"/>
        <v>89226.560000000041</v>
      </c>
      <c r="D1245" s="55">
        <f t="shared" ca="1" si="230"/>
        <v>6190.739999999987</v>
      </c>
      <c r="E1245" s="55">
        <f t="shared" ca="1" si="235"/>
        <v>0</v>
      </c>
      <c r="F1245" s="55">
        <f t="shared" ca="1" si="236"/>
        <v>318174.12873770454</v>
      </c>
      <c r="G1245" s="101">
        <f t="shared" ca="1" si="237"/>
        <v>563224.76873770449</v>
      </c>
      <c r="H1245" s="100">
        <f ca="1">ROUND($B1245*VLOOKUP($A1245,$A$1:$B$10,2,1)/(365+IF(MOD(YEAR($A1245),4),0,1)*($A1245-$A1244)),2)-Первоначальный[[#This Row],[Проценты на просроченный платеж по ОД за период]]</f>
        <v>69.459999999999994</v>
      </c>
      <c r="I1245" s="55">
        <f t="shared" ca="1" si="238"/>
        <v>11.9</v>
      </c>
      <c r="J1245" s="55">
        <v>0</v>
      </c>
      <c r="K1245" s="55">
        <f t="shared" ca="1" si="241"/>
        <v>550.36350327868843</v>
      </c>
      <c r="L1245" s="55">
        <v>0</v>
      </c>
      <c r="M1245" s="113">
        <f>SUMIFS(График[Возврат основной суммы долга],График[Дата с учетом нерабочих дней],$A1245)</f>
        <v>0</v>
      </c>
      <c r="N1245" s="56">
        <f>SUMIFS(График[Возврат начисленных %],График[Дата с учетом нерабочих дней],$A1245)</f>
        <v>0</v>
      </c>
      <c r="O1245" s="101">
        <v>0</v>
      </c>
      <c r="P1245" s="100" cm="1">
        <f t="array" aca="1" ref="P1245" ca="1">MAX(IF(AA1244="Да",0,SUM(INDIRECT("M"&amp;(MAX(("Да"=AA$12:AA1244)*ROW(AA$12:AA1244)+1,ROW($P$12))&amp;":M"&amp;(ROW()))))-SUM(INDIRECT("W"&amp;(MAX(("Да"=AA$12:AA1244)*ROW(AA$12:AA1244)+1,ROW($P$12))&amp;":W"&amp;(ROW()))))),0)</f>
        <v>21893.109999999997</v>
      </c>
      <c r="Q1245" s="99">
        <f ca="1">MAX(SUM($N$13:N1245)-SUM($T$13:T1245),0)</f>
        <v>88179.590655737687</v>
      </c>
      <c r="R1245" s="99">
        <f ca="1">Первоначальный[[#This Row],[Просроченный платеж по ОД]]+Первоначальный[[#This Row],[Просроченный платеж по процентам]]</f>
        <v>110072.70065573769</v>
      </c>
      <c r="S1245" s="120">
        <f ca="1">IF(Первоначальный[[#This Row],[Просроченный платеж]]&lt;1,0,S1244+1)</f>
        <v>1141</v>
      </c>
      <c r="T1245" s="100" cm="1">
        <f t="array" aca="1" ref="T1245" ca="1">IF(Первоначальный[[#This Row],[Итого остаток на начало периода]]&lt;1,0,
IF(
AND(TYPE(VLOOKUP(1,$Z$12:Z1245,1,0))=16,Первоначальный[[#This Row],[Досрочное погашение (да/"")]]=""),0,
_xlfn.IFS(AND(S1244=0,Первоначальный[[#This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платеж]]&lt;&gt;0),MIN(LOOKUP(,-1/($Z$12:Z1245=1),$C$12:C1245)+LOOKUP(,-1/($Z$12:Z1245=1),$H$12:H1245),Первоначальный[[#This Row],[Полученный платеж]]+Y1244),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платеж]]+Y1244,SUM(Первоначальный[[#This Row],[Остаток процентов на начало периода]],Первоначальный[[#This Row],[Проценты за период]])),
AND(S1244=0,Первоначальный[[#This Row],[Дата платежа из графика]]=""),0,
AND(S1244=0,Первоначальный[[#This Row],[Дата платежа из графика]]=1,MAX((0&lt;&gt;S$12:S1244)*ROW(S$12:S1244),ROW($S$12))&gt;=MAX((1=Z$12:Z1244)*ROW(Z$12:Z1244),ROW($T$12)),TYPE(VLOOKUP("Да",(INDIRECT("AA"&amp;(MAX((1=Z$12:Z1244)*ROW(Z$12:Z1244),ROW($T$12))&amp;":AA"&amp;(ROW()-1)))),1,0))=16),MIN(LOOKUP(,-1/($Z$12:Z1245=1),$C$12:C1245)+LOOKUP(,-1/($Z$12:Z1245=1),$H$12:H1245),Первоначальный[[#This Row],[Полученный платеж]]+Y1244),
AND(S1244=0,TYPE(VLOOKUP("Да",(INDIRECT("AA"&amp;(MAX((1=Z$12:Z1244)*ROW(Z$12:Z1244),ROW($T$12))&amp;":AA"&amp;(ROW()-1)))),1,0))&lt;&gt;16),MIN(LOOKUP(,-1/($Z$12:Z1245=1),$C$12:C1245)+LOOKUP(,-1/($Z$12:Z1245=1),$H$12:H1245)-IF(AA1244="Да",0,SUM(INDIRECT("T"&amp;(MAX(("Да"=AA$12:AA1244)*ROW(AA$12:AA1244)+1,ROW($T$12))&amp;":T"&amp;(ROW()-1))))),Первоначальный[[#This Row],[Полученный платеж]]+Y1244),
AND(S1244=0,MAX((0&lt;&gt;N$12:N1244)*ROW(N$12:N1244),ROW($S$12))&gt;=MAX((1=Z$12:Z1244)*ROW(Z$12:Z1244),ROW($T$12))),MIN(LOOKUP(,-1/($Z$12:Z1245=1),$C$12:C1245)+LOOKUP(,-1/($Z$12:Z1245=1),$H$12:H1245)-IF(N1244&lt;&gt;0,0,SUM(INDIRECT("T"&amp;(MAX((0&lt;&gt;N$12:N1244)*ROW(N$12:N1244)+1,ROW($T$12))&amp;":T"&amp;(ROW()-1))))),Первоначальный[[#This Row],[Полученный платеж]]+Y1244),
AND(S1244=0,Первоначальный[[#This Row],[Дата платежа из графика]]=1),MIN(LOOKUP(,-1/($Z$12:Z1245=1),$C$12:C1245)+LOOKUP(,-1/($Z$12:Z1245=1),$H$12:H1245)-IF(Z1244=1,0,SUM(INDIRECT("T"&amp;(MAX((1=Z$12:Z1244)*ROW(Z$12:Z1244)+1,ROW($T$12))&amp;":T"&amp;(ROW()-1))))),Первоначальный[[#This Row],[Полученный платеж]]+Y1244),
AND(Z1244&gt;0,Первоначальный[[#This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платеж]]+Y1244),
AND(S1244&gt;0,MAX((0&lt;&gt;S$12:S1244)*ROW(S$12:S1244),ROW($S$12))&gt;=MAX((1=Z$12:Z1244)*ROW(Z$12:Z1244),ROW($T$12)),TYPE(VLOOKUP("Да",(INDIRECT("AA"&amp;(MAX((1=Z$12:Z1244)*ROW(Z$12:Z1244),ROW($T$12))&amp;":AA"&amp;(ROW()-1)))),1,0))=16),MIN(LOOKUP(,-1/($Z$12:Z1245=1),$C$12:C1245)+LOOKUP(,-1/($Z$12:Z1245=1),$H$12:H1245)-SUM(INDIRECT("T"&amp;(MAX((1=Z$12:Z1244)*ROW(Z$12:Z1244),ROW($T$12))&amp;":T"&amp;(ROW()-1)))),Первоначальный[[#This Row],[Полученный платеж]]+Y1244),
S1244&gt;0,MIN(LOOKUP(,-1/($Z$12:Z1245=1),$C$12:C1245)+LOOKUP(,-1/($Z$12:Z1245=1),$H$12:H1245)-IF(Z1244=1,0,SUM(INDIRECT("T"&amp;(MAX((1=Z$12:Z1244)*ROW(Z$12:Z1244)+1,ROW($T$12))&amp;":T"&amp;(ROW()-1))))),Первоначальный[[#This Row],[Полученный платеж]]+Y1244)
)
)
)</f>
        <v>0</v>
      </c>
      <c r="U124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платеж]]+Y1244-Первоначальный[[#This Row],[Полученный платёж по процентам]])</f>
        <v>0</v>
      </c>
      <c r="V1245" s="55">
        <f t="shared" ca="1" si="231"/>
        <v>0</v>
      </c>
      <c r="W1245" s="55" cm="1">
        <f t="array" aca="1" ref="W1245" ca="1">IF(Первоначальный[[#This Row],[Итого остаток на начало периода]]&lt;1,0,
_xlfn.IFS(
AND(TYPE(VLOOKUP(1,$Z$12:Z1245,1,0))=16,Первоначальный[[#This Row],[Досрочное погашение (да/"")]]=""),0,
AND(S1244=0,Первоначальный[[#This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платеж]]+Y1244-SUM(Первоначальный[[#This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комиссиям]]),VLOOKUP(LOOKUP(,-1/($Z$12:Z1245=1),$A$12:A1245),График[[Срок конец]:[Возврат основной суммы долга]],3,0)),
AND(S1244=0,Первоначальный[[#This Row],[Дата платежа из графика]]="",Первоначальный[[#This Row],[Досрочное погашение (да/"")]]&lt;&gt;"Да"),0,
AND(S1244=0,Первоначальный[[#This Row],[Досрочное погашение (да/"")]]=""),MIN(Первоначальный[[#This Row],[Полученный платеж]]+Y1244-SUM(Первоначальный[[#This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комиссиям]]),VLOOKUP(LOOKUP(,-1/($Z$12:Z1245=1),$A$12:A1245),График[[Срок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платеж]]+Y1244-SUM(Первоначальный[[#This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S1244&gt;0,MIN(Первоначальный[[#This Row],[Полученный платеж]]+Y1244-SUM(Первоначальный[[#This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комиссиям]]),SUM(INDIRECT("M"&amp;(MAX((1=S$12:S1244)*ROW(S$12:S1244),ROW($W$12))&amp;":M"&amp;(ROW()))))-SUM(INDIRECT("W"&amp;(MAX((1=S$12:S1244)*ROW(S$12:S1244),ROW($W$12))&amp;":W"&amp;(ROW()-1)))))
)
)</f>
        <v>0</v>
      </c>
      <c r="X1245" s="55">
        <f t="shared" ca="1" si="232"/>
        <v>0</v>
      </c>
      <c r="Y1245" s="101">
        <f t="shared" ca="1" si="239"/>
        <v>0</v>
      </c>
      <c r="Z1245" s="133" t="str">
        <f>IF(TYPE((VLOOKUP(Первоначальный[[#This Row],[Дата платежа]],График[Срок конец],1,0)))=16,"",1)</f>
        <v/>
      </c>
      <c r="AA1245" s="57"/>
      <c r="AB1245" s="134"/>
      <c r="AC124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4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89296.020000000048</v>
      </c>
      <c r="AE124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6202.6399999999867</v>
      </c>
      <c r="AF124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4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318724.49224098324</v>
      </c>
      <c r="AH1245" s="55"/>
      <c r="AI1245" s="55"/>
      <c r="AJ1245" s="55"/>
      <c r="AK1245" s="101">
        <f t="shared" ca="1" si="240"/>
        <v>563856.49224098329</v>
      </c>
      <c r="AL1245" s="129">
        <f t="array" ref="AL1245">MAX((УслРестрактов[Характеристика]="Дата реструктуризации")*(УслРестрактов[Значение]=Первоначальный!$A1245),0)</f>
        <v>0</v>
      </c>
    </row>
    <row r="1246" spans="1:38" x14ac:dyDescent="0.25">
      <c r="A1246" s="97">
        <f t="shared" si="233"/>
        <v>45377</v>
      </c>
      <c r="B1246" s="100">
        <f t="shared" ca="1" si="234"/>
        <v>149633.34</v>
      </c>
      <c r="C1246" s="55">
        <f t="shared" ca="1" si="230"/>
        <v>89296.020000000048</v>
      </c>
      <c r="D1246" s="55">
        <f t="shared" ca="1" si="230"/>
        <v>6202.6399999999867</v>
      </c>
      <c r="E1246" s="55">
        <f t="shared" ca="1" si="235"/>
        <v>0</v>
      </c>
      <c r="F1246" s="55">
        <f t="shared" ca="1" si="236"/>
        <v>318724.49224098324</v>
      </c>
      <c r="G1246" s="101">
        <f t="shared" ca="1" si="237"/>
        <v>563856.49224098329</v>
      </c>
      <c r="H1246" s="100">
        <f ca="1">ROUND($B1246*VLOOKUP($A1246,$A$1:$B$10,2,1)/(365+IF(MOD(YEAR($A1246),4),0,1)*($A1246-$A1245)),2)-Первоначальный[[#This Row],[Проценты на просроченный платеж по ОД за период]]</f>
        <v>69.459999999999994</v>
      </c>
      <c r="I1246" s="55">
        <f t="shared" ca="1" si="238"/>
        <v>11.9</v>
      </c>
      <c r="J1246" s="55">
        <v>0</v>
      </c>
      <c r="K1246" s="55">
        <f t="shared" ca="1" si="241"/>
        <v>550.36350327868843</v>
      </c>
      <c r="L1246" s="55">
        <v>0</v>
      </c>
      <c r="M1246" s="113">
        <f>SUMIFS(График[Возврат основной суммы долга],График[Дата с учетом нерабочих дней],$A1246)</f>
        <v>0</v>
      </c>
      <c r="N1246" s="56">
        <f>SUMIFS(График[Возврат начисленных %],График[Дата с учетом нерабочих дней],$A1246)</f>
        <v>0</v>
      </c>
      <c r="O1246" s="101">
        <v>0</v>
      </c>
      <c r="P1246" s="100" cm="1">
        <f t="array" aca="1" ref="P1246" ca="1">MAX(IF(AA1245="Да",0,SUM(INDIRECT("M"&amp;(MAX(("Да"=AA$12:AA1245)*ROW(AA$12:AA1245)+1,ROW($P$12))&amp;":M"&amp;(ROW()))))-SUM(INDIRECT("W"&amp;(MAX(("Да"=AA$12:AA1245)*ROW(AA$12:AA1245)+1,ROW($P$12))&amp;":W"&amp;(ROW()))))),0)</f>
        <v>21893.109999999997</v>
      </c>
      <c r="Q1246" s="99">
        <f ca="1">MAX(SUM($N$13:N1246)-SUM($T$13:T1246),0)</f>
        <v>88179.590655737687</v>
      </c>
      <c r="R1246" s="99">
        <f ca="1">Первоначальный[[#This Row],[Просроченный платеж по ОД]]+Первоначальный[[#This Row],[Просроченный платеж по процентам]]</f>
        <v>110072.70065573769</v>
      </c>
      <c r="S1246" s="120">
        <f ca="1">IF(Первоначальный[[#This Row],[Просроченный платеж]]&lt;1,0,S1245+1)</f>
        <v>1142</v>
      </c>
      <c r="T1246" s="100" cm="1">
        <f t="array" aca="1" ref="T1246" ca="1">IF(Первоначальный[[#This Row],[Итого остаток на начало периода]]&lt;1,0,
IF(
AND(TYPE(VLOOKUP(1,$Z$12:Z1246,1,0))=16,Первоначальный[[#This Row],[Досрочное погашение (да/"")]]=""),0,
_xlfn.IFS(AND(S1245=0,Первоначальный[[#This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платеж]]&lt;&gt;0),MIN(LOOKUP(,-1/($Z$12:Z1246=1),$C$12:C1246)+LOOKUP(,-1/($Z$12:Z1246=1),$H$12:H1246),Первоначальный[[#This Row],[Полученный платеж]]+Y1245),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платеж]]+Y1245,SUM(Первоначальный[[#This Row],[Остаток процентов на начало периода]],Первоначальный[[#This Row],[Проценты за период]])),
AND(S1245=0,Первоначальный[[#This Row],[Дата платежа из графика]]=""),0,
AND(S1245=0,Первоначальный[[#This Row],[Дата платежа из графика]]=1,MAX((0&lt;&gt;S$12:S1245)*ROW(S$12:S1245),ROW($S$12))&gt;=MAX((1=Z$12:Z1245)*ROW(Z$12:Z1245),ROW($T$12)),TYPE(VLOOKUP("Да",(INDIRECT("AA"&amp;(MAX((1=Z$12:Z1245)*ROW(Z$12:Z1245),ROW($T$12))&amp;":AA"&amp;(ROW()-1)))),1,0))=16),MIN(LOOKUP(,-1/($Z$12:Z1246=1),$C$12:C1246)+LOOKUP(,-1/($Z$12:Z1246=1),$H$12:H1246),Первоначальный[[#This Row],[Полученный платеж]]+Y1245),
AND(S1245=0,TYPE(VLOOKUP("Да",(INDIRECT("AA"&amp;(MAX((1=Z$12:Z1245)*ROW(Z$12:Z1245),ROW($T$12))&amp;":AA"&amp;(ROW()-1)))),1,0))&lt;&gt;16),MIN(LOOKUP(,-1/($Z$12:Z1246=1),$C$12:C1246)+LOOKUP(,-1/($Z$12:Z1246=1),$H$12:H1246)-IF(AA1245="Да",0,SUM(INDIRECT("T"&amp;(MAX(("Да"=AA$12:AA1245)*ROW(AA$12:AA1245)+1,ROW($T$12))&amp;":T"&amp;(ROW()-1))))),Первоначальный[[#This Row],[Полученный платеж]]+Y1245),
AND(S1245=0,MAX((0&lt;&gt;N$12:N1245)*ROW(N$12:N1245),ROW($S$12))&gt;=MAX((1=Z$12:Z1245)*ROW(Z$12:Z1245),ROW($T$12))),MIN(LOOKUP(,-1/($Z$12:Z1246=1),$C$12:C1246)+LOOKUP(,-1/($Z$12:Z1246=1),$H$12:H1246)-IF(N1245&lt;&gt;0,0,SUM(INDIRECT("T"&amp;(MAX((0&lt;&gt;N$12:N1245)*ROW(N$12:N1245)+1,ROW($T$12))&amp;":T"&amp;(ROW()-1))))),Первоначальный[[#This Row],[Полученный платеж]]+Y1245),
AND(S1245=0,Первоначальный[[#This Row],[Дата платежа из графика]]=1),MIN(LOOKUP(,-1/($Z$12:Z1246=1),$C$12:C1246)+LOOKUP(,-1/($Z$12:Z1246=1),$H$12:H1246)-IF(Z1245=1,0,SUM(INDIRECT("T"&amp;(MAX((1=Z$12:Z1245)*ROW(Z$12:Z1245)+1,ROW($T$12))&amp;":T"&amp;(ROW()-1))))),Первоначальный[[#This Row],[Полученный платеж]]+Y1245),
AND(Z1245&gt;0,Первоначальный[[#This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платеж]]+Y1245),
AND(S1245&gt;0,MAX((0&lt;&gt;S$12:S1245)*ROW(S$12:S1245),ROW($S$12))&gt;=MAX((1=Z$12:Z1245)*ROW(Z$12:Z1245),ROW($T$12)),TYPE(VLOOKUP("Да",(INDIRECT("AA"&amp;(MAX((1=Z$12:Z1245)*ROW(Z$12:Z1245),ROW($T$12))&amp;":AA"&amp;(ROW()-1)))),1,0))=16),MIN(LOOKUP(,-1/($Z$12:Z1246=1),$C$12:C1246)+LOOKUP(,-1/($Z$12:Z1246=1),$H$12:H1246)-SUM(INDIRECT("T"&amp;(MAX((1=Z$12:Z1245)*ROW(Z$12:Z1245),ROW($T$12))&amp;":T"&amp;(ROW()-1)))),Первоначальный[[#This Row],[Полученный платеж]]+Y1245),
S1245&gt;0,MIN(LOOKUP(,-1/($Z$12:Z1246=1),$C$12:C1246)+LOOKUP(,-1/($Z$12:Z1246=1),$H$12:H1246)-IF(Z1245=1,0,SUM(INDIRECT("T"&amp;(MAX((1=Z$12:Z1245)*ROW(Z$12:Z1245)+1,ROW($T$12))&amp;":T"&amp;(ROW()-1))))),Первоначальный[[#This Row],[Полученный платеж]]+Y1245)
)
)
)</f>
        <v>0</v>
      </c>
      <c r="U124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платеж]]+Y1245-Первоначальный[[#This Row],[Полученный платёж по процентам]])</f>
        <v>0</v>
      </c>
      <c r="V1246" s="55">
        <f t="shared" ca="1" si="231"/>
        <v>0</v>
      </c>
      <c r="W1246" s="55" cm="1">
        <f t="array" aca="1" ref="W1246" ca="1">IF(Первоначальный[[#This Row],[Итого остаток на начало периода]]&lt;1,0,
_xlfn.IFS(
AND(TYPE(VLOOKUP(1,$Z$12:Z1246,1,0))=16,Первоначальный[[#This Row],[Досрочное погашение (да/"")]]=""),0,
AND(S1245=0,Первоначальный[[#This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платеж]]+Y1245-SUM(Первоначальный[[#This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комиссиям]]),VLOOKUP(LOOKUP(,-1/($Z$12:Z1246=1),$A$12:A1246),График[[Срок конец]:[Возврат основной суммы долга]],3,0)),
AND(S1245=0,Первоначальный[[#This Row],[Дата платежа из графика]]="",Первоначальный[[#This Row],[Досрочное погашение (да/"")]]&lt;&gt;"Да"),0,
AND(S1245=0,Первоначальный[[#This Row],[Досрочное погашение (да/"")]]=""),MIN(Первоначальный[[#This Row],[Полученный платеж]]+Y1245-SUM(Первоначальный[[#This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комиссиям]]),VLOOKUP(LOOKUP(,-1/($Z$12:Z1246=1),$A$12:A1246),График[[Срок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платеж]]+Y1245-SUM(Первоначальный[[#This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S1245&gt;0,MIN(Первоначальный[[#This Row],[Полученный платеж]]+Y1245-SUM(Первоначальный[[#This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комиссиям]]),SUM(INDIRECT("M"&amp;(MAX((1=S$12:S1245)*ROW(S$12:S1245),ROW($W$12))&amp;":M"&amp;(ROW()))))-SUM(INDIRECT("W"&amp;(MAX((1=S$12:S1245)*ROW(S$12:S1245),ROW($W$12))&amp;":W"&amp;(ROW()-1)))))
)
)</f>
        <v>0</v>
      </c>
      <c r="X1246" s="55">
        <f t="shared" ca="1" si="232"/>
        <v>0</v>
      </c>
      <c r="Y1246" s="101">
        <f t="shared" ca="1" si="239"/>
        <v>0</v>
      </c>
      <c r="Z1246" s="133" t="str">
        <f>IF(TYPE((VLOOKUP(Первоначальный[[#This Row],[Дата платежа]],График[Срок конец],1,0)))=16,"",1)</f>
        <v/>
      </c>
      <c r="AA1246" s="57"/>
      <c r="AB1246" s="134"/>
      <c r="AC124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4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89365.480000000054</v>
      </c>
      <c r="AE124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6214.5399999999863</v>
      </c>
      <c r="AF124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4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319274.85574426193</v>
      </c>
      <c r="AH1246" s="55"/>
      <c r="AI1246" s="55"/>
      <c r="AJ1246" s="55"/>
      <c r="AK1246" s="101">
        <f t="shared" ca="1" si="240"/>
        <v>564488.21574426198</v>
      </c>
      <c r="AL1246" s="129">
        <f t="array" ref="AL1246">MAX((УслРестрактов[Характеристика]="Дата реструктуризации")*(УслРестрактов[Значение]=Первоначальный!$A1246),0)</f>
        <v>0</v>
      </c>
    </row>
    <row r="1247" spans="1:38" x14ac:dyDescent="0.25">
      <c r="A1247" s="97">
        <f t="shared" si="233"/>
        <v>45378</v>
      </c>
      <c r="B1247" s="100">
        <f t="shared" ca="1" si="234"/>
        <v>149633.34</v>
      </c>
      <c r="C1247" s="55">
        <f t="shared" ca="1" si="230"/>
        <v>89365.480000000054</v>
      </c>
      <c r="D1247" s="55">
        <f t="shared" ca="1" si="230"/>
        <v>6214.5399999999863</v>
      </c>
      <c r="E1247" s="55">
        <f t="shared" ca="1" si="235"/>
        <v>0</v>
      </c>
      <c r="F1247" s="55">
        <f t="shared" ca="1" si="236"/>
        <v>319274.85574426193</v>
      </c>
      <c r="G1247" s="101">
        <f t="shared" ca="1" si="237"/>
        <v>564488.21574426198</v>
      </c>
      <c r="H1247" s="100">
        <f ca="1">ROUND($B1247*VLOOKUP($A1247,$A$1:$B$10,2,1)/(365+IF(MOD(YEAR($A1247),4),0,1)*($A1247-$A1246)),2)-Первоначальный[[#This Row],[Проценты на просроченный платеж по ОД за период]]</f>
        <v>69.459999999999994</v>
      </c>
      <c r="I1247" s="55">
        <f t="shared" ca="1" si="238"/>
        <v>11.9</v>
      </c>
      <c r="J1247" s="55">
        <v>0</v>
      </c>
      <c r="K1247" s="55">
        <f t="shared" ca="1" si="241"/>
        <v>550.36350327868843</v>
      </c>
      <c r="L1247" s="55">
        <v>0</v>
      </c>
      <c r="M1247" s="113">
        <f>SUMIFS(График[Возврат основной суммы долга],График[Дата с учетом нерабочих дней],$A1247)</f>
        <v>0</v>
      </c>
      <c r="N1247" s="56">
        <f>SUMIFS(График[Возврат начисленных %],График[Дата с учетом нерабочих дней],$A1247)</f>
        <v>0</v>
      </c>
      <c r="O1247" s="101">
        <v>0</v>
      </c>
      <c r="P1247" s="100" cm="1">
        <f t="array" aca="1" ref="P1247" ca="1">MAX(IF(AA1246="Да",0,SUM(INDIRECT("M"&amp;(MAX(("Да"=AA$12:AA1246)*ROW(AA$12:AA1246)+1,ROW($P$12))&amp;":M"&amp;(ROW()))))-SUM(INDIRECT("W"&amp;(MAX(("Да"=AA$12:AA1246)*ROW(AA$12:AA1246)+1,ROW($P$12))&amp;":W"&amp;(ROW()))))),0)</f>
        <v>21893.109999999997</v>
      </c>
      <c r="Q1247" s="99">
        <f ca="1">MAX(SUM($N$13:N1247)-SUM($T$13:T1247),0)</f>
        <v>88179.590655737687</v>
      </c>
      <c r="R1247" s="99">
        <f ca="1">Первоначальный[[#This Row],[Просроченный платеж по ОД]]+Первоначальный[[#This Row],[Просроченный платеж по процентам]]</f>
        <v>110072.70065573769</v>
      </c>
      <c r="S1247" s="120">
        <f ca="1">IF(Первоначальный[[#This Row],[Просроченный платеж]]&lt;1,0,S1246+1)</f>
        <v>1143</v>
      </c>
      <c r="T1247" s="100" cm="1">
        <f t="array" aca="1" ref="T1247" ca="1">IF(Первоначальный[[#This Row],[Итого остаток на начало периода]]&lt;1,0,
IF(
AND(TYPE(VLOOKUP(1,$Z$12:Z1247,1,0))=16,Первоначальный[[#This Row],[Досрочное погашение (да/"")]]=""),0,
_xlfn.IFS(AND(S1246=0,Первоначальный[[#This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платеж]]&lt;&gt;0),MIN(LOOKUP(,-1/($Z$12:Z1247=1),$C$12:C1247)+LOOKUP(,-1/($Z$12:Z1247=1),$H$12:H1247),Первоначальный[[#This Row],[Полученный платеж]]+Y1246),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платеж]]+Y1246,SUM(Первоначальный[[#This Row],[Остаток процентов на начало периода]],Первоначальный[[#This Row],[Проценты за период]])),
AND(S1246=0,Первоначальный[[#This Row],[Дата платежа из графика]]=""),0,
AND(S1246=0,Первоначальный[[#This Row],[Дата платежа из графика]]=1,MAX((0&lt;&gt;S$12:S1246)*ROW(S$12:S1246),ROW($S$12))&gt;=MAX((1=Z$12:Z1246)*ROW(Z$12:Z1246),ROW($T$12)),TYPE(VLOOKUP("Да",(INDIRECT("AA"&amp;(MAX((1=Z$12:Z1246)*ROW(Z$12:Z1246),ROW($T$12))&amp;":AA"&amp;(ROW()-1)))),1,0))=16),MIN(LOOKUP(,-1/($Z$12:Z1247=1),$C$12:C1247)+LOOKUP(,-1/($Z$12:Z1247=1),$H$12:H1247),Первоначальный[[#This Row],[Полученный платеж]]+Y1246),
AND(S1246=0,TYPE(VLOOKUP("Да",(INDIRECT("AA"&amp;(MAX((1=Z$12:Z1246)*ROW(Z$12:Z1246),ROW($T$12))&amp;":AA"&amp;(ROW()-1)))),1,0))&lt;&gt;16),MIN(LOOKUP(,-1/($Z$12:Z1247=1),$C$12:C1247)+LOOKUP(,-1/($Z$12:Z1247=1),$H$12:H1247)-IF(AA1246="Да",0,SUM(INDIRECT("T"&amp;(MAX(("Да"=AA$12:AA1246)*ROW(AA$12:AA1246)+1,ROW($T$12))&amp;":T"&amp;(ROW()-1))))),Первоначальный[[#This Row],[Полученный платеж]]+Y1246),
AND(S1246=0,MAX((0&lt;&gt;N$12:N1246)*ROW(N$12:N1246),ROW($S$12))&gt;=MAX((1=Z$12:Z1246)*ROW(Z$12:Z1246),ROW($T$12))),MIN(LOOKUP(,-1/($Z$12:Z1247=1),$C$12:C1247)+LOOKUP(,-1/($Z$12:Z1247=1),$H$12:H1247)-IF(N1246&lt;&gt;0,0,SUM(INDIRECT("T"&amp;(MAX((0&lt;&gt;N$12:N1246)*ROW(N$12:N1246)+1,ROW($T$12))&amp;":T"&amp;(ROW()-1))))),Первоначальный[[#This Row],[Полученный платеж]]+Y1246),
AND(S1246=0,Первоначальный[[#This Row],[Дата платежа из графика]]=1),MIN(LOOKUP(,-1/($Z$12:Z1247=1),$C$12:C1247)+LOOKUP(,-1/($Z$12:Z1247=1),$H$12:H1247)-IF(Z1246=1,0,SUM(INDIRECT("T"&amp;(MAX((1=Z$12:Z1246)*ROW(Z$12:Z1246)+1,ROW($T$12))&amp;":T"&amp;(ROW()-1))))),Первоначальный[[#This Row],[Полученный платеж]]+Y1246),
AND(Z1246&gt;0,Первоначальный[[#This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платеж]]+Y1246),
AND(S1246&gt;0,MAX((0&lt;&gt;S$12:S1246)*ROW(S$12:S1246),ROW($S$12))&gt;=MAX((1=Z$12:Z1246)*ROW(Z$12:Z1246),ROW($T$12)),TYPE(VLOOKUP("Да",(INDIRECT("AA"&amp;(MAX((1=Z$12:Z1246)*ROW(Z$12:Z1246),ROW($T$12))&amp;":AA"&amp;(ROW()-1)))),1,0))=16),MIN(LOOKUP(,-1/($Z$12:Z1247=1),$C$12:C1247)+LOOKUP(,-1/($Z$12:Z1247=1),$H$12:H1247)-SUM(INDIRECT("T"&amp;(MAX((1=Z$12:Z1246)*ROW(Z$12:Z1246),ROW($T$12))&amp;":T"&amp;(ROW()-1)))),Первоначальный[[#This Row],[Полученный платеж]]+Y1246),
S1246&gt;0,MIN(LOOKUP(,-1/($Z$12:Z1247=1),$C$12:C1247)+LOOKUP(,-1/($Z$12:Z1247=1),$H$12:H1247)-IF(Z1246=1,0,SUM(INDIRECT("T"&amp;(MAX((1=Z$12:Z1246)*ROW(Z$12:Z1246)+1,ROW($T$12))&amp;":T"&amp;(ROW()-1))))),Первоначальный[[#This Row],[Полученный платеж]]+Y1246)
)
)
)</f>
        <v>0</v>
      </c>
      <c r="U124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платеж]]+Y1246-Первоначальный[[#This Row],[Полученный платёж по процентам]])</f>
        <v>0</v>
      </c>
      <c r="V1247" s="55">
        <f t="shared" ca="1" si="231"/>
        <v>0</v>
      </c>
      <c r="W1247" s="55" cm="1">
        <f t="array" aca="1" ref="W1247" ca="1">IF(Первоначальный[[#This Row],[Итого остаток на начало периода]]&lt;1,0,
_xlfn.IFS(
AND(TYPE(VLOOKUP(1,$Z$12:Z1247,1,0))=16,Первоначальный[[#This Row],[Досрочное погашение (да/"")]]=""),0,
AND(S1246=0,Первоначальный[[#This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платеж]]+Y1246-SUM(Первоначальный[[#This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комиссиям]]),VLOOKUP(LOOKUP(,-1/($Z$12:Z1247=1),$A$12:A1247),График[[Срок конец]:[Возврат основной суммы долга]],3,0)),
AND(S1246=0,Первоначальный[[#This Row],[Дата платежа из графика]]="",Первоначальный[[#This Row],[Досрочное погашение (да/"")]]&lt;&gt;"Да"),0,
AND(S1246=0,Первоначальный[[#This Row],[Досрочное погашение (да/"")]]=""),MIN(Первоначальный[[#This Row],[Полученный платеж]]+Y1246-SUM(Первоначальный[[#This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комиссиям]]),VLOOKUP(LOOKUP(,-1/($Z$12:Z1247=1),$A$12:A1247),График[[Срок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платеж]]+Y1246-SUM(Первоначальный[[#This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S1246&gt;0,MIN(Первоначальный[[#This Row],[Полученный платеж]]+Y1246-SUM(Первоначальный[[#This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комиссиям]]),SUM(INDIRECT("M"&amp;(MAX((1=S$12:S1246)*ROW(S$12:S1246),ROW($W$12))&amp;":M"&amp;(ROW()))))-SUM(INDIRECT("W"&amp;(MAX((1=S$12:S1246)*ROW(S$12:S1246),ROW($W$12))&amp;":W"&amp;(ROW()-1)))))
)
)</f>
        <v>0</v>
      </c>
      <c r="X1247" s="55">
        <f t="shared" ca="1" si="232"/>
        <v>0</v>
      </c>
      <c r="Y1247" s="101">
        <f t="shared" ca="1" si="239"/>
        <v>0</v>
      </c>
      <c r="Z1247" s="133" t="str">
        <f>IF(TYPE((VLOOKUP(Первоначальный[[#This Row],[Дата платежа]],График[Срок конец],1,0)))=16,"",1)</f>
        <v/>
      </c>
      <c r="AA1247" s="57"/>
      <c r="AB1247" s="134"/>
      <c r="AC124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4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89434.940000000061</v>
      </c>
      <c r="AE124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6226.439999999986</v>
      </c>
      <c r="AF124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4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319825.21924754063</v>
      </c>
      <c r="AH1247" s="55"/>
      <c r="AI1247" s="55"/>
      <c r="AJ1247" s="55"/>
      <c r="AK1247" s="101">
        <f t="shared" ca="1" si="240"/>
        <v>565119.93924754066</v>
      </c>
      <c r="AL1247" s="129">
        <f t="array" ref="AL1247">MAX((УслРестрактов[Характеристика]="Дата реструктуризации")*(УслРестрактов[Значение]=Первоначальный!$A1247),0)</f>
        <v>0</v>
      </c>
    </row>
    <row r="1248" spans="1:38" x14ac:dyDescent="0.25">
      <c r="A1248" s="97">
        <f t="shared" si="233"/>
        <v>45379</v>
      </c>
      <c r="B1248" s="100">
        <f t="shared" ca="1" si="234"/>
        <v>149633.34</v>
      </c>
      <c r="C1248" s="55">
        <f t="shared" ca="1" si="230"/>
        <v>89434.940000000061</v>
      </c>
      <c r="D1248" s="55">
        <f t="shared" ca="1" si="230"/>
        <v>6226.439999999986</v>
      </c>
      <c r="E1248" s="55">
        <f t="shared" ca="1" si="235"/>
        <v>0</v>
      </c>
      <c r="F1248" s="55">
        <f t="shared" ca="1" si="236"/>
        <v>319825.21924754063</v>
      </c>
      <c r="G1248" s="101">
        <f t="shared" ca="1" si="237"/>
        <v>565119.93924754066</v>
      </c>
      <c r="H1248" s="100">
        <f ca="1">ROUND($B1248*VLOOKUP($A1248,$A$1:$B$10,2,1)/(365+IF(MOD(YEAR($A1248),4),0,1)*($A1248-$A1247)),2)-Первоначальный[[#This Row],[Проценты на просроченный платеж по ОД за период]]</f>
        <v>69.459999999999994</v>
      </c>
      <c r="I1248" s="55">
        <f t="shared" ca="1" si="238"/>
        <v>11.9</v>
      </c>
      <c r="J1248" s="55">
        <v>0</v>
      </c>
      <c r="K1248" s="55">
        <f t="shared" ca="1" si="241"/>
        <v>550.36350327868843</v>
      </c>
      <c r="L1248" s="55">
        <v>0</v>
      </c>
      <c r="M1248" s="113">
        <f>SUMIFS(График[Возврат основной суммы долга],График[Дата с учетом нерабочих дней],$A1248)</f>
        <v>0</v>
      </c>
      <c r="N1248" s="56">
        <f>SUMIFS(График[Возврат начисленных %],График[Дата с учетом нерабочих дней],$A1248)</f>
        <v>0</v>
      </c>
      <c r="O1248" s="101">
        <v>0</v>
      </c>
      <c r="P1248" s="100" cm="1">
        <f t="array" aca="1" ref="P1248" ca="1">MAX(IF(AA1247="Да",0,SUM(INDIRECT("M"&amp;(MAX(("Да"=AA$12:AA1247)*ROW(AA$12:AA1247)+1,ROW($P$12))&amp;":M"&amp;(ROW()))))-SUM(INDIRECT("W"&amp;(MAX(("Да"=AA$12:AA1247)*ROW(AA$12:AA1247)+1,ROW($P$12))&amp;":W"&amp;(ROW()))))),0)</f>
        <v>21893.109999999997</v>
      </c>
      <c r="Q1248" s="99">
        <f ca="1">MAX(SUM($N$13:N1248)-SUM($T$13:T1248),0)</f>
        <v>88179.590655737687</v>
      </c>
      <c r="R1248" s="99">
        <f ca="1">Первоначальный[[#This Row],[Просроченный платеж по ОД]]+Первоначальный[[#This Row],[Просроченный платеж по процентам]]</f>
        <v>110072.70065573769</v>
      </c>
      <c r="S1248" s="120">
        <f ca="1">IF(Первоначальный[[#This Row],[Просроченный платеж]]&lt;1,0,S1247+1)</f>
        <v>1144</v>
      </c>
      <c r="T1248" s="100" cm="1">
        <f t="array" aca="1" ref="T1248" ca="1">IF(Первоначальный[[#This Row],[Итого остаток на начало периода]]&lt;1,0,
IF(
AND(TYPE(VLOOKUP(1,$Z$12:Z1248,1,0))=16,Первоначальный[[#This Row],[Досрочное погашение (да/"")]]=""),0,
_xlfn.IFS(AND(S1247=0,Первоначальный[[#This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платеж]]&lt;&gt;0),MIN(LOOKUP(,-1/($Z$12:Z1248=1),$C$12:C1248)+LOOKUP(,-1/($Z$12:Z1248=1),$H$12:H1248),Первоначальный[[#This Row],[Полученный платеж]]+Y1247),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платеж]]+Y1247,SUM(Первоначальный[[#This Row],[Остаток процентов на начало периода]],Первоначальный[[#This Row],[Проценты за период]])),
AND(S1247=0,Первоначальный[[#This Row],[Дата платежа из графика]]=""),0,
AND(S1247=0,Первоначальный[[#This Row],[Дата платежа из графика]]=1,MAX((0&lt;&gt;S$12:S1247)*ROW(S$12:S1247),ROW($S$12))&gt;=MAX((1=Z$12:Z1247)*ROW(Z$12:Z1247),ROW($T$12)),TYPE(VLOOKUP("Да",(INDIRECT("AA"&amp;(MAX((1=Z$12:Z1247)*ROW(Z$12:Z1247),ROW($T$12))&amp;":AA"&amp;(ROW()-1)))),1,0))=16),MIN(LOOKUP(,-1/($Z$12:Z1248=1),$C$12:C1248)+LOOKUP(,-1/($Z$12:Z1248=1),$H$12:H1248),Первоначальный[[#This Row],[Полученный платеж]]+Y1247),
AND(S1247=0,TYPE(VLOOKUP("Да",(INDIRECT("AA"&amp;(MAX((1=Z$12:Z1247)*ROW(Z$12:Z1247),ROW($T$12))&amp;":AA"&amp;(ROW()-1)))),1,0))&lt;&gt;16),MIN(LOOKUP(,-1/($Z$12:Z1248=1),$C$12:C1248)+LOOKUP(,-1/($Z$12:Z1248=1),$H$12:H1248)-IF(AA1247="Да",0,SUM(INDIRECT("T"&amp;(MAX(("Да"=AA$12:AA1247)*ROW(AA$12:AA1247)+1,ROW($T$12))&amp;":T"&amp;(ROW()-1))))),Первоначальный[[#This Row],[Полученный платеж]]+Y1247),
AND(S1247=0,MAX((0&lt;&gt;N$12:N1247)*ROW(N$12:N1247),ROW($S$12))&gt;=MAX((1=Z$12:Z1247)*ROW(Z$12:Z1247),ROW($T$12))),MIN(LOOKUP(,-1/($Z$12:Z1248=1),$C$12:C1248)+LOOKUP(,-1/($Z$12:Z1248=1),$H$12:H1248)-IF(N1247&lt;&gt;0,0,SUM(INDIRECT("T"&amp;(MAX((0&lt;&gt;N$12:N1247)*ROW(N$12:N1247)+1,ROW($T$12))&amp;":T"&amp;(ROW()-1))))),Первоначальный[[#This Row],[Полученный платеж]]+Y1247),
AND(S1247=0,Первоначальный[[#This Row],[Дата платежа из графика]]=1),MIN(LOOKUP(,-1/($Z$12:Z1248=1),$C$12:C1248)+LOOKUP(,-1/($Z$12:Z1248=1),$H$12:H1248)-IF(Z1247=1,0,SUM(INDIRECT("T"&amp;(MAX((1=Z$12:Z1247)*ROW(Z$12:Z1247)+1,ROW($T$12))&amp;":T"&amp;(ROW()-1))))),Первоначальный[[#This Row],[Полученный платеж]]+Y1247),
AND(Z1247&gt;0,Первоначальный[[#This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платеж]]+Y1247),
AND(S1247&gt;0,MAX((0&lt;&gt;S$12:S1247)*ROW(S$12:S1247),ROW($S$12))&gt;=MAX((1=Z$12:Z1247)*ROW(Z$12:Z1247),ROW($T$12)),TYPE(VLOOKUP("Да",(INDIRECT("AA"&amp;(MAX((1=Z$12:Z1247)*ROW(Z$12:Z1247),ROW($T$12))&amp;":AA"&amp;(ROW()-1)))),1,0))=16),MIN(LOOKUP(,-1/($Z$12:Z1248=1),$C$12:C1248)+LOOKUP(,-1/($Z$12:Z1248=1),$H$12:H1248)-SUM(INDIRECT("T"&amp;(MAX((1=Z$12:Z1247)*ROW(Z$12:Z1247),ROW($T$12))&amp;":T"&amp;(ROW()-1)))),Первоначальный[[#This Row],[Полученный платеж]]+Y1247),
S1247&gt;0,MIN(LOOKUP(,-1/($Z$12:Z1248=1),$C$12:C1248)+LOOKUP(,-1/($Z$12:Z1248=1),$H$12:H1248)-IF(Z1247=1,0,SUM(INDIRECT("T"&amp;(MAX((1=Z$12:Z1247)*ROW(Z$12:Z1247)+1,ROW($T$12))&amp;":T"&amp;(ROW()-1))))),Первоначальный[[#This Row],[Полученный платеж]]+Y1247)
)
)
)</f>
        <v>0</v>
      </c>
      <c r="U124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платеж]]+Y1247-Первоначальный[[#This Row],[Полученный платёж по процентам]])</f>
        <v>0</v>
      </c>
      <c r="V1248" s="55">
        <f t="shared" ca="1" si="231"/>
        <v>0</v>
      </c>
      <c r="W1248" s="55" cm="1">
        <f t="array" aca="1" ref="W1248" ca="1">IF(Первоначальный[[#This Row],[Итого остаток на начало периода]]&lt;1,0,
_xlfn.IFS(
AND(TYPE(VLOOKUP(1,$Z$12:Z1248,1,0))=16,Первоначальный[[#This Row],[Досрочное погашение (да/"")]]=""),0,
AND(S1247=0,Первоначальный[[#This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платеж]]+Y1247-SUM(Первоначальный[[#This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комиссиям]]),VLOOKUP(LOOKUP(,-1/($Z$12:Z1248=1),$A$12:A1248),График[[Срок конец]:[Возврат основной суммы долга]],3,0)),
AND(S1247=0,Первоначальный[[#This Row],[Дата платежа из графика]]="",Первоначальный[[#This Row],[Досрочное погашение (да/"")]]&lt;&gt;"Да"),0,
AND(S1247=0,Первоначальный[[#This Row],[Досрочное погашение (да/"")]]=""),MIN(Первоначальный[[#This Row],[Полученный платеж]]+Y1247-SUM(Первоначальный[[#This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комиссиям]]),VLOOKUP(LOOKUP(,-1/($Z$12:Z1248=1),$A$12:A1248),График[[Срок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платеж]]+Y1247-SUM(Первоначальный[[#This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S1247&gt;0,MIN(Первоначальный[[#This Row],[Полученный платеж]]+Y1247-SUM(Первоначальный[[#This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комиссиям]]),SUM(INDIRECT("M"&amp;(MAX((1=S$12:S1247)*ROW(S$12:S1247),ROW($W$12))&amp;":M"&amp;(ROW()))))-SUM(INDIRECT("W"&amp;(MAX((1=S$12:S1247)*ROW(S$12:S1247),ROW($W$12))&amp;":W"&amp;(ROW()-1)))))
)
)</f>
        <v>0</v>
      </c>
      <c r="X1248" s="55">
        <f t="shared" ca="1" si="232"/>
        <v>0</v>
      </c>
      <c r="Y1248" s="101">
        <f t="shared" ca="1" si="239"/>
        <v>0</v>
      </c>
      <c r="Z1248" s="133" t="str">
        <f>IF(TYPE((VLOOKUP(Первоначальный[[#This Row],[Дата платежа]],График[Срок конец],1,0)))=16,"",1)</f>
        <v/>
      </c>
      <c r="AA1248" s="57"/>
      <c r="AB1248" s="134"/>
      <c r="AC124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4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89504.400000000067</v>
      </c>
      <c r="AE124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6238.3399999999856</v>
      </c>
      <c r="AF124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4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320375.58275081933</v>
      </c>
      <c r="AH1248" s="55"/>
      <c r="AI1248" s="55"/>
      <c r="AJ1248" s="55"/>
      <c r="AK1248" s="101">
        <f t="shared" ca="1" si="240"/>
        <v>565751.66275081935</v>
      </c>
      <c r="AL1248" s="129">
        <f t="array" ref="AL1248">MAX((УслРестрактов[Характеристика]="Дата реструктуризации")*(УслРестрактов[Значение]=Первоначальный!$A1248),0)</f>
        <v>0</v>
      </c>
    </row>
    <row r="1249" spans="1:38" x14ac:dyDescent="0.25">
      <c r="A1249" s="97">
        <f t="shared" si="233"/>
        <v>45380</v>
      </c>
      <c r="B1249" s="100">
        <f t="shared" ca="1" si="234"/>
        <v>149633.34</v>
      </c>
      <c r="C1249" s="55">
        <f t="shared" ca="1" si="230"/>
        <v>89504.400000000067</v>
      </c>
      <c r="D1249" s="55">
        <f t="shared" ca="1" si="230"/>
        <v>6238.3399999999856</v>
      </c>
      <c r="E1249" s="55">
        <f t="shared" ca="1" si="235"/>
        <v>0</v>
      </c>
      <c r="F1249" s="55">
        <f t="shared" ca="1" si="236"/>
        <v>320375.58275081933</v>
      </c>
      <c r="G1249" s="101">
        <f t="shared" ca="1" si="237"/>
        <v>565751.66275081935</v>
      </c>
      <c r="H1249" s="100">
        <f ca="1">ROUND($B1249*VLOOKUP($A1249,$A$1:$B$10,2,1)/(365+IF(MOD(YEAR($A1249),4),0,1)*($A1249-$A1248)),2)-Первоначальный[[#This Row],[Проценты на просроченный платеж по ОД за период]]</f>
        <v>69.459999999999994</v>
      </c>
      <c r="I1249" s="55">
        <f t="shared" ca="1" si="238"/>
        <v>11.9</v>
      </c>
      <c r="J1249" s="55">
        <v>0</v>
      </c>
      <c r="K1249" s="55">
        <f t="shared" ca="1" si="241"/>
        <v>550.36350327868843</v>
      </c>
      <c r="L1249" s="55">
        <v>0</v>
      </c>
      <c r="M1249" s="113">
        <f>SUMIFS(График[Возврат основной суммы долга],График[Дата с учетом нерабочих дней],$A1249)</f>
        <v>0</v>
      </c>
      <c r="N1249" s="56">
        <f>SUMIFS(График[Возврат начисленных %],График[Дата с учетом нерабочих дней],$A1249)</f>
        <v>0</v>
      </c>
      <c r="O1249" s="101">
        <v>0</v>
      </c>
      <c r="P1249" s="100" cm="1">
        <f t="array" aca="1" ref="P1249" ca="1">MAX(IF(AA1248="Да",0,SUM(INDIRECT("M"&amp;(MAX(("Да"=AA$12:AA1248)*ROW(AA$12:AA1248)+1,ROW($P$12))&amp;":M"&amp;(ROW()))))-SUM(INDIRECT("W"&amp;(MAX(("Да"=AA$12:AA1248)*ROW(AA$12:AA1248)+1,ROW($P$12))&amp;":W"&amp;(ROW()))))),0)</f>
        <v>21893.109999999997</v>
      </c>
      <c r="Q1249" s="99">
        <f ca="1">MAX(SUM($N$13:N1249)-SUM($T$13:T1249),0)</f>
        <v>88179.590655737687</v>
      </c>
      <c r="R1249" s="99">
        <f ca="1">Первоначальный[[#This Row],[Просроченный платеж по ОД]]+Первоначальный[[#This Row],[Просроченный платеж по процентам]]</f>
        <v>110072.70065573769</v>
      </c>
      <c r="S1249" s="120">
        <f ca="1">IF(Первоначальный[[#This Row],[Просроченный платеж]]&lt;1,0,S1248+1)</f>
        <v>1145</v>
      </c>
      <c r="T1249" s="100" cm="1">
        <f t="array" aca="1" ref="T1249" ca="1">IF(Первоначальный[[#This Row],[Итого остаток на начало периода]]&lt;1,0,
IF(
AND(TYPE(VLOOKUP(1,$Z$12:Z1249,1,0))=16,Первоначальный[[#This Row],[Досрочное погашение (да/"")]]=""),0,
_xlfn.IFS(AND(S1248=0,Первоначальный[[#This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платеж]]&lt;&gt;0),MIN(LOOKUP(,-1/($Z$12:Z1249=1),$C$12:C1249)+LOOKUP(,-1/($Z$12:Z1249=1),$H$12:H1249),Первоначальный[[#This Row],[Полученный платеж]]+Y1248),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платеж]]+Y1248,SUM(Первоначальный[[#This Row],[Остаток процентов на начало периода]],Первоначальный[[#This Row],[Проценты за период]])),
AND(S1248=0,Первоначальный[[#This Row],[Дата платежа из графика]]=""),0,
AND(S1248=0,Первоначальный[[#This Row],[Дата платежа из графика]]=1,MAX((0&lt;&gt;S$12:S1248)*ROW(S$12:S1248),ROW($S$12))&gt;=MAX((1=Z$12:Z1248)*ROW(Z$12:Z1248),ROW($T$12)),TYPE(VLOOKUP("Да",(INDIRECT("AA"&amp;(MAX((1=Z$12:Z1248)*ROW(Z$12:Z1248),ROW($T$12))&amp;":AA"&amp;(ROW()-1)))),1,0))=16),MIN(LOOKUP(,-1/($Z$12:Z1249=1),$C$12:C1249)+LOOKUP(,-1/($Z$12:Z1249=1),$H$12:H1249),Первоначальный[[#This Row],[Полученный платеж]]+Y1248),
AND(S1248=0,TYPE(VLOOKUP("Да",(INDIRECT("AA"&amp;(MAX((1=Z$12:Z1248)*ROW(Z$12:Z1248),ROW($T$12))&amp;":AA"&amp;(ROW()-1)))),1,0))&lt;&gt;16),MIN(LOOKUP(,-1/($Z$12:Z1249=1),$C$12:C1249)+LOOKUP(,-1/($Z$12:Z1249=1),$H$12:H1249)-IF(AA1248="Да",0,SUM(INDIRECT("T"&amp;(MAX(("Да"=AA$12:AA1248)*ROW(AA$12:AA1248)+1,ROW($T$12))&amp;":T"&amp;(ROW()-1))))),Первоначальный[[#This Row],[Полученный платеж]]+Y1248),
AND(S1248=0,MAX((0&lt;&gt;N$12:N1248)*ROW(N$12:N1248),ROW($S$12))&gt;=MAX((1=Z$12:Z1248)*ROW(Z$12:Z1248),ROW($T$12))),MIN(LOOKUP(,-1/($Z$12:Z1249=1),$C$12:C1249)+LOOKUP(,-1/($Z$12:Z1249=1),$H$12:H1249)-IF(N1248&lt;&gt;0,0,SUM(INDIRECT("T"&amp;(MAX((0&lt;&gt;N$12:N1248)*ROW(N$12:N1248)+1,ROW($T$12))&amp;":T"&amp;(ROW()-1))))),Первоначальный[[#This Row],[Полученный платеж]]+Y1248),
AND(S1248=0,Первоначальный[[#This Row],[Дата платежа из графика]]=1),MIN(LOOKUP(,-1/($Z$12:Z1249=1),$C$12:C1249)+LOOKUP(,-1/($Z$12:Z1249=1),$H$12:H1249)-IF(Z1248=1,0,SUM(INDIRECT("T"&amp;(MAX((1=Z$12:Z1248)*ROW(Z$12:Z1248)+1,ROW($T$12))&amp;":T"&amp;(ROW()-1))))),Первоначальный[[#This Row],[Полученный платеж]]+Y1248),
AND(Z1248&gt;0,Первоначальный[[#This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платеж]]+Y1248),
AND(S1248&gt;0,MAX((0&lt;&gt;S$12:S1248)*ROW(S$12:S1248),ROW($S$12))&gt;=MAX((1=Z$12:Z1248)*ROW(Z$12:Z1248),ROW($T$12)),TYPE(VLOOKUP("Да",(INDIRECT("AA"&amp;(MAX((1=Z$12:Z1248)*ROW(Z$12:Z1248),ROW($T$12))&amp;":AA"&amp;(ROW()-1)))),1,0))=16),MIN(LOOKUP(,-1/($Z$12:Z1249=1),$C$12:C1249)+LOOKUP(,-1/($Z$12:Z1249=1),$H$12:H1249)-SUM(INDIRECT("T"&amp;(MAX((1=Z$12:Z1248)*ROW(Z$12:Z1248),ROW($T$12))&amp;":T"&amp;(ROW()-1)))),Первоначальный[[#This Row],[Полученный платеж]]+Y1248),
S1248&gt;0,MIN(LOOKUP(,-1/($Z$12:Z1249=1),$C$12:C1249)+LOOKUP(,-1/($Z$12:Z1249=1),$H$12:H1249)-IF(Z1248=1,0,SUM(INDIRECT("T"&amp;(MAX((1=Z$12:Z1248)*ROW(Z$12:Z1248)+1,ROW($T$12))&amp;":T"&amp;(ROW()-1))))),Первоначальный[[#This Row],[Полученный платеж]]+Y1248)
)
)
)</f>
        <v>0</v>
      </c>
      <c r="U124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платеж]]+Y1248-Первоначальный[[#This Row],[Полученный платёж по процентам]])</f>
        <v>0</v>
      </c>
      <c r="V1249" s="55">
        <f t="shared" ca="1" si="231"/>
        <v>0</v>
      </c>
      <c r="W1249" s="55" cm="1">
        <f t="array" aca="1" ref="W1249" ca="1">IF(Первоначальный[[#This Row],[Итого остаток на начало периода]]&lt;1,0,
_xlfn.IFS(
AND(TYPE(VLOOKUP(1,$Z$12:Z1249,1,0))=16,Первоначальный[[#This Row],[Досрочное погашение (да/"")]]=""),0,
AND(S1248=0,Первоначальный[[#This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платеж]]+Y1248-SUM(Первоначальный[[#This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комиссиям]]),VLOOKUP(LOOKUP(,-1/($Z$12:Z1249=1),$A$12:A1249),График[[Срок конец]:[Возврат основной суммы долга]],3,0)),
AND(S1248=0,Первоначальный[[#This Row],[Дата платежа из графика]]="",Первоначальный[[#This Row],[Досрочное погашение (да/"")]]&lt;&gt;"Да"),0,
AND(S1248=0,Первоначальный[[#This Row],[Досрочное погашение (да/"")]]=""),MIN(Первоначальный[[#This Row],[Полученный платеж]]+Y1248-SUM(Первоначальный[[#This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комиссиям]]),VLOOKUP(LOOKUP(,-1/($Z$12:Z1249=1),$A$12:A1249),График[[Срок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платеж]]+Y1248-SUM(Первоначальный[[#This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S1248&gt;0,MIN(Первоначальный[[#This Row],[Полученный платеж]]+Y1248-SUM(Первоначальный[[#This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комиссиям]]),SUM(INDIRECT("M"&amp;(MAX((1=S$12:S1248)*ROW(S$12:S1248),ROW($W$12))&amp;":M"&amp;(ROW()))))-SUM(INDIRECT("W"&amp;(MAX((1=S$12:S1248)*ROW(S$12:S1248),ROW($W$12))&amp;":W"&amp;(ROW()-1)))))
)
)</f>
        <v>0</v>
      </c>
      <c r="X1249" s="55">
        <f t="shared" ca="1" si="232"/>
        <v>0</v>
      </c>
      <c r="Y1249" s="101">
        <f t="shared" ca="1" si="239"/>
        <v>0</v>
      </c>
      <c r="Z1249" s="133" t="str">
        <f>IF(TYPE((VLOOKUP(Первоначальный[[#This Row],[Дата платежа]],График[Срок конец],1,0)))=16,"",1)</f>
        <v/>
      </c>
      <c r="AA1249" s="57"/>
      <c r="AB1249" s="134"/>
      <c r="AC124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4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89573.860000000073</v>
      </c>
      <c r="AE124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6250.2399999999852</v>
      </c>
      <c r="AF124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4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320925.94625409803</v>
      </c>
      <c r="AH1249" s="55"/>
      <c r="AI1249" s="55"/>
      <c r="AJ1249" s="55"/>
      <c r="AK1249" s="101">
        <f t="shared" ca="1" si="240"/>
        <v>566383.38625409803</v>
      </c>
      <c r="AL1249" s="129">
        <f t="array" ref="AL1249">MAX((УслРестрактов[Характеристика]="Дата реструктуризации")*(УслРестрактов[Значение]=Первоначальный!$A1249),0)</f>
        <v>0</v>
      </c>
    </row>
    <row r="1250" spans="1:38" x14ac:dyDescent="0.25">
      <c r="A1250" s="97">
        <f t="shared" si="233"/>
        <v>45381</v>
      </c>
      <c r="B1250" s="100">
        <f t="shared" ca="1" si="234"/>
        <v>149633.34</v>
      </c>
      <c r="C1250" s="55">
        <f t="shared" ca="1" si="230"/>
        <v>89573.860000000073</v>
      </c>
      <c r="D1250" s="55">
        <f t="shared" ca="1" si="230"/>
        <v>6250.2399999999852</v>
      </c>
      <c r="E1250" s="55">
        <f t="shared" ca="1" si="235"/>
        <v>0</v>
      </c>
      <c r="F1250" s="55">
        <f t="shared" ca="1" si="236"/>
        <v>320925.94625409803</v>
      </c>
      <c r="G1250" s="101">
        <f t="shared" ca="1" si="237"/>
        <v>566383.38625409803</v>
      </c>
      <c r="H1250" s="100">
        <f ca="1">ROUND($B1250*VLOOKUP($A1250,$A$1:$B$10,2,1)/(365+IF(MOD(YEAR($A1250),4),0,1)*($A1250-$A1249)),2)-Первоначальный[[#This Row],[Проценты на просроченный платеж по ОД за период]]</f>
        <v>69.459999999999994</v>
      </c>
      <c r="I1250" s="55">
        <f t="shared" ca="1" si="238"/>
        <v>11.9</v>
      </c>
      <c r="J1250" s="55">
        <v>0</v>
      </c>
      <c r="K1250" s="55">
        <f t="shared" ca="1" si="241"/>
        <v>550.36350327868843</v>
      </c>
      <c r="L1250" s="55">
        <v>0</v>
      </c>
      <c r="M1250" s="113">
        <f>SUMIFS(График[Возврат основной суммы долга],График[Дата с учетом нерабочих дней],$A1250)</f>
        <v>0</v>
      </c>
      <c r="N1250" s="56">
        <f>SUMIFS(График[Возврат начисленных %],График[Дата с учетом нерабочих дней],$A1250)</f>
        <v>0</v>
      </c>
      <c r="O1250" s="101">
        <v>0</v>
      </c>
      <c r="P1250" s="100" cm="1">
        <f t="array" aca="1" ref="P1250" ca="1">MAX(IF(AA1249="Да",0,SUM(INDIRECT("M"&amp;(MAX(("Да"=AA$12:AA1249)*ROW(AA$12:AA1249)+1,ROW($P$12))&amp;":M"&amp;(ROW()))))-SUM(INDIRECT("W"&amp;(MAX(("Да"=AA$12:AA1249)*ROW(AA$12:AA1249)+1,ROW($P$12))&amp;":W"&amp;(ROW()))))),0)</f>
        <v>21893.109999999997</v>
      </c>
      <c r="Q1250" s="99">
        <f ca="1">MAX(SUM($N$13:N1250)-SUM($T$13:T1250),0)</f>
        <v>88179.590655737687</v>
      </c>
      <c r="R1250" s="99">
        <f ca="1">Первоначальный[[#This Row],[Просроченный платеж по ОД]]+Первоначальный[[#This Row],[Просроченный платеж по процентам]]</f>
        <v>110072.70065573769</v>
      </c>
      <c r="S1250" s="120">
        <f ca="1">IF(Первоначальный[[#This Row],[Просроченный платеж]]&lt;1,0,S1249+1)</f>
        <v>1146</v>
      </c>
      <c r="T1250" s="100" cm="1">
        <f t="array" aca="1" ref="T1250" ca="1">IF(Первоначальный[[#This Row],[Итого остаток на начало периода]]&lt;1,0,
IF(
AND(TYPE(VLOOKUP(1,$Z$12:Z1250,1,0))=16,Первоначальный[[#This Row],[Досрочное погашение (да/"")]]=""),0,
_xlfn.IFS(AND(S1249=0,Первоначальный[[#This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платеж]]&lt;&gt;0),MIN(LOOKUP(,-1/($Z$12:Z1250=1),$C$12:C1250)+LOOKUP(,-1/($Z$12:Z1250=1),$H$12:H1250),Первоначальный[[#This Row],[Полученный платеж]]+Y1249),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платеж]]+Y1249,SUM(Первоначальный[[#This Row],[Остаток процентов на начало периода]],Первоначальный[[#This Row],[Проценты за период]])),
AND(S1249=0,Первоначальный[[#This Row],[Дата платежа из графика]]=""),0,
AND(S1249=0,Первоначальный[[#This Row],[Дата платежа из графика]]=1,MAX((0&lt;&gt;S$12:S1249)*ROW(S$12:S1249),ROW($S$12))&gt;=MAX((1=Z$12:Z1249)*ROW(Z$12:Z1249),ROW($T$12)),TYPE(VLOOKUP("Да",(INDIRECT("AA"&amp;(MAX((1=Z$12:Z1249)*ROW(Z$12:Z1249),ROW($T$12))&amp;":AA"&amp;(ROW()-1)))),1,0))=16),MIN(LOOKUP(,-1/($Z$12:Z1250=1),$C$12:C1250)+LOOKUP(,-1/($Z$12:Z1250=1),$H$12:H1250),Первоначальный[[#This Row],[Полученный платеж]]+Y1249),
AND(S1249=0,TYPE(VLOOKUP("Да",(INDIRECT("AA"&amp;(MAX((1=Z$12:Z1249)*ROW(Z$12:Z1249),ROW($T$12))&amp;":AA"&amp;(ROW()-1)))),1,0))&lt;&gt;16),MIN(LOOKUP(,-1/($Z$12:Z1250=1),$C$12:C1250)+LOOKUP(,-1/($Z$12:Z1250=1),$H$12:H1250)-IF(AA1249="Да",0,SUM(INDIRECT("T"&amp;(MAX(("Да"=AA$12:AA1249)*ROW(AA$12:AA1249)+1,ROW($T$12))&amp;":T"&amp;(ROW()-1))))),Первоначальный[[#This Row],[Полученный платеж]]+Y1249),
AND(S1249=0,MAX((0&lt;&gt;N$12:N1249)*ROW(N$12:N1249),ROW($S$12))&gt;=MAX((1=Z$12:Z1249)*ROW(Z$12:Z1249),ROW($T$12))),MIN(LOOKUP(,-1/($Z$12:Z1250=1),$C$12:C1250)+LOOKUP(,-1/($Z$12:Z1250=1),$H$12:H1250)-IF(N1249&lt;&gt;0,0,SUM(INDIRECT("T"&amp;(MAX((0&lt;&gt;N$12:N1249)*ROW(N$12:N1249)+1,ROW($T$12))&amp;":T"&amp;(ROW()-1))))),Первоначальный[[#This Row],[Полученный платеж]]+Y1249),
AND(S1249=0,Первоначальный[[#This Row],[Дата платежа из графика]]=1),MIN(LOOKUP(,-1/($Z$12:Z1250=1),$C$12:C1250)+LOOKUP(,-1/($Z$12:Z1250=1),$H$12:H1250)-IF(Z1249=1,0,SUM(INDIRECT("T"&amp;(MAX((1=Z$12:Z1249)*ROW(Z$12:Z1249)+1,ROW($T$12))&amp;":T"&amp;(ROW()-1))))),Первоначальный[[#This Row],[Полученный платеж]]+Y1249),
AND(Z1249&gt;0,Первоначальный[[#This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платеж]]+Y1249),
AND(S1249&gt;0,MAX((0&lt;&gt;S$12:S1249)*ROW(S$12:S1249),ROW($S$12))&gt;=MAX((1=Z$12:Z1249)*ROW(Z$12:Z1249),ROW($T$12)),TYPE(VLOOKUP("Да",(INDIRECT("AA"&amp;(MAX((1=Z$12:Z1249)*ROW(Z$12:Z1249),ROW($T$12))&amp;":AA"&amp;(ROW()-1)))),1,0))=16),MIN(LOOKUP(,-1/($Z$12:Z1250=1),$C$12:C1250)+LOOKUP(,-1/($Z$12:Z1250=1),$H$12:H1250)-SUM(INDIRECT("T"&amp;(MAX((1=Z$12:Z1249)*ROW(Z$12:Z1249),ROW($T$12))&amp;":T"&amp;(ROW()-1)))),Первоначальный[[#This Row],[Полученный платеж]]+Y1249),
S1249&gt;0,MIN(LOOKUP(,-1/($Z$12:Z1250=1),$C$12:C1250)+LOOKUP(,-1/($Z$12:Z1250=1),$H$12:H1250)-IF(Z1249=1,0,SUM(INDIRECT("T"&amp;(MAX((1=Z$12:Z1249)*ROW(Z$12:Z1249)+1,ROW($T$12))&amp;":T"&amp;(ROW()-1))))),Первоначальный[[#This Row],[Полученный платеж]]+Y1249)
)
)
)</f>
        <v>0</v>
      </c>
      <c r="U125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платеж]]+Y1249-Первоначальный[[#This Row],[Полученный платёж по процентам]])</f>
        <v>0</v>
      </c>
      <c r="V1250" s="55">
        <f t="shared" ca="1" si="231"/>
        <v>0</v>
      </c>
      <c r="W1250" s="55" cm="1">
        <f t="array" aca="1" ref="W1250" ca="1">IF(Первоначальный[[#This Row],[Итого остаток на начало периода]]&lt;1,0,
_xlfn.IFS(
AND(TYPE(VLOOKUP(1,$Z$12:Z1250,1,0))=16,Первоначальный[[#This Row],[Досрочное погашение (да/"")]]=""),0,
AND(S1249=0,Первоначальный[[#This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платеж]]+Y1249-SUM(Первоначальный[[#This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комиссиям]]),VLOOKUP(LOOKUP(,-1/($Z$12:Z1250=1),$A$12:A1250),График[[Срок конец]:[Возврат основной суммы долга]],3,0)),
AND(S1249=0,Первоначальный[[#This Row],[Дата платежа из графика]]="",Первоначальный[[#This Row],[Досрочное погашение (да/"")]]&lt;&gt;"Да"),0,
AND(S1249=0,Первоначальный[[#This Row],[Досрочное погашение (да/"")]]=""),MIN(Первоначальный[[#This Row],[Полученный платеж]]+Y1249-SUM(Первоначальный[[#This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комиссиям]]),VLOOKUP(LOOKUP(,-1/($Z$12:Z1250=1),$A$12:A1250),График[[Срок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платеж]]+Y1249-SUM(Первоначальный[[#This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S1249&gt;0,MIN(Первоначальный[[#This Row],[Полученный платеж]]+Y1249-SUM(Первоначальный[[#This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комиссиям]]),SUM(INDIRECT("M"&amp;(MAX((1=S$12:S1249)*ROW(S$12:S1249),ROW($W$12))&amp;":M"&amp;(ROW()))))-SUM(INDIRECT("W"&amp;(MAX((1=S$12:S1249)*ROW(S$12:S1249),ROW($W$12))&amp;":W"&amp;(ROW()-1)))))
)
)</f>
        <v>0</v>
      </c>
      <c r="X1250" s="55">
        <f t="shared" ca="1" si="232"/>
        <v>0</v>
      </c>
      <c r="Y1250" s="101">
        <f t="shared" ca="1" si="239"/>
        <v>0</v>
      </c>
      <c r="Z1250" s="133" t="str">
        <f>IF(TYPE((VLOOKUP(Первоначальный[[#This Row],[Дата платежа]],График[Срок конец],1,0)))=16,"",1)</f>
        <v/>
      </c>
      <c r="AA1250" s="57"/>
      <c r="AB1250" s="134"/>
      <c r="AC125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5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89643.32000000008</v>
      </c>
      <c r="AE125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6262.1399999999849</v>
      </c>
      <c r="AF125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5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321476.30975737673</v>
      </c>
      <c r="AH1250" s="55"/>
      <c r="AI1250" s="55"/>
      <c r="AJ1250" s="55"/>
      <c r="AK1250" s="101">
        <f t="shared" ca="1" si="240"/>
        <v>567015.10975737683</v>
      </c>
      <c r="AL1250" s="129">
        <f t="array" ref="AL1250">MAX((УслРестрактов[Характеристика]="Дата реструктуризации")*(УслРестрактов[Значение]=Первоначальный!$A1250),0)</f>
        <v>0</v>
      </c>
    </row>
    <row r="1251" spans="1:38" x14ac:dyDescent="0.25">
      <c r="A1251" s="97">
        <f t="shared" si="233"/>
        <v>45382</v>
      </c>
      <c r="B1251" s="100">
        <f t="shared" ca="1" si="234"/>
        <v>149633.34</v>
      </c>
      <c r="C1251" s="55">
        <f t="shared" ca="1" si="230"/>
        <v>89643.32000000008</v>
      </c>
      <c r="D1251" s="55">
        <f t="shared" ca="1" si="230"/>
        <v>6262.1399999999849</v>
      </c>
      <c r="E1251" s="55">
        <f t="shared" ca="1" si="235"/>
        <v>0</v>
      </c>
      <c r="F1251" s="55">
        <f t="shared" ca="1" si="236"/>
        <v>321476.30975737673</v>
      </c>
      <c r="G1251" s="101">
        <f t="shared" ca="1" si="237"/>
        <v>567015.10975737683</v>
      </c>
      <c r="H1251" s="100">
        <f ca="1">ROUND($B1251*VLOOKUP($A1251,$A$1:$B$10,2,1)/(365+IF(MOD(YEAR($A1251),4),0,1)*($A1251-$A1250)),2)-Первоначальный[[#This Row],[Проценты на просроченный платеж по ОД за период]]</f>
        <v>69.459999999999994</v>
      </c>
      <c r="I1251" s="55">
        <f t="shared" ca="1" si="238"/>
        <v>11.9</v>
      </c>
      <c r="J1251" s="55">
        <v>0</v>
      </c>
      <c r="K1251" s="55">
        <f t="shared" ca="1" si="241"/>
        <v>550.36350327868843</v>
      </c>
      <c r="L1251" s="55">
        <v>0</v>
      </c>
      <c r="M1251" s="113">
        <f>SUMIFS(График[Возврат основной суммы долга],График[Дата с учетом нерабочих дней],$A1251)</f>
        <v>0</v>
      </c>
      <c r="N1251" s="56">
        <f>SUMIFS(График[Возврат начисленных %],График[Дата с учетом нерабочих дней],$A1251)</f>
        <v>0</v>
      </c>
      <c r="O1251" s="101">
        <v>0</v>
      </c>
      <c r="P1251" s="100" cm="1">
        <f t="array" aca="1" ref="P1251" ca="1">MAX(IF(AA1250="Да",0,SUM(INDIRECT("M"&amp;(MAX(("Да"=AA$12:AA1250)*ROW(AA$12:AA1250)+1,ROW($P$12))&amp;":M"&amp;(ROW()))))-SUM(INDIRECT("W"&amp;(MAX(("Да"=AA$12:AA1250)*ROW(AA$12:AA1250)+1,ROW($P$12))&amp;":W"&amp;(ROW()))))),0)</f>
        <v>21893.109999999997</v>
      </c>
      <c r="Q1251" s="99">
        <f ca="1">MAX(SUM($N$13:N1251)-SUM($T$13:T1251),0)</f>
        <v>88179.590655737687</v>
      </c>
      <c r="R1251" s="99">
        <f ca="1">Первоначальный[[#This Row],[Просроченный платеж по ОД]]+Первоначальный[[#This Row],[Просроченный платеж по процентам]]</f>
        <v>110072.70065573769</v>
      </c>
      <c r="S1251" s="120">
        <f ca="1">IF(Первоначальный[[#This Row],[Просроченный платеж]]&lt;1,0,S1250+1)</f>
        <v>1147</v>
      </c>
      <c r="T1251" s="100" cm="1">
        <f t="array" aca="1" ref="T1251" ca="1">IF(Первоначальный[[#This Row],[Итого остаток на начало периода]]&lt;1,0,
IF(
AND(TYPE(VLOOKUP(1,$Z$12:Z1251,1,0))=16,Первоначальный[[#This Row],[Досрочное погашение (да/"")]]=""),0,
_xlfn.IFS(AND(S1250=0,Первоначальный[[#This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платеж]]&lt;&gt;0),MIN(LOOKUP(,-1/($Z$12:Z1251=1),$C$12:C1251)+LOOKUP(,-1/($Z$12:Z1251=1),$H$12:H1251),Первоначальный[[#This Row],[Полученный платеж]]+Y1250),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платеж]]+Y1250,SUM(Первоначальный[[#This Row],[Остаток процентов на начало периода]],Первоначальный[[#This Row],[Проценты за период]])),
AND(S1250=0,Первоначальный[[#This Row],[Дата платежа из графика]]=""),0,
AND(S1250=0,Первоначальный[[#This Row],[Дата платежа из графика]]=1,MAX((0&lt;&gt;S$12:S1250)*ROW(S$12:S1250),ROW($S$12))&gt;=MAX((1=Z$12:Z1250)*ROW(Z$12:Z1250),ROW($T$12)),TYPE(VLOOKUP("Да",(INDIRECT("AA"&amp;(MAX((1=Z$12:Z1250)*ROW(Z$12:Z1250),ROW($T$12))&amp;":AA"&amp;(ROW()-1)))),1,0))=16),MIN(LOOKUP(,-1/($Z$12:Z1251=1),$C$12:C1251)+LOOKUP(,-1/($Z$12:Z1251=1),$H$12:H1251),Первоначальный[[#This Row],[Полученный платеж]]+Y1250),
AND(S1250=0,TYPE(VLOOKUP("Да",(INDIRECT("AA"&amp;(MAX((1=Z$12:Z1250)*ROW(Z$12:Z1250),ROW($T$12))&amp;":AA"&amp;(ROW()-1)))),1,0))&lt;&gt;16),MIN(LOOKUP(,-1/($Z$12:Z1251=1),$C$12:C1251)+LOOKUP(,-1/($Z$12:Z1251=1),$H$12:H1251)-IF(AA1250="Да",0,SUM(INDIRECT("T"&amp;(MAX(("Да"=AA$12:AA1250)*ROW(AA$12:AA1250)+1,ROW($T$12))&amp;":T"&amp;(ROW()-1))))),Первоначальный[[#This Row],[Полученный платеж]]+Y1250),
AND(S1250=0,MAX((0&lt;&gt;N$12:N1250)*ROW(N$12:N1250),ROW($S$12))&gt;=MAX((1=Z$12:Z1250)*ROW(Z$12:Z1250),ROW($T$12))),MIN(LOOKUP(,-1/($Z$12:Z1251=1),$C$12:C1251)+LOOKUP(,-1/($Z$12:Z1251=1),$H$12:H1251)-IF(N1250&lt;&gt;0,0,SUM(INDIRECT("T"&amp;(MAX((0&lt;&gt;N$12:N1250)*ROW(N$12:N1250)+1,ROW($T$12))&amp;":T"&amp;(ROW()-1))))),Первоначальный[[#This Row],[Полученный платеж]]+Y1250),
AND(S1250=0,Первоначальный[[#This Row],[Дата платежа из графика]]=1),MIN(LOOKUP(,-1/($Z$12:Z1251=1),$C$12:C1251)+LOOKUP(,-1/($Z$12:Z1251=1),$H$12:H1251)-IF(Z1250=1,0,SUM(INDIRECT("T"&amp;(MAX((1=Z$12:Z1250)*ROW(Z$12:Z1250)+1,ROW($T$12))&amp;":T"&amp;(ROW()-1))))),Первоначальный[[#This Row],[Полученный платеж]]+Y1250),
AND(Z1250&gt;0,Первоначальный[[#This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платеж]]+Y1250),
AND(S1250&gt;0,MAX((0&lt;&gt;S$12:S1250)*ROW(S$12:S1250),ROW($S$12))&gt;=MAX((1=Z$12:Z1250)*ROW(Z$12:Z1250),ROW($T$12)),TYPE(VLOOKUP("Да",(INDIRECT("AA"&amp;(MAX((1=Z$12:Z1250)*ROW(Z$12:Z1250),ROW($T$12))&amp;":AA"&amp;(ROW()-1)))),1,0))=16),MIN(LOOKUP(,-1/($Z$12:Z1251=1),$C$12:C1251)+LOOKUP(,-1/($Z$12:Z1251=1),$H$12:H1251)-SUM(INDIRECT("T"&amp;(MAX((1=Z$12:Z1250)*ROW(Z$12:Z1250),ROW($T$12))&amp;":T"&amp;(ROW()-1)))),Первоначальный[[#This Row],[Полученный платеж]]+Y1250),
S1250&gt;0,MIN(LOOKUP(,-1/($Z$12:Z1251=1),$C$12:C1251)+LOOKUP(,-1/($Z$12:Z1251=1),$H$12:H1251)-IF(Z1250=1,0,SUM(INDIRECT("T"&amp;(MAX((1=Z$12:Z1250)*ROW(Z$12:Z1250)+1,ROW($T$12))&amp;":T"&amp;(ROW()-1))))),Первоначальный[[#This Row],[Полученный платеж]]+Y1250)
)
)
)</f>
        <v>0</v>
      </c>
      <c r="U125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платеж]]+Y1250-Первоначальный[[#This Row],[Полученный платёж по процентам]])</f>
        <v>0</v>
      </c>
      <c r="V1251" s="55">
        <f t="shared" ca="1" si="231"/>
        <v>0</v>
      </c>
      <c r="W1251" s="55" cm="1">
        <f t="array" aca="1" ref="W1251" ca="1">IF(Первоначальный[[#This Row],[Итого остаток на начало периода]]&lt;1,0,
_xlfn.IFS(
AND(TYPE(VLOOKUP(1,$Z$12:Z1251,1,0))=16,Первоначальный[[#This Row],[Досрочное погашение (да/"")]]=""),0,
AND(S1250=0,Первоначальный[[#This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платеж]]+Y1250-SUM(Первоначальный[[#This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комиссиям]]),VLOOKUP(LOOKUP(,-1/($Z$12:Z1251=1),$A$12:A1251),График[[Срок конец]:[Возврат основной суммы долга]],3,0)),
AND(S1250=0,Первоначальный[[#This Row],[Дата платежа из графика]]="",Первоначальный[[#This Row],[Досрочное погашение (да/"")]]&lt;&gt;"Да"),0,
AND(S1250=0,Первоначальный[[#This Row],[Досрочное погашение (да/"")]]=""),MIN(Первоначальный[[#This Row],[Полученный платеж]]+Y1250-SUM(Первоначальный[[#This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комиссиям]]),VLOOKUP(LOOKUP(,-1/($Z$12:Z1251=1),$A$12:A1251),График[[Срок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платеж]]+Y1250-SUM(Первоначальный[[#This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S1250&gt;0,MIN(Первоначальный[[#This Row],[Полученный платеж]]+Y1250-SUM(Первоначальный[[#This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комиссиям]]),SUM(INDIRECT("M"&amp;(MAX((1=S$12:S1250)*ROW(S$12:S1250),ROW($W$12))&amp;":M"&amp;(ROW()))))-SUM(INDIRECT("W"&amp;(MAX((1=S$12:S1250)*ROW(S$12:S1250),ROW($W$12))&amp;":W"&amp;(ROW()-1)))))
)
)</f>
        <v>0</v>
      </c>
      <c r="X1251" s="55">
        <f t="shared" ca="1" si="232"/>
        <v>0</v>
      </c>
      <c r="Y1251" s="101">
        <f t="shared" ca="1" si="239"/>
        <v>0</v>
      </c>
      <c r="Z1251" s="133" t="str">
        <f>IF(TYPE((VLOOKUP(Первоначальный[[#This Row],[Дата платежа]],График[Срок конец],1,0)))=16,"",1)</f>
        <v/>
      </c>
      <c r="AA1251" s="57"/>
      <c r="AB1251" s="134"/>
      <c r="AC125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5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89712.780000000086</v>
      </c>
      <c r="AE125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6274.0399999999845</v>
      </c>
      <c r="AF125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5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322026.67326065543</v>
      </c>
      <c r="AH1251" s="55"/>
      <c r="AI1251" s="55"/>
      <c r="AJ1251" s="55"/>
      <c r="AK1251" s="101">
        <f t="shared" ca="1" si="240"/>
        <v>567646.83326065552</v>
      </c>
      <c r="AL1251" s="129">
        <f t="array" ref="AL1251">MAX((УслРестрактов[Характеристика]="Дата реструктуризации")*(УслРестрактов[Значение]=Первоначальный!$A1251),0)</f>
        <v>0</v>
      </c>
    </row>
    <row r="1252" spans="1:38" x14ac:dyDescent="0.25">
      <c r="A1252" s="97">
        <f t="shared" si="233"/>
        <v>45383</v>
      </c>
      <c r="B1252" s="100">
        <f t="shared" ca="1" si="234"/>
        <v>149633.34</v>
      </c>
      <c r="C1252" s="55">
        <f t="shared" ca="1" si="230"/>
        <v>89712.780000000086</v>
      </c>
      <c r="D1252" s="55">
        <f t="shared" ca="1" si="230"/>
        <v>6274.0399999999845</v>
      </c>
      <c r="E1252" s="55">
        <f t="shared" ca="1" si="235"/>
        <v>0</v>
      </c>
      <c r="F1252" s="55">
        <f t="shared" ca="1" si="236"/>
        <v>322026.67326065543</v>
      </c>
      <c r="G1252" s="101">
        <f t="shared" ca="1" si="237"/>
        <v>567646.83326065552</v>
      </c>
      <c r="H1252" s="100">
        <f ca="1">ROUND($B1252*VLOOKUP($A1252,$A$1:$B$10,2,1)/(365+IF(MOD(YEAR($A1252),4),0,1)*($A1252-$A1251)),2)-Первоначальный[[#This Row],[Проценты на просроченный платеж по ОД за период]]</f>
        <v>69.459999999999994</v>
      </c>
      <c r="I1252" s="55">
        <f t="shared" ca="1" si="238"/>
        <v>11.9</v>
      </c>
      <c r="J1252" s="55">
        <v>0</v>
      </c>
      <c r="K1252" s="55">
        <f t="shared" ca="1" si="241"/>
        <v>550.36350327868843</v>
      </c>
      <c r="L1252" s="55">
        <v>0</v>
      </c>
      <c r="M1252" s="113">
        <f>SUMIFS(График[Возврат основной суммы долга],График[Дата с учетом нерабочих дней],$A1252)</f>
        <v>0</v>
      </c>
      <c r="N1252" s="56">
        <f>SUMIFS(График[Возврат начисленных %],График[Дата с учетом нерабочих дней],$A1252)</f>
        <v>0</v>
      </c>
      <c r="O1252" s="101">
        <v>0</v>
      </c>
      <c r="P1252" s="100" cm="1">
        <f t="array" aca="1" ref="P1252" ca="1">MAX(IF(AA1251="Да",0,SUM(INDIRECT("M"&amp;(MAX(("Да"=AA$12:AA1251)*ROW(AA$12:AA1251)+1,ROW($P$12))&amp;":M"&amp;(ROW()))))-SUM(INDIRECT("W"&amp;(MAX(("Да"=AA$12:AA1251)*ROW(AA$12:AA1251)+1,ROW($P$12))&amp;":W"&amp;(ROW()))))),0)</f>
        <v>21893.109999999997</v>
      </c>
      <c r="Q1252" s="99">
        <f ca="1">MAX(SUM($N$13:N1252)-SUM($T$13:T1252),0)</f>
        <v>88179.590655737687</v>
      </c>
      <c r="R1252" s="99">
        <f ca="1">Первоначальный[[#This Row],[Просроченный платеж по ОД]]+Первоначальный[[#This Row],[Просроченный платеж по процентам]]</f>
        <v>110072.70065573769</v>
      </c>
      <c r="S1252" s="120">
        <f ca="1">IF(Первоначальный[[#This Row],[Просроченный платеж]]&lt;1,0,S1251+1)</f>
        <v>1148</v>
      </c>
      <c r="T1252" s="100" cm="1">
        <f t="array" aca="1" ref="T1252" ca="1">IF(Первоначальный[[#This Row],[Итого остаток на начало периода]]&lt;1,0,
IF(
AND(TYPE(VLOOKUP(1,$Z$12:Z1252,1,0))=16,Первоначальный[[#This Row],[Досрочное погашение (да/"")]]=""),0,
_xlfn.IFS(AND(S1251=0,Первоначальный[[#This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платеж]]&lt;&gt;0),MIN(LOOKUP(,-1/($Z$12:Z1252=1),$C$12:C1252)+LOOKUP(,-1/($Z$12:Z1252=1),$H$12:H1252),Первоначальный[[#This Row],[Полученный платеж]]+Y1251),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платеж]]+Y1251,SUM(Первоначальный[[#This Row],[Остаток процентов на начало периода]],Первоначальный[[#This Row],[Проценты за период]])),
AND(S1251=0,Первоначальный[[#This Row],[Дата платежа из графика]]=""),0,
AND(S1251=0,Первоначальный[[#This Row],[Дата платежа из графика]]=1,MAX((0&lt;&gt;S$12:S1251)*ROW(S$12:S1251),ROW($S$12))&gt;=MAX((1=Z$12:Z1251)*ROW(Z$12:Z1251),ROW($T$12)),TYPE(VLOOKUP("Да",(INDIRECT("AA"&amp;(MAX((1=Z$12:Z1251)*ROW(Z$12:Z1251),ROW($T$12))&amp;":AA"&amp;(ROW()-1)))),1,0))=16),MIN(LOOKUP(,-1/($Z$12:Z1252=1),$C$12:C1252)+LOOKUP(,-1/($Z$12:Z1252=1),$H$12:H1252),Первоначальный[[#This Row],[Полученный платеж]]+Y1251),
AND(S1251=0,TYPE(VLOOKUP("Да",(INDIRECT("AA"&amp;(MAX((1=Z$12:Z1251)*ROW(Z$12:Z1251),ROW($T$12))&amp;":AA"&amp;(ROW()-1)))),1,0))&lt;&gt;16),MIN(LOOKUP(,-1/($Z$12:Z1252=1),$C$12:C1252)+LOOKUP(,-1/($Z$12:Z1252=1),$H$12:H1252)-IF(AA1251="Да",0,SUM(INDIRECT("T"&amp;(MAX(("Да"=AA$12:AA1251)*ROW(AA$12:AA1251)+1,ROW($T$12))&amp;":T"&amp;(ROW()-1))))),Первоначальный[[#This Row],[Полученный платеж]]+Y1251),
AND(S1251=0,MAX((0&lt;&gt;N$12:N1251)*ROW(N$12:N1251),ROW($S$12))&gt;=MAX((1=Z$12:Z1251)*ROW(Z$12:Z1251),ROW($T$12))),MIN(LOOKUP(,-1/($Z$12:Z1252=1),$C$12:C1252)+LOOKUP(,-1/($Z$12:Z1252=1),$H$12:H1252)-IF(N1251&lt;&gt;0,0,SUM(INDIRECT("T"&amp;(MAX((0&lt;&gt;N$12:N1251)*ROW(N$12:N1251)+1,ROW($T$12))&amp;":T"&amp;(ROW()-1))))),Первоначальный[[#This Row],[Полученный платеж]]+Y1251),
AND(S1251=0,Первоначальный[[#This Row],[Дата платежа из графика]]=1),MIN(LOOKUP(,-1/($Z$12:Z1252=1),$C$12:C1252)+LOOKUP(,-1/($Z$12:Z1252=1),$H$12:H1252)-IF(Z1251=1,0,SUM(INDIRECT("T"&amp;(MAX((1=Z$12:Z1251)*ROW(Z$12:Z1251)+1,ROW($T$12))&amp;":T"&amp;(ROW()-1))))),Первоначальный[[#This Row],[Полученный платеж]]+Y1251),
AND(Z1251&gt;0,Первоначальный[[#This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платеж]]+Y1251),
AND(S1251&gt;0,MAX((0&lt;&gt;S$12:S1251)*ROW(S$12:S1251),ROW($S$12))&gt;=MAX((1=Z$12:Z1251)*ROW(Z$12:Z1251),ROW($T$12)),TYPE(VLOOKUP("Да",(INDIRECT("AA"&amp;(MAX((1=Z$12:Z1251)*ROW(Z$12:Z1251),ROW($T$12))&amp;":AA"&amp;(ROW()-1)))),1,0))=16),MIN(LOOKUP(,-1/($Z$12:Z1252=1),$C$12:C1252)+LOOKUP(,-1/($Z$12:Z1252=1),$H$12:H1252)-SUM(INDIRECT("T"&amp;(MAX((1=Z$12:Z1251)*ROW(Z$12:Z1251),ROW($T$12))&amp;":T"&amp;(ROW()-1)))),Первоначальный[[#This Row],[Полученный платеж]]+Y1251),
S1251&gt;0,MIN(LOOKUP(,-1/($Z$12:Z1252=1),$C$12:C1252)+LOOKUP(,-1/($Z$12:Z1252=1),$H$12:H1252)-IF(Z1251=1,0,SUM(INDIRECT("T"&amp;(MAX((1=Z$12:Z1251)*ROW(Z$12:Z1251)+1,ROW($T$12))&amp;":T"&amp;(ROW()-1))))),Первоначальный[[#This Row],[Полученный платеж]]+Y1251)
)
)
)</f>
        <v>0</v>
      </c>
      <c r="U125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платеж]]+Y1251-Первоначальный[[#This Row],[Полученный платёж по процентам]])</f>
        <v>0</v>
      </c>
      <c r="V1252" s="55">
        <f t="shared" ca="1" si="231"/>
        <v>0</v>
      </c>
      <c r="W1252" s="55" cm="1">
        <f t="array" aca="1" ref="W1252" ca="1">IF(Первоначальный[[#This Row],[Итого остаток на начало периода]]&lt;1,0,
_xlfn.IFS(
AND(TYPE(VLOOKUP(1,$Z$12:Z1252,1,0))=16,Первоначальный[[#This Row],[Досрочное погашение (да/"")]]=""),0,
AND(S1251=0,Первоначальный[[#This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платеж]]+Y1251-SUM(Первоначальный[[#This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комиссиям]]),VLOOKUP(LOOKUP(,-1/($Z$12:Z1252=1),$A$12:A1252),График[[Срок конец]:[Возврат основной суммы долга]],3,0)),
AND(S1251=0,Первоначальный[[#This Row],[Дата платежа из графика]]="",Первоначальный[[#This Row],[Досрочное погашение (да/"")]]&lt;&gt;"Да"),0,
AND(S1251=0,Первоначальный[[#This Row],[Досрочное погашение (да/"")]]=""),MIN(Первоначальный[[#This Row],[Полученный платеж]]+Y1251-SUM(Первоначальный[[#This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комиссиям]]),VLOOKUP(LOOKUP(,-1/($Z$12:Z1252=1),$A$12:A1252),График[[Срок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платеж]]+Y1251-SUM(Первоначальный[[#This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S1251&gt;0,MIN(Первоначальный[[#This Row],[Полученный платеж]]+Y1251-SUM(Первоначальный[[#This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комиссиям]]),SUM(INDIRECT("M"&amp;(MAX((1=S$12:S1251)*ROW(S$12:S1251),ROW($W$12))&amp;":M"&amp;(ROW()))))-SUM(INDIRECT("W"&amp;(MAX((1=S$12:S1251)*ROW(S$12:S1251),ROW($W$12))&amp;":W"&amp;(ROW()-1)))))
)
)</f>
        <v>0</v>
      </c>
      <c r="X1252" s="55">
        <f t="shared" ca="1" si="232"/>
        <v>0</v>
      </c>
      <c r="Y1252" s="101">
        <f t="shared" ca="1" si="239"/>
        <v>0</v>
      </c>
      <c r="Z1252" s="133" t="str">
        <f>IF(TYPE((VLOOKUP(Первоначальный[[#This Row],[Дата платежа]],График[Срок конец],1,0)))=16,"",1)</f>
        <v/>
      </c>
      <c r="AA1252" s="57"/>
      <c r="AB1252" s="134"/>
      <c r="AC125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5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89782.240000000093</v>
      </c>
      <c r="AE125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6285.9399999999841</v>
      </c>
      <c r="AF125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5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322577.03676393413</v>
      </c>
      <c r="AH1252" s="55"/>
      <c r="AI1252" s="55"/>
      <c r="AJ1252" s="55"/>
      <c r="AK1252" s="101">
        <f t="shared" ca="1" si="240"/>
        <v>568278.5567639342</v>
      </c>
      <c r="AL1252" s="129">
        <f t="array" ref="AL1252">MAX((УслРестрактов[Характеристика]="Дата реструктуризации")*(УслРестрактов[Значение]=Первоначальный!$A1252),0)</f>
        <v>0</v>
      </c>
    </row>
    <row r="1253" spans="1:38" x14ac:dyDescent="0.25">
      <c r="A1253" s="97">
        <f t="shared" si="233"/>
        <v>45384</v>
      </c>
      <c r="B1253" s="100">
        <f t="shared" ca="1" si="234"/>
        <v>149633.34</v>
      </c>
      <c r="C1253" s="55">
        <f t="shared" ca="1" si="230"/>
        <v>89782.240000000093</v>
      </c>
      <c r="D1253" s="55">
        <f t="shared" ca="1" si="230"/>
        <v>6285.9399999999841</v>
      </c>
      <c r="E1253" s="55">
        <f t="shared" ca="1" si="235"/>
        <v>0</v>
      </c>
      <c r="F1253" s="55">
        <f t="shared" ca="1" si="236"/>
        <v>322577.03676393413</v>
      </c>
      <c r="G1253" s="101">
        <f t="shared" ca="1" si="237"/>
        <v>568278.5567639342</v>
      </c>
      <c r="H1253" s="100">
        <f ca="1">ROUND($B1253*VLOOKUP($A1253,$A$1:$B$10,2,1)/(365+IF(MOD(YEAR($A1253),4),0,1)*($A1253-$A1252)),2)-Первоначальный[[#This Row],[Проценты на просроченный платеж по ОД за период]]</f>
        <v>69.459999999999994</v>
      </c>
      <c r="I1253" s="55">
        <f t="shared" ca="1" si="238"/>
        <v>11.9</v>
      </c>
      <c r="J1253" s="55">
        <v>0</v>
      </c>
      <c r="K1253" s="55">
        <f t="shared" ca="1" si="241"/>
        <v>550.36350327868843</v>
      </c>
      <c r="L1253" s="55">
        <v>0</v>
      </c>
      <c r="M1253" s="113">
        <f>SUMIFS(График[Возврат основной суммы долга],График[Дата с учетом нерабочих дней],$A1253)</f>
        <v>0</v>
      </c>
      <c r="N1253" s="56">
        <f>SUMIFS(График[Возврат начисленных %],График[Дата с учетом нерабочих дней],$A1253)</f>
        <v>0</v>
      </c>
      <c r="O1253" s="101">
        <v>0</v>
      </c>
      <c r="P1253" s="100" cm="1">
        <f t="array" aca="1" ref="P1253" ca="1">MAX(IF(AA1252="Да",0,SUM(INDIRECT("M"&amp;(MAX(("Да"=AA$12:AA1252)*ROW(AA$12:AA1252)+1,ROW($P$12))&amp;":M"&amp;(ROW()))))-SUM(INDIRECT("W"&amp;(MAX(("Да"=AA$12:AA1252)*ROW(AA$12:AA1252)+1,ROW($P$12))&amp;":W"&amp;(ROW()))))),0)</f>
        <v>21893.109999999997</v>
      </c>
      <c r="Q1253" s="99">
        <f ca="1">MAX(SUM($N$13:N1253)-SUM($T$13:T1253),0)</f>
        <v>88179.590655737687</v>
      </c>
      <c r="R1253" s="99">
        <f ca="1">Первоначальный[[#This Row],[Просроченный платеж по ОД]]+Первоначальный[[#This Row],[Просроченный платеж по процентам]]</f>
        <v>110072.70065573769</v>
      </c>
      <c r="S1253" s="120">
        <f ca="1">IF(Первоначальный[[#This Row],[Просроченный платеж]]&lt;1,0,S1252+1)</f>
        <v>1149</v>
      </c>
      <c r="T1253" s="100" cm="1">
        <f t="array" aca="1" ref="T1253" ca="1">IF(Первоначальный[[#This Row],[Итого остаток на начало периода]]&lt;1,0,
IF(
AND(TYPE(VLOOKUP(1,$Z$12:Z1253,1,0))=16,Первоначальный[[#This Row],[Досрочное погашение (да/"")]]=""),0,
_xlfn.IFS(AND(S1252=0,Первоначальный[[#This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платеж]]&lt;&gt;0),MIN(LOOKUP(,-1/($Z$12:Z1253=1),$C$12:C1253)+LOOKUP(,-1/($Z$12:Z1253=1),$H$12:H1253),Первоначальный[[#This Row],[Полученный платеж]]+Y1252),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платеж]]+Y1252,SUM(Первоначальный[[#This Row],[Остаток процентов на начало периода]],Первоначальный[[#This Row],[Проценты за период]])),
AND(S1252=0,Первоначальный[[#This Row],[Дата платежа из графика]]=""),0,
AND(S1252=0,Первоначальный[[#This Row],[Дата платежа из графика]]=1,MAX((0&lt;&gt;S$12:S1252)*ROW(S$12:S1252),ROW($S$12))&gt;=MAX((1=Z$12:Z1252)*ROW(Z$12:Z1252),ROW($T$12)),TYPE(VLOOKUP("Да",(INDIRECT("AA"&amp;(MAX((1=Z$12:Z1252)*ROW(Z$12:Z1252),ROW($T$12))&amp;":AA"&amp;(ROW()-1)))),1,0))=16),MIN(LOOKUP(,-1/($Z$12:Z1253=1),$C$12:C1253)+LOOKUP(,-1/($Z$12:Z1253=1),$H$12:H1253),Первоначальный[[#This Row],[Полученный платеж]]+Y1252),
AND(S1252=0,TYPE(VLOOKUP("Да",(INDIRECT("AA"&amp;(MAX((1=Z$12:Z1252)*ROW(Z$12:Z1252),ROW($T$12))&amp;":AA"&amp;(ROW()-1)))),1,0))&lt;&gt;16),MIN(LOOKUP(,-1/($Z$12:Z1253=1),$C$12:C1253)+LOOKUP(,-1/($Z$12:Z1253=1),$H$12:H1253)-IF(AA1252="Да",0,SUM(INDIRECT("T"&amp;(MAX(("Да"=AA$12:AA1252)*ROW(AA$12:AA1252)+1,ROW($T$12))&amp;":T"&amp;(ROW()-1))))),Первоначальный[[#This Row],[Полученный платеж]]+Y1252),
AND(S1252=0,MAX((0&lt;&gt;N$12:N1252)*ROW(N$12:N1252),ROW($S$12))&gt;=MAX((1=Z$12:Z1252)*ROW(Z$12:Z1252),ROW($T$12))),MIN(LOOKUP(,-1/($Z$12:Z1253=1),$C$12:C1253)+LOOKUP(,-1/($Z$12:Z1253=1),$H$12:H1253)-IF(N1252&lt;&gt;0,0,SUM(INDIRECT("T"&amp;(MAX((0&lt;&gt;N$12:N1252)*ROW(N$12:N1252)+1,ROW($T$12))&amp;":T"&amp;(ROW()-1))))),Первоначальный[[#This Row],[Полученный платеж]]+Y1252),
AND(S1252=0,Первоначальный[[#This Row],[Дата платежа из графика]]=1),MIN(LOOKUP(,-1/($Z$12:Z1253=1),$C$12:C1253)+LOOKUP(,-1/($Z$12:Z1253=1),$H$12:H1253)-IF(Z1252=1,0,SUM(INDIRECT("T"&amp;(MAX((1=Z$12:Z1252)*ROW(Z$12:Z1252)+1,ROW($T$12))&amp;":T"&amp;(ROW()-1))))),Первоначальный[[#This Row],[Полученный платеж]]+Y1252),
AND(Z1252&gt;0,Первоначальный[[#This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платеж]]+Y1252),
AND(S1252&gt;0,MAX((0&lt;&gt;S$12:S1252)*ROW(S$12:S1252),ROW($S$12))&gt;=MAX((1=Z$12:Z1252)*ROW(Z$12:Z1252),ROW($T$12)),TYPE(VLOOKUP("Да",(INDIRECT("AA"&amp;(MAX((1=Z$12:Z1252)*ROW(Z$12:Z1252),ROW($T$12))&amp;":AA"&amp;(ROW()-1)))),1,0))=16),MIN(LOOKUP(,-1/($Z$12:Z1253=1),$C$12:C1253)+LOOKUP(,-1/($Z$12:Z1253=1),$H$12:H1253)-SUM(INDIRECT("T"&amp;(MAX((1=Z$12:Z1252)*ROW(Z$12:Z1252),ROW($T$12))&amp;":T"&amp;(ROW()-1)))),Первоначальный[[#This Row],[Полученный платеж]]+Y1252),
S1252&gt;0,MIN(LOOKUP(,-1/($Z$12:Z1253=1),$C$12:C1253)+LOOKUP(,-1/($Z$12:Z1253=1),$H$12:H1253)-IF(Z1252=1,0,SUM(INDIRECT("T"&amp;(MAX((1=Z$12:Z1252)*ROW(Z$12:Z1252)+1,ROW($T$12))&amp;":T"&amp;(ROW()-1))))),Первоначальный[[#This Row],[Полученный платеж]]+Y1252)
)
)
)</f>
        <v>0</v>
      </c>
      <c r="U125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платеж]]+Y1252-Первоначальный[[#This Row],[Полученный платёж по процентам]])</f>
        <v>0</v>
      </c>
      <c r="V1253" s="55">
        <f t="shared" ca="1" si="231"/>
        <v>0</v>
      </c>
      <c r="W1253" s="55" cm="1">
        <f t="array" aca="1" ref="W1253" ca="1">IF(Первоначальный[[#This Row],[Итого остаток на начало периода]]&lt;1,0,
_xlfn.IFS(
AND(TYPE(VLOOKUP(1,$Z$12:Z1253,1,0))=16,Первоначальный[[#This Row],[Досрочное погашение (да/"")]]=""),0,
AND(S1252=0,Первоначальный[[#This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платеж]]+Y1252-SUM(Первоначальный[[#This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комиссиям]]),VLOOKUP(LOOKUP(,-1/($Z$12:Z1253=1),$A$12:A1253),График[[Срок конец]:[Возврат основной суммы долга]],3,0)),
AND(S1252=0,Первоначальный[[#This Row],[Дата платежа из графика]]="",Первоначальный[[#This Row],[Досрочное погашение (да/"")]]&lt;&gt;"Да"),0,
AND(S1252=0,Первоначальный[[#This Row],[Досрочное погашение (да/"")]]=""),MIN(Первоначальный[[#This Row],[Полученный платеж]]+Y1252-SUM(Первоначальный[[#This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комиссиям]]),VLOOKUP(LOOKUP(,-1/($Z$12:Z1253=1),$A$12:A1253),График[[Срок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платеж]]+Y1252-SUM(Первоначальный[[#This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S1252&gt;0,MIN(Первоначальный[[#This Row],[Полученный платеж]]+Y1252-SUM(Первоначальный[[#This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комиссиям]]),SUM(INDIRECT("M"&amp;(MAX((1=S$12:S1252)*ROW(S$12:S1252),ROW($W$12))&amp;":M"&amp;(ROW()))))-SUM(INDIRECT("W"&amp;(MAX((1=S$12:S1252)*ROW(S$12:S1252),ROW($W$12))&amp;":W"&amp;(ROW()-1)))))
)
)</f>
        <v>0</v>
      </c>
      <c r="X1253" s="55">
        <f t="shared" ca="1" si="232"/>
        <v>0</v>
      </c>
      <c r="Y1253" s="101">
        <f t="shared" ca="1" si="239"/>
        <v>0</v>
      </c>
      <c r="Z1253" s="133" t="str">
        <f>IF(TYPE((VLOOKUP(Первоначальный[[#This Row],[Дата платежа]],График[Срок конец],1,0)))=16,"",1)</f>
        <v/>
      </c>
      <c r="AA1253" s="57"/>
      <c r="AB1253" s="134"/>
      <c r="AC125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5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89851.700000000099</v>
      </c>
      <c r="AE125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6297.8399999999838</v>
      </c>
      <c r="AF125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5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323127.40026721283</v>
      </c>
      <c r="AH1253" s="55"/>
      <c r="AI1253" s="55"/>
      <c r="AJ1253" s="55"/>
      <c r="AK1253" s="101">
        <f t="shared" ca="1" si="240"/>
        <v>568910.28026721289</v>
      </c>
      <c r="AL1253" s="129">
        <f t="array" ref="AL1253">MAX((УслРестрактов[Характеристика]="Дата реструктуризации")*(УслРестрактов[Значение]=Первоначальный!$A1253),0)</f>
        <v>0</v>
      </c>
    </row>
    <row r="1254" spans="1:38" x14ac:dyDescent="0.25">
      <c r="A1254" s="97">
        <f t="shared" si="233"/>
        <v>45385</v>
      </c>
      <c r="B1254" s="100">
        <f t="shared" ca="1" si="234"/>
        <v>149633.34</v>
      </c>
      <c r="C1254" s="55">
        <f t="shared" ca="1" si="230"/>
        <v>89851.700000000099</v>
      </c>
      <c r="D1254" s="55">
        <f t="shared" ca="1" si="230"/>
        <v>6297.8399999999838</v>
      </c>
      <c r="E1254" s="55">
        <f t="shared" ca="1" si="235"/>
        <v>0</v>
      </c>
      <c r="F1254" s="55">
        <f t="shared" ca="1" si="236"/>
        <v>323127.40026721283</v>
      </c>
      <c r="G1254" s="101">
        <f t="shared" ca="1" si="237"/>
        <v>568910.28026721289</v>
      </c>
      <c r="H1254" s="100">
        <f ca="1">ROUND($B1254*VLOOKUP($A1254,$A$1:$B$10,2,1)/(365+IF(MOD(YEAR($A1254),4),0,1)*($A1254-$A1253)),2)-Первоначальный[[#This Row],[Проценты на просроченный платеж по ОД за период]]</f>
        <v>69.459999999999994</v>
      </c>
      <c r="I1254" s="55">
        <f t="shared" ca="1" si="238"/>
        <v>11.9</v>
      </c>
      <c r="J1254" s="55">
        <v>0</v>
      </c>
      <c r="K1254" s="55">
        <f t="shared" ca="1" si="241"/>
        <v>550.36350327868843</v>
      </c>
      <c r="L1254" s="55">
        <v>0</v>
      </c>
      <c r="M1254" s="113">
        <f>SUMIFS(График[Возврат основной суммы долга],График[Дата с учетом нерабочих дней],$A1254)</f>
        <v>0</v>
      </c>
      <c r="N1254" s="56">
        <f>SUMIFS(График[Возврат начисленных %],График[Дата с учетом нерабочих дней],$A1254)</f>
        <v>0</v>
      </c>
      <c r="O1254" s="101">
        <v>0</v>
      </c>
      <c r="P1254" s="100" cm="1">
        <f t="array" aca="1" ref="P1254" ca="1">MAX(IF(AA1253="Да",0,SUM(INDIRECT("M"&amp;(MAX(("Да"=AA$12:AA1253)*ROW(AA$12:AA1253)+1,ROW($P$12))&amp;":M"&amp;(ROW()))))-SUM(INDIRECT("W"&amp;(MAX(("Да"=AA$12:AA1253)*ROW(AA$12:AA1253)+1,ROW($P$12))&amp;":W"&amp;(ROW()))))),0)</f>
        <v>21893.109999999997</v>
      </c>
      <c r="Q1254" s="99">
        <f ca="1">MAX(SUM($N$13:N1254)-SUM($T$13:T1254),0)</f>
        <v>88179.590655737687</v>
      </c>
      <c r="R1254" s="99">
        <f ca="1">Первоначальный[[#This Row],[Просроченный платеж по ОД]]+Первоначальный[[#This Row],[Просроченный платеж по процентам]]</f>
        <v>110072.70065573769</v>
      </c>
      <c r="S1254" s="120">
        <f ca="1">IF(Первоначальный[[#This Row],[Просроченный платеж]]&lt;1,0,S1253+1)</f>
        <v>1150</v>
      </c>
      <c r="T1254" s="100" cm="1">
        <f t="array" aca="1" ref="T1254" ca="1">IF(Первоначальный[[#This Row],[Итого остаток на начало периода]]&lt;1,0,
IF(
AND(TYPE(VLOOKUP(1,$Z$12:Z1254,1,0))=16,Первоначальный[[#This Row],[Досрочное погашение (да/"")]]=""),0,
_xlfn.IFS(AND(S1253=0,Первоначальный[[#This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платеж]]&lt;&gt;0),MIN(LOOKUP(,-1/($Z$12:Z1254=1),$C$12:C1254)+LOOKUP(,-1/($Z$12:Z1254=1),$H$12:H1254),Первоначальный[[#This Row],[Полученный платеж]]+Y1253),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платеж]]+Y1253,SUM(Первоначальный[[#This Row],[Остаток процентов на начало периода]],Первоначальный[[#This Row],[Проценты за период]])),
AND(S1253=0,Первоначальный[[#This Row],[Дата платежа из графика]]=""),0,
AND(S1253=0,Первоначальный[[#This Row],[Дата платежа из графика]]=1,MAX((0&lt;&gt;S$12:S1253)*ROW(S$12:S1253),ROW($S$12))&gt;=MAX((1=Z$12:Z1253)*ROW(Z$12:Z1253),ROW($T$12)),TYPE(VLOOKUP("Да",(INDIRECT("AA"&amp;(MAX((1=Z$12:Z1253)*ROW(Z$12:Z1253),ROW($T$12))&amp;":AA"&amp;(ROW()-1)))),1,0))=16),MIN(LOOKUP(,-1/($Z$12:Z1254=1),$C$12:C1254)+LOOKUP(,-1/($Z$12:Z1254=1),$H$12:H1254),Первоначальный[[#This Row],[Полученный платеж]]+Y1253),
AND(S1253=0,TYPE(VLOOKUP("Да",(INDIRECT("AA"&amp;(MAX((1=Z$12:Z1253)*ROW(Z$12:Z1253),ROW($T$12))&amp;":AA"&amp;(ROW()-1)))),1,0))&lt;&gt;16),MIN(LOOKUP(,-1/($Z$12:Z1254=1),$C$12:C1254)+LOOKUP(,-1/($Z$12:Z1254=1),$H$12:H1254)-IF(AA1253="Да",0,SUM(INDIRECT("T"&amp;(MAX(("Да"=AA$12:AA1253)*ROW(AA$12:AA1253)+1,ROW($T$12))&amp;":T"&amp;(ROW()-1))))),Первоначальный[[#This Row],[Полученный платеж]]+Y1253),
AND(S1253=0,MAX((0&lt;&gt;N$12:N1253)*ROW(N$12:N1253),ROW($S$12))&gt;=MAX((1=Z$12:Z1253)*ROW(Z$12:Z1253),ROW($T$12))),MIN(LOOKUP(,-1/($Z$12:Z1254=1),$C$12:C1254)+LOOKUP(,-1/($Z$12:Z1254=1),$H$12:H1254)-IF(N1253&lt;&gt;0,0,SUM(INDIRECT("T"&amp;(MAX((0&lt;&gt;N$12:N1253)*ROW(N$12:N1253)+1,ROW($T$12))&amp;":T"&amp;(ROW()-1))))),Первоначальный[[#This Row],[Полученный платеж]]+Y1253),
AND(S1253=0,Первоначальный[[#This Row],[Дата платежа из графика]]=1),MIN(LOOKUP(,-1/($Z$12:Z1254=1),$C$12:C1254)+LOOKUP(,-1/($Z$12:Z1254=1),$H$12:H1254)-IF(Z1253=1,0,SUM(INDIRECT("T"&amp;(MAX((1=Z$12:Z1253)*ROW(Z$12:Z1253)+1,ROW($T$12))&amp;":T"&amp;(ROW()-1))))),Первоначальный[[#This Row],[Полученный платеж]]+Y1253),
AND(Z1253&gt;0,Первоначальный[[#This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платеж]]+Y1253),
AND(S1253&gt;0,MAX((0&lt;&gt;S$12:S1253)*ROW(S$12:S1253),ROW($S$12))&gt;=MAX((1=Z$12:Z1253)*ROW(Z$12:Z1253),ROW($T$12)),TYPE(VLOOKUP("Да",(INDIRECT("AA"&amp;(MAX((1=Z$12:Z1253)*ROW(Z$12:Z1253),ROW($T$12))&amp;":AA"&amp;(ROW()-1)))),1,0))=16),MIN(LOOKUP(,-1/($Z$12:Z1254=1),$C$12:C1254)+LOOKUP(,-1/($Z$12:Z1254=1),$H$12:H1254)-SUM(INDIRECT("T"&amp;(MAX((1=Z$12:Z1253)*ROW(Z$12:Z1253),ROW($T$12))&amp;":T"&amp;(ROW()-1)))),Первоначальный[[#This Row],[Полученный платеж]]+Y1253),
S1253&gt;0,MIN(LOOKUP(,-1/($Z$12:Z1254=1),$C$12:C1254)+LOOKUP(,-1/($Z$12:Z1254=1),$H$12:H1254)-IF(Z1253=1,0,SUM(INDIRECT("T"&amp;(MAX((1=Z$12:Z1253)*ROW(Z$12:Z1253)+1,ROW($T$12))&amp;":T"&amp;(ROW()-1))))),Первоначальный[[#This Row],[Полученный платеж]]+Y1253)
)
)
)</f>
        <v>0</v>
      </c>
      <c r="U125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платеж]]+Y1253-Первоначальный[[#This Row],[Полученный платёж по процентам]])</f>
        <v>0</v>
      </c>
      <c r="V1254" s="55">
        <f t="shared" ca="1" si="231"/>
        <v>0</v>
      </c>
      <c r="W1254" s="55" cm="1">
        <f t="array" aca="1" ref="W1254" ca="1">IF(Первоначальный[[#This Row],[Итого остаток на начало периода]]&lt;1,0,
_xlfn.IFS(
AND(TYPE(VLOOKUP(1,$Z$12:Z1254,1,0))=16,Первоначальный[[#This Row],[Досрочное погашение (да/"")]]=""),0,
AND(S1253=0,Первоначальный[[#This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платеж]]+Y1253-SUM(Первоначальный[[#This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комиссиям]]),VLOOKUP(LOOKUP(,-1/($Z$12:Z1254=1),$A$12:A1254),График[[Срок конец]:[Возврат основной суммы долга]],3,0)),
AND(S1253=0,Первоначальный[[#This Row],[Дата платежа из графика]]="",Первоначальный[[#This Row],[Досрочное погашение (да/"")]]&lt;&gt;"Да"),0,
AND(S1253=0,Первоначальный[[#This Row],[Досрочное погашение (да/"")]]=""),MIN(Первоначальный[[#This Row],[Полученный платеж]]+Y1253-SUM(Первоначальный[[#This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комиссиям]]),VLOOKUP(LOOKUP(,-1/($Z$12:Z1254=1),$A$12:A1254),График[[Срок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платеж]]+Y1253-SUM(Первоначальный[[#This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S1253&gt;0,MIN(Первоначальный[[#This Row],[Полученный платеж]]+Y1253-SUM(Первоначальный[[#This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комиссиям]]),SUM(INDIRECT("M"&amp;(MAX((1=S$12:S1253)*ROW(S$12:S1253),ROW($W$12))&amp;":M"&amp;(ROW()))))-SUM(INDIRECT("W"&amp;(MAX((1=S$12:S1253)*ROW(S$12:S1253),ROW($W$12))&amp;":W"&amp;(ROW()-1)))))
)
)</f>
        <v>0</v>
      </c>
      <c r="X1254" s="55">
        <f t="shared" ca="1" si="232"/>
        <v>0</v>
      </c>
      <c r="Y1254" s="101">
        <f t="shared" ca="1" si="239"/>
        <v>0</v>
      </c>
      <c r="Z1254" s="133" t="str">
        <f>IF(TYPE((VLOOKUP(Первоначальный[[#This Row],[Дата платежа]],График[Срок конец],1,0)))=16,"",1)</f>
        <v/>
      </c>
      <c r="AA1254" s="57"/>
      <c r="AB1254" s="134"/>
      <c r="AC125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5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89921.160000000105</v>
      </c>
      <c r="AE125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6309.7399999999834</v>
      </c>
      <c r="AF125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5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323677.76377049153</v>
      </c>
      <c r="AH1254" s="55"/>
      <c r="AI1254" s="55"/>
      <c r="AJ1254" s="55"/>
      <c r="AK1254" s="101">
        <f t="shared" ca="1" si="240"/>
        <v>569542.00377049157</v>
      </c>
      <c r="AL1254" s="129">
        <f t="array" ref="AL1254">MAX((УслРестрактов[Характеристика]="Дата реструктуризации")*(УслРестрактов[Значение]=Первоначальный!$A1254),0)</f>
        <v>0</v>
      </c>
    </row>
    <row r="1255" spans="1:38" x14ac:dyDescent="0.25">
      <c r="A1255" s="97">
        <f t="shared" si="233"/>
        <v>45386</v>
      </c>
      <c r="B1255" s="100">
        <f t="shared" ca="1" si="234"/>
        <v>149633.34</v>
      </c>
      <c r="C1255" s="55">
        <f t="shared" ca="1" si="230"/>
        <v>89921.160000000105</v>
      </c>
      <c r="D1255" s="55">
        <f t="shared" ca="1" si="230"/>
        <v>6309.7399999999834</v>
      </c>
      <c r="E1255" s="55">
        <f t="shared" ca="1" si="235"/>
        <v>0</v>
      </c>
      <c r="F1255" s="55">
        <f t="shared" ca="1" si="236"/>
        <v>323677.76377049153</v>
      </c>
      <c r="G1255" s="101">
        <f t="shared" ca="1" si="237"/>
        <v>569542.00377049157</v>
      </c>
      <c r="H1255" s="100">
        <f ca="1">ROUND($B1255*VLOOKUP($A1255,$A$1:$B$10,2,1)/(365+IF(MOD(YEAR($A1255),4),0,1)*($A1255-$A1254)),2)-Первоначальный[[#This Row],[Проценты на просроченный платеж по ОД за период]]</f>
        <v>69.459999999999994</v>
      </c>
      <c r="I1255" s="55">
        <f t="shared" ca="1" si="238"/>
        <v>11.9</v>
      </c>
      <c r="J1255" s="55">
        <v>0</v>
      </c>
      <c r="K1255" s="55">
        <f t="shared" ca="1" si="241"/>
        <v>550.36350327868843</v>
      </c>
      <c r="L1255" s="55">
        <v>0</v>
      </c>
      <c r="M1255" s="113">
        <f>SUMIFS(График[Возврат основной суммы долга],График[Дата с учетом нерабочих дней],$A1255)</f>
        <v>0</v>
      </c>
      <c r="N1255" s="56">
        <f>SUMIFS(График[Возврат начисленных %],График[Дата с учетом нерабочих дней],$A1255)</f>
        <v>0</v>
      </c>
      <c r="O1255" s="101">
        <v>0</v>
      </c>
      <c r="P1255" s="100" cm="1">
        <f t="array" aca="1" ref="P1255" ca="1">MAX(IF(AA1254="Да",0,SUM(INDIRECT("M"&amp;(MAX(("Да"=AA$12:AA1254)*ROW(AA$12:AA1254)+1,ROW($P$12))&amp;":M"&amp;(ROW()))))-SUM(INDIRECT("W"&amp;(MAX(("Да"=AA$12:AA1254)*ROW(AA$12:AA1254)+1,ROW($P$12))&amp;":W"&amp;(ROW()))))),0)</f>
        <v>21893.109999999997</v>
      </c>
      <c r="Q1255" s="99">
        <f ca="1">MAX(SUM($N$13:N1255)-SUM($T$13:T1255),0)</f>
        <v>88179.590655737687</v>
      </c>
      <c r="R1255" s="99">
        <f ca="1">Первоначальный[[#This Row],[Просроченный платеж по ОД]]+Первоначальный[[#This Row],[Просроченный платеж по процентам]]</f>
        <v>110072.70065573769</v>
      </c>
      <c r="S1255" s="120">
        <f ca="1">IF(Первоначальный[[#This Row],[Просроченный платеж]]&lt;1,0,S1254+1)</f>
        <v>1151</v>
      </c>
      <c r="T1255" s="100" cm="1">
        <f t="array" aca="1" ref="T1255" ca="1">IF(Первоначальный[[#This Row],[Итого остаток на начало периода]]&lt;1,0,
IF(
AND(TYPE(VLOOKUP(1,$Z$12:Z1255,1,0))=16,Первоначальный[[#This Row],[Досрочное погашение (да/"")]]=""),0,
_xlfn.IFS(AND(S1254=0,Первоначальный[[#This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платеж]]&lt;&gt;0),MIN(LOOKUP(,-1/($Z$12:Z1255=1),$C$12:C1255)+LOOKUP(,-1/($Z$12:Z1255=1),$H$12:H1255),Первоначальный[[#This Row],[Полученный платеж]]+Y1254),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платеж]]+Y1254,SUM(Первоначальный[[#This Row],[Остаток процентов на начало периода]],Первоначальный[[#This Row],[Проценты за период]])),
AND(S1254=0,Первоначальный[[#This Row],[Дата платежа из графика]]=""),0,
AND(S1254=0,Первоначальный[[#This Row],[Дата платежа из графика]]=1,MAX((0&lt;&gt;S$12:S1254)*ROW(S$12:S1254),ROW($S$12))&gt;=MAX((1=Z$12:Z1254)*ROW(Z$12:Z1254),ROW($T$12)),TYPE(VLOOKUP("Да",(INDIRECT("AA"&amp;(MAX((1=Z$12:Z1254)*ROW(Z$12:Z1254),ROW($T$12))&amp;":AA"&amp;(ROW()-1)))),1,0))=16),MIN(LOOKUP(,-1/($Z$12:Z1255=1),$C$12:C1255)+LOOKUP(,-1/($Z$12:Z1255=1),$H$12:H1255),Первоначальный[[#This Row],[Полученный платеж]]+Y1254),
AND(S1254=0,TYPE(VLOOKUP("Да",(INDIRECT("AA"&amp;(MAX((1=Z$12:Z1254)*ROW(Z$12:Z1254),ROW($T$12))&amp;":AA"&amp;(ROW()-1)))),1,0))&lt;&gt;16),MIN(LOOKUP(,-1/($Z$12:Z1255=1),$C$12:C1255)+LOOKUP(,-1/($Z$12:Z1255=1),$H$12:H1255)-IF(AA1254="Да",0,SUM(INDIRECT("T"&amp;(MAX(("Да"=AA$12:AA1254)*ROW(AA$12:AA1254)+1,ROW($T$12))&amp;":T"&amp;(ROW()-1))))),Первоначальный[[#This Row],[Полученный платеж]]+Y1254),
AND(S1254=0,MAX((0&lt;&gt;N$12:N1254)*ROW(N$12:N1254),ROW($S$12))&gt;=MAX((1=Z$12:Z1254)*ROW(Z$12:Z1254),ROW($T$12))),MIN(LOOKUP(,-1/($Z$12:Z1255=1),$C$12:C1255)+LOOKUP(,-1/($Z$12:Z1255=1),$H$12:H1255)-IF(N1254&lt;&gt;0,0,SUM(INDIRECT("T"&amp;(MAX((0&lt;&gt;N$12:N1254)*ROW(N$12:N1254)+1,ROW($T$12))&amp;":T"&amp;(ROW()-1))))),Первоначальный[[#This Row],[Полученный платеж]]+Y1254),
AND(S1254=0,Первоначальный[[#This Row],[Дата платежа из графика]]=1),MIN(LOOKUP(,-1/($Z$12:Z1255=1),$C$12:C1255)+LOOKUP(,-1/($Z$12:Z1255=1),$H$12:H1255)-IF(Z1254=1,0,SUM(INDIRECT("T"&amp;(MAX((1=Z$12:Z1254)*ROW(Z$12:Z1254)+1,ROW($T$12))&amp;":T"&amp;(ROW()-1))))),Первоначальный[[#This Row],[Полученный платеж]]+Y1254),
AND(Z1254&gt;0,Первоначальный[[#This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платеж]]+Y1254),
AND(S1254&gt;0,MAX((0&lt;&gt;S$12:S1254)*ROW(S$12:S1254),ROW($S$12))&gt;=MAX((1=Z$12:Z1254)*ROW(Z$12:Z1254),ROW($T$12)),TYPE(VLOOKUP("Да",(INDIRECT("AA"&amp;(MAX((1=Z$12:Z1254)*ROW(Z$12:Z1254),ROW($T$12))&amp;":AA"&amp;(ROW()-1)))),1,0))=16),MIN(LOOKUP(,-1/($Z$12:Z1255=1),$C$12:C1255)+LOOKUP(,-1/($Z$12:Z1255=1),$H$12:H1255)-SUM(INDIRECT("T"&amp;(MAX((1=Z$12:Z1254)*ROW(Z$12:Z1254),ROW($T$12))&amp;":T"&amp;(ROW()-1)))),Первоначальный[[#This Row],[Полученный платеж]]+Y1254),
S1254&gt;0,MIN(LOOKUP(,-1/($Z$12:Z1255=1),$C$12:C1255)+LOOKUP(,-1/($Z$12:Z1255=1),$H$12:H1255)-IF(Z1254=1,0,SUM(INDIRECT("T"&amp;(MAX((1=Z$12:Z1254)*ROW(Z$12:Z1254)+1,ROW($T$12))&amp;":T"&amp;(ROW()-1))))),Первоначальный[[#This Row],[Полученный платеж]]+Y1254)
)
)
)</f>
        <v>0</v>
      </c>
      <c r="U125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платеж]]+Y1254-Первоначальный[[#This Row],[Полученный платёж по процентам]])</f>
        <v>0</v>
      </c>
      <c r="V1255" s="55">
        <f t="shared" ca="1" si="231"/>
        <v>0</v>
      </c>
      <c r="W1255" s="55" cm="1">
        <f t="array" aca="1" ref="W1255" ca="1">IF(Первоначальный[[#This Row],[Итого остаток на начало периода]]&lt;1,0,
_xlfn.IFS(
AND(TYPE(VLOOKUP(1,$Z$12:Z1255,1,0))=16,Первоначальный[[#This Row],[Досрочное погашение (да/"")]]=""),0,
AND(S1254=0,Первоначальный[[#This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платеж]]+Y1254-SUM(Первоначальный[[#This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комиссиям]]),VLOOKUP(LOOKUP(,-1/($Z$12:Z1255=1),$A$12:A1255),График[[Срок конец]:[Возврат основной суммы долга]],3,0)),
AND(S1254=0,Первоначальный[[#This Row],[Дата платежа из графика]]="",Первоначальный[[#This Row],[Досрочное погашение (да/"")]]&lt;&gt;"Да"),0,
AND(S1254=0,Первоначальный[[#This Row],[Досрочное погашение (да/"")]]=""),MIN(Первоначальный[[#This Row],[Полученный платеж]]+Y1254-SUM(Первоначальный[[#This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комиссиям]]),VLOOKUP(LOOKUP(,-1/($Z$12:Z1255=1),$A$12:A1255),График[[Срок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платеж]]+Y1254-SUM(Первоначальный[[#This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S1254&gt;0,MIN(Первоначальный[[#This Row],[Полученный платеж]]+Y1254-SUM(Первоначальный[[#This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комиссиям]]),SUM(INDIRECT("M"&amp;(MAX((1=S$12:S1254)*ROW(S$12:S1254),ROW($W$12))&amp;":M"&amp;(ROW()))))-SUM(INDIRECT("W"&amp;(MAX((1=S$12:S1254)*ROW(S$12:S1254),ROW($W$12))&amp;":W"&amp;(ROW()-1)))))
)
)</f>
        <v>0</v>
      </c>
      <c r="X1255" s="55">
        <f t="shared" ca="1" si="232"/>
        <v>0</v>
      </c>
      <c r="Y1255" s="101">
        <f t="shared" ca="1" si="239"/>
        <v>0</v>
      </c>
      <c r="Z1255" s="133" t="str">
        <f>IF(TYPE((VLOOKUP(Первоначальный[[#This Row],[Дата платежа]],График[Срок конец],1,0)))=16,"",1)</f>
        <v/>
      </c>
      <c r="AA1255" s="57"/>
      <c r="AB1255" s="134"/>
      <c r="AC125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5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89990.620000000112</v>
      </c>
      <c r="AE125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6321.639999999983</v>
      </c>
      <c r="AF125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5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324228.12727377022</v>
      </c>
      <c r="AH1255" s="55"/>
      <c r="AI1255" s="55"/>
      <c r="AJ1255" s="55"/>
      <c r="AK1255" s="101">
        <f t="shared" ca="1" si="240"/>
        <v>570173.72727377038</v>
      </c>
      <c r="AL1255" s="129">
        <f t="array" ref="AL1255">MAX((УслРестрактов[Характеристика]="Дата реструктуризации")*(УслРестрактов[Значение]=Первоначальный!$A1255),0)</f>
        <v>0</v>
      </c>
    </row>
    <row r="1256" spans="1:38" x14ac:dyDescent="0.25">
      <c r="A1256" s="97">
        <f t="shared" si="233"/>
        <v>45387</v>
      </c>
      <c r="B1256" s="100">
        <f t="shared" ca="1" si="234"/>
        <v>149633.34</v>
      </c>
      <c r="C1256" s="55">
        <f t="shared" ca="1" si="230"/>
        <v>89990.620000000112</v>
      </c>
      <c r="D1256" s="55">
        <f t="shared" ca="1" si="230"/>
        <v>6321.639999999983</v>
      </c>
      <c r="E1256" s="55">
        <f t="shared" ca="1" si="235"/>
        <v>0</v>
      </c>
      <c r="F1256" s="55">
        <f t="shared" ca="1" si="236"/>
        <v>324228.12727377022</v>
      </c>
      <c r="G1256" s="101">
        <f t="shared" ca="1" si="237"/>
        <v>570173.72727377038</v>
      </c>
      <c r="H1256" s="100">
        <f ca="1">ROUND($B1256*VLOOKUP($A1256,$A$1:$B$10,2,1)/(365+IF(MOD(YEAR($A1256),4),0,1)*($A1256-$A1255)),2)-Первоначальный[[#This Row],[Проценты на просроченный платеж по ОД за период]]</f>
        <v>69.459999999999994</v>
      </c>
      <c r="I1256" s="55">
        <f t="shared" ca="1" si="238"/>
        <v>11.9</v>
      </c>
      <c r="J1256" s="55">
        <v>0</v>
      </c>
      <c r="K1256" s="55">
        <f t="shared" ca="1" si="241"/>
        <v>550.36350327868843</v>
      </c>
      <c r="L1256" s="55">
        <v>0</v>
      </c>
      <c r="M1256" s="113">
        <f>SUMIFS(График[Возврат основной суммы долга],График[Дата с учетом нерабочих дней],$A1256)</f>
        <v>0</v>
      </c>
      <c r="N1256" s="56">
        <f>SUMIFS(График[Возврат начисленных %],График[Дата с учетом нерабочих дней],$A1256)</f>
        <v>0</v>
      </c>
      <c r="O1256" s="101">
        <v>0</v>
      </c>
      <c r="P1256" s="100" cm="1">
        <f t="array" aca="1" ref="P1256" ca="1">MAX(IF(AA1255="Да",0,SUM(INDIRECT("M"&amp;(MAX(("Да"=AA$12:AA1255)*ROW(AA$12:AA1255)+1,ROW($P$12))&amp;":M"&amp;(ROW()))))-SUM(INDIRECT("W"&amp;(MAX(("Да"=AA$12:AA1255)*ROW(AA$12:AA1255)+1,ROW($P$12))&amp;":W"&amp;(ROW()))))),0)</f>
        <v>21893.109999999997</v>
      </c>
      <c r="Q1256" s="99">
        <f ca="1">MAX(SUM($N$13:N1256)-SUM($T$13:T1256),0)</f>
        <v>88179.590655737687</v>
      </c>
      <c r="R1256" s="99">
        <f ca="1">Первоначальный[[#This Row],[Просроченный платеж по ОД]]+Первоначальный[[#This Row],[Просроченный платеж по процентам]]</f>
        <v>110072.70065573769</v>
      </c>
      <c r="S1256" s="120">
        <f ca="1">IF(Первоначальный[[#This Row],[Просроченный платеж]]&lt;1,0,S1255+1)</f>
        <v>1152</v>
      </c>
      <c r="T1256" s="100" cm="1">
        <f t="array" aca="1" ref="T1256" ca="1">IF(Первоначальный[[#This Row],[Итого остаток на начало периода]]&lt;1,0,
IF(
AND(TYPE(VLOOKUP(1,$Z$12:Z1256,1,0))=16,Первоначальный[[#This Row],[Досрочное погашение (да/"")]]=""),0,
_xlfn.IFS(AND(S1255=0,Первоначальный[[#This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платеж]]&lt;&gt;0),MIN(LOOKUP(,-1/($Z$12:Z1256=1),$C$12:C1256)+LOOKUP(,-1/($Z$12:Z1256=1),$H$12:H1256),Первоначальный[[#This Row],[Полученный платеж]]+Y1255),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платеж]]+Y1255,SUM(Первоначальный[[#This Row],[Остаток процентов на начало периода]],Первоначальный[[#This Row],[Проценты за период]])),
AND(S1255=0,Первоначальный[[#This Row],[Дата платежа из графика]]=""),0,
AND(S1255=0,Первоначальный[[#This Row],[Дата платежа из графика]]=1,MAX((0&lt;&gt;S$12:S1255)*ROW(S$12:S1255),ROW($S$12))&gt;=MAX((1=Z$12:Z1255)*ROW(Z$12:Z1255),ROW($T$12)),TYPE(VLOOKUP("Да",(INDIRECT("AA"&amp;(MAX((1=Z$12:Z1255)*ROW(Z$12:Z1255),ROW($T$12))&amp;":AA"&amp;(ROW()-1)))),1,0))=16),MIN(LOOKUP(,-1/($Z$12:Z1256=1),$C$12:C1256)+LOOKUP(,-1/($Z$12:Z1256=1),$H$12:H1256),Первоначальный[[#This Row],[Полученный платеж]]+Y1255),
AND(S1255=0,TYPE(VLOOKUP("Да",(INDIRECT("AA"&amp;(MAX((1=Z$12:Z1255)*ROW(Z$12:Z1255),ROW($T$12))&amp;":AA"&amp;(ROW()-1)))),1,0))&lt;&gt;16),MIN(LOOKUP(,-1/($Z$12:Z1256=1),$C$12:C1256)+LOOKUP(,-1/($Z$12:Z1256=1),$H$12:H1256)-IF(AA1255="Да",0,SUM(INDIRECT("T"&amp;(MAX(("Да"=AA$12:AA1255)*ROW(AA$12:AA1255)+1,ROW($T$12))&amp;":T"&amp;(ROW()-1))))),Первоначальный[[#This Row],[Полученный платеж]]+Y1255),
AND(S1255=0,MAX((0&lt;&gt;N$12:N1255)*ROW(N$12:N1255),ROW($S$12))&gt;=MAX((1=Z$12:Z1255)*ROW(Z$12:Z1255),ROW($T$12))),MIN(LOOKUP(,-1/($Z$12:Z1256=1),$C$12:C1256)+LOOKUP(,-1/($Z$12:Z1256=1),$H$12:H1256)-IF(N1255&lt;&gt;0,0,SUM(INDIRECT("T"&amp;(MAX((0&lt;&gt;N$12:N1255)*ROW(N$12:N1255)+1,ROW($T$12))&amp;":T"&amp;(ROW()-1))))),Первоначальный[[#This Row],[Полученный платеж]]+Y1255),
AND(S1255=0,Первоначальный[[#This Row],[Дата платежа из графика]]=1),MIN(LOOKUP(,-1/($Z$12:Z1256=1),$C$12:C1256)+LOOKUP(,-1/($Z$12:Z1256=1),$H$12:H1256)-IF(Z1255=1,0,SUM(INDIRECT("T"&amp;(MAX((1=Z$12:Z1255)*ROW(Z$12:Z1255)+1,ROW($T$12))&amp;":T"&amp;(ROW()-1))))),Первоначальный[[#This Row],[Полученный платеж]]+Y1255),
AND(Z1255&gt;0,Первоначальный[[#This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платеж]]+Y1255),
AND(S1255&gt;0,MAX((0&lt;&gt;S$12:S1255)*ROW(S$12:S1255),ROW($S$12))&gt;=MAX((1=Z$12:Z1255)*ROW(Z$12:Z1255),ROW($T$12)),TYPE(VLOOKUP("Да",(INDIRECT("AA"&amp;(MAX((1=Z$12:Z1255)*ROW(Z$12:Z1255),ROW($T$12))&amp;":AA"&amp;(ROW()-1)))),1,0))=16),MIN(LOOKUP(,-1/($Z$12:Z1256=1),$C$12:C1256)+LOOKUP(,-1/($Z$12:Z1256=1),$H$12:H1256)-SUM(INDIRECT("T"&amp;(MAX((1=Z$12:Z1255)*ROW(Z$12:Z1255),ROW($T$12))&amp;":T"&amp;(ROW()-1)))),Первоначальный[[#This Row],[Полученный платеж]]+Y1255),
S1255&gt;0,MIN(LOOKUP(,-1/($Z$12:Z1256=1),$C$12:C1256)+LOOKUP(,-1/($Z$12:Z1256=1),$H$12:H1256)-IF(Z1255=1,0,SUM(INDIRECT("T"&amp;(MAX((1=Z$12:Z1255)*ROW(Z$12:Z1255)+1,ROW($T$12))&amp;":T"&amp;(ROW()-1))))),Первоначальный[[#This Row],[Полученный платеж]]+Y1255)
)
)
)</f>
        <v>0</v>
      </c>
      <c r="U125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платеж]]+Y1255-Первоначальный[[#This Row],[Полученный платёж по процентам]])</f>
        <v>0</v>
      </c>
      <c r="V1256" s="55">
        <f t="shared" ca="1" si="231"/>
        <v>0</v>
      </c>
      <c r="W1256" s="55" cm="1">
        <f t="array" aca="1" ref="W1256" ca="1">IF(Первоначальный[[#This Row],[Итого остаток на начало периода]]&lt;1,0,
_xlfn.IFS(
AND(TYPE(VLOOKUP(1,$Z$12:Z1256,1,0))=16,Первоначальный[[#This Row],[Досрочное погашение (да/"")]]=""),0,
AND(S1255=0,Первоначальный[[#This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платеж]]+Y1255-SUM(Первоначальный[[#This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комиссиям]]),VLOOKUP(LOOKUP(,-1/($Z$12:Z1256=1),$A$12:A1256),График[[Срок конец]:[Возврат основной суммы долга]],3,0)),
AND(S1255=0,Первоначальный[[#This Row],[Дата платежа из графика]]="",Первоначальный[[#This Row],[Досрочное погашение (да/"")]]&lt;&gt;"Да"),0,
AND(S1255=0,Первоначальный[[#This Row],[Досрочное погашение (да/"")]]=""),MIN(Первоначальный[[#This Row],[Полученный платеж]]+Y1255-SUM(Первоначальный[[#This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комиссиям]]),VLOOKUP(LOOKUP(,-1/($Z$12:Z1256=1),$A$12:A1256),График[[Срок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платеж]]+Y1255-SUM(Первоначальный[[#This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S1255&gt;0,MIN(Первоначальный[[#This Row],[Полученный платеж]]+Y1255-SUM(Первоначальный[[#This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комиссиям]]),SUM(INDIRECT("M"&amp;(MAX((1=S$12:S1255)*ROW(S$12:S1255),ROW($W$12))&amp;":M"&amp;(ROW()))))-SUM(INDIRECT("W"&amp;(MAX((1=S$12:S1255)*ROW(S$12:S1255),ROW($W$12))&amp;":W"&amp;(ROW()-1)))))
)
)</f>
        <v>0</v>
      </c>
      <c r="X1256" s="55">
        <f t="shared" ca="1" si="232"/>
        <v>0</v>
      </c>
      <c r="Y1256" s="101">
        <f t="shared" ca="1" si="239"/>
        <v>0</v>
      </c>
      <c r="Z1256" s="133" t="str">
        <f>IF(TYPE((VLOOKUP(Первоначальный[[#This Row],[Дата платежа]],График[Срок конец],1,0)))=16,"",1)</f>
        <v/>
      </c>
      <c r="AA1256" s="57"/>
      <c r="AB1256" s="134"/>
      <c r="AC125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5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90060.080000000118</v>
      </c>
      <c r="AE125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6333.5399999999827</v>
      </c>
      <c r="AF125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5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324778.49077704892</v>
      </c>
      <c r="AH1256" s="55"/>
      <c r="AI1256" s="55"/>
      <c r="AJ1256" s="55"/>
      <c r="AK1256" s="101">
        <f t="shared" ca="1" si="240"/>
        <v>570805.45077704894</v>
      </c>
      <c r="AL1256" s="129">
        <f t="array" ref="AL1256">MAX((УслРестрактов[Характеристика]="Дата реструктуризации")*(УслРестрактов[Значение]=Первоначальный!$A1256),0)</f>
        <v>0</v>
      </c>
    </row>
    <row r="1257" spans="1:38" x14ac:dyDescent="0.25">
      <c r="A1257" s="97">
        <f t="shared" si="233"/>
        <v>45388</v>
      </c>
      <c r="B1257" s="100">
        <f t="shared" ca="1" si="234"/>
        <v>149633.34</v>
      </c>
      <c r="C1257" s="55">
        <f t="shared" ca="1" si="230"/>
        <v>90060.080000000118</v>
      </c>
      <c r="D1257" s="55">
        <f t="shared" ca="1" si="230"/>
        <v>6333.5399999999827</v>
      </c>
      <c r="E1257" s="55">
        <f t="shared" ca="1" si="235"/>
        <v>0</v>
      </c>
      <c r="F1257" s="55">
        <f t="shared" ca="1" si="236"/>
        <v>324778.49077704892</v>
      </c>
      <c r="G1257" s="101">
        <f t="shared" ca="1" si="237"/>
        <v>570805.45077704894</v>
      </c>
      <c r="H1257" s="100">
        <f ca="1">ROUND($B1257*VLOOKUP($A1257,$A$1:$B$10,2,1)/(365+IF(MOD(YEAR($A1257),4),0,1)*($A1257-$A1256)),2)-Первоначальный[[#This Row],[Проценты на просроченный платеж по ОД за период]]</f>
        <v>69.459999999999994</v>
      </c>
      <c r="I1257" s="55">
        <f t="shared" ca="1" si="238"/>
        <v>11.9</v>
      </c>
      <c r="J1257" s="55">
        <v>0</v>
      </c>
      <c r="K1257" s="55">
        <f t="shared" ca="1" si="241"/>
        <v>550.36350327868843</v>
      </c>
      <c r="L1257" s="55">
        <v>0</v>
      </c>
      <c r="M1257" s="113">
        <f>SUMIFS(График[Возврат основной суммы долга],График[Дата с учетом нерабочих дней],$A1257)</f>
        <v>0</v>
      </c>
      <c r="N1257" s="56">
        <f>SUMIFS(График[Возврат начисленных %],График[Дата с учетом нерабочих дней],$A1257)</f>
        <v>0</v>
      </c>
      <c r="O1257" s="101">
        <v>0</v>
      </c>
      <c r="P1257" s="100" cm="1">
        <f t="array" aca="1" ref="P1257" ca="1">MAX(IF(AA1256="Да",0,SUM(INDIRECT("M"&amp;(MAX(("Да"=AA$12:AA1256)*ROW(AA$12:AA1256)+1,ROW($P$12))&amp;":M"&amp;(ROW()))))-SUM(INDIRECT("W"&amp;(MAX(("Да"=AA$12:AA1256)*ROW(AA$12:AA1256)+1,ROW($P$12))&amp;":W"&amp;(ROW()))))),0)</f>
        <v>21893.109999999997</v>
      </c>
      <c r="Q1257" s="99">
        <f ca="1">MAX(SUM($N$13:N1257)-SUM($T$13:T1257),0)</f>
        <v>88179.590655737687</v>
      </c>
      <c r="R1257" s="99">
        <f ca="1">Первоначальный[[#This Row],[Просроченный платеж по ОД]]+Первоначальный[[#This Row],[Просроченный платеж по процентам]]</f>
        <v>110072.70065573769</v>
      </c>
      <c r="S1257" s="120">
        <f ca="1">IF(Первоначальный[[#This Row],[Просроченный платеж]]&lt;1,0,S1256+1)</f>
        <v>1153</v>
      </c>
      <c r="T1257" s="100" cm="1">
        <f t="array" aca="1" ref="T1257" ca="1">IF(Первоначальный[[#This Row],[Итого остаток на начало периода]]&lt;1,0,
IF(
AND(TYPE(VLOOKUP(1,$Z$12:Z1257,1,0))=16,Первоначальный[[#This Row],[Досрочное погашение (да/"")]]=""),0,
_xlfn.IFS(AND(S1256=0,Первоначальный[[#This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платеж]]&lt;&gt;0),MIN(LOOKUP(,-1/($Z$12:Z1257=1),$C$12:C1257)+LOOKUP(,-1/($Z$12:Z1257=1),$H$12:H1257),Первоначальный[[#This Row],[Полученный платеж]]+Y1256),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платеж]]+Y1256,SUM(Первоначальный[[#This Row],[Остаток процентов на начало периода]],Первоначальный[[#This Row],[Проценты за период]])),
AND(S1256=0,Первоначальный[[#This Row],[Дата платежа из графика]]=""),0,
AND(S1256=0,Первоначальный[[#This Row],[Дата платежа из графика]]=1,MAX((0&lt;&gt;S$12:S1256)*ROW(S$12:S1256),ROW($S$12))&gt;=MAX((1=Z$12:Z1256)*ROW(Z$12:Z1256),ROW($T$12)),TYPE(VLOOKUP("Да",(INDIRECT("AA"&amp;(MAX((1=Z$12:Z1256)*ROW(Z$12:Z1256),ROW($T$12))&amp;":AA"&amp;(ROW()-1)))),1,0))=16),MIN(LOOKUP(,-1/($Z$12:Z1257=1),$C$12:C1257)+LOOKUP(,-1/($Z$12:Z1257=1),$H$12:H1257),Первоначальный[[#This Row],[Полученный платеж]]+Y1256),
AND(S1256=0,TYPE(VLOOKUP("Да",(INDIRECT("AA"&amp;(MAX((1=Z$12:Z1256)*ROW(Z$12:Z1256),ROW($T$12))&amp;":AA"&amp;(ROW()-1)))),1,0))&lt;&gt;16),MIN(LOOKUP(,-1/($Z$12:Z1257=1),$C$12:C1257)+LOOKUP(,-1/($Z$12:Z1257=1),$H$12:H1257)-IF(AA1256="Да",0,SUM(INDIRECT("T"&amp;(MAX(("Да"=AA$12:AA1256)*ROW(AA$12:AA1256)+1,ROW($T$12))&amp;":T"&amp;(ROW()-1))))),Первоначальный[[#This Row],[Полученный платеж]]+Y1256),
AND(S1256=0,MAX((0&lt;&gt;N$12:N1256)*ROW(N$12:N1256),ROW($S$12))&gt;=MAX((1=Z$12:Z1256)*ROW(Z$12:Z1256),ROW($T$12))),MIN(LOOKUP(,-1/($Z$12:Z1257=1),$C$12:C1257)+LOOKUP(,-1/($Z$12:Z1257=1),$H$12:H1257)-IF(N1256&lt;&gt;0,0,SUM(INDIRECT("T"&amp;(MAX((0&lt;&gt;N$12:N1256)*ROW(N$12:N1256)+1,ROW($T$12))&amp;":T"&amp;(ROW()-1))))),Первоначальный[[#This Row],[Полученный платеж]]+Y1256),
AND(S1256=0,Первоначальный[[#This Row],[Дата платежа из графика]]=1),MIN(LOOKUP(,-1/($Z$12:Z1257=1),$C$12:C1257)+LOOKUP(,-1/($Z$12:Z1257=1),$H$12:H1257)-IF(Z1256=1,0,SUM(INDIRECT("T"&amp;(MAX((1=Z$12:Z1256)*ROW(Z$12:Z1256)+1,ROW($T$12))&amp;":T"&amp;(ROW()-1))))),Первоначальный[[#This Row],[Полученный платеж]]+Y1256),
AND(Z1256&gt;0,Первоначальный[[#This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платеж]]+Y1256),
AND(S1256&gt;0,MAX((0&lt;&gt;S$12:S1256)*ROW(S$12:S1256),ROW($S$12))&gt;=MAX((1=Z$12:Z1256)*ROW(Z$12:Z1256),ROW($T$12)),TYPE(VLOOKUP("Да",(INDIRECT("AA"&amp;(MAX((1=Z$12:Z1256)*ROW(Z$12:Z1256),ROW($T$12))&amp;":AA"&amp;(ROW()-1)))),1,0))=16),MIN(LOOKUP(,-1/($Z$12:Z1257=1),$C$12:C1257)+LOOKUP(,-1/($Z$12:Z1257=1),$H$12:H1257)-SUM(INDIRECT("T"&amp;(MAX((1=Z$12:Z1256)*ROW(Z$12:Z1256),ROW($T$12))&amp;":T"&amp;(ROW()-1)))),Первоначальный[[#This Row],[Полученный платеж]]+Y1256),
S1256&gt;0,MIN(LOOKUP(,-1/($Z$12:Z1257=1),$C$12:C1257)+LOOKUP(,-1/($Z$12:Z1257=1),$H$12:H1257)-IF(Z1256=1,0,SUM(INDIRECT("T"&amp;(MAX((1=Z$12:Z1256)*ROW(Z$12:Z1256)+1,ROW($T$12))&amp;":T"&amp;(ROW()-1))))),Первоначальный[[#This Row],[Полученный платеж]]+Y1256)
)
)
)</f>
        <v>0</v>
      </c>
      <c r="U125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платеж]]+Y1256-Первоначальный[[#This Row],[Полученный платёж по процентам]])</f>
        <v>0</v>
      </c>
      <c r="V1257" s="55">
        <f t="shared" ca="1" si="231"/>
        <v>0</v>
      </c>
      <c r="W1257" s="55" cm="1">
        <f t="array" aca="1" ref="W1257" ca="1">IF(Первоначальный[[#This Row],[Итого остаток на начало периода]]&lt;1,0,
_xlfn.IFS(
AND(TYPE(VLOOKUP(1,$Z$12:Z1257,1,0))=16,Первоначальный[[#This Row],[Досрочное погашение (да/"")]]=""),0,
AND(S1256=0,Первоначальный[[#This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платеж]]+Y1256-SUM(Первоначальный[[#This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комиссиям]]),VLOOKUP(LOOKUP(,-1/($Z$12:Z1257=1),$A$12:A1257),График[[Срок конец]:[Возврат основной суммы долга]],3,0)),
AND(S1256=0,Первоначальный[[#This Row],[Дата платежа из графика]]="",Первоначальный[[#This Row],[Досрочное погашение (да/"")]]&lt;&gt;"Да"),0,
AND(S1256=0,Первоначальный[[#This Row],[Досрочное погашение (да/"")]]=""),MIN(Первоначальный[[#This Row],[Полученный платеж]]+Y1256-SUM(Первоначальный[[#This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комиссиям]]),VLOOKUP(LOOKUP(,-1/($Z$12:Z1257=1),$A$12:A1257),График[[Срок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платеж]]+Y1256-SUM(Первоначальный[[#This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S1256&gt;0,MIN(Первоначальный[[#This Row],[Полученный платеж]]+Y1256-SUM(Первоначальный[[#This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комиссиям]]),SUM(INDIRECT("M"&amp;(MAX((1=S$12:S1256)*ROW(S$12:S1256),ROW($W$12))&amp;":M"&amp;(ROW()))))-SUM(INDIRECT("W"&amp;(MAX((1=S$12:S1256)*ROW(S$12:S1256),ROW($W$12))&amp;":W"&amp;(ROW()-1)))))
)
)</f>
        <v>0</v>
      </c>
      <c r="X1257" s="55">
        <f t="shared" ca="1" si="232"/>
        <v>0</v>
      </c>
      <c r="Y1257" s="101">
        <f t="shared" ca="1" si="239"/>
        <v>0</v>
      </c>
      <c r="Z1257" s="133" t="str">
        <f>IF(TYPE((VLOOKUP(Первоначальный[[#This Row],[Дата платежа]],График[Срок конец],1,0)))=16,"",1)</f>
        <v/>
      </c>
      <c r="AA1257" s="57"/>
      <c r="AB1257" s="134"/>
      <c r="AC125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5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90129.540000000125</v>
      </c>
      <c r="AE125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6345.4399999999823</v>
      </c>
      <c r="AF125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5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325328.85428032762</v>
      </c>
      <c r="AH1257" s="55"/>
      <c r="AI1257" s="55"/>
      <c r="AJ1257" s="55"/>
      <c r="AK1257" s="101">
        <f t="shared" ca="1" si="240"/>
        <v>571437.17428032774</v>
      </c>
      <c r="AL1257" s="129">
        <f t="array" ref="AL1257">MAX((УслРестрактов[Характеристика]="Дата реструктуризации")*(УслРестрактов[Значение]=Первоначальный!$A1257),0)</f>
        <v>0</v>
      </c>
    </row>
    <row r="1258" spans="1:38" x14ac:dyDescent="0.25">
      <c r="A1258" s="97">
        <f t="shared" si="233"/>
        <v>45389</v>
      </c>
      <c r="B1258" s="100">
        <f t="shared" ca="1" si="234"/>
        <v>149633.34</v>
      </c>
      <c r="C1258" s="55">
        <f t="shared" ca="1" si="230"/>
        <v>90129.540000000125</v>
      </c>
      <c r="D1258" s="55">
        <f t="shared" ca="1" si="230"/>
        <v>6345.4399999999823</v>
      </c>
      <c r="E1258" s="55">
        <f t="shared" ca="1" si="235"/>
        <v>0</v>
      </c>
      <c r="F1258" s="55">
        <f t="shared" ca="1" si="236"/>
        <v>325328.85428032762</v>
      </c>
      <c r="G1258" s="101">
        <f t="shared" ca="1" si="237"/>
        <v>571437.17428032774</v>
      </c>
      <c r="H1258" s="100">
        <f ca="1">ROUND($B1258*VLOOKUP($A1258,$A$1:$B$10,2,1)/(365+IF(MOD(YEAR($A1258),4),0,1)*($A1258-$A1257)),2)-Первоначальный[[#This Row],[Проценты на просроченный платеж по ОД за период]]</f>
        <v>69.459999999999994</v>
      </c>
      <c r="I1258" s="55">
        <f t="shared" ca="1" si="238"/>
        <v>11.9</v>
      </c>
      <c r="J1258" s="55">
        <v>0</v>
      </c>
      <c r="K1258" s="55">
        <f t="shared" ca="1" si="241"/>
        <v>550.36350327868843</v>
      </c>
      <c r="L1258" s="55">
        <v>0</v>
      </c>
      <c r="M1258" s="113">
        <f>SUMIFS(График[Возврат основной суммы долга],График[Дата с учетом нерабочих дней],$A1258)</f>
        <v>0</v>
      </c>
      <c r="N1258" s="56">
        <f>SUMIFS(График[Возврат начисленных %],График[Дата с учетом нерабочих дней],$A1258)</f>
        <v>0</v>
      </c>
      <c r="O1258" s="101">
        <v>0</v>
      </c>
      <c r="P1258" s="100" cm="1">
        <f t="array" aca="1" ref="P1258" ca="1">MAX(IF(AA1257="Да",0,SUM(INDIRECT("M"&amp;(MAX(("Да"=AA$12:AA1257)*ROW(AA$12:AA1257)+1,ROW($P$12))&amp;":M"&amp;(ROW()))))-SUM(INDIRECT("W"&amp;(MAX(("Да"=AA$12:AA1257)*ROW(AA$12:AA1257)+1,ROW($P$12))&amp;":W"&amp;(ROW()))))),0)</f>
        <v>21893.109999999997</v>
      </c>
      <c r="Q1258" s="99">
        <f ca="1">MAX(SUM($N$13:N1258)-SUM($T$13:T1258),0)</f>
        <v>88179.590655737687</v>
      </c>
      <c r="R1258" s="99">
        <f ca="1">Первоначальный[[#This Row],[Просроченный платеж по ОД]]+Первоначальный[[#This Row],[Просроченный платеж по процентам]]</f>
        <v>110072.70065573769</v>
      </c>
      <c r="S1258" s="120">
        <f ca="1">IF(Первоначальный[[#This Row],[Просроченный платеж]]&lt;1,0,S1257+1)</f>
        <v>1154</v>
      </c>
      <c r="T1258" s="100" cm="1">
        <f t="array" aca="1" ref="T1258" ca="1">IF(Первоначальный[[#This Row],[Итого остаток на начало периода]]&lt;1,0,
IF(
AND(TYPE(VLOOKUP(1,$Z$12:Z1258,1,0))=16,Первоначальный[[#This Row],[Досрочное погашение (да/"")]]=""),0,
_xlfn.IFS(AND(S1257=0,Первоначальный[[#This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платеж]]&lt;&gt;0),MIN(LOOKUP(,-1/($Z$12:Z1258=1),$C$12:C1258)+LOOKUP(,-1/($Z$12:Z1258=1),$H$12:H1258),Первоначальный[[#This Row],[Полученный платеж]]+Y1257),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платеж]]+Y1257,SUM(Первоначальный[[#This Row],[Остаток процентов на начало периода]],Первоначальный[[#This Row],[Проценты за период]])),
AND(S1257=0,Первоначальный[[#This Row],[Дата платежа из графика]]=""),0,
AND(S1257=0,Первоначальный[[#This Row],[Дата платежа из графика]]=1,MAX((0&lt;&gt;S$12:S1257)*ROW(S$12:S1257),ROW($S$12))&gt;=MAX((1=Z$12:Z1257)*ROW(Z$12:Z1257),ROW($T$12)),TYPE(VLOOKUP("Да",(INDIRECT("AA"&amp;(MAX((1=Z$12:Z1257)*ROW(Z$12:Z1257),ROW($T$12))&amp;":AA"&amp;(ROW()-1)))),1,0))=16),MIN(LOOKUP(,-1/($Z$12:Z1258=1),$C$12:C1258)+LOOKUP(,-1/($Z$12:Z1258=1),$H$12:H1258),Первоначальный[[#This Row],[Полученный платеж]]+Y1257),
AND(S1257=0,TYPE(VLOOKUP("Да",(INDIRECT("AA"&amp;(MAX((1=Z$12:Z1257)*ROW(Z$12:Z1257),ROW($T$12))&amp;":AA"&amp;(ROW()-1)))),1,0))&lt;&gt;16),MIN(LOOKUP(,-1/($Z$12:Z1258=1),$C$12:C1258)+LOOKUP(,-1/($Z$12:Z1258=1),$H$12:H1258)-IF(AA1257="Да",0,SUM(INDIRECT("T"&amp;(MAX(("Да"=AA$12:AA1257)*ROW(AA$12:AA1257)+1,ROW($T$12))&amp;":T"&amp;(ROW()-1))))),Первоначальный[[#This Row],[Полученный платеж]]+Y1257),
AND(S1257=0,MAX((0&lt;&gt;N$12:N1257)*ROW(N$12:N1257),ROW($S$12))&gt;=MAX((1=Z$12:Z1257)*ROW(Z$12:Z1257),ROW($T$12))),MIN(LOOKUP(,-1/($Z$12:Z1258=1),$C$12:C1258)+LOOKUP(,-1/($Z$12:Z1258=1),$H$12:H1258)-IF(N1257&lt;&gt;0,0,SUM(INDIRECT("T"&amp;(MAX((0&lt;&gt;N$12:N1257)*ROW(N$12:N1257)+1,ROW($T$12))&amp;":T"&amp;(ROW()-1))))),Первоначальный[[#This Row],[Полученный платеж]]+Y1257),
AND(S1257=0,Первоначальный[[#This Row],[Дата платежа из графика]]=1),MIN(LOOKUP(,-1/($Z$12:Z1258=1),$C$12:C1258)+LOOKUP(,-1/($Z$12:Z1258=1),$H$12:H1258)-IF(Z1257=1,0,SUM(INDIRECT("T"&amp;(MAX((1=Z$12:Z1257)*ROW(Z$12:Z1257)+1,ROW($T$12))&amp;":T"&amp;(ROW()-1))))),Первоначальный[[#This Row],[Полученный платеж]]+Y1257),
AND(Z1257&gt;0,Первоначальный[[#This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платеж]]+Y1257),
AND(S1257&gt;0,MAX((0&lt;&gt;S$12:S1257)*ROW(S$12:S1257),ROW($S$12))&gt;=MAX((1=Z$12:Z1257)*ROW(Z$12:Z1257),ROW($T$12)),TYPE(VLOOKUP("Да",(INDIRECT("AA"&amp;(MAX((1=Z$12:Z1257)*ROW(Z$12:Z1257),ROW($T$12))&amp;":AA"&amp;(ROW()-1)))),1,0))=16),MIN(LOOKUP(,-1/($Z$12:Z1258=1),$C$12:C1258)+LOOKUP(,-1/($Z$12:Z1258=1),$H$12:H1258)-SUM(INDIRECT("T"&amp;(MAX((1=Z$12:Z1257)*ROW(Z$12:Z1257),ROW($T$12))&amp;":T"&amp;(ROW()-1)))),Первоначальный[[#This Row],[Полученный платеж]]+Y1257),
S1257&gt;0,MIN(LOOKUP(,-1/($Z$12:Z1258=1),$C$12:C1258)+LOOKUP(,-1/($Z$12:Z1258=1),$H$12:H1258)-IF(Z1257=1,0,SUM(INDIRECT("T"&amp;(MAX((1=Z$12:Z1257)*ROW(Z$12:Z1257)+1,ROW($T$12))&amp;":T"&amp;(ROW()-1))))),Первоначальный[[#This Row],[Полученный платеж]]+Y1257)
)
)
)</f>
        <v>0</v>
      </c>
      <c r="U125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платеж]]+Y1257-Первоначальный[[#This Row],[Полученный платёж по процентам]])</f>
        <v>0</v>
      </c>
      <c r="V1258" s="55">
        <f t="shared" ca="1" si="231"/>
        <v>0</v>
      </c>
      <c r="W1258" s="55" cm="1">
        <f t="array" aca="1" ref="W1258" ca="1">IF(Первоначальный[[#This Row],[Итого остаток на начало периода]]&lt;1,0,
_xlfn.IFS(
AND(TYPE(VLOOKUP(1,$Z$12:Z1258,1,0))=16,Первоначальный[[#This Row],[Досрочное погашение (да/"")]]=""),0,
AND(S1257=0,Первоначальный[[#This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платеж]]+Y1257-SUM(Первоначальный[[#This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комиссиям]]),VLOOKUP(LOOKUP(,-1/($Z$12:Z1258=1),$A$12:A1258),График[[Срок конец]:[Возврат основной суммы долга]],3,0)),
AND(S1257=0,Первоначальный[[#This Row],[Дата платежа из графика]]="",Первоначальный[[#This Row],[Досрочное погашение (да/"")]]&lt;&gt;"Да"),0,
AND(S1257=0,Первоначальный[[#This Row],[Досрочное погашение (да/"")]]=""),MIN(Первоначальный[[#This Row],[Полученный платеж]]+Y1257-SUM(Первоначальный[[#This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комиссиям]]),VLOOKUP(LOOKUP(,-1/($Z$12:Z1258=1),$A$12:A1258),График[[Срок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платеж]]+Y1257-SUM(Первоначальный[[#This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S1257&gt;0,MIN(Первоначальный[[#This Row],[Полученный платеж]]+Y1257-SUM(Первоначальный[[#This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комиссиям]]),SUM(INDIRECT("M"&amp;(MAX((1=S$12:S1257)*ROW(S$12:S1257),ROW($W$12))&amp;":M"&amp;(ROW()))))-SUM(INDIRECT("W"&amp;(MAX((1=S$12:S1257)*ROW(S$12:S1257),ROW($W$12))&amp;":W"&amp;(ROW()-1)))))
)
)</f>
        <v>0</v>
      </c>
      <c r="X1258" s="55">
        <f t="shared" ca="1" si="232"/>
        <v>0</v>
      </c>
      <c r="Y1258" s="101">
        <f t="shared" ca="1" si="239"/>
        <v>0</v>
      </c>
      <c r="Z1258" s="133" t="str">
        <f>IF(TYPE((VLOOKUP(Первоначальный[[#This Row],[Дата платежа]],График[Срок конец],1,0)))=16,"",1)</f>
        <v/>
      </c>
      <c r="AA1258" s="57"/>
      <c r="AB1258" s="134"/>
      <c r="AC125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5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90199.000000000131</v>
      </c>
      <c r="AE125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6357.339999999982</v>
      </c>
      <c r="AF125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5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325879.21778360632</v>
      </c>
      <c r="AH1258" s="55"/>
      <c r="AI1258" s="55"/>
      <c r="AJ1258" s="55"/>
      <c r="AK1258" s="101">
        <f t="shared" ca="1" si="240"/>
        <v>572068.89778360643</v>
      </c>
      <c r="AL1258" s="129">
        <f t="array" ref="AL1258">MAX((УслРестрактов[Характеристика]="Дата реструктуризации")*(УслРестрактов[Значение]=Первоначальный!$A1258),0)</f>
        <v>0</v>
      </c>
    </row>
    <row r="1259" spans="1:38" x14ac:dyDescent="0.25">
      <c r="A1259" s="97">
        <f t="shared" si="233"/>
        <v>45390</v>
      </c>
      <c r="B1259" s="100">
        <f t="shared" ca="1" si="234"/>
        <v>149633.34</v>
      </c>
      <c r="C1259" s="55">
        <f t="shared" ca="1" si="230"/>
        <v>90199.000000000131</v>
      </c>
      <c r="D1259" s="55">
        <f t="shared" ca="1" si="230"/>
        <v>6357.339999999982</v>
      </c>
      <c r="E1259" s="55">
        <f t="shared" ca="1" si="235"/>
        <v>0</v>
      </c>
      <c r="F1259" s="55">
        <f t="shared" ca="1" si="236"/>
        <v>325879.21778360632</v>
      </c>
      <c r="G1259" s="101">
        <f t="shared" ca="1" si="237"/>
        <v>572068.89778360643</v>
      </c>
      <c r="H1259" s="100">
        <f ca="1">ROUND($B1259*VLOOKUP($A1259,$A$1:$B$10,2,1)/(365+IF(MOD(YEAR($A1259),4),0,1)*($A1259-$A1258)),2)-Первоначальный[[#This Row],[Проценты на просроченный платеж по ОД за период]]</f>
        <v>69.459999999999994</v>
      </c>
      <c r="I1259" s="55">
        <f t="shared" ca="1" si="238"/>
        <v>11.9</v>
      </c>
      <c r="J1259" s="55">
        <v>0</v>
      </c>
      <c r="K1259" s="55">
        <f t="shared" ca="1" si="241"/>
        <v>550.36350327868843</v>
      </c>
      <c r="L1259" s="55">
        <v>0</v>
      </c>
      <c r="M1259" s="113">
        <f>SUMIFS(График[Возврат основной суммы долга],График[Дата с учетом нерабочих дней],$A1259)</f>
        <v>0</v>
      </c>
      <c r="N1259" s="56">
        <f>SUMIFS(График[Возврат начисленных %],График[Дата с учетом нерабочих дней],$A1259)</f>
        <v>0</v>
      </c>
      <c r="O1259" s="101">
        <v>0</v>
      </c>
      <c r="P1259" s="100" cm="1">
        <f t="array" aca="1" ref="P1259" ca="1">MAX(IF(AA1258="Да",0,SUM(INDIRECT("M"&amp;(MAX(("Да"=AA$12:AA1258)*ROW(AA$12:AA1258)+1,ROW($P$12))&amp;":M"&amp;(ROW()))))-SUM(INDIRECT("W"&amp;(MAX(("Да"=AA$12:AA1258)*ROW(AA$12:AA1258)+1,ROW($P$12))&amp;":W"&amp;(ROW()))))),0)</f>
        <v>21893.109999999997</v>
      </c>
      <c r="Q1259" s="99">
        <f ca="1">MAX(SUM($N$13:N1259)-SUM($T$13:T1259),0)</f>
        <v>88179.590655737687</v>
      </c>
      <c r="R1259" s="99">
        <f ca="1">Первоначальный[[#This Row],[Просроченный платеж по ОД]]+Первоначальный[[#This Row],[Просроченный платеж по процентам]]</f>
        <v>110072.70065573769</v>
      </c>
      <c r="S1259" s="120">
        <f ca="1">IF(Первоначальный[[#This Row],[Просроченный платеж]]&lt;1,0,S1258+1)</f>
        <v>1155</v>
      </c>
      <c r="T1259" s="100" cm="1">
        <f t="array" aca="1" ref="T1259" ca="1">IF(Первоначальный[[#This Row],[Итого остаток на начало периода]]&lt;1,0,
IF(
AND(TYPE(VLOOKUP(1,$Z$12:Z1259,1,0))=16,Первоначальный[[#This Row],[Досрочное погашение (да/"")]]=""),0,
_xlfn.IFS(AND(S1258=0,Первоначальный[[#This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платеж]]&lt;&gt;0),MIN(LOOKUP(,-1/($Z$12:Z1259=1),$C$12:C1259)+LOOKUP(,-1/($Z$12:Z1259=1),$H$12:H1259),Первоначальный[[#This Row],[Полученный платеж]]+Y1258),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платеж]]+Y1258,SUM(Первоначальный[[#This Row],[Остаток процентов на начало периода]],Первоначальный[[#This Row],[Проценты за период]])),
AND(S1258=0,Первоначальный[[#This Row],[Дата платежа из графика]]=""),0,
AND(S1258=0,Первоначальный[[#This Row],[Дата платежа из графика]]=1,MAX((0&lt;&gt;S$12:S1258)*ROW(S$12:S1258),ROW($S$12))&gt;=MAX((1=Z$12:Z1258)*ROW(Z$12:Z1258),ROW($T$12)),TYPE(VLOOKUP("Да",(INDIRECT("AA"&amp;(MAX((1=Z$12:Z1258)*ROW(Z$12:Z1258),ROW($T$12))&amp;":AA"&amp;(ROW()-1)))),1,0))=16),MIN(LOOKUP(,-1/($Z$12:Z1259=1),$C$12:C1259)+LOOKUP(,-1/($Z$12:Z1259=1),$H$12:H1259),Первоначальный[[#This Row],[Полученный платеж]]+Y1258),
AND(S1258=0,TYPE(VLOOKUP("Да",(INDIRECT("AA"&amp;(MAX((1=Z$12:Z1258)*ROW(Z$12:Z1258),ROW($T$12))&amp;":AA"&amp;(ROW()-1)))),1,0))&lt;&gt;16),MIN(LOOKUP(,-1/($Z$12:Z1259=1),$C$12:C1259)+LOOKUP(,-1/($Z$12:Z1259=1),$H$12:H1259)-IF(AA1258="Да",0,SUM(INDIRECT("T"&amp;(MAX(("Да"=AA$12:AA1258)*ROW(AA$12:AA1258)+1,ROW($T$12))&amp;":T"&amp;(ROW()-1))))),Первоначальный[[#This Row],[Полученный платеж]]+Y1258),
AND(S1258=0,MAX((0&lt;&gt;N$12:N1258)*ROW(N$12:N1258),ROW($S$12))&gt;=MAX((1=Z$12:Z1258)*ROW(Z$12:Z1258),ROW($T$12))),MIN(LOOKUP(,-1/($Z$12:Z1259=1),$C$12:C1259)+LOOKUP(,-1/($Z$12:Z1259=1),$H$12:H1259)-IF(N1258&lt;&gt;0,0,SUM(INDIRECT("T"&amp;(MAX((0&lt;&gt;N$12:N1258)*ROW(N$12:N1258)+1,ROW($T$12))&amp;":T"&amp;(ROW()-1))))),Первоначальный[[#This Row],[Полученный платеж]]+Y1258),
AND(S1258=0,Первоначальный[[#This Row],[Дата платежа из графика]]=1),MIN(LOOKUP(,-1/($Z$12:Z1259=1),$C$12:C1259)+LOOKUP(,-1/($Z$12:Z1259=1),$H$12:H1259)-IF(Z1258=1,0,SUM(INDIRECT("T"&amp;(MAX((1=Z$12:Z1258)*ROW(Z$12:Z1258)+1,ROW($T$12))&amp;":T"&amp;(ROW()-1))))),Первоначальный[[#This Row],[Полученный платеж]]+Y1258),
AND(Z1258&gt;0,Первоначальный[[#This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платеж]]+Y1258),
AND(S1258&gt;0,MAX((0&lt;&gt;S$12:S1258)*ROW(S$12:S1258),ROW($S$12))&gt;=MAX((1=Z$12:Z1258)*ROW(Z$12:Z1258),ROW($T$12)),TYPE(VLOOKUP("Да",(INDIRECT("AA"&amp;(MAX((1=Z$12:Z1258)*ROW(Z$12:Z1258),ROW($T$12))&amp;":AA"&amp;(ROW()-1)))),1,0))=16),MIN(LOOKUP(,-1/($Z$12:Z1259=1),$C$12:C1259)+LOOKUP(,-1/($Z$12:Z1259=1),$H$12:H1259)-SUM(INDIRECT("T"&amp;(MAX((1=Z$12:Z1258)*ROW(Z$12:Z1258),ROW($T$12))&amp;":T"&amp;(ROW()-1)))),Первоначальный[[#This Row],[Полученный платеж]]+Y1258),
S1258&gt;0,MIN(LOOKUP(,-1/($Z$12:Z1259=1),$C$12:C1259)+LOOKUP(,-1/($Z$12:Z1259=1),$H$12:H1259)-IF(Z1258=1,0,SUM(INDIRECT("T"&amp;(MAX((1=Z$12:Z1258)*ROW(Z$12:Z1258)+1,ROW($T$12))&amp;":T"&amp;(ROW()-1))))),Первоначальный[[#This Row],[Полученный платеж]]+Y1258)
)
)
)</f>
        <v>0</v>
      </c>
      <c r="U125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платеж]]+Y1258-Первоначальный[[#This Row],[Полученный платёж по процентам]])</f>
        <v>0</v>
      </c>
      <c r="V1259" s="55">
        <f t="shared" ca="1" si="231"/>
        <v>0</v>
      </c>
      <c r="W1259" s="55" cm="1">
        <f t="array" aca="1" ref="W1259" ca="1">IF(Первоначальный[[#This Row],[Итого остаток на начало периода]]&lt;1,0,
_xlfn.IFS(
AND(TYPE(VLOOKUP(1,$Z$12:Z1259,1,0))=16,Первоначальный[[#This Row],[Досрочное погашение (да/"")]]=""),0,
AND(S1258=0,Первоначальный[[#This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платеж]]+Y1258-SUM(Первоначальный[[#This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комиссиям]]),VLOOKUP(LOOKUP(,-1/($Z$12:Z1259=1),$A$12:A1259),График[[Срок конец]:[Возврат основной суммы долга]],3,0)),
AND(S1258=0,Первоначальный[[#This Row],[Дата платежа из графика]]="",Первоначальный[[#This Row],[Досрочное погашение (да/"")]]&lt;&gt;"Да"),0,
AND(S1258=0,Первоначальный[[#This Row],[Досрочное погашение (да/"")]]=""),MIN(Первоначальный[[#This Row],[Полученный платеж]]+Y1258-SUM(Первоначальный[[#This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комиссиям]]),VLOOKUP(LOOKUP(,-1/($Z$12:Z1259=1),$A$12:A1259),График[[Срок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платеж]]+Y1258-SUM(Первоначальный[[#This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S1258&gt;0,MIN(Первоначальный[[#This Row],[Полученный платеж]]+Y1258-SUM(Первоначальный[[#This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комиссиям]]),SUM(INDIRECT("M"&amp;(MAX((1=S$12:S1258)*ROW(S$12:S1258),ROW($W$12))&amp;":M"&amp;(ROW()))))-SUM(INDIRECT("W"&amp;(MAX((1=S$12:S1258)*ROW(S$12:S1258),ROW($W$12))&amp;":W"&amp;(ROW()-1)))))
)
)</f>
        <v>0</v>
      </c>
      <c r="X1259" s="55">
        <f t="shared" ca="1" si="232"/>
        <v>0</v>
      </c>
      <c r="Y1259" s="101">
        <f t="shared" ca="1" si="239"/>
        <v>0</v>
      </c>
      <c r="Z1259" s="133" t="str">
        <f>IF(TYPE((VLOOKUP(Первоначальный[[#This Row],[Дата платежа]],График[Срок конец],1,0)))=16,"",1)</f>
        <v/>
      </c>
      <c r="AA1259" s="57"/>
      <c r="AB1259" s="134"/>
      <c r="AC125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5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90268.460000000137</v>
      </c>
      <c r="AE125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6369.2399999999816</v>
      </c>
      <c r="AF125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5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326429.58128688502</v>
      </c>
      <c r="AH1259" s="55"/>
      <c r="AI1259" s="55"/>
      <c r="AJ1259" s="55"/>
      <c r="AK1259" s="101">
        <f t="shared" ca="1" si="240"/>
        <v>572700.62128688511</v>
      </c>
      <c r="AL1259" s="129">
        <f t="array" ref="AL1259">MAX((УслРестрактов[Характеристика]="Дата реструктуризации")*(УслРестрактов[Значение]=Первоначальный!$A1259),0)</f>
        <v>0</v>
      </c>
    </row>
    <row r="1260" spans="1:38" x14ac:dyDescent="0.25">
      <c r="A1260" s="97">
        <f t="shared" si="233"/>
        <v>45391</v>
      </c>
      <c r="B1260" s="100">
        <f t="shared" ca="1" si="234"/>
        <v>149633.34</v>
      </c>
      <c r="C1260" s="55">
        <f t="shared" ca="1" si="230"/>
        <v>90268.460000000137</v>
      </c>
      <c r="D1260" s="55">
        <f t="shared" ca="1" si="230"/>
        <v>6369.2399999999816</v>
      </c>
      <c r="E1260" s="55">
        <f t="shared" ca="1" si="235"/>
        <v>0</v>
      </c>
      <c r="F1260" s="55">
        <f t="shared" ca="1" si="236"/>
        <v>326429.58128688502</v>
      </c>
      <c r="G1260" s="101">
        <f t="shared" ca="1" si="237"/>
        <v>572700.62128688511</v>
      </c>
      <c r="H1260" s="100">
        <f ca="1">ROUND($B1260*VLOOKUP($A1260,$A$1:$B$10,2,1)/(365+IF(MOD(YEAR($A1260),4),0,1)*($A1260-$A1259)),2)-Первоначальный[[#This Row],[Проценты на просроченный платеж по ОД за период]]</f>
        <v>69.459999999999994</v>
      </c>
      <c r="I1260" s="55">
        <f t="shared" ca="1" si="238"/>
        <v>11.9</v>
      </c>
      <c r="J1260" s="55">
        <v>0</v>
      </c>
      <c r="K1260" s="55">
        <f t="shared" ca="1" si="241"/>
        <v>564.84850327868844</v>
      </c>
      <c r="L1260" s="55">
        <v>0</v>
      </c>
      <c r="M1260" s="113">
        <f>SUMIFS(График[Возврат основной суммы долга],График[Дата с учетом нерабочих дней],$A1260)</f>
        <v>743.90999999999985</v>
      </c>
      <c r="N1260" s="56">
        <f>SUMIFS(График[Возврат начисленных %],График[Дата с учетом нерабочих дней],$A1260)</f>
        <v>2153.09</v>
      </c>
      <c r="O1260" s="101">
        <v>0</v>
      </c>
      <c r="P1260" s="100" cm="1">
        <f t="array" aca="1" ref="P1260" ca="1">MAX(IF(AA1259="Да",0,SUM(INDIRECT("M"&amp;(MAX(("Да"=AA$12:AA1259)*ROW(AA$12:AA1259)+1,ROW($P$12))&amp;":M"&amp;(ROW()))))-SUM(INDIRECT("W"&amp;(MAX(("Да"=AA$12:AA1259)*ROW(AA$12:AA1259)+1,ROW($P$12))&amp;":W"&amp;(ROW()))))),0)</f>
        <v>22637.019999999997</v>
      </c>
      <c r="Q1260" s="99">
        <f ca="1">MAX(SUM($N$13:N1260)-SUM($T$13:T1260),0)</f>
        <v>90332.680655737684</v>
      </c>
      <c r="R1260" s="99">
        <f ca="1">Первоначальный[[#This Row],[Просроченный платеж по ОД]]+Первоначальный[[#This Row],[Просроченный платеж по процентам]]</f>
        <v>112969.70065573769</v>
      </c>
      <c r="S1260" s="120">
        <f ca="1">IF(Первоначальный[[#This Row],[Просроченный платеж]]&lt;1,0,S1259+1)</f>
        <v>1156</v>
      </c>
      <c r="T1260" s="100" cm="1">
        <f t="array" aca="1" ref="T1260" ca="1">IF(Первоначальный[[#This Row],[Итого остаток на начало периода]]&lt;1,0,
IF(
AND(TYPE(VLOOKUP(1,$Z$12:Z1260,1,0))=16,Первоначальный[[#This Row],[Досрочное погашение (да/"")]]=""),0,
_xlfn.IFS(AND(S1259=0,Первоначальный[[#This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платеж]]&lt;&gt;0),MIN(LOOKUP(,-1/($Z$12:Z1260=1),$C$12:C1260)+LOOKUP(,-1/($Z$12:Z1260=1),$H$12:H1260),Первоначальный[[#This Row],[Полученный платеж]]+Y1259),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платеж]]+Y1259,SUM(Первоначальный[[#This Row],[Остаток процентов на начало периода]],Первоначальный[[#This Row],[Проценты за период]])),
AND(S1259=0,Первоначальный[[#This Row],[Дата платежа из графика]]=""),0,
AND(S1259=0,Первоначальный[[#This Row],[Дата платежа из графика]]=1,MAX((0&lt;&gt;S$12:S1259)*ROW(S$12:S1259),ROW($S$12))&gt;=MAX((1=Z$12:Z1259)*ROW(Z$12:Z1259),ROW($T$12)),TYPE(VLOOKUP("Да",(INDIRECT("AA"&amp;(MAX((1=Z$12:Z1259)*ROW(Z$12:Z1259),ROW($T$12))&amp;":AA"&amp;(ROW()-1)))),1,0))=16),MIN(LOOKUP(,-1/($Z$12:Z1260=1),$C$12:C1260)+LOOKUP(,-1/($Z$12:Z1260=1),$H$12:H1260),Первоначальный[[#This Row],[Полученный платеж]]+Y1259),
AND(S1259=0,TYPE(VLOOKUP("Да",(INDIRECT("AA"&amp;(MAX((1=Z$12:Z1259)*ROW(Z$12:Z1259),ROW($T$12))&amp;":AA"&amp;(ROW()-1)))),1,0))&lt;&gt;16),MIN(LOOKUP(,-1/($Z$12:Z1260=1),$C$12:C1260)+LOOKUP(,-1/($Z$12:Z1260=1),$H$12:H1260)-IF(AA1259="Да",0,SUM(INDIRECT("T"&amp;(MAX(("Да"=AA$12:AA1259)*ROW(AA$12:AA1259)+1,ROW($T$12))&amp;":T"&amp;(ROW()-1))))),Первоначальный[[#This Row],[Полученный платеж]]+Y1259),
AND(S1259=0,MAX((0&lt;&gt;N$12:N1259)*ROW(N$12:N1259),ROW($S$12))&gt;=MAX((1=Z$12:Z1259)*ROW(Z$12:Z1259),ROW($T$12))),MIN(LOOKUP(,-1/($Z$12:Z1260=1),$C$12:C1260)+LOOKUP(,-1/($Z$12:Z1260=1),$H$12:H1260)-IF(N1259&lt;&gt;0,0,SUM(INDIRECT("T"&amp;(MAX((0&lt;&gt;N$12:N1259)*ROW(N$12:N1259)+1,ROW($T$12))&amp;":T"&amp;(ROW()-1))))),Первоначальный[[#This Row],[Полученный платеж]]+Y1259),
AND(S1259=0,Первоначальный[[#This Row],[Дата платежа из графика]]=1),MIN(LOOKUP(,-1/($Z$12:Z1260=1),$C$12:C1260)+LOOKUP(,-1/($Z$12:Z1260=1),$H$12:H1260)-IF(Z1259=1,0,SUM(INDIRECT("T"&amp;(MAX((1=Z$12:Z1259)*ROW(Z$12:Z1259)+1,ROW($T$12))&amp;":T"&amp;(ROW()-1))))),Первоначальный[[#This Row],[Полученный платеж]]+Y1259),
AND(Z1259&gt;0,Первоначальный[[#This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платеж]]+Y1259),
AND(S1259&gt;0,MAX((0&lt;&gt;S$12:S1259)*ROW(S$12:S1259),ROW($S$12))&gt;=MAX((1=Z$12:Z1259)*ROW(Z$12:Z1259),ROW($T$12)),TYPE(VLOOKUP("Да",(INDIRECT("AA"&amp;(MAX((1=Z$12:Z1259)*ROW(Z$12:Z1259),ROW($T$12))&amp;":AA"&amp;(ROW()-1)))),1,0))=16),MIN(LOOKUP(,-1/($Z$12:Z1260=1),$C$12:C1260)+LOOKUP(,-1/($Z$12:Z1260=1),$H$12:H1260)-SUM(INDIRECT("T"&amp;(MAX((1=Z$12:Z1259)*ROW(Z$12:Z1259),ROW($T$12))&amp;":T"&amp;(ROW()-1)))),Первоначальный[[#This Row],[Полученный платеж]]+Y1259),
S1259&gt;0,MIN(LOOKUP(,-1/($Z$12:Z1260=1),$C$12:C1260)+LOOKUP(,-1/($Z$12:Z1260=1),$H$12:H1260)-IF(Z1259=1,0,SUM(INDIRECT("T"&amp;(MAX((1=Z$12:Z1259)*ROW(Z$12:Z1259)+1,ROW($T$12))&amp;":T"&amp;(ROW()-1))))),Первоначальный[[#This Row],[Полученный платеж]]+Y1259)
)
)
)</f>
        <v>0</v>
      </c>
      <c r="U126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платеж]]+Y1259-Первоначальный[[#This Row],[Полученный платёж по процентам]])</f>
        <v>0</v>
      </c>
      <c r="V1260" s="55">
        <f t="shared" ca="1" si="231"/>
        <v>0</v>
      </c>
      <c r="W1260" s="55" cm="1">
        <f t="array" aca="1" ref="W1260" ca="1">IF(Первоначальный[[#This Row],[Итого остаток на начало периода]]&lt;1,0,
_xlfn.IFS(
AND(TYPE(VLOOKUP(1,$Z$12:Z1260,1,0))=16,Первоначальный[[#This Row],[Досрочное погашение (да/"")]]=""),0,
AND(S1259=0,Первоначальный[[#This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платеж]]+Y1259-SUM(Первоначальный[[#This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комиссиям]]),VLOOKUP(LOOKUP(,-1/($Z$12:Z1260=1),$A$12:A1260),График[[Срок конец]:[Возврат основной суммы долга]],3,0)),
AND(S1259=0,Первоначальный[[#This Row],[Дата платежа из графика]]="",Первоначальный[[#This Row],[Досрочное погашение (да/"")]]&lt;&gt;"Да"),0,
AND(S1259=0,Первоначальный[[#This Row],[Досрочное погашение (да/"")]]=""),MIN(Первоначальный[[#This Row],[Полученный платеж]]+Y1259-SUM(Первоначальный[[#This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комиссиям]]),VLOOKUP(LOOKUP(,-1/($Z$12:Z1260=1),$A$12:A1260),График[[Срок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платеж]]+Y1259-SUM(Первоначальный[[#This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S1259&gt;0,MIN(Первоначальный[[#This Row],[Полученный платеж]]+Y1259-SUM(Первоначальный[[#This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комиссиям]]),SUM(INDIRECT("M"&amp;(MAX((1=S$12:S1259)*ROW(S$12:S1259),ROW($W$12))&amp;":M"&amp;(ROW()))))-SUM(INDIRECT("W"&amp;(MAX((1=S$12:S1259)*ROW(S$12:S1259),ROW($W$12))&amp;":W"&amp;(ROW()-1)))))
)
)</f>
        <v>0</v>
      </c>
      <c r="X1260" s="55">
        <f t="shared" ca="1" si="232"/>
        <v>0</v>
      </c>
      <c r="Y1260" s="101">
        <f t="shared" ca="1" si="239"/>
        <v>0</v>
      </c>
      <c r="Z1260" s="133">
        <f>IF(TYPE((VLOOKUP(Первоначальный[[#This Row],[Дата платежа]],График[Срок конец],1,0)))=16,"",1)</f>
        <v>1</v>
      </c>
      <c r="AA1260" s="57"/>
      <c r="AB1260" s="134"/>
      <c r="AC126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6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90337.920000000144</v>
      </c>
      <c r="AE126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6381.1399999999812</v>
      </c>
      <c r="AF126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6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326994.4297901637</v>
      </c>
      <c r="AH1260" s="55"/>
      <c r="AI1260" s="55"/>
      <c r="AJ1260" s="55"/>
      <c r="AK1260" s="101">
        <f t="shared" ca="1" si="240"/>
        <v>573346.82979016379</v>
      </c>
      <c r="AL1260" s="129">
        <f t="array" ref="AL1260">MAX((УслРестрактов[Характеристика]="Дата реструктуризации")*(УслРестрактов[Значение]=Первоначальный!$A1260),0)</f>
        <v>0</v>
      </c>
    </row>
    <row r="1261" spans="1:38" x14ac:dyDescent="0.25">
      <c r="A1261" s="97">
        <f t="shared" si="233"/>
        <v>45392</v>
      </c>
      <c r="B1261" s="100">
        <f t="shared" ca="1" si="234"/>
        <v>149633.34</v>
      </c>
      <c r="C1261" s="55">
        <f t="shared" ca="1" si="230"/>
        <v>90337.920000000144</v>
      </c>
      <c r="D1261" s="55">
        <f t="shared" ca="1" si="230"/>
        <v>6381.1399999999812</v>
      </c>
      <c r="E1261" s="55">
        <f t="shared" ca="1" si="235"/>
        <v>0</v>
      </c>
      <c r="F1261" s="55">
        <f t="shared" ca="1" si="236"/>
        <v>326994.4297901637</v>
      </c>
      <c r="G1261" s="101">
        <f t="shared" ca="1" si="237"/>
        <v>573346.82979016379</v>
      </c>
      <c r="H1261" s="100">
        <f ca="1">ROUND($B1261*VLOOKUP($A1261,$A$1:$B$10,2,1)/(365+IF(MOD(YEAR($A1261),4),0,1)*($A1261-$A1260)),2)-Первоначальный[[#This Row],[Проценты на просроченный платеж по ОД за период]]</f>
        <v>69.05</v>
      </c>
      <c r="I1261" s="55">
        <f t="shared" ca="1" si="238"/>
        <v>12.31</v>
      </c>
      <c r="J1261" s="55">
        <v>0</v>
      </c>
      <c r="K1261" s="55">
        <f t="shared" ca="1" si="241"/>
        <v>564.84850327868844</v>
      </c>
      <c r="L1261" s="55">
        <v>0</v>
      </c>
      <c r="M1261" s="113">
        <f>SUMIFS(График[Возврат основной суммы долга],График[Дата с учетом нерабочих дней],$A1261)</f>
        <v>0</v>
      </c>
      <c r="N1261" s="56">
        <f>SUMIFS(График[Возврат начисленных %],График[Дата с учетом нерабочих дней],$A1261)</f>
        <v>0</v>
      </c>
      <c r="O1261" s="101">
        <v>0</v>
      </c>
      <c r="P1261" s="100" cm="1">
        <f t="array" aca="1" ref="P1261" ca="1">MAX(IF(AA1260="Да",0,SUM(INDIRECT("M"&amp;(MAX(("Да"=AA$12:AA1260)*ROW(AA$12:AA1260)+1,ROW($P$12))&amp;":M"&amp;(ROW()))))-SUM(INDIRECT("W"&amp;(MAX(("Да"=AA$12:AA1260)*ROW(AA$12:AA1260)+1,ROW($P$12))&amp;":W"&amp;(ROW()))))),0)</f>
        <v>22637.019999999997</v>
      </c>
      <c r="Q1261" s="99">
        <f ca="1">MAX(SUM($N$13:N1261)-SUM($T$13:T1261),0)</f>
        <v>90332.680655737684</v>
      </c>
      <c r="R1261" s="99">
        <f ca="1">Первоначальный[[#This Row],[Просроченный платеж по ОД]]+Первоначальный[[#This Row],[Просроченный платеж по процентам]]</f>
        <v>112969.70065573769</v>
      </c>
      <c r="S1261" s="120">
        <f ca="1">IF(Первоначальный[[#This Row],[Просроченный платеж]]&lt;1,0,S1260+1)</f>
        <v>1157</v>
      </c>
      <c r="T1261" s="100" cm="1">
        <f t="array" aca="1" ref="T1261" ca="1">IF(Первоначальный[[#This Row],[Итого остаток на начало периода]]&lt;1,0,
IF(
AND(TYPE(VLOOKUP(1,$Z$12:Z1261,1,0))=16,Первоначальный[[#This Row],[Досрочное погашение (да/"")]]=""),0,
_xlfn.IFS(AND(S1260=0,Первоначальный[[#This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платеж]]&lt;&gt;0),MIN(LOOKUP(,-1/($Z$12:Z1261=1),$C$12:C1261)+LOOKUP(,-1/($Z$12:Z1261=1),$H$12:H1261),Первоначальный[[#This Row],[Полученный платеж]]+Y1260),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платеж]]+Y1260,SUM(Первоначальный[[#This Row],[Остаток процентов на начало периода]],Первоначальный[[#This Row],[Проценты за период]])),
AND(S1260=0,Первоначальный[[#This Row],[Дата платежа из графика]]=""),0,
AND(S1260=0,Первоначальный[[#This Row],[Дата платежа из графика]]=1,MAX((0&lt;&gt;S$12:S1260)*ROW(S$12:S1260),ROW($S$12))&gt;=MAX((1=Z$12:Z1260)*ROW(Z$12:Z1260),ROW($T$12)),TYPE(VLOOKUP("Да",(INDIRECT("AA"&amp;(MAX((1=Z$12:Z1260)*ROW(Z$12:Z1260),ROW($T$12))&amp;":AA"&amp;(ROW()-1)))),1,0))=16),MIN(LOOKUP(,-1/($Z$12:Z1261=1),$C$12:C1261)+LOOKUP(,-1/($Z$12:Z1261=1),$H$12:H1261),Первоначальный[[#This Row],[Полученный платеж]]+Y1260),
AND(S1260=0,TYPE(VLOOKUP("Да",(INDIRECT("AA"&amp;(MAX((1=Z$12:Z1260)*ROW(Z$12:Z1260),ROW($T$12))&amp;":AA"&amp;(ROW()-1)))),1,0))&lt;&gt;16),MIN(LOOKUP(,-1/($Z$12:Z1261=1),$C$12:C1261)+LOOKUP(,-1/($Z$12:Z1261=1),$H$12:H1261)-IF(AA1260="Да",0,SUM(INDIRECT("T"&amp;(MAX(("Да"=AA$12:AA1260)*ROW(AA$12:AA1260)+1,ROW($T$12))&amp;":T"&amp;(ROW()-1))))),Первоначальный[[#This Row],[Полученный платеж]]+Y1260),
AND(S1260=0,MAX((0&lt;&gt;N$12:N1260)*ROW(N$12:N1260),ROW($S$12))&gt;=MAX((1=Z$12:Z1260)*ROW(Z$12:Z1260),ROW($T$12))),MIN(LOOKUP(,-1/($Z$12:Z1261=1),$C$12:C1261)+LOOKUP(,-1/($Z$12:Z1261=1),$H$12:H1261)-IF(N1260&lt;&gt;0,0,SUM(INDIRECT("T"&amp;(MAX((0&lt;&gt;N$12:N1260)*ROW(N$12:N1260)+1,ROW($T$12))&amp;":T"&amp;(ROW()-1))))),Первоначальный[[#This Row],[Полученный платеж]]+Y1260),
AND(S1260=0,Первоначальный[[#This Row],[Дата платежа из графика]]=1),MIN(LOOKUP(,-1/($Z$12:Z1261=1),$C$12:C1261)+LOOKUP(,-1/($Z$12:Z1261=1),$H$12:H1261)-IF(Z1260=1,0,SUM(INDIRECT("T"&amp;(MAX((1=Z$12:Z1260)*ROW(Z$12:Z1260)+1,ROW($T$12))&amp;":T"&amp;(ROW()-1))))),Первоначальный[[#This Row],[Полученный платеж]]+Y1260),
AND(Z1260&gt;0,Первоначальный[[#This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платеж]]+Y1260),
AND(S1260&gt;0,MAX((0&lt;&gt;S$12:S1260)*ROW(S$12:S1260),ROW($S$12))&gt;=MAX((1=Z$12:Z1260)*ROW(Z$12:Z1260),ROW($T$12)),TYPE(VLOOKUP("Да",(INDIRECT("AA"&amp;(MAX((1=Z$12:Z1260)*ROW(Z$12:Z1260),ROW($T$12))&amp;":AA"&amp;(ROW()-1)))),1,0))=16),MIN(LOOKUP(,-1/($Z$12:Z1261=1),$C$12:C1261)+LOOKUP(,-1/($Z$12:Z1261=1),$H$12:H1261)-SUM(INDIRECT("T"&amp;(MAX((1=Z$12:Z1260)*ROW(Z$12:Z1260),ROW($T$12))&amp;":T"&amp;(ROW()-1)))),Первоначальный[[#This Row],[Полученный платеж]]+Y1260),
S1260&gt;0,MIN(LOOKUP(,-1/($Z$12:Z1261=1),$C$12:C1261)+LOOKUP(,-1/($Z$12:Z1261=1),$H$12:H1261)-IF(Z1260=1,0,SUM(INDIRECT("T"&amp;(MAX((1=Z$12:Z1260)*ROW(Z$12:Z1260)+1,ROW($T$12))&amp;":T"&amp;(ROW()-1))))),Первоначальный[[#This Row],[Полученный платеж]]+Y1260)
)
)
)</f>
        <v>0</v>
      </c>
      <c r="U126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платеж]]+Y1260-Первоначальный[[#This Row],[Полученный платёж по процентам]])</f>
        <v>0</v>
      </c>
      <c r="V1261" s="55">
        <f t="shared" ca="1" si="231"/>
        <v>0</v>
      </c>
      <c r="W1261" s="55" cm="1">
        <f t="array" aca="1" ref="W1261" ca="1">IF(Первоначальный[[#This Row],[Итого остаток на начало периода]]&lt;1,0,
_xlfn.IFS(
AND(TYPE(VLOOKUP(1,$Z$12:Z1261,1,0))=16,Первоначальный[[#This Row],[Досрочное погашение (да/"")]]=""),0,
AND(S1260=0,Первоначальный[[#This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платеж]]+Y1260-SUM(Первоначальный[[#This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комиссиям]]),VLOOKUP(LOOKUP(,-1/($Z$12:Z1261=1),$A$12:A1261),График[[Срок конец]:[Возврат основной суммы долга]],3,0)),
AND(S1260=0,Первоначальный[[#This Row],[Дата платежа из графика]]="",Первоначальный[[#This Row],[Досрочное погашение (да/"")]]&lt;&gt;"Да"),0,
AND(S1260=0,Первоначальный[[#This Row],[Досрочное погашение (да/"")]]=""),MIN(Первоначальный[[#This Row],[Полученный платеж]]+Y1260-SUM(Первоначальный[[#This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комиссиям]]),VLOOKUP(LOOKUP(,-1/($Z$12:Z1261=1),$A$12:A1261),График[[Срок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платеж]]+Y1260-SUM(Первоначальный[[#This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S1260&gt;0,MIN(Первоначальный[[#This Row],[Полученный платеж]]+Y1260-SUM(Первоначальный[[#This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комиссиям]]),SUM(INDIRECT("M"&amp;(MAX((1=S$12:S1260)*ROW(S$12:S1260),ROW($W$12))&amp;":M"&amp;(ROW()))))-SUM(INDIRECT("W"&amp;(MAX((1=S$12:S1260)*ROW(S$12:S1260),ROW($W$12))&amp;":W"&amp;(ROW()-1)))))
)
)</f>
        <v>0</v>
      </c>
      <c r="X1261" s="55">
        <f t="shared" ca="1" si="232"/>
        <v>0</v>
      </c>
      <c r="Y1261" s="101">
        <f t="shared" ca="1" si="239"/>
        <v>0</v>
      </c>
      <c r="Z1261" s="133" t="str">
        <f>IF(TYPE((VLOOKUP(Первоначальный[[#This Row],[Дата платежа]],График[Срок конец],1,0)))=16,"",1)</f>
        <v/>
      </c>
      <c r="AA1261" s="57"/>
      <c r="AB1261" s="134"/>
      <c r="AC126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6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90406.970000000147</v>
      </c>
      <c r="AE126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6393.4499999999816</v>
      </c>
      <c r="AF126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6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327559.27829344239</v>
      </c>
      <c r="AH1261" s="55"/>
      <c r="AI1261" s="55"/>
      <c r="AJ1261" s="55"/>
      <c r="AK1261" s="101">
        <f t="shared" ca="1" si="240"/>
        <v>573993.03829344246</v>
      </c>
      <c r="AL1261" s="129">
        <f t="array" ref="AL1261">MAX((УслРестрактов[Характеристика]="Дата реструктуризации")*(УслРестрактов[Значение]=Первоначальный!$A1261),0)</f>
        <v>0</v>
      </c>
    </row>
    <row r="1262" spans="1:38" x14ac:dyDescent="0.25">
      <c r="A1262" s="97">
        <f t="shared" si="233"/>
        <v>45393</v>
      </c>
      <c r="B1262" s="100">
        <f t="shared" ca="1" si="234"/>
        <v>149633.34</v>
      </c>
      <c r="C1262" s="55">
        <f t="shared" ca="1" si="230"/>
        <v>90406.970000000147</v>
      </c>
      <c r="D1262" s="55">
        <f t="shared" ca="1" si="230"/>
        <v>6393.4499999999816</v>
      </c>
      <c r="E1262" s="55">
        <f t="shared" ca="1" si="235"/>
        <v>0</v>
      </c>
      <c r="F1262" s="55">
        <f t="shared" ca="1" si="236"/>
        <v>327559.27829344239</v>
      </c>
      <c r="G1262" s="101">
        <f t="shared" ca="1" si="237"/>
        <v>573993.03829344246</v>
      </c>
      <c r="H1262" s="100">
        <f ca="1">ROUND($B1262*VLOOKUP($A1262,$A$1:$B$10,2,1)/(365+IF(MOD(YEAR($A1262),4),0,1)*($A1262-$A1261)),2)-Первоначальный[[#This Row],[Проценты на просроченный платеж по ОД за период]]</f>
        <v>69.05</v>
      </c>
      <c r="I1262" s="55">
        <f t="shared" ca="1" si="238"/>
        <v>12.31</v>
      </c>
      <c r="J1262" s="55">
        <v>0</v>
      </c>
      <c r="K1262" s="55">
        <f t="shared" ca="1" si="241"/>
        <v>564.84850327868844</v>
      </c>
      <c r="L1262" s="55">
        <v>0</v>
      </c>
      <c r="M1262" s="113">
        <f>SUMIFS(График[Возврат основной суммы долга],График[Дата с учетом нерабочих дней],$A1262)</f>
        <v>0</v>
      </c>
      <c r="N1262" s="56">
        <f>SUMIFS(График[Возврат начисленных %],График[Дата с учетом нерабочих дней],$A1262)</f>
        <v>0</v>
      </c>
      <c r="O1262" s="101">
        <v>0</v>
      </c>
      <c r="P1262" s="100" cm="1">
        <f t="array" aca="1" ref="P1262" ca="1">MAX(IF(AA1261="Да",0,SUM(INDIRECT("M"&amp;(MAX(("Да"=AA$12:AA1261)*ROW(AA$12:AA1261)+1,ROW($P$12))&amp;":M"&amp;(ROW()))))-SUM(INDIRECT("W"&amp;(MAX(("Да"=AA$12:AA1261)*ROW(AA$12:AA1261)+1,ROW($P$12))&amp;":W"&amp;(ROW()))))),0)</f>
        <v>22637.019999999997</v>
      </c>
      <c r="Q1262" s="99">
        <f ca="1">MAX(SUM($N$13:N1262)-SUM($T$13:T1262),0)</f>
        <v>90332.680655737684</v>
      </c>
      <c r="R1262" s="99">
        <f ca="1">Первоначальный[[#This Row],[Просроченный платеж по ОД]]+Первоначальный[[#This Row],[Просроченный платеж по процентам]]</f>
        <v>112969.70065573769</v>
      </c>
      <c r="S1262" s="120">
        <f ca="1">IF(Первоначальный[[#This Row],[Просроченный платеж]]&lt;1,0,S1261+1)</f>
        <v>1158</v>
      </c>
      <c r="T1262" s="100" cm="1">
        <f t="array" aca="1" ref="T1262" ca="1">IF(Первоначальный[[#This Row],[Итого остаток на начало периода]]&lt;1,0,
IF(
AND(TYPE(VLOOKUP(1,$Z$12:Z1262,1,0))=16,Первоначальный[[#This Row],[Досрочное погашение (да/"")]]=""),0,
_xlfn.IFS(AND(S1261=0,Первоначальный[[#This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платеж]]&lt;&gt;0),MIN(LOOKUP(,-1/($Z$12:Z1262=1),$C$12:C1262)+LOOKUP(,-1/($Z$12:Z1262=1),$H$12:H1262),Первоначальный[[#This Row],[Полученный платеж]]+Y1261),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платеж]]+Y1261,SUM(Первоначальный[[#This Row],[Остаток процентов на начало периода]],Первоначальный[[#This Row],[Проценты за период]])),
AND(S1261=0,Первоначальный[[#This Row],[Дата платежа из графика]]=""),0,
AND(S1261=0,Первоначальный[[#This Row],[Дата платежа из графика]]=1,MAX((0&lt;&gt;S$12:S1261)*ROW(S$12:S1261),ROW($S$12))&gt;=MAX((1=Z$12:Z1261)*ROW(Z$12:Z1261),ROW($T$12)),TYPE(VLOOKUP("Да",(INDIRECT("AA"&amp;(MAX((1=Z$12:Z1261)*ROW(Z$12:Z1261),ROW($T$12))&amp;":AA"&amp;(ROW()-1)))),1,0))=16),MIN(LOOKUP(,-1/($Z$12:Z1262=1),$C$12:C1262)+LOOKUP(,-1/($Z$12:Z1262=1),$H$12:H1262),Первоначальный[[#This Row],[Полученный платеж]]+Y1261),
AND(S1261=0,TYPE(VLOOKUP("Да",(INDIRECT("AA"&amp;(MAX((1=Z$12:Z1261)*ROW(Z$12:Z1261),ROW($T$12))&amp;":AA"&amp;(ROW()-1)))),1,0))&lt;&gt;16),MIN(LOOKUP(,-1/($Z$12:Z1262=1),$C$12:C1262)+LOOKUP(,-1/($Z$12:Z1262=1),$H$12:H1262)-IF(AA1261="Да",0,SUM(INDIRECT("T"&amp;(MAX(("Да"=AA$12:AA1261)*ROW(AA$12:AA1261)+1,ROW($T$12))&amp;":T"&amp;(ROW()-1))))),Первоначальный[[#This Row],[Полученный платеж]]+Y1261),
AND(S1261=0,MAX((0&lt;&gt;N$12:N1261)*ROW(N$12:N1261),ROW($S$12))&gt;=MAX((1=Z$12:Z1261)*ROW(Z$12:Z1261),ROW($T$12))),MIN(LOOKUP(,-1/($Z$12:Z1262=1),$C$12:C1262)+LOOKUP(,-1/($Z$12:Z1262=1),$H$12:H1262)-IF(N1261&lt;&gt;0,0,SUM(INDIRECT("T"&amp;(MAX((0&lt;&gt;N$12:N1261)*ROW(N$12:N1261)+1,ROW($T$12))&amp;":T"&amp;(ROW()-1))))),Первоначальный[[#This Row],[Полученный платеж]]+Y1261),
AND(S1261=0,Первоначальный[[#This Row],[Дата платежа из графика]]=1),MIN(LOOKUP(,-1/($Z$12:Z1262=1),$C$12:C1262)+LOOKUP(,-1/($Z$12:Z1262=1),$H$12:H1262)-IF(Z1261=1,0,SUM(INDIRECT("T"&amp;(MAX((1=Z$12:Z1261)*ROW(Z$12:Z1261)+1,ROW($T$12))&amp;":T"&amp;(ROW()-1))))),Первоначальный[[#This Row],[Полученный платеж]]+Y1261),
AND(Z1261&gt;0,Первоначальный[[#This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платеж]]+Y1261),
AND(S1261&gt;0,MAX((0&lt;&gt;S$12:S1261)*ROW(S$12:S1261),ROW($S$12))&gt;=MAX((1=Z$12:Z1261)*ROW(Z$12:Z1261),ROW($T$12)),TYPE(VLOOKUP("Да",(INDIRECT("AA"&amp;(MAX((1=Z$12:Z1261)*ROW(Z$12:Z1261),ROW($T$12))&amp;":AA"&amp;(ROW()-1)))),1,0))=16),MIN(LOOKUP(,-1/($Z$12:Z1262=1),$C$12:C1262)+LOOKUP(,-1/($Z$12:Z1262=1),$H$12:H1262)-SUM(INDIRECT("T"&amp;(MAX((1=Z$12:Z1261)*ROW(Z$12:Z1261),ROW($T$12))&amp;":T"&amp;(ROW()-1)))),Первоначальный[[#This Row],[Полученный платеж]]+Y1261),
S1261&gt;0,MIN(LOOKUP(,-1/($Z$12:Z1262=1),$C$12:C1262)+LOOKUP(,-1/($Z$12:Z1262=1),$H$12:H1262)-IF(Z1261=1,0,SUM(INDIRECT("T"&amp;(MAX((1=Z$12:Z1261)*ROW(Z$12:Z1261)+1,ROW($T$12))&amp;":T"&amp;(ROW()-1))))),Первоначальный[[#This Row],[Полученный платеж]]+Y1261)
)
)
)</f>
        <v>0</v>
      </c>
      <c r="U126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платеж]]+Y1261-Первоначальный[[#This Row],[Полученный платёж по процентам]])</f>
        <v>0</v>
      </c>
      <c r="V1262" s="55">
        <f t="shared" ca="1" si="231"/>
        <v>0</v>
      </c>
      <c r="W1262" s="55" cm="1">
        <f t="array" aca="1" ref="W1262" ca="1">IF(Первоначальный[[#This Row],[Итого остаток на начало периода]]&lt;1,0,
_xlfn.IFS(
AND(TYPE(VLOOKUP(1,$Z$12:Z1262,1,0))=16,Первоначальный[[#This Row],[Досрочное погашение (да/"")]]=""),0,
AND(S1261=0,Первоначальный[[#This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платеж]]+Y1261-SUM(Первоначальный[[#This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комиссиям]]),VLOOKUP(LOOKUP(,-1/($Z$12:Z1262=1),$A$12:A1262),График[[Срок конец]:[Возврат основной суммы долга]],3,0)),
AND(S1261=0,Первоначальный[[#This Row],[Дата платежа из графика]]="",Первоначальный[[#This Row],[Досрочное погашение (да/"")]]&lt;&gt;"Да"),0,
AND(S1261=0,Первоначальный[[#This Row],[Досрочное погашение (да/"")]]=""),MIN(Первоначальный[[#This Row],[Полученный платеж]]+Y1261-SUM(Первоначальный[[#This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комиссиям]]),VLOOKUP(LOOKUP(,-1/($Z$12:Z1262=1),$A$12:A1262),График[[Срок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платеж]]+Y1261-SUM(Первоначальный[[#This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S1261&gt;0,MIN(Первоначальный[[#This Row],[Полученный платеж]]+Y1261-SUM(Первоначальный[[#This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комиссиям]]),SUM(INDIRECT("M"&amp;(MAX((1=S$12:S1261)*ROW(S$12:S1261),ROW($W$12))&amp;":M"&amp;(ROW()))))-SUM(INDIRECT("W"&amp;(MAX((1=S$12:S1261)*ROW(S$12:S1261),ROW($W$12))&amp;":W"&amp;(ROW()-1)))))
)
)</f>
        <v>0</v>
      </c>
      <c r="X1262" s="55">
        <f t="shared" ca="1" si="232"/>
        <v>0</v>
      </c>
      <c r="Y1262" s="101">
        <f t="shared" ca="1" si="239"/>
        <v>0</v>
      </c>
      <c r="Z1262" s="133" t="str">
        <f>IF(TYPE((VLOOKUP(Первоначальный[[#This Row],[Дата платежа]],График[Срок конец],1,0)))=16,"",1)</f>
        <v/>
      </c>
      <c r="AA1262" s="57"/>
      <c r="AB1262" s="134"/>
      <c r="AC126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6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90476.02000000015</v>
      </c>
      <c r="AE126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6405.759999999982</v>
      </c>
      <c r="AF126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6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328124.12679672107</v>
      </c>
      <c r="AH1262" s="55"/>
      <c r="AI1262" s="55"/>
      <c r="AJ1262" s="55"/>
      <c r="AK1262" s="101">
        <f t="shared" ca="1" si="240"/>
        <v>574639.24679672124</v>
      </c>
      <c r="AL1262" s="129">
        <f t="array" ref="AL1262">MAX((УслРестрактов[Характеристика]="Дата реструктуризации")*(УслРестрактов[Значение]=Первоначальный!$A1262),0)</f>
        <v>0</v>
      </c>
    </row>
    <row r="1263" spans="1:38" x14ac:dyDescent="0.25">
      <c r="A1263" s="97">
        <f t="shared" si="233"/>
        <v>45394</v>
      </c>
      <c r="B1263" s="100">
        <f t="shared" ca="1" si="234"/>
        <v>149633.34</v>
      </c>
      <c r="C1263" s="55">
        <f t="shared" ca="1" si="230"/>
        <v>90476.02000000015</v>
      </c>
      <c r="D1263" s="55">
        <f t="shared" ca="1" si="230"/>
        <v>6405.759999999982</v>
      </c>
      <c r="E1263" s="55">
        <f t="shared" ca="1" si="235"/>
        <v>0</v>
      </c>
      <c r="F1263" s="55">
        <f t="shared" ca="1" si="236"/>
        <v>328124.12679672107</v>
      </c>
      <c r="G1263" s="101">
        <f t="shared" ca="1" si="237"/>
        <v>574639.24679672124</v>
      </c>
      <c r="H1263" s="100">
        <f ca="1">ROUND($B1263*VLOOKUP($A1263,$A$1:$B$10,2,1)/(365+IF(MOD(YEAR($A1263),4),0,1)*($A1263-$A1262)),2)-Первоначальный[[#This Row],[Проценты на просроченный платеж по ОД за период]]</f>
        <v>69.05</v>
      </c>
      <c r="I1263" s="55">
        <f t="shared" ca="1" si="238"/>
        <v>12.31</v>
      </c>
      <c r="J1263" s="55">
        <v>0</v>
      </c>
      <c r="K1263" s="55">
        <f t="shared" ca="1" si="241"/>
        <v>564.84850327868844</v>
      </c>
      <c r="L1263" s="55">
        <v>0</v>
      </c>
      <c r="M1263" s="113">
        <f>SUMIFS(График[Возврат основной суммы долга],График[Дата с учетом нерабочих дней],$A1263)</f>
        <v>0</v>
      </c>
      <c r="N1263" s="56">
        <f>SUMIFS(График[Возврат начисленных %],График[Дата с учетом нерабочих дней],$A1263)</f>
        <v>0</v>
      </c>
      <c r="O1263" s="101">
        <v>0</v>
      </c>
      <c r="P1263" s="100" cm="1">
        <f t="array" aca="1" ref="P1263" ca="1">MAX(IF(AA1262="Да",0,SUM(INDIRECT("M"&amp;(MAX(("Да"=AA$12:AA1262)*ROW(AA$12:AA1262)+1,ROW($P$12))&amp;":M"&amp;(ROW()))))-SUM(INDIRECT("W"&amp;(MAX(("Да"=AA$12:AA1262)*ROW(AA$12:AA1262)+1,ROW($P$12))&amp;":W"&amp;(ROW()))))),0)</f>
        <v>22637.019999999997</v>
      </c>
      <c r="Q1263" s="99">
        <f ca="1">MAX(SUM($N$13:N1263)-SUM($T$13:T1263),0)</f>
        <v>90332.680655737684</v>
      </c>
      <c r="R1263" s="99">
        <f ca="1">Первоначальный[[#This Row],[Просроченный платеж по ОД]]+Первоначальный[[#This Row],[Просроченный платеж по процентам]]</f>
        <v>112969.70065573769</v>
      </c>
      <c r="S1263" s="120">
        <f ca="1">IF(Первоначальный[[#This Row],[Просроченный платеж]]&lt;1,0,S1262+1)</f>
        <v>1159</v>
      </c>
      <c r="T1263" s="100" cm="1">
        <f t="array" aca="1" ref="T1263" ca="1">IF(Первоначальный[[#This Row],[Итого остаток на начало периода]]&lt;1,0,
IF(
AND(TYPE(VLOOKUP(1,$Z$12:Z1263,1,0))=16,Первоначальный[[#This Row],[Досрочное погашение (да/"")]]=""),0,
_xlfn.IFS(AND(S1262=0,Первоначальный[[#This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платеж]]&lt;&gt;0),MIN(LOOKUP(,-1/($Z$12:Z1263=1),$C$12:C1263)+LOOKUP(,-1/($Z$12:Z1263=1),$H$12:H1263),Первоначальный[[#This Row],[Полученный платеж]]+Y1262),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платеж]]+Y1262,SUM(Первоначальный[[#This Row],[Остаток процентов на начало периода]],Первоначальный[[#This Row],[Проценты за период]])),
AND(S1262=0,Первоначальный[[#This Row],[Дата платежа из графика]]=""),0,
AND(S1262=0,Первоначальный[[#This Row],[Дата платежа из графика]]=1,MAX((0&lt;&gt;S$12:S1262)*ROW(S$12:S1262),ROW($S$12))&gt;=MAX((1=Z$12:Z1262)*ROW(Z$12:Z1262),ROW($T$12)),TYPE(VLOOKUP("Да",(INDIRECT("AA"&amp;(MAX((1=Z$12:Z1262)*ROW(Z$12:Z1262),ROW($T$12))&amp;":AA"&amp;(ROW()-1)))),1,0))=16),MIN(LOOKUP(,-1/($Z$12:Z1263=1),$C$12:C1263)+LOOKUP(,-1/($Z$12:Z1263=1),$H$12:H1263),Первоначальный[[#This Row],[Полученный платеж]]+Y1262),
AND(S1262=0,TYPE(VLOOKUP("Да",(INDIRECT("AA"&amp;(MAX((1=Z$12:Z1262)*ROW(Z$12:Z1262),ROW($T$12))&amp;":AA"&amp;(ROW()-1)))),1,0))&lt;&gt;16),MIN(LOOKUP(,-1/($Z$12:Z1263=1),$C$12:C1263)+LOOKUP(,-1/($Z$12:Z1263=1),$H$12:H1263)-IF(AA1262="Да",0,SUM(INDIRECT("T"&amp;(MAX(("Да"=AA$12:AA1262)*ROW(AA$12:AA1262)+1,ROW($T$12))&amp;":T"&amp;(ROW()-1))))),Первоначальный[[#This Row],[Полученный платеж]]+Y1262),
AND(S1262=0,MAX((0&lt;&gt;N$12:N1262)*ROW(N$12:N1262),ROW($S$12))&gt;=MAX((1=Z$12:Z1262)*ROW(Z$12:Z1262),ROW($T$12))),MIN(LOOKUP(,-1/($Z$12:Z1263=1),$C$12:C1263)+LOOKUP(,-1/($Z$12:Z1263=1),$H$12:H1263)-IF(N1262&lt;&gt;0,0,SUM(INDIRECT("T"&amp;(MAX((0&lt;&gt;N$12:N1262)*ROW(N$12:N1262)+1,ROW($T$12))&amp;":T"&amp;(ROW()-1))))),Первоначальный[[#This Row],[Полученный платеж]]+Y1262),
AND(S1262=0,Первоначальный[[#This Row],[Дата платежа из графика]]=1),MIN(LOOKUP(,-1/($Z$12:Z1263=1),$C$12:C1263)+LOOKUP(,-1/($Z$12:Z1263=1),$H$12:H1263)-IF(Z1262=1,0,SUM(INDIRECT("T"&amp;(MAX((1=Z$12:Z1262)*ROW(Z$12:Z1262)+1,ROW($T$12))&amp;":T"&amp;(ROW()-1))))),Первоначальный[[#This Row],[Полученный платеж]]+Y1262),
AND(Z1262&gt;0,Первоначальный[[#This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платеж]]+Y1262),
AND(S1262&gt;0,MAX((0&lt;&gt;S$12:S1262)*ROW(S$12:S1262),ROW($S$12))&gt;=MAX((1=Z$12:Z1262)*ROW(Z$12:Z1262),ROW($T$12)),TYPE(VLOOKUP("Да",(INDIRECT("AA"&amp;(MAX((1=Z$12:Z1262)*ROW(Z$12:Z1262),ROW($T$12))&amp;":AA"&amp;(ROW()-1)))),1,0))=16),MIN(LOOKUP(,-1/($Z$12:Z1263=1),$C$12:C1263)+LOOKUP(,-1/($Z$12:Z1263=1),$H$12:H1263)-SUM(INDIRECT("T"&amp;(MAX((1=Z$12:Z1262)*ROW(Z$12:Z1262),ROW($T$12))&amp;":T"&amp;(ROW()-1)))),Первоначальный[[#This Row],[Полученный платеж]]+Y1262),
S1262&gt;0,MIN(LOOKUP(,-1/($Z$12:Z1263=1),$C$12:C1263)+LOOKUP(,-1/($Z$12:Z1263=1),$H$12:H1263)-IF(Z1262=1,0,SUM(INDIRECT("T"&amp;(MAX((1=Z$12:Z1262)*ROW(Z$12:Z1262)+1,ROW($T$12))&amp;":T"&amp;(ROW()-1))))),Первоначальный[[#This Row],[Полученный платеж]]+Y1262)
)
)
)</f>
        <v>0</v>
      </c>
      <c r="U126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платеж]]+Y1262-Первоначальный[[#This Row],[Полученный платёж по процентам]])</f>
        <v>0</v>
      </c>
      <c r="V1263" s="55">
        <f t="shared" ca="1" si="231"/>
        <v>0</v>
      </c>
      <c r="W1263" s="55" cm="1">
        <f t="array" aca="1" ref="W1263" ca="1">IF(Первоначальный[[#This Row],[Итого остаток на начало периода]]&lt;1,0,
_xlfn.IFS(
AND(TYPE(VLOOKUP(1,$Z$12:Z1263,1,0))=16,Первоначальный[[#This Row],[Досрочное погашение (да/"")]]=""),0,
AND(S1262=0,Первоначальный[[#This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платеж]]+Y1262-SUM(Первоначальный[[#This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комиссиям]]),VLOOKUP(LOOKUP(,-1/($Z$12:Z1263=1),$A$12:A1263),График[[Срок конец]:[Возврат основной суммы долга]],3,0)),
AND(S1262=0,Первоначальный[[#This Row],[Дата платежа из графика]]="",Первоначальный[[#This Row],[Досрочное погашение (да/"")]]&lt;&gt;"Да"),0,
AND(S1262=0,Первоначальный[[#This Row],[Досрочное погашение (да/"")]]=""),MIN(Первоначальный[[#This Row],[Полученный платеж]]+Y1262-SUM(Первоначальный[[#This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комиссиям]]),VLOOKUP(LOOKUP(,-1/($Z$12:Z1263=1),$A$12:A1263),График[[Срок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платеж]]+Y1262-SUM(Первоначальный[[#This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S1262&gt;0,MIN(Первоначальный[[#This Row],[Полученный платеж]]+Y1262-SUM(Первоначальный[[#This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комиссиям]]),SUM(INDIRECT("M"&amp;(MAX((1=S$12:S1262)*ROW(S$12:S1262),ROW($W$12))&amp;":M"&amp;(ROW()))))-SUM(INDIRECT("W"&amp;(MAX((1=S$12:S1262)*ROW(S$12:S1262),ROW($W$12))&amp;":W"&amp;(ROW()-1)))))
)
)</f>
        <v>0</v>
      </c>
      <c r="X1263" s="55">
        <f t="shared" ca="1" si="232"/>
        <v>0</v>
      </c>
      <c r="Y1263" s="101">
        <f t="shared" ca="1" si="239"/>
        <v>0</v>
      </c>
      <c r="Z1263" s="133" t="str">
        <f>IF(TYPE((VLOOKUP(Первоначальный[[#This Row],[Дата платежа]],График[Срок конец],1,0)))=16,"",1)</f>
        <v/>
      </c>
      <c r="AA1263" s="57"/>
      <c r="AB1263" s="134"/>
      <c r="AC126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6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90545.070000000153</v>
      </c>
      <c r="AE126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6418.0699999999824</v>
      </c>
      <c r="AF126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6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328688.97529999976</v>
      </c>
      <c r="AH1263" s="55"/>
      <c r="AI1263" s="55"/>
      <c r="AJ1263" s="55"/>
      <c r="AK1263" s="101">
        <f t="shared" ca="1" si="240"/>
        <v>575285.45529999991</v>
      </c>
      <c r="AL1263" s="129">
        <f t="array" ref="AL1263">MAX((УслРестрактов[Характеристика]="Дата реструктуризации")*(УслРестрактов[Значение]=Первоначальный!$A1263),0)</f>
        <v>0</v>
      </c>
    </row>
    <row r="1264" spans="1:38" x14ac:dyDescent="0.25">
      <c r="A1264" s="97">
        <f t="shared" si="233"/>
        <v>45395</v>
      </c>
      <c r="B1264" s="100">
        <f t="shared" ca="1" si="234"/>
        <v>149633.34</v>
      </c>
      <c r="C1264" s="55">
        <f t="shared" ca="1" si="230"/>
        <v>90545.070000000153</v>
      </c>
      <c r="D1264" s="55">
        <f t="shared" ca="1" si="230"/>
        <v>6418.0699999999824</v>
      </c>
      <c r="E1264" s="55">
        <f t="shared" ca="1" si="235"/>
        <v>0</v>
      </c>
      <c r="F1264" s="55">
        <f t="shared" ca="1" si="236"/>
        <v>328688.97529999976</v>
      </c>
      <c r="G1264" s="101">
        <f t="shared" ca="1" si="237"/>
        <v>575285.45529999991</v>
      </c>
      <c r="H1264" s="100">
        <f ca="1">ROUND($B1264*VLOOKUP($A1264,$A$1:$B$10,2,1)/(365+IF(MOD(YEAR($A1264),4),0,1)*($A1264-$A1263)),2)-Первоначальный[[#This Row],[Проценты на просроченный платеж по ОД за период]]</f>
        <v>69.05</v>
      </c>
      <c r="I1264" s="55">
        <f t="shared" ca="1" si="238"/>
        <v>12.31</v>
      </c>
      <c r="J1264" s="55">
        <v>0</v>
      </c>
      <c r="K1264" s="55">
        <f t="shared" ca="1" si="241"/>
        <v>564.84850327868844</v>
      </c>
      <c r="L1264" s="55">
        <v>0</v>
      </c>
      <c r="M1264" s="113">
        <f>SUMIFS(График[Возврат основной суммы долга],График[Дата с учетом нерабочих дней],$A1264)</f>
        <v>0</v>
      </c>
      <c r="N1264" s="56">
        <f>SUMIFS(График[Возврат начисленных %],График[Дата с учетом нерабочих дней],$A1264)</f>
        <v>0</v>
      </c>
      <c r="O1264" s="101">
        <v>0</v>
      </c>
      <c r="P1264" s="100" cm="1">
        <f t="array" aca="1" ref="P1264" ca="1">MAX(IF(AA1263="Да",0,SUM(INDIRECT("M"&amp;(MAX(("Да"=AA$12:AA1263)*ROW(AA$12:AA1263)+1,ROW($P$12))&amp;":M"&amp;(ROW()))))-SUM(INDIRECT("W"&amp;(MAX(("Да"=AA$12:AA1263)*ROW(AA$12:AA1263)+1,ROW($P$12))&amp;":W"&amp;(ROW()))))),0)</f>
        <v>22637.019999999997</v>
      </c>
      <c r="Q1264" s="99">
        <f ca="1">MAX(SUM($N$13:N1264)-SUM($T$13:T1264),0)</f>
        <v>90332.680655737684</v>
      </c>
      <c r="R1264" s="99">
        <f ca="1">Первоначальный[[#This Row],[Просроченный платеж по ОД]]+Первоначальный[[#This Row],[Просроченный платеж по процентам]]</f>
        <v>112969.70065573769</v>
      </c>
      <c r="S1264" s="120">
        <f ca="1">IF(Первоначальный[[#This Row],[Просроченный платеж]]&lt;1,0,S1263+1)</f>
        <v>1160</v>
      </c>
      <c r="T1264" s="100" cm="1">
        <f t="array" aca="1" ref="T1264" ca="1">IF(Первоначальный[[#This Row],[Итого остаток на начало периода]]&lt;1,0,
IF(
AND(TYPE(VLOOKUP(1,$Z$12:Z1264,1,0))=16,Первоначальный[[#This Row],[Досрочное погашение (да/"")]]=""),0,
_xlfn.IFS(AND(S1263=0,Первоначальный[[#This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платеж]]&lt;&gt;0),MIN(LOOKUP(,-1/($Z$12:Z1264=1),$C$12:C1264)+LOOKUP(,-1/($Z$12:Z1264=1),$H$12:H1264),Первоначальный[[#This Row],[Полученный платеж]]+Y1263),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платеж]]+Y1263,SUM(Первоначальный[[#This Row],[Остаток процентов на начало периода]],Первоначальный[[#This Row],[Проценты за период]])),
AND(S1263=0,Первоначальный[[#This Row],[Дата платежа из графика]]=""),0,
AND(S1263=0,Первоначальный[[#This Row],[Дата платежа из графика]]=1,MAX((0&lt;&gt;S$12:S1263)*ROW(S$12:S1263),ROW($S$12))&gt;=MAX((1=Z$12:Z1263)*ROW(Z$12:Z1263),ROW($T$12)),TYPE(VLOOKUP("Да",(INDIRECT("AA"&amp;(MAX((1=Z$12:Z1263)*ROW(Z$12:Z1263),ROW($T$12))&amp;":AA"&amp;(ROW()-1)))),1,0))=16),MIN(LOOKUP(,-1/($Z$12:Z1264=1),$C$12:C1264)+LOOKUP(,-1/($Z$12:Z1264=1),$H$12:H1264),Первоначальный[[#This Row],[Полученный платеж]]+Y1263),
AND(S1263=0,TYPE(VLOOKUP("Да",(INDIRECT("AA"&amp;(MAX((1=Z$12:Z1263)*ROW(Z$12:Z1263),ROW($T$12))&amp;":AA"&amp;(ROW()-1)))),1,0))&lt;&gt;16),MIN(LOOKUP(,-1/($Z$12:Z1264=1),$C$12:C1264)+LOOKUP(,-1/($Z$12:Z1264=1),$H$12:H1264)-IF(AA1263="Да",0,SUM(INDIRECT("T"&amp;(MAX(("Да"=AA$12:AA1263)*ROW(AA$12:AA1263)+1,ROW($T$12))&amp;":T"&amp;(ROW()-1))))),Первоначальный[[#This Row],[Полученный платеж]]+Y1263),
AND(S1263=0,MAX((0&lt;&gt;N$12:N1263)*ROW(N$12:N1263),ROW($S$12))&gt;=MAX((1=Z$12:Z1263)*ROW(Z$12:Z1263),ROW($T$12))),MIN(LOOKUP(,-1/($Z$12:Z1264=1),$C$12:C1264)+LOOKUP(,-1/($Z$12:Z1264=1),$H$12:H1264)-IF(N1263&lt;&gt;0,0,SUM(INDIRECT("T"&amp;(MAX((0&lt;&gt;N$12:N1263)*ROW(N$12:N1263)+1,ROW($T$12))&amp;":T"&amp;(ROW()-1))))),Первоначальный[[#This Row],[Полученный платеж]]+Y1263),
AND(S1263=0,Первоначальный[[#This Row],[Дата платежа из графика]]=1),MIN(LOOKUP(,-1/($Z$12:Z1264=1),$C$12:C1264)+LOOKUP(,-1/($Z$12:Z1264=1),$H$12:H1264)-IF(Z1263=1,0,SUM(INDIRECT("T"&amp;(MAX((1=Z$12:Z1263)*ROW(Z$12:Z1263)+1,ROW($T$12))&amp;":T"&amp;(ROW()-1))))),Первоначальный[[#This Row],[Полученный платеж]]+Y1263),
AND(Z1263&gt;0,Первоначальный[[#This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платеж]]+Y1263),
AND(S1263&gt;0,MAX((0&lt;&gt;S$12:S1263)*ROW(S$12:S1263),ROW($S$12))&gt;=MAX((1=Z$12:Z1263)*ROW(Z$12:Z1263),ROW($T$12)),TYPE(VLOOKUP("Да",(INDIRECT("AA"&amp;(MAX((1=Z$12:Z1263)*ROW(Z$12:Z1263),ROW($T$12))&amp;":AA"&amp;(ROW()-1)))),1,0))=16),MIN(LOOKUP(,-1/($Z$12:Z1264=1),$C$12:C1264)+LOOKUP(,-1/($Z$12:Z1264=1),$H$12:H1264)-SUM(INDIRECT("T"&amp;(MAX((1=Z$12:Z1263)*ROW(Z$12:Z1263),ROW($T$12))&amp;":T"&amp;(ROW()-1)))),Первоначальный[[#This Row],[Полученный платеж]]+Y1263),
S1263&gt;0,MIN(LOOKUP(,-1/($Z$12:Z1264=1),$C$12:C1264)+LOOKUP(,-1/($Z$12:Z1264=1),$H$12:H1264)-IF(Z1263=1,0,SUM(INDIRECT("T"&amp;(MAX((1=Z$12:Z1263)*ROW(Z$12:Z1263)+1,ROW($T$12))&amp;":T"&amp;(ROW()-1))))),Первоначальный[[#This Row],[Полученный платеж]]+Y1263)
)
)
)</f>
        <v>0</v>
      </c>
      <c r="U126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платеж]]+Y1263-Первоначальный[[#This Row],[Полученный платёж по процентам]])</f>
        <v>0</v>
      </c>
      <c r="V1264" s="55">
        <f t="shared" ca="1" si="231"/>
        <v>0</v>
      </c>
      <c r="W1264" s="55" cm="1">
        <f t="array" aca="1" ref="W1264" ca="1">IF(Первоначальный[[#This Row],[Итого остаток на начало периода]]&lt;1,0,
_xlfn.IFS(
AND(TYPE(VLOOKUP(1,$Z$12:Z1264,1,0))=16,Первоначальный[[#This Row],[Досрочное погашение (да/"")]]=""),0,
AND(S1263=0,Первоначальный[[#This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платеж]]+Y1263-SUM(Первоначальный[[#This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комиссиям]]),VLOOKUP(LOOKUP(,-1/($Z$12:Z1264=1),$A$12:A1264),График[[Срок конец]:[Возврат основной суммы долга]],3,0)),
AND(S1263=0,Первоначальный[[#This Row],[Дата платежа из графика]]="",Первоначальный[[#This Row],[Досрочное погашение (да/"")]]&lt;&gt;"Да"),0,
AND(S1263=0,Первоначальный[[#This Row],[Досрочное погашение (да/"")]]=""),MIN(Первоначальный[[#This Row],[Полученный платеж]]+Y1263-SUM(Первоначальный[[#This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комиссиям]]),VLOOKUP(LOOKUP(,-1/($Z$12:Z1264=1),$A$12:A1264),График[[Срок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платеж]]+Y1263-SUM(Первоначальный[[#This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S1263&gt;0,MIN(Первоначальный[[#This Row],[Полученный платеж]]+Y1263-SUM(Первоначальный[[#This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комиссиям]]),SUM(INDIRECT("M"&amp;(MAX((1=S$12:S1263)*ROW(S$12:S1263),ROW($W$12))&amp;":M"&amp;(ROW()))))-SUM(INDIRECT("W"&amp;(MAX((1=S$12:S1263)*ROW(S$12:S1263),ROW($W$12))&amp;":W"&amp;(ROW()-1)))))
)
)</f>
        <v>0</v>
      </c>
      <c r="X1264" s="55">
        <f t="shared" ca="1" si="232"/>
        <v>0</v>
      </c>
      <c r="Y1264" s="101">
        <f t="shared" ca="1" si="239"/>
        <v>0</v>
      </c>
      <c r="Z1264" s="133" t="str">
        <f>IF(TYPE((VLOOKUP(Первоначальный[[#This Row],[Дата платежа]],График[Срок конец],1,0)))=16,"",1)</f>
        <v/>
      </c>
      <c r="AA1264" s="57"/>
      <c r="AB1264" s="134"/>
      <c r="AC126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6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90614.120000000155</v>
      </c>
      <c r="AE126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6430.3799999999828</v>
      </c>
      <c r="AF126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6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329253.82380327844</v>
      </c>
      <c r="AH1264" s="55"/>
      <c r="AI1264" s="55"/>
      <c r="AJ1264" s="55"/>
      <c r="AK1264" s="101">
        <f t="shared" ca="1" si="240"/>
        <v>575931.66380327858</v>
      </c>
      <c r="AL1264" s="129">
        <f t="array" ref="AL1264">MAX((УслРестрактов[Характеристика]="Дата реструктуризации")*(УслРестрактов[Значение]=Первоначальный!$A1264),0)</f>
        <v>0</v>
      </c>
    </row>
    <row r="1265" spans="1:38" x14ac:dyDescent="0.25">
      <c r="A1265" s="97">
        <f t="shared" si="233"/>
        <v>45396</v>
      </c>
      <c r="B1265" s="100">
        <f t="shared" ca="1" si="234"/>
        <v>149633.34</v>
      </c>
      <c r="C1265" s="55">
        <f t="shared" ca="1" si="230"/>
        <v>90614.120000000155</v>
      </c>
      <c r="D1265" s="55">
        <f t="shared" ca="1" si="230"/>
        <v>6430.3799999999828</v>
      </c>
      <c r="E1265" s="55">
        <f t="shared" ca="1" si="235"/>
        <v>0</v>
      </c>
      <c r="F1265" s="55">
        <f t="shared" ca="1" si="236"/>
        <v>329253.82380327844</v>
      </c>
      <c r="G1265" s="101">
        <f t="shared" ca="1" si="237"/>
        <v>575931.66380327858</v>
      </c>
      <c r="H1265" s="100">
        <f ca="1">ROUND($B1265*VLOOKUP($A1265,$A$1:$B$10,2,1)/(365+IF(MOD(YEAR($A1265),4),0,1)*($A1265-$A1264)),2)-Первоначальный[[#This Row],[Проценты на просроченный платеж по ОД за период]]</f>
        <v>69.05</v>
      </c>
      <c r="I1265" s="55">
        <f t="shared" ca="1" si="238"/>
        <v>12.31</v>
      </c>
      <c r="J1265" s="55">
        <v>0</v>
      </c>
      <c r="K1265" s="55">
        <f t="shared" ca="1" si="241"/>
        <v>564.84850327868844</v>
      </c>
      <c r="L1265" s="55">
        <v>0</v>
      </c>
      <c r="M1265" s="113">
        <f>SUMIFS(График[Возврат основной суммы долга],График[Дата с учетом нерабочих дней],$A1265)</f>
        <v>0</v>
      </c>
      <c r="N1265" s="56">
        <f>SUMIFS(График[Возврат начисленных %],График[Дата с учетом нерабочих дней],$A1265)</f>
        <v>0</v>
      </c>
      <c r="O1265" s="101">
        <v>0</v>
      </c>
      <c r="P1265" s="100" cm="1">
        <f t="array" aca="1" ref="P1265" ca="1">MAX(IF(AA1264="Да",0,SUM(INDIRECT("M"&amp;(MAX(("Да"=AA$12:AA1264)*ROW(AA$12:AA1264)+1,ROW($P$12))&amp;":M"&amp;(ROW()))))-SUM(INDIRECT("W"&amp;(MAX(("Да"=AA$12:AA1264)*ROW(AA$12:AA1264)+1,ROW($P$12))&amp;":W"&amp;(ROW()))))),0)</f>
        <v>22637.019999999997</v>
      </c>
      <c r="Q1265" s="99">
        <f ca="1">MAX(SUM($N$13:N1265)-SUM($T$13:T1265),0)</f>
        <v>90332.680655737684</v>
      </c>
      <c r="R1265" s="99">
        <f ca="1">Первоначальный[[#This Row],[Просроченный платеж по ОД]]+Первоначальный[[#This Row],[Просроченный платеж по процентам]]</f>
        <v>112969.70065573769</v>
      </c>
      <c r="S1265" s="120">
        <f ca="1">IF(Первоначальный[[#This Row],[Просроченный платеж]]&lt;1,0,S1264+1)</f>
        <v>1161</v>
      </c>
      <c r="T1265" s="100" cm="1">
        <f t="array" aca="1" ref="T1265" ca="1">IF(Первоначальный[[#This Row],[Итого остаток на начало периода]]&lt;1,0,
IF(
AND(TYPE(VLOOKUP(1,$Z$12:Z1265,1,0))=16,Первоначальный[[#This Row],[Досрочное погашение (да/"")]]=""),0,
_xlfn.IFS(AND(S1264=0,Первоначальный[[#This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платеж]]&lt;&gt;0),MIN(LOOKUP(,-1/($Z$12:Z1265=1),$C$12:C1265)+LOOKUP(,-1/($Z$12:Z1265=1),$H$12:H1265),Первоначальный[[#This Row],[Полученный платеж]]+Y1264),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платеж]]+Y1264,SUM(Первоначальный[[#This Row],[Остаток процентов на начало периода]],Первоначальный[[#This Row],[Проценты за период]])),
AND(S1264=0,Первоначальный[[#This Row],[Дата платежа из графика]]=""),0,
AND(S1264=0,Первоначальный[[#This Row],[Дата платежа из графика]]=1,MAX((0&lt;&gt;S$12:S1264)*ROW(S$12:S1264),ROW($S$12))&gt;=MAX((1=Z$12:Z1264)*ROW(Z$12:Z1264),ROW($T$12)),TYPE(VLOOKUP("Да",(INDIRECT("AA"&amp;(MAX((1=Z$12:Z1264)*ROW(Z$12:Z1264),ROW($T$12))&amp;":AA"&amp;(ROW()-1)))),1,0))=16),MIN(LOOKUP(,-1/($Z$12:Z1265=1),$C$12:C1265)+LOOKUP(,-1/($Z$12:Z1265=1),$H$12:H1265),Первоначальный[[#This Row],[Полученный платеж]]+Y1264),
AND(S1264=0,TYPE(VLOOKUP("Да",(INDIRECT("AA"&amp;(MAX((1=Z$12:Z1264)*ROW(Z$12:Z1264),ROW($T$12))&amp;":AA"&amp;(ROW()-1)))),1,0))&lt;&gt;16),MIN(LOOKUP(,-1/($Z$12:Z1265=1),$C$12:C1265)+LOOKUP(,-1/($Z$12:Z1265=1),$H$12:H1265)-IF(AA1264="Да",0,SUM(INDIRECT("T"&amp;(MAX(("Да"=AA$12:AA1264)*ROW(AA$12:AA1264)+1,ROW($T$12))&amp;":T"&amp;(ROW()-1))))),Первоначальный[[#This Row],[Полученный платеж]]+Y1264),
AND(S1264=0,MAX((0&lt;&gt;N$12:N1264)*ROW(N$12:N1264),ROW($S$12))&gt;=MAX((1=Z$12:Z1264)*ROW(Z$12:Z1264),ROW($T$12))),MIN(LOOKUP(,-1/($Z$12:Z1265=1),$C$12:C1265)+LOOKUP(,-1/($Z$12:Z1265=1),$H$12:H1265)-IF(N1264&lt;&gt;0,0,SUM(INDIRECT("T"&amp;(MAX((0&lt;&gt;N$12:N1264)*ROW(N$12:N1264)+1,ROW($T$12))&amp;":T"&amp;(ROW()-1))))),Первоначальный[[#This Row],[Полученный платеж]]+Y1264),
AND(S1264=0,Первоначальный[[#This Row],[Дата платежа из графика]]=1),MIN(LOOKUP(,-1/($Z$12:Z1265=1),$C$12:C1265)+LOOKUP(,-1/($Z$12:Z1265=1),$H$12:H1265)-IF(Z1264=1,0,SUM(INDIRECT("T"&amp;(MAX((1=Z$12:Z1264)*ROW(Z$12:Z1264)+1,ROW($T$12))&amp;":T"&amp;(ROW()-1))))),Первоначальный[[#This Row],[Полученный платеж]]+Y1264),
AND(Z1264&gt;0,Первоначальный[[#This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платеж]]+Y1264),
AND(S1264&gt;0,MAX((0&lt;&gt;S$12:S1264)*ROW(S$12:S1264),ROW($S$12))&gt;=MAX((1=Z$12:Z1264)*ROW(Z$12:Z1264),ROW($T$12)),TYPE(VLOOKUP("Да",(INDIRECT("AA"&amp;(MAX((1=Z$12:Z1264)*ROW(Z$12:Z1264),ROW($T$12))&amp;":AA"&amp;(ROW()-1)))),1,0))=16),MIN(LOOKUP(,-1/($Z$12:Z1265=1),$C$12:C1265)+LOOKUP(,-1/($Z$12:Z1265=1),$H$12:H1265)-SUM(INDIRECT("T"&amp;(MAX((1=Z$12:Z1264)*ROW(Z$12:Z1264),ROW($T$12))&amp;":T"&amp;(ROW()-1)))),Первоначальный[[#This Row],[Полученный платеж]]+Y1264),
S1264&gt;0,MIN(LOOKUP(,-1/($Z$12:Z1265=1),$C$12:C1265)+LOOKUP(,-1/($Z$12:Z1265=1),$H$12:H1265)-IF(Z1264=1,0,SUM(INDIRECT("T"&amp;(MAX((1=Z$12:Z1264)*ROW(Z$12:Z1264)+1,ROW($T$12))&amp;":T"&amp;(ROW()-1))))),Первоначальный[[#This Row],[Полученный платеж]]+Y1264)
)
)
)</f>
        <v>0</v>
      </c>
      <c r="U126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платеж]]+Y1264-Первоначальный[[#This Row],[Полученный платёж по процентам]])</f>
        <v>0</v>
      </c>
      <c r="V1265" s="55">
        <f t="shared" ca="1" si="231"/>
        <v>0</v>
      </c>
      <c r="W1265" s="55" cm="1">
        <f t="array" aca="1" ref="W1265" ca="1">IF(Первоначальный[[#This Row],[Итого остаток на начало периода]]&lt;1,0,
_xlfn.IFS(
AND(TYPE(VLOOKUP(1,$Z$12:Z1265,1,0))=16,Первоначальный[[#This Row],[Досрочное погашение (да/"")]]=""),0,
AND(S1264=0,Первоначальный[[#This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платеж]]+Y1264-SUM(Первоначальный[[#This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комиссиям]]),VLOOKUP(LOOKUP(,-1/($Z$12:Z1265=1),$A$12:A1265),График[[Срок конец]:[Возврат основной суммы долга]],3,0)),
AND(S1264=0,Первоначальный[[#This Row],[Дата платежа из графика]]="",Первоначальный[[#This Row],[Досрочное погашение (да/"")]]&lt;&gt;"Да"),0,
AND(S1264=0,Первоначальный[[#This Row],[Досрочное погашение (да/"")]]=""),MIN(Первоначальный[[#This Row],[Полученный платеж]]+Y1264-SUM(Первоначальный[[#This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комиссиям]]),VLOOKUP(LOOKUP(,-1/($Z$12:Z1265=1),$A$12:A1265),График[[Срок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платеж]]+Y1264-SUM(Первоначальный[[#This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S1264&gt;0,MIN(Первоначальный[[#This Row],[Полученный платеж]]+Y1264-SUM(Первоначальный[[#This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комиссиям]]),SUM(INDIRECT("M"&amp;(MAX((1=S$12:S1264)*ROW(S$12:S1264),ROW($W$12))&amp;":M"&amp;(ROW()))))-SUM(INDIRECT("W"&amp;(MAX((1=S$12:S1264)*ROW(S$12:S1264),ROW($W$12))&amp;":W"&amp;(ROW()-1)))))
)
)</f>
        <v>0</v>
      </c>
      <c r="X1265" s="55">
        <f t="shared" ca="1" si="232"/>
        <v>0</v>
      </c>
      <c r="Y1265" s="101">
        <f t="shared" ca="1" si="239"/>
        <v>0</v>
      </c>
      <c r="Z1265" s="133" t="str">
        <f>IF(TYPE((VLOOKUP(Первоначальный[[#This Row],[Дата платежа]],График[Срок конец],1,0)))=16,"",1)</f>
        <v/>
      </c>
      <c r="AA1265" s="57"/>
      <c r="AB1265" s="134"/>
      <c r="AC126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6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90683.170000000158</v>
      </c>
      <c r="AE126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6442.6899999999832</v>
      </c>
      <c r="AF126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6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329818.67230655713</v>
      </c>
      <c r="AH1265" s="55"/>
      <c r="AI1265" s="55"/>
      <c r="AJ1265" s="55"/>
      <c r="AK1265" s="101">
        <f t="shared" ca="1" si="240"/>
        <v>576577.87230655726</v>
      </c>
      <c r="AL1265" s="129">
        <f t="array" ref="AL1265">MAX((УслРестрактов[Характеристика]="Дата реструктуризации")*(УслРестрактов[Значение]=Первоначальный!$A1265),0)</f>
        <v>0</v>
      </c>
    </row>
    <row r="1266" spans="1:38" x14ac:dyDescent="0.25">
      <c r="A1266" s="97">
        <f t="shared" si="233"/>
        <v>45397</v>
      </c>
      <c r="B1266" s="100">
        <f t="shared" ca="1" si="234"/>
        <v>149633.34</v>
      </c>
      <c r="C1266" s="55">
        <f t="shared" ca="1" si="230"/>
        <v>90683.170000000158</v>
      </c>
      <c r="D1266" s="55">
        <f t="shared" ca="1" si="230"/>
        <v>6442.6899999999832</v>
      </c>
      <c r="E1266" s="55">
        <f t="shared" ca="1" si="235"/>
        <v>0</v>
      </c>
      <c r="F1266" s="55">
        <f t="shared" ca="1" si="236"/>
        <v>329818.67230655713</v>
      </c>
      <c r="G1266" s="101">
        <f t="shared" ca="1" si="237"/>
        <v>576577.87230655726</v>
      </c>
      <c r="H1266" s="100">
        <f ca="1">ROUND($B1266*VLOOKUP($A1266,$A$1:$B$10,2,1)/(365+IF(MOD(YEAR($A1266),4),0,1)*($A1266-$A1265)),2)-Первоначальный[[#This Row],[Проценты на просроченный платеж по ОД за период]]</f>
        <v>69.05</v>
      </c>
      <c r="I1266" s="55">
        <f t="shared" ca="1" si="238"/>
        <v>12.31</v>
      </c>
      <c r="J1266" s="55">
        <v>0</v>
      </c>
      <c r="K1266" s="55">
        <f t="shared" ca="1" si="241"/>
        <v>564.84850327868844</v>
      </c>
      <c r="L1266" s="55">
        <v>0</v>
      </c>
      <c r="M1266" s="113">
        <f>SUMIFS(График[Возврат основной суммы долга],График[Дата с учетом нерабочих дней],$A1266)</f>
        <v>0</v>
      </c>
      <c r="N1266" s="56">
        <f>SUMIFS(График[Возврат начисленных %],График[Дата с учетом нерабочих дней],$A1266)</f>
        <v>0</v>
      </c>
      <c r="O1266" s="101">
        <v>0</v>
      </c>
      <c r="P1266" s="100" cm="1">
        <f t="array" aca="1" ref="P1266" ca="1">MAX(IF(AA1265="Да",0,SUM(INDIRECT("M"&amp;(MAX(("Да"=AA$12:AA1265)*ROW(AA$12:AA1265)+1,ROW($P$12))&amp;":M"&amp;(ROW()))))-SUM(INDIRECT("W"&amp;(MAX(("Да"=AA$12:AA1265)*ROW(AA$12:AA1265)+1,ROW($P$12))&amp;":W"&amp;(ROW()))))),0)</f>
        <v>22637.019999999997</v>
      </c>
      <c r="Q1266" s="99">
        <f ca="1">MAX(SUM($N$13:N1266)-SUM($T$13:T1266),0)</f>
        <v>90332.680655737684</v>
      </c>
      <c r="R1266" s="99">
        <f ca="1">Первоначальный[[#This Row],[Просроченный платеж по ОД]]+Первоначальный[[#This Row],[Просроченный платеж по процентам]]</f>
        <v>112969.70065573769</v>
      </c>
      <c r="S1266" s="120">
        <f ca="1">IF(Первоначальный[[#This Row],[Просроченный платеж]]&lt;1,0,S1265+1)</f>
        <v>1162</v>
      </c>
      <c r="T1266" s="100" cm="1">
        <f t="array" aca="1" ref="T1266" ca="1">IF(Первоначальный[[#This Row],[Итого остаток на начало периода]]&lt;1,0,
IF(
AND(TYPE(VLOOKUP(1,$Z$12:Z1266,1,0))=16,Первоначальный[[#This Row],[Досрочное погашение (да/"")]]=""),0,
_xlfn.IFS(AND(S1265=0,Первоначальный[[#This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платеж]]&lt;&gt;0),MIN(LOOKUP(,-1/($Z$12:Z1266=1),$C$12:C1266)+LOOKUP(,-1/($Z$12:Z1266=1),$H$12:H1266),Первоначальный[[#This Row],[Полученный платеж]]+Y1265),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платеж]]+Y1265,SUM(Первоначальный[[#This Row],[Остаток процентов на начало периода]],Первоначальный[[#This Row],[Проценты за период]])),
AND(S1265=0,Первоначальный[[#This Row],[Дата платежа из графика]]=""),0,
AND(S1265=0,Первоначальный[[#This Row],[Дата платежа из графика]]=1,MAX((0&lt;&gt;S$12:S1265)*ROW(S$12:S1265),ROW($S$12))&gt;=MAX((1=Z$12:Z1265)*ROW(Z$12:Z1265),ROW($T$12)),TYPE(VLOOKUP("Да",(INDIRECT("AA"&amp;(MAX((1=Z$12:Z1265)*ROW(Z$12:Z1265),ROW($T$12))&amp;":AA"&amp;(ROW()-1)))),1,0))=16),MIN(LOOKUP(,-1/($Z$12:Z1266=1),$C$12:C1266)+LOOKUP(,-1/($Z$12:Z1266=1),$H$12:H1266),Первоначальный[[#This Row],[Полученный платеж]]+Y1265),
AND(S1265=0,TYPE(VLOOKUP("Да",(INDIRECT("AA"&amp;(MAX((1=Z$12:Z1265)*ROW(Z$12:Z1265),ROW($T$12))&amp;":AA"&amp;(ROW()-1)))),1,0))&lt;&gt;16),MIN(LOOKUP(,-1/($Z$12:Z1266=1),$C$12:C1266)+LOOKUP(,-1/($Z$12:Z1266=1),$H$12:H1266)-IF(AA1265="Да",0,SUM(INDIRECT("T"&amp;(MAX(("Да"=AA$12:AA1265)*ROW(AA$12:AA1265)+1,ROW($T$12))&amp;":T"&amp;(ROW()-1))))),Первоначальный[[#This Row],[Полученный платеж]]+Y1265),
AND(S1265=0,MAX((0&lt;&gt;N$12:N1265)*ROW(N$12:N1265),ROW($S$12))&gt;=MAX((1=Z$12:Z1265)*ROW(Z$12:Z1265),ROW($T$12))),MIN(LOOKUP(,-1/($Z$12:Z1266=1),$C$12:C1266)+LOOKUP(,-1/($Z$12:Z1266=1),$H$12:H1266)-IF(N1265&lt;&gt;0,0,SUM(INDIRECT("T"&amp;(MAX((0&lt;&gt;N$12:N1265)*ROW(N$12:N1265)+1,ROW($T$12))&amp;":T"&amp;(ROW()-1))))),Первоначальный[[#This Row],[Полученный платеж]]+Y1265),
AND(S1265=0,Первоначальный[[#This Row],[Дата платежа из графика]]=1),MIN(LOOKUP(,-1/($Z$12:Z1266=1),$C$12:C1266)+LOOKUP(,-1/($Z$12:Z1266=1),$H$12:H1266)-IF(Z1265=1,0,SUM(INDIRECT("T"&amp;(MAX((1=Z$12:Z1265)*ROW(Z$12:Z1265)+1,ROW($T$12))&amp;":T"&amp;(ROW()-1))))),Первоначальный[[#This Row],[Полученный платеж]]+Y1265),
AND(Z1265&gt;0,Первоначальный[[#This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платеж]]+Y1265),
AND(S1265&gt;0,MAX((0&lt;&gt;S$12:S1265)*ROW(S$12:S1265),ROW($S$12))&gt;=MAX((1=Z$12:Z1265)*ROW(Z$12:Z1265),ROW($T$12)),TYPE(VLOOKUP("Да",(INDIRECT("AA"&amp;(MAX((1=Z$12:Z1265)*ROW(Z$12:Z1265),ROW($T$12))&amp;":AA"&amp;(ROW()-1)))),1,0))=16),MIN(LOOKUP(,-1/($Z$12:Z1266=1),$C$12:C1266)+LOOKUP(,-1/($Z$12:Z1266=1),$H$12:H1266)-SUM(INDIRECT("T"&amp;(MAX((1=Z$12:Z1265)*ROW(Z$12:Z1265),ROW($T$12))&amp;":T"&amp;(ROW()-1)))),Первоначальный[[#This Row],[Полученный платеж]]+Y1265),
S1265&gt;0,MIN(LOOKUP(,-1/($Z$12:Z1266=1),$C$12:C1266)+LOOKUP(,-1/($Z$12:Z1266=1),$H$12:H1266)-IF(Z1265=1,0,SUM(INDIRECT("T"&amp;(MAX((1=Z$12:Z1265)*ROW(Z$12:Z1265)+1,ROW($T$12))&amp;":T"&amp;(ROW()-1))))),Первоначальный[[#This Row],[Полученный платеж]]+Y1265)
)
)
)</f>
        <v>0</v>
      </c>
      <c r="U126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платеж]]+Y1265-Первоначальный[[#This Row],[Полученный платёж по процентам]])</f>
        <v>0</v>
      </c>
      <c r="V1266" s="55">
        <f t="shared" ca="1" si="231"/>
        <v>0</v>
      </c>
      <c r="W1266" s="55" cm="1">
        <f t="array" aca="1" ref="W1266" ca="1">IF(Первоначальный[[#This Row],[Итого остаток на начало периода]]&lt;1,0,
_xlfn.IFS(
AND(TYPE(VLOOKUP(1,$Z$12:Z1266,1,0))=16,Первоначальный[[#This Row],[Досрочное погашение (да/"")]]=""),0,
AND(S1265=0,Первоначальный[[#This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платеж]]+Y1265-SUM(Первоначальный[[#This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комиссиям]]),VLOOKUP(LOOKUP(,-1/($Z$12:Z1266=1),$A$12:A1266),График[[Срок конец]:[Возврат основной суммы долга]],3,0)),
AND(S1265=0,Первоначальный[[#This Row],[Дата платежа из графика]]="",Первоначальный[[#This Row],[Досрочное погашение (да/"")]]&lt;&gt;"Да"),0,
AND(S1265=0,Первоначальный[[#This Row],[Досрочное погашение (да/"")]]=""),MIN(Первоначальный[[#This Row],[Полученный платеж]]+Y1265-SUM(Первоначальный[[#This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комиссиям]]),VLOOKUP(LOOKUP(,-1/($Z$12:Z1266=1),$A$12:A1266),График[[Срок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платеж]]+Y1265-SUM(Первоначальный[[#This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S1265&gt;0,MIN(Первоначальный[[#This Row],[Полученный платеж]]+Y1265-SUM(Первоначальный[[#This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комиссиям]]),SUM(INDIRECT("M"&amp;(MAX((1=S$12:S1265)*ROW(S$12:S1265),ROW($W$12))&amp;":M"&amp;(ROW()))))-SUM(INDIRECT("W"&amp;(MAX((1=S$12:S1265)*ROW(S$12:S1265),ROW($W$12))&amp;":W"&amp;(ROW()-1)))))
)
)</f>
        <v>0</v>
      </c>
      <c r="X1266" s="55">
        <f t="shared" ca="1" si="232"/>
        <v>0</v>
      </c>
      <c r="Y1266" s="101">
        <f t="shared" ca="1" si="239"/>
        <v>0</v>
      </c>
      <c r="Z1266" s="133" t="str">
        <f>IF(TYPE((VLOOKUP(Первоначальный[[#This Row],[Дата платежа]],График[Срок конец],1,0)))=16,"",1)</f>
        <v/>
      </c>
      <c r="AA1266" s="57"/>
      <c r="AB1266" s="134"/>
      <c r="AC126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6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90752.220000000161</v>
      </c>
      <c r="AE126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6454.9999999999836</v>
      </c>
      <c r="AF126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6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330383.52080983581</v>
      </c>
      <c r="AH1266" s="55"/>
      <c r="AI1266" s="55"/>
      <c r="AJ1266" s="55"/>
      <c r="AK1266" s="101">
        <f t="shared" ca="1" si="240"/>
        <v>577224.08080983593</v>
      </c>
      <c r="AL1266" s="129">
        <f t="array" ref="AL1266">MAX((УслРестрактов[Характеристика]="Дата реструктуризации")*(УслРестрактов[Значение]=Первоначальный!$A1266),0)</f>
        <v>0</v>
      </c>
    </row>
    <row r="1267" spans="1:38" x14ac:dyDescent="0.25">
      <c r="A1267" s="97">
        <f t="shared" si="233"/>
        <v>45398</v>
      </c>
      <c r="B1267" s="100">
        <f t="shared" ca="1" si="234"/>
        <v>149633.34</v>
      </c>
      <c r="C1267" s="55">
        <f t="shared" ca="1" si="230"/>
        <v>90752.220000000161</v>
      </c>
      <c r="D1267" s="55">
        <f t="shared" ca="1" si="230"/>
        <v>6454.9999999999836</v>
      </c>
      <c r="E1267" s="55">
        <f t="shared" ca="1" si="235"/>
        <v>0</v>
      </c>
      <c r="F1267" s="55">
        <f t="shared" ca="1" si="236"/>
        <v>330383.52080983581</v>
      </c>
      <c r="G1267" s="101">
        <f t="shared" ca="1" si="237"/>
        <v>577224.08080983593</v>
      </c>
      <c r="H1267" s="100">
        <f ca="1">ROUND($B1267*VLOOKUP($A1267,$A$1:$B$10,2,1)/(365+IF(MOD(YEAR($A1267),4),0,1)*($A1267-$A1266)),2)-Первоначальный[[#This Row],[Проценты на просроченный платеж по ОД за период]]</f>
        <v>69.05</v>
      </c>
      <c r="I1267" s="55">
        <f t="shared" ca="1" si="238"/>
        <v>12.31</v>
      </c>
      <c r="J1267" s="55">
        <v>0</v>
      </c>
      <c r="K1267" s="55">
        <f t="shared" ca="1" si="241"/>
        <v>564.84850327868844</v>
      </c>
      <c r="L1267" s="55">
        <v>0</v>
      </c>
      <c r="M1267" s="113">
        <f>SUMIFS(График[Возврат основной суммы долга],График[Дата с учетом нерабочих дней],$A1267)</f>
        <v>0</v>
      </c>
      <c r="N1267" s="56">
        <f>SUMIFS(График[Возврат начисленных %],График[Дата с учетом нерабочих дней],$A1267)</f>
        <v>0</v>
      </c>
      <c r="O1267" s="101">
        <v>0</v>
      </c>
      <c r="P1267" s="100" cm="1">
        <f t="array" aca="1" ref="P1267" ca="1">MAX(IF(AA1266="Да",0,SUM(INDIRECT("M"&amp;(MAX(("Да"=AA$12:AA1266)*ROW(AA$12:AA1266)+1,ROW($P$12))&amp;":M"&amp;(ROW()))))-SUM(INDIRECT("W"&amp;(MAX(("Да"=AA$12:AA1266)*ROW(AA$12:AA1266)+1,ROW($P$12))&amp;":W"&amp;(ROW()))))),0)</f>
        <v>22637.019999999997</v>
      </c>
      <c r="Q1267" s="99">
        <f ca="1">MAX(SUM($N$13:N1267)-SUM($T$13:T1267),0)</f>
        <v>90332.680655737684</v>
      </c>
      <c r="R1267" s="99">
        <f ca="1">Первоначальный[[#This Row],[Просроченный платеж по ОД]]+Первоначальный[[#This Row],[Просроченный платеж по процентам]]</f>
        <v>112969.70065573769</v>
      </c>
      <c r="S1267" s="120">
        <f ca="1">IF(Первоначальный[[#This Row],[Просроченный платеж]]&lt;1,0,S1266+1)</f>
        <v>1163</v>
      </c>
      <c r="T1267" s="100" cm="1">
        <f t="array" aca="1" ref="T1267" ca="1">IF(Первоначальный[[#This Row],[Итого остаток на начало периода]]&lt;1,0,
IF(
AND(TYPE(VLOOKUP(1,$Z$12:Z1267,1,0))=16,Первоначальный[[#This Row],[Досрочное погашение (да/"")]]=""),0,
_xlfn.IFS(AND(S1266=0,Первоначальный[[#This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платеж]]&lt;&gt;0),MIN(LOOKUP(,-1/($Z$12:Z1267=1),$C$12:C1267)+LOOKUP(,-1/($Z$12:Z1267=1),$H$12:H1267),Первоначальный[[#This Row],[Полученный платеж]]+Y1266),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платеж]]+Y1266,SUM(Первоначальный[[#This Row],[Остаток процентов на начало периода]],Первоначальный[[#This Row],[Проценты за период]])),
AND(S1266=0,Первоначальный[[#This Row],[Дата платежа из графика]]=""),0,
AND(S1266=0,Первоначальный[[#This Row],[Дата платежа из графика]]=1,MAX((0&lt;&gt;S$12:S1266)*ROW(S$12:S1266),ROW($S$12))&gt;=MAX((1=Z$12:Z1266)*ROW(Z$12:Z1266),ROW($T$12)),TYPE(VLOOKUP("Да",(INDIRECT("AA"&amp;(MAX((1=Z$12:Z1266)*ROW(Z$12:Z1266),ROW($T$12))&amp;":AA"&amp;(ROW()-1)))),1,0))=16),MIN(LOOKUP(,-1/($Z$12:Z1267=1),$C$12:C1267)+LOOKUP(,-1/($Z$12:Z1267=1),$H$12:H1267),Первоначальный[[#This Row],[Полученный платеж]]+Y1266),
AND(S1266=0,TYPE(VLOOKUP("Да",(INDIRECT("AA"&amp;(MAX((1=Z$12:Z1266)*ROW(Z$12:Z1266),ROW($T$12))&amp;":AA"&amp;(ROW()-1)))),1,0))&lt;&gt;16),MIN(LOOKUP(,-1/($Z$12:Z1267=1),$C$12:C1267)+LOOKUP(,-1/($Z$12:Z1267=1),$H$12:H1267)-IF(AA1266="Да",0,SUM(INDIRECT("T"&amp;(MAX(("Да"=AA$12:AA1266)*ROW(AA$12:AA1266)+1,ROW($T$12))&amp;":T"&amp;(ROW()-1))))),Первоначальный[[#This Row],[Полученный платеж]]+Y1266),
AND(S1266=0,MAX((0&lt;&gt;N$12:N1266)*ROW(N$12:N1266),ROW($S$12))&gt;=MAX((1=Z$12:Z1266)*ROW(Z$12:Z1266),ROW($T$12))),MIN(LOOKUP(,-1/($Z$12:Z1267=1),$C$12:C1267)+LOOKUP(,-1/($Z$12:Z1267=1),$H$12:H1267)-IF(N1266&lt;&gt;0,0,SUM(INDIRECT("T"&amp;(MAX((0&lt;&gt;N$12:N1266)*ROW(N$12:N1266)+1,ROW($T$12))&amp;":T"&amp;(ROW()-1))))),Первоначальный[[#This Row],[Полученный платеж]]+Y1266),
AND(S1266=0,Первоначальный[[#This Row],[Дата платежа из графика]]=1),MIN(LOOKUP(,-1/($Z$12:Z1267=1),$C$12:C1267)+LOOKUP(,-1/($Z$12:Z1267=1),$H$12:H1267)-IF(Z1266=1,0,SUM(INDIRECT("T"&amp;(MAX((1=Z$12:Z1266)*ROW(Z$12:Z1266)+1,ROW($T$12))&amp;":T"&amp;(ROW()-1))))),Первоначальный[[#This Row],[Полученный платеж]]+Y1266),
AND(Z1266&gt;0,Первоначальный[[#This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платеж]]+Y1266),
AND(S1266&gt;0,MAX((0&lt;&gt;S$12:S1266)*ROW(S$12:S1266),ROW($S$12))&gt;=MAX((1=Z$12:Z1266)*ROW(Z$12:Z1266),ROW($T$12)),TYPE(VLOOKUP("Да",(INDIRECT("AA"&amp;(MAX((1=Z$12:Z1266)*ROW(Z$12:Z1266),ROW($T$12))&amp;":AA"&amp;(ROW()-1)))),1,0))=16),MIN(LOOKUP(,-1/($Z$12:Z1267=1),$C$12:C1267)+LOOKUP(,-1/($Z$12:Z1267=1),$H$12:H1267)-SUM(INDIRECT("T"&amp;(MAX((1=Z$12:Z1266)*ROW(Z$12:Z1266),ROW($T$12))&amp;":T"&amp;(ROW()-1)))),Первоначальный[[#This Row],[Полученный платеж]]+Y1266),
S1266&gt;0,MIN(LOOKUP(,-1/($Z$12:Z1267=1),$C$12:C1267)+LOOKUP(,-1/($Z$12:Z1267=1),$H$12:H1267)-IF(Z1266=1,0,SUM(INDIRECT("T"&amp;(MAX((1=Z$12:Z1266)*ROW(Z$12:Z1266)+1,ROW($T$12))&amp;":T"&amp;(ROW()-1))))),Первоначальный[[#This Row],[Полученный платеж]]+Y1266)
)
)
)</f>
        <v>0</v>
      </c>
      <c r="U126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платеж]]+Y1266-Первоначальный[[#This Row],[Полученный платёж по процентам]])</f>
        <v>0</v>
      </c>
      <c r="V1267" s="55">
        <f t="shared" ca="1" si="231"/>
        <v>0</v>
      </c>
      <c r="W1267" s="55" cm="1">
        <f t="array" aca="1" ref="W1267" ca="1">IF(Первоначальный[[#This Row],[Итого остаток на начало периода]]&lt;1,0,
_xlfn.IFS(
AND(TYPE(VLOOKUP(1,$Z$12:Z1267,1,0))=16,Первоначальный[[#This Row],[Досрочное погашение (да/"")]]=""),0,
AND(S1266=0,Первоначальный[[#This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платеж]]+Y1266-SUM(Первоначальный[[#This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комиссиям]]),VLOOKUP(LOOKUP(,-1/($Z$12:Z1267=1),$A$12:A1267),График[[Срок конец]:[Возврат основной суммы долга]],3,0)),
AND(S1266=0,Первоначальный[[#This Row],[Дата платежа из графика]]="",Первоначальный[[#This Row],[Досрочное погашение (да/"")]]&lt;&gt;"Да"),0,
AND(S1266=0,Первоначальный[[#This Row],[Досрочное погашение (да/"")]]=""),MIN(Первоначальный[[#This Row],[Полученный платеж]]+Y1266-SUM(Первоначальный[[#This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комиссиям]]),VLOOKUP(LOOKUP(,-1/($Z$12:Z1267=1),$A$12:A1267),График[[Срок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платеж]]+Y1266-SUM(Первоначальный[[#This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S1266&gt;0,MIN(Первоначальный[[#This Row],[Полученный платеж]]+Y1266-SUM(Первоначальный[[#This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комиссиям]]),SUM(INDIRECT("M"&amp;(MAX((1=S$12:S1266)*ROW(S$12:S1266),ROW($W$12))&amp;":M"&amp;(ROW()))))-SUM(INDIRECT("W"&amp;(MAX((1=S$12:S1266)*ROW(S$12:S1266),ROW($W$12))&amp;":W"&amp;(ROW()-1)))))
)
)</f>
        <v>0</v>
      </c>
      <c r="X1267" s="55">
        <f t="shared" ca="1" si="232"/>
        <v>0</v>
      </c>
      <c r="Y1267" s="101">
        <f t="shared" ca="1" si="239"/>
        <v>0</v>
      </c>
      <c r="Z1267" s="133" t="str">
        <f>IF(TYPE((VLOOKUP(Первоначальный[[#This Row],[Дата платежа]],График[Срок конец],1,0)))=16,"",1)</f>
        <v/>
      </c>
      <c r="AA1267" s="57"/>
      <c r="AB1267" s="134"/>
      <c r="AC126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6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90821.270000000164</v>
      </c>
      <c r="AE126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6467.309999999984</v>
      </c>
      <c r="AF126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6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330948.3693131145</v>
      </c>
      <c r="AH1267" s="55"/>
      <c r="AI1267" s="55"/>
      <c r="AJ1267" s="55"/>
      <c r="AK1267" s="101">
        <f t="shared" ca="1" si="240"/>
        <v>577870.28931311471</v>
      </c>
      <c r="AL1267" s="129">
        <f t="array" ref="AL1267">MAX((УслРестрактов[Характеристика]="Дата реструктуризации")*(УслРестрактов[Значение]=Первоначальный!$A1267),0)</f>
        <v>0</v>
      </c>
    </row>
    <row r="1268" spans="1:38" x14ac:dyDescent="0.25">
      <c r="A1268" s="97">
        <f t="shared" si="233"/>
        <v>45399</v>
      </c>
      <c r="B1268" s="100">
        <f t="shared" ca="1" si="234"/>
        <v>149633.34</v>
      </c>
      <c r="C1268" s="55">
        <f t="shared" ca="1" si="230"/>
        <v>90821.270000000164</v>
      </c>
      <c r="D1268" s="55">
        <f t="shared" ca="1" si="230"/>
        <v>6467.309999999984</v>
      </c>
      <c r="E1268" s="55">
        <f t="shared" ca="1" si="235"/>
        <v>0</v>
      </c>
      <c r="F1268" s="55">
        <f t="shared" ca="1" si="236"/>
        <v>330948.3693131145</v>
      </c>
      <c r="G1268" s="101">
        <f t="shared" ca="1" si="237"/>
        <v>577870.28931311471</v>
      </c>
      <c r="H1268" s="100">
        <f ca="1">ROUND($B1268*VLOOKUP($A1268,$A$1:$B$10,2,1)/(365+IF(MOD(YEAR($A1268),4),0,1)*($A1268-$A1267)),2)-Первоначальный[[#This Row],[Проценты на просроченный платеж по ОД за период]]</f>
        <v>69.05</v>
      </c>
      <c r="I1268" s="55">
        <f t="shared" ca="1" si="238"/>
        <v>12.31</v>
      </c>
      <c r="J1268" s="55">
        <v>0</v>
      </c>
      <c r="K1268" s="55">
        <f t="shared" ca="1" si="241"/>
        <v>564.84850327868844</v>
      </c>
      <c r="L1268" s="55">
        <v>0</v>
      </c>
      <c r="M1268" s="113">
        <f>SUMIFS(График[Возврат основной суммы долга],График[Дата с учетом нерабочих дней],$A1268)</f>
        <v>0</v>
      </c>
      <c r="N1268" s="56">
        <f>SUMIFS(График[Возврат начисленных %],График[Дата с учетом нерабочих дней],$A1268)</f>
        <v>0</v>
      </c>
      <c r="O1268" s="101">
        <v>0</v>
      </c>
      <c r="P1268" s="100" cm="1">
        <f t="array" aca="1" ref="P1268" ca="1">MAX(IF(AA1267="Да",0,SUM(INDIRECT("M"&amp;(MAX(("Да"=AA$12:AA1267)*ROW(AA$12:AA1267)+1,ROW($P$12))&amp;":M"&amp;(ROW()))))-SUM(INDIRECT("W"&amp;(MAX(("Да"=AA$12:AA1267)*ROW(AA$12:AA1267)+1,ROW($P$12))&amp;":W"&amp;(ROW()))))),0)</f>
        <v>22637.019999999997</v>
      </c>
      <c r="Q1268" s="99">
        <f ca="1">MAX(SUM($N$13:N1268)-SUM($T$13:T1268),0)</f>
        <v>90332.680655737684</v>
      </c>
      <c r="R1268" s="99">
        <f ca="1">Первоначальный[[#This Row],[Просроченный платеж по ОД]]+Первоначальный[[#This Row],[Просроченный платеж по процентам]]</f>
        <v>112969.70065573769</v>
      </c>
      <c r="S1268" s="120">
        <f ca="1">IF(Первоначальный[[#This Row],[Просроченный платеж]]&lt;1,0,S1267+1)</f>
        <v>1164</v>
      </c>
      <c r="T1268" s="100" cm="1">
        <f t="array" aca="1" ref="T1268" ca="1">IF(Первоначальный[[#This Row],[Итого остаток на начало периода]]&lt;1,0,
IF(
AND(TYPE(VLOOKUP(1,$Z$12:Z1268,1,0))=16,Первоначальный[[#This Row],[Досрочное погашение (да/"")]]=""),0,
_xlfn.IFS(AND(S1267=0,Первоначальный[[#This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платеж]]&lt;&gt;0),MIN(LOOKUP(,-1/($Z$12:Z1268=1),$C$12:C1268)+LOOKUP(,-1/($Z$12:Z1268=1),$H$12:H1268),Первоначальный[[#This Row],[Полученный платеж]]+Y1267),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платеж]]+Y1267,SUM(Первоначальный[[#This Row],[Остаток процентов на начало периода]],Первоначальный[[#This Row],[Проценты за период]])),
AND(S1267=0,Первоначальный[[#This Row],[Дата платежа из графика]]=""),0,
AND(S1267=0,Первоначальный[[#This Row],[Дата платежа из графика]]=1,MAX((0&lt;&gt;S$12:S1267)*ROW(S$12:S1267),ROW($S$12))&gt;=MAX((1=Z$12:Z1267)*ROW(Z$12:Z1267),ROW($T$12)),TYPE(VLOOKUP("Да",(INDIRECT("AA"&amp;(MAX((1=Z$12:Z1267)*ROW(Z$12:Z1267),ROW($T$12))&amp;":AA"&amp;(ROW()-1)))),1,0))=16),MIN(LOOKUP(,-1/($Z$12:Z1268=1),$C$12:C1268)+LOOKUP(,-1/($Z$12:Z1268=1),$H$12:H1268),Первоначальный[[#This Row],[Полученный платеж]]+Y1267),
AND(S1267=0,TYPE(VLOOKUP("Да",(INDIRECT("AA"&amp;(MAX((1=Z$12:Z1267)*ROW(Z$12:Z1267),ROW($T$12))&amp;":AA"&amp;(ROW()-1)))),1,0))&lt;&gt;16),MIN(LOOKUP(,-1/($Z$12:Z1268=1),$C$12:C1268)+LOOKUP(,-1/($Z$12:Z1268=1),$H$12:H1268)-IF(AA1267="Да",0,SUM(INDIRECT("T"&amp;(MAX(("Да"=AA$12:AA1267)*ROW(AA$12:AA1267)+1,ROW($T$12))&amp;":T"&amp;(ROW()-1))))),Первоначальный[[#This Row],[Полученный платеж]]+Y1267),
AND(S1267=0,MAX((0&lt;&gt;N$12:N1267)*ROW(N$12:N1267),ROW($S$12))&gt;=MAX((1=Z$12:Z1267)*ROW(Z$12:Z1267),ROW($T$12))),MIN(LOOKUP(,-1/($Z$12:Z1268=1),$C$12:C1268)+LOOKUP(,-1/($Z$12:Z1268=1),$H$12:H1268)-IF(N1267&lt;&gt;0,0,SUM(INDIRECT("T"&amp;(MAX((0&lt;&gt;N$12:N1267)*ROW(N$12:N1267)+1,ROW($T$12))&amp;":T"&amp;(ROW()-1))))),Первоначальный[[#This Row],[Полученный платеж]]+Y1267),
AND(S1267=0,Первоначальный[[#This Row],[Дата платежа из графика]]=1),MIN(LOOKUP(,-1/($Z$12:Z1268=1),$C$12:C1268)+LOOKUP(,-1/($Z$12:Z1268=1),$H$12:H1268)-IF(Z1267=1,0,SUM(INDIRECT("T"&amp;(MAX((1=Z$12:Z1267)*ROW(Z$12:Z1267)+1,ROW($T$12))&amp;":T"&amp;(ROW()-1))))),Первоначальный[[#This Row],[Полученный платеж]]+Y1267),
AND(Z1267&gt;0,Первоначальный[[#This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платеж]]+Y1267),
AND(S1267&gt;0,MAX((0&lt;&gt;S$12:S1267)*ROW(S$12:S1267),ROW($S$12))&gt;=MAX((1=Z$12:Z1267)*ROW(Z$12:Z1267),ROW($T$12)),TYPE(VLOOKUP("Да",(INDIRECT("AA"&amp;(MAX((1=Z$12:Z1267)*ROW(Z$12:Z1267),ROW($T$12))&amp;":AA"&amp;(ROW()-1)))),1,0))=16),MIN(LOOKUP(,-1/($Z$12:Z1268=1),$C$12:C1268)+LOOKUP(,-1/($Z$12:Z1268=1),$H$12:H1268)-SUM(INDIRECT("T"&amp;(MAX((1=Z$12:Z1267)*ROW(Z$12:Z1267),ROW($T$12))&amp;":T"&amp;(ROW()-1)))),Первоначальный[[#This Row],[Полученный платеж]]+Y1267),
S1267&gt;0,MIN(LOOKUP(,-1/($Z$12:Z1268=1),$C$12:C1268)+LOOKUP(,-1/($Z$12:Z1268=1),$H$12:H1268)-IF(Z1267=1,0,SUM(INDIRECT("T"&amp;(MAX((1=Z$12:Z1267)*ROW(Z$12:Z1267)+1,ROW($T$12))&amp;":T"&amp;(ROW()-1))))),Первоначальный[[#This Row],[Полученный платеж]]+Y1267)
)
)
)</f>
        <v>0</v>
      </c>
      <c r="U126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платеж]]+Y1267-Первоначальный[[#This Row],[Полученный платёж по процентам]])</f>
        <v>0</v>
      </c>
      <c r="V1268" s="55">
        <f t="shared" ca="1" si="231"/>
        <v>0</v>
      </c>
      <c r="W1268" s="55" cm="1">
        <f t="array" aca="1" ref="W1268" ca="1">IF(Первоначальный[[#This Row],[Итого остаток на начало периода]]&lt;1,0,
_xlfn.IFS(
AND(TYPE(VLOOKUP(1,$Z$12:Z1268,1,0))=16,Первоначальный[[#This Row],[Досрочное погашение (да/"")]]=""),0,
AND(S1267=0,Первоначальный[[#This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платеж]]+Y1267-SUM(Первоначальный[[#This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комиссиям]]),VLOOKUP(LOOKUP(,-1/($Z$12:Z1268=1),$A$12:A1268),График[[Срок конец]:[Возврат основной суммы долга]],3,0)),
AND(S1267=0,Первоначальный[[#This Row],[Дата платежа из графика]]="",Первоначальный[[#This Row],[Досрочное погашение (да/"")]]&lt;&gt;"Да"),0,
AND(S1267=0,Первоначальный[[#This Row],[Досрочное погашение (да/"")]]=""),MIN(Первоначальный[[#This Row],[Полученный платеж]]+Y1267-SUM(Первоначальный[[#This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комиссиям]]),VLOOKUP(LOOKUP(,-1/($Z$12:Z1268=1),$A$12:A1268),График[[Срок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платеж]]+Y1267-SUM(Первоначальный[[#This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S1267&gt;0,MIN(Первоначальный[[#This Row],[Полученный платеж]]+Y1267-SUM(Первоначальный[[#This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комиссиям]]),SUM(INDIRECT("M"&amp;(MAX((1=S$12:S1267)*ROW(S$12:S1267),ROW($W$12))&amp;":M"&amp;(ROW()))))-SUM(INDIRECT("W"&amp;(MAX((1=S$12:S1267)*ROW(S$12:S1267),ROW($W$12))&amp;":W"&amp;(ROW()-1)))))
)
)</f>
        <v>0</v>
      </c>
      <c r="X1268" s="55">
        <f t="shared" ca="1" si="232"/>
        <v>0</v>
      </c>
      <c r="Y1268" s="101">
        <f t="shared" ca="1" si="239"/>
        <v>0</v>
      </c>
      <c r="Z1268" s="133" t="str">
        <f>IF(TYPE((VLOOKUP(Первоначальный[[#This Row],[Дата платежа]],График[Срок конец],1,0)))=16,"",1)</f>
        <v/>
      </c>
      <c r="AA1268" s="57"/>
      <c r="AB1268" s="134"/>
      <c r="AC126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6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90890.320000000167</v>
      </c>
      <c r="AE126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6479.6199999999844</v>
      </c>
      <c r="AF126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6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331513.21781639318</v>
      </c>
      <c r="AH1268" s="55"/>
      <c r="AI1268" s="55"/>
      <c r="AJ1268" s="55"/>
      <c r="AK1268" s="101">
        <f t="shared" ca="1" si="240"/>
        <v>578516.49781639338</v>
      </c>
      <c r="AL1268" s="129">
        <f t="array" ref="AL1268">MAX((УслРестрактов[Характеристика]="Дата реструктуризации")*(УслРестрактов[Значение]=Первоначальный!$A1268),0)</f>
        <v>0</v>
      </c>
    </row>
    <row r="1269" spans="1:38" x14ac:dyDescent="0.25">
      <c r="A1269" s="97">
        <f t="shared" si="233"/>
        <v>45400</v>
      </c>
      <c r="B1269" s="100">
        <f t="shared" ca="1" si="234"/>
        <v>149633.34</v>
      </c>
      <c r="C1269" s="55">
        <f t="shared" ca="1" si="230"/>
        <v>90890.320000000167</v>
      </c>
      <c r="D1269" s="55">
        <f t="shared" ca="1" si="230"/>
        <v>6479.6199999999844</v>
      </c>
      <c r="E1269" s="55">
        <f t="shared" ca="1" si="235"/>
        <v>0</v>
      </c>
      <c r="F1269" s="55">
        <f t="shared" ca="1" si="236"/>
        <v>331513.21781639318</v>
      </c>
      <c r="G1269" s="101">
        <f t="shared" ca="1" si="237"/>
        <v>578516.49781639338</v>
      </c>
      <c r="H1269" s="100">
        <f ca="1">ROUND($B1269*VLOOKUP($A1269,$A$1:$B$10,2,1)/(365+IF(MOD(YEAR($A1269),4),0,1)*($A1269-$A1268)),2)-Первоначальный[[#This Row],[Проценты на просроченный платеж по ОД за период]]</f>
        <v>69.05</v>
      </c>
      <c r="I1269" s="55">
        <f t="shared" ca="1" si="238"/>
        <v>12.31</v>
      </c>
      <c r="J1269" s="55">
        <v>0</v>
      </c>
      <c r="K1269" s="55">
        <f t="shared" ca="1" si="241"/>
        <v>564.84850327868844</v>
      </c>
      <c r="L1269" s="55">
        <v>0</v>
      </c>
      <c r="M1269" s="113">
        <f>SUMIFS(График[Возврат основной суммы долга],График[Дата с учетом нерабочих дней],$A1269)</f>
        <v>0</v>
      </c>
      <c r="N1269" s="56">
        <f>SUMIFS(График[Возврат начисленных %],График[Дата с учетом нерабочих дней],$A1269)</f>
        <v>0</v>
      </c>
      <c r="O1269" s="101">
        <v>0</v>
      </c>
      <c r="P1269" s="100" cm="1">
        <f t="array" aca="1" ref="P1269" ca="1">MAX(IF(AA1268="Да",0,SUM(INDIRECT("M"&amp;(MAX(("Да"=AA$12:AA1268)*ROW(AA$12:AA1268)+1,ROW($P$12))&amp;":M"&amp;(ROW()))))-SUM(INDIRECT("W"&amp;(MAX(("Да"=AA$12:AA1268)*ROW(AA$12:AA1268)+1,ROW($P$12))&amp;":W"&amp;(ROW()))))),0)</f>
        <v>22637.019999999997</v>
      </c>
      <c r="Q1269" s="99">
        <f ca="1">MAX(SUM($N$13:N1269)-SUM($T$13:T1269),0)</f>
        <v>90332.680655737684</v>
      </c>
      <c r="R1269" s="99">
        <f ca="1">Первоначальный[[#This Row],[Просроченный платеж по ОД]]+Первоначальный[[#This Row],[Просроченный платеж по процентам]]</f>
        <v>112969.70065573769</v>
      </c>
      <c r="S1269" s="120">
        <f ca="1">IF(Первоначальный[[#This Row],[Просроченный платеж]]&lt;1,0,S1268+1)</f>
        <v>1165</v>
      </c>
      <c r="T1269" s="100" cm="1">
        <f t="array" aca="1" ref="T1269" ca="1">IF(Первоначальный[[#This Row],[Итого остаток на начало периода]]&lt;1,0,
IF(
AND(TYPE(VLOOKUP(1,$Z$12:Z1269,1,0))=16,Первоначальный[[#This Row],[Досрочное погашение (да/"")]]=""),0,
_xlfn.IFS(AND(S1268=0,Первоначальный[[#This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платеж]]&lt;&gt;0),MIN(LOOKUP(,-1/($Z$12:Z1269=1),$C$12:C1269)+LOOKUP(,-1/($Z$12:Z1269=1),$H$12:H1269),Первоначальный[[#This Row],[Полученный платеж]]+Y1268),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платеж]]+Y1268,SUM(Первоначальный[[#This Row],[Остаток процентов на начало периода]],Первоначальный[[#This Row],[Проценты за период]])),
AND(S1268=0,Первоначальный[[#This Row],[Дата платежа из графика]]=""),0,
AND(S1268=0,Первоначальный[[#This Row],[Дата платежа из графика]]=1,MAX((0&lt;&gt;S$12:S1268)*ROW(S$12:S1268),ROW($S$12))&gt;=MAX((1=Z$12:Z1268)*ROW(Z$12:Z1268),ROW($T$12)),TYPE(VLOOKUP("Да",(INDIRECT("AA"&amp;(MAX((1=Z$12:Z1268)*ROW(Z$12:Z1268),ROW($T$12))&amp;":AA"&amp;(ROW()-1)))),1,0))=16),MIN(LOOKUP(,-1/($Z$12:Z1269=1),$C$12:C1269)+LOOKUP(,-1/($Z$12:Z1269=1),$H$12:H1269),Первоначальный[[#This Row],[Полученный платеж]]+Y1268),
AND(S1268=0,TYPE(VLOOKUP("Да",(INDIRECT("AA"&amp;(MAX((1=Z$12:Z1268)*ROW(Z$12:Z1268),ROW($T$12))&amp;":AA"&amp;(ROW()-1)))),1,0))&lt;&gt;16),MIN(LOOKUP(,-1/($Z$12:Z1269=1),$C$12:C1269)+LOOKUP(,-1/($Z$12:Z1269=1),$H$12:H1269)-IF(AA1268="Да",0,SUM(INDIRECT("T"&amp;(MAX(("Да"=AA$12:AA1268)*ROW(AA$12:AA1268)+1,ROW($T$12))&amp;":T"&amp;(ROW()-1))))),Первоначальный[[#This Row],[Полученный платеж]]+Y1268),
AND(S1268=0,MAX((0&lt;&gt;N$12:N1268)*ROW(N$12:N1268),ROW($S$12))&gt;=MAX((1=Z$12:Z1268)*ROW(Z$12:Z1268),ROW($T$12))),MIN(LOOKUP(,-1/($Z$12:Z1269=1),$C$12:C1269)+LOOKUP(,-1/($Z$12:Z1269=1),$H$12:H1269)-IF(N1268&lt;&gt;0,0,SUM(INDIRECT("T"&amp;(MAX((0&lt;&gt;N$12:N1268)*ROW(N$12:N1268)+1,ROW($T$12))&amp;":T"&amp;(ROW()-1))))),Первоначальный[[#This Row],[Полученный платеж]]+Y1268),
AND(S1268=0,Первоначальный[[#This Row],[Дата платежа из графика]]=1),MIN(LOOKUP(,-1/($Z$12:Z1269=1),$C$12:C1269)+LOOKUP(,-1/($Z$12:Z1269=1),$H$12:H1269)-IF(Z1268=1,0,SUM(INDIRECT("T"&amp;(MAX((1=Z$12:Z1268)*ROW(Z$12:Z1268)+1,ROW($T$12))&amp;":T"&amp;(ROW()-1))))),Первоначальный[[#This Row],[Полученный платеж]]+Y1268),
AND(Z1268&gt;0,Первоначальный[[#This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платеж]]+Y1268),
AND(S1268&gt;0,MAX((0&lt;&gt;S$12:S1268)*ROW(S$12:S1268),ROW($S$12))&gt;=MAX((1=Z$12:Z1268)*ROW(Z$12:Z1268),ROW($T$12)),TYPE(VLOOKUP("Да",(INDIRECT("AA"&amp;(MAX((1=Z$12:Z1268)*ROW(Z$12:Z1268),ROW($T$12))&amp;":AA"&amp;(ROW()-1)))),1,0))=16),MIN(LOOKUP(,-1/($Z$12:Z1269=1),$C$12:C1269)+LOOKUP(,-1/($Z$12:Z1269=1),$H$12:H1269)-SUM(INDIRECT("T"&amp;(MAX((1=Z$12:Z1268)*ROW(Z$12:Z1268),ROW($T$12))&amp;":T"&amp;(ROW()-1)))),Первоначальный[[#This Row],[Полученный платеж]]+Y1268),
S1268&gt;0,MIN(LOOKUP(,-1/($Z$12:Z1269=1),$C$12:C1269)+LOOKUP(,-1/($Z$12:Z1269=1),$H$12:H1269)-IF(Z1268=1,0,SUM(INDIRECT("T"&amp;(MAX((1=Z$12:Z1268)*ROW(Z$12:Z1268)+1,ROW($T$12))&amp;":T"&amp;(ROW()-1))))),Первоначальный[[#This Row],[Полученный платеж]]+Y1268)
)
)
)</f>
        <v>0</v>
      </c>
      <c r="U126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платеж]]+Y1268-Первоначальный[[#This Row],[Полученный платёж по процентам]])</f>
        <v>0</v>
      </c>
      <c r="V1269" s="55">
        <f t="shared" ca="1" si="231"/>
        <v>0</v>
      </c>
      <c r="W1269" s="55" cm="1">
        <f t="array" aca="1" ref="W1269" ca="1">IF(Первоначальный[[#This Row],[Итого остаток на начало периода]]&lt;1,0,
_xlfn.IFS(
AND(TYPE(VLOOKUP(1,$Z$12:Z1269,1,0))=16,Первоначальный[[#This Row],[Досрочное погашение (да/"")]]=""),0,
AND(S1268=0,Первоначальный[[#This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платеж]]+Y1268-SUM(Первоначальный[[#This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комиссиям]]),VLOOKUP(LOOKUP(,-1/($Z$12:Z1269=1),$A$12:A1269),График[[Срок конец]:[Возврат основной суммы долга]],3,0)),
AND(S1268=0,Первоначальный[[#This Row],[Дата платежа из графика]]="",Первоначальный[[#This Row],[Досрочное погашение (да/"")]]&lt;&gt;"Да"),0,
AND(S1268=0,Первоначальный[[#This Row],[Досрочное погашение (да/"")]]=""),MIN(Первоначальный[[#This Row],[Полученный платеж]]+Y1268-SUM(Первоначальный[[#This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комиссиям]]),VLOOKUP(LOOKUP(,-1/($Z$12:Z1269=1),$A$12:A1269),График[[Срок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платеж]]+Y1268-SUM(Первоначальный[[#This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S1268&gt;0,MIN(Первоначальный[[#This Row],[Полученный платеж]]+Y1268-SUM(Первоначальный[[#This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комиссиям]]),SUM(INDIRECT("M"&amp;(MAX((1=S$12:S1268)*ROW(S$12:S1268),ROW($W$12))&amp;":M"&amp;(ROW()))))-SUM(INDIRECT("W"&amp;(MAX((1=S$12:S1268)*ROW(S$12:S1268),ROW($W$12))&amp;":W"&amp;(ROW()-1)))))
)
)</f>
        <v>0</v>
      </c>
      <c r="X1269" s="55">
        <f t="shared" ca="1" si="232"/>
        <v>0</v>
      </c>
      <c r="Y1269" s="101">
        <f t="shared" ca="1" si="239"/>
        <v>0</v>
      </c>
      <c r="Z1269" s="133" t="str">
        <f>IF(TYPE((VLOOKUP(Первоначальный[[#This Row],[Дата платежа]],График[Срок конец],1,0)))=16,"",1)</f>
        <v/>
      </c>
      <c r="AA1269" s="57"/>
      <c r="AB1269" s="134"/>
      <c r="AC126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6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90959.37000000017</v>
      </c>
      <c r="AE126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6491.9299999999848</v>
      </c>
      <c r="AF126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6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332078.06631967187</v>
      </c>
      <c r="AH1269" s="55"/>
      <c r="AI1269" s="55"/>
      <c r="AJ1269" s="55"/>
      <c r="AK1269" s="101">
        <f t="shared" ca="1" si="240"/>
        <v>579162.70631967206</v>
      </c>
      <c r="AL1269" s="129">
        <f t="array" ref="AL1269">MAX((УслРестрактов[Характеристика]="Дата реструктуризации")*(УслРестрактов[Значение]=Первоначальный!$A1269),0)</f>
        <v>0</v>
      </c>
    </row>
    <row r="1270" spans="1:38" x14ac:dyDescent="0.25">
      <c r="A1270" s="97">
        <f t="shared" si="233"/>
        <v>45401</v>
      </c>
      <c r="B1270" s="100">
        <f t="shared" ca="1" si="234"/>
        <v>149633.34</v>
      </c>
      <c r="C1270" s="55">
        <f t="shared" ca="1" si="230"/>
        <v>90959.37000000017</v>
      </c>
      <c r="D1270" s="55">
        <f t="shared" ca="1" si="230"/>
        <v>6491.9299999999848</v>
      </c>
      <c r="E1270" s="55">
        <f t="shared" ca="1" si="235"/>
        <v>0</v>
      </c>
      <c r="F1270" s="55">
        <f t="shared" ca="1" si="236"/>
        <v>332078.06631967187</v>
      </c>
      <c r="G1270" s="101">
        <f t="shared" ca="1" si="237"/>
        <v>579162.70631967206</v>
      </c>
      <c r="H1270" s="100">
        <f ca="1">ROUND($B1270*VLOOKUP($A1270,$A$1:$B$10,2,1)/(365+IF(MOD(YEAR($A1270),4),0,1)*($A1270-$A1269)),2)-Первоначальный[[#This Row],[Проценты на просроченный платеж по ОД за период]]</f>
        <v>69.05</v>
      </c>
      <c r="I1270" s="55">
        <f t="shared" ca="1" si="238"/>
        <v>12.31</v>
      </c>
      <c r="J1270" s="55">
        <v>0</v>
      </c>
      <c r="K1270" s="55">
        <f t="shared" ca="1" si="241"/>
        <v>564.84850327868844</v>
      </c>
      <c r="L1270" s="55">
        <v>0</v>
      </c>
      <c r="M1270" s="113">
        <f>SUMIFS(График[Возврат основной суммы долга],График[Дата с учетом нерабочих дней],$A1270)</f>
        <v>0</v>
      </c>
      <c r="N1270" s="56">
        <f>SUMIFS(График[Возврат начисленных %],График[Дата с учетом нерабочих дней],$A1270)</f>
        <v>0</v>
      </c>
      <c r="O1270" s="101">
        <v>0</v>
      </c>
      <c r="P1270" s="100" cm="1">
        <f t="array" aca="1" ref="P1270" ca="1">MAX(IF(AA1269="Да",0,SUM(INDIRECT("M"&amp;(MAX(("Да"=AA$12:AA1269)*ROW(AA$12:AA1269)+1,ROW($P$12))&amp;":M"&amp;(ROW()))))-SUM(INDIRECT("W"&amp;(MAX(("Да"=AA$12:AA1269)*ROW(AA$12:AA1269)+1,ROW($P$12))&amp;":W"&amp;(ROW()))))),0)</f>
        <v>22637.019999999997</v>
      </c>
      <c r="Q1270" s="99">
        <f ca="1">MAX(SUM($N$13:N1270)-SUM($T$13:T1270),0)</f>
        <v>90332.680655737684</v>
      </c>
      <c r="R1270" s="99">
        <f ca="1">Первоначальный[[#This Row],[Просроченный платеж по ОД]]+Первоначальный[[#This Row],[Просроченный платеж по процентам]]</f>
        <v>112969.70065573769</v>
      </c>
      <c r="S1270" s="120">
        <f ca="1">IF(Первоначальный[[#This Row],[Просроченный платеж]]&lt;1,0,S1269+1)</f>
        <v>1166</v>
      </c>
      <c r="T1270" s="100" cm="1">
        <f t="array" aca="1" ref="T1270" ca="1">IF(Первоначальный[[#This Row],[Итого остаток на начало периода]]&lt;1,0,
IF(
AND(TYPE(VLOOKUP(1,$Z$12:Z1270,1,0))=16,Первоначальный[[#This Row],[Досрочное погашение (да/"")]]=""),0,
_xlfn.IFS(AND(S1269=0,Первоначальный[[#This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платеж]]&lt;&gt;0),MIN(LOOKUP(,-1/($Z$12:Z1270=1),$C$12:C1270)+LOOKUP(,-1/($Z$12:Z1270=1),$H$12:H1270),Первоначальный[[#This Row],[Полученный платеж]]+Y1269),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платеж]]+Y1269,SUM(Первоначальный[[#This Row],[Остаток процентов на начало периода]],Первоначальный[[#This Row],[Проценты за период]])),
AND(S1269=0,Первоначальный[[#This Row],[Дата платежа из графика]]=""),0,
AND(S1269=0,Первоначальный[[#This Row],[Дата платежа из графика]]=1,MAX((0&lt;&gt;S$12:S1269)*ROW(S$12:S1269),ROW($S$12))&gt;=MAX((1=Z$12:Z1269)*ROW(Z$12:Z1269),ROW($T$12)),TYPE(VLOOKUP("Да",(INDIRECT("AA"&amp;(MAX((1=Z$12:Z1269)*ROW(Z$12:Z1269),ROW($T$12))&amp;":AA"&amp;(ROW()-1)))),1,0))=16),MIN(LOOKUP(,-1/($Z$12:Z1270=1),$C$12:C1270)+LOOKUP(,-1/($Z$12:Z1270=1),$H$12:H1270),Первоначальный[[#This Row],[Полученный платеж]]+Y1269),
AND(S1269=0,TYPE(VLOOKUP("Да",(INDIRECT("AA"&amp;(MAX((1=Z$12:Z1269)*ROW(Z$12:Z1269),ROW($T$12))&amp;":AA"&amp;(ROW()-1)))),1,0))&lt;&gt;16),MIN(LOOKUP(,-1/($Z$12:Z1270=1),$C$12:C1270)+LOOKUP(,-1/($Z$12:Z1270=1),$H$12:H1270)-IF(AA1269="Да",0,SUM(INDIRECT("T"&amp;(MAX(("Да"=AA$12:AA1269)*ROW(AA$12:AA1269)+1,ROW($T$12))&amp;":T"&amp;(ROW()-1))))),Первоначальный[[#This Row],[Полученный платеж]]+Y1269),
AND(S1269=0,MAX((0&lt;&gt;N$12:N1269)*ROW(N$12:N1269),ROW($S$12))&gt;=MAX((1=Z$12:Z1269)*ROW(Z$12:Z1269),ROW($T$12))),MIN(LOOKUP(,-1/($Z$12:Z1270=1),$C$12:C1270)+LOOKUP(,-1/($Z$12:Z1270=1),$H$12:H1270)-IF(N1269&lt;&gt;0,0,SUM(INDIRECT("T"&amp;(MAX((0&lt;&gt;N$12:N1269)*ROW(N$12:N1269)+1,ROW($T$12))&amp;":T"&amp;(ROW()-1))))),Первоначальный[[#This Row],[Полученный платеж]]+Y1269),
AND(S1269=0,Первоначальный[[#This Row],[Дата платежа из графика]]=1),MIN(LOOKUP(,-1/($Z$12:Z1270=1),$C$12:C1270)+LOOKUP(,-1/($Z$12:Z1270=1),$H$12:H1270)-IF(Z1269=1,0,SUM(INDIRECT("T"&amp;(MAX((1=Z$12:Z1269)*ROW(Z$12:Z1269)+1,ROW($T$12))&amp;":T"&amp;(ROW()-1))))),Первоначальный[[#This Row],[Полученный платеж]]+Y1269),
AND(Z1269&gt;0,Первоначальный[[#This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платеж]]+Y1269),
AND(S1269&gt;0,MAX((0&lt;&gt;S$12:S1269)*ROW(S$12:S1269),ROW($S$12))&gt;=MAX((1=Z$12:Z1269)*ROW(Z$12:Z1269),ROW($T$12)),TYPE(VLOOKUP("Да",(INDIRECT("AA"&amp;(MAX((1=Z$12:Z1269)*ROW(Z$12:Z1269),ROW($T$12))&amp;":AA"&amp;(ROW()-1)))),1,0))=16),MIN(LOOKUP(,-1/($Z$12:Z1270=1),$C$12:C1270)+LOOKUP(,-1/($Z$12:Z1270=1),$H$12:H1270)-SUM(INDIRECT("T"&amp;(MAX((1=Z$12:Z1269)*ROW(Z$12:Z1269),ROW($T$12))&amp;":T"&amp;(ROW()-1)))),Первоначальный[[#This Row],[Полученный платеж]]+Y1269),
S1269&gt;0,MIN(LOOKUP(,-1/($Z$12:Z1270=1),$C$12:C1270)+LOOKUP(,-1/($Z$12:Z1270=1),$H$12:H1270)-IF(Z1269=1,0,SUM(INDIRECT("T"&amp;(MAX((1=Z$12:Z1269)*ROW(Z$12:Z1269)+1,ROW($T$12))&amp;":T"&amp;(ROW()-1))))),Первоначальный[[#This Row],[Полученный платеж]]+Y1269)
)
)
)</f>
        <v>0</v>
      </c>
      <c r="U127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платеж]]+Y1269-Первоначальный[[#This Row],[Полученный платёж по процентам]])</f>
        <v>0</v>
      </c>
      <c r="V1270" s="55">
        <f t="shared" ca="1" si="231"/>
        <v>0</v>
      </c>
      <c r="W1270" s="55" cm="1">
        <f t="array" aca="1" ref="W1270" ca="1">IF(Первоначальный[[#This Row],[Итого остаток на начало периода]]&lt;1,0,
_xlfn.IFS(
AND(TYPE(VLOOKUP(1,$Z$12:Z1270,1,0))=16,Первоначальный[[#This Row],[Досрочное погашение (да/"")]]=""),0,
AND(S1269=0,Первоначальный[[#This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платеж]]+Y1269-SUM(Первоначальный[[#This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комиссиям]]),VLOOKUP(LOOKUP(,-1/($Z$12:Z1270=1),$A$12:A1270),График[[Срок конец]:[Возврат основной суммы долга]],3,0)),
AND(S1269=0,Первоначальный[[#This Row],[Дата платежа из графика]]="",Первоначальный[[#This Row],[Досрочное погашение (да/"")]]&lt;&gt;"Да"),0,
AND(S1269=0,Первоначальный[[#This Row],[Досрочное погашение (да/"")]]=""),MIN(Первоначальный[[#This Row],[Полученный платеж]]+Y1269-SUM(Первоначальный[[#This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комиссиям]]),VLOOKUP(LOOKUP(,-1/($Z$12:Z1270=1),$A$12:A1270),График[[Срок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платеж]]+Y1269-SUM(Первоначальный[[#This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S1269&gt;0,MIN(Первоначальный[[#This Row],[Полученный платеж]]+Y1269-SUM(Первоначальный[[#This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комиссиям]]),SUM(INDIRECT("M"&amp;(MAX((1=S$12:S1269)*ROW(S$12:S1269),ROW($W$12))&amp;":M"&amp;(ROW()))))-SUM(INDIRECT("W"&amp;(MAX((1=S$12:S1269)*ROW(S$12:S1269),ROW($W$12))&amp;":W"&amp;(ROW()-1)))))
)
)</f>
        <v>0</v>
      </c>
      <c r="X1270" s="55">
        <f t="shared" ca="1" si="232"/>
        <v>0</v>
      </c>
      <c r="Y1270" s="101">
        <f t="shared" ca="1" si="239"/>
        <v>0</v>
      </c>
      <c r="Z1270" s="133" t="str">
        <f>IF(TYPE((VLOOKUP(Первоначальный[[#This Row],[Дата платежа]],График[Срок конец],1,0)))=16,"",1)</f>
        <v/>
      </c>
      <c r="AA1270" s="57"/>
      <c r="AB1270" s="134"/>
      <c r="AC127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7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91028.420000000173</v>
      </c>
      <c r="AE127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6504.2399999999852</v>
      </c>
      <c r="AF127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7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332642.91482295055</v>
      </c>
      <c r="AH1270" s="55"/>
      <c r="AI1270" s="55"/>
      <c r="AJ1270" s="55"/>
      <c r="AK1270" s="101">
        <f t="shared" ca="1" si="240"/>
        <v>579808.91482295073</v>
      </c>
      <c r="AL1270" s="129">
        <f t="array" ref="AL1270">MAX((УслРестрактов[Характеристика]="Дата реструктуризации")*(УслРестрактов[Значение]=Первоначальный!$A1270),0)</f>
        <v>0</v>
      </c>
    </row>
    <row r="1271" spans="1:38" x14ac:dyDescent="0.25">
      <c r="A1271" s="97">
        <f t="shared" si="233"/>
        <v>45402</v>
      </c>
      <c r="B1271" s="100">
        <f t="shared" ca="1" si="234"/>
        <v>149633.34</v>
      </c>
      <c r="C1271" s="55">
        <f t="shared" ca="1" si="230"/>
        <v>91028.420000000173</v>
      </c>
      <c r="D1271" s="55">
        <f t="shared" ca="1" si="230"/>
        <v>6504.2399999999852</v>
      </c>
      <c r="E1271" s="55">
        <f t="shared" ca="1" si="235"/>
        <v>0</v>
      </c>
      <c r="F1271" s="55">
        <f t="shared" ca="1" si="236"/>
        <v>332642.91482295055</v>
      </c>
      <c r="G1271" s="101">
        <f t="shared" ca="1" si="237"/>
        <v>579808.91482295073</v>
      </c>
      <c r="H1271" s="100">
        <f ca="1">ROUND($B1271*VLOOKUP($A1271,$A$1:$B$10,2,1)/(365+IF(MOD(YEAR($A1271),4),0,1)*($A1271-$A1270)),2)-Первоначальный[[#This Row],[Проценты на просроченный платеж по ОД за период]]</f>
        <v>69.05</v>
      </c>
      <c r="I1271" s="55">
        <f t="shared" ca="1" si="238"/>
        <v>12.31</v>
      </c>
      <c r="J1271" s="55">
        <v>0</v>
      </c>
      <c r="K1271" s="55">
        <f t="shared" ca="1" si="241"/>
        <v>564.84850327868844</v>
      </c>
      <c r="L1271" s="55">
        <v>0</v>
      </c>
      <c r="M1271" s="113">
        <f>SUMIFS(График[Возврат основной суммы долга],График[Дата с учетом нерабочих дней],$A1271)</f>
        <v>0</v>
      </c>
      <c r="N1271" s="56">
        <f>SUMIFS(График[Возврат начисленных %],График[Дата с учетом нерабочих дней],$A1271)</f>
        <v>0</v>
      </c>
      <c r="O1271" s="101">
        <v>0</v>
      </c>
      <c r="P1271" s="100" cm="1">
        <f t="array" aca="1" ref="P1271" ca="1">MAX(IF(AA1270="Да",0,SUM(INDIRECT("M"&amp;(MAX(("Да"=AA$12:AA1270)*ROW(AA$12:AA1270)+1,ROW($P$12))&amp;":M"&amp;(ROW()))))-SUM(INDIRECT("W"&amp;(MAX(("Да"=AA$12:AA1270)*ROW(AA$12:AA1270)+1,ROW($P$12))&amp;":W"&amp;(ROW()))))),0)</f>
        <v>22637.019999999997</v>
      </c>
      <c r="Q1271" s="99">
        <f ca="1">MAX(SUM($N$13:N1271)-SUM($T$13:T1271),0)</f>
        <v>90332.680655737684</v>
      </c>
      <c r="R1271" s="99">
        <f ca="1">Первоначальный[[#This Row],[Просроченный платеж по ОД]]+Первоначальный[[#This Row],[Просроченный платеж по процентам]]</f>
        <v>112969.70065573769</v>
      </c>
      <c r="S1271" s="120">
        <f ca="1">IF(Первоначальный[[#This Row],[Просроченный платеж]]&lt;1,0,S1270+1)</f>
        <v>1167</v>
      </c>
      <c r="T1271" s="100" cm="1">
        <f t="array" aca="1" ref="T1271" ca="1">IF(Первоначальный[[#This Row],[Итого остаток на начало периода]]&lt;1,0,
IF(
AND(TYPE(VLOOKUP(1,$Z$12:Z1271,1,0))=16,Первоначальный[[#This Row],[Досрочное погашение (да/"")]]=""),0,
_xlfn.IFS(AND(S1270=0,Первоначальный[[#This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платеж]]&lt;&gt;0),MIN(LOOKUP(,-1/($Z$12:Z1271=1),$C$12:C1271)+LOOKUP(,-1/($Z$12:Z1271=1),$H$12:H1271),Первоначальный[[#This Row],[Полученный платеж]]+Y1270),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платеж]]+Y1270,SUM(Первоначальный[[#This Row],[Остаток процентов на начало периода]],Первоначальный[[#This Row],[Проценты за период]])),
AND(S1270=0,Первоначальный[[#This Row],[Дата платежа из графика]]=""),0,
AND(S1270=0,Первоначальный[[#This Row],[Дата платежа из графика]]=1,MAX((0&lt;&gt;S$12:S1270)*ROW(S$12:S1270),ROW($S$12))&gt;=MAX((1=Z$12:Z1270)*ROW(Z$12:Z1270),ROW($T$12)),TYPE(VLOOKUP("Да",(INDIRECT("AA"&amp;(MAX((1=Z$12:Z1270)*ROW(Z$12:Z1270),ROW($T$12))&amp;":AA"&amp;(ROW()-1)))),1,0))=16),MIN(LOOKUP(,-1/($Z$12:Z1271=1),$C$12:C1271)+LOOKUP(,-1/($Z$12:Z1271=1),$H$12:H1271),Первоначальный[[#This Row],[Полученный платеж]]+Y1270),
AND(S1270=0,TYPE(VLOOKUP("Да",(INDIRECT("AA"&amp;(MAX((1=Z$12:Z1270)*ROW(Z$12:Z1270),ROW($T$12))&amp;":AA"&amp;(ROW()-1)))),1,0))&lt;&gt;16),MIN(LOOKUP(,-1/($Z$12:Z1271=1),$C$12:C1271)+LOOKUP(,-1/($Z$12:Z1271=1),$H$12:H1271)-IF(AA1270="Да",0,SUM(INDIRECT("T"&amp;(MAX(("Да"=AA$12:AA1270)*ROW(AA$12:AA1270)+1,ROW($T$12))&amp;":T"&amp;(ROW()-1))))),Первоначальный[[#This Row],[Полученный платеж]]+Y1270),
AND(S1270=0,MAX((0&lt;&gt;N$12:N1270)*ROW(N$12:N1270),ROW($S$12))&gt;=MAX((1=Z$12:Z1270)*ROW(Z$12:Z1270),ROW($T$12))),MIN(LOOKUP(,-1/($Z$12:Z1271=1),$C$12:C1271)+LOOKUP(,-1/($Z$12:Z1271=1),$H$12:H1271)-IF(N1270&lt;&gt;0,0,SUM(INDIRECT("T"&amp;(MAX((0&lt;&gt;N$12:N1270)*ROW(N$12:N1270)+1,ROW($T$12))&amp;":T"&amp;(ROW()-1))))),Первоначальный[[#This Row],[Полученный платеж]]+Y1270),
AND(S1270=0,Первоначальный[[#This Row],[Дата платежа из графика]]=1),MIN(LOOKUP(,-1/($Z$12:Z1271=1),$C$12:C1271)+LOOKUP(,-1/($Z$12:Z1271=1),$H$12:H1271)-IF(Z1270=1,0,SUM(INDIRECT("T"&amp;(MAX((1=Z$12:Z1270)*ROW(Z$12:Z1270)+1,ROW($T$12))&amp;":T"&amp;(ROW()-1))))),Первоначальный[[#This Row],[Полученный платеж]]+Y1270),
AND(Z1270&gt;0,Первоначальный[[#This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платеж]]+Y1270),
AND(S1270&gt;0,MAX((0&lt;&gt;S$12:S1270)*ROW(S$12:S1270),ROW($S$12))&gt;=MAX((1=Z$12:Z1270)*ROW(Z$12:Z1270),ROW($T$12)),TYPE(VLOOKUP("Да",(INDIRECT("AA"&amp;(MAX((1=Z$12:Z1270)*ROW(Z$12:Z1270),ROW($T$12))&amp;":AA"&amp;(ROW()-1)))),1,0))=16),MIN(LOOKUP(,-1/($Z$12:Z1271=1),$C$12:C1271)+LOOKUP(,-1/($Z$12:Z1271=1),$H$12:H1271)-SUM(INDIRECT("T"&amp;(MAX((1=Z$12:Z1270)*ROW(Z$12:Z1270),ROW($T$12))&amp;":T"&amp;(ROW()-1)))),Первоначальный[[#This Row],[Полученный платеж]]+Y1270),
S1270&gt;0,MIN(LOOKUP(,-1/($Z$12:Z1271=1),$C$12:C1271)+LOOKUP(,-1/($Z$12:Z1271=1),$H$12:H1271)-IF(Z1270=1,0,SUM(INDIRECT("T"&amp;(MAX((1=Z$12:Z1270)*ROW(Z$12:Z1270)+1,ROW($T$12))&amp;":T"&amp;(ROW()-1))))),Первоначальный[[#This Row],[Полученный платеж]]+Y1270)
)
)
)</f>
        <v>0</v>
      </c>
      <c r="U127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платеж]]+Y1270-Первоначальный[[#This Row],[Полученный платёж по процентам]])</f>
        <v>0</v>
      </c>
      <c r="V1271" s="55">
        <f t="shared" ca="1" si="231"/>
        <v>0</v>
      </c>
      <c r="W1271" s="55" cm="1">
        <f t="array" aca="1" ref="W1271" ca="1">IF(Первоначальный[[#This Row],[Итого остаток на начало периода]]&lt;1,0,
_xlfn.IFS(
AND(TYPE(VLOOKUP(1,$Z$12:Z1271,1,0))=16,Первоначальный[[#This Row],[Досрочное погашение (да/"")]]=""),0,
AND(S1270=0,Первоначальный[[#This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платеж]]+Y1270-SUM(Первоначальный[[#This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комиссиям]]),VLOOKUP(LOOKUP(,-1/($Z$12:Z1271=1),$A$12:A1271),График[[Срок конец]:[Возврат основной суммы долга]],3,0)),
AND(S1270=0,Первоначальный[[#This Row],[Дата платежа из графика]]="",Первоначальный[[#This Row],[Досрочное погашение (да/"")]]&lt;&gt;"Да"),0,
AND(S1270=0,Первоначальный[[#This Row],[Досрочное погашение (да/"")]]=""),MIN(Первоначальный[[#This Row],[Полученный платеж]]+Y1270-SUM(Первоначальный[[#This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комиссиям]]),VLOOKUP(LOOKUP(,-1/($Z$12:Z1271=1),$A$12:A1271),График[[Срок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платеж]]+Y1270-SUM(Первоначальный[[#This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S1270&gt;0,MIN(Первоначальный[[#This Row],[Полученный платеж]]+Y1270-SUM(Первоначальный[[#This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комиссиям]]),SUM(INDIRECT("M"&amp;(MAX((1=S$12:S1270)*ROW(S$12:S1270),ROW($W$12))&amp;":M"&amp;(ROW()))))-SUM(INDIRECT("W"&amp;(MAX((1=S$12:S1270)*ROW(S$12:S1270),ROW($W$12))&amp;":W"&amp;(ROW()-1)))))
)
)</f>
        <v>0</v>
      </c>
      <c r="X1271" s="55">
        <f t="shared" ca="1" si="232"/>
        <v>0</v>
      </c>
      <c r="Y1271" s="101">
        <f t="shared" ca="1" si="239"/>
        <v>0</v>
      </c>
      <c r="Z1271" s="133" t="str">
        <f>IF(TYPE((VLOOKUP(Первоначальный[[#This Row],[Дата платежа]],График[Срок конец],1,0)))=16,"",1)</f>
        <v/>
      </c>
      <c r="AA1271" s="57"/>
      <c r="AB1271" s="134"/>
      <c r="AC127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7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91097.470000000176</v>
      </c>
      <c r="AE127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6516.5499999999856</v>
      </c>
      <c r="AF127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7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333207.76332622924</v>
      </c>
      <c r="AH1271" s="55"/>
      <c r="AI1271" s="55"/>
      <c r="AJ1271" s="55"/>
      <c r="AK1271" s="101">
        <f t="shared" ca="1" si="240"/>
        <v>580455.1233262294</v>
      </c>
      <c r="AL1271" s="129">
        <f t="array" ref="AL1271">MAX((УслРестрактов[Характеристика]="Дата реструктуризации")*(УслРестрактов[Значение]=Первоначальный!$A1271),0)</f>
        <v>0</v>
      </c>
    </row>
    <row r="1272" spans="1:38" x14ac:dyDescent="0.25">
      <c r="A1272" s="97">
        <f t="shared" si="233"/>
        <v>45403</v>
      </c>
      <c r="B1272" s="100">
        <f t="shared" ca="1" si="234"/>
        <v>149633.34</v>
      </c>
      <c r="C1272" s="55">
        <f t="shared" ca="1" si="230"/>
        <v>91097.470000000176</v>
      </c>
      <c r="D1272" s="55">
        <f t="shared" ca="1" si="230"/>
        <v>6516.5499999999856</v>
      </c>
      <c r="E1272" s="55">
        <f t="shared" ca="1" si="235"/>
        <v>0</v>
      </c>
      <c r="F1272" s="55">
        <f t="shared" ca="1" si="236"/>
        <v>333207.76332622924</v>
      </c>
      <c r="G1272" s="101">
        <f t="shared" ca="1" si="237"/>
        <v>580455.1233262294</v>
      </c>
      <c r="H1272" s="100">
        <f ca="1">ROUND($B1272*VLOOKUP($A1272,$A$1:$B$10,2,1)/(365+IF(MOD(YEAR($A1272),4),0,1)*($A1272-$A1271)),2)-Первоначальный[[#This Row],[Проценты на просроченный платеж по ОД за период]]</f>
        <v>69.05</v>
      </c>
      <c r="I1272" s="55">
        <f t="shared" ca="1" si="238"/>
        <v>12.31</v>
      </c>
      <c r="J1272" s="55">
        <v>0</v>
      </c>
      <c r="K1272" s="55">
        <f t="shared" ca="1" si="241"/>
        <v>564.84850327868844</v>
      </c>
      <c r="L1272" s="55">
        <v>0</v>
      </c>
      <c r="M1272" s="113">
        <f>SUMIFS(График[Возврат основной суммы долга],График[Дата с учетом нерабочих дней],$A1272)</f>
        <v>0</v>
      </c>
      <c r="N1272" s="56">
        <f>SUMIFS(График[Возврат начисленных %],График[Дата с учетом нерабочих дней],$A1272)</f>
        <v>0</v>
      </c>
      <c r="O1272" s="101">
        <v>0</v>
      </c>
      <c r="P1272" s="100" cm="1">
        <f t="array" aca="1" ref="P1272" ca="1">MAX(IF(AA1271="Да",0,SUM(INDIRECT("M"&amp;(MAX(("Да"=AA$12:AA1271)*ROW(AA$12:AA1271)+1,ROW($P$12))&amp;":M"&amp;(ROW()))))-SUM(INDIRECT("W"&amp;(MAX(("Да"=AA$12:AA1271)*ROW(AA$12:AA1271)+1,ROW($P$12))&amp;":W"&amp;(ROW()))))),0)</f>
        <v>22637.019999999997</v>
      </c>
      <c r="Q1272" s="99">
        <f ca="1">MAX(SUM($N$13:N1272)-SUM($T$13:T1272),0)</f>
        <v>90332.680655737684</v>
      </c>
      <c r="R1272" s="99">
        <f ca="1">Первоначальный[[#This Row],[Просроченный платеж по ОД]]+Первоначальный[[#This Row],[Просроченный платеж по процентам]]</f>
        <v>112969.70065573769</v>
      </c>
      <c r="S1272" s="120">
        <f ca="1">IF(Первоначальный[[#This Row],[Просроченный платеж]]&lt;1,0,S1271+1)</f>
        <v>1168</v>
      </c>
      <c r="T1272" s="100" cm="1">
        <f t="array" aca="1" ref="T1272" ca="1">IF(Первоначальный[[#This Row],[Итого остаток на начало периода]]&lt;1,0,
IF(
AND(TYPE(VLOOKUP(1,$Z$12:Z1272,1,0))=16,Первоначальный[[#This Row],[Досрочное погашение (да/"")]]=""),0,
_xlfn.IFS(AND(S1271=0,Первоначальный[[#This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платеж]]&lt;&gt;0),MIN(LOOKUP(,-1/($Z$12:Z1272=1),$C$12:C1272)+LOOKUP(,-1/($Z$12:Z1272=1),$H$12:H1272),Первоначальный[[#This Row],[Полученный платеж]]+Y1271),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платеж]]+Y1271,SUM(Первоначальный[[#This Row],[Остаток процентов на начало периода]],Первоначальный[[#This Row],[Проценты за период]])),
AND(S1271=0,Первоначальный[[#This Row],[Дата платежа из графика]]=""),0,
AND(S1271=0,Первоначальный[[#This Row],[Дата платежа из графика]]=1,MAX((0&lt;&gt;S$12:S1271)*ROW(S$12:S1271),ROW($S$12))&gt;=MAX((1=Z$12:Z1271)*ROW(Z$12:Z1271),ROW($T$12)),TYPE(VLOOKUP("Да",(INDIRECT("AA"&amp;(MAX((1=Z$12:Z1271)*ROW(Z$12:Z1271),ROW($T$12))&amp;":AA"&amp;(ROW()-1)))),1,0))=16),MIN(LOOKUP(,-1/($Z$12:Z1272=1),$C$12:C1272)+LOOKUP(,-1/($Z$12:Z1272=1),$H$12:H1272),Первоначальный[[#This Row],[Полученный платеж]]+Y1271),
AND(S1271=0,TYPE(VLOOKUP("Да",(INDIRECT("AA"&amp;(MAX((1=Z$12:Z1271)*ROW(Z$12:Z1271),ROW($T$12))&amp;":AA"&amp;(ROW()-1)))),1,0))&lt;&gt;16),MIN(LOOKUP(,-1/($Z$12:Z1272=1),$C$12:C1272)+LOOKUP(,-1/($Z$12:Z1272=1),$H$12:H1272)-IF(AA1271="Да",0,SUM(INDIRECT("T"&amp;(MAX(("Да"=AA$12:AA1271)*ROW(AA$12:AA1271)+1,ROW($T$12))&amp;":T"&amp;(ROW()-1))))),Первоначальный[[#This Row],[Полученный платеж]]+Y1271),
AND(S1271=0,MAX((0&lt;&gt;N$12:N1271)*ROW(N$12:N1271),ROW($S$12))&gt;=MAX((1=Z$12:Z1271)*ROW(Z$12:Z1271),ROW($T$12))),MIN(LOOKUP(,-1/($Z$12:Z1272=1),$C$12:C1272)+LOOKUP(,-1/($Z$12:Z1272=1),$H$12:H1272)-IF(N1271&lt;&gt;0,0,SUM(INDIRECT("T"&amp;(MAX((0&lt;&gt;N$12:N1271)*ROW(N$12:N1271)+1,ROW($T$12))&amp;":T"&amp;(ROW()-1))))),Первоначальный[[#This Row],[Полученный платеж]]+Y1271),
AND(S1271=0,Первоначальный[[#This Row],[Дата платежа из графика]]=1),MIN(LOOKUP(,-1/($Z$12:Z1272=1),$C$12:C1272)+LOOKUP(,-1/($Z$12:Z1272=1),$H$12:H1272)-IF(Z1271=1,0,SUM(INDIRECT("T"&amp;(MAX((1=Z$12:Z1271)*ROW(Z$12:Z1271)+1,ROW($T$12))&amp;":T"&amp;(ROW()-1))))),Первоначальный[[#This Row],[Полученный платеж]]+Y1271),
AND(Z1271&gt;0,Первоначальный[[#This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платеж]]+Y1271),
AND(S1271&gt;0,MAX((0&lt;&gt;S$12:S1271)*ROW(S$12:S1271),ROW($S$12))&gt;=MAX((1=Z$12:Z1271)*ROW(Z$12:Z1271),ROW($T$12)),TYPE(VLOOKUP("Да",(INDIRECT("AA"&amp;(MAX((1=Z$12:Z1271)*ROW(Z$12:Z1271),ROW($T$12))&amp;":AA"&amp;(ROW()-1)))),1,0))=16),MIN(LOOKUP(,-1/($Z$12:Z1272=1),$C$12:C1272)+LOOKUP(,-1/($Z$12:Z1272=1),$H$12:H1272)-SUM(INDIRECT("T"&amp;(MAX((1=Z$12:Z1271)*ROW(Z$12:Z1271),ROW($T$12))&amp;":T"&amp;(ROW()-1)))),Первоначальный[[#This Row],[Полученный платеж]]+Y1271),
S1271&gt;0,MIN(LOOKUP(,-1/($Z$12:Z1272=1),$C$12:C1272)+LOOKUP(,-1/($Z$12:Z1272=1),$H$12:H1272)-IF(Z1271=1,0,SUM(INDIRECT("T"&amp;(MAX((1=Z$12:Z1271)*ROW(Z$12:Z1271)+1,ROW($T$12))&amp;":T"&amp;(ROW()-1))))),Первоначальный[[#This Row],[Полученный платеж]]+Y1271)
)
)
)</f>
        <v>0</v>
      </c>
      <c r="U127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платеж]]+Y1271-Первоначальный[[#This Row],[Полученный платёж по процентам]])</f>
        <v>0</v>
      </c>
      <c r="V1272" s="55">
        <f t="shared" ca="1" si="231"/>
        <v>0</v>
      </c>
      <c r="W1272" s="55" cm="1">
        <f t="array" aca="1" ref="W1272" ca="1">IF(Первоначальный[[#This Row],[Итого остаток на начало периода]]&lt;1,0,
_xlfn.IFS(
AND(TYPE(VLOOKUP(1,$Z$12:Z1272,1,0))=16,Первоначальный[[#This Row],[Досрочное погашение (да/"")]]=""),0,
AND(S1271=0,Первоначальный[[#This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платеж]]+Y1271-SUM(Первоначальный[[#This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комиссиям]]),VLOOKUP(LOOKUP(,-1/($Z$12:Z1272=1),$A$12:A1272),График[[Срок конец]:[Возврат основной суммы долга]],3,0)),
AND(S1271=0,Первоначальный[[#This Row],[Дата платежа из графика]]="",Первоначальный[[#This Row],[Досрочное погашение (да/"")]]&lt;&gt;"Да"),0,
AND(S1271=0,Первоначальный[[#This Row],[Досрочное погашение (да/"")]]=""),MIN(Первоначальный[[#This Row],[Полученный платеж]]+Y1271-SUM(Первоначальный[[#This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комиссиям]]),VLOOKUP(LOOKUP(,-1/($Z$12:Z1272=1),$A$12:A1272),График[[Срок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платеж]]+Y1271-SUM(Первоначальный[[#This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S1271&gt;0,MIN(Первоначальный[[#This Row],[Полученный платеж]]+Y1271-SUM(Первоначальный[[#This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комиссиям]]),SUM(INDIRECT("M"&amp;(MAX((1=S$12:S1271)*ROW(S$12:S1271),ROW($W$12))&amp;":M"&amp;(ROW()))))-SUM(INDIRECT("W"&amp;(MAX((1=S$12:S1271)*ROW(S$12:S1271),ROW($W$12))&amp;":W"&amp;(ROW()-1)))))
)
)</f>
        <v>0</v>
      </c>
      <c r="X1272" s="55">
        <f t="shared" ca="1" si="232"/>
        <v>0</v>
      </c>
      <c r="Y1272" s="101">
        <f t="shared" ca="1" si="239"/>
        <v>0</v>
      </c>
      <c r="Z1272" s="133" t="str">
        <f>IF(TYPE((VLOOKUP(Первоначальный[[#This Row],[Дата платежа]],График[Срок конец],1,0)))=16,"",1)</f>
        <v/>
      </c>
      <c r="AA1272" s="57"/>
      <c r="AB1272" s="134"/>
      <c r="AC127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7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91166.520000000179</v>
      </c>
      <c r="AE127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6528.859999999986</v>
      </c>
      <c r="AF127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7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333772.61182950792</v>
      </c>
      <c r="AH1272" s="55"/>
      <c r="AI1272" s="55"/>
      <c r="AJ1272" s="55"/>
      <c r="AK1272" s="101">
        <f t="shared" ca="1" si="240"/>
        <v>581101.33182950807</v>
      </c>
      <c r="AL1272" s="129">
        <f t="array" ref="AL1272">MAX((УслРестрактов[Характеристика]="Дата реструктуризации")*(УслРестрактов[Значение]=Первоначальный!$A1272),0)</f>
        <v>0</v>
      </c>
    </row>
    <row r="1273" spans="1:38" x14ac:dyDescent="0.25">
      <c r="A1273" s="97">
        <f t="shared" si="233"/>
        <v>45404</v>
      </c>
      <c r="B1273" s="100">
        <f t="shared" ca="1" si="234"/>
        <v>149633.34</v>
      </c>
      <c r="C1273" s="55">
        <f t="shared" ca="1" si="230"/>
        <v>91166.520000000179</v>
      </c>
      <c r="D1273" s="55">
        <f t="shared" ca="1" si="230"/>
        <v>6528.859999999986</v>
      </c>
      <c r="E1273" s="55">
        <f t="shared" ca="1" si="235"/>
        <v>0</v>
      </c>
      <c r="F1273" s="55">
        <f t="shared" ca="1" si="236"/>
        <v>333772.61182950792</v>
      </c>
      <c r="G1273" s="101">
        <f t="shared" ca="1" si="237"/>
        <v>581101.33182950807</v>
      </c>
      <c r="H1273" s="100">
        <f ca="1">ROUND($B1273*VLOOKUP($A1273,$A$1:$B$10,2,1)/(365+IF(MOD(YEAR($A1273),4),0,1)*($A1273-$A1272)),2)-Первоначальный[[#This Row],[Проценты на просроченный платеж по ОД за период]]</f>
        <v>69.05</v>
      </c>
      <c r="I1273" s="55">
        <f t="shared" ca="1" si="238"/>
        <v>12.31</v>
      </c>
      <c r="J1273" s="55">
        <v>0</v>
      </c>
      <c r="K1273" s="55">
        <f t="shared" ca="1" si="241"/>
        <v>564.84850327868844</v>
      </c>
      <c r="L1273" s="55">
        <v>0</v>
      </c>
      <c r="M1273" s="113">
        <f>SUMIFS(График[Возврат основной суммы долга],График[Дата с учетом нерабочих дней],$A1273)</f>
        <v>0</v>
      </c>
      <c r="N1273" s="56">
        <f>SUMIFS(График[Возврат начисленных %],График[Дата с учетом нерабочих дней],$A1273)</f>
        <v>0</v>
      </c>
      <c r="O1273" s="101">
        <v>0</v>
      </c>
      <c r="P1273" s="100" cm="1">
        <f t="array" aca="1" ref="P1273" ca="1">MAX(IF(AA1272="Да",0,SUM(INDIRECT("M"&amp;(MAX(("Да"=AA$12:AA1272)*ROW(AA$12:AA1272)+1,ROW($P$12))&amp;":M"&amp;(ROW()))))-SUM(INDIRECT("W"&amp;(MAX(("Да"=AA$12:AA1272)*ROW(AA$12:AA1272)+1,ROW($P$12))&amp;":W"&amp;(ROW()))))),0)</f>
        <v>22637.019999999997</v>
      </c>
      <c r="Q1273" s="99">
        <f ca="1">MAX(SUM($N$13:N1273)-SUM($T$13:T1273),0)</f>
        <v>90332.680655737684</v>
      </c>
      <c r="R1273" s="99">
        <f ca="1">Первоначальный[[#This Row],[Просроченный платеж по ОД]]+Первоначальный[[#This Row],[Просроченный платеж по процентам]]</f>
        <v>112969.70065573769</v>
      </c>
      <c r="S1273" s="120">
        <f ca="1">IF(Первоначальный[[#This Row],[Просроченный платеж]]&lt;1,0,S1272+1)</f>
        <v>1169</v>
      </c>
      <c r="T1273" s="100" cm="1">
        <f t="array" aca="1" ref="T1273" ca="1">IF(Первоначальный[[#This Row],[Итого остаток на начало периода]]&lt;1,0,
IF(
AND(TYPE(VLOOKUP(1,$Z$12:Z1273,1,0))=16,Первоначальный[[#This Row],[Досрочное погашение (да/"")]]=""),0,
_xlfn.IFS(AND(S1272=0,Первоначальный[[#This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платеж]]&lt;&gt;0),MIN(LOOKUP(,-1/($Z$12:Z1273=1),$C$12:C1273)+LOOKUP(,-1/($Z$12:Z1273=1),$H$12:H1273),Первоначальный[[#This Row],[Полученный платеж]]+Y1272),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платеж]]+Y1272,SUM(Первоначальный[[#This Row],[Остаток процентов на начало периода]],Первоначальный[[#This Row],[Проценты за период]])),
AND(S1272=0,Первоначальный[[#This Row],[Дата платежа из графика]]=""),0,
AND(S1272=0,Первоначальный[[#This Row],[Дата платежа из графика]]=1,MAX((0&lt;&gt;S$12:S1272)*ROW(S$12:S1272),ROW($S$12))&gt;=MAX((1=Z$12:Z1272)*ROW(Z$12:Z1272),ROW($T$12)),TYPE(VLOOKUP("Да",(INDIRECT("AA"&amp;(MAX((1=Z$12:Z1272)*ROW(Z$12:Z1272),ROW($T$12))&amp;":AA"&amp;(ROW()-1)))),1,0))=16),MIN(LOOKUP(,-1/($Z$12:Z1273=1),$C$12:C1273)+LOOKUP(,-1/($Z$12:Z1273=1),$H$12:H1273),Первоначальный[[#This Row],[Полученный платеж]]+Y1272),
AND(S1272=0,TYPE(VLOOKUP("Да",(INDIRECT("AA"&amp;(MAX((1=Z$12:Z1272)*ROW(Z$12:Z1272),ROW($T$12))&amp;":AA"&amp;(ROW()-1)))),1,0))&lt;&gt;16),MIN(LOOKUP(,-1/($Z$12:Z1273=1),$C$12:C1273)+LOOKUP(,-1/($Z$12:Z1273=1),$H$12:H1273)-IF(AA1272="Да",0,SUM(INDIRECT("T"&amp;(MAX(("Да"=AA$12:AA1272)*ROW(AA$12:AA1272)+1,ROW($T$12))&amp;":T"&amp;(ROW()-1))))),Первоначальный[[#This Row],[Полученный платеж]]+Y1272),
AND(S1272=0,MAX((0&lt;&gt;N$12:N1272)*ROW(N$12:N1272),ROW($S$12))&gt;=MAX((1=Z$12:Z1272)*ROW(Z$12:Z1272),ROW($T$12))),MIN(LOOKUP(,-1/($Z$12:Z1273=1),$C$12:C1273)+LOOKUP(,-1/($Z$12:Z1273=1),$H$12:H1273)-IF(N1272&lt;&gt;0,0,SUM(INDIRECT("T"&amp;(MAX((0&lt;&gt;N$12:N1272)*ROW(N$12:N1272)+1,ROW($T$12))&amp;":T"&amp;(ROW()-1))))),Первоначальный[[#This Row],[Полученный платеж]]+Y1272),
AND(S1272=0,Первоначальный[[#This Row],[Дата платежа из графика]]=1),MIN(LOOKUP(,-1/($Z$12:Z1273=1),$C$12:C1273)+LOOKUP(,-1/($Z$12:Z1273=1),$H$12:H1273)-IF(Z1272=1,0,SUM(INDIRECT("T"&amp;(MAX((1=Z$12:Z1272)*ROW(Z$12:Z1272)+1,ROW($T$12))&amp;":T"&amp;(ROW()-1))))),Первоначальный[[#This Row],[Полученный платеж]]+Y1272),
AND(Z1272&gt;0,Первоначальный[[#This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платеж]]+Y1272),
AND(S1272&gt;0,MAX((0&lt;&gt;S$12:S1272)*ROW(S$12:S1272),ROW($S$12))&gt;=MAX((1=Z$12:Z1272)*ROW(Z$12:Z1272),ROW($T$12)),TYPE(VLOOKUP("Да",(INDIRECT("AA"&amp;(MAX((1=Z$12:Z1272)*ROW(Z$12:Z1272),ROW($T$12))&amp;":AA"&amp;(ROW()-1)))),1,0))=16),MIN(LOOKUP(,-1/($Z$12:Z1273=1),$C$12:C1273)+LOOKUP(,-1/($Z$12:Z1273=1),$H$12:H1273)-SUM(INDIRECT("T"&amp;(MAX((1=Z$12:Z1272)*ROW(Z$12:Z1272),ROW($T$12))&amp;":T"&amp;(ROW()-1)))),Первоначальный[[#This Row],[Полученный платеж]]+Y1272),
S1272&gt;0,MIN(LOOKUP(,-1/($Z$12:Z1273=1),$C$12:C1273)+LOOKUP(,-1/($Z$12:Z1273=1),$H$12:H1273)-IF(Z1272=1,0,SUM(INDIRECT("T"&amp;(MAX((1=Z$12:Z1272)*ROW(Z$12:Z1272)+1,ROW($T$12))&amp;":T"&amp;(ROW()-1))))),Первоначальный[[#This Row],[Полученный платеж]]+Y1272)
)
)
)</f>
        <v>0</v>
      </c>
      <c r="U127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платеж]]+Y1272-Первоначальный[[#This Row],[Полученный платёж по процентам]])</f>
        <v>0</v>
      </c>
      <c r="V1273" s="55">
        <f t="shared" ca="1" si="231"/>
        <v>0</v>
      </c>
      <c r="W1273" s="55" cm="1">
        <f t="array" aca="1" ref="W1273" ca="1">IF(Первоначальный[[#This Row],[Итого остаток на начало периода]]&lt;1,0,
_xlfn.IFS(
AND(TYPE(VLOOKUP(1,$Z$12:Z1273,1,0))=16,Первоначальный[[#This Row],[Досрочное погашение (да/"")]]=""),0,
AND(S1272=0,Первоначальный[[#This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платеж]]+Y1272-SUM(Первоначальный[[#This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комиссиям]]),VLOOKUP(LOOKUP(,-1/($Z$12:Z1273=1),$A$12:A1273),График[[Срок конец]:[Возврат основной суммы долга]],3,0)),
AND(S1272=0,Первоначальный[[#This Row],[Дата платежа из графика]]="",Первоначальный[[#This Row],[Досрочное погашение (да/"")]]&lt;&gt;"Да"),0,
AND(S1272=0,Первоначальный[[#This Row],[Досрочное погашение (да/"")]]=""),MIN(Первоначальный[[#This Row],[Полученный платеж]]+Y1272-SUM(Первоначальный[[#This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комиссиям]]),VLOOKUP(LOOKUP(,-1/($Z$12:Z1273=1),$A$12:A1273),График[[Срок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платеж]]+Y1272-SUM(Первоначальный[[#This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S1272&gt;0,MIN(Первоначальный[[#This Row],[Полученный платеж]]+Y1272-SUM(Первоначальный[[#This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комиссиям]]),SUM(INDIRECT("M"&amp;(MAX((1=S$12:S1272)*ROW(S$12:S1272),ROW($W$12))&amp;":M"&amp;(ROW()))))-SUM(INDIRECT("W"&amp;(MAX((1=S$12:S1272)*ROW(S$12:S1272),ROW($W$12))&amp;":W"&amp;(ROW()-1)))))
)
)</f>
        <v>0</v>
      </c>
      <c r="X1273" s="55">
        <f t="shared" ca="1" si="232"/>
        <v>0</v>
      </c>
      <c r="Y1273" s="101">
        <f t="shared" ca="1" si="239"/>
        <v>0</v>
      </c>
      <c r="Z1273" s="133" t="str">
        <f>IF(TYPE((VLOOKUP(Первоначальный[[#This Row],[Дата платежа]],График[Срок конец],1,0)))=16,"",1)</f>
        <v/>
      </c>
      <c r="AA1273" s="57"/>
      <c r="AB1273" s="134"/>
      <c r="AC127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7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91235.570000000182</v>
      </c>
      <c r="AE127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6541.1699999999864</v>
      </c>
      <c r="AF127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7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334337.46033278661</v>
      </c>
      <c r="AH1273" s="55"/>
      <c r="AI1273" s="55"/>
      <c r="AJ1273" s="55"/>
      <c r="AK1273" s="101">
        <f t="shared" ca="1" si="240"/>
        <v>581747.54033278674</v>
      </c>
      <c r="AL1273" s="129">
        <f t="array" ref="AL1273">MAX((УслРестрактов[Характеристика]="Дата реструктуризации")*(УслРестрактов[Значение]=Первоначальный!$A1273),0)</f>
        <v>0</v>
      </c>
    </row>
    <row r="1274" spans="1:38" x14ac:dyDescent="0.25">
      <c r="A1274" s="97">
        <f t="shared" si="233"/>
        <v>45405</v>
      </c>
      <c r="B1274" s="100">
        <f t="shared" ca="1" si="234"/>
        <v>149633.34</v>
      </c>
      <c r="C1274" s="55">
        <f t="shared" ca="1" si="230"/>
        <v>91235.570000000182</v>
      </c>
      <c r="D1274" s="55">
        <f t="shared" ca="1" si="230"/>
        <v>6541.1699999999864</v>
      </c>
      <c r="E1274" s="55">
        <f t="shared" ca="1" si="235"/>
        <v>0</v>
      </c>
      <c r="F1274" s="55">
        <f t="shared" ca="1" si="236"/>
        <v>334337.46033278661</v>
      </c>
      <c r="G1274" s="101">
        <f t="shared" ca="1" si="237"/>
        <v>581747.54033278674</v>
      </c>
      <c r="H1274" s="100">
        <f ca="1">ROUND($B1274*VLOOKUP($A1274,$A$1:$B$10,2,1)/(365+IF(MOD(YEAR($A1274),4),0,1)*($A1274-$A1273)),2)-Первоначальный[[#This Row],[Проценты на просроченный платеж по ОД за период]]</f>
        <v>69.05</v>
      </c>
      <c r="I1274" s="55">
        <f t="shared" ca="1" si="238"/>
        <v>12.31</v>
      </c>
      <c r="J1274" s="55">
        <v>0</v>
      </c>
      <c r="K1274" s="55">
        <f t="shared" ca="1" si="241"/>
        <v>564.84850327868844</v>
      </c>
      <c r="L1274" s="55">
        <v>0</v>
      </c>
      <c r="M1274" s="113">
        <f>SUMIFS(График[Возврат основной суммы долга],График[Дата с учетом нерабочих дней],$A1274)</f>
        <v>0</v>
      </c>
      <c r="N1274" s="56">
        <f>SUMIFS(График[Возврат начисленных %],График[Дата с учетом нерабочих дней],$A1274)</f>
        <v>0</v>
      </c>
      <c r="O1274" s="101">
        <v>0</v>
      </c>
      <c r="P1274" s="100" cm="1">
        <f t="array" aca="1" ref="P1274" ca="1">MAX(IF(AA1273="Да",0,SUM(INDIRECT("M"&amp;(MAX(("Да"=AA$12:AA1273)*ROW(AA$12:AA1273)+1,ROW($P$12))&amp;":M"&amp;(ROW()))))-SUM(INDIRECT("W"&amp;(MAX(("Да"=AA$12:AA1273)*ROW(AA$12:AA1273)+1,ROW($P$12))&amp;":W"&amp;(ROW()))))),0)</f>
        <v>22637.019999999997</v>
      </c>
      <c r="Q1274" s="99">
        <f ca="1">MAX(SUM($N$13:N1274)-SUM($T$13:T1274),0)</f>
        <v>90332.680655737684</v>
      </c>
      <c r="R1274" s="99">
        <f ca="1">Первоначальный[[#This Row],[Просроченный платеж по ОД]]+Первоначальный[[#This Row],[Просроченный платеж по процентам]]</f>
        <v>112969.70065573769</v>
      </c>
      <c r="S1274" s="120">
        <f ca="1">IF(Первоначальный[[#This Row],[Просроченный платеж]]&lt;1,0,S1273+1)</f>
        <v>1170</v>
      </c>
      <c r="T1274" s="100" cm="1">
        <f t="array" aca="1" ref="T1274" ca="1">IF(Первоначальный[[#This Row],[Итого остаток на начало периода]]&lt;1,0,
IF(
AND(TYPE(VLOOKUP(1,$Z$12:Z1274,1,0))=16,Первоначальный[[#This Row],[Досрочное погашение (да/"")]]=""),0,
_xlfn.IFS(AND(S1273=0,Первоначальный[[#This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платеж]]&lt;&gt;0),MIN(LOOKUP(,-1/($Z$12:Z1274=1),$C$12:C1274)+LOOKUP(,-1/($Z$12:Z1274=1),$H$12:H1274),Первоначальный[[#This Row],[Полученный платеж]]+Y1273),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платеж]]+Y1273,SUM(Первоначальный[[#This Row],[Остаток процентов на начало периода]],Первоначальный[[#This Row],[Проценты за период]])),
AND(S1273=0,Первоначальный[[#This Row],[Дата платежа из графика]]=""),0,
AND(S1273=0,Первоначальный[[#This Row],[Дата платежа из графика]]=1,MAX((0&lt;&gt;S$12:S1273)*ROW(S$12:S1273),ROW($S$12))&gt;=MAX((1=Z$12:Z1273)*ROW(Z$12:Z1273),ROW($T$12)),TYPE(VLOOKUP("Да",(INDIRECT("AA"&amp;(MAX((1=Z$12:Z1273)*ROW(Z$12:Z1273),ROW($T$12))&amp;":AA"&amp;(ROW()-1)))),1,0))=16),MIN(LOOKUP(,-1/($Z$12:Z1274=1),$C$12:C1274)+LOOKUP(,-1/($Z$12:Z1274=1),$H$12:H1274),Первоначальный[[#This Row],[Полученный платеж]]+Y1273),
AND(S1273=0,TYPE(VLOOKUP("Да",(INDIRECT("AA"&amp;(MAX((1=Z$12:Z1273)*ROW(Z$12:Z1273),ROW($T$12))&amp;":AA"&amp;(ROW()-1)))),1,0))&lt;&gt;16),MIN(LOOKUP(,-1/($Z$12:Z1274=1),$C$12:C1274)+LOOKUP(,-1/($Z$12:Z1274=1),$H$12:H1274)-IF(AA1273="Да",0,SUM(INDIRECT("T"&amp;(MAX(("Да"=AA$12:AA1273)*ROW(AA$12:AA1273)+1,ROW($T$12))&amp;":T"&amp;(ROW()-1))))),Первоначальный[[#This Row],[Полученный платеж]]+Y1273),
AND(S1273=0,MAX((0&lt;&gt;N$12:N1273)*ROW(N$12:N1273),ROW($S$12))&gt;=MAX((1=Z$12:Z1273)*ROW(Z$12:Z1273),ROW($T$12))),MIN(LOOKUP(,-1/($Z$12:Z1274=1),$C$12:C1274)+LOOKUP(,-1/($Z$12:Z1274=1),$H$12:H1274)-IF(N1273&lt;&gt;0,0,SUM(INDIRECT("T"&amp;(MAX((0&lt;&gt;N$12:N1273)*ROW(N$12:N1273)+1,ROW($T$12))&amp;":T"&amp;(ROW()-1))))),Первоначальный[[#This Row],[Полученный платеж]]+Y1273),
AND(S1273=0,Первоначальный[[#This Row],[Дата платежа из графика]]=1),MIN(LOOKUP(,-1/($Z$12:Z1274=1),$C$12:C1274)+LOOKUP(,-1/($Z$12:Z1274=1),$H$12:H1274)-IF(Z1273=1,0,SUM(INDIRECT("T"&amp;(MAX((1=Z$12:Z1273)*ROW(Z$12:Z1273)+1,ROW($T$12))&amp;":T"&amp;(ROW()-1))))),Первоначальный[[#This Row],[Полученный платеж]]+Y1273),
AND(Z1273&gt;0,Первоначальный[[#This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платеж]]+Y1273),
AND(S1273&gt;0,MAX((0&lt;&gt;S$12:S1273)*ROW(S$12:S1273),ROW($S$12))&gt;=MAX((1=Z$12:Z1273)*ROW(Z$12:Z1273),ROW($T$12)),TYPE(VLOOKUP("Да",(INDIRECT("AA"&amp;(MAX((1=Z$12:Z1273)*ROW(Z$12:Z1273),ROW($T$12))&amp;":AA"&amp;(ROW()-1)))),1,0))=16),MIN(LOOKUP(,-1/($Z$12:Z1274=1),$C$12:C1274)+LOOKUP(,-1/($Z$12:Z1274=1),$H$12:H1274)-SUM(INDIRECT("T"&amp;(MAX((1=Z$12:Z1273)*ROW(Z$12:Z1273),ROW($T$12))&amp;":T"&amp;(ROW()-1)))),Первоначальный[[#This Row],[Полученный платеж]]+Y1273),
S1273&gt;0,MIN(LOOKUP(,-1/($Z$12:Z1274=1),$C$12:C1274)+LOOKUP(,-1/($Z$12:Z1274=1),$H$12:H1274)-IF(Z1273=1,0,SUM(INDIRECT("T"&amp;(MAX((1=Z$12:Z1273)*ROW(Z$12:Z1273)+1,ROW($T$12))&amp;":T"&amp;(ROW()-1))))),Первоначальный[[#This Row],[Полученный платеж]]+Y1273)
)
)
)</f>
        <v>0</v>
      </c>
      <c r="U127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платеж]]+Y1273-Первоначальный[[#This Row],[Полученный платёж по процентам]])</f>
        <v>0</v>
      </c>
      <c r="V1274" s="55">
        <f t="shared" ca="1" si="231"/>
        <v>0</v>
      </c>
      <c r="W1274" s="55" cm="1">
        <f t="array" aca="1" ref="W1274" ca="1">IF(Первоначальный[[#This Row],[Итого остаток на начало периода]]&lt;1,0,
_xlfn.IFS(
AND(TYPE(VLOOKUP(1,$Z$12:Z1274,1,0))=16,Первоначальный[[#This Row],[Досрочное погашение (да/"")]]=""),0,
AND(S1273=0,Первоначальный[[#This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платеж]]+Y1273-SUM(Первоначальный[[#This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комиссиям]]),VLOOKUP(LOOKUP(,-1/($Z$12:Z1274=1),$A$12:A1274),График[[Срок конец]:[Возврат основной суммы долга]],3,0)),
AND(S1273=0,Первоначальный[[#This Row],[Дата платежа из графика]]="",Первоначальный[[#This Row],[Досрочное погашение (да/"")]]&lt;&gt;"Да"),0,
AND(S1273=0,Первоначальный[[#This Row],[Досрочное погашение (да/"")]]=""),MIN(Первоначальный[[#This Row],[Полученный платеж]]+Y1273-SUM(Первоначальный[[#This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комиссиям]]),VLOOKUP(LOOKUP(,-1/($Z$12:Z1274=1),$A$12:A1274),График[[Срок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платеж]]+Y1273-SUM(Первоначальный[[#This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S1273&gt;0,MIN(Первоначальный[[#This Row],[Полученный платеж]]+Y1273-SUM(Первоначальный[[#This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комиссиям]]),SUM(INDIRECT("M"&amp;(MAX((1=S$12:S1273)*ROW(S$12:S1273),ROW($W$12))&amp;":M"&amp;(ROW()))))-SUM(INDIRECT("W"&amp;(MAX((1=S$12:S1273)*ROW(S$12:S1273),ROW($W$12))&amp;":W"&amp;(ROW()-1)))))
)
)</f>
        <v>0</v>
      </c>
      <c r="X1274" s="55">
        <f t="shared" ca="1" si="232"/>
        <v>0</v>
      </c>
      <c r="Y1274" s="101">
        <f t="shared" ca="1" si="239"/>
        <v>0</v>
      </c>
      <c r="Z1274" s="133" t="str">
        <f>IF(TYPE((VLOOKUP(Первоначальный[[#This Row],[Дата платежа]],График[Срок конец],1,0)))=16,"",1)</f>
        <v/>
      </c>
      <c r="AA1274" s="57"/>
      <c r="AB1274" s="134"/>
      <c r="AC127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7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91304.620000000185</v>
      </c>
      <c r="AE127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6553.4799999999868</v>
      </c>
      <c r="AF127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7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334902.30883606529</v>
      </c>
      <c r="AH1274" s="55"/>
      <c r="AI1274" s="55"/>
      <c r="AJ1274" s="55"/>
      <c r="AK1274" s="101">
        <f t="shared" ca="1" si="240"/>
        <v>582393.74883606541</v>
      </c>
      <c r="AL1274" s="129">
        <f t="array" ref="AL1274">MAX((УслРестрактов[Характеристика]="Дата реструктуризации")*(УслРестрактов[Значение]=Первоначальный!$A1274),0)</f>
        <v>0</v>
      </c>
    </row>
    <row r="1275" spans="1:38" x14ac:dyDescent="0.25">
      <c r="A1275" s="97">
        <f t="shared" si="233"/>
        <v>45406</v>
      </c>
      <c r="B1275" s="100">
        <f t="shared" ca="1" si="234"/>
        <v>149633.34</v>
      </c>
      <c r="C1275" s="55">
        <f t="shared" ca="1" si="230"/>
        <v>91304.620000000185</v>
      </c>
      <c r="D1275" s="55">
        <f t="shared" ca="1" si="230"/>
        <v>6553.4799999999868</v>
      </c>
      <c r="E1275" s="55">
        <f t="shared" ca="1" si="235"/>
        <v>0</v>
      </c>
      <c r="F1275" s="55">
        <f t="shared" ca="1" si="236"/>
        <v>334902.30883606529</v>
      </c>
      <c r="G1275" s="101">
        <f t="shared" ca="1" si="237"/>
        <v>582393.74883606541</v>
      </c>
      <c r="H1275" s="100">
        <f ca="1">ROUND($B1275*VLOOKUP($A1275,$A$1:$B$10,2,1)/(365+IF(MOD(YEAR($A1275),4),0,1)*($A1275-$A1274)),2)-Первоначальный[[#This Row],[Проценты на просроченный платеж по ОД за период]]</f>
        <v>69.05</v>
      </c>
      <c r="I1275" s="55">
        <f t="shared" ca="1" si="238"/>
        <v>12.31</v>
      </c>
      <c r="J1275" s="55">
        <v>0</v>
      </c>
      <c r="K1275" s="55">
        <f t="shared" ca="1" si="241"/>
        <v>564.84850327868844</v>
      </c>
      <c r="L1275" s="55">
        <v>0</v>
      </c>
      <c r="M1275" s="113">
        <f>SUMIFS(График[Возврат основной суммы долга],График[Дата с учетом нерабочих дней],$A1275)</f>
        <v>0</v>
      </c>
      <c r="N1275" s="56">
        <f>SUMIFS(График[Возврат начисленных %],График[Дата с учетом нерабочих дней],$A1275)</f>
        <v>0</v>
      </c>
      <c r="O1275" s="101">
        <v>0</v>
      </c>
      <c r="P1275" s="100" cm="1">
        <f t="array" aca="1" ref="P1275" ca="1">MAX(IF(AA1274="Да",0,SUM(INDIRECT("M"&amp;(MAX(("Да"=AA$12:AA1274)*ROW(AA$12:AA1274)+1,ROW($P$12))&amp;":M"&amp;(ROW()))))-SUM(INDIRECT("W"&amp;(MAX(("Да"=AA$12:AA1274)*ROW(AA$12:AA1274)+1,ROW($P$12))&amp;":W"&amp;(ROW()))))),0)</f>
        <v>22637.019999999997</v>
      </c>
      <c r="Q1275" s="99">
        <f ca="1">MAX(SUM($N$13:N1275)-SUM($T$13:T1275),0)</f>
        <v>90332.680655737684</v>
      </c>
      <c r="R1275" s="99">
        <f ca="1">Первоначальный[[#This Row],[Просроченный платеж по ОД]]+Первоначальный[[#This Row],[Просроченный платеж по процентам]]</f>
        <v>112969.70065573769</v>
      </c>
      <c r="S1275" s="120">
        <f ca="1">IF(Первоначальный[[#This Row],[Просроченный платеж]]&lt;1,0,S1274+1)</f>
        <v>1171</v>
      </c>
      <c r="T1275" s="100" cm="1">
        <f t="array" aca="1" ref="T1275" ca="1">IF(Первоначальный[[#This Row],[Итого остаток на начало периода]]&lt;1,0,
IF(
AND(TYPE(VLOOKUP(1,$Z$12:Z1275,1,0))=16,Первоначальный[[#This Row],[Досрочное погашение (да/"")]]=""),0,
_xlfn.IFS(AND(S1274=0,Первоначальный[[#This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платеж]]&lt;&gt;0),MIN(LOOKUP(,-1/($Z$12:Z1275=1),$C$12:C1275)+LOOKUP(,-1/($Z$12:Z1275=1),$H$12:H1275),Первоначальный[[#This Row],[Полученный платеж]]+Y1274),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платеж]]+Y1274,SUM(Первоначальный[[#This Row],[Остаток процентов на начало периода]],Первоначальный[[#This Row],[Проценты за период]])),
AND(S1274=0,Первоначальный[[#This Row],[Дата платежа из графика]]=""),0,
AND(S1274=0,Первоначальный[[#This Row],[Дата платежа из графика]]=1,MAX((0&lt;&gt;S$12:S1274)*ROW(S$12:S1274),ROW($S$12))&gt;=MAX((1=Z$12:Z1274)*ROW(Z$12:Z1274),ROW($T$12)),TYPE(VLOOKUP("Да",(INDIRECT("AA"&amp;(MAX((1=Z$12:Z1274)*ROW(Z$12:Z1274),ROW($T$12))&amp;":AA"&amp;(ROW()-1)))),1,0))=16),MIN(LOOKUP(,-1/($Z$12:Z1275=1),$C$12:C1275)+LOOKUP(,-1/($Z$12:Z1275=1),$H$12:H1275),Первоначальный[[#This Row],[Полученный платеж]]+Y1274),
AND(S1274=0,TYPE(VLOOKUP("Да",(INDIRECT("AA"&amp;(MAX((1=Z$12:Z1274)*ROW(Z$12:Z1274),ROW($T$12))&amp;":AA"&amp;(ROW()-1)))),1,0))&lt;&gt;16),MIN(LOOKUP(,-1/($Z$12:Z1275=1),$C$12:C1275)+LOOKUP(,-1/($Z$12:Z1275=1),$H$12:H1275)-IF(AA1274="Да",0,SUM(INDIRECT("T"&amp;(MAX(("Да"=AA$12:AA1274)*ROW(AA$12:AA1274)+1,ROW($T$12))&amp;":T"&amp;(ROW()-1))))),Первоначальный[[#This Row],[Полученный платеж]]+Y1274),
AND(S1274=0,MAX((0&lt;&gt;N$12:N1274)*ROW(N$12:N1274),ROW($S$12))&gt;=MAX((1=Z$12:Z1274)*ROW(Z$12:Z1274),ROW($T$12))),MIN(LOOKUP(,-1/($Z$12:Z1275=1),$C$12:C1275)+LOOKUP(,-1/($Z$12:Z1275=1),$H$12:H1275)-IF(N1274&lt;&gt;0,0,SUM(INDIRECT("T"&amp;(MAX((0&lt;&gt;N$12:N1274)*ROW(N$12:N1274)+1,ROW($T$12))&amp;":T"&amp;(ROW()-1))))),Первоначальный[[#This Row],[Полученный платеж]]+Y1274),
AND(S1274=0,Первоначальный[[#This Row],[Дата платежа из графика]]=1),MIN(LOOKUP(,-1/($Z$12:Z1275=1),$C$12:C1275)+LOOKUP(,-1/($Z$12:Z1275=1),$H$12:H1275)-IF(Z1274=1,0,SUM(INDIRECT("T"&amp;(MAX((1=Z$12:Z1274)*ROW(Z$12:Z1274)+1,ROW($T$12))&amp;":T"&amp;(ROW()-1))))),Первоначальный[[#This Row],[Полученный платеж]]+Y1274),
AND(Z1274&gt;0,Первоначальный[[#This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платеж]]+Y1274),
AND(S1274&gt;0,MAX((0&lt;&gt;S$12:S1274)*ROW(S$12:S1274),ROW($S$12))&gt;=MAX((1=Z$12:Z1274)*ROW(Z$12:Z1274),ROW($T$12)),TYPE(VLOOKUP("Да",(INDIRECT("AA"&amp;(MAX((1=Z$12:Z1274)*ROW(Z$12:Z1274),ROW($T$12))&amp;":AA"&amp;(ROW()-1)))),1,0))=16),MIN(LOOKUP(,-1/($Z$12:Z1275=1),$C$12:C1275)+LOOKUP(,-1/($Z$12:Z1275=1),$H$12:H1275)-SUM(INDIRECT("T"&amp;(MAX((1=Z$12:Z1274)*ROW(Z$12:Z1274),ROW($T$12))&amp;":T"&amp;(ROW()-1)))),Первоначальный[[#This Row],[Полученный платеж]]+Y1274),
S1274&gt;0,MIN(LOOKUP(,-1/($Z$12:Z1275=1),$C$12:C1275)+LOOKUP(,-1/($Z$12:Z1275=1),$H$12:H1275)-IF(Z1274=1,0,SUM(INDIRECT("T"&amp;(MAX((1=Z$12:Z1274)*ROW(Z$12:Z1274)+1,ROW($T$12))&amp;":T"&amp;(ROW()-1))))),Первоначальный[[#This Row],[Полученный платеж]]+Y1274)
)
)
)</f>
        <v>0</v>
      </c>
      <c r="U127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платеж]]+Y1274-Первоначальный[[#This Row],[Полученный платёж по процентам]])</f>
        <v>0</v>
      </c>
      <c r="V1275" s="55">
        <f t="shared" ca="1" si="231"/>
        <v>0</v>
      </c>
      <c r="W1275" s="55" cm="1">
        <f t="array" aca="1" ref="W1275" ca="1">IF(Первоначальный[[#This Row],[Итого остаток на начало периода]]&lt;1,0,
_xlfn.IFS(
AND(TYPE(VLOOKUP(1,$Z$12:Z1275,1,0))=16,Первоначальный[[#This Row],[Досрочное погашение (да/"")]]=""),0,
AND(S1274=0,Первоначальный[[#This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платеж]]+Y1274-SUM(Первоначальный[[#This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комиссиям]]),VLOOKUP(LOOKUP(,-1/($Z$12:Z1275=1),$A$12:A1275),График[[Срок конец]:[Возврат основной суммы долга]],3,0)),
AND(S1274=0,Первоначальный[[#This Row],[Дата платежа из графика]]="",Первоначальный[[#This Row],[Досрочное погашение (да/"")]]&lt;&gt;"Да"),0,
AND(S1274=0,Первоначальный[[#This Row],[Досрочное погашение (да/"")]]=""),MIN(Первоначальный[[#This Row],[Полученный платеж]]+Y1274-SUM(Первоначальный[[#This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комиссиям]]),VLOOKUP(LOOKUP(,-1/($Z$12:Z1275=1),$A$12:A1275),График[[Срок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платеж]]+Y1274-SUM(Первоначальный[[#This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S1274&gt;0,MIN(Первоначальный[[#This Row],[Полученный платеж]]+Y1274-SUM(Первоначальный[[#This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комиссиям]]),SUM(INDIRECT("M"&amp;(MAX((1=S$12:S1274)*ROW(S$12:S1274),ROW($W$12))&amp;":M"&amp;(ROW()))))-SUM(INDIRECT("W"&amp;(MAX((1=S$12:S1274)*ROW(S$12:S1274),ROW($W$12))&amp;":W"&amp;(ROW()-1)))))
)
)</f>
        <v>0</v>
      </c>
      <c r="X1275" s="55">
        <f t="shared" ca="1" si="232"/>
        <v>0</v>
      </c>
      <c r="Y1275" s="101">
        <f t="shared" ca="1" si="239"/>
        <v>0</v>
      </c>
      <c r="Z1275" s="133" t="str">
        <f>IF(TYPE((VLOOKUP(Первоначальный[[#This Row],[Дата платежа]],График[Срок конец],1,0)))=16,"",1)</f>
        <v/>
      </c>
      <c r="AA1275" s="57"/>
      <c r="AB1275" s="134"/>
      <c r="AC127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7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91373.670000000187</v>
      </c>
      <c r="AE127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6565.7899999999872</v>
      </c>
      <c r="AF127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7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335467.15733934398</v>
      </c>
      <c r="AH1275" s="55"/>
      <c r="AI1275" s="55"/>
      <c r="AJ1275" s="55"/>
      <c r="AK1275" s="101">
        <f t="shared" ca="1" si="240"/>
        <v>583039.95733934408</v>
      </c>
      <c r="AL1275" s="129">
        <f t="array" ref="AL1275">MAX((УслРестрактов[Характеристика]="Дата реструктуризации")*(УслРестрактов[Значение]=Первоначальный!$A1275),0)</f>
        <v>0</v>
      </c>
    </row>
    <row r="1276" spans="1:38" x14ac:dyDescent="0.25">
      <c r="A1276" s="97">
        <f t="shared" si="233"/>
        <v>45407</v>
      </c>
      <c r="B1276" s="100">
        <f t="shared" ca="1" si="234"/>
        <v>149633.34</v>
      </c>
      <c r="C1276" s="55">
        <f t="shared" ca="1" si="230"/>
        <v>91373.670000000187</v>
      </c>
      <c r="D1276" s="55">
        <f t="shared" ca="1" si="230"/>
        <v>6565.7899999999872</v>
      </c>
      <c r="E1276" s="55">
        <f t="shared" ca="1" si="235"/>
        <v>0</v>
      </c>
      <c r="F1276" s="55">
        <f t="shared" ca="1" si="236"/>
        <v>335467.15733934398</v>
      </c>
      <c r="G1276" s="101">
        <f t="shared" ca="1" si="237"/>
        <v>583039.95733934408</v>
      </c>
      <c r="H1276" s="100">
        <f ca="1">ROUND($B1276*VLOOKUP($A1276,$A$1:$B$10,2,1)/(365+IF(MOD(YEAR($A1276),4),0,1)*($A1276-$A1275)),2)-Первоначальный[[#This Row],[Проценты на просроченный платеж по ОД за период]]</f>
        <v>69.05</v>
      </c>
      <c r="I1276" s="55">
        <f t="shared" ca="1" si="238"/>
        <v>12.31</v>
      </c>
      <c r="J1276" s="55">
        <v>0</v>
      </c>
      <c r="K1276" s="55">
        <f t="shared" ca="1" si="241"/>
        <v>564.84850327868844</v>
      </c>
      <c r="L1276" s="55">
        <v>0</v>
      </c>
      <c r="M1276" s="113">
        <f>SUMIFS(График[Возврат основной суммы долга],График[Дата с учетом нерабочих дней],$A1276)</f>
        <v>0</v>
      </c>
      <c r="N1276" s="56">
        <f>SUMIFS(График[Возврат начисленных %],График[Дата с учетом нерабочих дней],$A1276)</f>
        <v>0</v>
      </c>
      <c r="O1276" s="101">
        <v>0</v>
      </c>
      <c r="P1276" s="100" cm="1">
        <f t="array" aca="1" ref="P1276" ca="1">MAX(IF(AA1275="Да",0,SUM(INDIRECT("M"&amp;(MAX(("Да"=AA$12:AA1275)*ROW(AA$12:AA1275)+1,ROW($P$12))&amp;":M"&amp;(ROW()))))-SUM(INDIRECT("W"&amp;(MAX(("Да"=AA$12:AA1275)*ROW(AA$12:AA1275)+1,ROW($P$12))&amp;":W"&amp;(ROW()))))),0)</f>
        <v>22637.019999999997</v>
      </c>
      <c r="Q1276" s="99">
        <f ca="1">MAX(SUM($N$13:N1276)-SUM($T$13:T1276),0)</f>
        <v>90332.680655737684</v>
      </c>
      <c r="R1276" s="99">
        <f ca="1">Первоначальный[[#This Row],[Просроченный платеж по ОД]]+Первоначальный[[#This Row],[Просроченный платеж по процентам]]</f>
        <v>112969.70065573769</v>
      </c>
      <c r="S1276" s="120">
        <f ca="1">IF(Первоначальный[[#This Row],[Просроченный платеж]]&lt;1,0,S1275+1)</f>
        <v>1172</v>
      </c>
      <c r="T1276" s="100" cm="1">
        <f t="array" aca="1" ref="T1276" ca="1">IF(Первоначальный[[#This Row],[Итого остаток на начало периода]]&lt;1,0,
IF(
AND(TYPE(VLOOKUP(1,$Z$12:Z1276,1,0))=16,Первоначальный[[#This Row],[Досрочное погашение (да/"")]]=""),0,
_xlfn.IFS(AND(S1275=0,Первоначальный[[#This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платеж]]&lt;&gt;0),MIN(LOOKUP(,-1/($Z$12:Z1276=1),$C$12:C1276)+LOOKUP(,-1/($Z$12:Z1276=1),$H$12:H1276),Первоначальный[[#This Row],[Полученный платеж]]+Y1275),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платеж]]+Y1275,SUM(Первоначальный[[#This Row],[Остаток процентов на начало периода]],Первоначальный[[#This Row],[Проценты за период]])),
AND(S1275=0,Первоначальный[[#This Row],[Дата платежа из графика]]=""),0,
AND(S1275=0,Первоначальный[[#This Row],[Дата платежа из графика]]=1,MAX((0&lt;&gt;S$12:S1275)*ROW(S$12:S1275),ROW($S$12))&gt;=MAX((1=Z$12:Z1275)*ROW(Z$12:Z1275),ROW($T$12)),TYPE(VLOOKUP("Да",(INDIRECT("AA"&amp;(MAX((1=Z$12:Z1275)*ROW(Z$12:Z1275),ROW($T$12))&amp;":AA"&amp;(ROW()-1)))),1,0))=16),MIN(LOOKUP(,-1/($Z$12:Z1276=1),$C$12:C1276)+LOOKUP(,-1/($Z$12:Z1276=1),$H$12:H1276),Первоначальный[[#This Row],[Полученный платеж]]+Y1275),
AND(S1275=0,TYPE(VLOOKUP("Да",(INDIRECT("AA"&amp;(MAX((1=Z$12:Z1275)*ROW(Z$12:Z1275),ROW($T$12))&amp;":AA"&amp;(ROW()-1)))),1,0))&lt;&gt;16),MIN(LOOKUP(,-1/($Z$12:Z1276=1),$C$12:C1276)+LOOKUP(,-1/($Z$12:Z1276=1),$H$12:H1276)-IF(AA1275="Да",0,SUM(INDIRECT("T"&amp;(MAX(("Да"=AA$12:AA1275)*ROW(AA$12:AA1275)+1,ROW($T$12))&amp;":T"&amp;(ROW()-1))))),Первоначальный[[#This Row],[Полученный платеж]]+Y1275),
AND(S1275=0,MAX((0&lt;&gt;N$12:N1275)*ROW(N$12:N1275),ROW($S$12))&gt;=MAX((1=Z$12:Z1275)*ROW(Z$12:Z1275),ROW($T$12))),MIN(LOOKUP(,-1/($Z$12:Z1276=1),$C$12:C1276)+LOOKUP(,-1/($Z$12:Z1276=1),$H$12:H1276)-IF(N1275&lt;&gt;0,0,SUM(INDIRECT("T"&amp;(MAX((0&lt;&gt;N$12:N1275)*ROW(N$12:N1275)+1,ROW($T$12))&amp;":T"&amp;(ROW()-1))))),Первоначальный[[#This Row],[Полученный платеж]]+Y1275),
AND(S1275=0,Первоначальный[[#This Row],[Дата платежа из графика]]=1),MIN(LOOKUP(,-1/($Z$12:Z1276=1),$C$12:C1276)+LOOKUP(,-1/($Z$12:Z1276=1),$H$12:H1276)-IF(Z1275=1,0,SUM(INDIRECT("T"&amp;(MAX((1=Z$12:Z1275)*ROW(Z$12:Z1275)+1,ROW($T$12))&amp;":T"&amp;(ROW()-1))))),Первоначальный[[#This Row],[Полученный платеж]]+Y1275),
AND(Z1275&gt;0,Первоначальный[[#This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платеж]]+Y1275),
AND(S1275&gt;0,MAX((0&lt;&gt;S$12:S1275)*ROW(S$12:S1275),ROW($S$12))&gt;=MAX((1=Z$12:Z1275)*ROW(Z$12:Z1275),ROW($T$12)),TYPE(VLOOKUP("Да",(INDIRECT("AA"&amp;(MAX((1=Z$12:Z1275)*ROW(Z$12:Z1275),ROW($T$12))&amp;":AA"&amp;(ROW()-1)))),1,0))=16),MIN(LOOKUP(,-1/($Z$12:Z1276=1),$C$12:C1276)+LOOKUP(,-1/($Z$12:Z1276=1),$H$12:H1276)-SUM(INDIRECT("T"&amp;(MAX((1=Z$12:Z1275)*ROW(Z$12:Z1275),ROW($T$12))&amp;":T"&amp;(ROW()-1)))),Первоначальный[[#This Row],[Полученный платеж]]+Y1275),
S1275&gt;0,MIN(LOOKUP(,-1/($Z$12:Z1276=1),$C$12:C1276)+LOOKUP(,-1/($Z$12:Z1276=1),$H$12:H1276)-IF(Z1275=1,0,SUM(INDIRECT("T"&amp;(MAX((1=Z$12:Z1275)*ROW(Z$12:Z1275)+1,ROW($T$12))&amp;":T"&amp;(ROW()-1))))),Первоначальный[[#This Row],[Полученный платеж]]+Y1275)
)
)
)</f>
        <v>0</v>
      </c>
      <c r="U127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платеж]]+Y1275-Первоначальный[[#This Row],[Полученный платёж по процентам]])</f>
        <v>0</v>
      </c>
      <c r="V1276" s="55">
        <f t="shared" ca="1" si="231"/>
        <v>0</v>
      </c>
      <c r="W1276" s="55" cm="1">
        <f t="array" aca="1" ref="W1276" ca="1">IF(Первоначальный[[#This Row],[Итого остаток на начало периода]]&lt;1,0,
_xlfn.IFS(
AND(TYPE(VLOOKUP(1,$Z$12:Z1276,1,0))=16,Первоначальный[[#This Row],[Досрочное погашение (да/"")]]=""),0,
AND(S1275=0,Первоначальный[[#This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платеж]]+Y1275-SUM(Первоначальный[[#This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комиссиям]]),VLOOKUP(LOOKUP(,-1/($Z$12:Z1276=1),$A$12:A1276),График[[Срок конец]:[Возврат основной суммы долга]],3,0)),
AND(S1275=0,Первоначальный[[#This Row],[Дата платежа из графика]]="",Первоначальный[[#This Row],[Досрочное погашение (да/"")]]&lt;&gt;"Да"),0,
AND(S1275=0,Первоначальный[[#This Row],[Досрочное погашение (да/"")]]=""),MIN(Первоначальный[[#This Row],[Полученный платеж]]+Y1275-SUM(Первоначальный[[#This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комиссиям]]),VLOOKUP(LOOKUP(,-1/($Z$12:Z1276=1),$A$12:A1276),График[[Срок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платеж]]+Y1275-SUM(Первоначальный[[#This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S1275&gt;0,MIN(Первоначальный[[#This Row],[Полученный платеж]]+Y1275-SUM(Первоначальный[[#This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комиссиям]]),SUM(INDIRECT("M"&amp;(MAX((1=S$12:S1275)*ROW(S$12:S1275),ROW($W$12))&amp;":M"&amp;(ROW()))))-SUM(INDIRECT("W"&amp;(MAX((1=S$12:S1275)*ROW(S$12:S1275),ROW($W$12))&amp;":W"&amp;(ROW()-1)))))
)
)</f>
        <v>0</v>
      </c>
      <c r="X1276" s="55">
        <f t="shared" ca="1" si="232"/>
        <v>0</v>
      </c>
      <c r="Y1276" s="101">
        <f t="shared" ca="1" si="239"/>
        <v>0</v>
      </c>
      <c r="Z1276" s="133" t="str">
        <f>IF(TYPE((VLOOKUP(Первоначальный[[#This Row],[Дата платежа]],График[Срок конец],1,0)))=16,"",1)</f>
        <v/>
      </c>
      <c r="AA1276" s="57"/>
      <c r="AB1276" s="134"/>
      <c r="AC127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7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91442.72000000019</v>
      </c>
      <c r="AE127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6578.0999999999876</v>
      </c>
      <c r="AF127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7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336032.00584262266</v>
      </c>
      <c r="AH1276" s="55"/>
      <c r="AI1276" s="55"/>
      <c r="AJ1276" s="55"/>
      <c r="AK1276" s="101">
        <f t="shared" ca="1" si="240"/>
        <v>583686.16584262275</v>
      </c>
      <c r="AL1276" s="129">
        <f t="array" ref="AL1276">MAX((УслРестрактов[Характеристика]="Дата реструктуризации")*(УслРестрактов[Значение]=Первоначальный!$A1276),0)</f>
        <v>0</v>
      </c>
    </row>
    <row r="1277" spans="1:38" x14ac:dyDescent="0.25">
      <c r="A1277" s="97">
        <f t="shared" si="233"/>
        <v>45408</v>
      </c>
      <c r="B1277" s="100">
        <f t="shared" ca="1" si="234"/>
        <v>149633.34</v>
      </c>
      <c r="C1277" s="55">
        <f t="shared" ca="1" si="230"/>
        <v>91442.72000000019</v>
      </c>
      <c r="D1277" s="55">
        <f t="shared" ca="1" si="230"/>
        <v>6578.0999999999876</v>
      </c>
      <c r="E1277" s="55">
        <f t="shared" ca="1" si="235"/>
        <v>0</v>
      </c>
      <c r="F1277" s="55">
        <f t="shared" ca="1" si="236"/>
        <v>336032.00584262266</v>
      </c>
      <c r="G1277" s="101">
        <f t="shared" ca="1" si="237"/>
        <v>583686.16584262275</v>
      </c>
      <c r="H1277" s="100">
        <f ca="1">ROUND($B1277*VLOOKUP($A1277,$A$1:$B$10,2,1)/(365+IF(MOD(YEAR($A1277),4),0,1)*($A1277-$A1276)),2)-Первоначальный[[#This Row],[Проценты на просроченный платеж по ОД за период]]</f>
        <v>69.05</v>
      </c>
      <c r="I1277" s="55">
        <f t="shared" ca="1" si="238"/>
        <v>12.31</v>
      </c>
      <c r="J1277" s="55">
        <v>0</v>
      </c>
      <c r="K1277" s="55">
        <f t="shared" ca="1" si="241"/>
        <v>564.84850327868844</v>
      </c>
      <c r="L1277" s="55">
        <v>0</v>
      </c>
      <c r="M1277" s="113">
        <f>SUMIFS(График[Возврат основной суммы долга],График[Дата с учетом нерабочих дней],$A1277)</f>
        <v>0</v>
      </c>
      <c r="N1277" s="56">
        <f>SUMIFS(График[Возврат начисленных %],График[Дата с учетом нерабочих дней],$A1277)</f>
        <v>0</v>
      </c>
      <c r="O1277" s="101">
        <v>0</v>
      </c>
      <c r="P1277" s="100" cm="1">
        <f t="array" aca="1" ref="P1277" ca="1">MAX(IF(AA1276="Да",0,SUM(INDIRECT("M"&amp;(MAX(("Да"=AA$12:AA1276)*ROW(AA$12:AA1276)+1,ROW($P$12))&amp;":M"&amp;(ROW()))))-SUM(INDIRECT("W"&amp;(MAX(("Да"=AA$12:AA1276)*ROW(AA$12:AA1276)+1,ROW($P$12))&amp;":W"&amp;(ROW()))))),0)</f>
        <v>22637.019999999997</v>
      </c>
      <c r="Q1277" s="99">
        <f ca="1">MAX(SUM($N$13:N1277)-SUM($T$13:T1277),0)</f>
        <v>90332.680655737684</v>
      </c>
      <c r="R1277" s="99">
        <f ca="1">Первоначальный[[#This Row],[Просроченный платеж по ОД]]+Первоначальный[[#This Row],[Просроченный платеж по процентам]]</f>
        <v>112969.70065573769</v>
      </c>
      <c r="S1277" s="120">
        <f ca="1">IF(Первоначальный[[#This Row],[Просроченный платеж]]&lt;1,0,S1276+1)</f>
        <v>1173</v>
      </c>
      <c r="T1277" s="100" cm="1">
        <f t="array" aca="1" ref="T1277" ca="1">IF(Первоначальный[[#This Row],[Итого остаток на начало периода]]&lt;1,0,
IF(
AND(TYPE(VLOOKUP(1,$Z$12:Z1277,1,0))=16,Первоначальный[[#This Row],[Досрочное погашение (да/"")]]=""),0,
_xlfn.IFS(AND(S1276=0,Первоначальный[[#This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платеж]]&lt;&gt;0),MIN(LOOKUP(,-1/($Z$12:Z1277=1),$C$12:C1277)+LOOKUP(,-1/($Z$12:Z1277=1),$H$12:H1277),Первоначальный[[#This Row],[Полученный платеж]]+Y1276),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платеж]]+Y1276,SUM(Первоначальный[[#This Row],[Остаток процентов на начало периода]],Первоначальный[[#This Row],[Проценты за период]])),
AND(S1276=0,Первоначальный[[#This Row],[Дата платежа из графика]]=""),0,
AND(S1276=0,Первоначальный[[#This Row],[Дата платежа из графика]]=1,MAX((0&lt;&gt;S$12:S1276)*ROW(S$12:S1276),ROW($S$12))&gt;=MAX((1=Z$12:Z1276)*ROW(Z$12:Z1276),ROW($T$12)),TYPE(VLOOKUP("Да",(INDIRECT("AA"&amp;(MAX((1=Z$12:Z1276)*ROW(Z$12:Z1276),ROW($T$12))&amp;":AA"&amp;(ROW()-1)))),1,0))=16),MIN(LOOKUP(,-1/($Z$12:Z1277=1),$C$12:C1277)+LOOKUP(,-1/($Z$12:Z1277=1),$H$12:H1277),Первоначальный[[#This Row],[Полученный платеж]]+Y1276),
AND(S1276=0,TYPE(VLOOKUP("Да",(INDIRECT("AA"&amp;(MAX((1=Z$12:Z1276)*ROW(Z$12:Z1276),ROW($T$12))&amp;":AA"&amp;(ROW()-1)))),1,0))&lt;&gt;16),MIN(LOOKUP(,-1/($Z$12:Z1277=1),$C$12:C1277)+LOOKUP(,-1/($Z$12:Z1277=1),$H$12:H1277)-IF(AA1276="Да",0,SUM(INDIRECT("T"&amp;(MAX(("Да"=AA$12:AA1276)*ROW(AA$12:AA1276)+1,ROW($T$12))&amp;":T"&amp;(ROW()-1))))),Первоначальный[[#This Row],[Полученный платеж]]+Y1276),
AND(S1276=0,MAX((0&lt;&gt;N$12:N1276)*ROW(N$12:N1276),ROW($S$12))&gt;=MAX((1=Z$12:Z1276)*ROW(Z$12:Z1276),ROW($T$12))),MIN(LOOKUP(,-1/($Z$12:Z1277=1),$C$12:C1277)+LOOKUP(,-1/($Z$12:Z1277=1),$H$12:H1277)-IF(N1276&lt;&gt;0,0,SUM(INDIRECT("T"&amp;(MAX((0&lt;&gt;N$12:N1276)*ROW(N$12:N1276)+1,ROW($T$12))&amp;":T"&amp;(ROW()-1))))),Первоначальный[[#This Row],[Полученный платеж]]+Y1276),
AND(S1276=0,Первоначальный[[#This Row],[Дата платежа из графика]]=1),MIN(LOOKUP(,-1/($Z$12:Z1277=1),$C$12:C1277)+LOOKUP(,-1/($Z$12:Z1277=1),$H$12:H1277)-IF(Z1276=1,0,SUM(INDIRECT("T"&amp;(MAX((1=Z$12:Z1276)*ROW(Z$12:Z1276)+1,ROW($T$12))&amp;":T"&amp;(ROW()-1))))),Первоначальный[[#This Row],[Полученный платеж]]+Y1276),
AND(Z1276&gt;0,Первоначальный[[#This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платеж]]+Y1276),
AND(S1276&gt;0,MAX((0&lt;&gt;S$12:S1276)*ROW(S$12:S1276),ROW($S$12))&gt;=MAX((1=Z$12:Z1276)*ROW(Z$12:Z1276),ROW($T$12)),TYPE(VLOOKUP("Да",(INDIRECT("AA"&amp;(MAX((1=Z$12:Z1276)*ROW(Z$12:Z1276),ROW($T$12))&amp;":AA"&amp;(ROW()-1)))),1,0))=16),MIN(LOOKUP(,-1/($Z$12:Z1277=1),$C$12:C1277)+LOOKUP(,-1/($Z$12:Z1277=1),$H$12:H1277)-SUM(INDIRECT("T"&amp;(MAX((1=Z$12:Z1276)*ROW(Z$12:Z1276),ROW($T$12))&amp;":T"&amp;(ROW()-1)))),Первоначальный[[#This Row],[Полученный платеж]]+Y1276),
S1276&gt;0,MIN(LOOKUP(,-1/($Z$12:Z1277=1),$C$12:C1277)+LOOKUP(,-1/($Z$12:Z1277=1),$H$12:H1277)-IF(Z1276=1,0,SUM(INDIRECT("T"&amp;(MAX((1=Z$12:Z1276)*ROW(Z$12:Z1276)+1,ROW($T$12))&amp;":T"&amp;(ROW()-1))))),Первоначальный[[#This Row],[Полученный платеж]]+Y1276)
)
)
)</f>
        <v>0</v>
      </c>
      <c r="U127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платеж]]+Y1276-Первоначальный[[#This Row],[Полученный платёж по процентам]])</f>
        <v>0</v>
      </c>
      <c r="V1277" s="55">
        <f t="shared" ca="1" si="231"/>
        <v>0</v>
      </c>
      <c r="W1277" s="55" cm="1">
        <f t="array" aca="1" ref="W1277" ca="1">IF(Первоначальный[[#This Row],[Итого остаток на начало периода]]&lt;1,0,
_xlfn.IFS(
AND(TYPE(VLOOKUP(1,$Z$12:Z1277,1,0))=16,Первоначальный[[#This Row],[Досрочное погашение (да/"")]]=""),0,
AND(S1276=0,Первоначальный[[#This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платеж]]+Y1276-SUM(Первоначальный[[#This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комиссиям]]),VLOOKUP(LOOKUP(,-1/($Z$12:Z1277=1),$A$12:A1277),График[[Срок конец]:[Возврат основной суммы долга]],3,0)),
AND(S1276=0,Первоначальный[[#This Row],[Дата платежа из графика]]="",Первоначальный[[#This Row],[Досрочное погашение (да/"")]]&lt;&gt;"Да"),0,
AND(S1276=0,Первоначальный[[#This Row],[Досрочное погашение (да/"")]]=""),MIN(Первоначальный[[#This Row],[Полученный платеж]]+Y1276-SUM(Первоначальный[[#This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комиссиям]]),VLOOKUP(LOOKUP(,-1/($Z$12:Z1277=1),$A$12:A1277),График[[Срок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платеж]]+Y1276-SUM(Первоначальный[[#This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S1276&gt;0,MIN(Первоначальный[[#This Row],[Полученный платеж]]+Y1276-SUM(Первоначальный[[#This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комиссиям]]),SUM(INDIRECT("M"&amp;(MAX((1=S$12:S1276)*ROW(S$12:S1276),ROW($W$12))&amp;":M"&amp;(ROW()))))-SUM(INDIRECT("W"&amp;(MAX((1=S$12:S1276)*ROW(S$12:S1276),ROW($W$12))&amp;":W"&amp;(ROW()-1)))))
)
)</f>
        <v>0</v>
      </c>
      <c r="X1277" s="55">
        <f t="shared" ca="1" si="232"/>
        <v>0</v>
      </c>
      <c r="Y1277" s="101">
        <f t="shared" ca="1" si="239"/>
        <v>0</v>
      </c>
      <c r="Z1277" s="133" t="str">
        <f>IF(TYPE((VLOOKUP(Первоначальный[[#This Row],[Дата платежа]],График[Срок конец],1,0)))=16,"",1)</f>
        <v/>
      </c>
      <c r="AA1277" s="57"/>
      <c r="AB1277" s="134"/>
      <c r="AC127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7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91511.770000000193</v>
      </c>
      <c r="AE127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6590.409999999988</v>
      </c>
      <c r="AF127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7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336596.85434590135</v>
      </c>
      <c r="AH1277" s="55"/>
      <c r="AI1277" s="55"/>
      <c r="AJ1277" s="55"/>
      <c r="AK1277" s="101">
        <f t="shared" ca="1" si="240"/>
        <v>584332.37434590154</v>
      </c>
      <c r="AL1277" s="129">
        <f t="array" ref="AL1277">MAX((УслРестрактов[Характеристика]="Дата реструктуризации")*(УслРестрактов[Значение]=Первоначальный!$A1277),0)</f>
        <v>0</v>
      </c>
    </row>
    <row r="1278" spans="1:38" x14ac:dyDescent="0.25">
      <c r="A1278" s="97">
        <f t="shared" si="233"/>
        <v>45409</v>
      </c>
      <c r="B1278" s="100">
        <f t="shared" ca="1" si="234"/>
        <v>149633.34</v>
      </c>
      <c r="C1278" s="55">
        <f t="shared" ca="1" si="230"/>
        <v>91511.770000000193</v>
      </c>
      <c r="D1278" s="55">
        <f t="shared" ca="1" si="230"/>
        <v>6590.409999999988</v>
      </c>
      <c r="E1278" s="55">
        <f t="shared" ca="1" si="235"/>
        <v>0</v>
      </c>
      <c r="F1278" s="55">
        <f t="shared" ca="1" si="236"/>
        <v>336596.85434590135</v>
      </c>
      <c r="G1278" s="101">
        <f t="shared" ca="1" si="237"/>
        <v>584332.37434590154</v>
      </c>
      <c r="H1278" s="100">
        <f ca="1">ROUND($B1278*VLOOKUP($A1278,$A$1:$B$10,2,1)/(365+IF(MOD(YEAR($A1278),4),0,1)*($A1278-$A1277)),2)-Первоначальный[[#This Row],[Проценты на просроченный платеж по ОД за период]]</f>
        <v>69.05</v>
      </c>
      <c r="I1278" s="55">
        <f t="shared" ca="1" si="238"/>
        <v>12.31</v>
      </c>
      <c r="J1278" s="55">
        <v>0</v>
      </c>
      <c r="K1278" s="55">
        <f t="shared" ca="1" si="241"/>
        <v>564.84850327868844</v>
      </c>
      <c r="L1278" s="55">
        <v>0</v>
      </c>
      <c r="M1278" s="113">
        <f>SUMIFS(График[Возврат основной суммы долга],График[Дата с учетом нерабочих дней],$A1278)</f>
        <v>0</v>
      </c>
      <c r="N1278" s="56">
        <f>SUMIFS(График[Возврат начисленных %],График[Дата с учетом нерабочих дней],$A1278)</f>
        <v>0</v>
      </c>
      <c r="O1278" s="101">
        <v>0</v>
      </c>
      <c r="P1278" s="100" cm="1">
        <f t="array" aca="1" ref="P1278" ca="1">MAX(IF(AA1277="Да",0,SUM(INDIRECT("M"&amp;(MAX(("Да"=AA$12:AA1277)*ROW(AA$12:AA1277)+1,ROW($P$12))&amp;":M"&amp;(ROW()))))-SUM(INDIRECT("W"&amp;(MAX(("Да"=AA$12:AA1277)*ROW(AA$12:AA1277)+1,ROW($P$12))&amp;":W"&amp;(ROW()))))),0)</f>
        <v>22637.019999999997</v>
      </c>
      <c r="Q1278" s="99">
        <f ca="1">MAX(SUM($N$13:N1278)-SUM($T$13:T1278),0)</f>
        <v>90332.680655737684</v>
      </c>
      <c r="R1278" s="99">
        <f ca="1">Первоначальный[[#This Row],[Просроченный платеж по ОД]]+Первоначальный[[#This Row],[Просроченный платеж по процентам]]</f>
        <v>112969.70065573769</v>
      </c>
      <c r="S1278" s="120">
        <f ca="1">IF(Первоначальный[[#This Row],[Просроченный платеж]]&lt;1,0,S1277+1)</f>
        <v>1174</v>
      </c>
      <c r="T1278" s="100" cm="1">
        <f t="array" aca="1" ref="T1278" ca="1">IF(Первоначальный[[#This Row],[Итого остаток на начало периода]]&lt;1,0,
IF(
AND(TYPE(VLOOKUP(1,$Z$12:Z1278,1,0))=16,Первоначальный[[#This Row],[Досрочное погашение (да/"")]]=""),0,
_xlfn.IFS(AND(S1277=0,Первоначальный[[#This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платеж]]&lt;&gt;0),MIN(LOOKUP(,-1/($Z$12:Z1278=1),$C$12:C1278)+LOOKUP(,-1/($Z$12:Z1278=1),$H$12:H1278),Первоначальный[[#This Row],[Полученный платеж]]+Y1277),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платеж]]+Y1277,SUM(Первоначальный[[#This Row],[Остаток процентов на начало периода]],Первоначальный[[#This Row],[Проценты за период]])),
AND(S1277=0,Первоначальный[[#This Row],[Дата платежа из графика]]=""),0,
AND(S1277=0,Первоначальный[[#This Row],[Дата платежа из графика]]=1,MAX((0&lt;&gt;S$12:S1277)*ROW(S$12:S1277),ROW($S$12))&gt;=MAX((1=Z$12:Z1277)*ROW(Z$12:Z1277),ROW($T$12)),TYPE(VLOOKUP("Да",(INDIRECT("AA"&amp;(MAX((1=Z$12:Z1277)*ROW(Z$12:Z1277),ROW($T$12))&amp;":AA"&amp;(ROW()-1)))),1,0))=16),MIN(LOOKUP(,-1/($Z$12:Z1278=1),$C$12:C1278)+LOOKUP(,-1/($Z$12:Z1278=1),$H$12:H1278),Первоначальный[[#This Row],[Полученный платеж]]+Y1277),
AND(S1277=0,TYPE(VLOOKUP("Да",(INDIRECT("AA"&amp;(MAX((1=Z$12:Z1277)*ROW(Z$12:Z1277),ROW($T$12))&amp;":AA"&amp;(ROW()-1)))),1,0))&lt;&gt;16),MIN(LOOKUP(,-1/($Z$12:Z1278=1),$C$12:C1278)+LOOKUP(,-1/($Z$12:Z1278=1),$H$12:H1278)-IF(AA1277="Да",0,SUM(INDIRECT("T"&amp;(MAX(("Да"=AA$12:AA1277)*ROW(AA$12:AA1277)+1,ROW($T$12))&amp;":T"&amp;(ROW()-1))))),Первоначальный[[#This Row],[Полученный платеж]]+Y1277),
AND(S1277=0,MAX((0&lt;&gt;N$12:N1277)*ROW(N$12:N1277),ROW($S$12))&gt;=MAX((1=Z$12:Z1277)*ROW(Z$12:Z1277),ROW($T$12))),MIN(LOOKUP(,-1/($Z$12:Z1278=1),$C$12:C1278)+LOOKUP(,-1/($Z$12:Z1278=1),$H$12:H1278)-IF(N1277&lt;&gt;0,0,SUM(INDIRECT("T"&amp;(MAX((0&lt;&gt;N$12:N1277)*ROW(N$12:N1277)+1,ROW($T$12))&amp;":T"&amp;(ROW()-1))))),Первоначальный[[#This Row],[Полученный платеж]]+Y1277),
AND(S1277=0,Первоначальный[[#This Row],[Дата платежа из графика]]=1),MIN(LOOKUP(,-1/($Z$12:Z1278=1),$C$12:C1278)+LOOKUP(,-1/($Z$12:Z1278=1),$H$12:H1278)-IF(Z1277=1,0,SUM(INDIRECT("T"&amp;(MAX((1=Z$12:Z1277)*ROW(Z$12:Z1277)+1,ROW($T$12))&amp;":T"&amp;(ROW()-1))))),Первоначальный[[#This Row],[Полученный платеж]]+Y1277),
AND(Z1277&gt;0,Первоначальный[[#This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платеж]]+Y1277),
AND(S1277&gt;0,MAX((0&lt;&gt;S$12:S1277)*ROW(S$12:S1277),ROW($S$12))&gt;=MAX((1=Z$12:Z1277)*ROW(Z$12:Z1277),ROW($T$12)),TYPE(VLOOKUP("Да",(INDIRECT("AA"&amp;(MAX((1=Z$12:Z1277)*ROW(Z$12:Z1277),ROW($T$12))&amp;":AA"&amp;(ROW()-1)))),1,0))=16),MIN(LOOKUP(,-1/($Z$12:Z1278=1),$C$12:C1278)+LOOKUP(,-1/($Z$12:Z1278=1),$H$12:H1278)-SUM(INDIRECT("T"&amp;(MAX((1=Z$12:Z1277)*ROW(Z$12:Z1277),ROW($T$12))&amp;":T"&amp;(ROW()-1)))),Первоначальный[[#This Row],[Полученный платеж]]+Y1277),
S1277&gt;0,MIN(LOOKUP(,-1/($Z$12:Z1278=1),$C$12:C1278)+LOOKUP(,-1/($Z$12:Z1278=1),$H$12:H1278)-IF(Z1277=1,0,SUM(INDIRECT("T"&amp;(MAX((1=Z$12:Z1277)*ROW(Z$12:Z1277)+1,ROW($T$12))&amp;":T"&amp;(ROW()-1))))),Первоначальный[[#This Row],[Полученный платеж]]+Y1277)
)
)
)</f>
        <v>0</v>
      </c>
      <c r="U127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платеж]]+Y1277-Первоначальный[[#This Row],[Полученный платёж по процентам]])</f>
        <v>0</v>
      </c>
      <c r="V1278" s="55">
        <f t="shared" ca="1" si="231"/>
        <v>0</v>
      </c>
      <c r="W1278" s="55" cm="1">
        <f t="array" aca="1" ref="W1278" ca="1">IF(Первоначальный[[#This Row],[Итого остаток на начало периода]]&lt;1,0,
_xlfn.IFS(
AND(TYPE(VLOOKUP(1,$Z$12:Z1278,1,0))=16,Первоначальный[[#This Row],[Досрочное погашение (да/"")]]=""),0,
AND(S1277=0,Первоначальный[[#This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платеж]]+Y1277-SUM(Первоначальный[[#This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комиссиям]]),VLOOKUP(LOOKUP(,-1/($Z$12:Z1278=1),$A$12:A1278),График[[Срок конец]:[Возврат основной суммы долга]],3,0)),
AND(S1277=0,Первоначальный[[#This Row],[Дата платежа из графика]]="",Первоначальный[[#This Row],[Досрочное погашение (да/"")]]&lt;&gt;"Да"),0,
AND(S1277=0,Первоначальный[[#This Row],[Досрочное погашение (да/"")]]=""),MIN(Первоначальный[[#This Row],[Полученный платеж]]+Y1277-SUM(Первоначальный[[#This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комиссиям]]),VLOOKUP(LOOKUP(,-1/($Z$12:Z1278=1),$A$12:A1278),График[[Срок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платеж]]+Y1277-SUM(Первоначальный[[#This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S1277&gt;0,MIN(Первоначальный[[#This Row],[Полученный платеж]]+Y1277-SUM(Первоначальный[[#This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комиссиям]]),SUM(INDIRECT("M"&amp;(MAX((1=S$12:S1277)*ROW(S$12:S1277),ROW($W$12))&amp;":M"&amp;(ROW()))))-SUM(INDIRECT("W"&amp;(MAX((1=S$12:S1277)*ROW(S$12:S1277),ROW($W$12))&amp;":W"&amp;(ROW()-1)))))
)
)</f>
        <v>0</v>
      </c>
      <c r="X1278" s="55">
        <f t="shared" ca="1" si="232"/>
        <v>0</v>
      </c>
      <c r="Y1278" s="101">
        <f t="shared" ca="1" si="239"/>
        <v>0</v>
      </c>
      <c r="Z1278" s="133" t="str">
        <f>IF(TYPE((VLOOKUP(Первоначальный[[#This Row],[Дата платежа]],График[Срок конец],1,0)))=16,"",1)</f>
        <v/>
      </c>
      <c r="AA1278" s="57"/>
      <c r="AB1278" s="134"/>
      <c r="AC127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7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91580.820000000196</v>
      </c>
      <c r="AE127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6602.7199999999884</v>
      </c>
      <c r="AF127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7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337161.70284918003</v>
      </c>
      <c r="AH1278" s="55"/>
      <c r="AI1278" s="55"/>
      <c r="AJ1278" s="55"/>
      <c r="AK1278" s="101">
        <f t="shared" ca="1" si="240"/>
        <v>584978.58284918021</v>
      </c>
      <c r="AL1278" s="129">
        <f t="array" ref="AL1278">MAX((УслРестрактов[Характеристика]="Дата реструктуризации")*(УслРестрактов[Значение]=Первоначальный!$A1278),0)</f>
        <v>0</v>
      </c>
    </row>
    <row r="1279" spans="1:38" x14ac:dyDescent="0.25">
      <c r="A1279" s="97">
        <f t="shared" si="233"/>
        <v>45410</v>
      </c>
      <c r="B1279" s="100">
        <f t="shared" ca="1" si="234"/>
        <v>149633.34</v>
      </c>
      <c r="C1279" s="55">
        <f t="shared" ca="1" si="230"/>
        <v>91580.820000000196</v>
      </c>
      <c r="D1279" s="55">
        <f t="shared" ca="1" si="230"/>
        <v>6602.7199999999884</v>
      </c>
      <c r="E1279" s="55">
        <f t="shared" ca="1" si="235"/>
        <v>0</v>
      </c>
      <c r="F1279" s="55">
        <f t="shared" ca="1" si="236"/>
        <v>337161.70284918003</v>
      </c>
      <c r="G1279" s="101">
        <f t="shared" ca="1" si="237"/>
        <v>584978.58284918021</v>
      </c>
      <c r="H1279" s="100">
        <f ca="1">ROUND($B1279*VLOOKUP($A1279,$A$1:$B$10,2,1)/(365+IF(MOD(YEAR($A1279),4),0,1)*($A1279-$A1278)),2)-Первоначальный[[#This Row],[Проценты на просроченный платеж по ОД за период]]</f>
        <v>69.05</v>
      </c>
      <c r="I1279" s="55">
        <f t="shared" ca="1" si="238"/>
        <v>12.31</v>
      </c>
      <c r="J1279" s="55">
        <v>0</v>
      </c>
      <c r="K1279" s="55">
        <f t="shared" ca="1" si="241"/>
        <v>564.84850327868844</v>
      </c>
      <c r="L1279" s="55">
        <v>0</v>
      </c>
      <c r="M1279" s="113">
        <f>SUMIFS(График[Возврат основной суммы долга],График[Дата с учетом нерабочих дней],$A1279)</f>
        <v>0</v>
      </c>
      <c r="N1279" s="56">
        <f>SUMIFS(График[Возврат начисленных %],График[Дата с учетом нерабочих дней],$A1279)</f>
        <v>0</v>
      </c>
      <c r="O1279" s="101">
        <v>0</v>
      </c>
      <c r="P1279" s="100" cm="1">
        <f t="array" aca="1" ref="P1279" ca="1">MAX(IF(AA1278="Да",0,SUM(INDIRECT("M"&amp;(MAX(("Да"=AA$12:AA1278)*ROW(AA$12:AA1278)+1,ROW($P$12))&amp;":M"&amp;(ROW()))))-SUM(INDIRECT("W"&amp;(MAX(("Да"=AA$12:AA1278)*ROW(AA$12:AA1278)+1,ROW($P$12))&amp;":W"&amp;(ROW()))))),0)</f>
        <v>22637.019999999997</v>
      </c>
      <c r="Q1279" s="99">
        <f ca="1">MAX(SUM($N$13:N1279)-SUM($T$13:T1279),0)</f>
        <v>90332.680655737684</v>
      </c>
      <c r="R1279" s="99">
        <f ca="1">Первоначальный[[#This Row],[Просроченный платеж по ОД]]+Первоначальный[[#This Row],[Просроченный платеж по процентам]]</f>
        <v>112969.70065573769</v>
      </c>
      <c r="S1279" s="120">
        <f ca="1">IF(Первоначальный[[#This Row],[Просроченный платеж]]&lt;1,0,S1278+1)</f>
        <v>1175</v>
      </c>
      <c r="T1279" s="100" cm="1">
        <f t="array" aca="1" ref="T1279" ca="1">IF(Первоначальный[[#This Row],[Итого остаток на начало периода]]&lt;1,0,
IF(
AND(TYPE(VLOOKUP(1,$Z$12:Z1279,1,0))=16,Первоначальный[[#This Row],[Досрочное погашение (да/"")]]=""),0,
_xlfn.IFS(AND(S1278=0,Первоначальный[[#This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платеж]]&lt;&gt;0),MIN(LOOKUP(,-1/($Z$12:Z1279=1),$C$12:C1279)+LOOKUP(,-1/($Z$12:Z1279=1),$H$12:H1279),Первоначальный[[#This Row],[Полученный платеж]]+Y1278),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платеж]]+Y1278,SUM(Первоначальный[[#This Row],[Остаток процентов на начало периода]],Первоначальный[[#This Row],[Проценты за период]])),
AND(S1278=0,Первоначальный[[#This Row],[Дата платежа из графика]]=""),0,
AND(S1278=0,Первоначальный[[#This Row],[Дата платежа из графика]]=1,MAX((0&lt;&gt;S$12:S1278)*ROW(S$12:S1278),ROW($S$12))&gt;=MAX((1=Z$12:Z1278)*ROW(Z$12:Z1278),ROW($T$12)),TYPE(VLOOKUP("Да",(INDIRECT("AA"&amp;(MAX((1=Z$12:Z1278)*ROW(Z$12:Z1278),ROW($T$12))&amp;":AA"&amp;(ROW()-1)))),1,0))=16),MIN(LOOKUP(,-1/($Z$12:Z1279=1),$C$12:C1279)+LOOKUP(,-1/($Z$12:Z1279=1),$H$12:H1279),Первоначальный[[#This Row],[Полученный платеж]]+Y1278),
AND(S1278=0,TYPE(VLOOKUP("Да",(INDIRECT("AA"&amp;(MAX((1=Z$12:Z1278)*ROW(Z$12:Z1278),ROW($T$12))&amp;":AA"&amp;(ROW()-1)))),1,0))&lt;&gt;16),MIN(LOOKUP(,-1/($Z$12:Z1279=1),$C$12:C1279)+LOOKUP(,-1/($Z$12:Z1279=1),$H$12:H1279)-IF(AA1278="Да",0,SUM(INDIRECT("T"&amp;(MAX(("Да"=AA$12:AA1278)*ROW(AA$12:AA1278)+1,ROW($T$12))&amp;":T"&amp;(ROW()-1))))),Первоначальный[[#This Row],[Полученный платеж]]+Y1278),
AND(S1278=0,MAX((0&lt;&gt;N$12:N1278)*ROW(N$12:N1278),ROW($S$12))&gt;=MAX((1=Z$12:Z1278)*ROW(Z$12:Z1278),ROW($T$12))),MIN(LOOKUP(,-1/($Z$12:Z1279=1),$C$12:C1279)+LOOKUP(,-1/($Z$12:Z1279=1),$H$12:H1279)-IF(N1278&lt;&gt;0,0,SUM(INDIRECT("T"&amp;(MAX((0&lt;&gt;N$12:N1278)*ROW(N$12:N1278)+1,ROW($T$12))&amp;":T"&amp;(ROW()-1))))),Первоначальный[[#This Row],[Полученный платеж]]+Y1278),
AND(S1278=0,Первоначальный[[#This Row],[Дата платежа из графика]]=1),MIN(LOOKUP(,-1/($Z$12:Z1279=1),$C$12:C1279)+LOOKUP(,-1/($Z$12:Z1279=1),$H$12:H1279)-IF(Z1278=1,0,SUM(INDIRECT("T"&amp;(MAX((1=Z$12:Z1278)*ROW(Z$12:Z1278)+1,ROW($T$12))&amp;":T"&amp;(ROW()-1))))),Первоначальный[[#This Row],[Полученный платеж]]+Y1278),
AND(Z1278&gt;0,Первоначальный[[#This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платеж]]+Y1278),
AND(S1278&gt;0,MAX((0&lt;&gt;S$12:S1278)*ROW(S$12:S1278),ROW($S$12))&gt;=MAX((1=Z$12:Z1278)*ROW(Z$12:Z1278),ROW($T$12)),TYPE(VLOOKUP("Да",(INDIRECT("AA"&amp;(MAX((1=Z$12:Z1278)*ROW(Z$12:Z1278),ROW($T$12))&amp;":AA"&amp;(ROW()-1)))),1,0))=16),MIN(LOOKUP(,-1/($Z$12:Z1279=1),$C$12:C1279)+LOOKUP(,-1/($Z$12:Z1279=1),$H$12:H1279)-SUM(INDIRECT("T"&amp;(MAX((1=Z$12:Z1278)*ROW(Z$12:Z1278),ROW($T$12))&amp;":T"&amp;(ROW()-1)))),Первоначальный[[#This Row],[Полученный платеж]]+Y1278),
S1278&gt;0,MIN(LOOKUP(,-1/($Z$12:Z1279=1),$C$12:C1279)+LOOKUP(,-1/($Z$12:Z1279=1),$H$12:H1279)-IF(Z1278=1,0,SUM(INDIRECT("T"&amp;(MAX((1=Z$12:Z1278)*ROW(Z$12:Z1278)+1,ROW($T$12))&amp;":T"&amp;(ROW()-1))))),Первоначальный[[#This Row],[Полученный платеж]]+Y1278)
)
)
)</f>
        <v>0</v>
      </c>
      <c r="U127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платеж]]+Y1278-Первоначальный[[#This Row],[Полученный платёж по процентам]])</f>
        <v>0</v>
      </c>
      <c r="V1279" s="55">
        <f t="shared" ca="1" si="231"/>
        <v>0</v>
      </c>
      <c r="W1279" s="55" cm="1">
        <f t="array" aca="1" ref="W1279" ca="1">IF(Первоначальный[[#This Row],[Итого остаток на начало периода]]&lt;1,0,
_xlfn.IFS(
AND(TYPE(VLOOKUP(1,$Z$12:Z1279,1,0))=16,Первоначальный[[#This Row],[Досрочное погашение (да/"")]]=""),0,
AND(S1278=0,Первоначальный[[#This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платеж]]+Y1278-SUM(Первоначальный[[#This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комиссиям]]),VLOOKUP(LOOKUP(,-1/($Z$12:Z1279=1),$A$12:A1279),График[[Срок конец]:[Возврат основной суммы долга]],3,0)),
AND(S1278=0,Первоначальный[[#This Row],[Дата платежа из графика]]="",Первоначальный[[#This Row],[Досрочное погашение (да/"")]]&lt;&gt;"Да"),0,
AND(S1278=0,Первоначальный[[#This Row],[Досрочное погашение (да/"")]]=""),MIN(Первоначальный[[#This Row],[Полученный платеж]]+Y1278-SUM(Первоначальный[[#This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комиссиям]]),VLOOKUP(LOOKUP(,-1/($Z$12:Z1279=1),$A$12:A1279),График[[Срок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платеж]]+Y1278-SUM(Первоначальный[[#This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S1278&gt;0,MIN(Первоначальный[[#This Row],[Полученный платеж]]+Y1278-SUM(Первоначальный[[#This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комиссиям]]),SUM(INDIRECT("M"&amp;(MAX((1=S$12:S1278)*ROW(S$12:S1278),ROW($W$12))&amp;":M"&amp;(ROW()))))-SUM(INDIRECT("W"&amp;(MAX((1=S$12:S1278)*ROW(S$12:S1278),ROW($W$12))&amp;":W"&amp;(ROW()-1)))))
)
)</f>
        <v>0</v>
      </c>
      <c r="X1279" s="55">
        <f t="shared" ca="1" si="232"/>
        <v>0</v>
      </c>
      <c r="Y1279" s="101">
        <f t="shared" ca="1" si="239"/>
        <v>0</v>
      </c>
      <c r="Z1279" s="133" t="str">
        <f>IF(TYPE((VLOOKUP(Первоначальный[[#This Row],[Дата платежа]],График[Срок конец],1,0)))=16,"",1)</f>
        <v/>
      </c>
      <c r="AA1279" s="57"/>
      <c r="AB1279" s="134"/>
      <c r="AC127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7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91649.870000000199</v>
      </c>
      <c r="AE127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6615.0299999999888</v>
      </c>
      <c r="AF127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7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337726.55135245871</v>
      </c>
      <c r="AH1279" s="55"/>
      <c r="AI1279" s="55"/>
      <c r="AJ1279" s="55"/>
      <c r="AK1279" s="101">
        <f t="shared" ca="1" si="240"/>
        <v>585624.79135245888</v>
      </c>
      <c r="AL1279" s="129">
        <f t="array" ref="AL1279">MAX((УслРестрактов[Характеристика]="Дата реструктуризации")*(УслРестрактов[Значение]=Первоначальный!$A1279),0)</f>
        <v>0</v>
      </c>
    </row>
    <row r="1280" spans="1:38" x14ac:dyDescent="0.25">
      <c r="A1280" s="97">
        <f t="shared" si="233"/>
        <v>45411</v>
      </c>
      <c r="B1280" s="100">
        <f t="shared" ca="1" si="234"/>
        <v>149633.34</v>
      </c>
      <c r="C1280" s="55">
        <f t="shared" ca="1" si="230"/>
        <v>91649.870000000199</v>
      </c>
      <c r="D1280" s="55">
        <f t="shared" ca="1" si="230"/>
        <v>6615.0299999999888</v>
      </c>
      <c r="E1280" s="55">
        <f t="shared" ca="1" si="235"/>
        <v>0</v>
      </c>
      <c r="F1280" s="55">
        <f t="shared" ca="1" si="236"/>
        <v>337726.55135245871</v>
      </c>
      <c r="G1280" s="101">
        <f t="shared" ca="1" si="237"/>
        <v>585624.79135245888</v>
      </c>
      <c r="H1280" s="100">
        <f ca="1">ROUND($B1280*VLOOKUP($A1280,$A$1:$B$10,2,1)/(365+IF(MOD(YEAR($A1280),4),0,1)*($A1280-$A1279)),2)-Первоначальный[[#This Row],[Проценты на просроченный платеж по ОД за период]]</f>
        <v>69.05</v>
      </c>
      <c r="I1280" s="55">
        <f t="shared" ca="1" si="238"/>
        <v>12.31</v>
      </c>
      <c r="J1280" s="55">
        <v>0</v>
      </c>
      <c r="K1280" s="55">
        <f t="shared" ca="1" si="241"/>
        <v>564.84850327868844</v>
      </c>
      <c r="L1280" s="55">
        <v>0</v>
      </c>
      <c r="M1280" s="113">
        <f>SUMIFS(График[Возврат основной суммы долга],График[Дата с учетом нерабочих дней],$A1280)</f>
        <v>0</v>
      </c>
      <c r="N1280" s="56">
        <f>SUMIFS(График[Возврат начисленных %],График[Дата с учетом нерабочих дней],$A1280)</f>
        <v>0</v>
      </c>
      <c r="O1280" s="101">
        <v>0</v>
      </c>
      <c r="P1280" s="100" cm="1">
        <f t="array" aca="1" ref="P1280" ca="1">MAX(IF(AA1279="Да",0,SUM(INDIRECT("M"&amp;(MAX(("Да"=AA$12:AA1279)*ROW(AA$12:AA1279)+1,ROW($P$12))&amp;":M"&amp;(ROW()))))-SUM(INDIRECT("W"&amp;(MAX(("Да"=AA$12:AA1279)*ROW(AA$12:AA1279)+1,ROW($P$12))&amp;":W"&amp;(ROW()))))),0)</f>
        <v>22637.019999999997</v>
      </c>
      <c r="Q1280" s="99">
        <f ca="1">MAX(SUM($N$13:N1280)-SUM($T$13:T1280),0)</f>
        <v>90332.680655737684</v>
      </c>
      <c r="R1280" s="99">
        <f ca="1">Первоначальный[[#This Row],[Просроченный платеж по ОД]]+Первоначальный[[#This Row],[Просроченный платеж по процентам]]</f>
        <v>112969.70065573769</v>
      </c>
      <c r="S1280" s="120">
        <f ca="1">IF(Первоначальный[[#This Row],[Просроченный платеж]]&lt;1,0,S1279+1)</f>
        <v>1176</v>
      </c>
      <c r="T1280" s="100" cm="1">
        <f t="array" aca="1" ref="T1280" ca="1">IF(Первоначальный[[#This Row],[Итого остаток на начало периода]]&lt;1,0,
IF(
AND(TYPE(VLOOKUP(1,$Z$12:Z1280,1,0))=16,Первоначальный[[#This Row],[Досрочное погашение (да/"")]]=""),0,
_xlfn.IFS(AND(S1279=0,Первоначальный[[#This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платеж]]&lt;&gt;0),MIN(LOOKUP(,-1/($Z$12:Z1280=1),$C$12:C1280)+LOOKUP(,-1/($Z$12:Z1280=1),$H$12:H1280),Первоначальный[[#This Row],[Полученный платеж]]+Y1279),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платеж]]+Y1279,SUM(Первоначальный[[#This Row],[Остаток процентов на начало периода]],Первоначальный[[#This Row],[Проценты за период]])),
AND(S1279=0,Первоначальный[[#This Row],[Дата платежа из графика]]=""),0,
AND(S1279=0,Первоначальный[[#This Row],[Дата платежа из графика]]=1,MAX((0&lt;&gt;S$12:S1279)*ROW(S$12:S1279),ROW($S$12))&gt;=MAX((1=Z$12:Z1279)*ROW(Z$12:Z1279),ROW($T$12)),TYPE(VLOOKUP("Да",(INDIRECT("AA"&amp;(MAX((1=Z$12:Z1279)*ROW(Z$12:Z1279),ROW($T$12))&amp;":AA"&amp;(ROW()-1)))),1,0))=16),MIN(LOOKUP(,-1/($Z$12:Z1280=1),$C$12:C1280)+LOOKUP(,-1/($Z$12:Z1280=1),$H$12:H1280),Первоначальный[[#This Row],[Полученный платеж]]+Y1279),
AND(S1279=0,TYPE(VLOOKUP("Да",(INDIRECT("AA"&amp;(MAX((1=Z$12:Z1279)*ROW(Z$12:Z1279),ROW($T$12))&amp;":AA"&amp;(ROW()-1)))),1,0))&lt;&gt;16),MIN(LOOKUP(,-1/($Z$12:Z1280=1),$C$12:C1280)+LOOKUP(,-1/($Z$12:Z1280=1),$H$12:H1280)-IF(AA1279="Да",0,SUM(INDIRECT("T"&amp;(MAX(("Да"=AA$12:AA1279)*ROW(AA$12:AA1279)+1,ROW($T$12))&amp;":T"&amp;(ROW()-1))))),Первоначальный[[#This Row],[Полученный платеж]]+Y1279),
AND(S1279=0,MAX((0&lt;&gt;N$12:N1279)*ROW(N$12:N1279),ROW($S$12))&gt;=MAX((1=Z$12:Z1279)*ROW(Z$12:Z1279),ROW($T$12))),MIN(LOOKUP(,-1/($Z$12:Z1280=1),$C$12:C1280)+LOOKUP(,-1/($Z$12:Z1280=1),$H$12:H1280)-IF(N1279&lt;&gt;0,0,SUM(INDIRECT("T"&amp;(MAX((0&lt;&gt;N$12:N1279)*ROW(N$12:N1279)+1,ROW($T$12))&amp;":T"&amp;(ROW()-1))))),Первоначальный[[#This Row],[Полученный платеж]]+Y1279),
AND(S1279=0,Первоначальный[[#This Row],[Дата платежа из графика]]=1),MIN(LOOKUP(,-1/($Z$12:Z1280=1),$C$12:C1280)+LOOKUP(,-1/($Z$12:Z1280=1),$H$12:H1280)-IF(Z1279=1,0,SUM(INDIRECT("T"&amp;(MAX((1=Z$12:Z1279)*ROW(Z$12:Z1279)+1,ROW($T$12))&amp;":T"&amp;(ROW()-1))))),Первоначальный[[#This Row],[Полученный платеж]]+Y1279),
AND(Z1279&gt;0,Первоначальный[[#This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платеж]]+Y1279),
AND(S1279&gt;0,MAX((0&lt;&gt;S$12:S1279)*ROW(S$12:S1279),ROW($S$12))&gt;=MAX((1=Z$12:Z1279)*ROW(Z$12:Z1279),ROW($T$12)),TYPE(VLOOKUP("Да",(INDIRECT("AA"&amp;(MAX((1=Z$12:Z1279)*ROW(Z$12:Z1279),ROW($T$12))&amp;":AA"&amp;(ROW()-1)))),1,0))=16),MIN(LOOKUP(,-1/($Z$12:Z1280=1),$C$12:C1280)+LOOKUP(,-1/($Z$12:Z1280=1),$H$12:H1280)-SUM(INDIRECT("T"&amp;(MAX((1=Z$12:Z1279)*ROW(Z$12:Z1279),ROW($T$12))&amp;":T"&amp;(ROW()-1)))),Первоначальный[[#This Row],[Полученный платеж]]+Y1279),
S1279&gt;0,MIN(LOOKUP(,-1/($Z$12:Z1280=1),$C$12:C1280)+LOOKUP(,-1/($Z$12:Z1280=1),$H$12:H1280)-IF(Z1279=1,0,SUM(INDIRECT("T"&amp;(MAX((1=Z$12:Z1279)*ROW(Z$12:Z1279)+1,ROW($T$12))&amp;":T"&amp;(ROW()-1))))),Первоначальный[[#This Row],[Полученный платеж]]+Y1279)
)
)
)</f>
        <v>0</v>
      </c>
      <c r="U128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платеж]]+Y1279-Первоначальный[[#This Row],[Полученный платёж по процентам]])</f>
        <v>0</v>
      </c>
      <c r="V1280" s="55">
        <f t="shared" ca="1" si="231"/>
        <v>0</v>
      </c>
      <c r="W1280" s="55" cm="1">
        <f t="array" aca="1" ref="W1280" ca="1">IF(Первоначальный[[#This Row],[Итого остаток на начало периода]]&lt;1,0,
_xlfn.IFS(
AND(TYPE(VLOOKUP(1,$Z$12:Z1280,1,0))=16,Первоначальный[[#This Row],[Досрочное погашение (да/"")]]=""),0,
AND(S1279=0,Первоначальный[[#This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платеж]]+Y1279-SUM(Первоначальный[[#This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комиссиям]]),VLOOKUP(LOOKUP(,-1/($Z$12:Z1280=1),$A$12:A1280),График[[Срок конец]:[Возврат основной суммы долга]],3,0)),
AND(S1279=0,Первоначальный[[#This Row],[Дата платежа из графика]]="",Первоначальный[[#This Row],[Досрочное погашение (да/"")]]&lt;&gt;"Да"),0,
AND(S1279=0,Первоначальный[[#This Row],[Досрочное погашение (да/"")]]=""),MIN(Первоначальный[[#This Row],[Полученный платеж]]+Y1279-SUM(Первоначальный[[#This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комиссиям]]),VLOOKUP(LOOKUP(,-1/($Z$12:Z1280=1),$A$12:A1280),График[[Срок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платеж]]+Y1279-SUM(Первоначальный[[#This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S1279&gt;0,MIN(Первоначальный[[#This Row],[Полученный платеж]]+Y1279-SUM(Первоначальный[[#This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комиссиям]]),SUM(INDIRECT("M"&amp;(MAX((1=S$12:S1279)*ROW(S$12:S1279),ROW($W$12))&amp;":M"&amp;(ROW()))))-SUM(INDIRECT("W"&amp;(MAX((1=S$12:S1279)*ROW(S$12:S1279),ROW($W$12))&amp;":W"&amp;(ROW()-1)))))
)
)</f>
        <v>0</v>
      </c>
      <c r="X1280" s="55">
        <f t="shared" ca="1" si="232"/>
        <v>0</v>
      </c>
      <c r="Y1280" s="101">
        <f t="shared" ca="1" si="239"/>
        <v>0</v>
      </c>
      <c r="Z1280" s="133" t="str">
        <f>IF(TYPE((VLOOKUP(Первоначальный[[#This Row],[Дата платежа]],График[Срок конец],1,0)))=16,"",1)</f>
        <v/>
      </c>
      <c r="AA1280" s="57"/>
      <c r="AB1280" s="134"/>
      <c r="AC128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8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91718.920000000202</v>
      </c>
      <c r="AE128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6627.3399999999892</v>
      </c>
      <c r="AF128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8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338291.3998557374</v>
      </c>
      <c r="AH1280" s="55"/>
      <c r="AI1280" s="55"/>
      <c r="AJ1280" s="55"/>
      <c r="AK1280" s="101">
        <f t="shared" ca="1" si="240"/>
        <v>586270.99985573755</v>
      </c>
      <c r="AL1280" s="129">
        <f t="array" ref="AL1280">MAX((УслРестрактов[Характеристика]="Дата реструктуризации")*(УслРестрактов[Значение]=Первоначальный!$A1280),0)</f>
        <v>0</v>
      </c>
    </row>
    <row r="1281" spans="1:38" x14ac:dyDescent="0.25">
      <c r="A1281" s="97">
        <f t="shared" si="233"/>
        <v>45412</v>
      </c>
      <c r="B1281" s="100">
        <f t="shared" ca="1" si="234"/>
        <v>149633.34</v>
      </c>
      <c r="C1281" s="55">
        <f t="shared" ref="C1281:D1344" ca="1" si="242">AD1280+AI1280</f>
        <v>91718.920000000202</v>
      </c>
      <c r="D1281" s="55">
        <f t="shared" ca="1" si="242"/>
        <v>6627.3399999999892</v>
      </c>
      <c r="E1281" s="55">
        <f t="shared" ca="1" si="235"/>
        <v>0</v>
      </c>
      <c r="F1281" s="55">
        <f t="shared" ca="1" si="236"/>
        <v>338291.3998557374</v>
      </c>
      <c r="G1281" s="101">
        <f t="shared" ca="1" si="237"/>
        <v>586270.99985573755</v>
      </c>
      <c r="H1281" s="100">
        <f ca="1">ROUND($B1281*VLOOKUP($A1281,$A$1:$B$10,2,1)/(365+IF(MOD(YEAR($A1281),4),0,1)*($A1281-$A1280)),2)-Первоначальный[[#This Row],[Проценты на просроченный платеж по ОД за период]]</f>
        <v>69.05</v>
      </c>
      <c r="I1281" s="55">
        <f t="shared" ca="1" si="238"/>
        <v>12.31</v>
      </c>
      <c r="J1281" s="55">
        <v>0</v>
      </c>
      <c r="K1281" s="55">
        <f t="shared" ca="1" si="241"/>
        <v>564.84850327868844</v>
      </c>
      <c r="L1281" s="55">
        <v>0</v>
      </c>
      <c r="M1281" s="113">
        <f>SUMIFS(График[Возврат основной суммы долга],График[Дата с учетом нерабочих дней],$A1281)</f>
        <v>0</v>
      </c>
      <c r="N1281" s="56">
        <f>SUMIFS(График[Возврат начисленных %],График[Дата с учетом нерабочих дней],$A1281)</f>
        <v>0</v>
      </c>
      <c r="O1281" s="101">
        <v>0</v>
      </c>
      <c r="P1281" s="100" cm="1">
        <f t="array" aca="1" ref="P1281" ca="1">MAX(IF(AA1280="Да",0,SUM(INDIRECT("M"&amp;(MAX(("Да"=AA$12:AA1280)*ROW(AA$12:AA1280)+1,ROW($P$12))&amp;":M"&amp;(ROW()))))-SUM(INDIRECT("W"&amp;(MAX(("Да"=AA$12:AA1280)*ROW(AA$12:AA1280)+1,ROW($P$12))&amp;":W"&amp;(ROW()))))),0)</f>
        <v>22637.019999999997</v>
      </c>
      <c r="Q1281" s="99">
        <f ca="1">MAX(SUM($N$13:N1281)-SUM($T$13:T1281),0)</f>
        <v>90332.680655737684</v>
      </c>
      <c r="R1281" s="99">
        <f ca="1">Первоначальный[[#This Row],[Просроченный платеж по ОД]]+Первоначальный[[#This Row],[Просроченный платеж по процентам]]</f>
        <v>112969.70065573769</v>
      </c>
      <c r="S1281" s="120">
        <f ca="1">IF(Первоначальный[[#This Row],[Просроченный платеж]]&lt;1,0,S1280+1)</f>
        <v>1177</v>
      </c>
      <c r="T1281" s="100" cm="1">
        <f t="array" aca="1" ref="T1281" ca="1">IF(Первоначальный[[#This Row],[Итого остаток на начало периода]]&lt;1,0,
IF(
AND(TYPE(VLOOKUP(1,$Z$12:Z1281,1,0))=16,Первоначальный[[#This Row],[Досрочное погашение (да/"")]]=""),0,
_xlfn.IFS(AND(S1280=0,Первоначальный[[#This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платеж]]&lt;&gt;0),MIN(LOOKUP(,-1/($Z$12:Z1281=1),$C$12:C1281)+LOOKUP(,-1/($Z$12:Z1281=1),$H$12:H1281),Первоначальный[[#This Row],[Полученный платеж]]+Y1280),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платеж]]+Y1280,SUM(Первоначальный[[#This Row],[Остаток процентов на начало периода]],Первоначальный[[#This Row],[Проценты за период]])),
AND(S1280=0,Первоначальный[[#This Row],[Дата платежа из графика]]=""),0,
AND(S1280=0,Первоначальный[[#This Row],[Дата платежа из графика]]=1,MAX((0&lt;&gt;S$12:S1280)*ROW(S$12:S1280),ROW($S$12))&gt;=MAX((1=Z$12:Z1280)*ROW(Z$12:Z1280),ROW($T$12)),TYPE(VLOOKUP("Да",(INDIRECT("AA"&amp;(MAX((1=Z$12:Z1280)*ROW(Z$12:Z1280),ROW($T$12))&amp;":AA"&amp;(ROW()-1)))),1,0))=16),MIN(LOOKUP(,-1/($Z$12:Z1281=1),$C$12:C1281)+LOOKUP(,-1/($Z$12:Z1281=1),$H$12:H1281),Первоначальный[[#This Row],[Полученный платеж]]+Y1280),
AND(S1280=0,TYPE(VLOOKUP("Да",(INDIRECT("AA"&amp;(MAX((1=Z$12:Z1280)*ROW(Z$12:Z1280),ROW($T$12))&amp;":AA"&amp;(ROW()-1)))),1,0))&lt;&gt;16),MIN(LOOKUP(,-1/($Z$12:Z1281=1),$C$12:C1281)+LOOKUP(,-1/($Z$12:Z1281=1),$H$12:H1281)-IF(AA1280="Да",0,SUM(INDIRECT("T"&amp;(MAX(("Да"=AA$12:AA1280)*ROW(AA$12:AA1280)+1,ROW($T$12))&amp;":T"&amp;(ROW()-1))))),Первоначальный[[#This Row],[Полученный платеж]]+Y1280),
AND(S1280=0,MAX((0&lt;&gt;N$12:N1280)*ROW(N$12:N1280),ROW($S$12))&gt;=MAX((1=Z$12:Z1280)*ROW(Z$12:Z1280),ROW($T$12))),MIN(LOOKUP(,-1/($Z$12:Z1281=1),$C$12:C1281)+LOOKUP(,-1/($Z$12:Z1281=1),$H$12:H1281)-IF(N1280&lt;&gt;0,0,SUM(INDIRECT("T"&amp;(MAX((0&lt;&gt;N$12:N1280)*ROW(N$12:N1280)+1,ROW($T$12))&amp;":T"&amp;(ROW()-1))))),Первоначальный[[#This Row],[Полученный платеж]]+Y1280),
AND(S1280=0,Первоначальный[[#This Row],[Дата платежа из графика]]=1),MIN(LOOKUP(,-1/($Z$12:Z1281=1),$C$12:C1281)+LOOKUP(,-1/($Z$12:Z1281=1),$H$12:H1281)-IF(Z1280=1,0,SUM(INDIRECT("T"&amp;(MAX((1=Z$12:Z1280)*ROW(Z$12:Z1280)+1,ROW($T$12))&amp;":T"&amp;(ROW()-1))))),Первоначальный[[#This Row],[Полученный платеж]]+Y1280),
AND(Z1280&gt;0,Первоначальный[[#This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платеж]]+Y1280),
AND(S1280&gt;0,MAX((0&lt;&gt;S$12:S1280)*ROW(S$12:S1280),ROW($S$12))&gt;=MAX((1=Z$12:Z1280)*ROW(Z$12:Z1280),ROW($T$12)),TYPE(VLOOKUP("Да",(INDIRECT("AA"&amp;(MAX((1=Z$12:Z1280)*ROW(Z$12:Z1280),ROW($T$12))&amp;":AA"&amp;(ROW()-1)))),1,0))=16),MIN(LOOKUP(,-1/($Z$12:Z1281=1),$C$12:C1281)+LOOKUP(,-1/($Z$12:Z1281=1),$H$12:H1281)-SUM(INDIRECT("T"&amp;(MAX((1=Z$12:Z1280)*ROW(Z$12:Z1280),ROW($T$12))&amp;":T"&amp;(ROW()-1)))),Первоначальный[[#This Row],[Полученный платеж]]+Y1280),
S1280&gt;0,MIN(LOOKUP(,-1/($Z$12:Z1281=1),$C$12:C1281)+LOOKUP(,-1/($Z$12:Z1281=1),$H$12:H1281)-IF(Z1280=1,0,SUM(INDIRECT("T"&amp;(MAX((1=Z$12:Z1280)*ROW(Z$12:Z1280)+1,ROW($T$12))&amp;":T"&amp;(ROW()-1))))),Первоначальный[[#This Row],[Полученный платеж]]+Y1280)
)
)
)</f>
        <v>0</v>
      </c>
      <c r="U128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платеж]]+Y1280-Первоначальный[[#This Row],[Полученный платёж по процентам]])</f>
        <v>0</v>
      </c>
      <c r="V1281" s="55">
        <f t="shared" ca="1" si="231"/>
        <v>0</v>
      </c>
      <c r="W1281" s="55" cm="1">
        <f t="array" aca="1" ref="W1281" ca="1">IF(Первоначальный[[#This Row],[Итого остаток на начало периода]]&lt;1,0,
_xlfn.IFS(
AND(TYPE(VLOOKUP(1,$Z$12:Z1281,1,0))=16,Первоначальный[[#This Row],[Досрочное погашение (да/"")]]=""),0,
AND(S1280=0,Первоначальный[[#This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платеж]]+Y1280-SUM(Первоначальный[[#This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комиссиям]]),VLOOKUP(LOOKUP(,-1/($Z$12:Z1281=1),$A$12:A1281),График[[Срок конец]:[Возврат основной суммы долга]],3,0)),
AND(S1280=0,Первоначальный[[#This Row],[Дата платежа из графика]]="",Первоначальный[[#This Row],[Досрочное погашение (да/"")]]&lt;&gt;"Да"),0,
AND(S1280=0,Первоначальный[[#This Row],[Досрочное погашение (да/"")]]=""),MIN(Первоначальный[[#This Row],[Полученный платеж]]+Y1280-SUM(Первоначальный[[#This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комиссиям]]),VLOOKUP(LOOKUP(,-1/($Z$12:Z1281=1),$A$12:A1281),График[[Срок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платеж]]+Y1280-SUM(Первоначальный[[#This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S1280&gt;0,MIN(Первоначальный[[#This Row],[Полученный платеж]]+Y1280-SUM(Первоначальный[[#This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комиссиям]]),SUM(INDIRECT("M"&amp;(MAX((1=S$12:S1280)*ROW(S$12:S1280),ROW($W$12))&amp;":M"&amp;(ROW()))))-SUM(INDIRECT("W"&amp;(MAX((1=S$12:S1280)*ROW(S$12:S1280),ROW($W$12))&amp;":W"&amp;(ROW()-1)))))
)
)</f>
        <v>0</v>
      </c>
      <c r="X1281" s="55">
        <f t="shared" ca="1" si="232"/>
        <v>0</v>
      </c>
      <c r="Y1281" s="101">
        <f t="shared" ca="1" si="239"/>
        <v>0</v>
      </c>
      <c r="Z1281" s="133" t="str">
        <f>IF(TYPE((VLOOKUP(Первоначальный[[#This Row],[Дата платежа]],График[Срок конец],1,0)))=16,"",1)</f>
        <v/>
      </c>
      <c r="AA1281" s="57"/>
      <c r="AB1281" s="134"/>
      <c r="AC128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8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91787.970000000205</v>
      </c>
      <c r="AE128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6639.6499999999896</v>
      </c>
      <c r="AF128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8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338856.24835901608</v>
      </c>
      <c r="AH1281" s="55"/>
      <c r="AI1281" s="55"/>
      <c r="AJ1281" s="55"/>
      <c r="AK1281" s="101">
        <f t="shared" ca="1" si="240"/>
        <v>586917.20835901634</v>
      </c>
      <c r="AL1281" s="129">
        <f t="array" ref="AL1281">MAX((УслРестрактов[Характеристика]="Дата реструктуризации")*(УслРестрактов[Значение]=Первоначальный!$A1281),0)</f>
        <v>0</v>
      </c>
    </row>
    <row r="1282" spans="1:38" x14ac:dyDescent="0.25">
      <c r="A1282" s="97">
        <f t="shared" si="233"/>
        <v>45413</v>
      </c>
      <c r="B1282" s="100">
        <f t="shared" ca="1" si="234"/>
        <v>149633.34</v>
      </c>
      <c r="C1282" s="55">
        <f t="shared" ca="1" si="242"/>
        <v>91787.970000000205</v>
      </c>
      <c r="D1282" s="55">
        <f t="shared" ca="1" si="242"/>
        <v>6639.6499999999896</v>
      </c>
      <c r="E1282" s="55">
        <f t="shared" ca="1" si="235"/>
        <v>0</v>
      </c>
      <c r="F1282" s="55">
        <f t="shared" ca="1" si="236"/>
        <v>338856.24835901608</v>
      </c>
      <c r="G1282" s="101">
        <f t="shared" ca="1" si="237"/>
        <v>586917.20835901634</v>
      </c>
      <c r="H1282" s="100">
        <f ca="1">ROUND($B1282*VLOOKUP($A1282,$A$1:$B$10,2,1)/(365+IF(MOD(YEAR($A1282),4),0,1)*($A1282-$A1281)),2)-Первоначальный[[#This Row],[Проценты на просроченный платеж по ОД за период]]</f>
        <v>69.05</v>
      </c>
      <c r="I1282" s="55">
        <f t="shared" ca="1" si="238"/>
        <v>12.31</v>
      </c>
      <c r="J1282" s="55">
        <v>0</v>
      </c>
      <c r="K1282" s="55">
        <f t="shared" ca="1" si="241"/>
        <v>564.84850327868844</v>
      </c>
      <c r="L1282" s="55">
        <v>0</v>
      </c>
      <c r="M1282" s="113">
        <f>SUMIFS(График[Возврат основной суммы долга],График[Дата с учетом нерабочих дней],$A1282)</f>
        <v>0</v>
      </c>
      <c r="N1282" s="56">
        <f>SUMIFS(График[Возврат начисленных %],График[Дата с учетом нерабочих дней],$A1282)</f>
        <v>0</v>
      </c>
      <c r="O1282" s="101">
        <v>0</v>
      </c>
      <c r="P1282" s="100" cm="1">
        <f t="array" aca="1" ref="P1282" ca="1">MAX(IF(AA1281="Да",0,SUM(INDIRECT("M"&amp;(MAX(("Да"=AA$12:AA1281)*ROW(AA$12:AA1281)+1,ROW($P$12))&amp;":M"&amp;(ROW()))))-SUM(INDIRECT("W"&amp;(MAX(("Да"=AA$12:AA1281)*ROW(AA$12:AA1281)+1,ROW($P$12))&amp;":W"&amp;(ROW()))))),0)</f>
        <v>22637.019999999997</v>
      </c>
      <c r="Q1282" s="99">
        <f ca="1">MAX(SUM($N$13:N1282)-SUM($T$13:T1282),0)</f>
        <v>90332.680655737684</v>
      </c>
      <c r="R1282" s="99">
        <f ca="1">Первоначальный[[#This Row],[Просроченный платеж по ОД]]+Первоначальный[[#This Row],[Просроченный платеж по процентам]]</f>
        <v>112969.70065573769</v>
      </c>
      <c r="S1282" s="120">
        <f ca="1">IF(Первоначальный[[#This Row],[Просроченный платеж]]&lt;1,0,S1281+1)</f>
        <v>1178</v>
      </c>
      <c r="T1282" s="100" cm="1">
        <f t="array" aca="1" ref="T1282" ca="1">IF(Первоначальный[[#This Row],[Итого остаток на начало периода]]&lt;1,0,
IF(
AND(TYPE(VLOOKUP(1,$Z$12:Z1282,1,0))=16,Первоначальный[[#This Row],[Досрочное погашение (да/"")]]=""),0,
_xlfn.IFS(AND(S1281=0,Первоначальный[[#This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платеж]]&lt;&gt;0),MIN(LOOKUP(,-1/($Z$12:Z1282=1),$C$12:C1282)+LOOKUP(,-1/($Z$12:Z1282=1),$H$12:H1282),Первоначальный[[#This Row],[Полученный платеж]]+Y1281),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платеж]]+Y1281,SUM(Первоначальный[[#This Row],[Остаток процентов на начало периода]],Первоначальный[[#This Row],[Проценты за период]])),
AND(S1281=0,Первоначальный[[#This Row],[Дата платежа из графика]]=""),0,
AND(S1281=0,Первоначальный[[#This Row],[Дата платежа из графика]]=1,MAX((0&lt;&gt;S$12:S1281)*ROW(S$12:S1281),ROW($S$12))&gt;=MAX((1=Z$12:Z1281)*ROW(Z$12:Z1281),ROW($T$12)),TYPE(VLOOKUP("Да",(INDIRECT("AA"&amp;(MAX((1=Z$12:Z1281)*ROW(Z$12:Z1281),ROW($T$12))&amp;":AA"&amp;(ROW()-1)))),1,0))=16),MIN(LOOKUP(,-1/($Z$12:Z1282=1),$C$12:C1282)+LOOKUP(,-1/($Z$12:Z1282=1),$H$12:H1282),Первоначальный[[#This Row],[Полученный платеж]]+Y1281),
AND(S1281=0,TYPE(VLOOKUP("Да",(INDIRECT("AA"&amp;(MAX((1=Z$12:Z1281)*ROW(Z$12:Z1281),ROW($T$12))&amp;":AA"&amp;(ROW()-1)))),1,0))&lt;&gt;16),MIN(LOOKUP(,-1/($Z$12:Z1282=1),$C$12:C1282)+LOOKUP(,-1/($Z$12:Z1282=1),$H$12:H1282)-IF(AA1281="Да",0,SUM(INDIRECT("T"&amp;(MAX(("Да"=AA$12:AA1281)*ROW(AA$12:AA1281)+1,ROW($T$12))&amp;":T"&amp;(ROW()-1))))),Первоначальный[[#This Row],[Полученный платеж]]+Y1281),
AND(S1281=0,MAX((0&lt;&gt;N$12:N1281)*ROW(N$12:N1281),ROW($S$12))&gt;=MAX((1=Z$12:Z1281)*ROW(Z$12:Z1281),ROW($T$12))),MIN(LOOKUP(,-1/($Z$12:Z1282=1),$C$12:C1282)+LOOKUP(,-1/($Z$12:Z1282=1),$H$12:H1282)-IF(N1281&lt;&gt;0,0,SUM(INDIRECT("T"&amp;(MAX((0&lt;&gt;N$12:N1281)*ROW(N$12:N1281)+1,ROW($T$12))&amp;":T"&amp;(ROW()-1))))),Первоначальный[[#This Row],[Полученный платеж]]+Y1281),
AND(S1281=0,Первоначальный[[#This Row],[Дата платежа из графика]]=1),MIN(LOOKUP(,-1/($Z$12:Z1282=1),$C$12:C1282)+LOOKUP(,-1/($Z$12:Z1282=1),$H$12:H1282)-IF(Z1281=1,0,SUM(INDIRECT("T"&amp;(MAX((1=Z$12:Z1281)*ROW(Z$12:Z1281)+1,ROW($T$12))&amp;":T"&amp;(ROW()-1))))),Первоначальный[[#This Row],[Полученный платеж]]+Y1281),
AND(Z1281&gt;0,Первоначальный[[#This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платеж]]+Y1281),
AND(S1281&gt;0,MAX((0&lt;&gt;S$12:S1281)*ROW(S$12:S1281),ROW($S$12))&gt;=MAX((1=Z$12:Z1281)*ROW(Z$12:Z1281),ROW($T$12)),TYPE(VLOOKUP("Да",(INDIRECT("AA"&amp;(MAX((1=Z$12:Z1281)*ROW(Z$12:Z1281),ROW($T$12))&amp;":AA"&amp;(ROW()-1)))),1,0))=16),MIN(LOOKUP(,-1/($Z$12:Z1282=1),$C$12:C1282)+LOOKUP(,-1/($Z$12:Z1282=1),$H$12:H1282)-SUM(INDIRECT("T"&amp;(MAX((1=Z$12:Z1281)*ROW(Z$12:Z1281),ROW($T$12))&amp;":T"&amp;(ROW()-1)))),Первоначальный[[#This Row],[Полученный платеж]]+Y1281),
S1281&gt;0,MIN(LOOKUP(,-1/($Z$12:Z1282=1),$C$12:C1282)+LOOKUP(,-1/($Z$12:Z1282=1),$H$12:H1282)-IF(Z1281=1,0,SUM(INDIRECT("T"&amp;(MAX((1=Z$12:Z1281)*ROW(Z$12:Z1281)+1,ROW($T$12))&amp;":T"&amp;(ROW()-1))))),Первоначальный[[#This Row],[Полученный платеж]]+Y1281)
)
)
)</f>
        <v>0</v>
      </c>
      <c r="U128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платеж]]+Y1281-Первоначальный[[#This Row],[Полученный платёж по процентам]])</f>
        <v>0</v>
      </c>
      <c r="V1282" s="55">
        <f t="shared" ca="1" si="231"/>
        <v>0</v>
      </c>
      <c r="W1282" s="55" cm="1">
        <f t="array" aca="1" ref="W1282" ca="1">IF(Первоначальный[[#This Row],[Итого остаток на начало периода]]&lt;1,0,
_xlfn.IFS(
AND(TYPE(VLOOKUP(1,$Z$12:Z1282,1,0))=16,Первоначальный[[#This Row],[Досрочное погашение (да/"")]]=""),0,
AND(S1281=0,Первоначальный[[#This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платеж]]+Y1281-SUM(Первоначальный[[#This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комиссиям]]),VLOOKUP(LOOKUP(,-1/($Z$12:Z1282=1),$A$12:A1282),График[[Срок конец]:[Возврат основной суммы долга]],3,0)),
AND(S1281=0,Первоначальный[[#This Row],[Дата платежа из графика]]="",Первоначальный[[#This Row],[Досрочное погашение (да/"")]]&lt;&gt;"Да"),0,
AND(S1281=0,Первоначальный[[#This Row],[Досрочное погашение (да/"")]]=""),MIN(Первоначальный[[#This Row],[Полученный платеж]]+Y1281-SUM(Первоначальный[[#This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комиссиям]]),VLOOKUP(LOOKUP(,-1/($Z$12:Z1282=1),$A$12:A1282),График[[Срок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платеж]]+Y1281-SUM(Первоначальный[[#This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S1281&gt;0,MIN(Первоначальный[[#This Row],[Полученный платеж]]+Y1281-SUM(Первоначальный[[#This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комиссиям]]),SUM(INDIRECT("M"&amp;(MAX((1=S$12:S1281)*ROW(S$12:S1281),ROW($W$12))&amp;":M"&amp;(ROW()))))-SUM(INDIRECT("W"&amp;(MAX((1=S$12:S1281)*ROW(S$12:S1281),ROW($W$12))&amp;":W"&amp;(ROW()-1)))))
)
)</f>
        <v>0</v>
      </c>
      <c r="X1282" s="55">
        <f t="shared" ca="1" si="232"/>
        <v>0</v>
      </c>
      <c r="Y1282" s="101">
        <f t="shared" ca="1" si="239"/>
        <v>0</v>
      </c>
      <c r="Z1282" s="133" t="str">
        <f>IF(TYPE((VLOOKUP(Первоначальный[[#This Row],[Дата платежа]],График[Срок конец],1,0)))=16,"",1)</f>
        <v/>
      </c>
      <c r="AA1282" s="57"/>
      <c r="AB1282" s="134"/>
      <c r="AC128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8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91857.020000000208</v>
      </c>
      <c r="AE128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6651.95999999999</v>
      </c>
      <c r="AF128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8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339421.09686229477</v>
      </c>
      <c r="AH1282" s="55"/>
      <c r="AI1282" s="55"/>
      <c r="AJ1282" s="55"/>
      <c r="AK1282" s="101">
        <f t="shared" ca="1" si="240"/>
        <v>587563.41686229501</v>
      </c>
      <c r="AL1282" s="129">
        <f t="array" ref="AL1282">MAX((УслРестрактов[Характеристика]="Дата реструктуризации")*(УслРестрактов[Значение]=Первоначальный!$A1282),0)</f>
        <v>0</v>
      </c>
    </row>
    <row r="1283" spans="1:38" x14ac:dyDescent="0.25">
      <c r="A1283" s="97">
        <f t="shared" si="233"/>
        <v>45414</v>
      </c>
      <c r="B1283" s="100">
        <f t="shared" ca="1" si="234"/>
        <v>149633.34</v>
      </c>
      <c r="C1283" s="55">
        <f t="shared" ca="1" si="242"/>
        <v>91857.020000000208</v>
      </c>
      <c r="D1283" s="55">
        <f t="shared" ca="1" si="242"/>
        <v>6651.95999999999</v>
      </c>
      <c r="E1283" s="55">
        <f t="shared" ca="1" si="235"/>
        <v>0</v>
      </c>
      <c r="F1283" s="55">
        <f t="shared" ca="1" si="236"/>
        <v>339421.09686229477</v>
      </c>
      <c r="G1283" s="101">
        <f t="shared" ca="1" si="237"/>
        <v>587563.41686229501</v>
      </c>
      <c r="H1283" s="100">
        <f ca="1">ROUND($B1283*VLOOKUP($A1283,$A$1:$B$10,2,1)/(365+IF(MOD(YEAR($A1283),4),0,1)*($A1283-$A1282)),2)-Первоначальный[[#This Row],[Проценты на просроченный платеж по ОД за период]]</f>
        <v>69.05</v>
      </c>
      <c r="I1283" s="55">
        <f t="shared" ca="1" si="238"/>
        <v>12.31</v>
      </c>
      <c r="J1283" s="55">
        <v>0</v>
      </c>
      <c r="K1283" s="55">
        <f t="shared" ca="1" si="241"/>
        <v>564.84850327868844</v>
      </c>
      <c r="L1283" s="55">
        <v>0</v>
      </c>
      <c r="M1283" s="113">
        <f>SUMIFS(График[Возврат основной суммы долга],График[Дата с учетом нерабочих дней],$A1283)</f>
        <v>0</v>
      </c>
      <c r="N1283" s="56">
        <f>SUMIFS(График[Возврат начисленных %],График[Дата с учетом нерабочих дней],$A1283)</f>
        <v>0</v>
      </c>
      <c r="O1283" s="101">
        <v>0</v>
      </c>
      <c r="P1283" s="100" cm="1">
        <f t="array" aca="1" ref="P1283" ca="1">MAX(IF(AA1282="Да",0,SUM(INDIRECT("M"&amp;(MAX(("Да"=AA$12:AA1282)*ROW(AA$12:AA1282)+1,ROW($P$12))&amp;":M"&amp;(ROW()))))-SUM(INDIRECT("W"&amp;(MAX(("Да"=AA$12:AA1282)*ROW(AA$12:AA1282)+1,ROW($P$12))&amp;":W"&amp;(ROW()))))),0)</f>
        <v>22637.019999999997</v>
      </c>
      <c r="Q1283" s="99">
        <f ca="1">MAX(SUM($N$13:N1283)-SUM($T$13:T1283),0)</f>
        <v>90332.680655737684</v>
      </c>
      <c r="R1283" s="99">
        <f ca="1">Первоначальный[[#This Row],[Просроченный платеж по ОД]]+Первоначальный[[#This Row],[Просроченный платеж по процентам]]</f>
        <v>112969.70065573769</v>
      </c>
      <c r="S1283" s="120">
        <f ca="1">IF(Первоначальный[[#This Row],[Просроченный платеж]]&lt;1,0,S1282+1)</f>
        <v>1179</v>
      </c>
      <c r="T1283" s="100" cm="1">
        <f t="array" aca="1" ref="T1283" ca="1">IF(Первоначальный[[#This Row],[Итого остаток на начало периода]]&lt;1,0,
IF(
AND(TYPE(VLOOKUP(1,$Z$12:Z1283,1,0))=16,Первоначальный[[#This Row],[Досрочное погашение (да/"")]]=""),0,
_xlfn.IFS(AND(S1282=0,Первоначальный[[#This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платеж]]&lt;&gt;0),MIN(LOOKUP(,-1/($Z$12:Z1283=1),$C$12:C1283)+LOOKUP(,-1/($Z$12:Z1283=1),$H$12:H1283),Первоначальный[[#This Row],[Полученный платеж]]+Y1282),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платеж]]+Y1282,SUM(Первоначальный[[#This Row],[Остаток процентов на начало периода]],Первоначальный[[#This Row],[Проценты за период]])),
AND(S1282=0,Первоначальный[[#This Row],[Дата платежа из графика]]=""),0,
AND(S1282=0,Первоначальный[[#This Row],[Дата платежа из графика]]=1,MAX((0&lt;&gt;S$12:S1282)*ROW(S$12:S1282),ROW($S$12))&gt;=MAX((1=Z$12:Z1282)*ROW(Z$12:Z1282),ROW($T$12)),TYPE(VLOOKUP("Да",(INDIRECT("AA"&amp;(MAX((1=Z$12:Z1282)*ROW(Z$12:Z1282),ROW($T$12))&amp;":AA"&amp;(ROW()-1)))),1,0))=16),MIN(LOOKUP(,-1/($Z$12:Z1283=1),$C$12:C1283)+LOOKUP(,-1/($Z$12:Z1283=1),$H$12:H1283),Первоначальный[[#This Row],[Полученный платеж]]+Y1282),
AND(S1282=0,TYPE(VLOOKUP("Да",(INDIRECT("AA"&amp;(MAX((1=Z$12:Z1282)*ROW(Z$12:Z1282),ROW($T$12))&amp;":AA"&amp;(ROW()-1)))),1,0))&lt;&gt;16),MIN(LOOKUP(,-1/($Z$12:Z1283=1),$C$12:C1283)+LOOKUP(,-1/($Z$12:Z1283=1),$H$12:H1283)-IF(AA1282="Да",0,SUM(INDIRECT("T"&amp;(MAX(("Да"=AA$12:AA1282)*ROW(AA$12:AA1282)+1,ROW($T$12))&amp;":T"&amp;(ROW()-1))))),Первоначальный[[#This Row],[Полученный платеж]]+Y1282),
AND(S1282=0,MAX((0&lt;&gt;N$12:N1282)*ROW(N$12:N1282),ROW($S$12))&gt;=MAX((1=Z$12:Z1282)*ROW(Z$12:Z1282),ROW($T$12))),MIN(LOOKUP(,-1/($Z$12:Z1283=1),$C$12:C1283)+LOOKUP(,-1/($Z$12:Z1283=1),$H$12:H1283)-IF(N1282&lt;&gt;0,0,SUM(INDIRECT("T"&amp;(MAX((0&lt;&gt;N$12:N1282)*ROW(N$12:N1282)+1,ROW($T$12))&amp;":T"&amp;(ROW()-1))))),Первоначальный[[#This Row],[Полученный платеж]]+Y1282),
AND(S1282=0,Первоначальный[[#This Row],[Дата платежа из графика]]=1),MIN(LOOKUP(,-1/($Z$12:Z1283=1),$C$12:C1283)+LOOKUP(,-1/($Z$12:Z1283=1),$H$12:H1283)-IF(Z1282=1,0,SUM(INDIRECT("T"&amp;(MAX((1=Z$12:Z1282)*ROW(Z$12:Z1282)+1,ROW($T$12))&amp;":T"&amp;(ROW()-1))))),Первоначальный[[#This Row],[Полученный платеж]]+Y1282),
AND(Z1282&gt;0,Первоначальный[[#This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платеж]]+Y1282),
AND(S1282&gt;0,MAX((0&lt;&gt;S$12:S1282)*ROW(S$12:S1282),ROW($S$12))&gt;=MAX((1=Z$12:Z1282)*ROW(Z$12:Z1282),ROW($T$12)),TYPE(VLOOKUP("Да",(INDIRECT("AA"&amp;(MAX((1=Z$12:Z1282)*ROW(Z$12:Z1282),ROW($T$12))&amp;":AA"&amp;(ROW()-1)))),1,0))=16),MIN(LOOKUP(,-1/($Z$12:Z1283=1),$C$12:C1283)+LOOKUP(,-1/($Z$12:Z1283=1),$H$12:H1283)-SUM(INDIRECT("T"&amp;(MAX((1=Z$12:Z1282)*ROW(Z$12:Z1282),ROW($T$12))&amp;":T"&amp;(ROW()-1)))),Первоначальный[[#This Row],[Полученный платеж]]+Y1282),
S1282&gt;0,MIN(LOOKUP(,-1/($Z$12:Z1283=1),$C$12:C1283)+LOOKUP(,-1/($Z$12:Z1283=1),$H$12:H1283)-IF(Z1282=1,0,SUM(INDIRECT("T"&amp;(MAX((1=Z$12:Z1282)*ROW(Z$12:Z1282)+1,ROW($T$12))&amp;":T"&amp;(ROW()-1))))),Первоначальный[[#This Row],[Полученный платеж]]+Y1282)
)
)
)</f>
        <v>0</v>
      </c>
      <c r="U128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платеж]]+Y1282-Первоначальный[[#This Row],[Полученный платёж по процентам]])</f>
        <v>0</v>
      </c>
      <c r="V1283" s="55">
        <f t="shared" ca="1" si="231"/>
        <v>0</v>
      </c>
      <c r="W1283" s="55" cm="1">
        <f t="array" aca="1" ref="W1283" ca="1">IF(Первоначальный[[#This Row],[Итого остаток на начало периода]]&lt;1,0,
_xlfn.IFS(
AND(TYPE(VLOOKUP(1,$Z$12:Z1283,1,0))=16,Первоначальный[[#This Row],[Досрочное погашение (да/"")]]=""),0,
AND(S1282=0,Первоначальный[[#This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платеж]]+Y1282-SUM(Первоначальный[[#This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комиссиям]]),VLOOKUP(LOOKUP(,-1/($Z$12:Z1283=1),$A$12:A1283),График[[Срок конец]:[Возврат основной суммы долга]],3,0)),
AND(S1282=0,Первоначальный[[#This Row],[Дата платежа из графика]]="",Первоначальный[[#This Row],[Досрочное погашение (да/"")]]&lt;&gt;"Да"),0,
AND(S1282=0,Первоначальный[[#This Row],[Досрочное погашение (да/"")]]=""),MIN(Первоначальный[[#This Row],[Полученный платеж]]+Y1282-SUM(Первоначальный[[#This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комиссиям]]),VLOOKUP(LOOKUP(,-1/($Z$12:Z1283=1),$A$12:A1283),График[[Срок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платеж]]+Y1282-SUM(Первоначальный[[#This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S1282&gt;0,MIN(Первоначальный[[#This Row],[Полученный платеж]]+Y1282-SUM(Первоначальный[[#This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комиссиям]]),SUM(INDIRECT("M"&amp;(MAX((1=S$12:S1282)*ROW(S$12:S1282),ROW($W$12))&amp;":M"&amp;(ROW()))))-SUM(INDIRECT("W"&amp;(MAX((1=S$12:S1282)*ROW(S$12:S1282),ROW($W$12))&amp;":W"&amp;(ROW()-1)))))
)
)</f>
        <v>0</v>
      </c>
      <c r="X1283" s="55">
        <f t="shared" ca="1" si="232"/>
        <v>0</v>
      </c>
      <c r="Y1283" s="101">
        <f t="shared" ca="1" si="239"/>
        <v>0</v>
      </c>
      <c r="Z1283" s="133" t="str">
        <f>IF(TYPE((VLOOKUP(Первоначальный[[#This Row],[Дата платежа]],График[Срок конец],1,0)))=16,"",1)</f>
        <v/>
      </c>
      <c r="AA1283" s="57"/>
      <c r="AB1283" s="134"/>
      <c r="AC128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8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91926.070000000211</v>
      </c>
      <c r="AE128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6664.2699999999904</v>
      </c>
      <c r="AF128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8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339985.94536557345</v>
      </c>
      <c r="AH1283" s="55"/>
      <c r="AI1283" s="55"/>
      <c r="AJ1283" s="55"/>
      <c r="AK1283" s="101">
        <f t="shared" ca="1" si="240"/>
        <v>588209.62536557368</v>
      </c>
      <c r="AL1283" s="129">
        <f t="array" ref="AL1283">MAX((УслРестрактов[Характеристика]="Дата реструктуризации")*(УслРестрактов[Значение]=Первоначальный!$A1283),0)</f>
        <v>0</v>
      </c>
    </row>
    <row r="1284" spans="1:38" x14ac:dyDescent="0.25">
      <c r="A1284" s="97">
        <f t="shared" si="233"/>
        <v>45415</v>
      </c>
      <c r="B1284" s="100">
        <f t="shared" ca="1" si="234"/>
        <v>149633.34</v>
      </c>
      <c r="C1284" s="55">
        <f t="shared" ca="1" si="242"/>
        <v>91926.070000000211</v>
      </c>
      <c r="D1284" s="55">
        <f t="shared" ca="1" si="242"/>
        <v>6664.2699999999904</v>
      </c>
      <c r="E1284" s="55">
        <f t="shared" ca="1" si="235"/>
        <v>0</v>
      </c>
      <c r="F1284" s="55">
        <f t="shared" ca="1" si="236"/>
        <v>339985.94536557345</v>
      </c>
      <c r="G1284" s="101">
        <f t="shared" ca="1" si="237"/>
        <v>588209.62536557368</v>
      </c>
      <c r="H1284" s="100">
        <f ca="1">ROUND($B1284*VLOOKUP($A1284,$A$1:$B$10,2,1)/(365+IF(MOD(YEAR($A1284),4),0,1)*($A1284-$A1283)),2)-Первоначальный[[#This Row],[Проценты на просроченный платеж по ОД за период]]</f>
        <v>69.05</v>
      </c>
      <c r="I1284" s="55">
        <f t="shared" ca="1" si="238"/>
        <v>12.31</v>
      </c>
      <c r="J1284" s="55">
        <v>0</v>
      </c>
      <c r="K1284" s="55">
        <f t="shared" ca="1" si="241"/>
        <v>564.84850327868844</v>
      </c>
      <c r="L1284" s="55">
        <v>0</v>
      </c>
      <c r="M1284" s="113">
        <f>SUMIFS(График[Возврат основной суммы долга],График[Дата с учетом нерабочих дней],$A1284)</f>
        <v>0</v>
      </c>
      <c r="N1284" s="56">
        <f>SUMIFS(График[Возврат начисленных %],График[Дата с учетом нерабочих дней],$A1284)</f>
        <v>0</v>
      </c>
      <c r="O1284" s="101">
        <v>0</v>
      </c>
      <c r="P1284" s="100" cm="1">
        <f t="array" aca="1" ref="P1284" ca="1">MAX(IF(AA1283="Да",0,SUM(INDIRECT("M"&amp;(MAX(("Да"=AA$12:AA1283)*ROW(AA$12:AA1283)+1,ROW($P$12))&amp;":M"&amp;(ROW()))))-SUM(INDIRECT("W"&amp;(MAX(("Да"=AA$12:AA1283)*ROW(AA$12:AA1283)+1,ROW($P$12))&amp;":W"&amp;(ROW()))))),0)</f>
        <v>22637.019999999997</v>
      </c>
      <c r="Q1284" s="99">
        <f ca="1">MAX(SUM($N$13:N1284)-SUM($T$13:T1284),0)</f>
        <v>90332.680655737684</v>
      </c>
      <c r="R1284" s="99">
        <f ca="1">Первоначальный[[#This Row],[Просроченный платеж по ОД]]+Первоначальный[[#This Row],[Просроченный платеж по процентам]]</f>
        <v>112969.70065573769</v>
      </c>
      <c r="S1284" s="120">
        <f ca="1">IF(Первоначальный[[#This Row],[Просроченный платеж]]&lt;1,0,S1283+1)</f>
        <v>1180</v>
      </c>
      <c r="T1284" s="100" cm="1">
        <f t="array" aca="1" ref="T1284" ca="1">IF(Первоначальный[[#This Row],[Итого остаток на начало периода]]&lt;1,0,
IF(
AND(TYPE(VLOOKUP(1,$Z$12:Z1284,1,0))=16,Первоначальный[[#This Row],[Досрочное погашение (да/"")]]=""),0,
_xlfn.IFS(AND(S1283=0,Первоначальный[[#This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платеж]]&lt;&gt;0),MIN(LOOKUP(,-1/($Z$12:Z1284=1),$C$12:C1284)+LOOKUP(,-1/($Z$12:Z1284=1),$H$12:H1284),Первоначальный[[#This Row],[Полученный платеж]]+Y1283),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платеж]]+Y1283,SUM(Первоначальный[[#This Row],[Остаток процентов на начало периода]],Первоначальный[[#This Row],[Проценты за период]])),
AND(S1283=0,Первоначальный[[#This Row],[Дата платежа из графика]]=""),0,
AND(S1283=0,Первоначальный[[#This Row],[Дата платежа из графика]]=1,MAX((0&lt;&gt;S$12:S1283)*ROW(S$12:S1283),ROW($S$12))&gt;=MAX((1=Z$12:Z1283)*ROW(Z$12:Z1283),ROW($T$12)),TYPE(VLOOKUP("Да",(INDIRECT("AA"&amp;(MAX((1=Z$12:Z1283)*ROW(Z$12:Z1283),ROW($T$12))&amp;":AA"&amp;(ROW()-1)))),1,0))=16),MIN(LOOKUP(,-1/($Z$12:Z1284=1),$C$12:C1284)+LOOKUP(,-1/($Z$12:Z1284=1),$H$12:H1284),Первоначальный[[#This Row],[Полученный платеж]]+Y1283),
AND(S1283=0,TYPE(VLOOKUP("Да",(INDIRECT("AA"&amp;(MAX((1=Z$12:Z1283)*ROW(Z$12:Z1283),ROW($T$12))&amp;":AA"&amp;(ROW()-1)))),1,0))&lt;&gt;16),MIN(LOOKUP(,-1/($Z$12:Z1284=1),$C$12:C1284)+LOOKUP(,-1/($Z$12:Z1284=1),$H$12:H1284)-IF(AA1283="Да",0,SUM(INDIRECT("T"&amp;(MAX(("Да"=AA$12:AA1283)*ROW(AA$12:AA1283)+1,ROW($T$12))&amp;":T"&amp;(ROW()-1))))),Первоначальный[[#This Row],[Полученный платеж]]+Y1283),
AND(S1283=0,MAX((0&lt;&gt;N$12:N1283)*ROW(N$12:N1283),ROW($S$12))&gt;=MAX((1=Z$12:Z1283)*ROW(Z$12:Z1283),ROW($T$12))),MIN(LOOKUP(,-1/($Z$12:Z1284=1),$C$12:C1284)+LOOKUP(,-1/($Z$12:Z1284=1),$H$12:H1284)-IF(N1283&lt;&gt;0,0,SUM(INDIRECT("T"&amp;(MAX((0&lt;&gt;N$12:N1283)*ROW(N$12:N1283)+1,ROW($T$12))&amp;":T"&amp;(ROW()-1))))),Первоначальный[[#This Row],[Полученный платеж]]+Y1283),
AND(S1283=0,Первоначальный[[#This Row],[Дата платежа из графика]]=1),MIN(LOOKUP(,-1/($Z$12:Z1284=1),$C$12:C1284)+LOOKUP(,-1/($Z$12:Z1284=1),$H$12:H1284)-IF(Z1283=1,0,SUM(INDIRECT("T"&amp;(MAX((1=Z$12:Z1283)*ROW(Z$12:Z1283)+1,ROW($T$12))&amp;":T"&amp;(ROW()-1))))),Первоначальный[[#This Row],[Полученный платеж]]+Y1283),
AND(Z1283&gt;0,Первоначальный[[#This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платеж]]+Y1283),
AND(S1283&gt;0,MAX((0&lt;&gt;S$12:S1283)*ROW(S$12:S1283),ROW($S$12))&gt;=MAX((1=Z$12:Z1283)*ROW(Z$12:Z1283),ROW($T$12)),TYPE(VLOOKUP("Да",(INDIRECT("AA"&amp;(MAX((1=Z$12:Z1283)*ROW(Z$12:Z1283),ROW($T$12))&amp;":AA"&amp;(ROW()-1)))),1,0))=16),MIN(LOOKUP(,-1/($Z$12:Z1284=1),$C$12:C1284)+LOOKUP(,-1/($Z$12:Z1284=1),$H$12:H1284)-SUM(INDIRECT("T"&amp;(MAX((1=Z$12:Z1283)*ROW(Z$12:Z1283),ROW($T$12))&amp;":T"&amp;(ROW()-1)))),Первоначальный[[#This Row],[Полученный платеж]]+Y1283),
S1283&gt;0,MIN(LOOKUP(,-1/($Z$12:Z1284=1),$C$12:C1284)+LOOKUP(,-1/($Z$12:Z1284=1),$H$12:H1284)-IF(Z1283=1,0,SUM(INDIRECT("T"&amp;(MAX((1=Z$12:Z1283)*ROW(Z$12:Z1283)+1,ROW($T$12))&amp;":T"&amp;(ROW()-1))))),Первоначальный[[#This Row],[Полученный платеж]]+Y1283)
)
)
)</f>
        <v>0</v>
      </c>
      <c r="U128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платеж]]+Y1283-Первоначальный[[#This Row],[Полученный платёж по процентам]])</f>
        <v>0</v>
      </c>
      <c r="V1284" s="55">
        <f t="shared" ca="1" si="231"/>
        <v>0</v>
      </c>
      <c r="W1284" s="55" cm="1">
        <f t="array" aca="1" ref="W1284" ca="1">IF(Первоначальный[[#This Row],[Итого остаток на начало периода]]&lt;1,0,
_xlfn.IFS(
AND(TYPE(VLOOKUP(1,$Z$12:Z1284,1,0))=16,Первоначальный[[#This Row],[Досрочное погашение (да/"")]]=""),0,
AND(S1283=0,Первоначальный[[#This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платеж]]+Y1283-SUM(Первоначальный[[#This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комиссиям]]),VLOOKUP(LOOKUP(,-1/($Z$12:Z1284=1),$A$12:A1284),График[[Срок конец]:[Возврат основной суммы долга]],3,0)),
AND(S1283=0,Первоначальный[[#This Row],[Дата платежа из графика]]="",Первоначальный[[#This Row],[Досрочное погашение (да/"")]]&lt;&gt;"Да"),0,
AND(S1283=0,Первоначальный[[#This Row],[Досрочное погашение (да/"")]]=""),MIN(Первоначальный[[#This Row],[Полученный платеж]]+Y1283-SUM(Первоначальный[[#This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комиссиям]]),VLOOKUP(LOOKUP(,-1/($Z$12:Z1284=1),$A$12:A1284),График[[Срок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платеж]]+Y1283-SUM(Первоначальный[[#This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S1283&gt;0,MIN(Первоначальный[[#This Row],[Полученный платеж]]+Y1283-SUM(Первоначальный[[#This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комиссиям]]),SUM(INDIRECT("M"&amp;(MAX((1=S$12:S1283)*ROW(S$12:S1283),ROW($W$12))&amp;":M"&amp;(ROW()))))-SUM(INDIRECT("W"&amp;(MAX((1=S$12:S1283)*ROW(S$12:S1283),ROW($W$12))&amp;":W"&amp;(ROW()-1)))))
)
)</f>
        <v>0</v>
      </c>
      <c r="X1284" s="55">
        <f t="shared" ca="1" si="232"/>
        <v>0</v>
      </c>
      <c r="Y1284" s="101">
        <f t="shared" ca="1" si="239"/>
        <v>0</v>
      </c>
      <c r="Z1284" s="133" t="str">
        <f>IF(TYPE((VLOOKUP(Первоначальный[[#This Row],[Дата платежа]],График[Срок конец],1,0)))=16,"",1)</f>
        <v/>
      </c>
      <c r="AA1284" s="57"/>
      <c r="AB1284" s="134"/>
      <c r="AC128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8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91995.120000000214</v>
      </c>
      <c r="AE128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6676.5799999999908</v>
      </c>
      <c r="AF128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8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340550.79386885214</v>
      </c>
      <c r="AH1284" s="55"/>
      <c r="AI1284" s="55"/>
      <c r="AJ1284" s="55"/>
      <c r="AK1284" s="101">
        <f t="shared" ca="1" si="240"/>
        <v>588855.83386885235</v>
      </c>
      <c r="AL1284" s="129">
        <f t="array" ref="AL1284">MAX((УслРестрактов[Характеристика]="Дата реструктуризации")*(УслРестрактов[Значение]=Первоначальный!$A1284),0)</f>
        <v>0</v>
      </c>
    </row>
    <row r="1285" spans="1:38" x14ac:dyDescent="0.25">
      <c r="A1285" s="97">
        <f t="shared" si="233"/>
        <v>45416</v>
      </c>
      <c r="B1285" s="100">
        <f t="shared" ca="1" si="234"/>
        <v>149633.34</v>
      </c>
      <c r="C1285" s="55">
        <f t="shared" ca="1" si="242"/>
        <v>91995.120000000214</v>
      </c>
      <c r="D1285" s="55">
        <f t="shared" ca="1" si="242"/>
        <v>6676.5799999999908</v>
      </c>
      <c r="E1285" s="55">
        <f t="shared" ca="1" si="235"/>
        <v>0</v>
      </c>
      <c r="F1285" s="55">
        <f t="shared" ca="1" si="236"/>
        <v>340550.79386885214</v>
      </c>
      <c r="G1285" s="101">
        <f t="shared" ca="1" si="237"/>
        <v>588855.83386885235</v>
      </c>
      <c r="H1285" s="100">
        <f ca="1">ROUND($B1285*VLOOKUP($A1285,$A$1:$B$10,2,1)/(365+IF(MOD(YEAR($A1285),4),0,1)*($A1285-$A1284)),2)-Первоначальный[[#This Row],[Проценты на просроченный платеж по ОД за период]]</f>
        <v>69.05</v>
      </c>
      <c r="I1285" s="55">
        <f t="shared" ca="1" si="238"/>
        <v>12.31</v>
      </c>
      <c r="J1285" s="55">
        <v>0</v>
      </c>
      <c r="K1285" s="55">
        <f t="shared" ca="1" si="241"/>
        <v>564.84850327868844</v>
      </c>
      <c r="L1285" s="55">
        <v>0</v>
      </c>
      <c r="M1285" s="113">
        <f>SUMIFS(График[Возврат основной суммы долга],График[Дата с учетом нерабочих дней],$A1285)</f>
        <v>0</v>
      </c>
      <c r="N1285" s="56">
        <f>SUMIFS(График[Возврат начисленных %],График[Дата с учетом нерабочих дней],$A1285)</f>
        <v>0</v>
      </c>
      <c r="O1285" s="101">
        <v>0</v>
      </c>
      <c r="P1285" s="100" cm="1">
        <f t="array" aca="1" ref="P1285" ca="1">MAX(IF(AA1284="Да",0,SUM(INDIRECT("M"&amp;(MAX(("Да"=AA$12:AA1284)*ROW(AA$12:AA1284)+1,ROW($P$12))&amp;":M"&amp;(ROW()))))-SUM(INDIRECT("W"&amp;(MAX(("Да"=AA$12:AA1284)*ROW(AA$12:AA1284)+1,ROW($P$12))&amp;":W"&amp;(ROW()))))),0)</f>
        <v>22637.019999999997</v>
      </c>
      <c r="Q1285" s="99">
        <f ca="1">MAX(SUM($N$13:N1285)-SUM($T$13:T1285),0)</f>
        <v>90332.680655737684</v>
      </c>
      <c r="R1285" s="99">
        <f ca="1">Первоначальный[[#This Row],[Просроченный платеж по ОД]]+Первоначальный[[#This Row],[Просроченный платеж по процентам]]</f>
        <v>112969.70065573769</v>
      </c>
      <c r="S1285" s="120">
        <f ca="1">IF(Первоначальный[[#This Row],[Просроченный платеж]]&lt;1,0,S1284+1)</f>
        <v>1181</v>
      </c>
      <c r="T1285" s="100" cm="1">
        <f t="array" aca="1" ref="T1285" ca="1">IF(Первоначальный[[#This Row],[Итого остаток на начало периода]]&lt;1,0,
IF(
AND(TYPE(VLOOKUP(1,$Z$12:Z1285,1,0))=16,Первоначальный[[#This Row],[Досрочное погашение (да/"")]]=""),0,
_xlfn.IFS(AND(S1284=0,Первоначальный[[#This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платеж]]&lt;&gt;0),MIN(LOOKUP(,-1/($Z$12:Z1285=1),$C$12:C1285)+LOOKUP(,-1/($Z$12:Z1285=1),$H$12:H1285),Первоначальный[[#This Row],[Полученный платеж]]+Y1284),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платеж]]+Y1284,SUM(Первоначальный[[#This Row],[Остаток процентов на начало периода]],Первоначальный[[#This Row],[Проценты за период]])),
AND(S1284=0,Первоначальный[[#This Row],[Дата платежа из графика]]=""),0,
AND(S1284=0,Первоначальный[[#This Row],[Дата платежа из графика]]=1,MAX((0&lt;&gt;S$12:S1284)*ROW(S$12:S1284),ROW($S$12))&gt;=MAX((1=Z$12:Z1284)*ROW(Z$12:Z1284),ROW($T$12)),TYPE(VLOOKUP("Да",(INDIRECT("AA"&amp;(MAX((1=Z$12:Z1284)*ROW(Z$12:Z1284),ROW($T$12))&amp;":AA"&amp;(ROW()-1)))),1,0))=16),MIN(LOOKUP(,-1/($Z$12:Z1285=1),$C$12:C1285)+LOOKUP(,-1/($Z$12:Z1285=1),$H$12:H1285),Первоначальный[[#This Row],[Полученный платеж]]+Y1284),
AND(S1284=0,TYPE(VLOOKUP("Да",(INDIRECT("AA"&amp;(MAX((1=Z$12:Z1284)*ROW(Z$12:Z1284),ROW($T$12))&amp;":AA"&amp;(ROW()-1)))),1,0))&lt;&gt;16),MIN(LOOKUP(,-1/($Z$12:Z1285=1),$C$12:C1285)+LOOKUP(,-1/($Z$12:Z1285=1),$H$12:H1285)-IF(AA1284="Да",0,SUM(INDIRECT("T"&amp;(MAX(("Да"=AA$12:AA1284)*ROW(AA$12:AA1284)+1,ROW($T$12))&amp;":T"&amp;(ROW()-1))))),Первоначальный[[#This Row],[Полученный платеж]]+Y1284),
AND(S1284=0,MAX((0&lt;&gt;N$12:N1284)*ROW(N$12:N1284),ROW($S$12))&gt;=MAX((1=Z$12:Z1284)*ROW(Z$12:Z1284),ROW($T$12))),MIN(LOOKUP(,-1/($Z$12:Z1285=1),$C$12:C1285)+LOOKUP(,-1/($Z$12:Z1285=1),$H$12:H1285)-IF(N1284&lt;&gt;0,0,SUM(INDIRECT("T"&amp;(MAX((0&lt;&gt;N$12:N1284)*ROW(N$12:N1284)+1,ROW($T$12))&amp;":T"&amp;(ROW()-1))))),Первоначальный[[#This Row],[Полученный платеж]]+Y1284),
AND(S1284=0,Первоначальный[[#This Row],[Дата платежа из графика]]=1),MIN(LOOKUP(,-1/($Z$12:Z1285=1),$C$12:C1285)+LOOKUP(,-1/($Z$12:Z1285=1),$H$12:H1285)-IF(Z1284=1,0,SUM(INDIRECT("T"&amp;(MAX((1=Z$12:Z1284)*ROW(Z$12:Z1284)+1,ROW($T$12))&amp;":T"&amp;(ROW()-1))))),Первоначальный[[#This Row],[Полученный платеж]]+Y1284),
AND(Z1284&gt;0,Первоначальный[[#This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платеж]]+Y1284),
AND(S1284&gt;0,MAX((0&lt;&gt;S$12:S1284)*ROW(S$12:S1284),ROW($S$12))&gt;=MAX((1=Z$12:Z1284)*ROW(Z$12:Z1284),ROW($T$12)),TYPE(VLOOKUP("Да",(INDIRECT("AA"&amp;(MAX((1=Z$12:Z1284)*ROW(Z$12:Z1284),ROW($T$12))&amp;":AA"&amp;(ROW()-1)))),1,0))=16),MIN(LOOKUP(,-1/($Z$12:Z1285=1),$C$12:C1285)+LOOKUP(,-1/($Z$12:Z1285=1),$H$12:H1285)-SUM(INDIRECT("T"&amp;(MAX((1=Z$12:Z1284)*ROW(Z$12:Z1284),ROW($T$12))&amp;":T"&amp;(ROW()-1)))),Первоначальный[[#This Row],[Полученный платеж]]+Y1284),
S1284&gt;0,MIN(LOOKUP(,-1/($Z$12:Z1285=1),$C$12:C1285)+LOOKUP(,-1/($Z$12:Z1285=1),$H$12:H1285)-IF(Z1284=1,0,SUM(INDIRECT("T"&amp;(MAX((1=Z$12:Z1284)*ROW(Z$12:Z1284)+1,ROW($T$12))&amp;":T"&amp;(ROW()-1))))),Первоначальный[[#This Row],[Полученный платеж]]+Y1284)
)
)
)</f>
        <v>0</v>
      </c>
      <c r="U128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платеж]]+Y1284-Первоначальный[[#This Row],[Полученный платёж по процентам]])</f>
        <v>0</v>
      </c>
      <c r="V1285" s="55">
        <f t="shared" ca="1" si="231"/>
        <v>0</v>
      </c>
      <c r="W1285" s="55" cm="1">
        <f t="array" aca="1" ref="W1285" ca="1">IF(Первоначальный[[#This Row],[Итого остаток на начало периода]]&lt;1,0,
_xlfn.IFS(
AND(TYPE(VLOOKUP(1,$Z$12:Z1285,1,0))=16,Первоначальный[[#This Row],[Досрочное погашение (да/"")]]=""),0,
AND(S1284=0,Первоначальный[[#This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платеж]]+Y1284-SUM(Первоначальный[[#This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комиссиям]]),VLOOKUP(LOOKUP(,-1/($Z$12:Z1285=1),$A$12:A1285),График[[Срок конец]:[Возврат основной суммы долга]],3,0)),
AND(S1284=0,Первоначальный[[#This Row],[Дата платежа из графика]]="",Первоначальный[[#This Row],[Досрочное погашение (да/"")]]&lt;&gt;"Да"),0,
AND(S1284=0,Первоначальный[[#This Row],[Досрочное погашение (да/"")]]=""),MIN(Первоначальный[[#This Row],[Полученный платеж]]+Y1284-SUM(Первоначальный[[#This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комиссиям]]),VLOOKUP(LOOKUP(,-1/($Z$12:Z1285=1),$A$12:A1285),График[[Срок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платеж]]+Y1284-SUM(Первоначальный[[#This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S1284&gt;0,MIN(Первоначальный[[#This Row],[Полученный платеж]]+Y1284-SUM(Первоначальный[[#This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комиссиям]]),SUM(INDIRECT("M"&amp;(MAX((1=S$12:S1284)*ROW(S$12:S1284),ROW($W$12))&amp;":M"&amp;(ROW()))))-SUM(INDIRECT("W"&amp;(MAX((1=S$12:S1284)*ROW(S$12:S1284),ROW($W$12))&amp;":W"&amp;(ROW()-1)))))
)
)</f>
        <v>0</v>
      </c>
      <c r="X1285" s="55">
        <f t="shared" ca="1" si="232"/>
        <v>0</v>
      </c>
      <c r="Y1285" s="101">
        <f t="shared" ca="1" si="239"/>
        <v>0</v>
      </c>
      <c r="Z1285" s="133" t="str">
        <f>IF(TYPE((VLOOKUP(Первоначальный[[#This Row],[Дата платежа]],График[Срок конец],1,0)))=16,"",1)</f>
        <v/>
      </c>
      <c r="AA1285" s="57"/>
      <c r="AB1285" s="134"/>
      <c r="AC128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8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92064.170000000217</v>
      </c>
      <c r="AE128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6688.8899999999912</v>
      </c>
      <c r="AF128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8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341115.64237213082</v>
      </c>
      <c r="AH1285" s="55"/>
      <c r="AI1285" s="55"/>
      <c r="AJ1285" s="55"/>
      <c r="AK1285" s="101">
        <f t="shared" ca="1" si="240"/>
        <v>589502.04237213102</v>
      </c>
      <c r="AL1285" s="129">
        <f t="array" ref="AL1285">MAX((УслРестрактов[Характеристика]="Дата реструктуризации")*(УслРестрактов[Значение]=Первоначальный!$A1285),0)</f>
        <v>0</v>
      </c>
    </row>
    <row r="1286" spans="1:38" x14ac:dyDescent="0.25">
      <c r="A1286" s="97">
        <f t="shared" si="233"/>
        <v>45417</v>
      </c>
      <c r="B1286" s="100">
        <f t="shared" ca="1" si="234"/>
        <v>149633.34</v>
      </c>
      <c r="C1286" s="55">
        <f t="shared" ca="1" si="242"/>
        <v>92064.170000000217</v>
      </c>
      <c r="D1286" s="55">
        <f t="shared" ca="1" si="242"/>
        <v>6688.8899999999912</v>
      </c>
      <c r="E1286" s="55">
        <f t="shared" ca="1" si="235"/>
        <v>0</v>
      </c>
      <c r="F1286" s="55">
        <f t="shared" ca="1" si="236"/>
        <v>341115.64237213082</v>
      </c>
      <c r="G1286" s="101">
        <f t="shared" ca="1" si="237"/>
        <v>589502.04237213102</v>
      </c>
      <c r="H1286" s="100">
        <f ca="1">ROUND($B1286*VLOOKUP($A1286,$A$1:$B$10,2,1)/(365+IF(MOD(YEAR($A1286),4),0,1)*($A1286-$A1285)),2)-Первоначальный[[#This Row],[Проценты на просроченный платеж по ОД за период]]</f>
        <v>69.05</v>
      </c>
      <c r="I1286" s="55">
        <f t="shared" ca="1" si="238"/>
        <v>12.31</v>
      </c>
      <c r="J1286" s="55">
        <v>0</v>
      </c>
      <c r="K1286" s="55">
        <f t="shared" ca="1" si="241"/>
        <v>564.84850327868844</v>
      </c>
      <c r="L1286" s="55">
        <v>0</v>
      </c>
      <c r="M1286" s="113">
        <f>SUMIFS(График[Возврат основной суммы долга],График[Дата с учетом нерабочих дней],$A1286)</f>
        <v>0</v>
      </c>
      <c r="N1286" s="56">
        <f>SUMIFS(График[Возврат начисленных %],График[Дата с учетом нерабочих дней],$A1286)</f>
        <v>0</v>
      </c>
      <c r="O1286" s="101">
        <v>0</v>
      </c>
      <c r="P1286" s="100" cm="1">
        <f t="array" aca="1" ref="P1286" ca="1">MAX(IF(AA1285="Да",0,SUM(INDIRECT("M"&amp;(MAX(("Да"=AA$12:AA1285)*ROW(AA$12:AA1285)+1,ROW($P$12))&amp;":M"&amp;(ROW()))))-SUM(INDIRECT("W"&amp;(MAX(("Да"=AA$12:AA1285)*ROW(AA$12:AA1285)+1,ROW($P$12))&amp;":W"&amp;(ROW()))))),0)</f>
        <v>22637.019999999997</v>
      </c>
      <c r="Q1286" s="99">
        <f ca="1">MAX(SUM($N$13:N1286)-SUM($T$13:T1286),0)</f>
        <v>90332.680655737684</v>
      </c>
      <c r="R1286" s="99">
        <f ca="1">Первоначальный[[#This Row],[Просроченный платеж по ОД]]+Первоначальный[[#This Row],[Просроченный платеж по процентам]]</f>
        <v>112969.70065573769</v>
      </c>
      <c r="S1286" s="120">
        <f ca="1">IF(Первоначальный[[#This Row],[Просроченный платеж]]&lt;1,0,S1285+1)</f>
        <v>1182</v>
      </c>
      <c r="T1286" s="100" cm="1">
        <f t="array" aca="1" ref="T1286" ca="1">IF(Первоначальный[[#This Row],[Итого остаток на начало периода]]&lt;1,0,
IF(
AND(TYPE(VLOOKUP(1,$Z$12:Z1286,1,0))=16,Первоначальный[[#This Row],[Досрочное погашение (да/"")]]=""),0,
_xlfn.IFS(AND(S1285=0,Первоначальный[[#This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платеж]]&lt;&gt;0),MIN(LOOKUP(,-1/($Z$12:Z1286=1),$C$12:C1286)+LOOKUP(,-1/($Z$12:Z1286=1),$H$12:H1286),Первоначальный[[#This Row],[Полученный платеж]]+Y1285),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платеж]]+Y1285,SUM(Первоначальный[[#This Row],[Остаток процентов на начало периода]],Первоначальный[[#This Row],[Проценты за период]])),
AND(S1285=0,Первоначальный[[#This Row],[Дата платежа из графика]]=""),0,
AND(S1285=0,Первоначальный[[#This Row],[Дата платежа из графика]]=1,MAX((0&lt;&gt;S$12:S1285)*ROW(S$12:S1285),ROW($S$12))&gt;=MAX((1=Z$12:Z1285)*ROW(Z$12:Z1285),ROW($T$12)),TYPE(VLOOKUP("Да",(INDIRECT("AA"&amp;(MAX((1=Z$12:Z1285)*ROW(Z$12:Z1285),ROW($T$12))&amp;":AA"&amp;(ROW()-1)))),1,0))=16),MIN(LOOKUP(,-1/($Z$12:Z1286=1),$C$12:C1286)+LOOKUP(,-1/($Z$12:Z1286=1),$H$12:H1286),Первоначальный[[#This Row],[Полученный платеж]]+Y1285),
AND(S1285=0,TYPE(VLOOKUP("Да",(INDIRECT("AA"&amp;(MAX((1=Z$12:Z1285)*ROW(Z$12:Z1285),ROW($T$12))&amp;":AA"&amp;(ROW()-1)))),1,0))&lt;&gt;16),MIN(LOOKUP(,-1/($Z$12:Z1286=1),$C$12:C1286)+LOOKUP(,-1/($Z$12:Z1286=1),$H$12:H1286)-IF(AA1285="Да",0,SUM(INDIRECT("T"&amp;(MAX(("Да"=AA$12:AA1285)*ROW(AA$12:AA1285)+1,ROW($T$12))&amp;":T"&amp;(ROW()-1))))),Первоначальный[[#This Row],[Полученный платеж]]+Y1285),
AND(S1285=0,MAX((0&lt;&gt;N$12:N1285)*ROW(N$12:N1285),ROW($S$12))&gt;=MAX((1=Z$12:Z1285)*ROW(Z$12:Z1285),ROW($T$12))),MIN(LOOKUP(,-1/($Z$12:Z1286=1),$C$12:C1286)+LOOKUP(,-1/($Z$12:Z1286=1),$H$12:H1286)-IF(N1285&lt;&gt;0,0,SUM(INDIRECT("T"&amp;(MAX((0&lt;&gt;N$12:N1285)*ROW(N$12:N1285)+1,ROW($T$12))&amp;":T"&amp;(ROW()-1))))),Первоначальный[[#This Row],[Полученный платеж]]+Y1285),
AND(S1285=0,Первоначальный[[#This Row],[Дата платежа из графика]]=1),MIN(LOOKUP(,-1/($Z$12:Z1286=1),$C$12:C1286)+LOOKUP(,-1/($Z$12:Z1286=1),$H$12:H1286)-IF(Z1285=1,0,SUM(INDIRECT("T"&amp;(MAX((1=Z$12:Z1285)*ROW(Z$12:Z1285)+1,ROW($T$12))&amp;":T"&amp;(ROW()-1))))),Первоначальный[[#This Row],[Полученный платеж]]+Y1285),
AND(Z1285&gt;0,Первоначальный[[#This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платеж]]+Y1285),
AND(S1285&gt;0,MAX((0&lt;&gt;S$12:S1285)*ROW(S$12:S1285),ROW($S$12))&gt;=MAX((1=Z$12:Z1285)*ROW(Z$12:Z1285),ROW($T$12)),TYPE(VLOOKUP("Да",(INDIRECT("AA"&amp;(MAX((1=Z$12:Z1285)*ROW(Z$12:Z1285),ROW($T$12))&amp;":AA"&amp;(ROW()-1)))),1,0))=16),MIN(LOOKUP(,-1/($Z$12:Z1286=1),$C$12:C1286)+LOOKUP(,-1/($Z$12:Z1286=1),$H$12:H1286)-SUM(INDIRECT("T"&amp;(MAX((1=Z$12:Z1285)*ROW(Z$12:Z1285),ROW($T$12))&amp;":T"&amp;(ROW()-1)))),Первоначальный[[#This Row],[Полученный платеж]]+Y1285),
S1285&gt;0,MIN(LOOKUP(,-1/($Z$12:Z1286=1),$C$12:C1286)+LOOKUP(,-1/($Z$12:Z1286=1),$H$12:H1286)-IF(Z1285=1,0,SUM(INDIRECT("T"&amp;(MAX((1=Z$12:Z1285)*ROW(Z$12:Z1285)+1,ROW($T$12))&amp;":T"&amp;(ROW()-1))))),Первоначальный[[#This Row],[Полученный платеж]]+Y1285)
)
)
)</f>
        <v>0</v>
      </c>
      <c r="U128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платеж]]+Y1285-Первоначальный[[#This Row],[Полученный платёж по процентам]])</f>
        <v>0</v>
      </c>
      <c r="V1286" s="55">
        <f t="shared" ca="1" si="231"/>
        <v>0</v>
      </c>
      <c r="W1286" s="55" cm="1">
        <f t="array" aca="1" ref="W1286" ca="1">IF(Первоначальный[[#This Row],[Итого остаток на начало периода]]&lt;1,0,
_xlfn.IFS(
AND(TYPE(VLOOKUP(1,$Z$12:Z1286,1,0))=16,Первоначальный[[#This Row],[Досрочное погашение (да/"")]]=""),0,
AND(S1285=0,Первоначальный[[#This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платеж]]+Y1285-SUM(Первоначальный[[#This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комиссиям]]),VLOOKUP(LOOKUP(,-1/($Z$12:Z1286=1),$A$12:A1286),График[[Срок конец]:[Возврат основной суммы долга]],3,0)),
AND(S1285=0,Первоначальный[[#This Row],[Дата платежа из графика]]="",Первоначальный[[#This Row],[Досрочное погашение (да/"")]]&lt;&gt;"Да"),0,
AND(S1285=0,Первоначальный[[#This Row],[Досрочное погашение (да/"")]]=""),MIN(Первоначальный[[#This Row],[Полученный платеж]]+Y1285-SUM(Первоначальный[[#This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комиссиям]]),VLOOKUP(LOOKUP(,-1/($Z$12:Z1286=1),$A$12:A1286),График[[Срок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платеж]]+Y1285-SUM(Первоначальный[[#This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S1285&gt;0,MIN(Первоначальный[[#This Row],[Полученный платеж]]+Y1285-SUM(Первоначальный[[#This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комиссиям]]),SUM(INDIRECT("M"&amp;(MAX((1=S$12:S1285)*ROW(S$12:S1285),ROW($W$12))&amp;":M"&amp;(ROW()))))-SUM(INDIRECT("W"&amp;(MAX((1=S$12:S1285)*ROW(S$12:S1285),ROW($W$12))&amp;":W"&amp;(ROW()-1)))))
)
)</f>
        <v>0</v>
      </c>
      <c r="X1286" s="55">
        <f t="shared" ca="1" si="232"/>
        <v>0</v>
      </c>
      <c r="Y1286" s="101">
        <f t="shared" ca="1" si="239"/>
        <v>0</v>
      </c>
      <c r="Z1286" s="133" t="str">
        <f>IF(TYPE((VLOOKUP(Первоначальный[[#This Row],[Дата платежа]],График[Срок конец],1,0)))=16,"",1)</f>
        <v/>
      </c>
      <c r="AA1286" s="57"/>
      <c r="AB1286" s="134"/>
      <c r="AC128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8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92133.220000000219</v>
      </c>
      <c r="AE128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6701.1999999999916</v>
      </c>
      <c r="AF128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8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341680.49087540951</v>
      </c>
      <c r="AH1286" s="55"/>
      <c r="AI1286" s="55"/>
      <c r="AJ1286" s="55"/>
      <c r="AK1286" s="101">
        <f t="shared" ca="1" si="240"/>
        <v>590148.25087540969</v>
      </c>
      <c r="AL1286" s="129">
        <f t="array" ref="AL1286">MAX((УслРестрактов[Характеристика]="Дата реструктуризации")*(УслРестрактов[Значение]=Первоначальный!$A1286),0)</f>
        <v>0</v>
      </c>
    </row>
    <row r="1287" spans="1:38" x14ac:dyDescent="0.25">
      <c r="A1287" s="97">
        <f t="shared" si="233"/>
        <v>45418</v>
      </c>
      <c r="B1287" s="100">
        <f t="shared" ca="1" si="234"/>
        <v>149633.34</v>
      </c>
      <c r="C1287" s="55">
        <f t="shared" ca="1" si="242"/>
        <v>92133.220000000219</v>
      </c>
      <c r="D1287" s="55">
        <f t="shared" ca="1" si="242"/>
        <v>6701.1999999999916</v>
      </c>
      <c r="E1287" s="55">
        <f t="shared" ca="1" si="235"/>
        <v>0</v>
      </c>
      <c r="F1287" s="55">
        <f t="shared" ca="1" si="236"/>
        <v>341680.49087540951</v>
      </c>
      <c r="G1287" s="101">
        <f t="shared" ca="1" si="237"/>
        <v>590148.25087540969</v>
      </c>
      <c r="H1287" s="100">
        <f ca="1">ROUND($B1287*VLOOKUP($A1287,$A$1:$B$10,2,1)/(365+IF(MOD(YEAR($A1287),4),0,1)*($A1287-$A1286)),2)-Первоначальный[[#This Row],[Проценты на просроченный платеж по ОД за период]]</f>
        <v>69.05</v>
      </c>
      <c r="I1287" s="55">
        <f t="shared" ca="1" si="238"/>
        <v>12.31</v>
      </c>
      <c r="J1287" s="55">
        <v>0</v>
      </c>
      <c r="K1287" s="55">
        <f t="shared" ca="1" si="241"/>
        <v>564.84850327868844</v>
      </c>
      <c r="L1287" s="55">
        <v>0</v>
      </c>
      <c r="M1287" s="113">
        <f>SUMIFS(График[Возврат основной суммы долга],График[Дата с учетом нерабочих дней],$A1287)</f>
        <v>0</v>
      </c>
      <c r="N1287" s="56">
        <f>SUMIFS(График[Возврат начисленных %],График[Дата с учетом нерабочих дней],$A1287)</f>
        <v>0</v>
      </c>
      <c r="O1287" s="101">
        <v>0</v>
      </c>
      <c r="P1287" s="100" cm="1">
        <f t="array" aca="1" ref="P1287" ca="1">MAX(IF(AA1286="Да",0,SUM(INDIRECT("M"&amp;(MAX(("Да"=AA$12:AA1286)*ROW(AA$12:AA1286)+1,ROW($P$12))&amp;":M"&amp;(ROW()))))-SUM(INDIRECT("W"&amp;(MAX(("Да"=AA$12:AA1286)*ROW(AA$12:AA1286)+1,ROW($P$12))&amp;":W"&amp;(ROW()))))),0)</f>
        <v>22637.019999999997</v>
      </c>
      <c r="Q1287" s="99">
        <f ca="1">MAX(SUM($N$13:N1287)-SUM($T$13:T1287),0)</f>
        <v>90332.680655737684</v>
      </c>
      <c r="R1287" s="99">
        <f ca="1">Первоначальный[[#This Row],[Просроченный платеж по ОД]]+Первоначальный[[#This Row],[Просроченный платеж по процентам]]</f>
        <v>112969.70065573769</v>
      </c>
      <c r="S1287" s="120">
        <f ca="1">IF(Первоначальный[[#This Row],[Просроченный платеж]]&lt;1,0,S1286+1)</f>
        <v>1183</v>
      </c>
      <c r="T1287" s="100" cm="1">
        <f t="array" aca="1" ref="T1287" ca="1">IF(Первоначальный[[#This Row],[Итого остаток на начало периода]]&lt;1,0,
IF(
AND(TYPE(VLOOKUP(1,$Z$12:Z1287,1,0))=16,Первоначальный[[#This Row],[Досрочное погашение (да/"")]]=""),0,
_xlfn.IFS(AND(S1286=0,Первоначальный[[#This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платеж]]&lt;&gt;0),MIN(LOOKUP(,-1/($Z$12:Z1287=1),$C$12:C1287)+LOOKUP(,-1/($Z$12:Z1287=1),$H$12:H1287),Первоначальный[[#This Row],[Полученный платеж]]+Y1286),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платеж]]+Y1286,SUM(Первоначальный[[#This Row],[Остаток процентов на начало периода]],Первоначальный[[#This Row],[Проценты за период]])),
AND(S1286=0,Первоначальный[[#This Row],[Дата платежа из графика]]=""),0,
AND(S1286=0,Первоначальный[[#This Row],[Дата платежа из графика]]=1,MAX((0&lt;&gt;S$12:S1286)*ROW(S$12:S1286),ROW($S$12))&gt;=MAX((1=Z$12:Z1286)*ROW(Z$12:Z1286),ROW($T$12)),TYPE(VLOOKUP("Да",(INDIRECT("AA"&amp;(MAX((1=Z$12:Z1286)*ROW(Z$12:Z1286),ROW($T$12))&amp;":AA"&amp;(ROW()-1)))),1,0))=16),MIN(LOOKUP(,-1/($Z$12:Z1287=1),$C$12:C1287)+LOOKUP(,-1/($Z$12:Z1287=1),$H$12:H1287),Первоначальный[[#This Row],[Полученный платеж]]+Y1286),
AND(S1286=0,TYPE(VLOOKUP("Да",(INDIRECT("AA"&amp;(MAX((1=Z$12:Z1286)*ROW(Z$12:Z1286),ROW($T$12))&amp;":AA"&amp;(ROW()-1)))),1,0))&lt;&gt;16),MIN(LOOKUP(,-1/($Z$12:Z1287=1),$C$12:C1287)+LOOKUP(,-1/($Z$12:Z1287=1),$H$12:H1287)-IF(AA1286="Да",0,SUM(INDIRECT("T"&amp;(MAX(("Да"=AA$12:AA1286)*ROW(AA$12:AA1286)+1,ROW($T$12))&amp;":T"&amp;(ROW()-1))))),Первоначальный[[#This Row],[Полученный платеж]]+Y1286),
AND(S1286=0,MAX((0&lt;&gt;N$12:N1286)*ROW(N$12:N1286),ROW($S$12))&gt;=MAX((1=Z$12:Z1286)*ROW(Z$12:Z1286),ROW($T$12))),MIN(LOOKUP(,-1/($Z$12:Z1287=1),$C$12:C1287)+LOOKUP(,-1/($Z$12:Z1287=1),$H$12:H1287)-IF(N1286&lt;&gt;0,0,SUM(INDIRECT("T"&amp;(MAX((0&lt;&gt;N$12:N1286)*ROW(N$12:N1286)+1,ROW($T$12))&amp;":T"&amp;(ROW()-1))))),Первоначальный[[#This Row],[Полученный платеж]]+Y1286),
AND(S1286=0,Первоначальный[[#This Row],[Дата платежа из графика]]=1),MIN(LOOKUP(,-1/($Z$12:Z1287=1),$C$12:C1287)+LOOKUP(,-1/($Z$12:Z1287=1),$H$12:H1287)-IF(Z1286=1,0,SUM(INDIRECT("T"&amp;(MAX((1=Z$12:Z1286)*ROW(Z$12:Z1286)+1,ROW($T$12))&amp;":T"&amp;(ROW()-1))))),Первоначальный[[#This Row],[Полученный платеж]]+Y1286),
AND(Z1286&gt;0,Первоначальный[[#This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платеж]]+Y1286),
AND(S1286&gt;0,MAX((0&lt;&gt;S$12:S1286)*ROW(S$12:S1286),ROW($S$12))&gt;=MAX((1=Z$12:Z1286)*ROW(Z$12:Z1286),ROW($T$12)),TYPE(VLOOKUP("Да",(INDIRECT("AA"&amp;(MAX((1=Z$12:Z1286)*ROW(Z$12:Z1286),ROW($T$12))&amp;":AA"&amp;(ROW()-1)))),1,0))=16),MIN(LOOKUP(,-1/($Z$12:Z1287=1),$C$12:C1287)+LOOKUP(,-1/($Z$12:Z1287=1),$H$12:H1287)-SUM(INDIRECT("T"&amp;(MAX((1=Z$12:Z1286)*ROW(Z$12:Z1286),ROW($T$12))&amp;":T"&amp;(ROW()-1)))),Первоначальный[[#This Row],[Полученный платеж]]+Y1286),
S1286&gt;0,MIN(LOOKUP(,-1/($Z$12:Z1287=1),$C$12:C1287)+LOOKUP(,-1/($Z$12:Z1287=1),$H$12:H1287)-IF(Z1286=1,0,SUM(INDIRECT("T"&amp;(MAX((1=Z$12:Z1286)*ROW(Z$12:Z1286)+1,ROW($T$12))&amp;":T"&amp;(ROW()-1))))),Первоначальный[[#This Row],[Полученный платеж]]+Y1286)
)
)
)</f>
        <v>0</v>
      </c>
      <c r="U128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платеж]]+Y1286-Первоначальный[[#This Row],[Полученный платёж по процентам]])</f>
        <v>0</v>
      </c>
      <c r="V1287" s="55">
        <f t="shared" ca="1" si="231"/>
        <v>0</v>
      </c>
      <c r="W1287" s="55" cm="1">
        <f t="array" aca="1" ref="W1287" ca="1">IF(Первоначальный[[#This Row],[Итого остаток на начало периода]]&lt;1,0,
_xlfn.IFS(
AND(TYPE(VLOOKUP(1,$Z$12:Z1287,1,0))=16,Первоначальный[[#This Row],[Досрочное погашение (да/"")]]=""),0,
AND(S1286=0,Первоначальный[[#This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платеж]]+Y1286-SUM(Первоначальный[[#This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комиссиям]]),VLOOKUP(LOOKUP(,-1/($Z$12:Z1287=1),$A$12:A1287),График[[Срок конец]:[Возврат основной суммы долга]],3,0)),
AND(S1286=0,Первоначальный[[#This Row],[Дата платежа из графика]]="",Первоначальный[[#This Row],[Досрочное погашение (да/"")]]&lt;&gt;"Да"),0,
AND(S1286=0,Первоначальный[[#This Row],[Досрочное погашение (да/"")]]=""),MIN(Первоначальный[[#This Row],[Полученный платеж]]+Y1286-SUM(Первоначальный[[#This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комиссиям]]),VLOOKUP(LOOKUP(,-1/($Z$12:Z1287=1),$A$12:A1287),График[[Срок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платеж]]+Y1286-SUM(Первоначальный[[#This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S1286&gt;0,MIN(Первоначальный[[#This Row],[Полученный платеж]]+Y1286-SUM(Первоначальный[[#This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комиссиям]]),SUM(INDIRECT("M"&amp;(MAX((1=S$12:S1286)*ROW(S$12:S1286),ROW($W$12))&amp;":M"&amp;(ROW()))))-SUM(INDIRECT("W"&amp;(MAX((1=S$12:S1286)*ROW(S$12:S1286),ROW($W$12))&amp;":W"&amp;(ROW()-1)))))
)
)</f>
        <v>0</v>
      </c>
      <c r="X1287" s="55">
        <f t="shared" ca="1" si="232"/>
        <v>0</v>
      </c>
      <c r="Y1287" s="101">
        <f t="shared" ca="1" si="239"/>
        <v>0</v>
      </c>
      <c r="Z1287" s="133" t="str">
        <f>IF(TYPE((VLOOKUP(Первоначальный[[#This Row],[Дата платежа]],График[Срок конец],1,0)))=16,"",1)</f>
        <v/>
      </c>
      <c r="AA1287" s="57"/>
      <c r="AB1287" s="134"/>
      <c r="AC128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8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92202.270000000222</v>
      </c>
      <c r="AE128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6713.509999999992</v>
      </c>
      <c r="AF128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8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342245.33937868819</v>
      </c>
      <c r="AH1287" s="55"/>
      <c r="AI1287" s="55"/>
      <c r="AJ1287" s="55"/>
      <c r="AK1287" s="101">
        <f t="shared" ca="1" si="240"/>
        <v>590794.45937868836</v>
      </c>
      <c r="AL1287" s="129">
        <f t="array" ref="AL1287">MAX((УслРестрактов[Характеристика]="Дата реструктуризации")*(УслРестрактов[Значение]=Первоначальный!$A1287),0)</f>
        <v>0</v>
      </c>
    </row>
    <row r="1288" spans="1:38" x14ac:dyDescent="0.25">
      <c r="A1288" s="97">
        <f t="shared" si="233"/>
        <v>45419</v>
      </c>
      <c r="B1288" s="100">
        <f t="shared" ca="1" si="234"/>
        <v>149633.34</v>
      </c>
      <c r="C1288" s="55">
        <f t="shared" ca="1" si="242"/>
        <v>92202.270000000222</v>
      </c>
      <c r="D1288" s="55">
        <f t="shared" ca="1" si="242"/>
        <v>6713.509999999992</v>
      </c>
      <c r="E1288" s="55">
        <f t="shared" ca="1" si="235"/>
        <v>0</v>
      </c>
      <c r="F1288" s="55">
        <f t="shared" ca="1" si="236"/>
        <v>342245.33937868819</v>
      </c>
      <c r="G1288" s="101">
        <f t="shared" ca="1" si="237"/>
        <v>590794.45937868836</v>
      </c>
      <c r="H1288" s="100">
        <f ca="1">ROUND($B1288*VLOOKUP($A1288,$A$1:$B$10,2,1)/(365+IF(MOD(YEAR($A1288),4),0,1)*($A1288-$A1287)),2)-Первоначальный[[#This Row],[Проценты на просроченный платеж по ОД за период]]</f>
        <v>69.05</v>
      </c>
      <c r="I1288" s="55">
        <f t="shared" ca="1" si="238"/>
        <v>12.31</v>
      </c>
      <c r="J1288" s="55">
        <v>0</v>
      </c>
      <c r="K1288" s="55">
        <f t="shared" ca="1" si="241"/>
        <v>564.84850327868844</v>
      </c>
      <c r="L1288" s="55">
        <v>0</v>
      </c>
      <c r="M1288" s="113">
        <f>SUMIFS(График[Возврат основной суммы долга],График[Дата с учетом нерабочих дней],$A1288)</f>
        <v>0</v>
      </c>
      <c r="N1288" s="56">
        <f>SUMIFS(График[Возврат начисленных %],График[Дата с учетом нерабочих дней],$A1288)</f>
        <v>0</v>
      </c>
      <c r="O1288" s="101">
        <v>0</v>
      </c>
      <c r="P1288" s="100" cm="1">
        <f t="array" aca="1" ref="P1288" ca="1">MAX(IF(AA1287="Да",0,SUM(INDIRECT("M"&amp;(MAX(("Да"=AA$12:AA1287)*ROW(AA$12:AA1287)+1,ROW($P$12))&amp;":M"&amp;(ROW()))))-SUM(INDIRECT("W"&amp;(MAX(("Да"=AA$12:AA1287)*ROW(AA$12:AA1287)+1,ROW($P$12))&amp;":W"&amp;(ROW()))))),0)</f>
        <v>22637.019999999997</v>
      </c>
      <c r="Q1288" s="99">
        <f ca="1">MAX(SUM($N$13:N1288)-SUM($T$13:T1288),0)</f>
        <v>90332.680655737684</v>
      </c>
      <c r="R1288" s="99">
        <f ca="1">Первоначальный[[#This Row],[Просроченный платеж по ОД]]+Первоначальный[[#This Row],[Просроченный платеж по процентам]]</f>
        <v>112969.70065573769</v>
      </c>
      <c r="S1288" s="120">
        <f ca="1">IF(Первоначальный[[#This Row],[Просроченный платеж]]&lt;1,0,S1287+1)</f>
        <v>1184</v>
      </c>
      <c r="T1288" s="100" cm="1">
        <f t="array" aca="1" ref="T1288" ca="1">IF(Первоначальный[[#This Row],[Итого остаток на начало периода]]&lt;1,0,
IF(
AND(TYPE(VLOOKUP(1,$Z$12:Z1288,1,0))=16,Первоначальный[[#This Row],[Досрочное погашение (да/"")]]=""),0,
_xlfn.IFS(AND(S1287=0,Первоначальный[[#This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платеж]]&lt;&gt;0),MIN(LOOKUP(,-1/($Z$12:Z1288=1),$C$12:C1288)+LOOKUP(,-1/($Z$12:Z1288=1),$H$12:H1288),Первоначальный[[#This Row],[Полученный платеж]]+Y1287),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платеж]]+Y1287,SUM(Первоначальный[[#This Row],[Остаток процентов на начало периода]],Первоначальный[[#This Row],[Проценты за период]])),
AND(S1287=0,Первоначальный[[#This Row],[Дата платежа из графика]]=""),0,
AND(S1287=0,Первоначальный[[#This Row],[Дата платежа из графика]]=1,MAX((0&lt;&gt;S$12:S1287)*ROW(S$12:S1287),ROW($S$12))&gt;=MAX((1=Z$12:Z1287)*ROW(Z$12:Z1287),ROW($T$12)),TYPE(VLOOKUP("Да",(INDIRECT("AA"&amp;(MAX((1=Z$12:Z1287)*ROW(Z$12:Z1287),ROW($T$12))&amp;":AA"&amp;(ROW()-1)))),1,0))=16),MIN(LOOKUP(,-1/($Z$12:Z1288=1),$C$12:C1288)+LOOKUP(,-1/($Z$12:Z1288=1),$H$12:H1288),Первоначальный[[#This Row],[Полученный платеж]]+Y1287),
AND(S1287=0,TYPE(VLOOKUP("Да",(INDIRECT("AA"&amp;(MAX((1=Z$12:Z1287)*ROW(Z$12:Z1287),ROW($T$12))&amp;":AA"&amp;(ROW()-1)))),1,0))&lt;&gt;16),MIN(LOOKUP(,-1/($Z$12:Z1288=1),$C$12:C1288)+LOOKUP(,-1/($Z$12:Z1288=1),$H$12:H1288)-IF(AA1287="Да",0,SUM(INDIRECT("T"&amp;(MAX(("Да"=AA$12:AA1287)*ROW(AA$12:AA1287)+1,ROW($T$12))&amp;":T"&amp;(ROW()-1))))),Первоначальный[[#This Row],[Полученный платеж]]+Y1287),
AND(S1287=0,MAX((0&lt;&gt;N$12:N1287)*ROW(N$12:N1287),ROW($S$12))&gt;=MAX((1=Z$12:Z1287)*ROW(Z$12:Z1287),ROW($T$12))),MIN(LOOKUP(,-1/($Z$12:Z1288=1),$C$12:C1288)+LOOKUP(,-1/($Z$12:Z1288=1),$H$12:H1288)-IF(N1287&lt;&gt;0,0,SUM(INDIRECT("T"&amp;(MAX((0&lt;&gt;N$12:N1287)*ROW(N$12:N1287)+1,ROW($T$12))&amp;":T"&amp;(ROW()-1))))),Первоначальный[[#This Row],[Полученный платеж]]+Y1287),
AND(S1287=0,Первоначальный[[#This Row],[Дата платежа из графика]]=1),MIN(LOOKUP(,-1/($Z$12:Z1288=1),$C$12:C1288)+LOOKUP(,-1/($Z$12:Z1288=1),$H$12:H1288)-IF(Z1287=1,0,SUM(INDIRECT("T"&amp;(MAX((1=Z$12:Z1287)*ROW(Z$12:Z1287)+1,ROW($T$12))&amp;":T"&amp;(ROW()-1))))),Первоначальный[[#This Row],[Полученный платеж]]+Y1287),
AND(Z1287&gt;0,Первоначальный[[#This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платеж]]+Y1287),
AND(S1287&gt;0,MAX((0&lt;&gt;S$12:S1287)*ROW(S$12:S1287),ROW($S$12))&gt;=MAX((1=Z$12:Z1287)*ROW(Z$12:Z1287),ROW($T$12)),TYPE(VLOOKUP("Да",(INDIRECT("AA"&amp;(MAX((1=Z$12:Z1287)*ROW(Z$12:Z1287),ROW($T$12))&amp;":AA"&amp;(ROW()-1)))),1,0))=16),MIN(LOOKUP(,-1/($Z$12:Z1288=1),$C$12:C1288)+LOOKUP(,-1/($Z$12:Z1288=1),$H$12:H1288)-SUM(INDIRECT("T"&amp;(MAX((1=Z$12:Z1287)*ROW(Z$12:Z1287),ROW($T$12))&amp;":T"&amp;(ROW()-1)))),Первоначальный[[#This Row],[Полученный платеж]]+Y1287),
S1287&gt;0,MIN(LOOKUP(,-1/($Z$12:Z1288=1),$C$12:C1288)+LOOKUP(,-1/($Z$12:Z1288=1),$H$12:H1288)-IF(Z1287=1,0,SUM(INDIRECT("T"&amp;(MAX((1=Z$12:Z1287)*ROW(Z$12:Z1287)+1,ROW($T$12))&amp;":T"&amp;(ROW()-1))))),Первоначальный[[#This Row],[Полученный платеж]]+Y1287)
)
)
)</f>
        <v>0</v>
      </c>
      <c r="U128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платеж]]+Y1287-Первоначальный[[#This Row],[Полученный платёж по процентам]])</f>
        <v>0</v>
      </c>
      <c r="V1288" s="55">
        <f t="shared" ca="1" si="231"/>
        <v>0</v>
      </c>
      <c r="W1288" s="55" cm="1">
        <f t="array" aca="1" ref="W1288" ca="1">IF(Первоначальный[[#This Row],[Итого остаток на начало периода]]&lt;1,0,
_xlfn.IFS(
AND(TYPE(VLOOKUP(1,$Z$12:Z1288,1,0))=16,Первоначальный[[#This Row],[Досрочное погашение (да/"")]]=""),0,
AND(S1287=0,Первоначальный[[#This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платеж]]+Y1287-SUM(Первоначальный[[#This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комиссиям]]),VLOOKUP(LOOKUP(,-1/($Z$12:Z1288=1),$A$12:A1288),График[[Срок конец]:[Возврат основной суммы долга]],3,0)),
AND(S1287=0,Первоначальный[[#This Row],[Дата платежа из графика]]="",Первоначальный[[#This Row],[Досрочное погашение (да/"")]]&lt;&gt;"Да"),0,
AND(S1287=0,Первоначальный[[#This Row],[Досрочное погашение (да/"")]]=""),MIN(Первоначальный[[#This Row],[Полученный платеж]]+Y1287-SUM(Первоначальный[[#This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комиссиям]]),VLOOKUP(LOOKUP(,-1/($Z$12:Z1288=1),$A$12:A1288),График[[Срок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платеж]]+Y1287-SUM(Первоначальный[[#This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S1287&gt;0,MIN(Первоначальный[[#This Row],[Полученный платеж]]+Y1287-SUM(Первоначальный[[#This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комиссиям]]),SUM(INDIRECT("M"&amp;(MAX((1=S$12:S1287)*ROW(S$12:S1287),ROW($W$12))&amp;":M"&amp;(ROW()))))-SUM(INDIRECT("W"&amp;(MAX((1=S$12:S1287)*ROW(S$12:S1287),ROW($W$12))&amp;":W"&amp;(ROW()-1)))))
)
)</f>
        <v>0</v>
      </c>
      <c r="X1288" s="55">
        <f t="shared" ca="1" si="232"/>
        <v>0</v>
      </c>
      <c r="Y1288" s="101">
        <f t="shared" ca="1" si="239"/>
        <v>0</v>
      </c>
      <c r="Z1288" s="133" t="str">
        <f>IF(TYPE((VLOOKUP(Первоначальный[[#This Row],[Дата платежа]],График[Срок конец],1,0)))=16,"",1)</f>
        <v/>
      </c>
      <c r="AA1288" s="57"/>
      <c r="AB1288" s="134"/>
      <c r="AC128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8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92271.320000000225</v>
      </c>
      <c r="AE128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6725.8199999999924</v>
      </c>
      <c r="AF128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8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342810.18788196688</v>
      </c>
      <c r="AH1288" s="55"/>
      <c r="AI1288" s="55"/>
      <c r="AJ1288" s="55"/>
      <c r="AK1288" s="101">
        <f t="shared" ca="1" si="240"/>
        <v>591440.66788196703</v>
      </c>
      <c r="AL1288" s="129">
        <f t="array" ref="AL1288">MAX((УслРестрактов[Характеристика]="Дата реструктуризации")*(УслРестрактов[Значение]=Первоначальный!$A1288),0)</f>
        <v>0</v>
      </c>
    </row>
    <row r="1289" spans="1:38" x14ac:dyDescent="0.25">
      <c r="A1289" s="97">
        <f t="shared" si="233"/>
        <v>45420</v>
      </c>
      <c r="B1289" s="100">
        <f t="shared" ca="1" si="234"/>
        <v>149633.34</v>
      </c>
      <c r="C1289" s="55">
        <f t="shared" ca="1" si="242"/>
        <v>92271.320000000225</v>
      </c>
      <c r="D1289" s="55">
        <f t="shared" ca="1" si="242"/>
        <v>6725.8199999999924</v>
      </c>
      <c r="E1289" s="55">
        <f t="shared" ca="1" si="235"/>
        <v>0</v>
      </c>
      <c r="F1289" s="55">
        <f t="shared" ca="1" si="236"/>
        <v>342810.18788196688</v>
      </c>
      <c r="G1289" s="101">
        <f t="shared" ca="1" si="237"/>
        <v>591440.66788196703</v>
      </c>
      <c r="H1289" s="100">
        <f ca="1">ROUND($B1289*VLOOKUP($A1289,$A$1:$B$10,2,1)/(365+IF(MOD(YEAR($A1289),4),0,1)*($A1289-$A1288)),2)-Первоначальный[[#This Row],[Проценты на просроченный платеж по ОД за период]]</f>
        <v>69.05</v>
      </c>
      <c r="I1289" s="55">
        <f t="shared" ca="1" si="238"/>
        <v>12.31</v>
      </c>
      <c r="J1289" s="55">
        <v>0</v>
      </c>
      <c r="K1289" s="55">
        <f t="shared" ca="1" si="241"/>
        <v>564.84850327868844</v>
      </c>
      <c r="L1289" s="55">
        <v>0</v>
      </c>
      <c r="M1289" s="113">
        <f>SUMIFS(График[Возврат основной суммы долга],График[Дата с учетом нерабочих дней],$A1289)</f>
        <v>0</v>
      </c>
      <c r="N1289" s="56">
        <f>SUMIFS(График[Возврат начисленных %],График[Дата с учетом нерабочих дней],$A1289)</f>
        <v>0</v>
      </c>
      <c r="O1289" s="101">
        <v>0</v>
      </c>
      <c r="P1289" s="100" cm="1">
        <f t="array" aca="1" ref="P1289" ca="1">MAX(IF(AA1288="Да",0,SUM(INDIRECT("M"&amp;(MAX(("Да"=AA$12:AA1288)*ROW(AA$12:AA1288)+1,ROW($P$12))&amp;":M"&amp;(ROW()))))-SUM(INDIRECT("W"&amp;(MAX(("Да"=AA$12:AA1288)*ROW(AA$12:AA1288)+1,ROW($P$12))&amp;":W"&amp;(ROW()))))),0)</f>
        <v>22637.019999999997</v>
      </c>
      <c r="Q1289" s="99">
        <f ca="1">MAX(SUM($N$13:N1289)-SUM($T$13:T1289),0)</f>
        <v>90332.680655737684</v>
      </c>
      <c r="R1289" s="99">
        <f ca="1">Первоначальный[[#This Row],[Просроченный платеж по ОД]]+Первоначальный[[#This Row],[Просроченный платеж по процентам]]</f>
        <v>112969.70065573769</v>
      </c>
      <c r="S1289" s="120">
        <f ca="1">IF(Первоначальный[[#This Row],[Просроченный платеж]]&lt;1,0,S1288+1)</f>
        <v>1185</v>
      </c>
      <c r="T1289" s="100" cm="1">
        <f t="array" aca="1" ref="T1289" ca="1">IF(Первоначальный[[#This Row],[Итого остаток на начало периода]]&lt;1,0,
IF(
AND(TYPE(VLOOKUP(1,$Z$12:Z1289,1,0))=16,Первоначальный[[#This Row],[Досрочное погашение (да/"")]]=""),0,
_xlfn.IFS(AND(S1288=0,Первоначальный[[#This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платеж]]&lt;&gt;0),MIN(LOOKUP(,-1/($Z$12:Z1289=1),$C$12:C1289)+LOOKUP(,-1/($Z$12:Z1289=1),$H$12:H1289),Первоначальный[[#This Row],[Полученный платеж]]+Y1288),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платеж]]+Y1288,SUM(Первоначальный[[#This Row],[Остаток процентов на начало периода]],Первоначальный[[#This Row],[Проценты за период]])),
AND(S1288=0,Первоначальный[[#This Row],[Дата платежа из графика]]=""),0,
AND(S1288=0,Первоначальный[[#This Row],[Дата платежа из графика]]=1,MAX((0&lt;&gt;S$12:S1288)*ROW(S$12:S1288),ROW($S$12))&gt;=MAX((1=Z$12:Z1288)*ROW(Z$12:Z1288),ROW($T$12)),TYPE(VLOOKUP("Да",(INDIRECT("AA"&amp;(MAX((1=Z$12:Z1288)*ROW(Z$12:Z1288),ROW($T$12))&amp;":AA"&amp;(ROW()-1)))),1,0))=16),MIN(LOOKUP(,-1/($Z$12:Z1289=1),$C$12:C1289)+LOOKUP(,-1/($Z$12:Z1289=1),$H$12:H1289),Первоначальный[[#This Row],[Полученный платеж]]+Y1288),
AND(S1288=0,TYPE(VLOOKUP("Да",(INDIRECT("AA"&amp;(MAX((1=Z$12:Z1288)*ROW(Z$12:Z1288),ROW($T$12))&amp;":AA"&amp;(ROW()-1)))),1,0))&lt;&gt;16),MIN(LOOKUP(,-1/($Z$12:Z1289=1),$C$12:C1289)+LOOKUP(,-1/($Z$12:Z1289=1),$H$12:H1289)-IF(AA1288="Да",0,SUM(INDIRECT("T"&amp;(MAX(("Да"=AA$12:AA1288)*ROW(AA$12:AA1288)+1,ROW($T$12))&amp;":T"&amp;(ROW()-1))))),Первоначальный[[#This Row],[Полученный платеж]]+Y1288),
AND(S1288=0,MAX((0&lt;&gt;N$12:N1288)*ROW(N$12:N1288),ROW($S$12))&gt;=MAX((1=Z$12:Z1288)*ROW(Z$12:Z1288),ROW($T$12))),MIN(LOOKUP(,-1/($Z$12:Z1289=1),$C$12:C1289)+LOOKUP(,-1/($Z$12:Z1289=1),$H$12:H1289)-IF(N1288&lt;&gt;0,0,SUM(INDIRECT("T"&amp;(MAX((0&lt;&gt;N$12:N1288)*ROW(N$12:N1288)+1,ROW($T$12))&amp;":T"&amp;(ROW()-1))))),Первоначальный[[#This Row],[Полученный платеж]]+Y1288),
AND(S1288=0,Первоначальный[[#This Row],[Дата платежа из графика]]=1),MIN(LOOKUP(,-1/($Z$12:Z1289=1),$C$12:C1289)+LOOKUP(,-1/($Z$12:Z1289=1),$H$12:H1289)-IF(Z1288=1,0,SUM(INDIRECT("T"&amp;(MAX((1=Z$12:Z1288)*ROW(Z$12:Z1288)+1,ROW($T$12))&amp;":T"&amp;(ROW()-1))))),Первоначальный[[#This Row],[Полученный платеж]]+Y1288),
AND(Z1288&gt;0,Первоначальный[[#This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платеж]]+Y1288),
AND(S1288&gt;0,MAX((0&lt;&gt;S$12:S1288)*ROW(S$12:S1288),ROW($S$12))&gt;=MAX((1=Z$12:Z1288)*ROW(Z$12:Z1288),ROW($T$12)),TYPE(VLOOKUP("Да",(INDIRECT("AA"&amp;(MAX((1=Z$12:Z1288)*ROW(Z$12:Z1288),ROW($T$12))&amp;":AA"&amp;(ROW()-1)))),1,0))=16),MIN(LOOKUP(,-1/($Z$12:Z1289=1),$C$12:C1289)+LOOKUP(,-1/($Z$12:Z1289=1),$H$12:H1289)-SUM(INDIRECT("T"&amp;(MAX((1=Z$12:Z1288)*ROW(Z$12:Z1288),ROW($T$12))&amp;":T"&amp;(ROW()-1)))),Первоначальный[[#This Row],[Полученный платеж]]+Y1288),
S1288&gt;0,MIN(LOOKUP(,-1/($Z$12:Z1289=1),$C$12:C1289)+LOOKUP(,-1/($Z$12:Z1289=1),$H$12:H1289)-IF(Z1288=1,0,SUM(INDIRECT("T"&amp;(MAX((1=Z$12:Z1288)*ROW(Z$12:Z1288)+1,ROW($T$12))&amp;":T"&amp;(ROW()-1))))),Первоначальный[[#This Row],[Полученный платеж]]+Y1288)
)
)
)</f>
        <v>0</v>
      </c>
      <c r="U128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платеж]]+Y1288-Первоначальный[[#This Row],[Полученный платёж по процентам]])</f>
        <v>0</v>
      </c>
      <c r="V1289" s="55">
        <f t="shared" ca="1" si="231"/>
        <v>0</v>
      </c>
      <c r="W1289" s="55" cm="1">
        <f t="array" aca="1" ref="W1289" ca="1">IF(Первоначальный[[#This Row],[Итого остаток на начало периода]]&lt;1,0,
_xlfn.IFS(
AND(TYPE(VLOOKUP(1,$Z$12:Z1289,1,0))=16,Первоначальный[[#This Row],[Досрочное погашение (да/"")]]=""),0,
AND(S1288=0,Первоначальный[[#This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платеж]]+Y1288-SUM(Первоначальный[[#This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комиссиям]]),VLOOKUP(LOOKUP(,-1/($Z$12:Z1289=1),$A$12:A1289),График[[Срок конец]:[Возврат основной суммы долга]],3,0)),
AND(S1288=0,Первоначальный[[#This Row],[Дата платежа из графика]]="",Первоначальный[[#This Row],[Досрочное погашение (да/"")]]&lt;&gt;"Да"),0,
AND(S1288=0,Первоначальный[[#This Row],[Досрочное погашение (да/"")]]=""),MIN(Первоначальный[[#This Row],[Полученный платеж]]+Y1288-SUM(Первоначальный[[#This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комиссиям]]),VLOOKUP(LOOKUP(,-1/($Z$12:Z1289=1),$A$12:A1289),График[[Срок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платеж]]+Y1288-SUM(Первоначальный[[#This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S1288&gt;0,MIN(Первоначальный[[#This Row],[Полученный платеж]]+Y1288-SUM(Первоначальный[[#This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комиссиям]]),SUM(INDIRECT("M"&amp;(MAX((1=S$12:S1288)*ROW(S$12:S1288),ROW($W$12))&amp;":M"&amp;(ROW()))))-SUM(INDIRECT("W"&amp;(MAX((1=S$12:S1288)*ROW(S$12:S1288),ROW($W$12))&amp;":W"&amp;(ROW()-1)))))
)
)</f>
        <v>0</v>
      </c>
      <c r="X1289" s="55">
        <f t="shared" ca="1" si="232"/>
        <v>0</v>
      </c>
      <c r="Y1289" s="101">
        <f t="shared" ca="1" si="239"/>
        <v>0</v>
      </c>
      <c r="Z1289" s="133" t="str">
        <f>IF(TYPE((VLOOKUP(Первоначальный[[#This Row],[Дата платежа]],График[Срок конец],1,0)))=16,"",1)</f>
        <v/>
      </c>
      <c r="AA1289" s="57"/>
      <c r="AB1289" s="134"/>
      <c r="AC128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8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92340.370000000228</v>
      </c>
      <c r="AE128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6738.1299999999928</v>
      </c>
      <c r="AF128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8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343375.03638524556</v>
      </c>
      <c r="AH1289" s="55"/>
      <c r="AI1289" s="55"/>
      <c r="AJ1289" s="55"/>
      <c r="AK1289" s="101">
        <f t="shared" ca="1" si="240"/>
        <v>592086.87638524582</v>
      </c>
      <c r="AL1289" s="129">
        <f t="array" ref="AL1289">MAX((УслРестрактов[Характеристика]="Дата реструктуризации")*(УслРестрактов[Значение]=Первоначальный!$A1289),0)</f>
        <v>0</v>
      </c>
    </row>
    <row r="1290" spans="1:38" x14ac:dyDescent="0.25">
      <c r="A1290" s="97">
        <f t="shared" si="233"/>
        <v>45421</v>
      </c>
      <c r="B1290" s="100">
        <f t="shared" ca="1" si="234"/>
        <v>149633.34</v>
      </c>
      <c r="C1290" s="55">
        <f t="shared" ca="1" si="242"/>
        <v>92340.370000000228</v>
      </c>
      <c r="D1290" s="55">
        <f t="shared" ca="1" si="242"/>
        <v>6738.1299999999928</v>
      </c>
      <c r="E1290" s="55">
        <f t="shared" ca="1" si="235"/>
        <v>0</v>
      </c>
      <c r="F1290" s="55">
        <f t="shared" ca="1" si="236"/>
        <v>343375.03638524556</v>
      </c>
      <c r="G1290" s="101">
        <f t="shared" ca="1" si="237"/>
        <v>592086.87638524582</v>
      </c>
      <c r="H1290" s="100">
        <f ca="1">ROUND($B1290*VLOOKUP($A1290,$A$1:$B$10,2,1)/(365+IF(MOD(YEAR($A1290),4),0,1)*($A1290-$A1289)),2)-Первоначальный[[#This Row],[Проценты на просроченный платеж по ОД за период]]</f>
        <v>69.05</v>
      </c>
      <c r="I1290" s="55">
        <f t="shared" ca="1" si="238"/>
        <v>12.31</v>
      </c>
      <c r="J1290" s="55">
        <v>0</v>
      </c>
      <c r="K1290" s="55">
        <f t="shared" ca="1" si="241"/>
        <v>579.33350327868845</v>
      </c>
      <c r="L1290" s="55">
        <v>0</v>
      </c>
      <c r="M1290" s="113">
        <f>SUMIFS(График[Возврат основной суммы долга],График[Дата с учетом нерабочих дней],$A1290)</f>
        <v>825.5</v>
      </c>
      <c r="N1290" s="56">
        <f>SUMIFS(График[Возврат начисленных %],График[Дата с учетом нерабочих дней],$A1290)</f>
        <v>2071.5</v>
      </c>
      <c r="O1290" s="101">
        <v>0</v>
      </c>
      <c r="P1290" s="100" cm="1">
        <f t="array" aca="1" ref="P1290" ca="1">MAX(IF(AA1289="Да",0,SUM(INDIRECT("M"&amp;(MAX(("Да"=AA$12:AA1289)*ROW(AA$12:AA1289)+1,ROW($P$12))&amp;":M"&amp;(ROW()))))-SUM(INDIRECT("W"&amp;(MAX(("Да"=AA$12:AA1289)*ROW(AA$12:AA1289)+1,ROW($P$12))&amp;":W"&amp;(ROW()))))),0)</f>
        <v>23462.519999999997</v>
      </c>
      <c r="Q1290" s="99">
        <f ca="1">MAX(SUM($N$13:N1290)-SUM($T$13:T1290),0)</f>
        <v>92404.180655737684</v>
      </c>
      <c r="R1290" s="99">
        <f ca="1">Первоначальный[[#This Row],[Просроченный платеж по ОД]]+Первоначальный[[#This Row],[Просроченный платеж по процентам]]</f>
        <v>115866.70065573769</v>
      </c>
      <c r="S1290" s="120">
        <f ca="1">IF(Первоначальный[[#This Row],[Просроченный платеж]]&lt;1,0,S1289+1)</f>
        <v>1186</v>
      </c>
      <c r="T1290" s="100" cm="1">
        <f t="array" aca="1" ref="T1290" ca="1">IF(Первоначальный[[#This Row],[Итого остаток на начало периода]]&lt;1,0,
IF(
AND(TYPE(VLOOKUP(1,$Z$12:Z1290,1,0))=16,Первоначальный[[#This Row],[Досрочное погашение (да/"")]]=""),0,
_xlfn.IFS(AND(S1289=0,Первоначальный[[#This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платеж]]&lt;&gt;0),MIN(LOOKUP(,-1/($Z$12:Z1290=1),$C$12:C1290)+LOOKUP(,-1/($Z$12:Z1290=1),$H$12:H1290),Первоначальный[[#This Row],[Полученный платеж]]+Y1289),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платеж]]+Y1289,SUM(Первоначальный[[#This Row],[Остаток процентов на начало периода]],Первоначальный[[#This Row],[Проценты за период]])),
AND(S1289=0,Первоначальный[[#This Row],[Дата платежа из графика]]=""),0,
AND(S1289=0,Первоначальный[[#This Row],[Дата платежа из графика]]=1,MAX((0&lt;&gt;S$12:S1289)*ROW(S$12:S1289),ROW($S$12))&gt;=MAX((1=Z$12:Z1289)*ROW(Z$12:Z1289),ROW($T$12)),TYPE(VLOOKUP("Да",(INDIRECT("AA"&amp;(MAX((1=Z$12:Z1289)*ROW(Z$12:Z1289),ROW($T$12))&amp;":AA"&amp;(ROW()-1)))),1,0))=16),MIN(LOOKUP(,-1/($Z$12:Z1290=1),$C$12:C1290)+LOOKUP(,-1/($Z$12:Z1290=1),$H$12:H1290),Первоначальный[[#This Row],[Полученный платеж]]+Y1289),
AND(S1289=0,TYPE(VLOOKUP("Да",(INDIRECT("AA"&amp;(MAX((1=Z$12:Z1289)*ROW(Z$12:Z1289),ROW($T$12))&amp;":AA"&amp;(ROW()-1)))),1,0))&lt;&gt;16),MIN(LOOKUP(,-1/($Z$12:Z1290=1),$C$12:C1290)+LOOKUP(,-1/($Z$12:Z1290=1),$H$12:H1290)-IF(AA1289="Да",0,SUM(INDIRECT("T"&amp;(MAX(("Да"=AA$12:AA1289)*ROW(AA$12:AA1289)+1,ROW($T$12))&amp;":T"&amp;(ROW()-1))))),Первоначальный[[#This Row],[Полученный платеж]]+Y1289),
AND(S1289=0,MAX((0&lt;&gt;N$12:N1289)*ROW(N$12:N1289),ROW($S$12))&gt;=MAX((1=Z$12:Z1289)*ROW(Z$12:Z1289),ROW($T$12))),MIN(LOOKUP(,-1/($Z$12:Z1290=1),$C$12:C1290)+LOOKUP(,-1/($Z$12:Z1290=1),$H$12:H1290)-IF(N1289&lt;&gt;0,0,SUM(INDIRECT("T"&amp;(MAX((0&lt;&gt;N$12:N1289)*ROW(N$12:N1289)+1,ROW($T$12))&amp;":T"&amp;(ROW()-1))))),Первоначальный[[#This Row],[Полученный платеж]]+Y1289),
AND(S1289=0,Первоначальный[[#This Row],[Дата платежа из графика]]=1),MIN(LOOKUP(,-1/($Z$12:Z1290=1),$C$12:C1290)+LOOKUP(,-1/($Z$12:Z1290=1),$H$12:H1290)-IF(Z1289=1,0,SUM(INDIRECT("T"&amp;(MAX((1=Z$12:Z1289)*ROW(Z$12:Z1289)+1,ROW($T$12))&amp;":T"&amp;(ROW()-1))))),Первоначальный[[#This Row],[Полученный платеж]]+Y1289),
AND(Z1289&gt;0,Первоначальный[[#This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платеж]]+Y1289),
AND(S1289&gt;0,MAX((0&lt;&gt;S$12:S1289)*ROW(S$12:S1289),ROW($S$12))&gt;=MAX((1=Z$12:Z1289)*ROW(Z$12:Z1289),ROW($T$12)),TYPE(VLOOKUP("Да",(INDIRECT("AA"&amp;(MAX((1=Z$12:Z1289)*ROW(Z$12:Z1289),ROW($T$12))&amp;":AA"&amp;(ROW()-1)))),1,0))=16),MIN(LOOKUP(,-1/($Z$12:Z1290=1),$C$12:C1290)+LOOKUP(,-1/($Z$12:Z1290=1),$H$12:H1290)-SUM(INDIRECT("T"&amp;(MAX((1=Z$12:Z1289)*ROW(Z$12:Z1289),ROW($T$12))&amp;":T"&amp;(ROW()-1)))),Первоначальный[[#This Row],[Полученный платеж]]+Y1289),
S1289&gt;0,MIN(LOOKUP(,-1/($Z$12:Z1290=1),$C$12:C1290)+LOOKUP(,-1/($Z$12:Z1290=1),$H$12:H1290)-IF(Z1289=1,0,SUM(INDIRECT("T"&amp;(MAX((1=Z$12:Z1289)*ROW(Z$12:Z1289)+1,ROW($T$12))&amp;":T"&amp;(ROW()-1))))),Первоначальный[[#This Row],[Полученный платеж]]+Y1289)
)
)
)</f>
        <v>0</v>
      </c>
      <c r="U129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платеж]]+Y1289-Первоначальный[[#This Row],[Полученный платёж по процентам]])</f>
        <v>0</v>
      </c>
      <c r="V1290" s="55">
        <f t="shared" ca="1" si="231"/>
        <v>0</v>
      </c>
      <c r="W1290" s="55" cm="1">
        <f t="array" aca="1" ref="W1290" ca="1">IF(Первоначальный[[#This Row],[Итого остаток на начало периода]]&lt;1,0,
_xlfn.IFS(
AND(TYPE(VLOOKUP(1,$Z$12:Z1290,1,0))=16,Первоначальный[[#This Row],[Досрочное погашение (да/"")]]=""),0,
AND(S1289=0,Первоначальный[[#This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платеж]]+Y1289-SUM(Первоначальный[[#This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комиссиям]]),VLOOKUP(LOOKUP(,-1/($Z$12:Z1290=1),$A$12:A1290),График[[Срок конец]:[Возврат основной суммы долга]],3,0)),
AND(S1289=0,Первоначальный[[#This Row],[Дата платежа из графика]]="",Первоначальный[[#This Row],[Досрочное погашение (да/"")]]&lt;&gt;"Да"),0,
AND(S1289=0,Первоначальный[[#This Row],[Досрочное погашение (да/"")]]=""),MIN(Первоначальный[[#This Row],[Полученный платеж]]+Y1289-SUM(Первоначальный[[#This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комиссиям]]),VLOOKUP(LOOKUP(,-1/($Z$12:Z1290=1),$A$12:A1290),График[[Срок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платеж]]+Y1289-SUM(Первоначальный[[#This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S1289&gt;0,MIN(Первоначальный[[#This Row],[Полученный платеж]]+Y1289-SUM(Первоначальный[[#This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комиссиям]]),SUM(INDIRECT("M"&amp;(MAX((1=S$12:S1289)*ROW(S$12:S1289),ROW($W$12))&amp;":M"&amp;(ROW()))))-SUM(INDIRECT("W"&amp;(MAX((1=S$12:S1289)*ROW(S$12:S1289),ROW($W$12))&amp;":W"&amp;(ROW()-1)))))
)
)</f>
        <v>0</v>
      </c>
      <c r="X1290" s="55">
        <f t="shared" ca="1" si="232"/>
        <v>0</v>
      </c>
      <c r="Y1290" s="101">
        <f t="shared" ca="1" si="239"/>
        <v>0</v>
      </c>
      <c r="Z1290" s="133">
        <f>IF(TYPE((VLOOKUP(Первоначальный[[#This Row],[Дата платежа]],График[Срок конец],1,0)))=16,"",1)</f>
        <v>1</v>
      </c>
      <c r="AA1290" s="57"/>
      <c r="AB1290" s="134"/>
      <c r="AC129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9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92409.420000000231</v>
      </c>
      <c r="AE129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6750.4399999999932</v>
      </c>
      <c r="AF129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9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343954.36988852423</v>
      </c>
      <c r="AH1290" s="55"/>
      <c r="AI1290" s="55"/>
      <c r="AJ1290" s="55"/>
      <c r="AK1290" s="101">
        <f t="shared" ca="1" si="240"/>
        <v>592747.56988852448</v>
      </c>
      <c r="AL1290" s="129">
        <f t="array" ref="AL1290">MAX((УслРестрактов[Характеристика]="Дата реструктуризации")*(УслРестрактов[Значение]=Первоначальный!$A1290),0)</f>
        <v>0</v>
      </c>
    </row>
    <row r="1291" spans="1:38" x14ac:dyDescent="0.25">
      <c r="A1291" s="97">
        <f t="shared" si="233"/>
        <v>45422</v>
      </c>
      <c r="B1291" s="100">
        <f t="shared" ca="1" si="234"/>
        <v>149633.34</v>
      </c>
      <c r="C1291" s="55">
        <f t="shared" ca="1" si="242"/>
        <v>92409.420000000231</v>
      </c>
      <c r="D1291" s="55">
        <f t="shared" ca="1" si="242"/>
        <v>6750.4399999999932</v>
      </c>
      <c r="E1291" s="55">
        <f t="shared" ca="1" si="235"/>
        <v>0</v>
      </c>
      <c r="F1291" s="55">
        <f t="shared" ca="1" si="236"/>
        <v>343954.36988852423</v>
      </c>
      <c r="G1291" s="101">
        <f t="shared" ca="1" si="237"/>
        <v>592747.56988852448</v>
      </c>
      <c r="H1291" s="100">
        <f ca="1">ROUND($B1291*VLOOKUP($A1291,$A$1:$B$10,2,1)/(365+IF(MOD(YEAR($A1291),4),0,1)*($A1291-$A1290)),2)-Первоначальный[[#This Row],[Проценты на просроченный платеж по ОД за период]]</f>
        <v>68.599999999999994</v>
      </c>
      <c r="I1291" s="55">
        <f t="shared" ca="1" si="238"/>
        <v>12.76</v>
      </c>
      <c r="J1291" s="55">
        <v>0</v>
      </c>
      <c r="K1291" s="55">
        <f t="shared" ca="1" si="241"/>
        <v>579.33350327868845</v>
      </c>
      <c r="L1291" s="55">
        <v>0</v>
      </c>
      <c r="M1291" s="113">
        <f>SUMIFS(График[Возврат основной суммы долга],График[Дата с учетом нерабочих дней],$A1291)</f>
        <v>0</v>
      </c>
      <c r="N1291" s="56">
        <f>SUMIFS(График[Возврат начисленных %],График[Дата с учетом нерабочих дней],$A1291)</f>
        <v>0</v>
      </c>
      <c r="O1291" s="101">
        <v>0</v>
      </c>
      <c r="P1291" s="100" cm="1">
        <f t="array" aca="1" ref="P1291" ca="1">MAX(IF(AA1290="Да",0,SUM(INDIRECT("M"&amp;(MAX(("Да"=AA$12:AA1290)*ROW(AA$12:AA1290)+1,ROW($P$12))&amp;":M"&amp;(ROW()))))-SUM(INDIRECT("W"&amp;(MAX(("Да"=AA$12:AA1290)*ROW(AA$12:AA1290)+1,ROW($P$12))&amp;":W"&amp;(ROW()))))),0)</f>
        <v>23462.519999999997</v>
      </c>
      <c r="Q1291" s="99">
        <f ca="1">MAX(SUM($N$13:N1291)-SUM($T$13:T1291),0)</f>
        <v>92404.180655737684</v>
      </c>
      <c r="R1291" s="99">
        <f ca="1">Первоначальный[[#This Row],[Просроченный платеж по ОД]]+Первоначальный[[#This Row],[Просроченный платеж по процентам]]</f>
        <v>115866.70065573769</v>
      </c>
      <c r="S1291" s="120">
        <f ca="1">IF(Первоначальный[[#This Row],[Просроченный платеж]]&lt;1,0,S1290+1)</f>
        <v>1187</v>
      </c>
      <c r="T1291" s="100" cm="1">
        <f t="array" aca="1" ref="T1291" ca="1">IF(Первоначальный[[#This Row],[Итого остаток на начало периода]]&lt;1,0,
IF(
AND(TYPE(VLOOKUP(1,$Z$12:Z1291,1,0))=16,Первоначальный[[#This Row],[Досрочное погашение (да/"")]]=""),0,
_xlfn.IFS(AND(S1290=0,Первоначальный[[#This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платеж]]&lt;&gt;0),MIN(LOOKUP(,-1/($Z$12:Z1291=1),$C$12:C1291)+LOOKUP(,-1/($Z$12:Z1291=1),$H$12:H1291),Первоначальный[[#This Row],[Полученный платеж]]+Y1290),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платеж]]+Y1290,SUM(Первоначальный[[#This Row],[Остаток процентов на начало периода]],Первоначальный[[#This Row],[Проценты за период]])),
AND(S1290=0,Первоначальный[[#This Row],[Дата платежа из графика]]=""),0,
AND(S1290=0,Первоначальный[[#This Row],[Дата платежа из графика]]=1,MAX((0&lt;&gt;S$12:S1290)*ROW(S$12:S1290),ROW($S$12))&gt;=MAX((1=Z$12:Z1290)*ROW(Z$12:Z1290),ROW($T$12)),TYPE(VLOOKUP("Да",(INDIRECT("AA"&amp;(MAX((1=Z$12:Z1290)*ROW(Z$12:Z1290),ROW($T$12))&amp;":AA"&amp;(ROW()-1)))),1,0))=16),MIN(LOOKUP(,-1/($Z$12:Z1291=1),$C$12:C1291)+LOOKUP(,-1/($Z$12:Z1291=1),$H$12:H1291),Первоначальный[[#This Row],[Полученный платеж]]+Y1290),
AND(S1290=0,TYPE(VLOOKUP("Да",(INDIRECT("AA"&amp;(MAX((1=Z$12:Z1290)*ROW(Z$12:Z1290),ROW($T$12))&amp;":AA"&amp;(ROW()-1)))),1,0))&lt;&gt;16),MIN(LOOKUP(,-1/($Z$12:Z1291=1),$C$12:C1291)+LOOKUP(,-1/($Z$12:Z1291=1),$H$12:H1291)-IF(AA1290="Да",0,SUM(INDIRECT("T"&amp;(MAX(("Да"=AA$12:AA1290)*ROW(AA$12:AA1290)+1,ROW($T$12))&amp;":T"&amp;(ROW()-1))))),Первоначальный[[#This Row],[Полученный платеж]]+Y1290),
AND(S1290=0,MAX((0&lt;&gt;N$12:N1290)*ROW(N$12:N1290),ROW($S$12))&gt;=MAX((1=Z$12:Z1290)*ROW(Z$12:Z1290),ROW($T$12))),MIN(LOOKUP(,-1/($Z$12:Z1291=1),$C$12:C1291)+LOOKUP(,-1/($Z$12:Z1291=1),$H$12:H1291)-IF(N1290&lt;&gt;0,0,SUM(INDIRECT("T"&amp;(MAX((0&lt;&gt;N$12:N1290)*ROW(N$12:N1290)+1,ROW($T$12))&amp;":T"&amp;(ROW()-1))))),Первоначальный[[#This Row],[Полученный платеж]]+Y1290),
AND(S1290=0,Первоначальный[[#This Row],[Дата платежа из графика]]=1),MIN(LOOKUP(,-1/($Z$12:Z1291=1),$C$12:C1291)+LOOKUP(,-1/($Z$12:Z1291=1),$H$12:H1291)-IF(Z1290=1,0,SUM(INDIRECT("T"&amp;(MAX((1=Z$12:Z1290)*ROW(Z$12:Z1290)+1,ROW($T$12))&amp;":T"&amp;(ROW()-1))))),Первоначальный[[#This Row],[Полученный платеж]]+Y1290),
AND(Z1290&gt;0,Первоначальный[[#This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платеж]]+Y1290),
AND(S1290&gt;0,MAX((0&lt;&gt;S$12:S1290)*ROW(S$12:S1290),ROW($S$12))&gt;=MAX((1=Z$12:Z1290)*ROW(Z$12:Z1290),ROW($T$12)),TYPE(VLOOKUP("Да",(INDIRECT("AA"&amp;(MAX((1=Z$12:Z1290)*ROW(Z$12:Z1290),ROW($T$12))&amp;":AA"&amp;(ROW()-1)))),1,0))=16),MIN(LOOKUP(,-1/($Z$12:Z1291=1),$C$12:C1291)+LOOKUP(,-1/($Z$12:Z1291=1),$H$12:H1291)-SUM(INDIRECT("T"&amp;(MAX((1=Z$12:Z1290)*ROW(Z$12:Z1290),ROW($T$12))&amp;":T"&amp;(ROW()-1)))),Первоначальный[[#This Row],[Полученный платеж]]+Y1290),
S1290&gt;0,MIN(LOOKUP(,-1/($Z$12:Z1291=1),$C$12:C1291)+LOOKUP(,-1/($Z$12:Z1291=1),$H$12:H1291)-IF(Z1290=1,0,SUM(INDIRECT("T"&amp;(MAX((1=Z$12:Z1290)*ROW(Z$12:Z1290)+1,ROW($T$12))&amp;":T"&amp;(ROW()-1))))),Первоначальный[[#This Row],[Полученный платеж]]+Y1290)
)
)
)</f>
        <v>0</v>
      </c>
      <c r="U129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платеж]]+Y1290-Первоначальный[[#This Row],[Полученный платёж по процентам]])</f>
        <v>0</v>
      </c>
      <c r="V1291" s="55">
        <f t="shared" ca="1" si="231"/>
        <v>0</v>
      </c>
      <c r="W1291" s="55" cm="1">
        <f t="array" aca="1" ref="W1291" ca="1">IF(Первоначальный[[#This Row],[Итого остаток на начало периода]]&lt;1,0,
_xlfn.IFS(
AND(TYPE(VLOOKUP(1,$Z$12:Z1291,1,0))=16,Первоначальный[[#This Row],[Досрочное погашение (да/"")]]=""),0,
AND(S1290=0,Первоначальный[[#This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платеж]]+Y1290-SUM(Первоначальный[[#This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комиссиям]]),VLOOKUP(LOOKUP(,-1/($Z$12:Z1291=1),$A$12:A1291),График[[Срок конец]:[Возврат основной суммы долга]],3,0)),
AND(S1290=0,Первоначальный[[#This Row],[Дата платежа из графика]]="",Первоначальный[[#This Row],[Досрочное погашение (да/"")]]&lt;&gt;"Да"),0,
AND(S1290=0,Первоначальный[[#This Row],[Досрочное погашение (да/"")]]=""),MIN(Первоначальный[[#This Row],[Полученный платеж]]+Y1290-SUM(Первоначальный[[#This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комиссиям]]),VLOOKUP(LOOKUP(,-1/($Z$12:Z1291=1),$A$12:A1291),График[[Срок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платеж]]+Y1290-SUM(Первоначальный[[#This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S1290&gt;0,MIN(Первоначальный[[#This Row],[Полученный платеж]]+Y1290-SUM(Первоначальный[[#This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комиссиям]]),SUM(INDIRECT("M"&amp;(MAX((1=S$12:S1290)*ROW(S$12:S1290),ROW($W$12))&amp;":M"&amp;(ROW()))))-SUM(INDIRECT("W"&amp;(MAX((1=S$12:S1290)*ROW(S$12:S1290),ROW($W$12))&amp;":W"&amp;(ROW()-1)))))
)
)</f>
        <v>0</v>
      </c>
      <c r="X1291" s="55">
        <f t="shared" ca="1" si="232"/>
        <v>0</v>
      </c>
      <c r="Y1291" s="101">
        <f t="shared" ca="1" si="239"/>
        <v>0</v>
      </c>
      <c r="Z1291" s="133" t="str">
        <f>IF(TYPE((VLOOKUP(Первоначальный[[#This Row],[Дата платежа]],График[Срок конец],1,0)))=16,"",1)</f>
        <v/>
      </c>
      <c r="AA1291" s="57"/>
      <c r="AB1291" s="134"/>
      <c r="AC129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9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92478.020000000237</v>
      </c>
      <c r="AE129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6763.1999999999935</v>
      </c>
      <c r="AF129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9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344533.7033918029</v>
      </c>
      <c r="AH1291" s="55"/>
      <c r="AI1291" s="55"/>
      <c r="AJ1291" s="55"/>
      <c r="AK1291" s="101">
        <f t="shared" ca="1" si="240"/>
        <v>593408.26339180314</v>
      </c>
      <c r="AL1291" s="129">
        <f t="array" ref="AL1291">MAX((УслРестрактов[Характеристика]="Дата реструктуризации")*(УслРестрактов[Значение]=Первоначальный!$A1291),0)</f>
        <v>0</v>
      </c>
    </row>
    <row r="1292" spans="1:38" x14ac:dyDescent="0.25">
      <c r="A1292" s="97">
        <f t="shared" si="233"/>
        <v>45423</v>
      </c>
      <c r="B1292" s="100">
        <f t="shared" ca="1" si="234"/>
        <v>149633.34</v>
      </c>
      <c r="C1292" s="55">
        <f t="shared" ca="1" si="242"/>
        <v>92478.020000000237</v>
      </c>
      <c r="D1292" s="55">
        <f t="shared" ca="1" si="242"/>
        <v>6763.1999999999935</v>
      </c>
      <c r="E1292" s="55">
        <f t="shared" ca="1" si="235"/>
        <v>0</v>
      </c>
      <c r="F1292" s="55">
        <f t="shared" ca="1" si="236"/>
        <v>344533.7033918029</v>
      </c>
      <c r="G1292" s="101">
        <f t="shared" ca="1" si="237"/>
        <v>593408.26339180314</v>
      </c>
      <c r="H1292" s="100">
        <f ca="1">ROUND($B1292*VLOOKUP($A1292,$A$1:$B$10,2,1)/(365+IF(MOD(YEAR($A1292),4),0,1)*($A1292-$A1291)),2)-Первоначальный[[#This Row],[Проценты на просроченный платеж по ОД за период]]</f>
        <v>68.599999999999994</v>
      </c>
      <c r="I1292" s="55">
        <f t="shared" ca="1" si="238"/>
        <v>12.76</v>
      </c>
      <c r="J1292" s="55">
        <v>0</v>
      </c>
      <c r="K1292" s="55">
        <f t="shared" ca="1" si="241"/>
        <v>579.33350327868845</v>
      </c>
      <c r="L1292" s="55">
        <v>0</v>
      </c>
      <c r="M1292" s="113">
        <f>SUMIFS(График[Возврат основной суммы долга],График[Дата с учетом нерабочих дней],$A1292)</f>
        <v>0</v>
      </c>
      <c r="N1292" s="56">
        <f>SUMIFS(График[Возврат начисленных %],График[Дата с учетом нерабочих дней],$A1292)</f>
        <v>0</v>
      </c>
      <c r="O1292" s="101">
        <v>0</v>
      </c>
      <c r="P1292" s="100" cm="1">
        <f t="array" aca="1" ref="P1292" ca="1">MAX(IF(AA1291="Да",0,SUM(INDIRECT("M"&amp;(MAX(("Да"=AA$12:AA1291)*ROW(AA$12:AA1291)+1,ROW($P$12))&amp;":M"&amp;(ROW()))))-SUM(INDIRECT("W"&amp;(MAX(("Да"=AA$12:AA1291)*ROW(AA$12:AA1291)+1,ROW($P$12))&amp;":W"&amp;(ROW()))))),0)</f>
        <v>23462.519999999997</v>
      </c>
      <c r="Q1292" s="99">
        <f ca="1">MAX(SUM($N$13:N1292)-SUM($T$13:T1292),0)</f>
        <v>92404.180655737684</v>
      </c>
      <c r="R1292" s="99">
        <f ca="1">Первоначальный[[#This Row],[Просроченный платеж по ОД]]+Первоначальный[[#This Row],[Просроченный платеж по процентам]]</f>
        <v>115866.70065573769</v>
      </c>
      <c r="S1292" s="120">
        <f ca="1">IF(Первоначальный[[#This Row],[Просроченный платеж]]&lt;1,0,S1291+1)</f>
        <v>1188</v>
      </c>
      <c r="T1292" s="100" cm="1">
        <f t="array" aca="1" ref="T1292" ca="1">IF(Первоначальный[[#This Row],[Итого остаток на начало периода]]&lt;1,0,
IF(
AND(TYPE(VLOOKUP(1,$Z$12:Z1292,1,0))=16,Первоначальный[[#This Row],[Досрочное погашение (да/"")]]=""),0,
_xlfn.IFS(AND(S1291=0,Первоначальный[[#This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платеж]]&lt;&gt;0),MIN(LOOKUP(,-1/($Z$12:Z1292=1),$C$12:C1292)+LOOKUP(,-1/($Z$12:Z1292=1),$H$12:H1292),Первоначальный[[#This Row],[Полученный платеж]]+Y1291),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платеж]]+Y1291,SUM(Первоначальный[[#This Row],[Остаток процентов на начало периода]],Первоначальный[[#This Row],[Проценты за период]])),
AND(S1291=0,Первоначальный[[#This Row],[Дата платежа из графика]]=""),0,
AND(S1291=0,Первоначальный[[#This Row],[Дата платежа из графика]]=1,MAX((0&lt;&gt;S$12:S1291)*ROW(S$12:S1291),ROW($S$12))&gt;=MAX((1=Z$12:Z1291)*ROW(Z$12:Z1291),ROW($T$12)),TYPE(VLOOKUP("Да",(INDIRECT("AA"&amp;(MAX((1=Z$12:Z1291)*ROW(Z$12:Z1291),ROW($T$12))&amp;":AA"&amp;(ROW()-1)))),1,0))=16),MIN(LOOKUP(,-1/($Z$12:Z1292=1),$C$12:C1292)+LOOKUP(,-1/($Z$12:Z1292=1),$H$12:H1292),Первоначальный[[#This Row],[Полученный платеж]]+Y1291),
AND(S1291=0,TYPE(VLOOKUP("Да",(INDIRECT("AA"&amp;(MAX((1=Z$12:Z1291)*ROW(Z$12:Z1291),ROW($T$12))&amp;":AA"&amp;(ROW()-1)))),1,0))&lt;&gt;16),MIN(LOOKUP(,-1/($Z$12:Z1292=1),$C$12:C1292)+LOOKUP(,-1/($Z$12:Z1292=1),$H$12:H1292)-IF(AA1291="Да",0,SUM(INDIRECT("T"&amp;(MAX(("Да"=AA$12:AA1291)*ROW(AA$12:AA1291)+1,ROW($T$12))&amp;":T"&amp;(ROW()-1))))),Первоначальный[[#This Row],[Полученный платеж]]+Y1291),
AND(S1291=0,MAX((0&lt;&gt;N$12:N1291)*ROW(N$12:N1291),ROW($S$12))&gt;=MAX((1=Z$12:Z1291)*ROW(Z$12:Z1291),ROW($T$12))),MIN(LOOKUP(,-1/($Z$12:Z1292=1),$C$12:C1292)+LOOKUP(,-1/($Z$12:Z1292=1),$H$12:H1292)-IF(N1291&lt;&gt;0,0,SUM(INDIRECT("T"&amp;(MAX((0&lt;&gt;N$12:N1291)*ROW(N$12:N1291)+1,ROW($T$12))&amp;":T"&amp;(ROW()-1))))),Первоначальный[[#This Row],[Полученный платеж]]+Y1291),
AND(S1291=0,Первоначальный[[#This Row],[Дата платежа из графика]]=1),MIN(LOOKUP(,-1/($Z$12:Z1292=1),$C$12:C1292)+LOOKUP(,-1/($Z$12:Z1292=1),$H$12:H1292)-IF(Z1291=1,0,SUM(INDIRECT("T"&amp;(MAX((1=Z$12:Z1291)*ROW(Z$12:Z1291)+1,ROW($T$12))&amp;":T"&amp;(ROW()-1))))),Первоначальный[[#This Row],[Полученный платеж]]+Y1291),
AND(Z1291&gt;0,Первоначальный[[#This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платеж]]+Y1291),
AND(S1291&gt;0,MAX((0&lt;&gt;S$12:S1291)*ROW(S$12:S1291),ROW($S$12))&gt;=MAX((1=Z$12:Z1291)*ROW(Z$12:Z1291),ROW($T$12)),TYPE(VLOOKUP("Да",(INDIRECT("AA"&amp;(MAX((1=Z$12:Z1291)*ROW(Z$12:Z1291),ROW($T$12))&amp;":AA"&amp;(ROW()-1)))),1,0))=16),MIN(LOOKUP(,-1/($Z$12:Z1292=1),$C$12:C1292)+LOOKUP(,-1/($Z$12:Z1292=1),$H$12:H1292)-SUM(INDIRECT("T"&amp;(MAX((1=Z$12:Z1291)*ROW(Z$12:Z1291),ROW($T$12))&amp;":T"&amp;(ROW()-1)))),Первоначальный[[#This Row],[Полученный платеж]]+Y1291),
S1291&gt;0,MIN(LOOKUP(,-1/($Z$12:Z1292=1),$C$12:C1292)+LOOKUP(,-1/($Z$12:Z1292=1),$H$12:H1292)-IF(Z1291=1,0,SUM(INDIRECT("T"&amp;(MAX((1=Z$12:Z1291)*ROW(Z$12:Z1291)+1,ROW($T$12))&amp;":T"&amp;(ROW()-1))))),Первоначальный[[#This Row],[Полученный платеж]]+Y1291)
)
)
)</f>
        <v>0</v>
      </c>
      <c r="U129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платеж]]+Y1291-Первоначальный[[#This Row],[Полученный платёж по процентам]])</f>
        <v>0</v>
      </c>
      <c r="V1292" s="55">
        <f t="shared" ca="1" si="231"/>
        <v>0</v>
      </c>
      <c r="W1292" s="55" cm="1">
        <f t="array" aca="1" ref="W1292" ca="1">IF(Первоначальный[[#This Row],[Итого остаток на начало периода]]&lt;1,0,
_xlfn.IFS(
AND(TYPE(VLOOKUP(1,$Z$12:Z1292,1,0))=16,Первоначальный[[#This Row],[Досрочное погашение (да/"")]]=""),0,
AND(S1291=0,Первоначальный[[#This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платеж]]+Y1291-SUM(Первоначальный[[#This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комиссиям]]),VLOOKUP(LOOKUP(,-1/($Z$12:Z1292=1),$A$12:A1292),График[[Срок конец]:[Возврат основной суммы долга]],3,0)),
AND(S1291=0,Первоначальный[[#This Row],[Дата платежа из графика]]="",Первоначальный[[#This Row],[Досрочное погашение (да/"")]]&lt;&gt;"Да"),0,
AND(S1291=0,Первоначальный[[#This Row],[Досрочное погашение (да/"")]]=""),MIN(Первоначальный[[#This Row],[Полученный платеж]]+Y1291-SUM(Первоначальный[[#This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комиссиям]]),VLOOKUP(LOOKUP(,-1/($Z$12:Z1292=1),$A$12:A1292),График[[Срок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платеж]]+Y1291-SUM(Первоначальный[[#This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S1291&gt;0,MIN(Первоначальный[[#This Row],[Полученный платеж]]+Y1291-SUM(Первоначальный[[#This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комиссиям]]),SUM(INDIRECT("M"&amp;(MAX((1=S$12:S1291)*ROW(S$12:S1291),ROW($W$12))&amp;":M"&amp;(ROW()))))-SUM(INDIRECT("W"&amp;(MAX((1=S$12:S1291)*ROW(S$12:S1291),ROW($W$12))&amp;":W"&amp;(ROW()-1)))))
)
)</f>
        <v>0</v>
      </c>
      <c r="X1292" s="55">
        <f t="shared" ca="1" si="232"/>
        <v>0</v>
      </c>
      <c r="Y1292" s="101">
        <f t="shared" ca="1" si="239"/>
        <v>0</v>
      </c>
      <c r="Z1292" s="133" t="str">
        <f>IF(TYPE((VLOOKUP(Первоначальный[[#This Row],[Дата платежа]],График[Срок конец],1,0)))=16,"",1)</f>
        <v/>
      </c>
      <c r="AA1292" s="57"/>
      <c r="AB1292" s="134"/>
      <c r="AC129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9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92546.620000000243</v>
      </c>
      <c r="AE129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6775.9599999999937</v>
      </c>
      <c r="AF129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9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345113.03689508158</v>
      </c>
      <c r="AH1292" s="55"/>
      <c r="AI1292" s="55"/>
      <c r="AJ1292" s="55"/>
      <c r="AK1292" s="101">
        <f t="shared" ca="1" si="240"/>
        <v>594068.95689508179</v>
      </c>
      <c r="AL1292" s="129">
        <f t="array" ref="AL1292">MAX((УслРестрактов[Характеристика]="Дата реструктуризации")*(УслРестрактов[Значение]=Первоначальный!$A1292),0)</f>
        <v>0</v>
      </c>
    </row>
    <row r="1293" spans="1:38" x14ac:dyDescent="0.25">
      <c r="A1293" s="97">
        <f t="shared" si="233"/>
        <v>45424</v>
      </c>
      <c r="B1293" s="100">
        <f t="shared" ca="1" si="234"/>
        <v>149633.34</v>
      </c>
      <c r="C1293" s="55">
        <f t="shared" ca="1" si="242"/>
        <v>92546.620000000243</v>
      </c>
      <c r="D1293" s="55">
        <f t="shared" ca="1" si="242"/>
        <v>6775.9599999999937</v>
      </c>
      <c r="E1293" s="55">
        <f t="shared" ca="1" si="235"/>
        <v>0</v>
      </c>
      <c r="F1293" s="55">
        <f t="shared" ca="1" si="236"/>
        <v>345113.03689508158</v>
      </c>
      <c r="G1293" s="101">
        <f t="shared" ca="1" si="237"/>
        <v>594068.95689508179</v>
      </c>
      <c r="H1293" s="100">
        <f ca="1">ROUND($B1293*VLOOKUP($A1293,$A$1:$B$10,2,1)/(365+IF(MOD(YEAR($A1293),4),0,1)*($A1293-$A1292)),2)-Первоначальный[[#This Row],[Проценты на просроченный платеж по ОД за период]]</f>
        <v>68.599999999999994</v>
      </c>
      <c r="I1293" s="55">
        <f t="shared" ca="1" si="238"/>
        <v>12.76</v>
      </c>
      <c r="J1293" s="55">
        <v>0</v>
      </c>
      <c r="K1293" s="55">
        <f t="shared" ca="1" si="241"/>
        <v>579.33350327868845</v>
      </c>
      <c r="L1293" s="55">
        <v>0</v>
      </c>
      <c r="M1293" s="113">
        <f>SUMIFS(График[Возврат основной суммы долга],График[Дата с учетом нерабочих дней],$A1293)</f>
        <v>0</v>
      </c>
      <c r="N1293" s="56">
        <f>SUMIFS(График[Возврат начисленных %],График[Дата с учетом нерабочих дней],$A1293)</f>
        <v>0</v>
      </c>
      <c r="O1293" s="101">
        <v>0</v>
      </c>
      <c r="P1293" s="100" cm="1">
        <f t="array" aca="1" ref="P1293" ca="1">MAX(IF(AA1292="Да",0,SUM(INDIRECT("M"&amp;(MAX(("Да"=AA$12:AA1292)*ROW(AA$12:AA1292)+1,ROW($P$12))&amp;":M"&amp;(ROW()))))-SUM(INDIRECT("W"&amp;(MAX(("Да"=AA$12:AA1292)*ROW(AA$12:AA1292)+1,ROW($P$12))&amp;":W"&amp;(ROW()))))),0)</f>
        <v>23462.519999999997</v>
      </c>
      <c r="Q1293" s="99">
        <f ca="1">MAX(SUM($N$13:N1293)-SUM($T$13:T1293),0)</f>
        <v>92404.180655737684</v>
      </c>
      <c r="R1293" s="99">
        <f ca="1">Первоначальный[[#This Row],[Просроченный платеж по ОД]]+Первоначальный[[#This Row],[Просроченный платеж по процентам]]</f>
        <v>115866.70065573769</v>
      </c>
      <c r="S1293" s="120">
        <f ca="1">IF(Первоначальный[[#This Row],[Просроченный платеж]]&lt;1,0,S1292+1)</f>
        <v>1189</v>
      </c>
      <c r="T1293" s="100" cm="1">
        <f t="array" aca="1" ref="T1293" ca="1">IF(Первоначальный[[#This Row],[Итого остаток на начало периода]]&lt;1,0,
IF(
AND(TYPE(VLOOKUP(1,$Z$12:Z1293,1,0))=16,Первоначальный[[#This Row],[Досрочное погашение (да/"")]]=""),0,
_xlfn.IFS(AND(S1292=0,Первоначальный[[#This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платеж]]&lt;&gt;0),MIN(LOOKUP(,-1/($Z$12:Z1293=1),$C$12:C1293)+LOOKUP(,-1/($Z$12:Z1293=1),$H$12:H1293),Первоначальный[[#This Row],[Полученный платеж]]+Y1292),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платеж]]+Y1292,SUM(Первоначальный[[#This Row],[Остаток процентов на начало периода]],Первоначальный[[#This Row],[Проценты за период]])),
AND(S1292=0,Первоначальный[[#This Row],[Дата платежа из графика]]=""),0,
AND(S1292=0,Первоначальный[[#This Row],[Дата платежа из графика]]=1,MAX((0&lt;&gt;S$12:S1292)*ROW(S$12:S1292),ROW($S$12))&gt;=MAX((1=Z$12:Z1292)*ROW(Z$12:Z1292),ROW($T$12)),TYPE(VLOOKUP("Да",(INDIRECT("AA"&amp;(MAX((1=Z$12:Z1292)*ROW(Z$12:Z1292),ROW($T$12))&amp;":AA"&amp;(ROW()-1)))),1,0))=16),MIN(LOOKUP(,-1/($Z$12:Z1293=1),$C$12:C1293)+LOOKUP(,-1/($Z$12:Z1293=1),$H$12:H1293),Первоначальный[[#This Row],[Полученный платеж]]+Y1292),
AND(S1292=0,TYPE(VLOOKUP("Да",(INDIRECT("AA"&amp;(MAX((1=Z$12:Z1292)*ROW(Z$12:Z1292),ROW($T$12))&amp;":AA"&amp;(ROW()-1)))),1,0))&lt;&gt;16),MIN(LOOKUP(,-1/($Z$12:Z1293=1),$C$12:C1293)+LOOKUP(,-1/($Z$12:Z1293=1),$H$12:H1293)-IF(AA1292="Да",0,SUM(INDIRECT("T"&amp;(MAX(("Да"=AA$12:AA1292)*ROW(AA$12:AA1292)+1,ROW($T$12))&amp;":T"&amp;(ROW()-1))))),Первоначальный[[#This Row],[Полученный платеж]]+Y1292),
AND(S1292=0,MAX((0&lt;&gt;N$12:N1292)*ROW(N$12:N1292),ROW($S$12))&gt;=MAX((1=Z$12:Z1292)*ROW(Z$12:Z1292),ROW($T$12))),MIN(LOOKUP(,-1/($Z$12:Z1293=1),$C$12:C1293)+LOOKUP(,-1/($Z$12:Z1293=1),$H$12:H1293)-IF(N1292&lt;&gt;0,0,SUM(INDIRECT("T"&amp;(MAX((0&lt;&gt;N$12:N1292)*ROW(N$12:N1292)+1,ROW($T$12))&amp;":T"&amp;(ROW()-1))))),Первоначальный[[#This Row],[Полученный платеж]]+Y1292),
AND(S1292=0,Первоначальный[[#This Row],[Дата платежа из графика]]=1),MIN(LOOKUP(,-1/($Z$12:Z1293=1),$C$12:C1293)+LOOKUP(,-1/($Z$12:Z1293=1),$H$12:H1293)-IF(Z1292=1,0,SUM(INDIRECT("T"&amp;(MAX((1=Z$12:Z1292)*ROW(Z$12:Z1292)+1,ROW($T$12))&amp;":T"&amp;(ROW()-1))))),Первоначальный[[#This Row],[Полученный платеж]]+Y1292),
AND(Z1292&gt;0,Первоначальный[[#This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платеж]]+Y1292),
AND(S1292&gt;0,MAX((0&lt;&gt;S$12:S1292)*ROW(S$12:S1292),ROW($S$12))&gt;=MAX((1=Z$12:Z1292)*ROW(Z$12:Z1292),ROW($T$12)),TYPE(VLOOKUP("Да",(INDIRECT("AA"&amp;(MAX((1=Z$12:Z1292)*ROW(Z$12:Z1292),ROW($T$12))&amp;":AA"&amp;(ROW()-1)))),1,0))=16),MIN(LOOKUP(,-1/($Z$12:Z1293=1),$C$12:C1293)+LOOKUP(,-1/($Z$12:Z1293=1),$H$12:H1293)-SUM(INDIRECT("T"&amp;(MAX((1=Z$12:Z1292)*ROW(Z$12:Z1292),ROW($T$12))&amp;":T"&amp;(ROW()-1)))),Первоначальный[[#This Row],[Полученный платеж]]+Y1292),
S1292&gt;0,MIN(LOOKUP(,-1/($Z$12:Z1293=1),$C$12:C1293)+LOOKUP(,-1/($Z$12:Z1293=1),$H$12:H1293)-IF(Z1292=1,0,SUM(INDIRECT("T"&amp;(MAX((1=Z$12:Z1292)*ROW(Z$12:Z1292)+1,ROW($T$12))&amp;":T"&amp;(ROW()-1))))),Первоначальный[[#This Row],[Полученный платеж]]+Y1292)
)
)
)</f>
        <v>0</v>
      </c>
      <c r="U129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платеж]]+Y1292-Первоначальный[[#This Row],[Полученный платёж по процентам]])</f>
        <v>0</v>
      </c>
      <c r="V1293" s="55">
        <f t="shared" ref="V1293:V1356" ca="1" si="243">MAX(MIN(SUM(O1293,Y1292)-SUM(T1293:T1293),SUM(E1293,J1293)),0)</f>
        <v>0</v>
      </c>
      <c r="W1293" s="55" cm="1">
        <f t="array" aca="1" ref="W1293" ca="1">IF(Первоначальный[[#This Row],[Итого остаток на начало периода]]&lt;1,0,
_xlfn.IFS(
AND(TYPE(VLOOKUP(1,$Z$12:Z1293,1,0))=16,Первоначальный[[#This Row],[Досрочное погашение (да/"")]]=""),0,
AND(S1292=0,Первоначальный[[#This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платеж]]+Y1292-SUM(Первоначальный[[#This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комиссиям]]),VLOOKUP(LOOKUP(,-1/($Z$12:Z1293=1),$A$12:A1293),График[[Срок конец]:[Возврат основной суммы долга]],3,0)),
AND(S1292=0,Первоначальный[[#This Row],[Дата платежа из графика]]="",Первоначальный[[#This Row],[Досрочное погашение (да/"")]]&lt;&gt;"Да"),0,
AND(S1292=0,Первоначальный[[#This Row],[Досрочное погашение (да/"")]]=""),MIN(Первоначальный[[#This Row],[Полученный платеж]]+Y1292-SUM(Первоначальный[[#This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комиссиям]]),VLOOKUP(LOOKUP(,-1/($Z$12:Z1293=1),$A$12:A1293),График[[Срок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платеж]]+Y1292-SUM(Первоначальный[[#This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S1292&gt;0,MIN(Первоначальный[[#This Row],[Полученный платеж]]+Y1292-SUM(Первоначальный[[#This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комиссиям]]),SUM(INDIRECT("M"&amp;(MAX((1=S$12:S1292)*ROW(S$12:S1292),ROW($W$12))&amp;":M"&amp;(ROW()))))-SUM(INDIRECT("W"&amp;(MAX((1=S$12:S1292)*ROW(S$12:S1292),ROW($W$12))&amp;":W"&amp;(ROW()-1)))))
)
)</f>
        <v>0</v>
      </c>
      <c r="X1293" s="55">
        <f t="shared" ref="X1293:X1356" ca="1" si="244">MAX(MIN(SUM(O1293,Y1292)-SUM(T1293:W1293),SUM(F1293,K1293)),0)</f>
        <v>0</v>
      </c>
      <c r="Y1293" s="101">
        <f t="shared" ca="1" si="239"/>
        <v>0</v>
      </c>
      <c r="Z1293" s="133" t="str">
        <f>IF(TYPE((VLOOKUP(Первоначальный[[#This Row],[Дата платежа]],График[Срок конец],1,0)))=16,"",1)</f>
        <v/>
      </c>
      <c r="AA1293" s="57"/>
      <c r="AB1293" s="134"/>
      <c r="AC129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9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92615.220000000249</v>
      </c>
      <c r="AE129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6788.7199999999939</v>
      </c>
      <c r="AF129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9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345692.37039836025</v>
      </c>
      <c r="AH1293" s="55"/>
      <c r="AI1293" s="55"/>
      <c r="AJ1293" s="55"/>
      <c r="AK1293" s="101">
        <f t="shared" ca="1" si="240"/>
        <v>594729.65039836045</v>
      </c>
      <c r="AL1293" s="129">
        <f t="array" ref="AL1293">MAX((УслРестрактов[Характеристика]="Дата реструктуризации")*(УслРестрактов[Значение]=Первоначальный!$A1293),0)</f>
        <v>0</v>
      </c>
    </row>
    <row r="1294" spans="1:38" x14ac:dyDescent="0.25">
      <c r="A1294" s="97">
        <f t="shared" ref="A1294:A1357" si="245">A1293+1</f>
        <v>45425</v>
      </c>
      <c r="B1294" s="100">
        <f t="shared" ref="B1294:B1357" ca="1" si="246">AC1293</f>
        <v>149633.34</v>
      </c>
      <c r="C1294" s="55">
        <f t="shared" ca="1" si="242"/>
        <v>92615.220000000249</v>
      </c>
      <c r="D1294" s="55">
        <f t="shared" ca="1" si="242"/>
        <v>6788.7199999999939</v>
      </c>
      <c r="E1294" s="55">
        <f t="shared" ref="E1294:E1357" ca="1" si="247">AF1293</f>
        <v>0</v>
      </c>
      <c r="F1294" s="55">
        <f t="shared" ref="F1294:F1357" ca="1" si="248">AG1293+AH1293</f>
        <v>345692.37039836025</v>
      </c>
      <c r="G1294" s="101">
        <f t="shared" ref="G1294:G1357" ca="1" si="249">AK1293</f>
        <v>594729.65039836045</v>
      </c>
      <c r="H1294" s="100">
        <f ca="1">ROUND($B1294*VLOOKUP($A1294,$A$1:$B$10,2,1)/(365+IF(MOD(YEAR($A1294),4),0,1)*($A1294-$A1293)),2)-Первоначальный[[#This Row],[Проценты на просроченный платеж по ОД за период]]</f>
        <v>68.599999999999994</v>
      </c>
      <c r="I1294" s="55">
        <f t="shared" ref="I1294:I1357" ca="1" si="250">ROUND(P1293*VLOOKUP($A1294,$A$1:$B$10,2,1)/(365+IF(MOD(YEAR($A1294),4),0,1)*($A1294-$A1293)),2)</f>
        <v>12.76</v>
      </c>
      <c r="J1294" s="55">
        <v>0</v>
      </c>
      <c r="K1294" s="55">
        <f t="shared" ca="1" si="241"/>
        <v>579.33350327868845</v>
      </c>
      <c r="L1294" s="55">
        <v>0</v>
      </c>
      <c r="M1294" s="113">
        <f>SUMIFS(График[Возврат основной суммы долга],График[Дата с учетом нерабочих дней],$A1294)</f>
        <v>0</v>
      </c>
      <c r="N1294" s="56">
        <f>SUMIFS(График[Возврат начисленных %],График[Дата с учетом нерабочих дней],$A1294)</f>
        <v>0</v>
      </c>
      <c r="O1294" s="101">
        <v>0</v>
      </c>
      <c r="P1294" s="100" cm="1">
        <f t="array" aca="1" ref="P1294" ca="1">MAX(IF(AA1293="Да",0,SUM(INDIRECT("M"&amp;(MAX(("Да"=AA$12:AA1293)*ROW(AA$12:AA1293)+1,ROW($P$12))&amp;":M"&amp;(ROW()))))-SUM(INDIRECT("W"&amp;(MAX(("Да"=AA$12:AA1293)*ROW(AA$12:AA1293)+1,ROW($P$12))&amp;":W"&amp;(ROW()))))),0)</f>
        <v>23462.519999999997</v>
      </c>
      <c r="Q1294" s="99">
        <f ca="1">MAX(SUM($N$13:N1294)-SUM($T$13:T1294),0)</f>
        <v>92404.180655737684</v>
      </c>
      <c r="R1294" s="99">
        <f ca="1">Первоначальный[[#This Row],[Просроченный платеж по ОД]]+Первоначальный[[#This Row],[Просроченный платеж по процентам]]</f>
        <v>115866.70065573769</v>
      </c>
      <c r="S1294" s="120">
        <f ca="1">IF(Первоначальный[[#This Row],[Просроченный платеж]]&lt;1,0,S1293+1)</f>
        <v>1190</v>
      </c>
      <c r="T1294" s="100" cm="1">
        <f t="array" aca="1" ref="T1294" ca="1">IF(Первоначальный[[#This Row],[Итого остаток на начало периода]]&lt;1,0,
IF(
AND(TYPE(VLOOKUP(1,$Z$12:Z1294,1,0))=16,Первоначальный[[#This Row],[Досрочное погашение (да/"")]]=""),0,
_xlfn.IFS(AND(S1293=0,Первоначальный[[#This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платеж]]&lt;&gt;0),MIN(LOOKUP(,-1/($Z$12:Z1294=1),$C$12:C1294)+LOOKUP(,-1/($Z$12:Z1294=1),$H$12:H1294),Первоначальный[[#This Row],[Полученный платеж]]+Y1293),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платеж]]+Y1293,SUM(Первоначальный[[#This Row],[Остаток процентов на начало периода]],Первоначальный[[#This Row],[Проценты за период]])),
AND(S1293=0,Первоначальный[[#This Row],[Дата платежа из графика]]=""),0,
AND(S1293=0,Первоначальный[[#This Row],[Дата платежа из графика]]=1,MAX((0&lt;&gt;S$12:S1293)*ROW(S$12:S1293),ROW($S$12))&gt;=MAX((1=Z$12:Z1293)*ROW(Z$12:Z1293),ROW($T$12)),TYPE(VLOOKUP("Да",(INDIRECT("AA"&amp;(MAX((1=Z$12:Z1293)*ROW(Z$12:Z1293),ROW($T$12))&amp;":AA"&amp;(ROW()-1)))),1,0))=16),MIN(LOOKUP(,-1/($Z$12:Z1294=1),$C$12:C1294)+LOOKUP(,-1/($Z$12:Z1294=1),$H$12:H1294),Первоначальный[[#This Row],[Полученный платеж]]+Y1293),
AND(S1293=0,TYPE(VLOOKUP("Да",(INDIRECT("AA"&amp;(MAX((1=Z$12:Z1293)*ROW(Z$12:Z1293),ROW($T$12))&amp;":AA"&amp;(ROW()-1)))),1,0))&lt;&gt;16),MIN(LOOKUP(,-1/($Z$12:Z1294=1),$C$12:C1294)+LOOKUP(,-1/($Z$12:Z1294=1),$H$12:H1294)-IF(AA1293="Да",0,SUM(INDIRECT("T"&amp;(MAX(("Да"=AA$12:AA1293)*ROW(AA$12:AA1293)+1,ROW($T$12))&amp;":T"&amp;(ROW()-1))))),Первоначальный[[#This Row],[Полученный платеж]]+Y1293),
AND(S1293=0,MAX((0&lt;&gt;N$12:N1293)*ROW(N$12:N1293),ROW($S$12))&gt;=MAX((1=Z$12:Z1293)*ROW(Z$12:Z1293),ROW($T$12))),MIN(LOOKUP(,-1/($Z$12:Z1294=1),$C$12:C1294)+LOOKUP(,-1/($Z$12:Z1294=1),$H$12:H1294)-IF(N1293&lt;&gt;0,0,SUM(INDIRECT("T"&amp;(MAX((0&lt;&gt;N$12:N1293)*ROW(N$12:N1293)+1,ROW($T$12))&amp;":T"&amp;(ROW()-1))))),Первоначальный[[#This Row],[Полученный платеж]]+Y1293),
AND(S1293=0,Первоначальный[[#This Row],[Дата платежа из графика]]=1),MIN(LOOKUP(,-1/($Z$12:Z1294=1),$C$12:C1294)+LOOKUP(,-1/($Z$12:Z1294=1),$H$12:H1294)-IF(Z1293=1,0,SUM(INDIRECT("T"&amp;(MAX((1=Z$12:Z1293)*ROW(Z$12:Z1293)+1,ROW($T$12))&amp;":T"&amp;(ROW()-1))))),Первоначальный[[#This Row],[Полученный платеж]]+Y1293),
AND(Z1293&gt;0,Первоначальный[[#This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платеж]]+Y1293),
AND(S1293&gt;0,MAX((0&lt;&gt;S$12:S1293)*ROW(S$12:S1293),ROW($S$12))&gt;=MAX((1=Z$12:Z1293)*ROW(Z$12:Z1293),ROW($T$12)),TYPE(VLOOKUP("Да",(INDIRECT("AA"&amp;(MAX((1=Z$12:Z1293)*ROW(Z$12:Z1293),ROW($T$12))&amp;":AA"&amp;(ROW()-1)))),1,0))=16),MIN(LOOKUP(,-1/($Z$12:Z1294=1),$C$12:C1294)+LOOKUP(,-1/($Z$12:Z1294=1),$H$12:H1294)-SUM(INDIRECT("T"&amp;(MAX((1=Z$12:Z1293)*ROW(Z$12:Z1293),ROW($T$12))&amp;":T"&amp;(ROW()-1)))),Первоначальный[[#This Row],[Полученный платеж]]+Y1293),
S1293&gt;0,MIN(LOOKUP(,-1/($Z$12:Z1294=1),$C$12:C1294)+LOOKUP(,-1/($Z$12:Z1294=1),$H$12:H1294)-IF(Z1293=1,0,SUM(INDIRECT("T"&amp;(MAX((1=Z$12:Z1293)*ROW(Z$12:Z1293)+1,ROW($T$12))&amp;":T"&amp;(ROW()-1))))),Первоначальный[[#This Row],[Полученный платеж]]+Y1293)
)
)
)</f>
        <v>0</v>
      </c>
      <c r="U129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платеж]]+Y1293-Первоначальный[[#This Row],[Полученный платёж по процентам]])</f>
        <v>0</v>
      </c>
      <c r="V1294" s="55">
        <f t="shared" ca="1" si="243"/>
        <v>0</v>
      </c>
      <c r="W1294" s="55" cm="1">
        <f t="array" aca="1" ref="W1294" ca="1">IF(Первоначальный[[#This Row],[Итого остаток на начало периода]]&lt;1,0,
_xlfn.IFS(
AND(TYPE(VLOOKUP(1,$Z$12:Z1294,1,0))=16,Первоначальный[[#This Row],[Досрочное погашение (да/"")]]=""),0,
AND(S1293=0,Первоначальный[[#This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платеж]]+Y1293-SUM(Первоначальный[[#This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комиссиям]]),VLOOKUP(LOOKUP(,-1/($Z$12:Z1294=1),$A$12:A1294),График[[Срок конец]:[Возврат основной суммы долга]],3,0)),
AND(S1293=0,Первоначальный[[#This Row],[Дата платежа из графика]]="",Первоначальный[[#This Row],[Досрочное погашение (да/"")]]&lt;&gt;"Да"),0,
AND(S1293=0,Первоначальный[[#This Row],[Досрочное погашение (да/"")]]=""),MIN(Первоначальный[[#This Row],[Полученный платеж]]+Y1293-SUM(Первоначальный[[#This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комиссиям]]),VLOOKUP(LOOKUP(,-1/($Z$12:Z1294=1),$A$12:A1294),График[[Срок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платеж]]+Y1293-SUM(Первоначальный[[#This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S1293&gt;0,MIN(Первоначальный[[#This Row],[Полученный платеж]]+Y1293-SUM(Первоначальный[[#This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комиссиям]]),SUM(INDIRECT("M"&amp;(MAX((1=S$12:S1293)*ROW(S$12:S1293),ROW($W$12))&amp;":M"&amp;(ROW()))))-SUM(INDIRECT("W"&amp;(MAX((1=S$12:S1293)*ROW(S$12:S1293),ROW($W$12))&amp;":W"&amp;(ROW()-1)))))
)
)</f>
        <v>0</v>
      </c>
      <c r="X1294" s="55">
        <f t="shared" ca="1" si="244"/>
        <v>0</v>
      </c>
      <c r="Y1294" s="101">
        <f t="shared" ref="Y1294:Y1357" ca="1" si="251">ROUND(Y1293+O1294-SUM(T1294:X1294),2)</f>
        <v>0</v>
      </c>
      <c r="Z1294" s="133" t="str">
        <f>IF(TYPE((VLOOKUP(Первоначальный[[#This Row],[Дата платежа]],График[Срок конец],1,0)))=16,"",1)</f>
        <v/>
      </c>
      <c r="AA1294" s="57"/>
      <c r="AB1294" s="134"/>
      <c r="AC129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9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92683.820000000254</v>
      </c>
      <c r="AE129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6801.4799999999941</v>
      </c>
      <c r="AF129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9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346271.70390163892</v>
      </c>
      <c r="AH1294" s="55"/>
      <c r="AI1294" s="55"/>
      <c r="AJ1294" s="55"/>
      <c r="AK1294" s="101">
        <f t="shared" ref="AK1294:AK1357" ca="1" si="252">SUM(AC1294:AJ1294)</f>
        <v>595390.34390163911</v>
      </c>
      <c r="AL1294" s="129">
        <f t="array" ref="AL1294">MAX((УслРестрактов[Характеристика]="Дата реструктуризации")*(УслРестрактов[Значение]=Первоначальный!$A1294),0)</f>
        <v>0</v>
      </c>
    </row>
    <row r="1295" spans="1:38" x14ac:dyDescent="0.25">
      <c r="A1295" s="97">
        <f t="shared" si="245"/>
        <v>45426</v>
      </c>
      <c r="B1295" s="100">
        <f t="shared" ca="1" si="246"/>
        <v>149633.34</v>
      </c>
      <c r="C1295" s="55">
        <f t="shared" ca="1" si="242"/>
        <v>92683.820000000254</v>
      </c>
      <c r="D1295" s="55">
        <f t="shared" ca="1" si="242"/>
        <v>6801.4799999999941</v>
      </c>
      <c r="E1295" s="55">
        <f t="shared" ca="1" si="247"/>
        <v>0</v>
      </c>
      <c r="F1295" s="55">
        <f t="shared" ca="1" si="248"/>
        <v>346271.70390163892</v>
      </c>
      <c r="G1295" s="101">
        <f t="shared" ca="1" si="249"/>
        <v>595390.34390163911</v>
      </c>
      <c r="H1295" s="100">
        <f ca="1">ROUND($B1295*VLOOKUP($A1295,$A$1:$B$10,2,1)/(365+IF(MOD(YEAR($A1295),4),0,1)*($A1295-$A1294)),2)-Первоначальный[[#This Row],[Проценты на просроченный платеж по ОД за период]]</f>
        <v>68.599999999999994</v>
      </c>
      <c r="I1295" s="55">
        <f t="shared" ca="1" si="250"/>
        <v>12.76</v>
      </c>
      <c r="J1295" s="55">
        <v>0</v>
      </c>
      <c r="K1295" s="55">
        <f t="shared" ref="K1295:K1358" ca="1" si="253">IF(S1295&lt;&gt;0,R1295*$B$7,0)</f>
        <v>579.33350327868845</v>
      </c>
      <c r="L1295" s="55">
        <v>0</v>
      </c>
      <c r="M1295" s="113">
        <f>SUMIFS(График[Возврат основной суммы долга],График[Дата с учетом нерабочих дней],$A1295)</f>
        <v>0</v>
      </c>
      <c r="N1295" s="56">
        <f>SUMIFS(График[Возврат начисленных %],График[Дата с учетом нерабочих дней],$A1295)</f>
        <v>0</v>
      </c>
      <c r="O1295" s="101">
        <v>0</v>
      </c>
      <c r="P1295" s="100" cm="1">
        <f t="array" aca="1" ref="P1295" ca="1">MAX(IF(AA1294="Да",0,SUM(INDIRECT("M"&amp;(MAX(("Да"=AA$12:AA1294)*ROW(AA$12:AA1294)+1,ROW($P$12))&amp;":M"&amp;(ROW()))))-SUM(INDIRECT("W"&amp;(MAX(("Да"=AA$12:AA1294)*ROW(AA$12:AA1294)+1,ROW($P$12))&amp;":W"&amp;(ROW()))))),0)</f>
        <v>23462.519999999997</v>
      </c>
      <c r="Q1295" s="99">
        <f ca="1">MAX(SUM($N$13:N1295)-SUM($T$13:T1295),0)</f>
        <v>92404.180655737684</v>
      </c>
      <c r="R1295" s="99">
        <f ca="1">Первоначальный[[#This Row],[Просроченный платеж по ОД]]+Первоначальный[[#This Row],[Просроченный платеж по процентам]]</f>
        <v>115866.70065573769</v>
      </c>
      <c r="S1295" s="120">
        <f ca="1">IF(Первоначальный[[#This Row],[Просроченный платеж]]&lt;1,0,S1294+1)</f>
        <v>1191</v>
      </c>
      <c r="T1295" s="100" cm="1">
        <f t="array" aca="1" ref="T1295" ca="1">IF(Первоначальный[[#This Row],[Итого остаток на начало периода]]&lt;1,0,
IF(
AND(TYPE(VLOOKUP(1,$Z$12:Z1295,1,0))=16,Первоначальный[[#This Row],[Досрочное погашение (да/"")]]=""),0,
_xlfn.IFS(AND(S1294=0,Первоначальный[[#This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платеж]]&lt;&gt;0),MIN(LOOKUP(,-1/($Z$12:Z1295=1),$C$12:C1295)+LOOKUP(,-1/($Z$12:Z1295=1),$H$12:H1295),Первоначальный[[#This Row],[Полученный платеж]]+Y1294),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платеж]]+Y1294,SUM(Первоначальный[[#This Row],[Остаток процентов на начало периода]],Первоначальный[[#This Row],[Проценты за период]])),
AND(S1294=0,Первоначальный[[#This Row],[Дата платежа из графика]]=""),0,
AND(S1294=0,Первоначальный[[#This Row],[Дата платежа из графика]]=1,MAX((0&lt;&gt;S$12:S1294)*ROW(S$12:S1294),ROW($S$12))&gt;=MAX((1=Z$12:Z1294)*ROW(Z$12:Z1294),ROW($T$12)),TYPE(VLOOKUP("Да",(INDIRECT("AA"&amp;(MAX((1=Z$12:Z1294)*ROW(Z$12:Z1294),ROW($T$12))&amp;":AA"&amp;(ROW()-1)))),1,0))=16),MIN(LOOKUP(,-1/($Z$12:Z1295=1),$C$12:C1295)+LOOKUP(,-1/($Z$12:Z1295=1),$H$12:H1295),Первоначальный[[#This Row],[Полученный платеж]]+Y1294),
AND(S1294=0,TYPE(VLOOKUP("Да",(INDIRECT("AA"&amp;(MAX((1=Z$12:Z1294)*ROW(Z$12:Z1294),ROW($T$12))&amp;":AA"&amp;(ROW()-1)))),1,0))&lt;&gt;16),MIN(LOOKUP(,-1/($Z$12:Z1295=1),$C$12:C1295)+LOOKUP(,-1/($Z$12:Z1295=1),$H$12:H1295)-IF(AA1294="Да",0,SUM(INDIRECT("T"&amp;(MAX(("Да"=AA$12:AA1294)*ROW(AA$12:AA1294)+1,ROW($T$12))&amp;":T"&amp;(ROW()-1))))),Первоначальный[[#This Row],[Полученный платеж]]+Y1294),
AND(S1294=0,MAX((0&lt;&gt;N$12:N1294)*ROW(N$12:N1294),ROW($S$12))&gt;=MAX((1=Z$12:Z1294)*ROW(Z$12:Z1294),ROW($T$12))),MIN(LOOKUP(,-1/($Z$12:Z1295=1),$C$12:C1295)+LOOKUP(,-1/($Z$12:Z1295=1),$H$12:H1295)-IF(N1294&lt;&gt;0,0,SUM(INDIRECT("T"&amp;(MAX((0&lt;&gt;N$12:N1294)*ROW(N$12:N1294)+1,ROW($T$12))&amp;":T"&amp;(ROW()-1))))),Первоначальный[[#This Row],[Полученный платеж]]+Y1294),
AND(S1294=0,Первоначальный[[#This Row],[Дата платежа из графика]]=1),MIN(LOOKUP(,-1/($Z$12:Z1295=1),$C$12:C1295)+LOOKUP(,-1/($Z$12:Z1295=1),$H$12:H1295)-IF(Z1294=1,0,SUM(INDIRECT("T"&amp;(MAX((1=Z$12:Z1294)*ROW(Z$12:Z1294)+1,ROW($T$12))&amp;":T"&amp;(ROW()-1))))),Первоначальный[[#This Row],[Полученный платеж]]+Y1294),
AND(Z1294&gt;0,Первоначальный[[#This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платеж]]+Y1294),
AND(S1294&gt;0,MAX((0&lt;&gt;S$12:S1294)*ROW(S$12:S1294),ROW($S$12))&gt;=MAX((1=Z$12:Z1294)*ROW(Z$12:Z1294),ROW($T$12)),TYPE(VLOOKUP("Да",(INDIRECT("AA"&amp;(MAX((1=Z$12:Z1294)*ROW(Z$12:Z1294),ROW($T$12))&amp;":AA"&amp;(ROW()-1)))),1,0))=16),MIN(LOOKUP(,-1/($Z$12:Z1295=1),$C$12:C1295)+LOOKUP(,-1/($Z$12:Z1295=1),$H$12:H1295)-SUM(INDIRECT("T"&amp;(MAX((1=Z$12:Z1294)*ROW(Z$12:Z1294),ROW($T$12))&amp;":T"&amp;(ROW()-1)))),Первоначальный[[#This Row],[Полученный платеж]]+Y1294),
S1294&gt;0,MIN(LOOKUP(,-1/($Z$12:Z1295=1),$C$12:C1295)+LOOKUP(,-1/($Z$12:Z1295=1),$H$12:H1295)-IF(Z1294=1,0,SUM(INDIRECT("T"&amp;(MAX((1=Z$12:Z1294)*ROW(Z$12:Z1294)+1,ROW($T$12))&amp;":T"&amp;(ROW()-1))))),Первоначальный[[#This Row],[Полученный платеж]]+Y1294)
)
)
)</f>
        <v>0</v>
      </c>
      <c r="U129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платеж]]+Y1294-Первоначальный[[#This Row],[Полученный платёж по процентам]])</f>
        <v>0</v>
      </c>
      <c r="V1295" s="55">
        <f t="shared" ca="1" si="243"/>
        <v>0</v>
      </c>
      <c r="W1295" s="55" cm="1">
        <f t="array" aca="1" ref="W1295" ca="1">IF(Первоначальный[[#This Row],[Итого остаток на начало периода]]&lt;1,0,
_xlfn.IFS(
AND(TYPE(VLOOKUP(1,$Z$12:Z1295,1,0))=16,Первоначальный[[#This Row],[Досрочное погашение (да/"")]]=""),0,
AND(S1294=0,Первоначальный[[#This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платеж]]+Y1294-SUM(Первоначальный[[#This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комиссиям]]),VLOOKUP(LOOKUP(,-1/($Z$12:Z1295=1),$A$12:A1295),График[[Срок конец]:[Возврат основной суммы долга]],3,0)),
AND(S1294=0,Первоначальный[[#This Row],[Дата платежа из графика]]="",Первоначальный[[#This Row],[Досрочное погашение (да/"")]]&lt;&gt;"Да"),0,
AND(S1294=0,Первоначальный[[#This Row],[Досрочное погашение (да/"")]]=""),MIN(Первоначальный[[#This Row],[Полученный платеж]]+Y1294-SUM(Первоначальный[[#This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комиссиям]]),VLOOKUP(LOOKUP(,-1/($Z$12:Z1295=1),$A$12:A1295),График[[Срок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платеж]]+Y1294-SUM(Первоначальный[[#This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S1294&gt;0,MIN(Первоначальный[[#This Row],[Полученный платеж]]+Y1294-SUM(Первоначальный[[#This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комиссиям]]),SUM(INDIRECT("M"&amp;(MAX((1=S$12:S1294)*ROW(S$12:S1294),ROW($W$12))&amp;":M"&amp;(ROW()))))-SUM(INDIRECT("W"&amp;(MAX((1=S$12:S1294)*ROW(S$12:S1294),ROW($W$12))&amp;":W"&amp;(ROW()-1)))))
)
)</f>
        <v>0</v>
      </c>
      <c r="X1295" s="55">
        <f t="shared" ca="1" si="244"/>
        <v>0</v>
      </c>
      <c r="Y1295" s="101">
        <f t="shared" ca="1" si="251"/>
        <v>0</v>
      </c>
      <c r="Z1295" s="133" t="str">
        <f>IF(TYPE((VLOOKUP(Первоначальный[[#This Row],[Дата платежа]],График[Срок конец],1,0)))=16,"",1)</f>
        <v/>
      </c>
      <c r="AA1295" s="57"/>
      <c r="AB1295" s="134"/>
      <c r="AC129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9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92752.42000000026</v>
      </c>
      <c r="AE129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6814.2399999999943</v>
      </c>
      <c r="AF129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9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346851.03740491759</v>
      </c>
      <c r="AH1295" s="55"/>
      <c r="AI1295" s="55"/>
      <c r="AJ1295" s="55"/>
      <c r="AK1295" s="101">
        <f t="shared" ca="1" si="252"/>
        <v>596051.03740491788</v>
      </c>
      <c r="AL1295" s="129">
        <f t="array" ref="AL1295">MAX((УслРестрактов[Характеристика]="Дата реструктуризации")*(УслРестрактов[Значение]=Первоначальный!$A1295),0)</f>
        <v>0</v>
      </c>
    </row>
    <row r="1296" spans="1:38" x14ac:dyDescent="0.25">
      <c r="A1296" s="97">
        <f t="shared" si="245"/>
        <v>45427</v>
      </c>
      <c r="B1296" s="100">
        <f t="shared" ca="1" si="246"/>
        <v>149633.34</v>
      </c>
      <c r="C1296" s="55">
        <f t="shared" ca="1" si="242"/>
        <v>92752.42000000026</v>
      </c>
      <c r="D1296" s="55">
        <f t="shared" ca="1" si="242"/>
        <v>6814.2399999999943</v>
      </c>
      <c r="E1296" s="55">
        <f t="shared" ca="1" si="247"/>
        <v>0</v>
      </c>
      <c r="F1296" s="55">
        <f t="shared" ca="1" si="248"/>
        <v>346851.03740491759</v>
      </c>
      <c r="G1296" s="101">
        <f t="shared" ca="1" si="249"/>
        <v>596051.03740491788</v>
      </c>
      <c r="H1296" s="100">
        <f ca="1">ROUND($B1296*VLOOKUP($A1296,$A$1:$B$10,2,1)/(365+IF(MOD(YEAR($A1296),4),0,1)*($A1296-$A1295)),2)-Первоначальный[[#This Row],[Проценты на просроченный платеж по ОД за период]]</f>
        <v>68.599999999999994</v>
      </c>
      <c r="I1296" s="55">
        <f t="shared" ca="1" si="250"/>
        <v>12.76</v>
      </c>
      <c r="J1296" s="55">
        <v>0</v>
      </c>
      <c r="K1296" s="55">
        <f t="shared" ca="1" si="253"/>
        <v>579.33350327868845</v>
      </c>
      <c r="L1296" s="55">
        <v>0</v>
      </c>
      <c r="M1296" s="113">
        <f>SUMIFS(График[Возврат основной суммы долга],График[Дата с учетом нерабочих дней],$A1296)</f>
        <v>0</v>
      </c>
      <c r="N1296" s="56">
        <f>SUMIFS(График[Возврат начисленных %],График[Дата с учетом нерабочих дней],$A1296)</f>
        <v>0</v>
      </c>
      <c r="O1296" s="101">
        <v>0</v>
      </c>
      <c r="P1296" s="100" cm="1">
        <f t="array" aca="1" ref="P1296" ca="1">MAX(IF(AA1295="Да",0,SUM(INDIRECT("M"&amp;(MAX(("Да"=AA$12:AA1295)*ROW(AA$12:AA1295)+1,ROW($P$12))&amp;":M"&amp;(ROW()))))-SUM(INDIRECT("W"&amp;(MAX(("Да"=AA$12:AA1295)*ROW(AA$12:AA1295)+1,ROW($P$12))&amp;":W"&amp;(ROW()))))),0)</f>
        <v>23462.519999999997</v>
      </c>
      <c r="Q1296" s="99">
        <f ca="1">MAX(SUM($N$13:N1296)-SUM($T$13:T1296),0)</f>
        <v>92404.180655737684</v>
      </c>
      <c r="R1296" s="99">
        <f ca="1">Первоначальный[[#This Row],[Просроченный платеж по ОД]]+Первоначальный[[#This Row],[Просроченный платеж по процентам]]</f>
        <v>115866.70065573769</v>
      </c>
      <c r="S1296" s="120">
        <f ca="1">IF(Первоначальный[[#This Row],[Просроченный платеж]]&lt;1,0,S1295+1)</f>
        <v>1192</v>
      </c>
      <c r="T1296" s="100" cm="1">
        <f t="array" aca="1" ref="T1296" ca="1">IF(Первоначальный[[#This Row],[Итого остаток на начало периода]]&lt;1,0,
IF(
AND(TYPE(VLOOKUP(1,$Z$12:Z1296,1,0))=16,Первоначальный[[#This Row],[Досрочное погашение (да/"")]]=""),0,
_xlfn.IFS(AND(S1295=0,Первоначальный[[#This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платеж]]&lt;&gt;0),MIN(LOOKUP(,-1/($Z$12:Z1296=1),$C$12:C1296)+LOOKUP(,-1/($Z$12:Z1296=1),$H$12:H1296),Первоначальный[[#This Row],[Полученный платеж]]+Y1295),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платеж]]+Y1295,SUM(Первоначальный[[#This Row],[Остаток процентов на начало периода]],Первоначальный[[#This Row],[Проценты за период]])),
AND(S1295=0,Первоначальный[[#This Row],[Дата платежа из графика]]=""),0,
AND(S1295=0,Первоначальный[[#This Row],[Дата платежа из графика]]=1,MAX((0&lt;&gt;S$12:S1295)*ROW(S$12:S1295),ROW($S$12))&gt;=MAX((1=Z$12:Z1295)*ROW(Z$12:Z1295),ROW($T$12)),TYPE(VLOOKUP("Да",(INDIRECT("AA"&amp;(MAX((1=Z$12:Z1295)*ROW(Z$12:Z1295),ROW($T$12))&amp;":AA"&amp;(ROW()-1)))),1,0))=16),MIN(LOOKUP(,-1/($Z$12:Z1296=1),$C$12:C1296)+LOOKUP(,-1/($Z$12:Z1296=1),$H$12:H1296),Первоначальный[[#This Row],[Полученный платеж]]+Y1295),
AND(S1295=0,TYPE(VLOOKUP("Да",(INDIRECT("AA"&amp;(MAX((1=Z$12:Z1295)*ROW(Z$12:Z1295),ROW($T$12))&amp;":AA"&amp;(ROW()-1)))),1,0))&lt;&gt;16),MIN(LOOKUP(,-1/($Z$12:Z1296=1),$C$12:C1296)+LOOKUP(,-1/($Z$12:Z1296=1),$H$12:H1296)-IF(AA1295="Да",0,SUM(INDIRECT("T"&amp;(MAX(("Да"=AA$12:AA1295)*ROW(AA$12:AA1295)+1,ROW($T$12))&amp;":T"&amp;(ROW()-1))))),Первоначальный[[#This Row],[Полученный платеж]]+Y1295),
AND(S1295=0,MAX((0&lt;&gt;N$12:N1295)*ROW(N$12:N1295),ROW($S$12))&gt;=MAX((1=Z$12:Z1295)*ROW(Z$12:Z1295),ROW($T$12))),MIN(LOOKUP(,-1/($Z$12:Z1296=1),$C$12:C1296)+LOOKUP(,-1/($Z$12:Z1296=1),$H$12:H1296)-IF(N1295&lt;&gt;0,0,SUM(INDIRECT("T"&amp;(MAX((0&lt;&gt;N$12:N1295)*ROW(N$12:N1295)+1,ROW($T$12))&amp;":T"&amp;(ROW()-1))))),Первоначальный[[#This Row],[Полученный платеж]]+Y1295),
AND(S1295=0,Первоначальный[[#This Row],[Дата платежа из графика]]=1),MIN(LOOKUP(,-1/($Z$12:Z1296=1),$C$12:C1296)+LOOKUP(,-1/($Z$12:Z1296=1),$H$12:H1296)-IF(Z1295=1,0,SUM(INDIRECT("T"&amp;(MAX((1=Z$12:Z1295)*ROW(Z$12:Z1295)+1,ROW($T$12))&amp;":T"&amp;(ROW()-1))))),Первоначальный[[#This Row],[Полученный платеж]]+Y1295),
AND(Z1295&gt;0,Первоначальный[[#This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платеж]]+Y1295),
AND(S1295&gt;0,MAX((0&lt;&gt;S$12:S1295)*ROW(S$12:S1295),ROW($S$12))&gt;=MAX((1=Z$12:Z1295)*ROW(Z$12:Z1295),ROW($T$12)),TYPE(VLOOKUP("Да",(INDIRECT("AA"&amp;(MAX((1=Z$12:Z1295)*ROW(Z$12:Z1295),ROW($T$12))&amp;":AA"&amp;(ROW()-1)))),1,0))=16),MIN(LOOKUP(,-1/($Z$12:Z1296=1),$C$12:C1296)+LOOKUP(,-1/($Z$12:Z1296=1),$H$12:H1296)-SUM(INDIRECT("T"&amp;(MAX((1=Z$12:Z1295)*ROW(Z$12:Z1295),ROW($T$12))&amp;":T"&amp;(ROW()-1)))),Первоначальный[[#This Row],[Полученный платеж]]+Y1295),
S1295&gt;0,MIN(LOOKUP(,-1/($Z$12:Z1296=1),$C$12:C1296)+LOOKUP(,-1/($Z$12:Z1296=1),$H$12:H1296)-IF(Z1295=1,0,SUM(INDIRECT("T"&amp;(MAX((1=Z$12:Z1295)*ROW(Z$12:Z1295)+1,ROW($T$12))&amp;":T"&amp;(ROW()-1))))),Первоначальный[[#This Row],[Полученный платеж]]+Y1295)
)
)
)</f>
        <v>0</v>
      </c>
      <c r="U129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платеж]]+Y1295-Первоначальный[[#This Row],[Полученный платёж по процентам]])</f>
        <v>0</v>
      </c>
      <c r="V1296" s="55">
        <f t="shared" ca="1" si="243"/>
        <v>0</v>
      </c>
      <c r="W1296" s="55" cm="1">
        <f t="array" aca="1" ref="W1296" ca="1">IF(Первоначальный[[#This Row],[Итого остаток на начало периода]]&lt;1,0,
_xlfn.IFS(
AND(TYPE(VLOOKUP(1,$Z$12:Z1296,1,0))=16,Первоначальный[[#This Row],[Досрочное погашение (да/"")]]=""),0,
AND(S1295=0,Первоначальный[[#This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платеж]]+Y1295-SUM(Первоначальный[[#This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комиссиям]]),VLOOKUP(LOOKUP(,-1/($Z$12:Z1296=1),$A$12:A1296),График[[Срок конец]:[Возврат основной суммы долга]],3,0)),
AND(S1295=0,Первоначальный[[#This Row],[Дата платежа из графика]]="",Первоначальный[[#This Row],[Досрочное погашение (да/"")]]&lt;&gt;"Да"),0,
AND(S1295=0,Первоначальный[[#This Row],[Досрочное погашение (да/"")]]=""),MIN(Первоначальный[[#This Row],[Полученный платеж]]+Y1295-SUM(Первоначальный[[#This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комиссиям]]),VLOOKUP(LOOKUP(,-1/($Z$12:Z1296=1),$A$12:A1296),График[[Срок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платеж]]+Y1295-SUM(Первоначальный[[#This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S1295&gt;0,MIN(Первоначальный[[#This Row],[Полученный платеж]]+Y1295-SUM(Первоначальный[[#This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комиссиям]]),SUM(INDIRECT("M"&amp;(MAX((1=S$12:S1295)*ROW(S$12:S1295),ROW($W$12))&amp;":M"&amp;(ROW()))))-SUM(INDIRECT("W"&amp;(MAX((1=S$12:S1295)*ROW(S$12:S1295),ROW($W$12))&amp;":W"&amp;(ROW()-1)))))
)
)</f>
        <v>0</v>
      </c>
      <c r="X1296" s="55">
        <f t="shared" ca="1" si="244"/>
        <v>0</v>
      </c>
      <c r="Y1296" s="101">
        <f t="shared" ca="1" si="251"/>
        <v>0</v>
      </c>
      <c r="Z1296" s="133" t="str">
        <f>IF(TYPE((VLOOKUP(Первоначальный[[#This Row],[Дата платежа]],График[Срок конец],1,0)))=16,"",1)</f>
        <v/>
      </c>
      <c r="AA1296" s="57"/>
      <c r="AB1296" s="134"/>
      <c r="AC129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9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92821.020000000266</v>
      </c>
      <c r="AE129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6826.9999999999945</v>
      </c>
      <c r="AF129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9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347430.37090819626</v>
      </c>
      <c r="AH1296" s="55"/>
      <c r="AI1296" s="55"/>
      <c r="AJ1296" s="55"/>
      <c r="AK1296" s="101">
        <f t="shared" ca="1" si="252"/>
        <v>596711.73090819654</v>
      </c>
      <c r="AL1296" s="129">
        <f t="array" ref="AL1296">MAX((УслРестрактов[Характеристика]="Дата реструктуризации")*(УслРестрактов[Значение]=Первоначальный!$A1296),0)</f>
        <v>0</v>
      </c>
    </row>
    <row r="1297" spans="1:38" x14ac:dyDescent="0.25">
      <c r="A1297" s="97">
        <f t="shared" si="245"/>
        <v>45428</v>
      </c>
      <c r="B1297" s="100">
        <f t="shared" ca="1" si="246"/>
        <v>149633.34</v>
      </c>
      <c r="C1297" s="55">
        <f t="shared" ca="1" si="242"/>
        <v>92821.020000000266</v>
      </c>
      <c r="D1297" s="55">
        <f t="shared" ca="1" si="242"/>
        <v>6826.9999999999945</v>
      </c>
      <c r="E1297" s="55">
        <f t="shared" ca="1" si="247"/>
        <v>0</v>
      </c>
      <c r="F1297" s="55">
        <f t="shared" ca="1" si="248"/>
        <v>347430.37090819626</v>
      </c>
      <c r="G1297" s="101">
        <f t="shared" ca="1" si="249"/>
        <v>596711.73090819654</v>
      </c>
      <c r="H1297" s="100">
        <f ca="1">ROUND($B1297*VLOOKUP($A1297,$A$1:$B$10,2,1)/(365+IF(MOD(YEAR($A1297),4),0,1)*($A1297-$A1296)),2)-Первоначальный[[#This Row],[Проценты на просроченный платеж по ОД за период]]</f>
        <v>68.599999999999994</v>
      </c>
      <c r="I1297" s="55">
        <f t="shared" ca="1" si="250"/>
        <v>12.76</v>
      </c>
      <c r="J1297" s="55">
        <v>0</v>
      </c>
      <c r="K1297" s="55">
        <f t="shared" ca="1" si="253"/>
        <v>579.33350327868845</v>
      </c>
      <c r="L1297" s="55">
        <v>0</v>
      </c>
      <c r="M1297" s="113">
        <f>SUMIFS(График[Возврат основной суммы долга],График[Дата с учетом нерабочих дней],$A1297)</f>
        <v>0</v>
      </c>
      <c r="N1297" s="56">
        <f>SUMIFS(График[Возврат начисленных %],График[Дата с учетом нерабочих дней],$A1297)</f>
        <v>0</v>
      </c>
      <c r="O1297" s="101">
        <v>0</v>
      </c>
      <c r="P1297" s="100" cm="1">
        <f t="array" aca="1" ref="P1297" ca="1">MAX(IF(AA1296="Да",0,SUM(INDIRECT("M"&amp;(MAX(("Да"=AA$12:AA1296)*ROW(AA$12:AA1296)+1,ROW($P$12))&amp;":M"&amp;(ROW()))))-SUM(INDIRECT("W"&amp;(MAX(("Да"=AA$12:AA1296)*ROW(AA$12:AA1296)+1,ROW($P$12))&amp;":W"&amp;(ROW()))))),0)</f>
        <v>23462.519999999997</v>
      </c>
      <c r="Q1297" s="99">
        <f ca="1">MAX(SUM($N$13:N1297)-SUM($T$13:T1297),0)</f>
        <v>92404.180655737684</v>
      </c>
      <c r="R1297" s="99">
        <f ca="1">Первоначальный[[#This Row],[Просроченный платеж по ОД]]+Первоначальный[[#This Row],[Просроченный платеж по процентам]]</f>
        <v>115866.70065573769</v>
      </c>
      <c r="S1297" s="120">
        <f ca="1">IF(Первоначальный[[#This Row],[Просроченный платеж]]&lt;1,0,S1296+1)</f>
        <v>1193</v>
      </c>
      <c r="T1297" s="100" cm="1">
        <f t="array" aca="1" ref="T1297" ca="1">IF(Первоначальный[[#This Row],[Итого остаток на начало периода]]&lt;1,0,
IF(
AND(TYPE(VLOOKUP(1,$Z$12:Z1297,1,0))=16,Первоначальный[[#This Row],[Досрочное погашение (да/"")]]=""),0,
_xlfn.IFS(AND(S1296=0,Первоначальный[[#This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платеж]]&lt;&gt;0),MIN(LOOKUP(,-1/($Z$12:Z1297=1),$C$12:C1297)+LOOKUP(,-1/($Z$12:Z1297=1),$H$12:H1297),Первоначальный[[#This Row],[Полученный платеж]]+Y1296),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платеж]]+Y1296,SUM(Первоначальный[[#This Row],[Остаток процентов на начало периода]],Первоначальный[[#This Row],[Проценты за период]])),
AND(S1296=0,Первоначальный[[#This Row],[Дата платежа из графика]]=""),0,
AND(S1296=0,Первоначальный[[#This Row],[Дата платежа из графика]]=1,MAX((0&lt;&gt;S$12:S1296)*ROW(S$12:S1296),ROW($S$12))&gt;=MAX((1=Z$12:Z1296)*ROW(Z$12:Z1296),ROW($T$12)),TYPE(VLOOKUP("Да",(INDIRECT("AA"&amp;(MAX((1=Z$12:Z1296)*ROW(Z$12:Z1296),ROW($T$12))&amp;":AA"&amp;(ROW()-1)))),1,0))=16),MIN(LOOKUP(,-1/($Z$12:Z1297=1),$C$12:C1297)+LOOKUP(,-1/($Z$12:Z1297=1),$H$12:H1297),Первоначальный[[#This Row],[Полученный платеж]]+Y1296),
AND(S1296=0,TYPE(VLOOKUP("Да",(INDIRECT("AA"&amp;(MAX((1=Z$12:Z1296)*ROW(Z$12:Z1296),ROW($T$12))&amp;":AA"&amp;(ROW()-1)))),1,0))&lt;&gt;16),MIN(LOOKUP(,-1/($Z$12:Z1297=1),$C$12:C1297)+LOOKUP(,-1/($Z$12:Z1297=1),$H$12:H1297)-IF(AA1296="Да",0,SUM(INDIRECT("T"&amp;(MAX(("Да"=AA$12:AA1296)*ROW(AA$12:AA1296)+1,ROW($T$12))&amp;":T"&amp;(ROW()-1))))),Первоначальный[[#This Row],[Полученный платеж]]+Y1296),
AND(S1296=0,MAX((0&lt;&gt;N$12:N1296)*ROW(N$12:N1296),ROW($S$12))&gt;=MAX((1=Z$12:Z1296)*ROW(Z$12:Z1296),ROW($T$12))),MIN(LOOKUP(,-1/($Z$12:Z1297=1),$C$12:C1297)+LOOKUP(,-1/($Z$12:Z1297=1),$H$12:H1297)-IF(N1296&lt;&gt;0,0,SUM(INDIRECT("T"&amp;(MAX((0&lt;&gt;N$12:N1296)*ROW(N$12:N1296)+1,ROW($T$12))&amp;":T"&amp;(ROW()-1))))),Первоначальный[[#This Row],[Полученный платеж]]+Y1296),
AND(S1296=0,Первоначальный[[#This Row],[Дата платежа из графика]]=1),MIN(LOOKUP(,-1/($Z$12:Z1297=1),$C$12:C1297)+LOOKUP(,-1/($Z$12:Z1297=1),$H$12:H1297)-IF(Z1296=1,0,SUM(INDIRECT("T"&amp;(MAX((1=Z$12:Z1296)*ROW(Z$12:Z1296)+1,ROW($T$12))&amp;":T"&amp;(ROW()-1))))),Первоначальный[[#This Row],[Полученный платеж]]+Y1296),
AND(Z1296&gt;0,Первоначальный[[#This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платеж]]+Y1296),
AND(S1296&gt;0,MAX((0&lt;&gt;S$12:S1296)*ROW(S$12:S1296),ROW($S$12))&gt;=MAX((1=Z$12:Z1296)*ROW(Z$12:Z1296),ROW($T$12)),TYPE(VLOOKUP("Да",(INDIRECT("AA"&amp;(MAX((1=Z$12:Z1296)*ROW(Z$12:Z1296),ROW($T$12))&amp;":AA"&amp;(ROW()-1)))),1,0))=16),MIN(LOOKUP(,-1/($Z$12:Z1297=1),$C$12:C1297)+LOOKUP(,-1/($Z$12:Z1297=1),$H$12:H1297)-SUM(INDIRECT("T"&amp;(MAX((1=Z$12:Z1296)*ROW(Z$12:Z1296),ROW($T$12))&amp;":T"&amp;(ROW()-1)))),Первоначальный[[#This Row],[Полученный платеж]]+Y1296),
S1296&gt;0,MIN(LOOKUP(,-1/($Z$12:Z1297=1),$C$12:C1297)+LOOKUP(,-1/($Z$12:Z1297=1),$H$12:H1297)-IF(Z1296=1,0,SUM(INDIRECT("T"&amp;(MAX((1=Z$12:Z1296)*ROW(Z$12:Z1296)+1,ROW($T$12))&amp;":T"&amp;(ROW()-1))))),Первоначальный[[#This Row],[Полученный платеж]]+Y1296)
)
)
)</f>
        <v>0</v>
      </c>
      <c r="U129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платеж]]+Y1296-Первоначальный[[#This Row],[Полученный платёж по процентам]])</f>
        <v>0</v>
      </c>
      <c r="V1297" s="55">
        <f t="shared" ca="1" si="243"/>
        <v>0</v>
      </c>
      <c r="W1297" s="55" cm="1">
        <f t="array" aca="1" ref="W1297" ca="1">IF(Первоначальный[[#This Row],[Итого остаток на начало периода]]&lt;1,0,
_xlfn.IFS(
AND(TYPE(VLOOKUP(1,$Z$12:Z1297,1,0))=16,Первоначальный[[#This Row],[Досрочное погашение (да/"")]]=""),0,
AND(S1296=0,Первоначальный[[#This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платеж]]+Y1296-SUM(Первоначальный[[#This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комиссиям]]),VLOOKUP(LOOKUP(,-1/($Z$12:Z1297=1),$A$12:A1297),График[[Срок конец]:[Возврат основной суммы долга]],3,0)),
AND(S1296=0,Первоначальный[[#This Row],[Дата платежа из графика]]="",Первоначальный[[#This Row],[Досрочное погашение (да/"")]]&lt;&gt;"Да"),0,
AND(S1296=0,Первоначальный[[#This Row],[Досрочное погашение (да/"")]]=""),MIN(Первоначальный[[#This Row],[Полученный платеж]]+Y1296-SUM(Первоначальный[[#This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комиссиям]]),VLOOKUP(LOOKUP(,-1/($Z$12:Z1297=1),$A$12:A1297),График[[Срок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платеж]]+Y1296-SUM(Первоначальный[[#This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S1296&gt;0,MIN(Первоначальный[[#This Row],[Полученный платеж]]+Y1296-SUM(Первоначальный[[#This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комиссиям]]),SUM(INDIRECT("M"&amp;(MAX((1=S$12:S1296)*ROW(S$12:S1296),ROW($W$12))&amp;":M"&amp;(ROW()))))-SUM(INDIRECT("W"&amp;(MAX((1=S$12:S1296)*ROW(S$12:S1296),ROW($W$12))&amp;":W"&amp;(ROW()-1)))))
)
)</f>
        <v>0</v>
      </c>
      <c r="X1297" s="55">
        <f t="shared" ca="1" si="244"/>
        <v>0</v>
      </c>
      <c r="Y1297" s="101">
        <f t="shared" ca="1" si="251"/>
        <v>0</v>
      </c>
      <c r="Z1297" s="133" t="str">
        <f>IF(TYPE((VLOOKUP(Первоначальный[[#This Row],[Дата платежа]],График[Срок конец],1,0)))=16,"",1)</f>
        <v/>
      </c>
      <c r="AA1297" s="57"/>
      <c r="AB1297" s="134"/>
      <c r="AC129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9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92889.620000000272</v>
      </c>
      <c r="AE129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6839.7599999999948</v>
      </c>
      <c r="AF129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9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348009.70441147493</v>
      </c>
      <c r="AH1297" s="55"/>
      <c r="AI1297" s="55"/>
      <c r="AJ1297" s="55"/>
      <c r="AK1297" s="101">
        <f t="shared" ca="1" si="252"/>
        <v>597372.42441147519</v>
      </c>
      <c r="AL1297" s="129">
        <f t="array" ref="AL1297">MAX((УслРестрактов[Характеристика]="Дата реструктуризации")*(УслРестрактов[Значение]=Первоначальный!$A1297),0)</f>
        <v>0</v>
      </c>
    </row>
    <row r="1298" spans="1:38" x14ac:dyDescent="0.25">
      <c r="A1298" s="97">
        <f t="shared" si="245"/>
        <v>45429</v>
      </c>
      <c r="B1298" s="100">
        <f t="shared" ca="1" si="246"/>
        <v>149633.34</v>
      </c>
      <c r="C1298" s="55">
        <f t="shared" ca="1" si="242"/>
        <v>92889.620000000272</v>
      </c>
      <c r="D1298" s="55">
        <f t="shared" ca="1" si="242"/>
        <v>6839.7599999999948</v>
      </c>
      <c r="E1298" s="55">
        <f t="shared" ca="1" si="247"/>
        <v>0</v>
      </c>
      <c r="F1298" s="55">
        <f t="shared" ca="1" si="248"/>
        <v>348009.70441147493</v>
      </c>
      <c r="G1298" s="101">
        <f t="shared" ca="1" si="249"/>
        <v>597372.42441147519</v>
      </c>
      <c r="H1298" s="100">
        <f ca="1">ROUND($B1298*VLOOKUP($A1298,$A$1:$B$10,2,1)/(365+IF(MOD(YEAR($A1298),4),0,1)*($A1298-$A1297)),2)-Первоначальный[[#This Row],[Проценты на просроченный платеж по ОД за период]]</f>
        <v>68.599999999999994</v>
      </c>
      <c r="I1298" s="55">
        <f t="shared" ca="1" si="250"/>
        <v>12.76</v>
      </c>
      <c r="J1298" s="55">
        <v>0</v>
      </c>
      <c r="K1298" s="55">
        <f t="shared" ca="1" si="253"/>
        <v>579.33350327868845</v>
      </c>
      <c r="L1298" s="55">
        <v>0</v>
      </c>
      <c r="M1298" s="113">
        <f>SUMIFS(График[Возврат основной суммы долга],График[Дата с учетом нерабочих дней],$A1298)</f>
        <v>0</v>
      </c>
      <c r="N1298" s="56">
        <f>SUMIFS(График[Возврат начисленных %],График[Дата с учетом нерабочих дней],$A1298)</f>
        <v>0</v>
      </c>
      <c r="O1298" s="101">
        <v>0</v>
      </c>
      <c r="P1298" s="100" cm="1">
        <f t="array" aca="1" ref="P1298" ca="1">MAX(IF(AA1297="Да",0,SUM(INDIRECT("M"&amp;(MAX(("Да"=AA$12:AA1297)*ROW(AA$12:AA1297)+1,ROW($P$12))&amp;":M"&amp;(ROW()))))-SUM(INDIRECT("W"&amp;(MAX(("Да"=AA$12:AA1297)*ROW(AA$12:AA1297)+1,ROW($P$12))&amp;":W"&amp;(ROW()))))),0)</f>
        <v>23462.519999999997</v>
      </c>
      <c r="Q1298" s="99">
        <f ca="1">MAX(SUM($N$13:N1298)-SUM($T$13:T1298),0)</f>
        <v>92404.180655737684</v>
      </c>
      <c r="R1298" s="99">
        <f ca="1">Первоначальный[[#This Row],[Просроченный платеж по ОД]]+Первоначальный[[#This Row],[Просроченный платеж по процентам]]</f>
        <v>115866.70065573769</v>
      </c>
      <c r="S1298" s="120">
        <f ca="1">IF(Первоначальный[[#This Row],[Просроченный платеж]]&lt;1,0,S1297+1)</f>
        <v>1194</v>
      </c>
      <c r="T1298" s="100" cm="1">
        <f t="array" aca="1" ref="T1298" ca="1">IF(Первоначальный[[#This Row],[Итого остаток на начало периода]]&lt;1,0,
IF(
AND(TYPE(VLOOKUP(1,$Z$12:Z1298,1,0))=16,Первоначальный[[#This Row],[Досрочное погашение (да/"")]]=""),0,
_xlfn.IFS(AND(S1297=0,Первоначальный[[#This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платеж]]&lt;&gt;0),MIN(LOOKUP(,-1/($Z$12:Z1298=1),$C$12:C1298)+LOOKUP(,-1/($Z$12:Z1298=1),$H$12:H1298),Первоначальный[[#This Row],[Полученный платеж]]+Y1297),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платеж]]+Y1297,SUM(Первоначальный[[#This Row],[Остаток процентов на начало периода]],Первоначальный[[#This Row],[Проценты за период]])),
AND(S1297=0,Первоначальный[[#This Row],[Дата платежа из графика]]=""),0,
AND(S1297=0,Первоначальный[[#This Row],[Дата платежа из графика]]=1,MAX((0&lt;&gt;S$12:S1297)*ROW(S$12:S1297),ROW($S$12))&gt;=MAX((1=Z$12:Z1297)*ROW(Z$12:Z1297),ROW($T$12)),TYPE(VLOOKUP("Да",(INDIRECT("AA"&amp;(MAX((1=Z$12:Z1297)*ROW(Z$12:Z1297),ROW($T$12))&amp;":AA"&amp;(ROW()-1)))),1,0))=16),MIN(LOOKUP(,-1/($Z$12:Z1298=1),$C$12:C1298)+LOOKUP(,-1/($Z$12:Z1298=1),$H$12:H1298),Первоначальный[[#This Row],[Полученный платеж]]+Y1297),
AND(S1297=0,TYPE(VLOOKUP("Да",(INDIRECT("AA"&amp;(MAX((1=Z$12:Z1297)*ROW(Z$12:Z1297),ROW($T$12))&amp;":AA"&amp;(ROW()-1)))),1,0))&lt;&gt;16),MIN(LOOKUP(,-1/($Z$12:Z1298=1),$C$12:C1298)+LOOKUP(,-1/($Z$12:Z1298=1),$H$12:H1298)-IF(AA1297="Да",0,SUM(INDIRECT("T"&amp;(MAX(("Да"=AA$12:AA1297)*ROW(AA$12:AA1297)+1,ROW($T$12))&amp;":T"&amp;(ROW()-1))))),Первоначальный[[#This Row],[Полученный платеж]]+Y1297),
AND(S1297=0,MAX((0&lt;&gt;N$12:N1297)*ROW(N$12:N1297),ROW($S$12))&gt;=MAX((1=Z$12:Z1297)*ROW(Z$12:Z1297),ROW($T$12))),MIN(LOOKUP(,-1/($Z$12:Z1298=1),$C$12:C1298)+LOOKUP(,-1/($Z$12:Z1298=1),$H$12:H1298)-IF(N1297&lt;&gt;0,0,SUM(INDIRECT("T"&amp;(MAX((0&lt;&gt;N$12:N1297)*ROW(N$12:N1297)+1,ROW($T$12))&amp;":T"&amp;(ROW()-1))))),Первоначальный[[#This Row],[Полученный платеж]]+Y1297),
AND(S1297=0,Первоначальный[[#This Row],[Дата платежа из графика]]=1),MIN(LOOKUP(,-1/($Z$12:Z1298=1),$C$12:C1298)+LOOKUP(,-1/($Z$12:Z1298=1),$H$12:H1298)-IF(Z1297=1,0,SUM(INDIRECT("T"&amp;(MAX((1=Z$12:Z1297)*ROW(Z$12:Z1297)+1,ROW($T$12))&amp;":T"&amp;(ROW()-1))))),Первоначальный[[#This Row],[Полученный платеж]]+Y1297),
AND(Z1297&gt;0,Первоначальный[[#This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платеж]]+Y1297),
AND(S1297&gt;0,MAX((0&lt;&gt;S$12:S1297)*ROW(S$12:S1297),ROW($S$12))&gt;=MAX((1=Z$12:Z1297)*ROW(Z$12:Z1297),ROW($T$12)),TYPE(VLOOKUP("Да",(INDIRECT("AA"&amp;(MAX((1=Z$12:Z1297)*ROW(Z$12:Z1297),ROW($T$12))&amp;":AA"&amp;(ROW()-1)))),1,0))=16),MIN(LOOKUP(,-1/($Z$12:Z1298=1),$C$12:C1298)+LOOKUP(,-1/($Z$12:Z1298=1),$H$12:H1298)-SUM(INDIRECT("T"&amp;(MAX((1=Z$12:Z1297)*ROW(Z$12:Z1297),ROW($T$12))&amp;":T"&amp;(ROW()-1)))),Первоначальный[[#This Row],[Полученный платеж]]+Y1297),
S1297&gt;0,MIN(LOOKUP(,-1/($Z$12:Z1298=1),$C$12:C1298)+LOOKUP(,-1/($Z$12:Z1298=1),$H$12:H1298)-IF(Z1297=1,0,SUM(INDIRECT("T"&amp;(MAX((1=Z$12:Z1297)*ROW(Z$12:Z1297)+1,ROW($T$12))&amp;":T"&amp;(ROW()-1))))),Первоначальный[[#This Row],[Полученный платеж]]+Y1297)
)
)
)</f>
        <v>0</v>
      </c>
      <c r="U129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платеж]]+Y1297-Первоначальный[[#This Row],[Полученный платёж по процентам]])</f>
        <v>0</v>
      </c>
      <c r="V1298" s="55">
        <f t="shared" ca="1" si="243"/>
        <v>0</v>
      </c>
      <c r="W1298" s="55" cm="1">
        <f t="array" aca="1" ref="W1298" ca="1">IF(Первоначальный[[#This Row],[Итого остаток на начало периода]]&lt;1,0,
_xlfn.IFS(
AND(TYPE(VLOOKUP(1,$Z$12:Z1298,1,0))=16,Первоначальный[[#This Row],[Досрочное погашение (да/"")]]=""),0,
AND(S1297=0,Первоначальный[[#This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платеж]]+Y1297-SUM(Первоначальный[[#This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комиссиям]]),VLOOKUP(LOOKUP(,-1/($Z$12:Z1298=1),$A$12:A1298),График[[Срок конец]:[Возврат основной суммы долга]],3,0)),
AND(S1297=0,Первоначальный[[#This Row],[Дата платежа из графика]]="",Первоначальный[[#This Row],[Досрочное погашение (да/"")]]&lt;&gt;"Да"),0,
AND(S1297=0,Первоначальный[[#This Row],[Досрочное погашение (да/"")]]=""),MIN(Первоначальный[[#This Row],[Полученный платеж]]+Y1297-SUM(Первоначальный[[#This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комиссиям]]),VLOOKUP(LOOKUP(,-1/($Z$12:Z1298=1),$A$12:A1298),График[[Срок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платеж]]+Y1297-SUM(Первоначальный[[#This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S1297&gt;0,MIN(Первоначальный[[#This Row],[Полученный платеж]]+Y1297-SUM(Первоначальный[[#This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комиссиям]]),SUM(INDIRECT("M"&amp;(MAX((1=S$12:S1297)*ROW(S$12:S1297),ROW($W$12))&amp;":M"&amp;(ROW()))))-SUM(INDIRECT("W"&amp;(MAX((1=S$12:S1297)*ROW(S$12:S1297),ROW($W$12))&amp;":W"&amp;(ROW()-1)))))
)
)</f>
        <v>0</v>
      </c>
      <c r="X1298" s="55">
        <f t="shared" ca="1" si="244"/>
        <v>0</v>
      </c>
      <c r="Y1298" s="101">
        <f t="shared" ca="1" si="251"/>
        <v>0</v>
      </c>
      <c r="Z1298" s="133" t="str">
        <f>IF(TYPE((VLOOKUP(Первоначальный[[#This Row],[Дата платежа]],График[Срок конец],1,0)))=16,"",1)</f>
        <v/>
      </c>
      <c r="AA1298" s="57"/>
      <c r="AB1298" s="134"/>
      <c r="AC129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9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92958.220000000278</v>
      </c>
      <c r="AE129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6852.519999999995</v>
      </c>
      <c r="AF129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9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348589.0379147536</v>
      </c>
      <c r="AH1298" s="55"/>
      <c r="AI1298" s="55"/>
      <c r="AJ1298" s="55"/>
      <c r="AK1298" s="101">
        <f t="shared" ca="1" si="252"/>
        <v>598033.11791475385</v>
      </c>
      <c r="AL1298" s="129">
        <f t="array" ref="AL1298">MAX((УслРестрактов[Характеристика]="Дата реструктуризации")*(УслРестрактов[Значение]=Первоначальный!$A1298),0)</f>
        <v>0</v>
      </c>
    </row>
    <row r="1299" spans="1:38" x14ac:dyDescent="0.25">
      <c r="A1299" s="97">
        <f t="shared" si="245"/>
        <v>45430</v>
      </c>
      <c r="B1299" s="100">
        <f t="shared" ca="1" si="246"/>
        <v>149633.34</v>
      </c>
      <c r="C1299" s="55">
        <f t="shared" ca="1" si="242"/>
        <v>92958.220000000278</v>
      </c>
      <c r="D1299" s="55">
        <f t="shared" ca="1" si="242"/>
        <v>6852.519999999995</v>
      </c>
      <c r="E1299" s="55">
        <f t="shared" ca="1" si="247"/>
        <v>0</v>
      </c>
      <c r="F1299" s="55">
        <f t="shared" ca="1" si="248"/>
        <v>348589.0379147536</v>
      </c>
      <c r="G1299" s="101">
        <f t="shared" ca="1" si="249"/>
        <v>598033.11791475385</v>
      </c>
      <c r="H1299" s="100">
        <f ca="1">ROUND($B1299*VLOOKUP($A1299,$A$1:$B$10,2,1)/(365+IF(MOD(YEAR($A1299),4),0,1)*($A1299-$A1298)),2)-Первоначальный[[#This Row],[Проценты на просроченный платеж по ОД за период]]</f>
        <v>68.599999999999994</v>
      </c>
      <c r="I1299" s="55">
        <f t="shared" ca="1" si="250"/>
        <v>12.76</v>
      </c>
      <c r="J1299" s="55">
        <v>0</v>
      </c>
      <c r="K1299" s="55">
        <f t="shared" ca="1" si="253"/>
        <v>579.33350327868845</v>
      </c>
      <c r="L1299" s="55">
        <v>0</v>
      </c>
      <c r="M1299" s="113">
        <f>SUMIFS(График[Возврат основной суммы долга],График[Дата с учетом нерабочих дней],$A1299)</f>
        <v>0</v>
      </c>
      <c r="N1299" s="56">
        <f>SUMIFS(График[Возврат начисленных %],График[Дата с учетом нерабочих дней],$A1299)</f>
        <v>0</v>
      </c>
      <c r="O1299" s="101">
        <v>0</v>
      </c>
      <c r="P1299" s="100" cm="1">
        <f t="array" aca="1" ref="P1299" ca="1">MAX(IF(AA1298="Да",0,SUM(INDIRECT("M"&amp;(MAX(("Да"=AA$12:AA1298)*ROW(AA$12:AA1298)+1,ROW($P$12))&amp;":M"&amp;(ROW()))))-SUM(INDIRECT("W"&amp;(MAX(("Да"=AA$12:AA1298)*ROW(AA$12:AA1298)+1,ROW($P$12))&amp;":W"&amp;(ROW()))))),0)</f>
        <v>23462.519999999997</v>
      </c>
      <c r="Q1299" s="99">
        <f ca="1">MAX(SUM($N$13:N1299)-SUM($T$13:T1299),0)</f>
        <v>92404.180655737684</v>
      </c>
      <c r="R1299" s="99">
        <f ca="1">Первоначальный[[#This Row],[Просроченный платеж по ОД]]+Первоначальный[[#This Row],[Просроченный платеж по процентам]]</f>
        <v>115866.70065573769</v>
      </c>
      <c r="S1299" s="120">
        <f ca="1">IF(Первоначальный[[#This Row],[Просроченный платеж]]&lt;1,0,S1298+1)</f>
        <v>1195</v>
      </c>
      <c r="T1299" s="100" cm="1">
        <f t="array" aca="1" ref="T1299" ca="1">IF(Первоначальный[[#This Row],[Итого остаток на начало периода]]&lt;1,0,
IF(
AND(TYPE(VLOOKUP(1,$Z$12:Z1299,1,0))=16,Первоначальный[[#This Row],[Досрочное погашение (да/"")]]=""),0,
_xlfn.IFS(AND(S1298=0,Первоначальный[[#This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платеж]]&lt;&gt;0),MIN(LOOKUP(,-1/($Z$12:Z1299=1),$C$12:C1299)+LOOKUP(,-1/($Z$12:Z1299=1),$H$12:H1299),Первоначальный[[#This Row],[Полученный платеж]]+Y1298),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платеж]]+Y1298,SUM(Первоначальный[[#This Row],[Остаток процентов на начало периода]],Первоначальный[[#This Row],[Проценты за период]])),
AND(S1298=0,Первоначальный[[#This Row],[Дата платежа из графика]]=""),0,
AND(S1298=0,Первоначальный[[#This Row],[Дата платежа из графика]]=1,MAX((0&lt;&gt;S$12:S1298)*ROW(S$12:S1298),ROW($S$12))&gt;=MAX((1=Z$12:Z1298)*ROW(Z$12:Z1298),ROW($T$12)),TYPE(VLOOKUP("Да",(INDIRECT("AA"&amp;(MAX((1=Z$12:Z1298)*ROW(Z$12:Z1298),ROW($T$12))&amp;":AA"&amp;(ROW()-1)))),1,0))=16),MIN(LOOKUP(,-1/($Z$12:Z1299=1),$C$12:C1299)+LOOKUP(,-1/($Z$12:Z1299=1),$H$12:H1299),Первоначальный[[#This Row],[Полученный платеж]]+Y1298),
AND(S1298=0,TYPE(VLOOKUP("Да",(INDIRECT("AA"&amp;(MAX((1=Z$12:Z1298)*ROW(Z$12:Z1298),ROW($T$12))&amp;":AA"&amp;(ROW()-1)))),1,0))&lt;&gt;16),MIN(LOOKUP(,-1/($Z$12:Z1299=1),$C$12:C1299)+LOOKUP(,-1/($Z$12:Z1299=1),$H$12:H1299)-IF(AA1298="Да",0,SUM(INDIRECT("T"&amp;(MAX(("Да"=AA$12:AA1298)*ROW(AA$12:AA1298)+1,ROW($T$12))&amp;":T"&amp;(ROW()-1))))),Первоначальный[[#This Row],[Полученный платеж]]+Y1298),
AND(S1298=0,MAX((0&lt;&gt;N$12:N1298)*ROW(N$12:N1298),ROW($S$12))&gt;=MAX((1=Z$12:Z1298)*ROW(Z$12:Z1298),ROW($T$12))),MIN(LOOKUP(,-1/($Z$12:Z1299=1),$C$12:C1299)+LOOKUP(,-1/($Z$12:Z1299=1),$H$12:H1299)-IF(N1298&lt;&gt;0,0,SUM(INDIRECT("T"&amp;(MAX((0&lt;&gt;N$12:N1298)*ROW(N$12:N1298)+1,ROW($T$12))&amp;":T"&amp;(ROW()-1))))),Первоначальный[[#This Row],[Полученный платеж]]+Y1298),
AND(S1298=0,Первоначальный[[#This Row],[Дата платежа из графика]]=1),MIN(LOOKUP(,-1/($Z$12:Z1299=1),$C$12:C1299)+LOOKUP(,-1/($Z$12:Z1299=1),$H$12:H1299)-IF(Z1298=1,0,SUM(INDIRECT("T"&amp;(MAX((1=Z$12:Z1298)*ROW(Z$12:Z1298)+1,ROW($T$12))&amp;":T"&amp;(ROW()-1))))),Первоначальный[[#This Row],[Полученный платеж]]+Y1298),
AND(Z1298&gt;0,Первоначальный[[#This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платеж]]+Y1298),
AND(S1298&gt;0,MAX((0&lt;&gt;S$12:S1298)*ROW(S$12:S1298),ROW($S$12))&gt;=MAX((1=Z$12:Z1298)*ROW(Z$12:Z1298),ROW($T$12)),TYPE(VLOOKUP("Да",(INDIRECT("AA"&amp;(MAX((1=Z$12:Z1298)*ROW(Z$12:Z1298),ROW($T$12))&amp;":AA"&amp;(ROW()-1)))),1,0))=16),MIN(LOOKUP(,-1/($Z$12:Z1299=1),$C$12:C1299)+LOOKUP(,-1/($Z$12:Z1299=1),$H$12:H1299)-SUM(INDIRECT("T"&amp;(MAX((1=Z$12:Z1298)*ROW(Z$12:Z1298),ROW($T$12))&amp;":T"&amp;(ROW()-1)))),Первоначальный[[#This Row],[Полученный платеж]]+Y1298),
S1298&gt;0,MIN(LOOKUP(,-1/($Z$12:Z1299=1),$C$12:C1299)+LOOKUP(,-1/($Z$12:Z1299=1),$H$12:H1299)-IF(Z1298=1,0,SUM(INDIRECT("T"&amp;(MAX((1=Z$12:Z1298)*ROW(Z$12:Z1298)+1,ROW($T$12))&amp;":T"&amp;(ROW()-1))))),Первоначальный[[#This Row],[Полученный платеж]]+Y1298)
)
)
)</f>
        <v>0</v>
      </c>
      <c r="U129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платеж]]+Y1298-Первоначальный[[#This Row],[Полученный платёж по процентам]])</f>
        <v>0</v>
      </c>
      <c r="V1299" s="55">
        <f t="shared" ca="1" si="243"/>
        <v>0</v>
      </c>
      <c r="W1299" s="55" cm="1">
        <f t="array" aca="1" ref="W1299" ca="1">IF(Первоначальный[[#This Row],[Итого остаток на начало периода]]&lt;1,0,
_xlfn.IFS(
AND(TYPE(VLOOKUP(1,$Z$12:Z1299,1,0))=16,Первоначальный[[#This Row],[Досрочное погашение (да/"")]]=""),0,
AND(S1298=0,Первоначальный[[#This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платеж]]+Y1298-SUM(Первоначальный[[#This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комиссиям]]),VLOOKUP(LOOKUP(,-1/($Z$12:Z1299=1),$A$12:A1299),График[[Срок конец]:[Возврат основной суммы долга]],3,0)),
AND(S1298=0,Первоначальный[[#This Row],[Дата платежа из графика]]="",Первоначальный[[#This Row],[Досрочное погашение (да/"")]]&lt;&gt;"Да"),0,
AND(S1298=0,Первоначальный[[#This Row],[Досрочное погашение (да/"")]]=""),MIN(Первоначальный[[#This Row],[Полученный платеж]]+Y1298-SUM(Первоначальный[[#This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комиссиям]]),VLOOKUP(LOOKUP(,-1/($Z$12:Z1299=1),$A$12:A1299),График[[Срок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платеж]]+Y1298-SUM(Первоначальный[[#This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S1298&gt;0,MIN(Первоначальный[[#This Row],[Полученный платеж]]+Y1298-SUM(Первоначальный[[#This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комиссиям]]),SUM(INDIRECT("M"&amp;(MAX((1=S$12:S1298)*ROW(S$12:S1298),ROW($W$12))&amp;":M"&amp;(ROW()))))-SUM(INDIRECT("W"&amp;(MAX((1=S$12:S1298)*ROW(S$12:S1298),ROW($W$12))&amp;":W"&amp;(ROW()-1)))))
)
)</f>
        <v>0</v>
      </c>
      <c r="X1299" s="55">
        <f t="shared" ca="1" si="244"/>
        <v>0</v>
      </c>
      <c r="Y1299" s="101">
        <f t="shared" ca="1" si="251"/>
        <v>0</v>
      </c>
      <c r="Z1299" s="133" t="str">
        <f>IF(TYPE((VLOOKUP(Первоначальный[[#This Row],[Дата платежа]],График[Срок конец],1,0)))=16,"",1)</f>
        <v/>
      </c>
      <c r="AA1299" s="57"/>
      <c r="AB1299" s="134"/>
      <c r="AC129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29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93026.820000000283</v>
      </c>
      <c r="AE129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6865.2799999999952</v>
      </c>
      <c r="AF129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29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349168.37141803227</v>
      </c>
      <c r="AH1299" s="55"/>
      <c r="AI1299" s="55"/>
      <c r="AJ1299" s="55"/>
      <c r="AK1299" s="101">
        <f t="shared" ca="1" si="252"/>
        <v>598693.81141803251</v>
      </c>
      <c r="AL1299" s="129">
        <f t="array" ref="AL1299">MAX((УслРестрактов[Характеристика]="Дата реструктуризации")*(УслРестрактов[Значение]=Первоначальный!$A1299),0)</f>
        <v>0</v>
      </c>
    </row>
    <row r="1300" spans="1:38" x14ac:dyDescent="0.25">
      <c r="A1300" s="97">
        <f t="shared" si="245"/>
        <v>45431</v>
      </c>
      <c r="B1300" s="100">
        <f t="shared" ca="1" si="246"/>
        <v>149633.34</v>
      </c>
      <c r="C1300" s="55">
        <f t="shared" ca="1" si="242"/>
        <v>93026.820000000283</v>
      </c>
      <c r="D1300" s="55">
        <f t="shared" ca="1" si="242"/>
        <v>6865.2799999999952</v>
      </c>
      <c r="E1300" s="55">
        <f t="shared" ca="1" si="247"/>
        <v>0</v>
      </c>
      <c r="F1300" s="55">
        <f t="shared" ca="1" si="248"/>
        <v>349168.37141803227</v>
      </c>
      <c r="G1300" s="101">
        <f t="shared" ca="1" si="249"/>
        <v>598693.81141803251</v>
      </c>
      <c r="H1300" s="100">
        <f ca="1">ROUND($B1300*VLOOKUP($A1300,$A$1:$B$10,2,1)/(365+IF(MOD(YEAR($A1300),4),0,1)*($A1300-$A1299)),2)-Первоначальный[[#This Row],[Проценты на просроченный платеж по ОД за период]]</f>
        <v>68.599999999999994</v>
      </c>
      <c r="I1300" s="55">
        <f t="shared" ca="1" si="250"/>
        <v>12.76</v>
      </c>
      <c r="J1300" s="55">
        <v>0</v>
      </c>
      <c r="K1300" s="55">
        <f t="shared" ca="1" si="253"/>
        <v>579.33350327868845</v>
      </c>
      <c r="L1300" s="55">
        <v>0</v>
      </c>
      <c r="M1300" s="113">
        <f>SUMIFS(График[Возврат основной суммы долга],График[Дата с учетом нерабочих дней],$A1300)</f>
        <v>0</v>
      </c>
      <c r="N1300" s="56">
        <f>SUMIFS(График[Возврат начисленных %],График[Дата с учетом нерабочих дней],$A1300)</f>
        <v>0</v>
      </c>
      <c r="O1300" s="101">
        <v>0</v>
      </c>
      <c r="P1300" s="100" cm="1">
        <f t="array" aca="1" ref="P1300" ca="1">MAX(IF(AA1299="Да",0,SUM(INDIRECT("M"&amp;(MAX(("Да"=AA$12:AA1299)*ROW(AA$12:AA1299)+1,ROW($P$12))&amp;":M"&amp;(ROW()))))-SUM(INDIRECT("W"&amp;(MAX(("Да"=AA$12:AA1299)*ROW(AA$12:AA1299)+1,ROW($P$12))&amp;":W"&amp;(ROW()))))),0)</f>
        <v>23462.519999999997</v>
      </c>
      <c r="Q1300" s="99">
        <f ca="1">MAX(SUM($N$13:N1300)-SUM($T$13:T1300),0)</f>
        <v>92404.180655737684</v>
      </c>
      <c r="R1300" s="99">
        <f ca="1">Первоначальный[[#This Row],[Просроченный платеж по ОД]]+Первоначальный[[#This Row],[Просроченный платеж по процентам]]</f>
        <v>115866.70065573769</v>
      </c>
      <c r="S1300" s="120">
        <f ca="1">IF(Первоначальный[[#This Row],[Просроченный платеж]]&lt;1,0,S1299+1)</f>
        <v>1196</v>
      </c>
      <c r="T1300" s="100" cm="1">
        <f t="array" aca="1" ref="T1300" ca="1">IF(Первоначальный[[#This Row],[Итого остаток на начало периода]]&lt;1,0,
IF(
AND(TYPE(VLOOKUP(1,$Z$12:Z1300,1,0))=16,Первоначальный[[#This Row],[Досрочное погашение (да/"")]]=""),0,
_xlfn.IFS(AND(S1299=0,Первоначальный[[#This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платеж]]&lt;&gt;0),MIN(LOOKUP(,-1/($Z$12:Z1300=1),$C$12:C1300)+LOOKUP(,-1/($Z$12:Z1300=1),$H$12:H1300),Первоначальный[[#This Row],[Полученный платеж]]+Y1299),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платеж]]+Y1299,SUM(Первоначальный[[#This Row],[Остаток процентов на начало периода]],Первоначальный[[#This Row],[Проценты за период]])),
AND(S1299=0,Первоначальный[[#This Row],[Дата платежа из графика]]=""),0,
AND(S1299=0,Первоначальный[[#This Row],[Дата платежа из графика]]=1,MAX((0&lt;&gt;S$12:S1299)*ROW(S$12:S1299),ROW($S$12))&gt;=MAX((1=Z$12:Z1299)*ROW(Z$12:Z1299),ROW($T$12)),TYPE(VLOOKUP("Да",(INDIRECT("AA"&amp;(MAX((1=Z$12:Z1299)*ROW(Z$12:Z1299),ROW($T$12))&amp;":AA"&amp;(ROW()-1)))),1,0))=16),MIN(LOOKUP(,-1/($Z$12:Z1300=1),$C$12:C1300)+LOOKUP(,-1/($Z$12:Z1300=1),$H$12:H1300),Первоначальный[[#This Row],[Полученный платеж]]+Y1299),
AND(S1299=0,TYPE(VLOOKUP("Да",(INDIRECT("AA"&amp;(MAX((1=Z$12:Z1299)*ROW(Z$12:Z1299),ROW($T$12))&amp;":AA"&amp;(ROW()-1)))),1,0))&lt;&gt;16),MIN(LOOKUP(,-1/($Z$12:Z1300=1),$C$12:C1300)+LOOKUP(,-1/($Z$12:Z1300=1),$H$12:H1300)-IF(AA1299="Да",0,SUM(INDIRECT("T"&amp;(MAX(("Да"=AA$12:AA1299)*ROW(AA$12:AA1299)+1,ROW($T$12))&amp;":T"&amp;(ROW()-1))))),Первоначальный[[#This Row],[Полученный платеж]]+Y1299),
AND(S1299=0,MAX((0&lt;&gt;N$12:N1299)*ROW(N$12:N1299),ROW($S$12))&gt;=MAX((1=Z$12:Z1299)*ROW(Z$12:Z1299),ROW($T$12))),MIN(LOOKUP(,-1/($Z$12:Z1300=1),$C$12:C1300)+LOOKUP(,-1/($Z$12:Z1300=1),$H$12:H1300)-IF(N1299&lt;&gt;0,0,SUM(INDIRECT("T"&amp;(MAX((0&lt;&gt;N$12:N1299)*ROW(N$12:N1299)+1,ROW($T$12))&amp;":T"&amp;(ROW()-1))))),Первоначальный[[#This Row],[Полученный платеж]]+Y1299),
AND(S1299=0,Первоначальный[[#This Row],[Дата платежа из графика]]=1),MIN(LOOKUP(,-1/($Z$12:Z1300=1),$C$12:C1300)+LOOKUP(,-1/($Z$12:Z1300=1),$H$12:H1300)-IF(Z1299=1,0,SUM(INDIRECT("T"&amp;(MAX((1=Z$12:Z1299)*ROW(Z$12:Z1299)+1,ROW($T$12))&amp;":T"&amp;(ROW()-1))))),Первоначальный[[#This Row],[Полученный платеж]]+Y1299),
AND(Z1299&gt;0,Первоначальный[[#This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платеж]]+Y1299),
AND(S1299&gt;0,MAX((0&lt;&gt;S$12:S1299)*ROW(S$12:S1299),ROW($S$12))&gt;=MAX((1=Z$12:Z1299)*ROW(Z$12:Z1299),ROW($T$12)),TYPE(VLOOKUP("Да",(INDIRECT("AA"&amp;(MAX((1=Z$12:Z1299)*ROW(Z$12:Z1299),ROW($T$12))&amp;":AA"&amp;(ROW()-1)))),1,0))=16),MIN(LOOKUP(,-1/($Z$12:Z1300=1),$C$12:C1300)+LOOKUP(,-1/($Z$12:Z1300=1),$H$12:H1300)-SUM(INDIRECT("T"&amp;(MAX((1=Z$12:Z1299)*ROW(Z$12:Z1299),ROW($T$12))&amp;":T"&amp;(ROW()-1)))),Первоначальный[[#This Row],[Полученный платеж]]+Y1299),
S1299&gt;0,MIN(LOOKUP(,-1/($Z$12:Z1300=1),$C$12:C1300)+LOOKUP(,-1/($Z$12:Z1300=1),$H$12:H1300)-IF(Z1299=1,0,SUM(INDIRECT("T"&amp;(MAX((1=Z$12:Z1299)*ROW(Z$12:Z1299)+1,ROW($T$12))&amp;":T"&amp;(ROW()-1))))),Первоначальный[[#This Row],[Полученный платеж]]+Y1299)
)
)
)</f>
        <v>0</v>
      </c>
      <c r="U130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платеж]]+Y1299-Первоначальный[[#This Row],[Полученный платёж по процентам]])</f>
        <v>0</v>
      </c>
      <c r="V1300" s="55">
        <f t="shared" ca="1" si="243"/>
        <v>0</v>
      </c>
      <c r="W1300" s="55" cm="1">
        <f t="array" aca="1" ref="W1300" ca="1">IF(Первоначальный[[#This Row],[Итого остаток на начало периода]]&lt;1,0,
_xlfn.IFS(
AND(TYPE(VLOOKUP(1,$Z$12:Z1300,1,0))=16,Первоначальный[[#This Row],[Досрочное погашение (да/"")]]=""),0,
AND(S1299=0,Первоначальный[[#This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платеж]]+Y1299-SUM(Первоначальный[[#This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комиссиям]]),VLOOKUP(LOOKUP(,-1/($Z$12:Z1300=1),$A$12:A1300),График[[Срок конец]:[Возврат основной суммы долга]],3,0)),
AND(S1299=0,Первоначальный[[#This Row],[Дата платежа из графика]]="",Первоначальный[[#This Row],[Досрочное погашение (да/"")]]&lt;&gt;"Да"),0,
AND(S1299=0,Первоначальный[[#This Row],[Досрочное погашение (да/"")]]=""),MIN(Первоначальный[[#This Row],[Полученный платеж]]+Y1299-SUM(Первоначальный[[#This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комиссиям]]),VLOOKUP(LOOKUP(,-1/($Z$12:Z1300=1),$A$12:A1300),График[[Срок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платеж]]+Y1299-SUM(Первоначальный[[#This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S1299&gt;0,MIN(Первоначальный[[#This Row],[Полученный платеж]]+Y1299-SUM(Первоначальный[[#This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комиссиям]]),SUM(INDIRECT("M"&amp;(MAX((1=S$12:S1299)*ROW(S$12:S1299),ROW($W$12))&amp;":M"&amp;(ROW()))))-SUM(INDIRECT("W"&amp;(MAX((1=S$12:S1299)*ROW(S$12:S1299),ROW($W$12))&amp;":W"&amp;(ROW()-1)))))
)
)</f>
        <v>0</v>
      </c>
      <c r="X1300" s="55">
        <f t="shared" ca="1" si="244"/>
        <v>0</v>
      </c>
      <c r="Y1300" s="101">
        <f t="shared" ca="1" si="251"/>
        <v>0</v>
      </c>
      <c r="Z1300" s="133" t="str">
        <f>IF(TYPE((VLOOKUP(Первоначальный[[#This Row],[Дата платежа]],График[Срок конец],1,0)))=16,"",1)</f>
        <v/>
      </c>
      <c r="AA1300" s="57"/>
      <c r="AB1300" s="134"/>
      <c r="AC130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0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93095.420000000289</v>
      </c>
      <c r="AE130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6878.0399999999954</v>
      </c>
      <c r="AF130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0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349747.70492131094</v>
      </c>
      <c r="AH1300" s="55"/>
      <c r="AI1300" s="55"/>
      <c r="AJ1300" s="55"/>
      <c r="AK1300" s="101">
        <f t="shared" ca="1" si="252"/>
        <v>599354.50492131128</v>
      </c>
      <c r="AL1300" s="129">
        <f t="array" ref="AL1300">MAX((УслРестрактов[Характеристика]="Дата реструктуризации")*(УслРестрактов[Значение]=Первоначальный!$A1300),0)</f>
        <v>0</v>
      </c>
    </row>
    <row r="1301" spans="1:38" x14ac:dyDescent="0.25">
      <c r="A1301" s="97">
        <f t="shared" si="245"/>
        <v>45432</v>
      </c>
      <c r="B1301" s="100">
        <f t="shared" ca="1" si="246"/>
        <v>149633.34</v>
      </c>
      <c r="C1301" s="55">
        <f t="shared" ca="1" si="242"/>
        <v>93095.420000000289</v>
      </c>
      <c r="D1301" s="55">
        <f t="shared" ca="1" si="242"/>
        <v>6878.0399999999954</v>
      </c>
      <c r="E1301" s="55">
        <f t="shared" ca="1" si="247"/>
        <v>0</v>
      </c>
      <c r="F1301" s="55">
        <f t="shared" ca="1" si="248"/>
        <v>349747.70492131094</v>
      </c>
      <c r="G1301" s="101">
        <f t="shared" ca="1" si="249"/>
        <v>599354.50492131128</v>
      </c>
      <c r="H1301" s="100">
        <f ca="1">ROUND($B1301*VLOOKUP($A1301,$A$1:$B$10,2,1)/(365+IF(MOD(YEAR($A1301),4),0,1)*($A1301-$A1300)),2)-Первоначальный[[#This Row],[Проценты на просроченный платеж по ОД за период]]</f>
        <v>68.599999999999994</v>
      </c>
      <c r="I1301" s="55">
        <f t="shared" ca="1" si="250"/>
        <v>12.76</v>
      </c>
      <c r="J1301" s="55">
        <v>0</v>
      </c>
      <c r="K1301" s="55">
        <f t="shared" ca="1" si="253"/>
        <v>579.33350327868845</v>
      </c>
      <c r="L1301" s="55">
        <v>0</v>
      </c>
      <c r="M1301" s="113">
        <f>SUMIFS(График[Возврат основной суммы долга],График[Дата с учетом нерабочих дней],$A1301)</f>
        <v>0</v>
      </c>
      <c r="N1301" s="56">
        <f>SUMIFS(График[Возврат начисленных %],График[Дата с учетом нерабочих дней],$A1301)</f>
        <v>0</v>
      </c>
      <c r="O1301" s="101">
        <v>0</v>
      </c>
      <c r="P1301" s="100" cm="1">
        <f t="array" aca="1" ref="P1301" ca="1">MAX(IF(AA1300="Да",0,SUM(INDIRECT("M"&amp;(MAX(("Да"=AA$12:AA1300)*ROW(AA$12:AA1300)+1,ROW($P$12))&amp;":M"&amp;(ROW()))))-SUM(INDIRECT("W"&amp;(MAX(("Да"=AA$12:AA1300)*ROW(AA$12:AA1300)+1,ROW($P$12))&amp;":W"&amp;(ROW()))))),0)</f>
        <v>23462.519999999997</v>
      </c>
      <c r="Q1301" s="99">
        <f ca="1">MAX(SUM($N$13:N1301)-SUM($T$13:T1301),0)</f>
        <v>92404.180655737684</v>
      </c>
      <c r="R1301" s="99">
        <f ca="1">Первоначальный[[#This Row],[Просроченный платеж по ОД]]+Первоначальный[[#This Row],[Просроченный платеж по процентам]]</f>
        <v>115866.70065573769</v>
      </c>
      <c r="S1301" s="120">
        <f ca="1">IF(Первоначальный[[#This Row],[Просроченный платеж]]&lt;1,0,S1300+1)</f>
        <v>1197</v>
      </c>
      <c r="T1301" s="100" cm="1">
        <f t="array" aca="1" ref="T1301" ca="1">IF(Первоначальный[[#This Row],[Итого остаток на начало периода]]&lt;1,0,
IF(
AND(TYPE(VLOOKUP(1,$Z$12:Z1301,1,0))=16,Первоначальный[[#This Row],[Досрочное погашение (да/"")]]=""),0,
_xlfn.IFS(AND(S1300=0,Первоначальный[[#This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платеж]]&lt;&gt;0),MIN(LOOKUP(,-1/($Z$12:Z1301=1),$C$12:C1301)+LOOKUP(,-1/($Z$12:Z1301=1),$H$12:H1301),Первоначальный[[#This Row],[Полученный платеж]]+Y1300),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платеж]]+Y1300,SUM(Первоначальный[[#This Row],[Остаток процентов на начало периода]],Первоначальный[[#This Row],[Проценты за период]])),
AND(S1300=0,Первоначальный[[#This Row],[Дата платежа из графика]]=""),0,
AND(S1300=0,Первоначальный[[#This Row],[Дата платежа из графика]]=1,MAX((0&lt;&gt;S$12:S1300)*ROW(S$12:S1300),ROW($S$12))&gt;=MAX((1=Z$12:Z1300)*ROW(Z$12:Z1300),ROW($T$12)),TYPE(VLOOKUP("Да",(INDIRECT("AA"&amp;(MAX((1=Z$12:Z1300)*ROW(Z$12:Z1300),ROW($T$12))&amp;":AA"&amp;(ROW()-1)))),1,0))=16),MIN(LOOKUP(,-1/($Z$12:Z1301=1),$C$12:C1301)+LOOKUP(,-1/($Z$12:Z1301=1),$H$12:H1301),Первоначальный[[#This Row],[Полученный платеж]]+Y1300),
AND(S1300=0,TYPE(VLOOKUP("Да",(INDIRECT("AA"&amp;(MAX((1=Z$12:Z1300)*ROW(Z$12:Z1300),ROW($T$12))&amp;":AA"&amp;(ROW()-1)))),1,0))&lt;&gt;16),MIN(LOOKUP(,-1/($Z$12:Z1301=1),$C$12:C1301)+LOOKUP(,-1/($Z$12:Z1301=1),$H$12:H1301)-IF(AA1300="Да",0,SUM(INDIRECT("T"&amp;(MAX(("Да"=AA$12:AA1300)*ROW(AA$12:AA1300)+1,ROW($T$12))&amp;":T"&amp;(ROW()-1))))),Первоначальный[[#This Row],[Полученный платеж]]+Y1300),
AND(S1300=0,MAX((0&lt;&gt;N$12:N1300)*ROW(N$12:N1300),ROW($S$12))&gt;=MAX((1=Z$12:Z1300)*ROW(Z$12:Z1300),ROW($T$12))),MIN(LOOKUP(,-1/($Z$12:Z1301=1),$C$12:C1301)+LOOKUP(,-1/($Z$12:Z1301=1),$H$12:H1301)-IF(N1300&lt;&gt;0,0,SUM(INDIRECT("T"&amp;(MAX((0&lt;&gt;N$12:N1300)*ROW(N$12:N1300)+1,ROW($T$12))&amp;":T"&amp;(ROW()-1))))),Первоначальный[[#This Row],[Полученный платеж]]+Y1300),
AND(S1300=0,Первоначальный[[#This Row],[Дата платежа из графика]]=1),MIN(LOOKUP(,-1/($Z$12:Z1301=1),$C$12:C1301)+LOOKUP(,-1/($Z$12:Z1301=1),$H$12:H1301)-IF(Z1300=1,0,SUM(INDIRECT("T"&amp;(MAX((1=Z$12:Z1300)*ROW(Z$12:Z1300)+1,ROW($T$12))&amp;":T"&amp;(ROW()-1))))),Первоначальный[[#This Row],[Полученный платеж]]+Y1300),
AND(Z1300&gt;0,Первоначальный[[#This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платеж]]+Y1300),
AND(S1300&gt;0,MAX((0&lt;&gt;S$12:S1300)*ROW(S$12:S1300),ROW($S$12))&gt;=MAX((1=Z$12:Z1300)*ROW(Z$12:Z1300),ROW($T$12)),TYPE(VLOOKUP("Да",(INDIRECT("AA"&amp;(MAX((1=Z$12:Z1300)*ROW(Z$12:Z1300),ROW($T$12))&amp;":AA"&amp;(ROW()-1)))),1,0))=16),MIN(LOOKUP(,-1/($Z$12:Z1301=1),$C$12:C1301)+LOOKUP(,-1/($Z$12:Z1301=1),$H$12:H1301)-SUM(INDIRECT("T"&amp;(MAX((1=Z$12:Z1300)*ROW(Z$12:Z1300),ROW($T$12))&amp;":T"&amp;(ROW()-1)))),Первоначальный[[#This Row],[Полученный платеж]]+Y1300),
S1300&gt;0,MIN(LOOKUP(,-1/($Z$12:Z1301=1),$C$12:C1301)+LOOKUP(,-1/($Z$12:Z1301=1),$H$12:H1301)-IF(Z1300=1,0,SUM(INDIRECT("T"&amp;(MAX((1=Z$12:Z1300)*ROW(Z$12:Z1300)+1,ROW($T$12))&amp;":T"&amp;(ROW()-1))))),Первоначальный[[#This Row],[Полученный платеж]]+Y1300)
)
)
)</f>
        <v>0</v>
      </c>
      <c r="U130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платеж]]+Y1300-Первоначальный[[#This Row],[Полученный платёж по процентам]])</f>
        <v>0</v>
      </c>
      <c r="V1301" s="55">
        <f t="shared" ca="1" si="243"/>
        <v>0</v>
      </c>
      <c r="W1301" s="55" cm="1">
        <f t="array" aca="1" ref="W1301" ca="1">IF(Первоначальный[[#This Row],[Итого остаток на начало периода]]&lt;1,0,
_xlfn.IFS(
AND(TYPE(VLOOKUP(1,$Z$12:Z1301,1,0))=16,Первоначальный[[#This Row],[Досрочное погашение (да/"")]]=""),0,
AND(S1300=0,Первоначальный[[#This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платеж]]+Y1300-SUM(Первоначальный[[#This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комиссиям]]),VLOOKUP(LOOKUP(,-1/($Z$12:Z1301=1),$A$12:A1301),График[[Срок конец]:[Возврат основной суммы долга]],3,0)),
AND(S1300=0,Первоначальный[[#This Row],[Дата платежа из графика]]="",Первоначальный[[#This Row],[Досрочное погашение (да/"")]]&lt;&gt;"Да"),0,
AND(S1300=0,Первоначальный[[#This Row],[Досрочное погашение (да/"")]]=""),MIN(Первоначальный[[#This Row],[Полученный платеж]]+Y1300-SUM(Первоначальный[[#This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комиссиям]]),VLOOKUP(LOOKUP(,-1/($Z$12:Z1301=1),$A$12:A1301),График[[Срок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платеж]]+Y1300-SUM(Первоначальный[[#This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S1300&gt;0,MIN(Первоначальный[[#This Row],[Полученный платеж]]+Y1300-SUM(Первоначальный[[#This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комиссиям]]),SUM(INDIRECT("M"&amp;(MAX((1=S$12:S1300)*ROW(S$12:S1300),ROW($W$12))&amp;":M"&amp;(ROW()))))-SUM(INDIRECT("W"&amp;(MAX((1=S$12:S1300)*ROW(S$12:S1300),ROW($W$12))&amp;":W"&amp;(ROW()-1)))))
)
)</f>
        <v>0</v>
      </c>
      <c r="X1301" s="55">
        <f t="shared" ca="1" si="244"/>
        <v>0</v>
      </c>
      <c r="Y1301" s="101">
        <f t="shared" ca="1" si="251"/>
        <v>0</v>
      </c>
      <c r="Z1301" s="133" t="str">
        <f>IF(TYPE((VLOOKUP(Первоначальный[[#This Row],[Дата платежа]],График[Срок конец],1,0)))=16,"",1)</f>
        <v/>
      </c>
      <c r="AA1301" s="57"/>
      <c r="AB1301" s="134"/>
      <c r="AC130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0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93164.020000000295</v>
      </c>
      <c r="AE130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6890.7999999999956</v>
      </c>
      <c r="AF130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0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350327.03842458961</v>
      </c>
      <c r="AH1301" s="55"/>
      <c r="AI1301" s="55"/>
      <c r="AJ1301" s="55"/>
      <c r="AK1301" s="101">
        <f t="shared" ca="1" si="252"/>
        <v>600015.19842458982</v>
      </c>
      <c r="AL1301" s="129">
        <f t="array" ref="AL1301">MAX((УслРестрактов[Характеристика]="Дата реструктуризации")*(УслРестрактов[Значение]=Первоначальный!$A1301),0)</f>
        <v>0</v>
      </c>
    </row>
    <row r="1302" spans="1:38" x14ac:dyDescent="0.25">
      <c r="A1302" s="97">
        <f t="shared" si="245"/>
        <v>45433</v>
      </c>
      <c r="B1302" s="100">
        <f t="shared" ca="1" si="246"/>
        <v>149633.34</v>
      </c>
      <c r="C1302" s="55">
        <f t="shared" ca="1" si="242"/>
        <v>93164.020000000295</v>
      </c>
      <c r="D1302" s="55">
        <f t="shared" ca="1" si="242"/>
        <v>6890.7999999999956</v>
      </c>
      <c r="E1302" s="55">
        <f t="shared" ca="1" si="247"/>
        <v>0</v>
      </c>
      <c r="F1302" s="55">
        <f t="shared" ca="1" si="248"/>
        <v>350327.03842458961</v>
      </c>
      <c r="G1302" s="101">
        <f t="shared" ca="1" si="249"/>
        <v>600015.19842458982</v>
      </c>
      <c r="H1302" s="100">
        <f ca="1">ROUND($B1302*VLOOKUP($A1302,$A$1:$B$10,2,1)/(365+IF(MOD(YEAR($A1302),4),0,1)*($A1302-$A1301)),2)-Первоначальный[[#This Row],[Проценты на просроченный платеж по ОД за период]]</f>
        <v>68.599999999999994</v>
      </c>
      <c r="I1302" s="55">
        <f t="shared" ca="1" si="250"/>
        <v>12.76</v>
      </c>
      <c r="J1302" s="55">
        <v>0</v>
      </c>
      <c r="K1302" s="55">
        <f t="shared" ca="1" si="253"/>
        <v>579.33350327868845</v>
      </c>
      <c r="L1302" s="55">
        <v>0</v>
      </c>
      <c r="M1302" s="113">
        <f>SUMIFS(График[Возврат основной суммы долга],График[Дата с учетом нерабочих дней],$A1302)</f>
        <v>0</v>
      </c>
      <c r="N1302" s="56">
        <f>SUMIFS(График[Возврат начисленных %],График[Дата с учетом нерабочих дней],$A1302)</f>
        <v>0</v>
      </c>
      <c r="O1302" s="101">
        <v>0</v>
      </c>
      <c r="P1302" s="100" cm="1">
        <f t="array" aca="1" ref="P1302" ca="1">MAX(IF(AA1301="Да",0,SUM(INDIRECT("M"&amp;(MAX(("Да"=AA$12:AA1301)*ROW(AA$12:AA1301)+1,ROW($P$12))&amp;":M"&amp;(ROW()))))-SUM(INDIRECT("W"&amp;(MAX(("Да"=AA$12:AA1301)*ROW(AA$12:AA1301)+1,ROW($P$12))&amp;":W"&amp;(ROW()))))),0)</f>
        <v>23462.519999999997</v>
      </c>
      <c r="Q1302" s="99">
        <f ca="1">MAX(SUM($N$13:N1302)-SUM($T$13:T1302),0)</f>
        <v>92404.180655737684</v>
      </c>
      <c r="R1302" s="99">
        <f ca="1">Первоначальный[[#This Row],[Просроченный платеж по ОД]]+Первоначальный[[#This Row],[Просроченный платеж по процентам]]</f>
        <v>115866.70065573769</v>
      </c>
      <c r="S1302" s="120">
        <f ca="1">IF(Первоначальный[[#This Row],[Просроченный платеж]]&lt;1,0,S1301+1)</f>
        <v>1198</v>
      </c>
      <c r="T1302" s="100" cm="1">
        <f t="array" aca="1" ref="T1302" ca="1">IF(Первоначальный[[#This Row],[Итого остаток на начало периода]]&lt;1,0,
IF(
AND(TYPE(VLOOKUP(1,$Z$12:Z1302,1,0))=16,Первоначальный[[#This Row],[Досрочное погашение (да/"")]]=""),0,
_xlfn.IFS(AND(S1301=0,Первоначальный[[#This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платеж]]&lt;&gt;0),MIN(LOOKUP(,-1/($Z$12:Z1302=1),$C$12:C1302)+LOOKUP(,-1/($Z$12:Z1302=1),$H$12:H1302),Первоначальный[[#This Row],[Полученный платеж]]+Y1301),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платеж]]+Y1301,SUM(Первоначальный[[#This Row],[Остаток процентов на начало периода]],Первоначальный[[#This Row],[Проценты за период]])),
AND(S1301=0,Первоначальный[[#This Row],[Дата платежа из графика]]=""),0,
AND(S1301=0,Первоначальный[[#This Row],[Дата платежа из графика]]=1,MAX((0&lt;&gt;S$12:S1301)*ROW(S$12:S1301),ROW($S$12))&gt;=MAX((1=Z$12:Z1301)*ROW(Z$12:Z1301),ROW($T$12)),TYPE(VLOOKUP("Да",(INDIRECT("AA"&amp;(MAX((1=Z$12:Z1301)*ROW(Z$12:Z1301),ROW($T$12))&amp;":AA"&amp;(ROW()-1)))),1,0))=16),MIN(LOOKUP(,-1/($Z$12:Z1302=1),$C$12:C1302)+LOOKUP(,-1/($Z$12:Z1302=1),$H$12:H1302),Первоначальный[[#This Row],[Полученный платеж]]+Y1301),
AND(S1301=0,TYPE(VLOOKUP("Да",(INDIRECT("AA"&amp;(MAX((1=Z$12:Z1301)*ROW(Z$12:Z1301),ROW($T$12))&amp;":AA"&amp;(ROW()-1)))),1,0))&lt;&gt;16),MIN(LOOKUP(,-1/($Z$12:Z1302=1),$C$12:C1302)+LOOKUP(,-1/($Z$12:Z1302=1),$H$12:H1302)-IF(AA1301="Да",0,SUM(INDIRECT("T"&amp;(MAX(("Да"=AA$12:AA1301)*ROW(AA$12:AA1301)+1,ROW($T$12))&amp;":T"&amp;(ROW()-1))))),Первоначальный[[#This Row],[Полученный платеж]]+Y1301),
AND(S1301=0,MAX((0&lt;&gt;N$12:N1301)*ROW(N$12:N1301),ROW($S$12))&gt;=MAX((1=Z$12:Z1301)*ROW(Z$12:Z1301),ROW($T$12))),MIN(LOOKUP(,-1/($Z$12:Z1302=1),$C$12:C1302)+LOOKUP(,-1/($Z$12:Z1302=1),$H$12:H1302)-IF(N1301&lt;&gt;0,0,SUM(INDIRECT("T"&amp;(MAX((0&lt;&gt;N$12:N1301)*ROW(N$12:N1301)+1,ROW($T$12))&amp;":T"&amp;(ROW()-1))))),Первоначальный[[#This Row],[Полученный платеж]]+Y1301),
AND(S1301=0,Первоначальный[[#This Row],[Дата платежа из графика]]=1),MIN(LOOKUP(,-1/($Z$12:Z1302=1),$C$12:C1302)+LOOKUP(,-1/($Z$12:Z1302=1),$H$12:H1302)-IF(Z1301=1,0,SUM(INDIRECT("T"&amp;(MAX((1=Z$12:Z1301)*ROW(Z$12:Z1301)+1,ROW($T$12))&amp;":T"&amp;(ROW()-1))))),Первоначальный[[#This Row],[Полученный платеж]]+Y1301),
AND(Z1301&gt;0,Первоначальный[[#This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платеж]]+Y1301),
AND(S1301&gt;0,MAX((0&lt;&gt;S$12:S1301)*ROW(S$12:S1301),ROW($S$12))&gt;=MAX((1=Z$12:Z1301)*ROW(Z$12:Z1301),ROW($T$12)),TYPE(VLOOKUP("Да",(INDIRECT("AA"&amp;(MAX((1=Z$12:Z1301)*ROW(Z$12:Z1301),ROW($T$12))&amp;":AA"&amp;(ROW()-1)))),1,0))=16),MIN(LOOKUP(,-1/($Z$12:Z1302=1),$C$12:C1302)+LOOKUP(,-1/($Z$12:Z1302=1),$H$12:H1302)-SUM(INDIRECT("T"&amp;(MAX((1=Z$12:Z1301)*ROW(Z$12:Z1301),ROW($T$12))&amp;":T"&amp;(ROW()-1)))),Первоначальный[[#This Row],[Полученный платеж]]+Y1301),
S1301&gt;0,MIN(LOOKUP(,-1/($Z$12:Z1302=1),$C$12:C1302)+LOOKUP(,-1/($Z$12:Z1302=1),$H$12:H1302)-IF(Z1301=1,0,SUM(INDIRECT("T"&amp;(MAX((1=Z$12:Z1301)*ROW(Z$12:Z1301)+1,ROW($T$12))&amp;":T"&amp;(ROW()-1))))),Первоначальный[[#This Row],[Полученный платеж]]+Y1301)
)
)
)</f>
        <v>0</v>
      </c>
      <c r="U130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платеж]]+Y1301-Первоначальный[[#This Row],[Полученный платёж по процентам]])</f>
        <v>0</v>
      </c>
      <c r="V1302" s="55">
        <f t="shared" ca="1" si="243"/>
        <v>0</v>
      </c>
      <c r="W1302" s="55" cm="1">
        <f t="array" aca="1" ref="W1302" ca="1">IF(Первоначальный[[#This Row],[Итого остаток на начало периода]]&lt;1,0,
_xlfn.IFS(
AND(TYPE(VLOOKUP(1,$Z$12:Z1302,1,0))=16,Первоначальный[[#This Row],[Досрочное погашение (да/"")]]=""),0,
AND(S1301=0,Первоначальный[[#This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платеж]]+Y1301-SUM(Первоначальный[[#This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комиссиям]]),VLOOKUP(LOOKUP(,-1/($Z$12:Z1302=1),$A$12:A1302),График[[Срок конец]:[Возврат основной суммы долга]],3,0)),
AND(S1301=0,Первоначальный[[#This Row],[Дата платежа из графика]]="",Первоначальный[[#This Row],[Досрочное погашение (да/"")]]&lt;&gt;"Да"),0,
AND(S1301=0,Первоначальный[[#This Row],[Досрочное погашение (да/"")]]=""),MIN(Первоначальный[[#This Row],[Полученный платеж]]+Y1301-SUM(Первоначальный[[#This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комиссиям]]),VLOOKUP(LOOKUP(,-1/($Z$12:Z1302=1),$A$12:A1302),График[[Срок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платеж]]+Y1301-SUM(Первоначальный[[#This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S1301&gt;0,MIN(Первоначальный[[#This Row],[Полученный платеж]]+Y1301-SUM(Первоначальный[[#This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комиссиям]]),SUM(INDIRECT("M"&amp;(MAX((1=S$12:S1301)*ROW(S$12:S1301),ROW($W$12))&amp;":M"&amp;(ROW()))))-SUM(INDIRECT("W"&amp;(MAX((1=S$12:S1301)*ROW(S$12:S1301),ROW($W$12))&amp;":W"&amp;(ROW()-1)))))
)
)</f>
        <v>0</v>
      </c>
      <c r="X1302" s="55">
        <f t="shared" ca="1" si="244"/>
        <v>0</v>
      </c>
      <c r="Y1302" s="101">
        <f t="shared" ca="1" si="251"/>
        <v>0</v>
      </c>
      <c r="Z1302" s="133" t="str">
        <f>IF(TYPE((VLOOKUP(Первоначальный[[#This Row],[Дата платежа]],График[Срок конец],1,0)))=16,"",1)</f>
        <v/>
      </c>
      <c r="AA1302" s="57"/>
      <c r="AB1302" s="134"/>
      <c r="AC130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0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93232.620000000301</v>
      </c>
      <c r="AE130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6903.5599999999959</v>
      </c>
      <c r="AF130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0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350906.37192786828</v>
      </c>
      <c r="AH1302" s="55"/>
      <c r="AI1302" s="55"/>
      <c r="AJ1302" s="55"/>
      <c r="AK1302" s="101">
        <f t="shared" ca="1" si="252"/>
        <v>600675.89192786859</v>
      </c>
      <c r="AL1302" s="129">
        <f t="array" ref="AL1302">MAX((УслРестрактов[Характеристика]="Дата реструктуризации")*(УслРестрактов[Значение]=Первоначальный!$A1302),0)</f>
        <v>0</v>
      </c>
    </row>
    <row r="1303" spans="1:38" x14ac:dyDescent="0.25">
      <c r="A1303" s="97">
        <f t="shared" si="245"/>
        <v>45434</v>
      </c>
      <c r="B1303" s="100">
        <f t="shared" ca="1" si="246"/>
        <v>149633.34</v>
      </c>
      <c r="C1303" s="55">
        <f t="shared" ca="1" si="242"/>
        <v>93232.620000000301</v>
      </c>
      <c r="D1303" s="55">
        <f t="shared" ca="1" si="242"/>
        <v>6903.5599999999959</v>
      </c>
      <c r="E1303" s="55">
        <f t="shared" ca="1" si="247"/>
        <v>0</v>
      </c>
      <c r="F1303" s="55">
        <f t="shared" ca="1" si="248"/>
        <v>350906.37192786828</v>
      </c>
      <c r="G1303" s="101">
        <f t="shared" ca="1" si="249"/>
        <v>600675.89192786859</v>
      </c>
      <c r="H1303" s="100">
        <f ca="1">ROUND($B1303*VLOOKUP($A1303,$A$1:$B$10,2,1)/(365+IF(MOD(YEAR($A1303),4),0,1)*($A1303-$A1302)),2)-Первоначальный[[#This Row],[Проценты на просроченный платеж по ОД за период]]</f>
        <v>68.599999999999994</v>
      </c>
      <c r="I1303" s="55">
        <f t="shared" ca="1" si="250"/>
        <v>12.76</v>
      </c>
      <c r="J1303" s="55">
        <v>0</v>
      </c>
      <c r="K1303" s="55">
        <f t="shared" ca="1" si="253"/>
        <v>579.33350327868845</v>
      </c>
      <c r="L1303" s="55">
        <v>0</v>
      </c>
      <c r="M1303" s="113">
        <f>SUMIFS(График[Возврат основной суммы долга],График[Дата с учетом нерабочих дней],$A1303)</f>
        <v>0</v>
      </c>
      <c r="N1303" s="56">
        <f>SUMIFS(График[Возврат начисленных %],График[Дата с учетом нерабочих дней],$A1303)</f>
        <v>0</v>
      </c>
      <c r="O1303" s="101">
        <v>0</v>
      </c>
      <c r="P1303" s="100" cm="1">
        <f t="array" aca="1" ref="P1303" ca="1">MAX(IF(AA1302="Да",0,SUM(INDIRECT("M"&amp;(MAX(("Да"=AA$12:AA1302)*ROW(AA$12:AA1302)+1,ROW($P$12))&amp;":M"&amp;(ROW()))))-SUM(INDIRECT("W"&amp;(MAX(("Да"=AA$12:AA1302)*ROW(AA$12:AA1302)+1,ROW($P$12))&amp;":W"&amp;(ROW()))))),0)</f>
        <v>23462.519999999997</v>
      </c>
      <c r="Q1303" s="99">
        <f ca="1">MAX(SUM($N$13:N1303)-SUM($T$13:T1303),0)</f>
        <v>92404.180655737684</v>
      </c>
      <c r="R1303" s="99">
        <f ca="1">Первоначальный[[#This Row],[Просроченный платеж по ОД]]+Первоначальный[[#This Row],[Просроченный платеж по процентам]]</f>
        <v>115866.70065573769</v>
      </c>
      <c r="S1303" s="120">
        <f ca="1">IF(Первоначальный[[#This Row],[Просроченный платеж]]&lt;1,0,S1302+1)</f>
        <v>1199</v>
      </c>
      <c r="T1303" s="100" cm="1">
        <f t="array" aca="1" ref="T1303" ca="1">IF(Первоначальный[[#This Row],[Итого остаток на начало периода]]&lt;1,0,
IF(
AND(TYPE(VLOOKUP(1,$Z$12:Z1303,1,0))=16,Первоначальный[[#This Row],[Досрочное погашение (да/"")]]=""),0,
_xlfn.IFS(AND(S1302=0,Первоначальный[[#This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платеж]]&lt;&gt;0),MIN(LOOKUP(,-1/($Z$12:Z1303=1),$C$12:C1303)+LOOKUP(,-1/($Z$12:Z1303=1),$H$12:H1303),Первоначальный[[#This Row],[Полученный платеж]]+Y1302),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платеж]]+Y1302,SUM(Первоначальный[[#This Row],[Остаток процентов на начало периода]],Первоначальный[[#This Row],[Проценты за период]])),
AND(S1302=0,Первоначальный[[#This Row],[Дата платежа из графика]]=""),0,
AND(S1302=0,Первоначальный[[#This Row],[Дата платежа из графика]]=1,MAX((0&lt;&gt;S$12:S1302)*ROW(S$12:S1302),ROW($S$12))&gt;=MAX((1=Z$12:Z1302)*ROW(Z$12:Z1302),ROW($T$12)),TYPE(VLOOKUP("Да",(INDIRECT("AA"&amp;(MAX((1=Z$12:Z1302)*ROW(Z$12:Z1302),ROW($T$12))&amp;":AA"&amp;(ROW()-1)))),1,0))=16),MIN(LOOKUP(,-1/($Z$12:Z1303=1),$C$12:C1303)+LOOKUP(,-1/($Z$12:Z1303=1),$H$12:H1303),Первоначальный[[#This Row],[Полученный платеж]]+Y1302),
AND(S1302=0,TYPE(VLOOKUP("Да",(INDIRECT("AA"&amp;(MAX((1=Z$12:Z1302)*ROW(Z$12:Z1302),ROW($T$12))&amp;":AA"&amp;(ROW()-1)))),1,0))&lt;&gt;16),MIN(LOOKUP(,-1/($Z$12:Z1303=1),$C$12:C1303)+LOOKUP(,-1/($Z$12:Z1303=1),$H$12:H1303)-IF(AA1302="Да",0,SUM(INDIRECT("T"&amp;(MAX(("Да"=AA$12:AA1302)*ROW(AA$12:AA1302)+1,ROW($T$12))&amp;":T"&amp;(ROW()-1))))),Первоначальный[[#This Row],[Полученный платеж]]+Y1302),
AND(S1302=0,MAX((0&lt;&gt;N$12:N1302)*ROW(N$12:N1302),ROW($S$12))&gt;=MAX((1=Z$12:Z1302)*ROW(Z$12:Z1302),ROW($T$12))),MIN(LOOKUP(,-1/($Z$12:Z1303=1),$C$12:C1303)+LOOKUP(,-1/($Z$12:Z1303=1),$H$12:H1303)-IF(N1302&lt;&gt;0,0,SUM(INDIRECT("T"&amp;(MAX((0&lt;&gt;N$12:N1302)*ROW(N$12:N1302)+1,ROW($T$12))&amp;":T"&amp;(ROW()-1))))),Первоначальный[[#This Row],[Полученный платеж]]+Y1302),
AND(S1302=0,Первоначальный[[#This Row],[Дата платежа из графика]]=1),MIN(LOOKUP(,-1/($Z$12:Z1303=1),$C$12:C1303)+LOOKUP(,-1/($Z$12:Z1303=1),$H$12:H1303)-IF(Z1302=1,0,SUM(INDIRECT("T"&amp;(MAX((1=Z$12:Z1302)*ROW(Z$12:Z1302)+1,ROW($T$12))&amp;":T"&amp;(ROW()-1))))),Первоначальный[[#This Row],[Полученный платеж]]+Y1302),
AND(Z1302&gt;0,Первоначальный[[#This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платеж]]+Y1302),
AND(S1302&gt;0,MAX((0&lt;&gt;S$12:S1302)*ROW(S$12:S1302),ROW($S$12))&gt;=MAX((1=Z$12:Z1302)*ROW(Z$12:Z1302),ROW($T$12)),TYPE(VLOOKUP("Да",(INDIRECT("AA"&amp;(MAX((1=Z$12:Z1302)*ROW(Z$12:Z1302),ROW($T$12))&amp;":AA"&amp;(ROW()-1)))),1,0))=16),MIN(LOOKUP(,-1/($Z$12:Z1303=1),$C$12:C1303)+LOOKUP(,-1/($Z$12:Z1303=1),$H$12:H1303)-SUM(INDIRECT("T"&amp;(MAX((1=Z$12:Z1302)*ROW(Z$12:Z1302),ROW($T$12))&amp;":T"&amp;(ROW()-1)))),Первоначальный[[#This Row],[Полученный платеж]]+Y1302),
S1302&gt;0,MIN(LOOKUP(,-1/($Z$12:Z1303=1),$C$12:C1303)+LOOKUP(,-1/($Z$12:Z1303=1),$H$12:H1303)-IF(Z1302=1,0,SUM(INDIRECT("T"&amp;(MAX((1=Z$12:Z1302)*ROW(Z$12:Z1302)+1,ROW($T$12))&amp;":T"&amp;(ROW()-1))))),Первоначальный[[#This Row],[Полученный платеж]]+Y1302)
)
)
)</f>
        <v>0</v>
      </c>
      <c r="U130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платеж]]+Y1302-Первоначальный[[#This Row],[Полученный платёж по процентам]])</f>
        <v>0</v>
      </c>
      <c r="V1303" s="55">
        <f t="shared" ca="1" si="243"/>
        <v>0</v>
      </c>
      <c r="W1303" s="55" cm="1">
        <f t="array" aca="1" ref="W1303" ca="1">IF(Первоначальный[[#This Row],[Итого остаток на начало периода]]&lt;1,0,
_xlfn.IFS(
AND(TYPE(VLOOKUP(1,$Z$12:Z1303,1,0))=16,Первоначальный[[#This Row],[Досрочное погашение (да/"")]]=""),0,
AND(S1302=0,Первоначальный[[#This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платеж]]+Y1302-SUM(Первоначальный[[#This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комиссиям]]),VLOOKUP(LOOKUP(,-1/($Z$12:Z1303=1),$A$12:A1303),График[[Срок конец]:[Возврат основной суммы долга]],3,0)),
AND(S1302=0,Первоначальный[[#This Row],[Дата платежа из графика]]="",Первоначальный[[#This Row],[Досрочное погашение (да/"")]]&lt;&gt;"Да"),0,
AND(S1302=0,Первоначальный[[#This Row],[Досрочное погашение (да/"")]]=""),MIN(Первоначальный[[#This Row],[Полученный платеж]]+Y1302-SUM(Первоначальный[[#This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комиссиям]]),VLOOKUP(LOOKUP(,-1/($Z$12:Z1303=1),$A$12:A1303),График[[Срок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платеж]]+Y1302-SUM(Первоначальный[[#This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S1302&gt;0,MIN(Первоначальный[[#This Row],[Полученный платеж]]+Y1302-SUM(Первоначальный[[#This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комиссиям]]),SUM(INDIRECT("M"&amp;(MAX((1=S$12:S1302)*ROW(S$12:S1302),ROW($W$12))&amp;":M"&amp;(ROW()))))-SUM(INDIRECT("W"&amp;(MAX((1=S$12:S1302)*ROW(S$12:S1302),ROW($W$12))&amp;":W"&amp;(ROW()-1)))))
)
)</f>
        <v>0</v>
      </c>
      <c r="X1303" s="55">
        <f t="shared" ca="1" si="244"/>
        <v>0</v>
      </c>
      <c r="Y1303" s="101">
        <f t="shared" ca="1" si="251"/>
        <v>0</v>
      </c>
      <c r="Z1303" s="133" t="str">
        <f>IF(TYPE((VLOOKUP(Первоначальный[[#This Row],[Дата платежа]],График[Срок конец],1,0)))=16,"",1)</f>
        <v/>
      </c>
      <c r="AA1303" s="57"/>
      <c r="AB1303" s="134"/>
      <c r="AC130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0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93301.220000000307</v>
      </c>
      <c r="AE130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6916.3199999999961</v>
      </c>
      <c r="AF130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0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351485.70543114695</v>
      </c>
      <c r="AH1303" s="55"/>
      <c r="AI1303" s="55"/>
      <c r="AJ1303" s="55"/>
      <c r="AK1303" s="101">
        <f t="shared" ca="1" si="252"/>
        <v>601336.58543114725</v>
      </c>
      <c r="AL1303" s="129">
        <f t="array" ref="AL1303">MAX((УслРестрактов[Характеристика]="Дата реструктуризации")*(УслРестрактов[Значение]=Первоначальный!$A1303),0)</f>
        <v>0</v>
      </c>
    </row>
    <row r="1304" spans="1:38" x14ac:dyDescent="0.25">
      <c r="A1304" s="97">
        <f t="shared" si="245"/>
        <v>45435</v>
      </c>
      <c r="B1304" s="100">
        <f t="shared" ca="1" si="246"/>
        <v>149633.34</v>
      </c>
      <c r="C1304" s="55">
        <f t="shared" ca="1" si="242"/>
        <v>93301.220000000307</v>
      </c>
      <c r="D1304" s="55">
        <f t="shared" ca="1" si="242"/>
        <v>6916.3199999999961</v>
      </c>
      <c r="E1304" s="55">
        <f t="shared" ca="1" si="247"/>
        <v>0</v>
      </c>
      <c r="F1304" s="55">
        <f t="shared" ca="1" si="248"/>
        <v>351485.70543114695</v>
      </c>
      <c r="G1304" s="101">
        <f t="shared" ca="1" si="249"/>
        <v>601336.58543114725</v>
      </c>
      <c r="H1304" s="100">
        <f ca="1">ROUND($B1304*VLOOKUP($A1304,$A$1:$B$10,2,1)/(365+IF(MOD(YEAR($A1304),4),0,1)*($A1304-$A1303)),2)-Первоначальный[[#This Row],[Проценты на просроченный платеж по ОД за период]]</f>
        <v>68.599999999999994</v>
      </c>
      <c r="I1304" s="55">
        <f t="shared" ca="1" si="250"/>
        <v>12.76</v>
      </c>
      <c r="J1304" s="55">
        <v>0</v>
      </c>
      <c r="K1304" s="55">
        <f t="shared" ca="1" si="253"/>
        <v>579.33350327868845</v>
      </c>
      <c r="L1304" s="55">
        <v>0</v>
      </c>
      <c r="M1304" s="113">
        <f>SUMIFS(График[Возврат основной суммы долга],График[Дата с учетом нерабочих дней],$A1304)</f>
        <v>0</v>
      </c>
      <c r="N1304" s="56">
        <f>SUMIFS(График[Возврат начисленных %],График[Дата с учетом нерабочих дней],$A1304)</f>
        <v>0</v>
      </c>
      <c r="O1304" s="101">
        <v>0</v>
      </c>
      <c r="P1304" s="100" cm="1">
        <f t="array" aca="1" ref="P1304" ca="1">MAX(IF(AA1303="Да",0,SUM(INDIRECT("M"&amp;(MAX(("Да"=AA$12:AA1303)*ROW(AA$12:AA1303)+1,ROW($P$12))&amp;":M"&amp;(ROW()))))-SUM(INDIRECT("W"&amp;(MAX(("Да"=AA$12:AA1303)*ROW(AA$12:AA1303)+1,ROW($P$12))&amp;":W"&amp;(ROW()))))),0)</f>
        <v>23462.519999999997</v>
      </c>
      <c r="Q1304" s="99">
        <f ca="1">MAX(SUM($N$13:N1304)-SUM($T$13:T1304),0)</f>
        <v>92404.180655737684</v>
      </c>
      <c r="R1304" s="99">
        <f ca="1">Первоначальный[[#This Row],[Просроченный платеж по ОД]]+Первоначальный[[#This Row],[Просроченный платеж по процентам]]</f>
        <v>115866.70065573769</v>
      </c>
      <c r="S1304" s="120">
        <f ca="1">IF(Первоначальный[[#This Row],[Просроченный платеж]]&lt;1,0,S1303+1)</f>
        <v>1200</v>
      </c>
      <c r="T1304" s="100" cm="1">
        <f t="array" aca="1" ref="T1304" ca="1">IF(Первоначальный[[#This Row],[Итого остаток на начало периода]]&lt;1,0,
IF(
AND(TYPE(VLOOKUP(1,$Z$12:Z1304,1,0))=16,Первоначальный[[#This Row],[Досрочное погашение (да/"")]]=""),0,
_xlfn.IFS(AND(S1303=0,Первоначальный[[#This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платеж]]&lt;&gt;0),MIN(LOOKUP(,-1/($Z$12:Z1304=1),$C$12:C1304)+LOOKUP(,-1/($Z$12:Z1304=1),$H$12:H1304),Первоначальный[[#This Row],[Полученный платеж]]+Y1303),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платеж]]+Y1303,SUM(Первоначальный[[#This Row],[Остаток процентов на начало периода]],Первоначальный[[#This Row],[Проценты за период]])),
AND(S1303=0,Первоначальный[[#This Row],[Дата платежа из графика]]=""),0,
AND(S1303=0,Первоначальный[[#This Row],[Дата платежа из графика]]=1,MAX((0&lt;&gt;S$12:S1303)*ROW(S$12:S1303),ROW($S$12))&gt;=MAX((1=Z$12:Z1303)*ROW(Z$12:Z1303),ROW($T$12)),TYPE(VLOOKUP("Да",(INDIRECT("AA"&amp;(MAX((1=Z$12:Z1303)*ROW(Z$12:Z1303),ROW($T$12))&amp;":AA"&amp;(ROW()-1)))),1,0))=16),MIN(LOOKUP(,-1/($Z$12:Z1304=1),$C$12:C1304)+LOOKUP(,-1/($Z$12:Z1304=1),$H$12:H1304),Первоначальный[[#This Row],[Полученный платеж]]+Y1303),
AND(S1303=0,TYPE(VLOOKUP("Да",(INDIRECT("AA"&amp;(MAX((1=Z$12:Z1303)*ROW(Z$12:Z1303),ROW($T$12))&amp;":AA"&amp;(ROW()-1)))),1,0))&lt;&gt;16),MIN(LOOKUP(,-1/($Z$12:Z1304=1),$C$12:C1304)+LOOKUP(,-1/($Z$12:Z1304=1),$H$12:H1304)-IF(AA1303="Да",0,SUM(INDIRECT("T"&amp;(MAX(("Да"=AA$12:AA1303)*ROW(AA$12:AA1303)+1,ROW($T$12))&amp;":T"&amp;(ROW()-1))))),Первоначальный[[#This Row],[Полученный платеж]]+Y1303),
AND(S1303=0,MAX((0&lt;&gt;N$12:N1303)*ROW(N$12:N1303),ROW($S$12))&gt;=MAX((1=Z$12:Z1303)*ROW(Z$12:Z1303),ROW($T$12))),MIN(LOOKUP(,-1/($Z$12:Z1304=1),$C$12:C1304)+LOOKUP(,-1/($Z$12:Z1304=1),$H$12:H1304)-IF(N1303&lt;&gt;0,0,SUM(INDIRECT("T"&amp;(MAX((0&lt;&gt;N$12:N1303)*ROW(N$12:N1303)+1,ROW($T$12))&amp;":T"&amp;(ROW()-1))))),Первоначальный[[#This Row],[Полученный платеж]]+Y1303),
AND(S1303=0,Первоначальный[[#This Row],[Дата платежа из графика]]=1),MIN(LOOKUP(,-1/($Z$12:Z1304=1),$C$12:C1304)+LOOKUP(,-1/($Z$12:Z1304=1),$H$12:H1304)-IF(Z1303=1,0,SUM(INDIRECT("T"&amp;(MAX((1=Z$12:Z1303)*ROW(Z$12:Z1303)+1,ROW($T$12))&amp;":T"&amp;(ROW()-1))))),Первоначальный[[#This Row],[Полученный платеж]]+Y1303),
AND(Z1303&gt;0,Первоначальный[[#This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платеж]]+Y1303),
AND(S1303&gt;0,MAX((0&lt;&gt;S$12:S1303)*ROW(S$12:S1303),ROW($S$12))&gt;=MAX((1=Z$12:Z1303)*ROW(Z$12:Z1303),ROW($T$12)),TYPE(VLOOKUP("Да",(INDIRECT("AA"&amp;(MAX((1=Z$12:Z1303)*ROW(Z$12:Z1303),ROW($T$12))&amp;":AA"&amp;(ROW()-1)))),1,0))=16),MIN(LOOKUP(,-1/($Z$12:Z1304=1),$C$12:C1304)+LOOKUP(,-1/($Z$12:Z1304=1),$H$12:H1304)-SUM(INDIRECT("T"&amp;(MAX((1=Z$12:Z1303)*ROW(Z$12:Z1303),ROW($T$12))&amp;":T"&amp;(ROW()-1)))),Первоначальный[[#This Row],[Полученный платеж]]+Y1303),
S1303&gt;0,MIN(LOOKUP(,-1/($Z$12:Z1304=1),$C$12:C1304)+LOOKUP(,-1/($Z$12:Z1304=1),$H$12:H1304)-IF(Z1303=1,0,SUM(INDIRECT("T"&amp;(MAX((1=Z$12:Z1303)*ROW(Z$12:Z1303)+1,ROW($T$12))&amp;":T"&amp;(ROW()-1))))),Первоначальный[[#This Row],[Полученный платеж]]+Y1303)
)
)
)</f>
        <v>0</v>
      </c>
      <c r="U130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платеж]]+Y1303-Первоначальный[[#This Row],[Полученный платёж по процентам]])</f>
        <v>0</v>
      </c>
      <c r="V1304" s="55">
        <f t="shared" ca="1" si="243"/>
        <v>0</v>
      </c>
      <c r="W1304" s="55" cm="1">
        <f t="array" aca="1" ref="W1304" ca="1">IF(Первоначальный[[#This Row],[Итого остаток на начало периода]]&lt;1,0,
_xlfn.IFS(
AND(TYPE(VLOOKUP(1,$Z$12:Z1304,1,0))=16,Первоначальный[[#This Row],[Досрочное погашение (да/"")]]=""),0,
AND(S1303=0,Первоначальный[[#This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платеж]]+Y1303-SUM(Первоначальный[[#This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комиссиям]]),VLOOKUP(LOOKUP(,-1/($Z$12:Z1304=1),$A$12:A1304),График[[Срок конец]:[Возврат основной суммы долга]],3,0)),
AND(S1303=0,Первоначальный[[#This Row],[Дата платежа из графика]]="",Первоначальный[[#This Row],[Досрочное погашение (да/"")]]&lt;&gt;"Да"),0,
AND(S1303=0,Первоначальный[[#This Row],[Досрочное погашение (да/"")]]=""),MIN(Первоначальный[[#This Row],[Полученный платеж]]+Y1303-SUM(Первоначальный[[#This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комиссиям]]),VLOOKUP(LOOKUP(,-1/($Z$12:Z1304=1),$A$12:A1304),График[[Срок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платеж]]+Y1303-SUM(Первоначальный[[#This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S1303&gt;0,MIN(Первоначальный[[#This Row],[Полученный платеж]]+Y1303-SUM(Первоначальный[[#This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комиссиям]]),SUM(INDIRECT("M"&amp;(MAX((1=S$12:S1303)*ROW(S$12:S1303),ROW($W$12))&amp;":M"&amp;(ROW()))))-SUM(INDIRECT("W"&amp;(MAX((1=S$12:S1303)*ROW(S$12:S1303),ROW($W$12))&amp;":W"&amp;(ROW()-1)))))
)
)</f>
        <v>0</v>
      </c>
      <c r="X1304" s="55">
        <f t="shared" ca="1" si="244"/>
        <v>0</v>
      </c>
      <c r="Y1304" s="101">
        <f t="shared" ca="1" si="251"/>
        <v>0</v>
      </c>
      <c r="Z1304" s="133" t="str">
        <f>IF(TYPE((VLOOKUP(Первоначальный[[#This Row],[Дата платежа]],График[Срок конец],1,0)))=16,"",1)</f>
        <v/>
      </c>
      <c r="AA1304" s="57"/>
      <c r="AB1304" s="134"/>
      <c r="AC130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0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93369.820000000313</v>
      </c>
      <c r="AE130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6929.0799999999963</v>
      </c>
      <c r="AF130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0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352065.03893442563</v>
      </c>
      <c r="AH1304" s="55"/>
      <c r="AI1304" s="55"/>
      <c r="AJ1304" s="55"/>
      <c r="AK1304" s="101">
        <f t="shared" ca="1" si="252"/>
        <v>601997.27893442591</v>
      </c>
      <c r="AL1304" s="129">
        <f t="array" ref="AL1304">MAX((УслРестрактов[Характеристика]="Дата реструктуризации")*(УслРестрактов[Значение]=Первоначальный!$A1304),0)</f>
        <v>0</v>
      </c>
    </row>
    <row r="1305" spans="1:38" x14ac:dyDescent="0.25">
      <c r="A1305" s="97">
        <f t="shared" si="245"/>
        <v>45436</v>
      </c>
      <c r="B1305" s="100">
        <f t="shared" ca="1" si="246"/>
        <v>149633.34</v>
      </c>
      <c r="C1305" s="55">
        <f t="shared" ca="1" si="242"/>
        <v>93369.820000000313</v>
      </c>
      <c r="D1305" s="55">
        <f t="shared" ca="1" si="242"/>
        <v>6929.0799999999963</v>
      </c>
      <c r="E1305" s="55">
        <f t="shared" ca="1" si="247"/>
        <v>0</v>
      </c>
      <c r="F1305" s="55">
        <f t="shared" ca="1" si="248"/>
        <v>352065.03893442563</v>
      </c>
      <c r="G1305" s="101">
        <f t="shared" ca="1" si="249"/>
        <v>601997.27893442591</v>
      </c>
      <c r="H1305" s="100">
        <f ca="1">ROUND($B1305*VLOOKUP($A1305,$A$1:$B$10,2,1)/(365+IF(MOD(YEAR($A1305),4),0,1)*($A1305-$A1304)),2)-Первоначальный[[#This Row],[Проценты на просроченный платеж по ОД за период]]</f>
        <v>68.599999999999994</v>
      </c>
      <c r="I1305" s="55">
        <f t="shared" ca="1" si="250"/>
        <v>12.76</v>
      </c>
      <c r="J1305" s="55">
        <v>0</v>
      </c>
      <c r="K1305" s="55">
        <f t="shared" ca="1" si="253"/>
        <v>579.33350327868845</v>
      </c>
      <c r="L1305" s="55">
        <v>0</v>
      </c>
      <c r="M1305" s="113">
        <f>SUMIFS(График[Возврат основной суммы долга],График[Дата с учетом нерабочих дней],$A1305)</f>
        <v>0</v>
      </c>
      <c r="N1305" s="56">
        <f>SUMIFS(График[Возврат начисленных %],График[Дата с учетом нерабочих дней],$A1305)</f>
        <v>0</v>
      </c>
      <c r="O1305" s="101">
        <v>0</v>
      </c>
      <c r="P1305" s="100" cm="1">
        <f t="array" aca="1" ref="P1305" ca="1">MAX(IF(AA1304="Да",0,SUM(INDIRECT("M"&amp;(MAX(("Да"=AA$12:AA1304)*ROW(AA$12:AA1304)+1,ROW($P$12))&amp;":M"&amp;(ROW()))))-SUM(INDIRECT("W"&amp;(MAX(("Да"=AA$12:AA1304)*ROW(AA$12:AA1304)+1,ROW($P$12))&amp;":W"&amp;(ROW()))))),0)</f>
        <v>23462.519999999997</v>
      </c>
      <c r="Q1305" s="99">
        <f ca="1">MAX(SUM($N$13:N1305)-SUM($T$13:T1305),0)</f>
        <v>92404.180655737684</v>
      </c>
      <c r="R1305" s="99">
        <f ca="1">Первоначальный[[#This Row],[Просроченный платеж по ОД]]+Первоначальный[[#This Row],[Просроченный платеж по процентам]]</f>
        <v>115866.70065573769</v>
      </c>
      <c r="S1305" s="120">
        <f ca="1">IF(Первоначальный[[#This Row],[Просроченный платеж]]&lt;1,0,S1304+1)</f>
        <v>1201</v>
      </c>
      <c r="T1305" s="100" cm="1">
        <f t="array" aca="1" ref="T1305" ca="1">IF(Первоначальный[[#This Row],[Итого остаток на начало периода]]&lt;1,0,
IF(
AND(TYPE(VLOOKUP(1,$Z$12:Z1305,1,0))=16,Первоначальный[[#This Row],[Досрочное погашение (да/"")]]=""),0,
_xlfn.IFS(AND(S1304=0,Первоначальный[[#This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платеж]]&lt;&gt;0),MIN(LOOKUP(,-1/($Z$12:Z1305=1),$C$12:C1305)+LOOKUP(,-1/($Z$12:Z1305=1),$H$12:H1305),Первоначальный[[#This Row],[Полученный платеж]]+Y1304),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платеж]]+Y1304,SUM(Первоначальный[[#This Row],[Остаток процентов на начало периода]],Первоначальный[[#This Row],[Проценты за период]])),
AND(S1304=0,Первоначальный[[#This Row],[Дата платежа из графика]]=""),0,
AND(S1304=0,Первоначальный[[#This Row],[Дата платежа из графика]]=1,MAX((0&lt;&gt;S$12:S1304)*ROW(S$12:S1304),ROW($S$12))&gt;=MAX((1=Z$12:Z1304)*ROW(Z$12:Z1304),ROW($T$12)),TYPE(VLOOKUP("Да",(INDIRECT("AA"&amp;(MAX((1=Z$12:Z1304)*ROW(Z$12:Z1304),ROW($T$12))&amp;":AA"&amp;(ROW()-1)))),1,0))=16),MIN(LOOKUP(,-1/($Z$12:Z1305=1),$C$12:C1305)+LOOKUP(,-1/($Z$12:Z1305=1),$H$12:H1305),Первоначальный[[#This Row],[Полученный платеж]]+Y1304),
AND(S1304=0,TYPE(VLOOKUP("Да",(INDIRECT("AA"&amp;(MAX((1=Z$12:Z1304)*ROW(Z$12:Z1304),ROW($T$12))&amp;":AA"&amp;(ROW()-1)))),1,0))&lt;&gt;16),MIN(LOOKUP(,-1/($Z$12:Z1305=1),$C$12:C1305)+LOOKUP(,-1/($Z$12:Z1305=1),$H$12:H1305)-IF(AA1304="Да",0,SUM(INDIRECT("T"&amp;(MAX(("Да"=AA$12:AA1304)*ROW(AA$12:AA1304)+1,ROW($T$12))&amp;":T"&amp;(ROW()-1))))),Первоначальный[[#This Row],[Полученный платеж]]+Y1304),
AND(S1304=0,MAX((0&lt;&gt;N$12:N1304)*ROW(N$12:N1304),ROW($S$12))&gt;=MAX((1=Z$12:Z1304)*ROW(Z$12:Z1304),ROW($T$12))),MIN(LOOKUP(,-1/($Z$12:Z1305=1),$C$12:C1305)+LOOKUP(,-1/($Z$12:Z1305=1),$H$12:H1305)-IF(N1304&lt;&gt;0,0,SUM(INDIRECT("T"&amp;(MAX((0&lt;&gt;N$12:N1304)*ROW(N$12:N1304)+1,ROW($T$12))&amp;":T"&amp;(ROW()-1))))),Первоначальный[[#This Row],[Полученный платеж]]+Y1304),
AND(S1304=0,Первоначальный[[#This Row],[Дата платежа из графика]]=1),MIN(LOOKUP(,-1/($Z$12:Z1305=1),$C$12:C1305)+LOOKUP(,-1/($Z$12:Z1305=1),$H$12:H1305)-IF(Z1304=1,0,SUM(INDIRECT("T"&amp;(MAX((1=Z$12:Z1304)*ROW(Z$12:Z1304)+1,ROW($T$12))&amp;":T"&amp;(ROW()-1))))),Первоначальный[[#This Row],[Полученный платеж]]+Y1304),
AND(Z1304&gt;0,Первоначальный[[#This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платеж]]+Y1304),
AND(S1304&gt;0,MAX((0&lt;&gt;S$12:S1304)*ROW(S$12:S1304),ROW($S$12))&gt;=MAX((1=Z$12:Z1304)*ROW(Z$12:Z1304),ROW($T$12)),TYPE(VLOOKUP("Да",(INDIRECT("AA"&amp;(MAX((1=Z$12:Z1304)*ROW(Z$12:Z1304),ROW($T$12))&amp;":AA"&amp;(ROW()-1)))),1,0))=16),MIN(LOOKUP(,-1/($Z$12:Z1305=1),$C$12:C1305)+LOOKUP(,-1/($Z$12:Z1305=1),$H$12:H1305)-SUM(INDIRECT("T"&amp;(MAX((1=Z$12:Z1304)*ROW(Z$12:Z1304),ROW($T$12))&amp;":T"&amp;(ROW()-1)))),Первоначальный[[#This Row],[Полученный платеж]]+Y1304),
S1304&gt;0,MIN(LOOKUP(,-1/($Z$12:Z1305=1),$C$12:C1305)+LOOKUP(,-1/($Z$12:Z1305=1),$H$12:H1305)-IF(Z1304=1,0,SUM(INDIRECT("T"&amp;(MAX((1=Z$12:Z1304)*ROW(Z$12:Z1304)+1,ROW($T$12))&amp;":T"&amp;(ROW()-1))))),Первоначальный[[#This Row],[Полученный платеж]]+Y1304)
)
)
)</f>
        <v>0</v>
      </c>
      <c r="U130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платеж]]+Y1304-Первоначальный[[#This Row],[Полученный платёж по процентам]])</f>
        <v>0</v>
      </c>
      <c r="V1305" s="55">
        <f t="shared" ca="1" si="243"/>
        <v>0</v>
      </c>
      <c r="W1305" s="55" cm="1">
        <f t="array" aca="1" ref="W1305" ca="1">IF(Первоначальный[[#This Row],[Итого остаток на начало периода]]&lt;1,0,
_xlfn.IFS(
AND(TYPE(VLOOKUP(1,$Z$12:Z1305,1,0))=16,Первоначальный[[#This Row],[Досрочное погашение (да/"")]]=""),0,
AND(S1304=0,Первоначальный[[#This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платеж]]+Y1304-SUM(Первоначальный[[#This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комиссиям]]),VLOOKUP(LOOKUP(,-1/($Z$12:Z1305=1),$A$12:A1305),График[[Срок конец]:[Возврат основной суммы долга]],3,0)),
AND(S1304=0,Первоначальный[[#This Row],[Дата платежа из графика]]="",Первоначальный[[#This Row],[Досрочное погашение (да/"")]]&lt;&gt;"Да"),0,
AND(S1304=0,Первоначальный[[#This Row],[Досрочное погашение (да/"")]]=""),MIN(Первоначальный[[#This Row],[Полученный платеж]]+Y1304-SUM(Первоначальный[[#This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комиссиям]]),VLOOKUP(LOOKUP(,-1/($Z$12:Z1305=1),$A$12:A1305),График[[Срок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платеж]]+Y1304-SUM(Первоначальный[[#This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S1304&gt;0,MIN(Первоначальный[[#This Row],[Полученный платеж]]+Y1304-SUM(Первоначальный[[#This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комиссиям]]),SUM(INDIRECT("M"&amp;(MAX((1=S$12:S1304)*ROW(S$12:S1304),ROW($W$12))&amp;":M"&amp;(ROW()))))-SUM(INDIRECT("W"&amp;(MAX((1=S$12:S1304)*ROW(S$12:S1304),ROW($W$12))&amp;":W"&amp;(ROW()-1)))))
)
)</f>
        <v>0</v>
      </c>
      <c r="X1305" s="55">
        <f t="shared" ca="1" si="244"/>
        <v>0</v>
      </c>
      <c r="Y1305" s="101">
        <f t="shared" ca="1" si="251"/>
        <v>0</v>
      </c>
      <c r="Z1305" s="133" t="str">
        <f>IF(TYPE((VLOOKUP(Первоначальный[[#This Row],[Дата платежа]],График[Срок конец],1,0)))=16,"",1)</f>
        <v/>
      </c>
      <c r="AA1305" s="57"/>
      <c r="AB1305" s="134"/>
      <c r="AC130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0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93438.420000000318</v>
      </c>
      <c r="AE130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6941.8399999999965</v>
      </c>
      <c r="AF130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0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352644.3724377043</v>
      </c>
      <c r="AH1305" s="55"/>
      <c r="AI1305" s="55"/>
      <c r="AJ1305" s="55"/>
      <c r="AK1305" s="101">
        <f t="shared" ca="1" si="252"/>
        <v>602657.97243770456</v>
      </c>
      <c r="AL1305" s="129">
        <f t="array" ref="AL1305">MAX((УслРестрактов[Характеристика]="Дата реструктуризации")*(УслРестрактов[Значение]=Первоначальный!$A1305),0)</f>
        <v>0</v>
      </c>
    </row>
    <row r="1306" spans="1:38" x14ac:dyDescent="0.25">
      <c r="A1306" s="97">
        <f t="shared" si="245"/>
        <v>45437</v>
      </c>
      <c r="B1306" s="100">
        <f t="shared" ca="1" si="246"/>
        <v>149633.34</v>
      </c>
      <c r="C1306" s="55">
        <f t="shared" ca="1" si="242"/>
        <v>93438.420000000318</v>
      </c>
      <c r="D1306" s="55">
        <f t="shared" ca="1" si="242"/>
        <v>6941.8399999999965</v>
      </c>
      <c r="E1306" s="55">
        <f t="shared" ca="1" si="247"/>
        <v>0</v>
      </c>
      <c r="F1306" s="55">
        <f t="shared" ca="1" si="248"/>
        <v>352644.3724377043</v>
      </c>
      <c r="G1306" s="101">
        <f t="shared" ca="1" si="249"/>
        <v>602657.97243770456</v>
      </c>
      <c r="H1306" s="100">
        <f ca="1">ROUND($B1306*VLOOKUP($A1306,$A$1:$B$10,2,1)/(365+IF(MOD(YEAR($A1306),4),0,1)*($A1306-$A1305)),2)-Первоначальный[[#This Row],[Проценты на просроченный платеж по ОД за период]]</f>
        <v>68.599999999999994</v>
      </c>
      <c r="I1306" s="55">
        <f t="shared" ca="1" si="250"/>
        <v>12.76</v>
      </c>
      <c r="J1306" s="55">
        <v>0</v>
      </c>
      <c r="K1306" s="55">
        <f t="shared" ca="1" si="253"/>
        <v>579.33350327868845</v>
      </c>
      <c r="L1306" s="55">
        <v>0</v>
      </c>
      <c r="M1306" s="113">
        <f>SUMIFS(График[Возврат основной суммы долга],График[Дата с учетом нерабочих дней],$A1306)</f>
        <v>0</v>
      </c>
      <c r="N1306" s="56">
        <f>SUMIFS(График[Возврат начисленных %],График[Дата с учетом нерабочих дней],$A1306)</f>
        <v>0</v>
      </c>
      <c r="O1306" s="101">
        <v>0</v>
      </c>
      <c r="P1306" s="100" cm="1">
        <f t="array" aca="1" ref="P1306" ca="1">MAX(IF(AA1305="Да",0,SUM(INDIRECT("M"&amp;(MAX(("Да"=AA$12:AA1305)*ROW(AA$12:AA1305)+1,ROW($P$12))&amp;":M"&amp;(ROW()))))-SUM(INDIRECT("W"&amp;(MAX(("Да"=AA$12:AA1305)*ROW(AA$12:AA1305)+1,ROW($P$12))&amp;":W"&amp;(ROW()))))),0)</f>
        <v>23462.519999999997</v>
      </c>
      <c r="Q1306" s="99">
        <f ca="1">MAX(SUM($N$13:N1306)-SUM($T$13:T1306),0)</f>
        <v>92404.180655737684</v>
      </c>
      <c r="R1306" s="99">
        <f ca="1">Первоначальный[[#This Row],[Просроченный платеж по ОД]]+Первоначальный[[#This Row],[Просроченный платеж по процентам]]</f>
        <v>115866.70065573769</v>
      </c>
      <c r="S1306" s="120">
        <f ca="1">IF(Первоначальный[[#This Row],[Просроченный платеж]]&lt;1,0,S1305+1)</f>
        <v>1202</v>
      </c>
      <c r="T1306" s="100" cm="1">
        <f t="array" aca="1" ref="T1306" ca="1">IF(Первоначальный[[#This Row],[Итого остаток на начало периода]]&lt;1,0,
IF(
AND(TYPE(VLOOKUP(1,$Z$12:Z1306,1,0))=16,Первоначальный[[#This Row],[Досрочное погашение (да/"")]]=""),0,
_xlfn.IFS(AND(S1305=0,Первоначальный[[#This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платеж]]&lt;&gt;0),MIN(LOOKUP(,-1/($Z$12:Z1306=1),$C$12:C1306)+LOOKUP(,-1/($Z$12:Z1306=1),$H$12:H1306),Первоначальный[[#This Row],[Полученный платеж]]+Y1305),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платеж]]+Y1305,SUM(Первоначальный[[#This Row],[Остаток процентов на начало периода]],Первоначальный[[#This Row],[Проценты за период]])),
AND(S1305=0,Первоначальный[[#This Row],[Дата платежа из графика]]=""),0,
AND(S1305=0,Первоначальный[[#This Row],[Дата платежа из графика]]=1,MAX((0&lt;&gt;S$12:S1305)*ROW(S$12:S1305),ROW($S$12))&gt;=MAX((1=Z$12:Z1305)*ROW(Z$12:Z1305),ROW($T$12)),TYPE(VLOOKUP("Да",(INDIRECT("AA"&amp;(MAX((1=Z$12:Z1305)*ROW(Z$12:Z1305),ROW($T$12))&amp;":AA"&amp;(ROW()-1)))),1,0))=16),MIN(LOOKUP(,-1/($Z$12:Z1306=1),$C$12:C1306)+LOOKUP(,-1/($Z$12:Z1306=1),$H$12:H1306),Первоначальный[[#This Row],[Полученный платеж]]+Y1305),
AND(S1305=0,TYPE(VLOOKUP("Да",(INDIRECT("AA"&amp;(MAX((1=Z$12:Z1305)*ROW(Z$12:Z1305),ROW($T$12))&amp;":AA"&amp;(ROW()-1)))),1,0))&lt;&gt;16),MIN(LOOKUP(,-1/($Z$12:Z1306=1),$C$12:C1306)+LOOKUP(,-1/($Z$12:Z1306=1),$H$12:H1306)-IF(AA1305="Да",0,SUM(INDIRECT("T"&amp;(MAX(("Да"=AA$12:AA1305)*ROW(AA$12:AA1305)+1,ROW($T$12))&amp;":T"&amp;(ROW()-1))))),Первоначальный[[#This Row],[Полученный платеж]]+Y1305),
AND(S1305=0,MAX((0&lt;&gt;N$12:N1305)*ROW(N$12:N1305),ROW($S$12))&gt;=MAX((1=Z$12:Z1305)*ROW(Z$12:Z1305),ROW($T$12))),MIN(LOOKUP(,-1/($Z$12:Z1306=1),$C$12:C1306)+LOOKUP(,-1/($Z$12:Z1306=1),$H$12:H1306)-IF(N1305&lt;&gt;0,0,SUM(INDIRECT("T"&amp;(MAX((0&lt;&gt;N$12:N1305)*ROW(N$12:N1305)+1,ROW($T$12))&amp;":T"&amp;(ROW()-1))))),Первоначальный[[#This Row],[Полученный платеж]]+Y1305),
AND(S1305=0,Первоначальный[[#This Row],[Дата платежа из графика]]=1),MIN(LOOKUP(,-1/($Z$12:Z1306=1),$C$12:C1306)+LOOKUP(,-1/($Z$12:Z1306=1),$H$12:H1306)-IF(Z1305=1,0,SUM(INDIRECT("T"&amp;(MAX((1=Z$12:Z1305)*ROW(Z$12:Z1305)+1,ROW($T$12))&amp;":T"&amp;(ROW()-1))))),Первоначальный[[#This Row],[Полученный платеж]]+Y1305),
AND(Z1305&gt;0,Первоначальный[[#This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платеж]]+Y1305),
AND(S1305&gt;0,MAX((0&lt;&gt;S$12:S1305)*ROW(S$12:S1305),ROW($S$12))&gt;=MAX((1=Z$12:Z1305)*ROW(Z$12:Z1305),ROW($T$12)),TYPE(VLOOKUP("Да",(INDIRECT("AA"&amp;(MAX((1=Z$12:Z1305)*ROW(Z$12:Z1305),ROW($T$12))&amp;":AA"&amp;(ROW()-1)))),1,0))=16),MIN(LOOKUP(,-1/($Z$12:Z1306=1),$C$12:C1306)+LOOKUP(,-1/($Z$12:Z1306=1),$H$12:H1306)-SUM(INDIRECT("T"&amp;(MAX((1=Z$12:Z1305)*ROW(Z$12:Z1305),ROW($T$12))&amp;":T"&amp;(ROW()-1)))),Первоначальный[[#This Row],[Полученный платеж]]+Y1305),
S1305&gt;0,MIN(LOOKUP(,-1/($Z$12:Z1306=1),$C$12:C1306)+LOOKUP(,-1/($Z$12:Z1306=1),$H$12:H1306)-IF(Z1305=1,0,SUM(INDIRECT("T"&amp;(MAX((1=Z$12:Z1305)*ROW(Z$12:Z1305)+1,ROW($T$12))&amp;":T"&amp;(ROW()-1))))),Первоначальный[[#This Row],[Полученный платеж]]+Y1305)
)
)
)</f>
        <v>0</v>
      </c>
      <c r="U130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платеж]]+Y1305-Первоначальный[[#This Row],[Полученный платёж по процентам]])</f>
        <v>0</v>
      </c>
      <c r="V1306" s="55">
        <f t="shared" ca="1" si="243"/>
        <v>0</v>
      </c>
      <c r="W1306" s="55" cm="1">
        <f t="array" aca="1" ref="W1306" ca="1">IF(Первоначальный[[#This Row],[Итого остаток на начало периода]]&lt;1,0,
_xlfn.IFS(
AND(TYPE(VLOOKUP(1,$Z$12:Z1306,1,0))=16,Первоначальный[[#This Row],[Досрочное погашение (да/"")]]=""),0,
AND(S1305=0,Первоначальный[[#This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платеж]]+Y1305-SUM(Первоначальный[[#This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комиссиям]]),VLOOKUP(LOOKUP(,-1/($Z$12:Z1306=1),$A$12:A1306),График[[Срок конец]:[Возврат основной суммы долга]],3,0)),
AND(S1305=0,Первоначальный[[#This Row],[Дата платежа из графика]]="",Первоначальный[[#This Row],[Досрочное погашение (да/"")]]&lt;&gt;"Да"),0,
AND(S1305=0,Первоначальный[[#This Row],[Досрочное погашение (да/"")]]=""),MIN(Первоначальный[[#This Row],[Полученный платеж]]+Y1305-SUM(Первоначальный[[#This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комиссиям]]),VLOOKUP(LOOKUP(,-1/($Z$12:Z1306=1),$A$12:A1306),График[[Срок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платеж]]+Y1305-SUM(Первоначальный[[#This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S1305&gt;0,MIN(Первоначальный[[#This Row],[Полученный платеж]]+Y1305-SUM(Первоначальный[[#This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комиссиям]]),SUM(INDIRECT("M"&amp;(MAX((1=S$12:S1305)*ROW(S$12:S1305),ROW($W$12))&amp;":M"&amp;(ROW()))))-SUM(INDIRECT("W"&amp;(MAX((1=S$12:S1305)*ROW(S$12:S1305),ROW($W$12))&amp;":W"&amp;(ROW()-1)))))
)
)</f>
        <v>0</v>
      </c>
      <c r="X1306" s="55">
        <f t="shared" ca="1" si="244"/>
        <v>0</v>
      </c>
      <c r="Y1306" s="101">
        <f t="shared" ca="1" si="251"/>
        <v>0</v>
      </c>
      <c r="Z1306" s="133" t="str">
        <f>IF(TYPE((VLOOKUP(Первоначальный[[#This Row],[Дата платежа]],График[Срок конец],1,0)))=16,"",1)</f>
        <v/>
      </c>
      <c r="AA1306" s="57"/>
      <c r="AB1306" s="134"/>
      <c r="AC130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0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93507.020000000324</v>
      </c>
      <c r="AE130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6954.5999999999967</v>
      </c>
      <c r="AF130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0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353223.70594098297</v>
      </c>
      <c r="AH1306" s="55"/>
      <c r="AI1306" s="55"/>
      <c r="AJ1306" s="55"/>
      <c r="AK1306" s="101">
        <f t="shared" ca="1" si="252"/>
        <v>603318.66594098334</v>
      </c>
      <c r="AL1306" s="129">
        <f t="array" ref="AL1306">MAX((УслРестрактов[Характеристика]="Дата реструктуризации")*(УслРестрактов[Значение]=Первоначальный!$A1306),0)</f>
        <v>0</v>
      </c>
    </row>
    <row r="1307" spans="1:38" x14ac:dyDescent="0.25">
      <c r="A1307" s="97">
        <f t="shared" si="245"/>
        <v>45438</v>
      </c>
      <c r="B1307" s="100">
        <f t="shared" ca="1" si="246"/>
        <v>149633.34</v>
      </c>
      <c r="C1307" s="55">
        <f t="shared" ca="1" si="242"/>
        <v>93507.020000000324</v>
      </c>
      <c r="D1307" s="55">
        <f t="shared" ca="1" si="242"/>
        <v>6954.5999999999967</v>
      </c>
      <c r="E1307" s="55">
        <f t="shared" ca="1" si="247"/>
        <v>0</v>
      </c>
      <c r="F1307" s="55">
        <f t="shared" ca="1" si="248"/>
        <v>353223.70594098297</v>
      </c>
      <c r="G1307" s="101">
        <f t="shared" ca="1" si="249"/>
        <v>603318.66594098334</v>
      </c>
      <c r="H1307" s="100">
        <f ca="1">ROUND($B1307*VLOOKUP($A1307,$A$1:$B$10,2,1)/(365+IF(MOD(YEAR($A1307),4),0,1)*($A1307-$A1306)),2)-Первоначальный[[#This Row],[Проценты на просроченный платеж по ОД за период]]</f>
        <v>68.599999999999994</v>
      </c>
      <c r="I1307" s="55">
        <f t="shared" ca="1" si="250"/>
        <v>12.76</v>
      </c>
      <c r="J1307" s="55">
        <v>0</v>
      </c>
      <c r="K1307" s="55">
        <f t="shared" ca="1" si="253"/>
        <v>579.33350327868845</v>
      </c>
      <c r="L1307" s="55">
        <v>0</v>
      </c>
      <c r="M1307" s="113">
        <f>SUMIFS(График[Возврат основной суммы долга],График[Дата с учетом нерабочих дней],$A1307)</f>
        <v>0</v>
      </c>
      <c r="N1307" s="56">
        <f>SUMIFS(График[Возврат начисленных %],График[Дата с учетом нерабочих дней],$A1307)</f>
        <v>0</v>
      </c>
      <c r="O1307" s="101">
        <v>0</v>
      </c>
      <c r="P1307" s="100" cm="1">
        <f t="array" aca="1" ref="P1307" ca="1">MAX(IF(AA1306="Да",0,SUM(INDIRECT("M"&amp;(MAX(("Да"=AA$12:AA1306)*ROW(AA$12:AA1306)+1,ROW($P$12))&amp;":M"&amp;(ROW()))))-SUM(INDIRECT("W"&amp;(MAX(("Да"=AA$12:AA1306)*ROW(AA$12:AA1306)+1,ROW($P$12))&amp;":W"&amp;(ROW()))))),0)</f>
        <v>23462.519999999997</v>
      </c>
      <c r="Q1307" s="99">
        <f ca="1">MAX(SUM($N$13:N1307)-SUM($T$13:T1307),0)</f>
        <v>92404.180655737684</v>
      </c>
      <c r="R1307" s="99">
        <f ca="1">Первоначальный[[#This Row],[Просроченный платеж по ОД]]+Первоначальный[[#This Row],[Просроченный платеж по процентам]]</f>
        <v>115866.70065573769</v>
      </c>
      <c r="S1307" s="120">
        <f ca="1">IF(Первоначальный[[#This Row],[Просроченный платеж]]&lt;1,0,S1306+1)</f>
        <v>1203</v>
      </c>
      <c r="T1307" s="100" cm="1">
        <f t="array" aca="1" ref="T1307" ca="1">IF(Первоначальный[[#This Row],[Итого остаток на начало периода]]&lt;1,0,
IF(
AND(TYPE(VLOOKUP(1,$Z$12:Z1307,1,0))=16,Первоначальный[[#This Row],[Досрочное погашение (да/"")]]=""),0,
_xlfn.IFS(AND(S1306=0,Первоначальный[[#This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платеж]]&lt;&gt;0),MIN(LOOKUP(,-1/($Z$12:Z1307=1),$C$12:C1307)+LOOKUP(,-1/($Z$12:Z1307=1),$H$12:H1307),Первоначальный[[#This Row],[Полученный платеж]]+Y1306),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платеж]]+Y1306,SUM(Первоначальный[[#This Row],[Остаток процентов на начало периода]],Первоначальный[[#This Row],[Проценты за период]])),
AND(S1306=0,Первоначальный[[#This Row],[Дата платежа из графика]]=""),0,
AND(S1306=0,Первоначальный[[#This Row],[Дата платежа из графика]]=1,MAX((0&lt;&gt;S$12:S1306)*ROW(S$12:S1306),ROW($S$12))&gt;=MAX((1=Z$12:Z1306)*ROW(Z$12:Z1306),ROW($T$12)),TYPE(VLOOKUP("Да",(INDIRECT("AA"&amp;(MAX((1=Z$12:Z1306)*ROW(Z$12:Z1306),ROW($T$12))&amp;":AA"&amp;(ROW()-1)))),1,0))=16),MIN(LOOKUP(,-1/($Z$12:Z1307=1),$C$12:C1307)+LOOKUP(,-1/($Z$12:Z1307=1),$H$12:H1307),Первоначальный[[#This Row],[Полученный платеж]]+Y1306),
AND(S1306=0,TYPE(VLOOKUP("Да",(INDIRECT("AA"&amp;(MAX((1=Z$12:Z1306)*ROW(Z$12:Z1306),ROW($T$12))&amp;":AA"&amp;(ROW()-1)))),1,0))&lt;&gt;16),MIN(LOOKUP(,-1/($Z$12:Z1307=1),$C$12:C1307)+LOOKUP(,-1/($Z$12:Z1307=1),$H$12:H1307)-IF(AA1306="Да",0,SUM(INDIRECT("T"&amp;(MAX(("Да"=AA$12:AA1306)*ROW(AA$12:AA1306)+1,ROW($T$12))&amp;":T"&amp;(ROW()-1))))),Первоначальный[[#This Row],[Полученный платеж]]+Y1306),
AND(S1306=0,MAX((0&lt;&gt;N$12:N1306)*ROW(N$12:N1306),ROW($S$12))&gt;=MAX((1=Z$12:Z1306)*ROW(Z$12:Z1306),ROW($T$12))),MIN(LOOKUP(,-1/($Z$12:Z1307=1),$C$12:C1307)+LOOKUP(,-1/($Z$12:Z1307=1),$H$12:H1307)-IF(N1306&lt;&gt;0,0,SUM(INDIRECT("T"&amp;(MAX((0&lt;&gt;N$12:N1306)*ROW(N$12:N1306)+1,ROW($T$12))&amp;":T"&amp;(ROW()-1))))),Первоначальный[[#This Row],[Полученный платеж]]+Y1306),
AND(S1306=0,Первоначальный[[#This Row],[Дата платежа из графика]]=1),MIN(LOOKUP(,-1/($Z$12:Z1307=1),$C$12:C1307)+LOOKUP(,-1/($Z$12:Z1307=1),$H$12:H1307)-IF(Z1306=1,0,SUM(INDIRECT("T"&amp;(MAX((1=Z$12:Z1306)*ROW(Z$12:Z1306)+1,ROW($T$12))&amp;":T"&amp;(ROW()-1))))),Первоначальный[[#This Row],[Полученный платеж]]+Y1306),
AND(Z1306&gt;0,Первоначальный[[#This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платеж]]+Y1306),
AND(S1306&gt;0,MAX((0&lt;&gt;S$12:S1306)*ROW(S$12:S1306),ROW($S$12))&gt;=MAX((1=Z$12:Z1306)*ROW(Z$12:Z1306),ROW($T$12)),TYPE(VLOOKUP("Да",(INDIRECT("AA"&amp;(MAX((1=Z$12:Z1306)*ROW(Z$12:Z1306),ROW($T$12))&amp;":AA"&amp;(ROW()-1)))),1,0))=16),MIN(LOOKUP(,-1/($Z$12:Z1307=1),$C$12:C1307)+LOOKUP(,-1/($Z$12:Z1307=1),$H$12:H1307)-SUM(INDIRECT("T"&amp;(MAX((1=Z$12:Z1306)*ROW(Z$12:Z1306),ROW($T$12))&amp;":T"&amp;(ROW()-1)))),Первоначальный[[#This Row],[Полученный платеж]]+Y1306),
S1306&gt;0,MIN(LOOKUP(,-1/($Z$12:Z1307=1),$C$12:C1307)+LOOKUP(,-1/($Z$12:Z1307=1),$H$12:H1307)-IF(Z1306=1,0,SUM(INDIRECT("T"&amp;(MAX((1=Z$12:Z1306)*ROW(Z$12:Z1306)+1,ROW($T$12))&amp;":T"&amp;(ROW()-1))))),Первоначальный[[#This Row],[Полученный платеж]]+Y1306)
)
)
)</f>
        <v>0</v>
      </c>
      <c r="U130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платеж]]+Y1306-Первоначальный[[#This Row],[Полученный платёж по процентам]])</f>
        <v>0</v>
      </c>
      <c r="V1307" s="55">
        <f t="shared" ca="1" si="243"/>
        <v>0</v>
      </c>
      <c r="W1307" s="55" cm="1">
        <f t="array" aca="1" ref="W1307" ca="1">IF(Первоначальный[[#This Row],[Итого остаток на начало периода]]&lt;1,0,
_xlfn.IFS(
AND(TYPE(VLOOKUP(1,$Z$12:Z1307,1,0))=16,Первоначальный[[#This Row],[Досрочное погашение (да/"")]]=""),0,
AND(S1306=0,Первоначальный[[#This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платеж]]+Y1306-SUM(Первоначальный[[#This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комиссиям]]),VLOOKUP(LOOKUP(,-1/($Z$12:Z1307=1),$A$12:A1307),График[[Срок конец]:[Возврат основной суммы долга]],3,0)),
AND(S1306=0,Первоначальный[[#This Row],[Дата платежа из графика]]="",Первоначальный[[#This Row],[Досрочное погашение (да/"")]]&lt;&gt;"Да"),0,
AND(S1306=0,Первоначальный[[#This Row],[Досрочное погашение (да/"")]]=""),MIN(Первоначальный[[#This Row],[Полученный платеж]]+Y1306-SUM(Первоначальный[[#This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комиссиям]]),VLOOKUP(LOOKUP(,-1/($Z$12:Z1307=1),$A$12:A1307),График[[Срок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платеж]]+Y1306-SUM(Первоначальный[[#This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S1306&gt;0,MIN(Первоначальный[[#This Row],[Полученный платеж]]+Y1306-SUM(Первоначальный[[#This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комиссиям]]),SUM(INDIRECT("M"&amp;(MAX((1=S$12:S1306)*ROW(S$12:S1306),ROW($W$12))&amp;":M"&amp;(ROW()))))-SUM(INDIRECT("W"&amp;(MAX((1=S$12:S1306)*ROW(S$12:S1306),ROW($W$12))&amp;":W"&amp;(ROW()-1)))))
)
)</f>
        <v>0</v>
      </c>
      <c r="X1307" s="55">
        <f t="shared" ca="1" si="244"/>
        <v>0</v>
      </c>
      <c r="Y1307" s="101">
        <f t="shared" ca="1" si="251"/>
        <v>0</v>
      </c>
      <c r="Z1307" s="133" t="str">
        <f>IF(TYPE((VLOOKUP(Первоначальный[[#This Row],[Дата платежа]],График[Срок конец],1,0)))=16,"",1)</f>
        <v/>
      </c>
      <c r="AA1307" s="57"/>
      <c r="AB1307" s="134"/>
      <c r="AC130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0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93575.62000000033</v>
      </c>
      <c r="AE130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6967.3599999999969</v>
      </c>
      <c r="AF130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0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353803.03944426164</v>
      </c>
      <c r="AH1307" s="55"/>
      <c r="AI1307" s="55"/>
      <c r="AJ1307" s="55"/>
      <c r="AK1307" s="101">
        <f t="shared" ca="1" si="252"/>
        <v>603979.35944426199</v>
      </c>
      <c r="AL1307" s="129">
        <f t="array" ref="AL1307">MAX((УслРестрактов[Характеристика]="Дата реструктуризации")*(УслРестрактов[Значение]=Первоначальный!$A1307),0)</f>
        <v>0</v>
      </c>
    </row>
    <row r="1308" spans="1:38" x14ac:dyDescent="0.25">
      <c r="A1308" s="97">
        <f t="shared" si="245"/>
        <v>45439</v>
      </c>
      <c r="B1308" s="100">
        <f t="shared" ca="1" si="246"/>
        <v>149633.34</v>
      </c>
      <c r="C1308" s="55">
        <f t="shared" ca="1" si="242"/>
        <v>93575.62000000033</v>
      </c>
      <c r="D1308" s="55">
        <f t="shared" ca="1" si="242"/>
        <v>6967.3599999999969</v>
      </c>
      <c r="E1308" s="55">
        <f t="shared" ca="1" si="247"/>
        <v>0</v>
      </c>
      <c r="F1308" s="55">
        <f t="shared" ca="1" si="248"/>
        <v>353803.03944426164</v>
      </c>
      <c r="G1308" s="101">
        <f t="shared" ca="1" si="249"/>
        <v>603979.35944426199</v>
      </c>
      <c r="H1308" s="100">
        <f ca="1">ROUND($B1308*VLOOKUP($A1308,$A$1:$B$10,2,1)/(365+IF(MOD(YEAR($A1308),4),0,1)*($A1308-$A1307)),2)-Первоначальный[[#This Row],[Проценты на просроченный платеж по ОД за период]]</f>
        <v>68.599999999999994</v>
      </c>
      <c r="I1308" s="55">
        <f t="shared" ca="1" si="250"/>
        <v>12.76</v>
      </c>
      <c r="J1308" s="55">
        <v>0</v>
      </c>
      <c r="K1308" s="55">
        <f t="shared" ca="1" si="253"/>
        <v>579.33350327868845</v>
      </c>
      <c r="L1308" s="55">
        <v>0</v>
      </c>
      <c r="M1308" s="113">
        <f>SUMIFS(График[Возврат основной суммы долга],График[Дата с учетом нерабочих дней],$A1308)</f>
        <v>0</v>
      </c>
      <c r="N1308" s="56">
        <f>SUMIFS(График[Возврат начисленных %],График[Дата с учетом нерабочих дней],$A1308)</f>
        <v>0</v>
      </c>
      <c r="O1308" s="101">
        <v>0</v>
      </c>
      <c r="P1308" s="100" cm="1">
        <f t="array" aca="1" ref="P1308" ca="1">MAX(IF(AA1307="Да",0,SUM(INDIRECT("M"&amp;(MAX(("Да"=AA$12:AA1307)*ROW(AA$12:AA1307)+1,ROW($P$12))&amp;":M"&amp;(ROW()))))-SUM(INDIRECT("W"&amp;(MAX(("Да"=AA$12:AA1307)*ROW(AA$12:AA1307)+1,ROW($P$12))&amp;":W"&amp;(ROW()))))),0)</f>
        <v>23462.519999999997</v>
      </c>
      <c r="Q1308" s="99">
        <f ca="1">MAX(SUM($N$13:N1308)-SUM($T$13:T1308),0)</f>
        <v>92404.180655737684</v>
      </c>
      <c r="R1308" s="99">
        <f ca="1">Первоначальный[[#This Row],[Просроченный платеж по ОД]]+Первоначальный[[#This Row],[Просроченный платеж по процентам]]</f>
        <v>115866.70065573769</v>
      </c>
      <c r="S1308" s="120">
        <f ca="1">IF(Первоначальный[[#This Row],[Просроченный платеж]]&lt;1,0,S1307+1)</f>
        <v>1204</v>
      </c>
      <c r="T1308" s="100" cm="1">
        <f t="array" aca="1" ref="T1308" ca="1">IF(Первоначальный[[#This Row],[Итого остаток на начало периода]]&lt;1,0,
IF(
AND(TYPE(VLOOKUP(1,$Z$12:Z1308,1,0))=16,Первоначальный[[#This Row],[Досрочное погашение (да/"")]]=""),0,
_xlfn.IFS(AND(S1307=0,Первоначальный[[#This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платеж]]&lt;&gt;0),MIN(LOOKUP(,-1/($Z$12:Z1308=1),$C$12:C1308)+LOOKUP(,-1/($Z$12:Z1308=1),$H$12:H1308),Первоначальный[[#This Row],[Полученный платеж]]+Y1307),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платеж]]+Y1307,SUM(Первоначальный[[#This Row],[Остаток процентов на начало периода]],Первоначальный[[#This Row],[Проценты за период]])),
AND(S1307=0,Первоначальный[[#This Row],[Дата платежа из графика]]=""),0,
AND(S1307=0,Первоначальный[[#This Row],[Дата платежа из графика]]=1,MAX((0&lt;&gt;S$12:S1307)*ROW(S$12:S1307),ROW($S$12))&gt;=MAX((1=Z$12:Z1307)*ROW(Z$12:Z1307),ROW($T$12)),TYPE(VLOOKUP("Да",(INDIRECT("AA"&amp;(MAX((1=Z$12:Z1307)*ROW(Z$12:Z1307),ROW($T$12))&amp;":AA"&amp;(ROW()-1)))),1,0))=16),MIN(LOOKUP(,-1/($Z$12:Z1308=1),$C$12:C1308)+LOOKUP(,-1/($Z$12:Z1308=1),$H$12:H1308),Первоначальный[[#This Row],[Полученный платеж]]+Y1307),
AND(S1307=0,TYPE(VLOOKUP("Да",(INDIRECT("AA"&amp;(MAX((1=Z$12:Z1307)*ROW(Z$12:Z1307),ROW($T$12))&amp;":AA"&amp;(ROW()-1)))),1,0))&lt;&gt;16),MIN(LOOKUP(,-1/($Z$12:Z1308=1),$C$12:C1308)+LOOKUP(,-1/($Z$12:Z1308=1),$H$12:H1308)-IF(AA1307="Да",0,SUM(INDIRECT("T"&amp;(MAX(("Да"=AA$12:AA1307)*ROW(AA$12:AA1307)+1,ROW($T$12))&amp;":T"&amp;(ROW()-1))))),Первоначальный[[#This Row],[Полученный платеж]]+Y1307),
AND(S1307=0,MAX((0&lt;&gt;N$12:N1307)*ROW(N$12:N1307),ROW($S$12))&gt;=MAX((1=Z$12:Z1307)*ROW(Z$12:Z1307),ROW($T$12))),MIN(LOOKUP(,-1/($Z$12:Z1308=1),$C$12:C1308)+LOOKUP(,-1/($Z$12:Z1308=1),$H$12:H1308)-IF(N1307&lt;&gt;0,0,SUM(INDIRECT("T"&amp;(MAX((0&lt;&gt;N$12:N1307)*ROW(N$12:N1307)+1,ROW($T$12))&amp;":T"&amp;(ROW()-1))))),Первоначальный[[#This Row],[Полученный платеж]]+Y1307),
AND(S1307=0,Первоначальный[[#This Row],[Дата платежа из графика]]=1),MIN(LOOKUP(,-1/($Z$12:Z1308=1),$C$12:C1308)+LOOKUP(,-1/($Z$12:Z1308=1),$H$12:H1308)-IF(Z1307=1,0,SUM(INDIRECT("T"&amp;(MAX((1=Z$12:Z1307)*ROW(Z$12:Z1307)+1,ROW($T$12))&amp;":T"&amp;(ROW()-1))))),Первоначальный[[#This Row],[Полученный платеж]]+Y1307),
AND(Z1307&gt;0,Первоначальный[[#This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платеж]]+Y1307),
AND(S1307&gt;0,MAX((0&lt;&gt;S$12:S1307)*ROW(S$12:S1307),ROW($S$12))&gt;=MAX((1=Z$12:Z1307)*ROW(Z$12:Z1307),ROW($T$12)),TYPE(VLOOKUP("Да",(INDIRECT("AA"&amp;(MAX((1=Z$12:Z1307)*ROW(Z$12:Z1307),ROW($T$12))&amp;":AA"&amp;(ROW()-1)))),1,0))=16),MIN(LOOKUP(,-1/($Z$12:Z1308=1),$C$12:C1308)+LOOKUP(,-1/($Z$12:Z1308=1),$H$12:H1308)-SUM(INDIRECT("T"&amp;(MAX((1=Z$12:Z1307)*ROW(Z$12:Z1307),ROW($T$12))&amp;":T"&amp;(ROW()-1)))),Первоначальный[[#This Row],[Полученный платеж]]+Y1307),
S1307&gt;0,MIN(LOOKUP(,-1/($Z$12:Z1308=1),$C$12:C1308)+LOOKUP(,-1/($Z$12:Z1308=1),$H$12:H1308)-IF(Z1307=1,0,SUM(INDIRECT("T"&amp;(MAX((1=Z$12:Z1307)*ROW(Z$12:Z1307)+1,ROW($T$12))&amp;":T"&amp;(ROW()-1))))),Первоначальный[[#This Row],[Полученный платеж]]+Y1307)
)
)
)</f>
        <v>0</v>
      </c>
      <c r="U130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платеж]]+Y1307-Первоначальный[[#This Row],[Полученный платёж по процентам]])</f>
        <v>0</v>
      </c>
      <c r="V1308" s="55">
        <f t="shared" ca="1" si="243"/>
        <v>0</v>
      </c>
      <c r="W1308" s="55" cm="1">
        <f t="array" aca="1" ref="W1308" ca="1">IF(Первоначальный[[#This Row],[Итого остаток на начало периода]]&lt;1,0,
_xlfn.IFS(
AND(TYPE(VLOOKUP(1,$Z$12:Z1308,1,0))=16,Первоначальный[[#This Row],[Досрочное погашение (да/"")]]=""),0,
AND(S1307=0,Первоначальный[[#This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платеж]]+Y1307-SUM(Первоначальный[[#This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комиссиям]]),VLOOKUP(LOOKUP(,-1/($Z$12:Z1308=1),$A$12:A1308),График[[Срок конец]:[Возврат основной суммы долга]],3,0)),
AND(S1307=0,Первоначальный[[#This Row],[Дата платежа из графика]]="",Первоначальный[[#This Row],[Досрочное погашение (да/"")]]&lt;&gt;"Да"),0,
AND(S1307=0,Первоначальный[[#This Row],[Досрочное погашение (да/"")]]=""),MIN(Первоначальный[[#This Row],[Полученный платеж]]+Y1307-SUM(Первоначальный[[#This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комиссиям]]),VLOOKUP(LOOKUP(,-1/($Z$12:Z1308=1),$A$12:A1308),График[[Срок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платеж]]+Y1307-SUM(Первоначальный[[#This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S1307&gt;0,MIN(Первоначальный[[#This Row],[Полученный платеж]]+Y1307-SUM(Первоначальный[[#This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комиссиям]]),SUM(INDIRECT("M"&amp;(MAX((1=S$12:S1307)*ROW(S$12:S1307),ROW($W$12))&amp;":M"&amp;(ROW()))))-SUM(INDIRECT("W"&amp;(MAX((1=S$12:S1307)*ROW(S$12:S1307),ROW($W$12))&amp;":W"&amp;(ROW()-1)))))
)
)</f>
        <v>0</v>
      </c>
      <c r="X1308" s="55">
        <f t="shared" ca="1" si="244"/>
        <v>0</v>
      </c>
      <c r="Y1308" s="101">
        <f t="shared" ca="1" si="251"/>
        <v>0</v>
      </c>
      <c r="Z1308" s="133" t="str">
        <f>IF(TYPE((VLOOKUP(Первоначальный[[#This Row],[Дата платежа]],График[Срок конец],1,0)))=16,"",1)</f>
        <v/>
      </c>
      <c r="AA1308" s="57"/>
      <c r="AB1308" s="134"/>
      <c r="AC130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0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93644.220000000336</v>
      </c>
      <c r="AE130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6980.1199999999972</v>
      </c>
      <c r="AF130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0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354382.37294754031</v>
      </c>
      <c r="AH1308" s="55"/>
      <c r="AI1308" s="55"/>
      <c r="AJ1308" s="55"/>
      <c r="AK1308" s="101">
        <f t="shared" ca="1" si="252"/>
        <v>604640.05294754065</v>
      </c>
      <c r="AL1308" s="129">
        <f t="array" ref="AL1308">MAX((УслРестрактов[Характеристика]="Дата реструктуризации")*(УслРестрактов[Значение]=Первоначальный!$A1308),0)</f>
        <v>0</v>
      </c>
    </row>
    <row r="1309" spans="1:38" x14ac:dyDescent="0.25">
      <c r="A1309" s="97">
        <f t="shared" si="245"/>
        <v>45440</v>
      </c>
      <c r="B1309" s="100">
        <f t="shared" ca="1" si="246"/>
        <v>149633.34</v>
      </c>
      <c r="C1309" s="55">
        <f t="shared" ca="1" si="242"/>
        <v>93644.220000000336</v>
      </c>
      <c r="D1309" s="55">
        <f t="shared" ca="1" si="242"/>
        <v>6980.1199999999972</v>
      </c>
      <c r="E1309" s="55">
        <f t="shared" ca="1" si="247"/>
        <v>0</v>
      </c>
      <c r="F1309" s="55">
        <f t="shared" ca="1" si="248"/>
        <v>354382.37294754031</v>
      </c>
      <c r="G1309" s="101">
        <f t="shared" ca="1" si="249"/>
        <v>604640.05294754065</v>
      </c>
      <c r="H1309" s="100">
        <f ca="1">ROUND($B1309*VLOOKUP($A1309,$A$1:$B$10,2,1)/(365+IF(MOD(YEAR($A1309),4),0,1)*($A1309-$A1308)),2)-Первоначальный[[#This Row],[Проценты на просроченный платеж по ОД за период]]</f>
        <v>68.599999999999994</v>
      </c>
      <c r="I1309" s="55">
        <f t="shared" ca="1" si="250"/>
        <v>12.76</v>
      </c>
      <c r="J1309" s="55">
        <v>0</v>
      </c>
      <c r="K1309" s="55">
        <f t="shared" ca="1" si="253"/>
        <v>579.33350327868845</v>
      </c>
      <c r="L1309" s="55">
        <v>0</v>
      </c>
      <c r="M1309" s="113">
        <f>SUMIFS(График[Возврат основной суммы долга],График[Дата с учетом нерабочих дней],$A1309)</f>
        <v>0</v>
      </c>
      <c r="N1309" s="56">
        <f>SUMIFS(График[Возврат начисленных %],График[Дата с учетом нерабочих дней],$A1309)</f>
        <v>0</v>
      </c>
      <c r="O1309" s="101">
        <v>0</v>
      </c>
      <c r="P1309" s="100" cm="1">
        <f t="array" aca="1" ref="P1309" ca="1">MAX(IF(AA1308="Да",0,SUM(INDIRECT("M"&amp;(MAX(("Да"=AA$12:AA1308)*ROW(AA$12:AA1308)+1,ROW($P$12))&amp;":M"&amp;(ROW()))))-SUM(INDIRECT("W"&amp;(MAX(("Да"=AA$12:AA1308)*ROW(AA$12:AA1308)+1,ROW($P$12))&amp;":W"&amp;(ROW()))))),0)</f>
        <v>23462.519999999997</v>
      </c>
      <c r="Q1309" s="99">
        <f ca="1">MAX(SUM($N$13:N1309)-SUM($T$13:T1309),0)</f>
        <v>92404.180655737684</v>
      </c>
      <c r="R1309" s="99">
        <f ca="1">Первоначальный[[#This Row],[Просроченный платеж по ОД]]+Первоначальный[[#This Row],[Просроченный платеж по процентам]]</f>
        <v>115866.70065573769</v>
      </c>
      <c r="S1309" s="120">
        <f ca="1">IF(Первоначальный[[#This Row],[Просроченный платеж]]&lt;1,0,S1308+1)</f>
        <v>1205</v>
      </c>
      <c r="T1309" s="100" cm="1">
        <f t="array" aca="1" ref="T1309" ca="1">IF(Первоначальный[[#This Row],[Итого остаток на начало периода]]&lt;1,0,
IF(
AND(TYPE(VLOOKUP(1,$Z$12:Z1309,1,0))=16,Первоначальный[[#This Row],[Досрочное погашение (да/"")]]=""),0,
_xlfn.IFS(AND(S1308=0,Первоначальный[[#This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платеж]]&lt;&gt;0),MIN(LOOKUP(,-1/($Z$12:Z1309=1),$C$12:C1309)+LOOKUP(,-1/($Z$12:Z1309=1),$H$12:H1309),Первоначальный[[#This Row],[Полученный платеж]]+Y1308),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платеж]]+Y1308,SUM(Первоначальный[[#This Row],[Остаток процентов на начало периода]],Первоначальный[[#This Row],[Проценты за период]])),
AND(S1308=0,Первоначальный[[#This Row],[Дата платежа из графика]]=""),0,
AND(S1308=0,Первоначальный[[#This Row],[Дата платежа из графика]]=1,MAX((0&lt;&gt;S$12:S1308)*ROW(S$12:S1308),ROW($S$12))&gt;=MAX((1=Z$12:Z1308)*ROW(Z$12:Z1308),ROW($T$12)),TYPE(VLOOKUP("Да",(INDIRECT("AA"&amp;(MAX((1=Z$12:Z1308)*ROW(Z$12:Z1308),ROW($T$12))&amp;":AA"&amp;(ROW()-1)))),1,0))=16),MIN(LOOKUP(,-1/($Z$12:Z1309=1),$C$12:C1309)+LOOKUP(,-1/($Z$12:Z1309=1),$H$12:H1309),Первоначальный[[#This Row],[Полученный платеж]]+Y1308),
AND(S1308=0,TYPE(VLOOKUP("Да",(INDIRECT("AA"&amp;(MAX((1=Z$12:Z1308)*ROW(Z$12:Z1308),ROW($T$12))&amp;":AA"&amp;(ROW()-1)))),1,0))&lt;&gt;16),MIN(LOOKUP(,-1/($Z$12:Z1309=1),$C$12:C1309)+LOOKUP(,-1/($Z$12:Z1309=1),$H$12:H1309)-IF(AA1308="Да",0,SUM(INDIRECT("T"&amp;(MAX(("Да"=AA$12:AA1308)*ROW(AA$12:AA1308)+1,ROW($T$12))&amp;":T"&amp;(ROW()-1))))),Первоначальный[[#This Row],[Полученный платеж]]+Y1308),
AND(S1308=0,MAX((0&lt;&gt;N$12:N1308)*ROW(N$12:N1308),ROW($S$12))&gt;=MAX((1=Z$12:Z1308)*ROW(Z$12:Z1308),ROW($T$12))),MIN(LOOKUP(,-1/($Z$12:Z1309=1),$C$12:C1309)+LOOKUP(,-1/($Z$12:Z1309=1),$H$12:H1309)-IF(N1308&lt;&gt;0,0,SUM(INDIRECT("T"&amp;(MAX((0&lt;&gt;N$12:N1308)*ROW(N$12:N1308)+1,ROW($T$12))&amp;":T"&amp;(ROW()-1))))),Первоначальный[[#This Row],[Полученный платеж]]+Y1308),
AND(S1308=0,Первоначальный[[#This Row],[Дата платежа из графика]]=1),MIN(LOOKUP(,-1/($Z$12:Z1309=1),$C$12:C1309)+LOOKUP(,-1/($Z$12:Z1309=1),$H$12:H1309)-IF(Z1308=1,0,SUM(INDIRECT("T"&amp;(MAX((1=Z$12:Z1308)*ROW(Z$12:Z1308)+1,ROW($T$12))&amp;":T"&amp;(ROW()-1))))),Первоначальный[[#This Row],[Полученный платеж]]+Y1308),
AND(Z1308&gt;0,Первоначальный[[#This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платеж]]+Y1308),
AND(S1308&gt;0,MAX((0&lt;&gt;S$12:S1308)*ROW(S$12:S1308),ROW($S$12))&gt;=MAX((1=Z$12:Z1308)*ROW(Z$12:Z1308),ROW($T$12)),TYPE(VLOOKUP("Да",(INDIRECT("AA"&amp;(MAX((1=Z$12:Z1308)*ROW(Z$12:Z1308),ROW($T$12))&amp;":AA"&amp;(ROW()-1)))),1,0))=16),MIN(LOOKUP(,-1/($Z$12:Z1309=1),$C$12:C1309)+LOOKUP(,-1/($Z$12:Z1309=1),$H$12:H1309)-SUM(INDIRECT("T"&amp;(MAX((1=Z$12:Z1308)*ROW(Z$12:Z1308),ROW($T$12))&amp;":T"&amp;(ROW()-1)))),Первоначальный[[#This Row],[Полученный платеж]]+Y1308),
S1308&gt;0,MIN(LOOKUP(,-1/($Z$12:Z1309=1),$C$12:C1309)+LOOKUP(,-1/($Z$12:Z1309=1),$H$12:H1309)-IF(Z1308=1,0,SUM(INDIRECT("T"&amp;(MAX((1=Z$12:Z1308)*ROW(Z$12:Z1308)+1,ROW($T$12))&amp;":T"&amp;(ROW()-1))))),Первоначальный[[#This Row],[Полученный платеж]]+Y1308)
)
)
)</f>
        <v>0</v>
      </c>
      <c r="U130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платеж]]+Y1308-Первоначальный[[#This Row],[Полученный платёж по процентам]])</f>
        <v>0</v>
      </c>
      <c r="V1309" s="55">
        <f t="shared" ca="1" si="243"/>
        <v>0</v>
      </c>
      <c r="W1309" s="55" cm="1">
        <f t="array" aca="1" ref="W1309" ca="1">IF(Первоначальный[[#This Row],[Итого остаток на начало периода]]&lt;1,0,
_xlfn.IFS(
AND(TYPE(VLOOKUP(1,$Z$12:Z1309,1,0))=16,Первоначальный[[#This Row],[Досрочное погашение (да/"")]]=""),0,
AND(S1308=0,Первоначальный[[#This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платеж]]+Y1308-SUM(Первоначальный[[#This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комиссиям]]),VLOOKUP(LOOKUP(,-1/($Z$12:Z1309=1),$A$12:A1309),График[[Срок конец]:[Возврат основной суммы долга]],3,0)),
AND(S1308=0,Первоначальный[[#This Row],[Дата платежа из графика]]="",Первоначальный[[#This Row],[Досрочное погашение (да/"")]]&lt;&gt;"Да"),0,
AND(S1308=0,Первоначальный[[#This Row],[Досрочное погашение (да/"")]]=""),MIN(Первоначальный[[#This Row],[Полученный платеж]]+Y1308-SUM(Первоначальный[[#This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комиссиям]]),VLOOKUP(LOOKUP(,-1/($Z$12:Z1309=1),$A$12:A1309),График[[Срок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платеж]]+Y1308-SUM(Первоначальный[[#This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S1308&gt;0,MIN(Первоначальный[[#This Row],[Полученный платеж]]+Y1308-SUM(Первоначальный[[#This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комиссиям]]),SUM(INDIRECT("M"&amp;(MAX((1=S$12:S1308)*ROW(S$12:S1308),ROW($W$12))&amp;":M"&amp;(ROW()))))-SUM(INDIRECT("W"&amp;(MAX((1=S$12:S1308)*ROW(S$12:S1308),ROW($W$12))&amp;":W"&amp;(ROW()-1)))))
)
)</f>
        <v>0</v>
      </c>
      <c r="X1309" s="55">
        <f t="shared" ca="1" si="244"/>
        <v>0</v>
      </c>
      <c r="Y1309" s="101">
        <f t="shared" ca="1" si="251"/>
        <v>0</v>
      </c>
      <c r="Z1309" s="133" t="str">
        <f>IF(TYPE((VLOOKUP(Первоначальный[[#This Row],[Дата платежа]],График[Срок конец],1,0)))=16,"",1)</f>
        <v/>
      </c>
      <c r="AA1309" s="57"/>
      <c r="AB1309" s="134"/>
      <c r="AC130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0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93712.820000000342</v>
      </c>
      <c r="AE130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6992.8799999999974</v>
      </c>
      <c r="AF130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0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354961.70645081898</v>
      </c>
      <c r="AH1309" s="55"/>
      <c r="AI1309" s="55"/>
      <c r="AJ1309" s="55"/>
      <c r="AK1309" s="101">
        <f t="shared" ca="1" si="252"/>
        <v>605300.74645081931</v>
      </c>
      <c r="AL1309" s="129">
        <f t="array" ref="AL1309">MAX((УслРестрактов[Характеристика]="Дата реструктуризации")*(УслРестрактов[Значение]=Первоначальный!$A1309),0)</f>
        <v>0</v>
      </c>
    </row>
    <row r="1310" spans="1:38" x14ac:dyDescent="0.25">
      <c r="A1310" s="97">
        <f t="shared" si="245"/>
        <v>45441</v>
      </c>
      <c r="B1310" s="100">
        <f t="shared" ca="1" si="246"/>
        <v>149633.34</v>
      </c>
      <c r="C1310" s="55">
        <f t="shared" ca="1" si="242"/>
        <v>93712.820000000342</v>
      </c>
      <c r="D1310" s="55">
        <f t="shared" ca="1" si="242"/>
        <v>6992.8799999999974</v>
      </c>
      <c r="E1310" s="55">
        <f t="shared" ca="1" si="247"/>
        <v>0</v>
      </c>
      <c r="F1310" s="55">
        <f t="shared" ca="1" si="248"/>
        <v>354961.70645081898</v>
      </c>
      <c r="G1310" s="101">
        <f t="shared" ca="1" si="249"/>
        <v>605300.74645081931</v>
      </c>
      <c r="H1310" s="100">
        <f ca="1">ROUND($B1310*VLOOKUP($A1310,$A$1:$B$10,2,1)/(365+IF(MOD(YEAR($A1310),4),0,1)*($A1310-$A1309)),2)-Первоначальный[[#This Row],[Проценты на просроченный платеж по ОД за период]]</f>
        <v>68.599999999999994</v>
      </c>
      <c r="I1310" s="55">
        <f t="shared" ca="1" si="250"/>
        <v>12.76</v>
      </c>
      <c r="J1310" s="55">
        <v>0</v>
      </c>
      <c r="K1310" s="55">
        <f t="shared" ca="1" si="253"/>
        <v>579.33350327868845</v>
      </c>
      <c r="L1310" s="55">
        <v>0</v>
      </c>
      <c r="M1310" s="113">
        <f>SUMIFS(График[Возврат основной суммы долга],График[Дата с учетом нерабочих дней],$A1310)</f>
        <v>0</v>
      </c>
      <c r="N1310" s="56">
        <f>SUMIFS(График[Возврат начисленных %],График[Дата с учетом нерабочих дней],$A1310)</f>
        <v>0</v>
      </c>
      <c r="O1310" s="101">
        <v>0</v>
      </c>
      <c r="P1310" s="100" cm="1">
        <f t="array" aca="1" ref="P1310" ca="1">MAX(IF(AA1309="Да",0,SUM(INDIRECT("M"&amp;(MAX(("Да"=AA$12:AA1309)*ROW(AA$12:AA1309)+1,ROW($P$12))&amp;":M"&amp;(ROW()))))-SUM(INDIRECT("W"&amp;(MAX(("Да"=AA$12:AA1309)*ROW(AA$12:AA1309)+1,ROW($P$12))&amp;":W"&amp;(ROW()))))),0)</f>
        <v>23462.519999999997</v>
      </c>
      <c r="Q1310" s="99">
        <f ca="1">MAX(SUM($N$13:N1310)-SUM($T$13:T1310),0)</f>
        <v>92404.180655737684</v>
      </c>
      <c r="R1310" s="99">
        <f ca="1">Первоначальный[[#This Row],[Просроченный платеж по ОД]]+Первоначальный[[#This Row],[Просроченный платеж по процентам]]</f>
        <v>115866.70065573769</v>
      </c>
      <c r="S1310" s="120">
        <f ca="1">IF(Первоначальный[[#This Row],[Просроченный платеж]]&lt;1,0,S1309+1)</f>
        <v>1206</v>
      </c>
      <c r="T1310" s="100" cm="1">
        <f t="array" aca="1" ref="T1310" ca="1">IF(Первоначальный[[#This Row],[Итого остаток на начало периода]]&lt;1,0,
IF(
AND(TYPE(VLOOKUP(1,$Z$12:Z1310,1,0))=16,Первоначальный[[#This Row],[Досрочное погашение (да/"")]]=""),0,
_xlfn.IFS(AND(S1309=0,Первоначальный[[#This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платеж]]&lt;&gt;0),MIN(LOOKUP(,-1/($Z$12:Z1310=1),$C$12:C1310)+LOOKUP(,-1/($Z$12:Z1310=1),$H$12:H1310),Первоначальный[[#This Row],[Полученный платеж]]+Y1309),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платеж]]+Y1309,SUM(Первоначальный[[#This Row],[Остаток процентов на начало периода]],Первоначальный[[#This Row],[Проценты за период]])),
AND(S1309=0,Первоначальный[[#This Row],[Дата платежа из графика]]=""),0,
AND(S1309=0,Первоначальный[[#This Row],[Дата платежа из графика]]=1,MAX((0&lt;&gt;S$12:S1309)*ROW(S$12:S1309),ROW($S$12))&gt;=MAX((1=Z$12:Z1309)*ROW(Z$12:Z1309),ROW($T$12)),TYPE(VLOOKUP("Да",(INDIRECT("AA"&amp;(MAX((1=Z$12:Z1309)*ROW(Z$12:Z1309),ROW($T$12))&amp;":AA"&amp;(ROW()-1)))),1,0))=16),MIN(LOOKUP(,-1/($Z$12:Z1310=1),$C$12:C1310)+LOOKUP(,-1/($Z$12:Z1310=1),$H$12:H1310),Первоначальный[[#This Row],[Полученный платеж]]+Y1309),
AND(S1309=0,TYPE(VLOOKUP("Да",(INDIRECT("AA"&amp;(MAX((1=Z$12:Z1309)*ROW(Z$12:Z1309),ROW($T$12))&amp;":AA"&amp;(ROW()-1)))),1,0))&lt;&gt;16),MIN(LOOKUP(,-1/($Z$12:Z1310=1),$C$12:C1310)+LOOKUP(,-1/($Z$12:Z1310=1),$H$12:H1310)-IF(AA1309="Да",0,SUM(INDIRECT("T"&amp;(MAX(("Да"=AA$12:AA1309)*ROW(AA$12:AA1309)+1,ROW($T$12))&amp;":T"&amp;(ROW()-1))))),Первоначальный[[#This Row],[Полученный платеж]]+Y1309),
AND(S1309=0,MAX((0&lt;&gt;N$12:N1309)*ROW(N$12:N1309),ROW($S$12))&gt;=MAX((1=Z$12:Z1309)*ROW(Z$12:Z1309),ROW($T$12))),MIN(LOOKUP(,-1/($Z$12:Z1310=1),$C$12:C1310)+LOOKUP(,-1/($Z$12:Z1310=1),$H$12:H1310)-IF(N1309&lt;&gt;0,0,SUM(INDIRECT("T"&amp;(MAX((0&lt;&gt;N$12:N1309)*ROW(N$12:N1309)+1,ROW($T$12))&amp;":T"&amp;(ROW()-1))))),Первоначальный[[#This Row],[Полученный платеж]]+Y1309),
AND(S1309=0,Первоначальный[[#This Row],[Дата платежа из графика]]=1),MIN(LOOKUP(,-1/($Z$12:Z1310=1),$C$12:C1310)+LOOKUP(,-1/($Z$12:Z1310=1),$H$12:H1310)-IF(Z1309=1,0,SUM(INDIRECT("T"&amp;(MAX((1=Z$12:Z1309)*ROW(Z$12:Z1309)+1,ROW($T$12))&amp;":T"&amp;(ROW()-1))))),Первоначальный[[#This Row],[Полученный платеж]]+Y1309),
AND(Z1309&gt;0,Первоначальный[[#This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платеж]]+Y1309),
AND(S1309&gt;0,MAX((0&lt;&gt;S$12:S1309)*ROW(S$12:S1309),ROW($S$12))&gt;=MAX((1=Z$12:Z1309)*ROW(Z$12:Z1309),ROW($T$12)),TYPE(VLOOKUP("Да",(INDIRECT("AA"&amp;(MAX((1=Z$12:Z1309)*ROW(Z$12:Z1309),ROW($T$12))&amp;":AA"&amp;(ROW()-1)))),1,0))=16),MIN(LOOKUP(,-1/($Z$12:Z1310=1),$C$12:C1310)+LOOKUP(,-1/($Z$12:Z1310=1),$H$12:H1310)-SUM(INDIRECT("T"&amp;(MAX((1=Z$12:Z1309)*ROW(Z$12:Z1309),ROW($T$12))&amp;":T"&amp;(ROW()-1)))),Первоначальный[[#This Row],[Полученный платеж]]+Y1309),
S1309&gt;0,MIN(LOOKUP(,-1/($Z$12:Z1310=1),$C$12:C1310)+LOOKUP(,-1/($Z$12:Z1310=1),$H$12:H1310)-IF(Z1309=1,0,SUM(INDIRECT("T"&amp;(MAX((1=Z$12:Z1309)*ROW(Z$12:Z1309)+1,ROW($T$12))&amp;":T"&amp;(ROW()-1))))),Первоначальный[[#This Row],[Полученный платеж]]+Y1309)
)
)
)</f>
        <v>0</v>
      </c>
      <c r="U131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платеж]]+Y1309-Первоначальный[[#This Row],[Полученный платёж по процентам]])</f>
        <v>0</v>
      </c>
      <c r="V1310" s="55">
        <f t="shared" ca="1" si="243"/>
        <v>0</v>
      </c>
      <c r="W1310" s="55" cm="1">
        <f t="array" aca="1" ref="W1310" ca="1">IF(Первоначальный[[#This Row],[Итого остаток на начало периода]]&lt;1,0,
_xlfn.IFS(
AND(TYPE(VLOOKUP(1,$Z$12:Z1310,1,0))=16,Первоначальный[[#This Row],[Досрочное погашение (да/"")]]=""),0,
AND(S1309=0,Первоначальный[[#This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платеж]]+Y1309-SUM(Первоначальный[[#This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комиссиям]]),VLOOKUP(LOOKUP(,-1/($Z$12:Z1310=1),$A$12:A1310),График[[Срок конец]:[Возврат основной суммы долга]],3,0)),
AND(S1309=0,Первоначальный[[#This Row],[Дата платежа из графика]]="",Первоначальный[[#This Row],[Досрочное погашение (да/"")]]&lt;&gt;"Да"),0,
AND(S1309=0,Первоначальный[[#This Row],[Досрочное погашение (да/"")]]=""),MIN(Первоначальный[[#This Row],[Полученный платеж]]+Y1309-SUM(Первоначальный[[#This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комиссиям]]),VLOOKUP(LOOKUP(,-1/($Z$12:Z1310=1),$A$12:A1310),График[[Срок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платеж]]+Y1309-SUM(Первоначальный[[#This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S1309&gt;0,MIN(Первоначальный[[#This Row],[Полученный платеж]]+Y1309-SUM(Первоначальный[[#This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комиссиям]]),SUM(INDIRECT("M"&amp;(MAX((1=S$12:S1309)*ROW(S$12:S1309),ROW($W$12))&amp;":M"&amp;(ROW()))))-SUM(INDIRECT("W"&amp;(MAX((1=S$12:S1309)*ROW(S$12:S1309),ROW($W$12))&amp;":W"&amp;(ROW()-1)))))
)
)</f>
        <v>0</v>
      </c>
      <c r="X1310" s="55">
        <f t="shared" ca="1" si="244"/>
        <v>0</v>
      </c>
      <c r="Y1310" s="101">
        <f t="shared" ca="1" si="251"/>
        <v>0</v>
      </c>
      <c r="Z1310" s="133" t="str">
        <f>IF(TYPE((VLOOKUP(Первоначальный[[#This Row],[Дата платежа]],График[Срок конец],1,0)))=16,"",1)</f>
        <v/>
      </c>
      <c r="AA1310" s="57"/>
      <c r="AB1310" s="134"/>
      <c r="AC131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1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93781.420000000347</v>
      </c>
      <c r="AE131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7005.6399999999976</v>
      </c>
      <c r="AF131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1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355541.03995409765</v>
      </c>
      <c r="AH1310" s="55"/>
      <c r="AI1310" s="55"/>
      <c r="AJ1310" s="55"/>
      <c r="AK1310" s="101">
        <f t="shared" ca="1" si="252"/>
        <v>605961.43995409796</v>
      </c>
      <c r="AL1310" s="129">
        <f t="array" ref="AL1310">MAX((УслРестрактов[Характеристика]="Дата реструктуризации")*(УслРестрактов[Значение]=Первоначальный!$A1310),0)</f>
        <v>0</v>
      </c>
    </row>
    <row r="1311" spans="1:38" x14ac:dyDescent="0.25">
      <c r="A1311" s="97">
        <f t="shared" si="245"/>
        <v>45442</v>
      </c>
      <c r="B1311" s="100">
        <f t="shared" ca="1" si="246"/>
        <v>149633.34</v>
      </c>
      <c r="C1311" s="55">
        <f t="shared" ca="1" si="242"/>
        <v>93781.420000000347</v>
      </c>
      <c r="D1311" s="55">
        <f t="shared" ca="1" si="242"/>
        <v>7005.6399999999976</v>
      </c>
      <c r="E1311" s="55">
        <f t="shared" ca="1" si="247"/>
        <v>0</v>
      </c>
      <c r="F1311" s="55">
        <f t="shared" ca="1" si="248"/>
        <v>355541.03995409765</v>
      </c>
      <c r="G1311" s="101">
        <f t="shared" ca="1" si="249"/>
        <v>605961.43995409796</v>
      </c>
      <c r="H1311" s="100">
        <f ca="1">ROUND($B1311*VLOOKUP($A1311,$A$1:$B$10,2,1)/(365+IF(MOD(YEAR($A1311),4),0,1)*($A1311-$A1310)),2)-Первоначальный[[#This Row],[Проценты на просроченный платеж по ОД за период]]</f>
        <v>68.599999999999994</v>
      </c>
      <c r="I1311" s="55">
        <f t="shared" ca="1" si="250"/>
        <v>12.76</v>
      </c>
      <c r="J1311" s="55">
        <v>0</v>
      </c>
      <c r="K1311" s="55">
        <f t="shared" ca="1" si="253"/>
        <v>579.33350327868845</v>
      </c>
      <c r="L1311" s="55">
        <v>0</v>
      </c>
      <c r="M1311" s="113">
        <f>SUMIFS(График[Возврат основной суммы долга],График[Дата с учетом нерабочих дней],$A1311)</f>
        <v>0</v>
      </c>
      <c r="N1311" s="56">
        <f>SUMIFS(График[Возврат начисленных %],График[Дата с учетом нерабочих дней],$A1311)</f>
        <v>0</v>
      </c>
      <c r="O1311" s="101">
        <v>0</v>
      </c>
      <c r="P1311" s="100" cm="1">
        <f t="array" aca="1" ref="P1311" ca="1">MAX(IF(AA1310="Да",0,SUM(INDIRECT("M"&amp;(MAX(("Да"=AA$12:AA1310)*ROW(AA$12:AA1310)+1,ROW($P$12))&amp;":M"&amp;(ROW()))))-SUM(INDIRECT("W"&amp;(MAX(("Да"=AA$12:AA1310)*ROW(AA$12:AA1310)+1,ROW($P$12))&amp;":W"&amp;(ROW()))))),0)</f>
        <v>23462.519999999997</v>
      </c>
      <c r="Q1311" s="99">
        <f ca="1">MAX(SUM($N$13:N1311)-SUM($T$13:T1311),0)</f>
        <v>92404.180655737684</v>
      </c>
      <c r="R1311" s="99">
        <f ca="1">Первоначальный[[#This Row],[Просроченный платеж по ОД]]+Первоначальный[[#This Row],[Просроченный платеж по процентам]]</f>
        <v>115866.70065573769</v>
      </c>
      <c r="S1311" s="120">
        <f ca="1">IF(Первоначальный[[#This Row],[Просроченный платеж]]&lt;1,0,S1310+1)</f>
        <v>1207</v>
      </c>
      <c r="T1311" s="100" cm="1">
        <f t="array" aca="1" ref="T1311" ca="1">IF(Первоначальный[[#This Row],[Итого остаток на начало периода]]&lt;1,0,
IF(
AND(TYPE(VLOOKUP(1,$Z$12:Z1311,1,0))=16,Первоначальный[[#This Row],[Досрочное погашение (да/"")]]=""),0,
_xlfn.IFS(AND(S1310=0,Первоначальный[[#This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платеж]]&lt;&gt;0),MIN(LOOKUP(,-1/($Z$12:Z1311=1),$C$12:C1311)+LOOKUP(,-1/($Z$12:Z1311=1),$H$12:H1311),Первоначальный[[#This Row],[Полученный платеж]]+Y1310),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платеж]]+Y1310,SUM(Первоначальный[[#This Row],[Остаток процентов на начало периода]],Первоначальный[[#This Row],[Проценты за период]])),
AND(S1310=0,Первоначальный[[#This Row],[Дата платежа из графика]]=""),0,
AND(S1310=0,Первоначальный[[#This Row],[Дата платежа из графика]]=1,MAX((0&lt;&gt;S$12:S1310)*ROW(S$12:S1310),ROW($S$12))&gt;=MAX((1=Z$12:Z1310)*ROW(Z$12:Z1310),ROW($T$12)),TYPE(VLOOKUP("Да",(INDIRECT("AA"&amp;(MAX((1=Z$12:Z1310)*ROW(Z$12:Z1310),ROW($T$12))&amp;":AA"&amp;(ROW()-1)))),1,0))=16),MIN(LOOKUP(,-1/($Z$12:Z1311=1),$C$12:C1311)+LOOKUP(,-1/($Z$12:Z1311=1),$H$12:H1311),Первоначальный[[#This Row],[Полученный платеж]]+Y1310),
AND(S1310=0,TYPE(VLOOKUP("Да",(INDIRECT("AA"&amp;(MAX((1=Z$12:Z1310)*ROW(Z$12:Z1310),ROW($T$12))&amp;":AA"&amp;(ROW()-1)))),1,0))&lt;&gt;16),MIN(LOOKUP(,-1/($Z$12:Z1311=1),$C$12:C1311)+LOOKUP(,-1/($Z$12:Z1311=1),$H$12:H1311)-IF(AA1310="Да",0,SUM(INDIRECT("T"&amp;(MAX(("Да"=AA$12:AA1310)*ROW(AA$12:AA1310)+1,ROW($T$12))&amp;":T"&amp;(ROW()-1))))),Первоначальный[[#This Row],[Полученный платеж]]+Y1310),
AND(S1310=0,MAX((0&lt;&gt;N$12:N1310)*ROW(N$12:N1310),ROW($S$12))&gt;=MAX((1=Z$12:Z1310)*ROW(Z$12:Z1310),ROW($T$12))),MIN(LOOKUP(,-1/($Z$12:Z1311=1),$C$12:C1311)+LOOKUP(,-1/($Z$12:Z1311=1),$H$12:H1311)-IF(N1310&lt;&gt;0,0,SUM(INDIRECT("T"&amp;(MAX((0&lt;&gt;N$12:N1310)*ROW(N$12:N1310)+1,ROW($T$12))&amp;":T"&amp;(ROW()-1))))),Первоначальный[[#This Row],[Полученный платеж]]+Y1310),
AND(S1310=0,Первоначальный[[#This Row],[Дата платежа из графика]]=1),MIN(LOOKUP(,-1/($Z$12:Z1311=1),$C$12:C1311)+LOOKUP(,-1/($Z$12:Z1311=1),$H$12:H1311)-IF(Z1310=1,0,SUM(INDIRECT("T"&amp;(MAX((1=Z$12:Z1310)*ROW(Z$12:Z1310)+1,ROW($T$12))&amp;":T"&amp;(ROW()-1))))),Первоначальный[[#This Row],[Полученный платеж]]+Y1310),
AND(Z1310&gt;0,Первоначальный[[#This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платеж]]+Y1310),
AND(S1310&gt;0,MAX((0&lt;&gt;S$12:S1310)*ROW(S$12:S1310),ROW($S$12))&gt;=MAX((1=Z$12:Z1310)*ROW(Z$12:Z1310),ROW($T$12)),TYPE(VLOOKUP("Да",(INDIRECT("AA"&amp;(MAX((1=Z$12:Z1310)*ROW(Z$12:Z1310),ROW($T$12))&amp;":AA"&amp;(ROW()-1)))),1,0))=16),MIN(LOOKUP(,-1/($Z$12:Z1311=1),$C$12:C1311)+LOOKUP(,-1/($Z$12:Z1311=1),$H$12:H1311)-SUM(INDIRECT("T"&amp;(MAX((1=Z$12:Z1310)*ROW(Z$12:Z1310),ROW($T$12))&amp;":T"&amp;(ROW()-1)))),Первоначальный[[#This Row],[Полученный платеж]]+Y1310),
S1310&gt;0,MIN(LOOKUP(,-1/($Z$12:Z1311=1),$C$12:C1311)+LOOKUP(,-1/($Z$12:Z1311=1),$H$12:H1311)-IF(Z1310=1,0,SUM(INDIRECT("T"&amp;(MAX((1=Z$12:Z1310)*ROW(Z$12:Z1310)+1,ROW($T$12))&amp;":T"&amp;(ROW()-1))))),Первоначальный[[#This Row],[Полученный платеж]]+Y1310)
)
)
)</f>
        <v>0</v>
      </c>
      <c r="U131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платеж]]+Y1310-Первоначальный[[#This Row],[Полученный платёж по процентам]])</f>
        <v>0</v>
      </c>
      <c r="V1311" s="55">
        <f t="shared" ca="1" si="243"/>
        <v>0</v>
      </c>
      <c r="W1311" s="55" cm="1">
        <f t="array" aca="1" ref="W1311" ca="1">IF(Первоначальный[[#This Row],[Итого остаток на начало периода]]&lt;1,0,
_xlfn.IFS(
AND(TYPE(VLOOKUP(1,$Z$12:Z1311,1,0))=16,Первоначальный[[#This Row],[Досрочное погашение (да/"")]]=""),0,
AND(S1310=0,Первоначальный[[#This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платеж]]+Y1310-SUM(Первоначальный[[#This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комиссиям]]),VLOOKUP(LOOKUP(,-1/($Z$12:Z1311=1),$A$12:A1311),График[[Срок конец]:[Возврат основной суммы долга]],3,0)),
AND(S1310=0,Первоначальный[[#This Row],[Дата платежа из графика]]="",Первоначальный[[#This Row],[Досрочное погашение (да/"")]]&lt;&gt;"Да"),0,
AND(S1310=0,Первоначальный[[#This Row],[Досрочное погашение (да/"")]]=""),MIN(Первоначальный[[#This Row],[Полученный платеж]]+Y1310-SUM(Первоначальный[[#This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комиссиям]]),VLOOKUP(LOOKUP(,-1/($Z$12:Z1311=1),$A$12:A1311),График[[Срок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платеж]]+Y1310-SUM(Первоначальный[[#This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S1310&gt;0,MIN(Первоначальный[[#This Row],[Полученный платеж]]+Y1310-SUM(Первоначальный[[#This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комиссиям]]),SUM(INDIRECT("M"&amp;(MAX((1=S$12:S1310)*ROW(S$12:S1310),ROW($W$12))&amp;":M"&amp;(ROW()))))-SUM(INDIRECT("W"&amp;(MAX((1=S$12:S1310)*ROW(S$12:S1310),ROW($W$12))&amp;":W"&amp;(ROW()-1)))))
)
)</f>
        <v>0</v>
      </c>
      <c r="X1311" s="55">
        <f t="shared" ca="1" si="244"/>
        <v>0</v>
      </c>
      <c r="Y1311" s="101">
        <f t="shared" ca="1" si="251"/>
        <v>0</v>
      </c>
      <c r="Z1311" s="133" t="str">
        <f>IF(TYPE((VLOOKUP(Первоначальный[[#This Row],[Дата платежа]],График[Срок конец],1,0)))=16,"",1)</f>
        <v/>
      </c>
      <c r="AA1311" s="57"/>
      <c r="AB1311" s="134"/>
      <c r="AC131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1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93850.020000000353</v>
      </c>
      <c r="AE131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7018.3999999999978</v>
      </c>
      <c r="AF131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1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356120.37345737632</v>
      </c>
      <c r="AH1311" s="55"/>
      <c r="AI1311" s="55"/>
      <c r="AJ1311" s="55"/>
      <c r="AK1311" s="101">
        <f t="shared" ca="1" si="252"/>
        <v>606622.13345737662</v>
      </c>
      <c r="AL1311" s="129">
        <f t="array" ref="AL1311">MAX((УслРестрактов[Характеристика]="Дата реструктуризации")*(УслРестрактов[Значение]=Первоначальный!$A1311),0)</f>
        <v>0</v>
      </c>
    </row>
    <row r="1312" spans="1:38" x14ac:dyDescent="0.25">
      <c r="A1312" s="97">
        <f t="shared" si="245"/>
        <v>45443</v>
      </c>
      <c r="B1312" s="100">
        <f t="shared" ca="1" si="246"/>
        <v>149633.34</v>
      </c>
      <c r="C1312" s="55">
        <f t="shared" ca="1" si="242"/>
        <v>93850.020000000353</v>
      </c>
      <c r="D1312" s="55">
        <f t="shared" ca="1" si="242"/>
        <v>7018.3999999999978</v>
      </c>
      <c r="E1312" s="55">
        <f t="shared" ca="1" si="247"/>
        <v>0</v>
      </c>
      <c r="F1312" s="55">
        <f t="shared" ca="1" si="248"/>
        <v>356120.37345737632</v>
      </c>
      <c r="G1312" s="101">
        <f t="shared" ca="1" si="249"/>
        <v>606622.13345737662</v>
      </c>
      <c r="H1312" s="100">
        <f ca="1">ROUND($B1312*VLOOKUP($A1312,$A$1:$B$10,2,1)/(365+IF(MOD(YEAR($A1312),4),0,1)*($A1312-$A1311)),2)-Первоначальный[[#This Row],[Проценты на просроченный платеж по ОД за период]]</f>
        <v>68.599999999999994</v>
      </c>
      <c r="I1312" s="55">
        <f t="shared" ca="1" si="250"/>
        <v>12.76</v>
      </c>
      <c r="J1312" s="55">
        <v>0</v>
      </c>
      <c r="K1312" s="55">
        <f t="shared" ca="1" si="253"/>
        <v>579.33350327868845</v>
      </c>
      <c r="L1312" s="55">
        <v>0</v>
      </c>
      <c r="M1312" s="113">
        <f>SUMIFS(График[Возврат основной суммы долга],График[Дата с учетом нерабочих дней],$A1312)</f>
        <v>0</v>
      </c>
      <c r="N1312" s="56">
        <f>SUMIFS(График[Возврат начисленных %],График[Дата с учетом нерабочих дней],$A1312)</f>
        <v>0</v>
      </c>
      <c r="O1312" s="101">
        <v>0</v>
      </c>
      <c r="P1312" s="100" cm="1">
        <f t="array" aca="1" ref="P1312" ca="1">MAX(IF(AA1311="Да",0,SUM(INDIRECT("M"&amp;(MAX(("Да"=AA$12:AA1311)*ROW(AA$12:AA1311)+1,ROW($P$12))&amp;":M"&amp;(ROW()))))-SUM(INDIRECT("W"&amp;(MAX(("Да"=AA$12:AA1311)*ROW(AA$12:AA1311)+1,ROW($P$12))&amp;":W"&amp;(ROW()))))),0)</f>
        <v>23462.519999999997</v>
      </c>
      <c r="Q1312" s="99">
        <f ca="1">MAX(SUM($N$13:N1312)-SUM($T$13:T1312),0)</f>
        <v>92404.180655737684</v>
      </c>
      <c r="R1312" s="99">
        <f ca="1">Первоначальный[[#This Row],[Просроченный платеж по ОД]]+Первоначальный[[#This Row],[Просроченный платеж по процентам]]</f>
        <v>115866.70065573769</v>
      </c>
      <c r="S1312" s="120">
        <f ca="1">IF(Первоначальный[[#This Row],[Просроченный платеж]]&lt;1,0,S1311+1)</f>
        <v>1208</v>
      </c>
      <c r="T1312" s="100" cm="1">
        <f t="array" aca="1" ref="T1312" ca="1">IF(Первоначальный[[#This Row],[Итого остаток на начало периода]]&lt;1,0,
IF(
AND(TYPE(VLOOKUP(1,$Z$12:Z1312,1,0))=16,Первоначальный[[#This Row],[Досрочное погашение (да/"")]]=""),0,
_xlfn.IFS(AND(S1311=0,Первоначальный[[#This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платеж]]&lt;&gt;0),MIN(LOOKUP(,-1/($Z$12:Z1312=1),$C$12:C1312)+LOOKUP(,-1/($Z$12:Z1312=1),$H$12:H1312),Первоначальный[[#This Row],[Полученный платеж]]+Y1311),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платеж]]+Y1311,SUM(Первоначальный[[#This Row],[Остаток процентов на начало периода]],Первоначальный[[#This Row],[Проценты за период]])),
AND(S1311=0,Первоначальный[[#This Row],[Дата платежа из графика]]=""),0,
AND(S1311=0,Первоначальный[[#This Row],[Дата платежа из графика]]=1,MAX((0&lt;&gt;S$12:S1311)*ROW(S$12:S1311),ROW($S$12))&gt;=MAX((1=Z$12:Z1311)*ROW(Z$12:Z1311),ROW($T$12)),TYPE(VLOOKUP("Да",(INDIRECT("AA"&amp;(MAX((1=Z$12:Z1311)*ROW(Z$12:Z1311),ROW($T$12))&amp;":AA"&amp;(ROW()-1)))),1,0))=16),MIN(LOOKUP(,-1/($Z$12:Z1312=1),$C$12:C1312)+LOOKUP(,-1/($Z$12:Z1312=1),$H$12:H1312),Первоначальный[[#This Row],[Полученный платеж]]+Y1311),
AND(S1311=0,TYPE(VLOOKUP("Да",(INDIRECT("AA"&amp;(MAX((1=Z$12:Z1311)*ROW(Z$12:Z1311),ROW($T$12))&amp;":AA"&amp;(ROW()-1)))),1,0))&lt;&gt;16),MIN(LOOKUP(,-1/($Z$12:Z1312=1),$C$12:C1312)+LOOKUP(,-1/($Z$12:Z1312=1),$H$12:H1312)-IF(AA1311="Да",0,SUM(INDIRECT("T"&amp;(MAX(("Да"=AA$12:AA1311)*ROW(AA$12:AA1311)+1,ROW($T$12))&amp;":T"&amp;(ROW()-1))))),Первоначальный[[#This Row],[Полученный платеж]]+Y1311),
AND(S1311=0,MAX((0&lt;&gt;N$12:N1311)*ROW(N$12:N1311),ROW($S$12))&gt;=MAX((1=Z$12:Z1311)*ROW(Z$12:Z1311),ROW($T$12))),MIN(LOOKUP(,-1/($Z$12:Z1312=1),$C$12:C1312)+LOOKUP(,-1/($Z$12:Z1312=1),$H$12:H1312)-IF(N1311&lt;&gt;0,0,SUM(INDIRECT("T"&amp;(MAX((0&lt;&gt;N$12:N1311)*ROW(N$12:N1311)+1,ROW($T$12))&amp;":T"&amp;(ROW()-1))))),Первоначальный[[#This Row],[Полученный платеж]]+Y1311),
AND(S1311=0,Первоначальный[[#This Row],[Дата платежа из графика]]=1),MIN(LOOKUP(,-1/($Z$12:Z1312=1),$C$12:C1312)+LOOKUP(,-1/($Z$12:Z1312=1),$H$12:H1312)-IF(Z1311=1,0,SUM(INDIRECT("T"&amp;(MAX((1=Z$12:Z1311)*ROW(Z$12:Z1311)+1,ROW($T$12))&amp;":T"&amp;(ROW()-1))))),Первоначальный[[#This Row],[Полученный платеж]]+Y1311),
AND(Z1311&gt;0,Первоначальный[[#This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платеж]]+Y1311),
AND(S1311&gt;0,MAX((0&lt;&gt;S$12:S1311)*ROW(S$12:S1311),ROW($S$12))&gt;=MAX((1=Z$12:Z1311)*ROW(Z$12:Z1311),ROW($T$12)),TYPE(VLOOKUP("Да",(INDIRECT("AA"&amp;(MAX((1=Z$12:Z1311)*ROW(Z$12:Z1311),ROW($T$12))&amp;":AA"&amp;(ROW()-1)))),1,0))=16),MIN(LOOKUP(,-1/($Z$12:Z1312=1),$C$12:C1312)+LOOKUP(,-1/($Z$12:Z1312=1),$H$12:H1312)-SUM(INDIRECT("T"&amp;(MAX((1=Z$12:Z1311)*ROW(Z$12:Z1311),ROW($T$12))&amp;":T"&amp;(ROW()-1)))),Первоначальный[[#This Row],[Полученный платеж]]+Y1311),
S1311&gt;0,MIN(LOOKUP(,-1/($Z$12:Z1312=1),$C$12:C1312)+LOOKUP(,-1/($Z$12:Z1312=1),$H$12:H1312)-IF(Z1311=1,0,SUM(INDIRECT("T"&amp;(MAX((1=Z$12:Z1311)*ROW(Z$12:Z1311)+1,ROW($T$12))&amp;":T"&amp;(ROW()-1))))),Первоначальный[[#This Row],[Полученный платеж]]+Y1311)
)
)
)</f>
        <v>0</v>
      </c>
      <c r="U131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платеж]]+Y1311-Первоначальный[[#This Row],[Полученный платёж по процентам]])</f>
        <v>0</v>
      </c>
      <c r="V1312" s="55">
        <f t="shared" ca="1" si="243"/>
        <v>0</v>
      </c>
      <c r="W1312" s="55" cm="1">
        <f t="array" aca="1" ref="W1312" ca="1">IF(Первоначальный[[#This Row],[Итого остаток на начало периода]]&lt;1,0,
_xlfn.IFS(
AND(TYPE(VLOOKUP(1,$Z$12:Z1312,1,0))=16,Первоначальный[[#This Row],[Досрочное погашение (да/"")]]=""),0,
AND(S1311=0,Первоначальный[[#This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платеж]]+Y1311-SUM(Первоначальный[[#This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комиссиям]]),VLOOKUP(LOOKUP(,-1/($Z$12:Z1312=1),$A$12:A1312),График[[Срок конец]:[Возврат основной суммы долга]],3,0)),
AND(S1311=0,Первоначальный[[#This Row],[Дата платежа из графика]]="",Первоначальный[[#This Row],[Досрочное погашение (да/"")]]&lt;&gt;"Да"),0,
AND(S1311=0,Первоначальный[[#This Row],[Досрочное погашение (да/"")]]=""),MIN(Первоначальный[[#This Row],[Полученный платеж]]+Y1311-SUM(Первоначальный[[#This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комиссиям]]),VLOOKUP(LOOKUP(,-1/($Z$12:Z1312=1),$A$12:A1312),График[[Срок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платеж]]+Y1311-SUM(Первоначальный[[#This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S1311&gt;0,MIN(Первоначальный[[#This Row],[Полученный платеж]]+Y1311-SUM(Первоначальный[[#This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комиссиям]]),SUM(INDIRECT("M"&amp;(MAX((1=S$12:S1311)*ROW(S$12:S1311),ROW($W$12))&amp;":M"&amp;(ROW()))))-SUM(INDIRECT("W"&amp;(MAX((1=S$12:S1311)*ROW(S$12:S1311),ROW($W$12))&amp;":W"&amp;(ROW()-1)))))
)
)</f>
        <v>0</v>
      </c>
      <c r="X1312" s="55">
        <f t="shared" ca="1" si="244"/>
        <v>0</v>
      </c>
      <c r="Y1312" s="101">
        <f t="shared" ca="1" si="251"/>
        <v>0</v>
      </c>
      <c r="Z1312" s="133" t="str">
        <f>IF(TYPE((VLOOKUP(Первоначальный[[#This Row],[Дата платежа]],График[Срок конец],1,0)))=16,"",1)</f>
        <v/>
      </c>
      <c r="AA1312" s="57"/>
      <c r="AB1312" s="134"/>
      <c r="AC131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1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93918.620000000359</v>
      </c>
      <c r="AE131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7031.159999999998</v>
      </c>
      <c r="AF131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1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356699.70696065499</v>
      </c>
      <c r="AH1312" s="55"/>
      <c r="AI1312" s="55"/>
      <c r="AJ1312" s="55"/>
      <c r="AK1312" s="101">
        <f t="shared" ca="1" si="252"/>
        <v>607282.82696065539</v>
      </c>
      <c r="AL1312" s="129">
        <f t="array" ref="AL1312">MAX((УслРестрактов[Характеристика]="Дата реструктуризации")*(УслРестрактов[Значение]=Первоначальный!$A1312),0)</f>
        <v>0</v>
      </c>
    </row>
    <row r="1313" spans="1:38" x14ac:dyDescent="0.25">
      <c r="A1313" s="97">
        <f t="shared" si="245"/>
        <v>45444</v>
      </c>
      <c r="B1313" s="100">
        <f t="shared" ca="1" si="246"/>
        <v>149633.34</v>
      </c>
      <c r="C1313" s="55">
        <f t="shared" ca="1" si="242"/>
        <v>93918.620000000359</v>
      </c>
      <c r="D1313" s="55">
        <f t="shared" ca="1" si="242"/>
        <v>7031.159999999998</v>
      </c>
      <c r="E1313" s="55">
        <f t="shared" ca="1" si="247"/>
        <v>0</v>
      </c>
      <c r="F1313" s="55">
        <f t="shared" ca="1" si="248"/>
        <v>356699.70696065499</v>
      </c>
      <c r="G1313" s="101">
        <f t="shared" ca="1" si="249"/>
        <v>607282.82696065539</v>
      </c>
      <c r="H1313" s="100">
        <f ca="1">ROUND($B1313*VLOOKUP($A1313,$A$1:$B$10,2,1)/(365+IF(MOD(YEAR($A1313),4),0,1)*($A1313-$A1312)),2)-Первоначальный[[#This Row],[Проценты на просроченный платеж по ОД за период]]</f>
        <v>68.599999999999994</v>
      </c>
      <c r="I1313" s="55">
        <f t="shared" ca="1" si="250"/>
        <v>12.76</v>
      </c>
      <c r="J1313" s="55">
        <v>0</v>
      </c>
      <c r="K1313" s="55">
        <f t="shared" ca="1" si="253"/>
        <v>579.33350327868845</v>
      </c>
      <c r="L1313" s="55">
        <v>0</v>
      </c>
      <c r="M1313" s="113">
        <f>SUMIFS(График[Возврат основной суммы долга],График[Дата с учетом нерабочих дней],$A1313)</f>
        <v>0</v>
      </c>
      <c r="N1313" s="56">
        <f>SUMIFS(График[Возврат начисленных %],График[Дата с учетом нерабочих дней],$A1313)</f>
        <v>0</v>
      </c>
      <c r="O1313" s="101">
        <v>0</v>
      </c>
      <c r="P1313" s="100" cm="1">
        <f t="array" aca="1" ref="P1313" ca="1">MAX(IF(AA1312="Да",0,SUM(INDIRECT("M"&amp;(MAX(("Да"=AA$12:AA1312)*ROW(AA$12:AA1312)+1,ROW($P$12))&amp;":M"&amp;(ROW()))))-SUM(INDIRECT("W"&amp;(MAX(("Да"=AA$12:AA1312)*ROW(AA$12:AA1312)+1,ROW($P$12))&amp;":W"&amp;(ROW()))))),0)</f>
        <v>23462.519999999997</v>
      </c>
      <c r="Q1313" s="99">
        <f ca="1">MAX(SUM($N$13:N1313)-SUM($T$13:T1313),0)</f>
        <v>92404.180655737684</v>
      </c>
      <c r="R1313" s="99">
        <f ca="1">Первоначальный[[#This Row],[Просроченный платеж по ОД]]+Первоначальный[[#This Row],[Просроченный платеж по процентам]]</f>
        <v>115866.70065573769</v>
      </c>
      <c r="S1313" s="120">
        <f ca="1">IF(Первоначальный[[#This Row],[Просроченный платеж]]&lt;1,0,S1312+1)</f>
        <v>1209</v>
      </c>
      <c r="T1313" s="100" cm="1">
        <f t="array" aca="1" ref="T1313" ca="1">IF(Первоначальный[[#This Row],[Итого остаток на начало периода]]&lt;1,0,
IF(
AND(TYPE(VLOOKUP(1,$Z$12:Z1313,1,0))=16,Первоначальный[[#This Row],[Досрочное погашение (да/"")]]=""),0,
_xlfn.IFS(AND(S1312=0,Первоначальный[[#This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платеж]]&lt;&gt;0),MIN(LOOKUP(,-1/($Z$12:Z1313=1),$C$12:C1313)+LOOKUP(,-1/($Z$12:Z1313=1),$H$12:H1313),Первоначальный[[#This Row],[Полученный платеж]]+Y1312),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платеж]]+Y1312,SUM(Первоначальный[[#This Row],[Остаток процентов на начало периода]],Первоначальный[[#This Row],[Проценты за период]])),
AND(S1312=0,Первоначальный[[#This Row],[Дата платежа из графика]]=""),0,
AND(S1312=0,Первоначальный[[#This Row],[Дата платежа из графика]]=1,MAX((0&lt;&gt;S$12:S1312)*ROW(S$12:S1312),ROW($S$12))&gt;=MAX((1=Z$12:Z1312)*ROW(Z$12:Z1312),ROW($T$12)),TYPE(VLOOKUP("Да",(INDIRECT("AA"&amp;(MAX((1=Z$12:Z1312)*ROW(Z$12:Z1312),ROW($T$12))&amp;":AA"&amp;(ROW()-1)))),1,0))=16),MIN(LOOKUP(,-1/($Z$12:Z1313=1),$C$12:C1313)+LOOKUP(,-1/($Z$12:Z1313=1),$H$12:H1313),Первоначальный[[#This Row],[Полученный платеж]]+Y1312),
AND(S1312=0,TYPE(VLOOKUP("Да",(INDIRECT("AA"&amp;(MAX((1=Z$12:Z1312)*ROW(Z$12:Z1312),ROW($T$12))&amp;":AA"&amp;(ROW()-1)))),1,0))&lt;&gt;16),MIN(LOOKUP(,-1/($Z$12:Z1313=1),$C$12:C1313)+LOOKUP(,-1/($Z$12:Z1313=1),$H$12:H1313)-IF(AA1312="Да",0,SUM(INDIRECT("T"&amp;(MAX(("Да"=AA$12:AA1312)*ROW(AA$12:AA1312)+1,ROW($T$12))&amp;":T"&amp;(ROW()-1))))),Первоначальный[[#This Row],[Полученный платеж]]+Y1312),
AND(S1312=0,MAX((0&lt;&gt;N$12:N1312)*ROW(N$12:N1312),ROW($S$12))&gt;=MAX((1=Z$12:Z1312)*ROW(Z$12:Z1312),ROW($T$12))),MIN(LOOKUP(,-1/($Z$12:Z1313=1),$C$12:C1313)+LOOKUP(,-1/($Z$12:Z1313=1),$H$12:H1313)-IF(N1312&lt;&gt;0,0,SUM(INDIRECT("T"&amp;(MAX((0&lt;&gt;N$12:N1312)*ROW(N$12:N1312)+1,ROW($T$12))&amp;":T"&amp;(ROW()-1))))),Первоначальный[[#This Row],[Полученный платеж]]+Y1312),
AND(S1312=0,Первоначальный[[#This Row],[Дата платежа из графика]]=1),MIN(LOOKUP(,-1/($Z$12:Z1313=1),$C$12:C1313)+LOOKUP(,-1/($Z$12:Z1313=1),$H$12:H1313)-IF(Z1312=1,0,SUM(INDIRECT("T"&amp;(MAX((1=Z$12:Z1312)*ROW(Z$12:Z1312)+1,ROW($T$12))&amp;":T"&amp;(ROW()-1))))),Первоначальный[[#This Row],[Полученный платеж]]+Y1312),
AND(Z1312&gt;0,Первоначальный[[#This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платеж]]+Y1312),
AND(S1312&gt;0,MAX((0&lt;&gt;S$12:S1312)*ROW(S$12:S1312),ROW($S$12))&gt;=MAX((1=Z$12:Z1312)*ROW(Z$12:Z1312),ROW($T$12)),TYPE(VLOOKUP("Да",(INDIRECT("AA"&amp;(MAX((1=Z$12:Z1312)*ROW(Z$12:Z1312),ROW($T$12))&amp;":AA"&amp;(ROW()-1)))),1,0))=16),MIN(LOOKUP(,-1/($Z$12:Z1313=1),$C$12:C1313)+LOOKUP(,-1/($Z$12:Z1313=1),$H$12:H1313)-SUM(INDIRECT("T"&amp;(MAX((1=Z$12:Z1312)*ROW(Z$12:Z1312),ROW($T$12))&amp;":T"&amp;(ROW()-1)))),Первоначальный[[#This Row],[Полученный платеж]]+Y1312),
S1312&gt;0,MIN(LOOKUP(,-1/($Z$12:Z1313=1),$C$12:C1313)+LOOKUP(,-1/($Z$12:Z1313=1),$H$12:H1313)-IF(Z1312=1,0,SUM(INDIRECT("T"&amp;(MAX((1=Z$12:Z1312)*ROW(Z$12:Z1312)+1,ROW($T$12))&amp;":T"&amp;(ROW()-1))))),Первоначальный[[#This Row],[Полученный платеж]]+Y1312)
)
)
)</f>
        <v>0</v>
      </c>
      <c r="U131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платеж]]+Y1312-Первоначальный[[#This Row],[Полученный платёж по процентам]])</f>
        <v>0</v>
      </c>
      <c r="V1313" s="55">
        <f t="shared" ca="1" si="243"/>
        <v>0</v>
      </c>
      <c r="W1313" s="55" cm="1">
        <f t="array" aca="1" ref="W1313" ca="1">IF(Первоначальный[[#This Row],[Итого остаток на начало периода]]&lt;1,0,
_xlfn.IFS(
AND(TYPE(VLOOKUP(1,$Z$12:Z1313,1,0))=16,Первоначальный[[#This Row],[Досрочное погашение (да/"")]]=""),0,
AND(S1312=0,Первоначальный[[#This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платеж]]+Y1312-SUM(Первоначальный[[#This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комиссиям]]),VLOOKUP(LOOKUP(,-1/($Z$12:Z1313=1),$A$12:A1313),График[[Срок конец]:[Возврат основной суммы долга]],3,0)),
AND(S1312=0,Первоначальный[[#This Row],[Дата платежа из графика]]="",Первоначальный[[#This Row],[Досрочное погашение (да/"")]]&lt;&gt;"Да"),0,
AND(S1312=0,Первоначальный[[#This Row],[Досрочное погашение (да/"")]]=""),MIN(Первоначальный[[#This Row],[Полученный платеж]]+Y1312-SUM(Первоначальный[[#This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комиссиям]]),VLOOKUP(LOOKUP(,-1/($Z$12:Z1313=1),$A$12:A1313),График[[Срок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платеж]]+Y1312-SUM(Первоначальный[[#This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S1312&gt;0,MIN(Первоначальный[[#This Row],[Полученный платеж]]+Y1312-SUM(Первоначальный[[#This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комиссиям]]),SUM(INDIRECT("M"&amp;(MAX((1=S$12:S1312)*ROW(S$12:S1312),ROW($W$12))&amp;":M"&amp;(ROW()))))-SUM(INDIRECT("W"&amp;(MAX((1=S$12:S1312)*ROW(S$12:S1312),ROW($W$12))&amp;":W"&amp;(ROW()-1)))))
)
)</f>
        <v>0</v>
      </c>
      <c r="X1313" s="55">
        <f t="shared" ca="1" si="244"/>
        <v>0</v>
      </c>
      <c r="Y1313" s="101">
        <f t="shared" ca="1" si="251"/>
        <v>0</v>
      </c>
      <c r="Z1313" s="133" t="str">
        <f>IF(TYPE((VLOOKUP(Первоначальный[[#This Row],[Дата платежа]],График[Срок конец],1,0)))=16,"",1)</f>
        <v/>
      </c>
      <c r="AA1313" s="57"/>
      <c r="AB1313" s="134"/>
      <c r="AC131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1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93987.220000000365</v>
      </c>
      <c r="AE131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7043.9199999999983</v>
      </c>
      <c r="AF131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1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357279.04046393366</v>
      </c>
      <c r="AH1313" s="55"/>
      <c r="AI1313" s="55"/>
      <c r="AJ1313" s="55"/>
      <c r="AK1313" s="101">
        <f t="shared" ca="1" si="252"/>
        <v>607943.52046393394</v>
      </c>
      <c r="AL1313" s="129">
        <f t="array" ref="AL1313">MAX((УслРестрактов[Характеристика]="Дата реструктуризации")*(УслРестрактов[Значение]=Первоначальный!$A1313),0)</f>
        <v>0</v>
      </c>
    </row>
    <row r="1314" spans="1:38" x14ac:dyDescent="0.25">
      <c r="A1314" s="97">
        <f t="shared" si="245"/>
        <v>45445</v>
      </c>
      <c r="B1314" s="100">
        <f t="shared" ca="1" si="246"/>
        <v>149633.34</v>
      </c>
      <c r="C1314" s="55">
        <f t="shared" ca="1" si="242"/>
        <v>93987.220000000365</v>
      </c>
      <c r="D1314" s="55">
        <f t="shared" ca="1" si="242"/>
        <v>7043.9199999999983</v>
      </c>
      <c r="E1314" s="55">
        <f t="shared" ca="1" si="247"/>
        <v>0</v>
      </c>
      <c r="F1314" s="55">
        <f t="shared" ca="1" si="248"/>
        <v>357279.04046393366</v>
      </c>
      <c r="G1314" s="101">
        <f t="shared" ca="1" si="249"/>
        <v>607943.52046393394</v>
      </c>
      <c r="H1314" s="100">
        <f ca="1">ROUND($B1314*VLOOKUP($A1314,$A$1:$B$10,2,1)/(365+IF(MOD(YEAR($A1314),4),0,1)*($A1314-$A1313)),2)-Первоначальный[[#This Row],[Проценты на просроченный платеж по ОД за период]]</f>
        <v>68.599999999999994</v>
      </c>
      <c r="I1314" s="55">
        <f t="shared" ca="1" si="250"/>
        <v>12.76</v>
      </c>
      <c r="J1314" s="55">
        <v>0</v>
      </c>
      <c r="K1314" s="55">
        <f t="shared" ca="1" si="253"/>
        <v>579.33350327868845</v>
      </c>
      <c r="L1314" s="55">
        <v>0</v>
      </c>
      <c r="M1314" s="113">
        <f>SUMIFS(График[Возврат основной суммы долга],График[Дата с учетом нерабочих дней],$A1314)</f>
        <v>0</v>
      </c>
      <c r="N1314" s="56">
        <f>SUMIFS(График[Возврат начисленных %],График[Дата с учетом нерабочих дней],$A1314)</f>
        <v>0</v>
      </c>
      <c r="O1314" s="101">
        <v>0</v>
      </c>
      <c r="P1314" s="100" cm="1">
        <f t="array" aca="1" ref="P1314" ca="1">MAX(IF(AA1313="Да",0,SUM(INDIRECT("M"&amp;(MAX(("Да"=AA$12:AA1313)*ROW(AA$12:AA1313)+1,ROW($P$12))&amp;":M"&amp;(ROW()))))-SUM(INDIRECT("W"&amp;(MAX(("Да"=AA$12:AA1313)*ROW(AA$12:AA1313)+1,ROW($P$12))&amp;":W"&amp;(ROW()))))),0)</f>
        <v>23462.519999999997</v>
      </c>
      <c r="Q1314" s="99">
        <f ca="1">MAX(SUM($N$13:N1314)-SUM($T$13:T1314),0)</f>
        <v>92404.180655737684</v>
      </c>
      <c r="R1314" s="99">
        <f ca="1">Первоначальный[[#This Row],[Просроченный платеж по ОД]]+Первоначальный[[#This Row],[Просроченный платеж по процентам]]</f>
        <v>115866.70065573769</v>
      </c>
      <c r="S1314" s="120">
        <f ca="1">IF(Первоначальный[[#This Row],[Просроченный платеж]]&lt;1,0,S1313+1)</f>
        <v>1210</v>
      </c>
      <c r="T1314" s="100" cm="1">
        <f t="array" aca="1" ref="T1314" ca="1">IF(Первоначальный[[#This Row],[Итого остаток на начало периода]]&lt;1,0,
IF(
AND(TYPE(VLOOKUP(1,$Z$12:Z1314,1,0))=16,Первоначальный[[#This Row],[Досрочное погашение (да/"")]]=""),0,
_xlfn.IFS(AND(S1313=0,Первоначальный[[#This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платеж]]&lt;&gt;0),MIN(LOOKUP(,-1/($Z$12:Z1314=1),$C$12:C1314)+LOOKUP(,-1/($Z$12:Z1314=1),$H$12:H1314),Первоначальный[[#This Row],[Полученный платеж]]+Y1313),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платеж]]+Y1313,SUM(Первоначальный[[#This Row],[Остаток процентов на начало периода]],Первоначальный[[#This Row],[Проценты за период]])),
AND(S1313=0,Первоначальный[[#This Row],[Дата платежа из графика]]=""),0,
AND(S1313=0,Первоначальный[[#This Row],[Дата платежа из графика]]=1,MAX((0&lt;&gt;S$12:S1313)*ROW(S$12:S1313),ROW($S$12))&gt;=MAX((1=Z$12:Z1313)*ROW(Z$12:Z1313),ROW($T$12)),TYPE(VLOOKUP("Да",(INDIRECT("AA"&amp;(MAX((1=Z$12:Z1313)*ROW(Z$12:Z1313),ROW($T$12))&amp;":AA"&amp;(ROW()-1)))),1,0))=16),MIN(LOOKUP(,-1/($Z$12:Z1314=1),$C$12:C1314)+LOOKUP(,-1/($Z$12:Z1314=1),$H$12:H1314),Первоначальный[[#This Row],[Полученный платеж]]+Y1313),
AND(S1313=0,TYPE(VLOOKUP("Да",(INDIRECT("AA"&amp;(MAX((1=Z$12:Z1313)*ROW(Z$12:Z1313),ROW($T$12))&amp;":AA"&amp;(ROW()-1)))),1,0))&lt;&gt;16),MIN(LOOKUP(,-1/($Z$12:Z1314=1),$C$12:C1314)+LOOKUP(,-1/($Z$12:Z1314=1),$H$12:H1314)-IF(AA1313="Да",0,SUM(INDIRECT("T"&amp;(MAX(("Да"=AA$12:AA1313)*ROW(AA$12:AA1313)+1,ROW($T$12))&amp;":T"&amp;(ROW()-1))))),Первоначальный[[#This Row],[Полученный платеж]]+Y1313),
AND(S1313=0,MAX((0&lt;&gt;N$12:N1313)*ROW(N$12:N1313),ROW($S$12))&gt;=MAX((1=Z$12:Z1313)*ROW(Z$12:Z1313),ROW($T$12))),MIN(LOOKUP(,-1/($Z$12:Z1314=1),$C$12:C1314)+LOOKUP(,-1/($Z$12:Z1314=1),$H$12:H1314)-IF(N1313&lt;&gt;0,0,SUM(INDIRECT("T"&amp;(MAX((0&lt;&gt;N$12:N1313)*ROW(N$12:N1313)+1,ROW($T$12))&amp;":T"&amp;(ROW()-1))))),Первоначальный[[#This Row],[Полученный платеж]]+Y1313),
AND(S1313=0,Первоначальный[[#This Row],[Дата платежа из графика]]=1),MIN(LOOKUP(,-1/($Z$12:Z1314=1),$C$12:C1314)+LOOKUP(,-1/($Z$12:Z1314=1),$H$12:H1314)-IF(Z1313=1,0,SUM(INDIRECT("T"&amp;(MAX((1=Z$12:Z1313)*ROW(Z$12:Z1313)+1,ROW($T$12))&amp;":T"&amp;(ROW()-1))))),Первоначальный[[#This Row],[Полученный платеж]]+Y1313),
AND(Z1313&gt;0,Первоначальный[[#This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платеж]]+Y1313),
AND(S1313&gt;0,MAX((0&lt;&gt;S$12:S1313)*ROW(S$12:S1313),ROW($S$12))&gt;=MAX((1=Z$12:Z1313)*ROW(Z$12:Z1313),ROW($T$12)),TYPE(VLOOKUP("Да",(INDIRECT("AA"&amp;(MAX((1=Z$12:Z1313)*ROW(Z$12:Z1313),ROW($T$12))&amp;":AA"&amp;(ROW()-1)))),1,0))=16),MIN(LOOKUP(,-1/($Z$12:Z1314=1),$C$12:C1314)+LOOKUP(,-1/($Z$12:Z1314=1),$H$12:H1314)-SUM(INDIRECT("T"&amp;(MAX((1=Z$12:Z1313)*ROW(Z$12:Z1313),ROW($T$12))&amp;":T"&amp;(ROW()-1)))),Первоначальный[[#This Row],[Полученный платеж]]+Y1313),
S1313&gt;0,MIN(LOOKUP(,-1/($Z$12:Z1314=1),$C$12:C1314)+LOOKUP(,-1/($Z$12:Z1314=1),$H$12:H1314)-IF(Z1313=1,0,SUM(INDIRECT("T"&amp;(MAX((1=Z$12:Z1313)*ROW(Z$12:Z1313)+1,ROW($T$12))&amp;":T"&amp;(ROW()-1))))),Первоначальный[[#This Row],[Полученный платеж]]+Y1313)
)
)
)</f>
        <v>0</v>
      </c>
      <c r="U131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платеж]]+Y1313-Первоначальный[[#This Row],[Полученный платёж по процентам]])</f>
        <v>0</v>
      </c>
      <c r="V1314" s="55">
        <f t="shared" ca="1" si="243"/>
        <v>0</v>
      </c>
      <c r="W1314" s="55" cm="1">
        <f t="array" aca="1" ref="W1314" ca="1">IF(Первоначальный[[#This Row],[Итого остаток на начало периода]]&lt;1,0,
_xlfn.IFS(
AND(TYPE(VLOOKUP(1,$Z$12:Z1314,1,0))=16,Первоначальный[[#This Row],[Досрочное погашение (да/"")]]=""),0,
AND(S1313=0,Первоначальный[[#This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платеж]]+Y1313-SUM(Первоначальный[[#This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комиссиям]]),VLOOKUP(LOOKUP(,-1/($Z$12:Z1314=1),$A$12:A1314),График[[Срок конец]:[Возврат основной суммы долга]],3,0)),
AND(S1313=0,Первоначальный[[#This Row],[Дата платежа из графика]]="",Первоначальный[[#This Row],[Досрочное погашение (да/"")]]&lt;&gt;"Да"),0,
AND(S1313=0,Первоначальный[[#This Row],[Досрочное погашение (да/"")]]=""),MIN(Первоначальный[[#This Row],[Полученный платеж]]+Y1313-SUM(Первоначальный[[#This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комиссиям]]),VLOOKUP(LOOKUP(,-1/($Z$12:Z1314=1),$A$12:A1314),График[[Срок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платеж]]+Y1313-SUM(Первоначальный[[#This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S1313&gt;0,MIN(Первоначальный[[#This Row],[Полученный платеж]]+Y1313-SUM(Первоначальный[[#This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комиссиям]]),SUM(INDIRECT("M"&amp;(MAX((1=S$12:S1313)*ROW(S$12:S1313),ROW($W$12))&amp;":M"&amp;(ROW()))))-SUM(INDIRECT("W"&amp;(MAX((1=S$12:S1313)*ROW(S$12:S1313),ROW($W$12))&amp;":W"&amp;(ROW()-1)))))
)
)</f>
        <v>0</v>
      </c>
      <c r="X1314" s="55">
        <f t="shared" ca="1" si="244"/>
        <v>0</v>
      </c>
      <c r="Y1314" s="101">
        <f t="shared" ca="1" si="251"/>
        <v>0</v>
      </c>
      <c r="Z1314" s="133" t="str">
        <f>IF(TYPE((VLOOKUP(Первоначальный[[#This Row],[Дата платежа]],График[Срок конец],1,0)))=16,"",1)</f>
        <v/>
      </c>
      <c r="AA1314" s="57"/>
      <c r="AB1314" s="134"/>
      <c r="AC131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1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94055.820000000371</v>
      </c>
      <c r="AE131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7056.6799999999985</v>
      </c>
      <c r="AF131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1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357858.37396721233</v>
      </c>
      <c r="AH1314" s="55"/>
      <c r="AI1314" s="55"/>
      <c r="AJ1314" s="55"/>
      <c r="AK1314" s="101">
        <f t="shared" ca="1" si="252"/>
        <v>608604.21396721271</v>
      </c>
      <c r="AL1314" s="129">
        <f t="array" ref="AL1314">MAX((УслРестрактов[Характеристика]="Дата реструктуризации")*(УслРестрактов[Значение]=Первоначальный!$A1314),0)</f>
        <v>0</v>
      </c>
    </row>
    <row r="1315" spans="1:38" x14ac:dyDescent="0.25">
      <c r="A1315" s="97">
        <f t="shared" si="245"/>
        <v>45446</v>
      </c>
      <c r="B1315" s="100">
        <f t="shared" ca="1" si="246"/>
        <v>149633.34</v>
      </c>
      <c r="C1315" s="55">
        <f t="shared" ca="1" si="242"/>
        <v>94055.820000000371</v>
      </c>
      <c r="D1315" s="55">
        <f t="shared" ca="1" si="242"/>
        <v>7056.6799999999985</v>
      </c>
      <c r="E1315" s="55">
        <f t="shared" ca="1" si="247"/>
        <v>0</v>
      </c>
      <c r="F1315" s="55">
        <f t="shared" ca="1" si="248"/>
        <v>357858.37396721233</v>
      </c>
      <c r="G1315" s="101">
        <f t="shared" ca="1" si="249"/>
        <v>608604.21396721271</v>
      </c>
      <c r="H1315" s="100">
        <f ca="1">ROUND($B1315*VLOOKUP($A1315,$A$1:$B$10,2,1)/(365+IF(MOD(YEAR($A1315),4),0,1)*($A1315-$A1314)),2)-Первоначальный[[#This Row],[Проценты на просроченный платеж по ОД за период]]</f>
        <v>68.599999999999994</v>
      </c>
      <c r="I1315" s="55">
        <f t="shared" ca="1" si="250"/>
        <v>12.76</v>
      </c>
      <c r="J1315" s="55">
        <v>0</v>
      </c>
      <c r="K1315" s="55">
        <f t="shared" ca="1" si="253"/>
        <v>579.33350327868845</v>
      </c>
      <c r="L1315" s="55">
        <v>0</v>
      </c>
      <c r="M1315" s="113">
        <f>SUMIFS(График[Возврат основной суммы долга],График[Дата с учетом нерабочих дней],$A1315)</f>
        <v>0</v>
      </c>
      <c r="N1315" s="56">
        <f>SUMIFS(График[Возврат начисленных %],График[Дата с учетом нерабочих дней],$A1315)</f>
        <v>0</v>
      </c>
      <c r="O1315" s="101">
        <v>0</v>
      </c>
      <c r="P1315" s="100" cm="1">
        <f t="array" aca="1" ref="P1315" ca="1">MAX(IF(AA1314="Да",0,SUM(INDIRECT("M"&amp;(MAX(("Да"=AA$12:AA1314)*ROW(AA$12:AA1314)+1,ROW($P$12))&amp;":M"&amp;(ROW()))))-SUM(INDIRECT("W"&amp;(MAX(("Да"=AA$12:AA1314)*ROW(AA$12:AA1314)+1,ROW($P$12))&amp;":W"&amp;(ROW()))))),0)</f>
        <v>23462.519999999997</v>
      </c>
      <c r="Q1315" s="99">
        <f ca="1">MAX(SUM($N$13:N1315)-SUM($T$13:T1315),0)</f>
        <v>92404.180655737684</v>
      </c>
      <c r="R1315" s="99">
        <f ca="1">Первоначальный[[#This Row],[Просроченный платеж по ОД]]+Первоначальный[[#This Row],[Просроченный платеж по процентам]]</f>
        <v>115866.70065573769</v>
      </c>
      <c r="S1315" s="120">
        <f ca="1">IF(Первоначальный[[#This Row],[Просроченный платеж]]&lt;1,0,S1314+1)</f>
        <v>1211</v>
      </c>
      <c r="T1315" s="100" cm="1">
        <f t="array" aca="1" ref="T1315" ca="1">IF(Первоначальный[[#This Row],[Итого остаток на начало периода]]&lt;1,0,
IF(
AND(TYPE(VLOOKUP(1,$Z$12:Z1315,1,0))=16,Первоначальный[[#This Row],[Досрочное погашение (да/"")]]=""),0,
_xlfn.IFS(AND(S1314=0,Первоначальный[[#This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платеж]]&lt;&gt;0),MIN(LOOKUP(,-1/($Z$12:Z1315=1),$C$12:C1315)+LOOKUP(,-1/($Z$12:Z1315=1),$H$12:H1315),Первоначальный[[#This Row],[Полученный платеж]]+Y1314),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платеж]]+Y1314,SUM(Первоначальный[[#This Row],[Остаток процентов на начало периода]],Первоначальный[[#This Row],[Проценты за период]])),
AND(S1314=0,Первоначальный[[#This Row],[Дата платежа из графика]]=""),0,
AND(S1314=0,Первоначальный[[#This Row],[Дата платежа из графика]]=1,MAX((0&lt;&gt;S$12:S1314)*ROW(S$12:S1314),ROW($S$12))&gt;=MAX((1=Z$12:Z1314)*ROW(Z$12:Z1314),ROW($T$12)),TYPE(VLOOKUP("Да",(INDIRECT("AA"&amp;(MAX((1=Z$12:Z1314)*ROW(Z$12:Z1314),ROW($T$12))&amp;":AA"&amp;(ROW()-1)))),1,0))=16),MIN(LOOKUP(,-1/($Z$12:Z1315=1),$C$12:C1315)+LOOKUP(,-1/($Z$12:Z1315=1),$H$12:H1315),Первоначальный[[#This Row],[Полученный платеж]]+Y1314),
AND(S1314=0,TYPE(VLOOKUP("Да",(INDIRECT("AA"&amp;(MAX((1=Z$12:Z1314)*ROW(Z$12:Z1314),ROW($T$12))&amp;":AA"&amp;(ROW()-1)))),1,0))&lt;&gt;16),MIN(LOOKUP(,-1/($Z$12:Z1315=1),$C$12:C1315)+LOOKUP(,-1/($Z$12:Z1315=1),$H$12:H1315)-IF(AA1314="Да",0,SUM(INDIRECT("T"&amp;(MAX(("Да"=AA$12:AA1314)*ROW(AA$12:AA1314)+1,ROW($T$12))&amp;":T"&amp;(ROW()-1))))),Первоначальный[[#This Row],[Полученный платеж]]+Y1314),
AND(S1314=0,MAX((0&lt;&gt;N$12:N1314)*ROW(N$12:N1314),ROW($S$12))&gt;=MAX((1=Z$12:Z1314)*ROW(Z$12:Z1314),ROW($T$12))),MIN(LOOKUP(,-1/($Z$12:Z1315=1),$C$12:C1315)+LOOKUP(,-1/($Z$12:Z1315=1),$H$12:H1315)-IF(N1314&lt;&gt;0,0,SUM(INDIRECT("T"&amp;(MAX((0&lt;&gt;N$12:N1314)*ROW(N$12:N1314)+1,ROW($T$12))&amp;":T"&amp;(ROW()-1))))),Первоначальный[[#This Row],[Полученный платеж]]+Y1314),
AND(S1314=0,Первоначальный[[#This Row],[Дата платежа из графика]]=1),MIN(LOOKUP(,-1/($Z$12:Z1315=1),$C$12:C1315)+LOOKUP(,-1/($Z$12:Z1315=1),$H$12:H1315)-IF(Z1314=1,0,SUM(INDIRECT("T"&amp;(MAX((1=Z$12:Z1314)*ROW(Z$12:Z1314)+1,ROW($T$12))&amp;":T"&amp;(ROW()-1))))),Первоначальный[[#This Row],[Полученный платеж]]+Y1314),
AND(Z1314&gt;0,Первоначальный[[#This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платеж]]+Y1314),
AND(S1314&gt;0,MAX((0&lt;&gt;S$12:S1314)*ROW(S$12:S1314),ROW($S$12))&gt;=MAX((1=Z$12:Z1314)*ROW(Z$12:Z1314),ROW($T$12)),TYPE(VLOOKUP("Да",(INDIRECT("AA"&amp;(MAX((1=Z$12:Z1314)*ROW(Z$12:Z1314),ROW($T$12))&amp;":AA"&amp;(ROW()-1)))),1,0))=16),MIN(LOOKUP(,-1/($Z$12:Z1315=1),$C$12:C1315)+LOOKUP(,-1/($Z$12:Z1315=1),$H$12:H1315)-SUM(INDIRECT("T"&amp;(MAX((1=Z$12:Z1314)*ROW(Z$12:Z1314),ROW($T$12))&amp;":T"&amp;(ROW()-1)))),Первоначальный[[#This Row],[Полученный платеж]]+Y1314),
S1314&gt;0,MIN(LOOKUP(,-1/($Z$12:Z1315=1),$C$12:C1315)+LOOKUP(,-1/($Z$12:Z1315=1),$H$12:H1315)-IF(Z1314=1,0,SUM(INDIRECT("T"&amp;(MAX((1=Z$12:Z1314)*ROW(Z$12:Z1314)+1,ROW($T$12))&amp;":T"&amp;(ROW()-1))))),Первоначальный[[#This Row],[Полученный платеж]]+Y1314)
)
)
)</f>
        <v>0</v>
      </c>
      <c r="U131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платеж]]+Y1314-Первоначальный[[#This Row],[Полученный платёж по процентам]])</f>
        <v>0</v>
      </c>
      <c r="V1315" s="55">
        <f t="shared" ca="1" si="243"/>
        <v>0</v>
      </c>
      <c r="W1315" s="55" cm="1">
        <f t="array" aca="1" ref="W1315" ca="1">IF(Первоначальный[[#This Row],[Итого остаток на начало периода]]&lt;1,0,
_xlfn.IFS(
AND(TYPE(VLOOKUP(1,$Z$12:Z1315,1,0))=16,Первоначальный[[#This Row],[Досрочное погашение (да/"")]]=""),0,
AND(S1314=0,Первоначальный[[#This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платеж]]+Y1314-SUM(Первоначальный[[#This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комиссиям]]),VLOOKUP(LOOKUP(,-1/($Z$12:Z1315=1),$A$12:A1315),График[[Срок конец]:[Возврат основной суммы долга]],3,0)),
AND(S1314=0,Первоначальный[[#This Row],[Дата платежа из графика]]="",Первоначальный[[#This Row],[Досрочное погашение (да/"")]]&lt;&gt;"Да"),0,
AND(S1314=0,Первоначальный[[#This Row],[Досрочное погашение (да/"")]]=""),MIN(Первоначальный[[#This Row],[Полученный платеж]]+Y1314-SUM(Первоначальный[[#This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комиссиям]]),VLOOKUP(LOOKUP(,-1/($Z$12:Z1315=1),$A$12:A1315),График[[Срок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платеж]]+Y1314-SUM(Первоначальный[[#This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S1314&gt;0,MIN(Первоначальный[[#This Row],[Полученный платеж]]+Y1314-SUM(Первоначальный[[#This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комиссиям]]),SUM(INDIRECT("M"&amp;(MAX((1=S$12:S1314)*ROW(S$12:S1314),ROW($W$12))&amp;":M"&amp;(ROW()))))-SUM(INDIRECT("W"&amp;(MAX((1=S$12:S1314)*ROW(S$12:S1314),ROW($W$12))&amp;":W"&amp;(ROW()-1)))))
)
)</f>
        <v>0</v>
      </c>
      <c r="X1315" s="55">
        <f t="shared" ca="1" si="244"/>
        <v>0</v>
      </c>
      <c r="Y1315" s="101">
        <f t="shared" ca="1" si="251"/>
        <v>0</v>
      </c>
      <c r="Z1315" s="133" t="str">
        <f>IF(TYPE((VLOOKUP(Первоначальный[[#This Row],[Дата платежа]],График[Срок конец],1,0)))=16,"",1)</f>
        <v/>
      </c>
      <c r="AA1315" s="57"/>
      <c r="AB1315" s="134"/>
      <c r="AC131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1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94124.420000000377</v>
      </c>
      <c r="AE131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7069.4399999999987</v>
      </c>
      <c r="AF131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1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358437.707470491</v>
      </c>
      <c r="AH1315" s="55"/>
      <c r="AI1315" s="55"/>
      <c r="AJ1315" s="55"/>
      <c r="AK1315" s="101">
        <f t="shared" ca="1" si="252"/>
        <v>609264.90747049137</v>
      </c>
      <c r="AL1315" s="129">
        <f t="array" ref="AL1315">MAX((УслРестрактов[Характеристика]="Дата реструктуризации")*(УслРестрактов[Значение]=Первоначальный!$A1315),0)</f>
        <v>0</v>
      </c>
    </row>
    <row r="1316" spans="1:38" x14ac:dyDescent="0.25">
      <c r="A1316" s="97">
        <f t="shared" si="245"/>
        <v>45447</v>
      </c>
      <c r="B1316" s="100">
        <f t="shared" ca="1" si="246"/>
        <v>149633.34</v>
      </c>
      <c r="C1316" s="55">
        <f t="shared" ca="1" si="242"/>
        <v>94124.420000000377</v>
      </c>
      <c r="D1316" s="55">
        <f t="shared" ca="1" si="242"/>
        <v>7069.4399999999987</v>
      </c>
      <c r="E1316" s="55">
        <f t="shared" ca="1" si="247"/>
        <v>0</v>
      </c>
      <c r="F1316" s="55">
        <f t="shared" ca="1" si="248"/>
        <v>358437.707470491</v>
      </c>
      <c r="G1316" s="101">
        <f t="shared" ca="1" si="249"/>
        <v>609264.90747049137</v>
      </c>
      <c r="H1316" s="100">
        <f ca="1">ROUND($B1316*VLOOKUP($A1316,$A$1:$B$10,2,1)/(365+IF(MOD(YEAR($A1316),4),0,1)*($A1316-$A1315)),2)-Первоначальный[[#This Row],[Проценты на просроченный платеж по ОД за период]]</f>
        <v>68.599999999999994</v>
      </c>
      <c r="I1316" s="55">
        <f t="shared" ca="1" si="250"/>
        <v>12.76</v>
      </c>
      <c r="J1316" s="55">
        <v>0</v>
      </c>
      <c r="K1316" s="55">
        <f t="shared" ca="1" si="253"/>
        <v>579.33350327868845</v>
      </c>
      <c r="L1316" s="55">
        <v>0</v>
      </c>
      <c r="M1316" s="113">
        <f>SUMIFS(График[Возврат основной суммы долга],График[Дата с учетом нерабочих дней],$A1316)</f>
        <v>0</v>
      </c>
      <c r="N1316" s="56">
        <f>SUMIFS(График[Возврат начисленных %],График[Дата с учетом нерабочих дней],$A1316)</f>
        <v>0</v>
      </c>
      <c r="O1316" s="101">
        <v>0</v>
      </c>
      <c r="P1316" s="100" cm="1">
        <f t="array" aca="1" ref="P1316" ca="1">MAX(IF(AA1315="Да",0,SUM(INDIRECT("M"&amp;(MAX(("Да"=AA$12:AA1315)*ROW(AA$12:AA1315)+1,ROW($P$12))&amp;":M"&amp;(ROW()))))-SUM(INDIRECT("W"&amp;(MAX(("Да"=AA$12:AA1315)*ROW(AA$12:AA1315)+1,ROW($P$12))&amp;":W"&amp;(ROW()))))),0)</f>
        <v>23462.519999999997</v>
      </c>
      <c r="Q1316" s="99">
        <f ca="1">MAX(SUM($N$13:N1316)-SUM($T$13:T1316),0)</f>
        <v>92404.180655737684</v>
      </c>
      <c r="R1316" s="99">
        <f ca="1">Первоначальный[[#This Row],[Просроченный платеж по ОД]]+Первоначальный[[#This Row],[Просроченный платеж по процентам]]</f>
        <v>115866.70065573769</v>
      </c>
      <c r="S1316" s="120">
        <f ca="1">IF(Первоначальный[[#This Row],[Просроченный платеж]]&lt;1,0,S1315+1)</f>
        <v>1212</v>
      </c>
      <c r="T1316" s="100" cm="1">
        <f t="array" aca="1" ref="T1316" ca="1">IF(Первоначальный[[#This Row],[Итого остаток на начало периода]]&lt;1,0,
IF(
AND(TYPE(VLOOKUP(1,$Z$12:Z1316,1,0))=16,Первоначальный[[#This Row],[Досрочное погашение (да/"")]]=""),0,
_xlfn.IFS(AND(S1315=0,Первоначальный[[#This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платеж]]&lt;&gt;0),MIN(LOOKUP(,-1/($Z$12:Z1316=1),$C$12:C1316)+LOOKUP(,-1/($Z$12:Z1316=1),$H$12:H1316),Первоначальный[[#This Row],[Полученный платеж]]+Y1315),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платеж]]+Y1315,SUM(Первоначальный[[#This Row],[Остаток процентов на начало периода]],Первоначальный[[#This Row],[Проценты за период]])),
AND(S1315=0,Первоначальный[[#This Row],[Дата платежа из графика]]=""),0,
AND(S1315=0,Первоначальный[[#This Row],[Дата платежа из графика]]=1,MAX((0&lt;&gt;S$12:S1315)*ROW(S$12:S1315),ROW($S$12))&gt;=MAX((1=Z$12:Z1315)*ROW(Z$12:Z1315),ROW($T$12)),TYPE(VLOOKUP("Да",(INDIRECT("AA"&amp;(MAX((1=Z$12:Z1315)*ROW(Z$12:Z1315),ROW($T$12))&amp;":AA"&amp;(ROW()-1)))),1,0))=16),MIN(LOOKUP(,-1/($Z$12:Z1316=1),$C$12:C1316)+LOOKUP(,-1/($Z$12:Z1316=1),$H$12:H1316),Первоначальный[[#This Row],[Полученный платеж]]+Y1315),
AND(S1315=0,TYPE(VLOOKUP("Да",(INDIRECT("AA"&amp;(MAX((1=Z$12:Z1315)*ROW(Z$12:Z1315),ROW($T$12))&amp;":AA"&amp;(ROW()-1)))),1,0))&lt;&gt;16),MIN(LOOKUP(,-1/($Z$12:Z1316=1),$C$12:C1316)+LOOKUP(,-1/($Z$12:Z1316=1),$H$12:H1316)-IF(AA1315="Да",0,SUM(INDIRECT("T"&amp;(MAX(("Да"=AA$12:AA1315)*ROW(AA$12:AA1315)+1,ROW($T$12))&amp;":T"&amp;(ROW()-1))))),Первоначальный[[#This Row],[Полученный платеж]]+Y1315),
AND(S1315=0,MAX((0&lt;&gt;N$12:N1315)*ROW(N$12:N1315),ROW($S$12))&gt;=MAX((1=Z$12:Z1315)*ROW(Z$12:Z1315),ROW($T$12))),MIN(LOOKUP(,-1/($Z$12:Z1316=1),$C$12:C1316)+LOOKUP(,-1/($Z$12:Z1316=1),$H$12:H1316)-IF(N1315&lt;&gt;0,0,SUM(INDIRECT("T"&amp;(MAX((0&lt;&gt;N$12:N1315)*ROW(N$12:N1315)+1,ROW($T$12))&amp;":T"&amp;(ROW()-1))))),Первоначальный[[#This Row],[Полученный платеж]]+Y1315),
AND(S1315=0,Первоначальный[[#This Row],[Дата платежа из графика]]=1),MIN(LOOKUP(,-1/($Z$12:Z1316=1),$C$12:C1316)+LOOKUP(,-1/($Z$12:Z1316=1),$H$12:H1316)-IF(Z1315=1,0,SUM(INDIRECT("T"&amp;(MAX((1=Z$12:Z1315)*ROW(Z$12:Z1315)+1,ROW($T$12))&amp;":T"&amp;(ROW()-1))))),Первоначальный[[#This Row],[Полученный платеж]]+Y1315),
AND(Z1315&gt;0,Первоначальный[[#This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платеж]]+Y1315),
AND(S1315&gt;0,MAX((0&lt;&gt;S$12:S1315)*ROW(S$12:S1315),ROW($S$12))&gt;=MAX((1=Z$12:Z1315)*ROW(Z$12:Z1315),ROW($T$12)),TYPE(VLOOKUP("Да",(INDIRECT("AA"&amp;(MAX((1=Z$12:Z1315)*ROW(Z$12:Z1315),ROW($T$12))&amp;":AA"&amp;(ROW()-1)))),1,0))=16),MIN(LOOKUP(,-1/($Z$12:Z1316=1),$C$12:C1316)+LOOKUP(,-1/($Z$12:Z1316=1),$H$12:H1316)-SUM(INDIRECT("T"&amp;(MAX((1=Z$12:Z1315)*ROW(Z$12:Z1315),ROW($T$12))&amp;":T"&amp;(ROW()-1)))),Первоначальный[[#This Row],[Полученный платеж]]+Y1315),
S1315&gt;0,MIN(LOOKUP(,-1/($Z$12:Z1316=1),$C$12:C1316)+LOOKUP(,-1/($Z$12:Z1316=1),$H$12:H1316)-IF(Z1315=1,0,SUM(INDIRECT("T"&amp;(MAX((1=Z$12:Z1315)*ROW(Z$12:Z1315)+1,ROW($T$12))&amp;":T"&amp;(ROW()-1))))),Первоначальный[[#This Row],[Полученный платеж]]+Y1315)
)
)
)</f>
        <v>0</v>
      </c>
      <c r="U131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платеж]]+Y1315-Первоначальный[[#This Row],[Полученный платёж по процентам]])</f>
        <v>0</v>
      </c>
      <c r="V1316" s="55">
        <f t="shared" ca="1" si="243"/>
        <v>0</v>
      </c>
      <c r="W1316" s="55" cm="1">
        <f t="array" aca="1" ref="W1316" ca="1">IF(Первоначальный[[#This Row],[Итого остаток на начало периода]]&lt;1,0,
_xlfn.IFS(
AND(TYPE(VLOOKUP(1,$Z$12:Z1316,1,0))=16,Первоначальный[[#This Row],[Досрочное погашение (да/"")]]=""),0,
AND(S1315=0,Первоначальный[[#This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платеж]]+Y1315-SUM(Первоначальный[[#This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комиссиям]]),VLOOKUP(LOOKUP(,-1/($Z$12:Z1316=1),$A$12:A1316),График[[Срок конец]:[Возврат основной суммы долга]],3,0)),
AND(S1315=0,Первоначальный[[#This Row],[Дата платежа из графика]]="",Первоначальный[[#This Row],[Досрочное погашение (да/"")]]&lt;&gt;"Да"),0,
AND(S1315=0,Первоначальный[[#This Row],[Досрочное погашение (да/"")]]=""),MIN(Первоначальный[[#This Row],[Полученный платеж]]+Y1315-SUM(Первоначальный[[#This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комиссиям]]),VLOOKUP(LOOKUP(,-1/($Z$12:Z1316=1),$A$12:A1316),График[[Срок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платеж]]+Y1315-SUM(Первоначальный[[#This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S1315&gt;0,MIN(Первоначальный[[#This Row],[Полученный платеж]]+Y1315-SUM(Первоначальный[[#This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комиссиям]]),SUM(INDIRECT("M"&amp;(MAX((1=S$12:S1315)*ROW(S$12:S1315),ROW($W$12))&amp;":M"&amp;(ROW()))))-SUM(INDIRECT("W"&amp;(MAX((1=S$12:S1315)*ROW(S$12:S1315),ROW($W$12))&amp;":W"&amp;(ROW()-1)))))
)
)</f>
        <v>0</v>
      </c>
      <c r="X1316" s="55">
        <f t="shared" ca="1" si="244"/>
        <v>0</v>
      </c>
      <c r="Y1316" s="101">
        <f t="shared" ca="1" si="251"/>
        <v>0</v>
      </c>
      <c r="Z1316" s="133" t="str">
        <f>IF(TYPE((VLOOKUP(Первоначальный[[#This Row],[Дата платежа]],График[Срок конец],1,0)))=16,"",1)</f>
        <v/>
      </c>
      <c r="AA1316" s="57"/>
      <c r="AB1316" s="134"/>
      <c r="AC131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1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94193.020000000382</v>
      </c>
      <c r="AE131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7082.1999999999989</v>
      </c>
      <c r="AF131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1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359017.04097376968</v>
      </c>
      <c r="AH1316" s="55"/>
      <c r="AI1316" s="55"/>
      <c r="AJ1316" s="55"/>
      <c r="AK1316" s="101">
        <f t="shared" ca="1" si="252"/>
        <v>609925.60097377002</v>
      </c>
      <c r="AL1316" s="129">
        <f t="array" ref="AL1316">MAX((УслРестрактов[Характеристика]="Дата реструктуризации")*(УслРестрактов[Значение]=Первоначальный!$A1316),0)</f>
        <v>0</v>
      </c>
    </row>
    <row r="1317" spans="1:38" x14ac:dyDescent="0.25">
      <c r="A1317" s="97">
        <f t="shared" si="245"/>
        <v>45448</v>
      </c>
      <c r="B1317" s="100">
        <f t="shared" ca="1" si="246"/>
        <v>149633.34</v>
      </c>
      <c r="C1317" s="55">
        <f t="shared" ca="1" si="242"/>
        <v>94193.020000000382</v>
      </c>
      <c r="D1317" s="55">
        <f t="shared" ca="1" si="242"/>
        <v>7082.1999999999989</v>
      </c>
      <c r="E1317" s="55">
        <f t="shared" ca="1" si="247"/>
        <v>0</v>
      </c>
      <c r="F1317" s="55">
        <f t="shared" ca="1" si="248"/>
        <v>359017.04097376968</v>
      </c>
      <c r="G1317" s="101">
        <f t="shared" ca="1" si="249"/>
        <v>609925.60097377002</v>
      </c>
      <c r="H1317" s="100">
        <f ca="1">ROUND($B1317*VLOOKUP($A1317,$A$1:$B$10,2,1)/(365+IF(MOD(YEAR($A1317),4),0,1)*($A1317-$A1316)),2)-Первоначальный[[#This Row],[Проценты на просроченный платеж по ОД за период]]</f>
        <v>68.599999999999994</v>
      </c>
      <c r="I1317" s="55">
        <f t="shared" ca="1" si="250"/>
        <v>12.76</v>
      </c>
      <c r="J1317" s="55">
        <v>0</v>
      </c>
      <c r="K1317" s="55">
        <f t="shared" ca="1" si="253"/>
        <v>579.33350327868845</v>
      </c>
      <c r="L1317" s="55">
        <v>0</v>
      </c>
      <c r="M1317" s="113">
        <f>SUMIFS(График[Возврат основной суммы долга],График[Дата с учетом нерабочих дней],$A1317)</f>
        <v>0</v>
      </c>
      <c r="N1317" s="56">
        <f>SUMIFS(График[Возврат начисленных %],График[Дата с учетом нерабочих дней],$A1317)</f>
        <v>0</v>
      </c>
      <c r="O1317" s="101">
        <v>0</v>
      </c>
      <c r="P1317" s="100" cm="1">
        <f t="array" aca="1" ref="P1317" ca="1">MAX(IF(AA1316="Да",0,SUM(INDIRECT("M"&amp;(MAX(("Да"=AA$12:AA1316)*ROW(AA$12:AA1316)+1,ROW($P$12))&amp;":M"&amp;(ROW()))))-SUM(INDIRECT("W"&amp;(MAX(("Да"=AA$12:AA1316)*ROW(AA$12:AA1316)+1,ROW($P$12))&amp;":W"&amp;(ROW()))))),0)</f>
        <v>23462.519999999997</v>
      </c>
      <c r="Q1317" s="99">
        <f ca="1">MAX(SUM($N$13:N1317)-SUM($T$13:T1317),0)</f>
        <v>92404.180655737684</v>
      </c>
      <c r="R1317" s="99">
        <f ca="1">Первоначальный[[#This Row],[Просроченный платеж по ОД]]+Первоначальный[[#This Row],[Просроченный платеж по процентам]]</f>
        <v>115866.70065573769</v>
      </c>
      <c r="S1317" s="120">
        <f ca="1">IF(Первоначальный[[#This Row],[Просроченный платеж]]&lt;1,0,S1316+1)</f>
        <v>1213</v>
      </c>
      <c r="T1317" s="100" cm="1">
        <f t="array" aca="1" ref="T1317" ca="1">IF(Первоначальный[[#This Row],[Итого остаток на начало периода]]&lt;1,0,
IF(
AND(TYPE(VLOOKUP(1,$Z$12:Z1317,1,0))=16,Первоначальный[[#This Row],[Досрочное погашение (да/"")]]=""),0,
_xlfn.IFS(AND(S1316=0,Первоначальный[[#This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платеж]]&lt;&gt;0),MIN(LOOKUP(,-1/($Z$12:Z1317=1),$C$12:C1317)+LOOKUP(,-1/($Z$12:Z1317=1),$H$12:H1317),Первоначальный[[#This Row],[Полученный платеж]]+Y1316),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платеж]]+Y1316,SUM(Первоначальный[[#This Row],[Остаток процентов на начало периода]],Первоначальный[[#This Row],[Проценты за период]])),
AND(S1316=0,Первоначальный[[#This Row],[Дата платежа из графика]]=""),0,
AND(S1316=0,Первоначальный[[#This Row],[Дата платежа из графика]]=1,MAX((0&lt;&gt;S$12:S1316)*ROW(S$12:S1316),ROW($S$12))&gt;=MAX((1=Z$12:Z1316)*ROW(Z$12:Z1316),ROW($T$12)),TYPE(VLOOKUP("Да",(INDIRECT("AA"&amp;(MAX((1=Z$12:Z1316)*ROW(Z$12:Z1316),ROW($T$12))&amp;":AA"&amp;(ROW()-1)))),1,0))=16),MIN(LOOKUP(,-1/($Z$12:Z1317=1),$C$12:C1317)+LOOKUP(,-1/($Z$12:Z1317=1),$H$12:H1317),Первоначальный[[#This Row],[Полученный платеж]]+Y1316),
AND(S1316=0,TYPE(VLOOKUP("Да",(INDIRECT("AA"&amp;(MAX((1=Z$12:Z1316)*ROW(Z$12:Z1316),ROW($T$12))&amp;":AA"&amp;(ROW()-1)))),1,0))&lt;&gt;16),MIN(LOOKUP(,-1/($Z$12:Z1317=1),$C$12:C1317)+LOOKUP(,-1/($Z$12:Z1317=1),$H$12:H1317)-IF(AA1316="Да",0,SUM(INDIRECT("T"&amp;(MAX(("Да"=AA$12:AA1316)*ROW(AA$12:AA1316)+1,ROW($T$12))&amp;":T"&amp;(ROW()-1))))),Первоначальный[[#This Row],[Полученный платеж]]+Y1316),
AND(S1316=0,MAX((0&lt;&gt;N$12:N1316)*ROW(N$12:N1316),ROW($S$12))&gt;=MAX((1=Z$12:Z1316)*ROW(Z$12:Z1316),ROW($T$12))),MIN(LOOKUP(,-1/($Z$12:Z1317=1),$C$12:C1317)+LOOKUP(,-1/($Z$12:Z1317=1),$H$12:H1317)-IF(N1316&lt;&gt;0,0,SUM(INDIRECT("T"&amp;(MAX((0&lt;&gt;N$12:N1316)*ROW(N$12:N1316)+1,ROW($T$12))&amp;":T"&amp;(ROW()-1))))),Первоначальный[[#This Row],[Полученный платеж]]+Y1316),
AND(S1316=0,Первоначальный[[#This Row],[Дата платежа из графика]]=1),MIN(LOOKUP(,-1/($Z$12:Z1317=1),$C$12:C1317)+LOOKUP(,-1/($Z$12:Z1317=1),$H$12:H1317)-IF(Z1316=1,0,SUM(INDIRECT("T"&amp;(MAX((1=Z$12:Z1316)*ROW(Z$12:Z1316)+1,ROW($T$12))&amp;":T"&amp;(ROW()-1))))),Первоначальный[[#This Row],[Полученный платеж]]+Y1316),
AND(Z1316&gt;0,Первоначальный[[#This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платеж]]+Y1316),
AND(S1316&gt;0,MAX((0&lt;&gt;S$12:S1316)*ROW(S$12:S1316),ROW($S$12))&gt;=MAX((1=Z$12:Z1316)*ROW(Z$12:Z1316),ROW($T$12)),TYPE(VLOOKUP("Да",(INDIRECT("AA"&amp;(MAX((1=Z$12:Z1316)*ROW(Z$12:Z1316),ROW($T$12))&amp;":AA"&amp;(ROW()-1)))),1,0))=16),MIN(LOOKUP(,-1/($Z$12:Z1317=1),$C$12:C1317)+LOOKUP(,-1/($Z$12:Z1317=1),$H$12:H1317)-SUM(INDIRECT("T"&amp;(MAX((1=Z$12:Z1316)*ROW(Z$12:Z1316),ROW($T$12))&amp;":T"&amp;(ROW()-1)))),Первоначальный[[#This Row],[Полученный платеж]]+Y1316),
S1316&gt;0,MIN(LOOKUP(,-1/($Z$12:Z1317=1),$C$12:C1317)+LOOKUP(,-1/($Z$12:Z1317=1),$H$12:H1317)-IF(Z1316=1,0,SUM(INDIRECT("T"&amp;(MAX((1=Z$12:Z1316)*ROW(Z$12:Z1316)+1,ROW($T$12))&amp;":T"&amp;(ROW()-1))))),Первоначальный[[#This Row],[Полученный платеж]]+Y1316)
)
)
)</f>
        <v>0</v>
      </c>
      <c r="U131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платеж]]+Y1316-Первоначальный[[#This Row],[Полученный платёж по процентам]])</f>
        <v>0</v>
      </c>
      <c r="V1317" s="55">
        <f t="shared" ca="1" si="243"/>
        <v>0</v>
      </c>
      <c r="W1317" s="55" cm="1">
        <f t="array" aca="1" ref="W1317" ca="1">IF(Первоначальный[[#This Row],[Итого остаток на начало периода]]&lt;1,0,
_xlfn.IFS(
AND(TYPE(VLOOKUP(1,$Z$12:Z1317,1,0))=16,Первоначальный[[#This Row],[Досрочное погашение (да/"")]]=""),0,
AND(S1316=0,Первоначальный[[#This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платеж]]+Y1316-SUM(Первоначальный[[#This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комиссиям]]),VLOOKUP(LOOKUP(,-1/($Z$12:Z1317=1),$A$12:A1317),График[[Срок конец]:[Возврат основной суммы долга]],3,0)),
AND(S1316=0,Первоначальный[[#This Row],[Дата платежа из графика]]="",Первоначальный[[#This Row],[Досрочное погашение (да/"")]]&lt;&gt;"Да"),0,
AND(S1316=0,Первоначальный[[#This Row],[Досрочное погашение (да/"")]]=""),MIN(Первоначальный[[#This Row],[Полученный платеж]]+Y1316-SUM(Первоначальный[[#This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комиссиям]]),VLOOKUP(LOOKUP(,-1/($Z$12:Z1317=1),$A$12:A1317),График[[Срок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платеж]]+Y1316-SUM(Первоначальный[[#This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S1316&gt;0,MIN(Первоначальный[[#This Row],[Полученный платеж]]+Y1316-SUM(Первоначальный[[#This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комиссиям]]),SUM(INDIRECT("M"&amp;(MAX((1=S$12:S1316)*ROW(S$12:S1316),ROW($W$12))&amp;":M"&amp;(ROW()))))-SUM(INDIRECT("W"&amp;(MAX((1=S$12:S1316)*ROW(S$12:S1316),ROW($W$12))&amp;":W"&amp;(ROW()-1)))))
)
)</f>
        <v>0</v>
      </c>
      <c r="X1317" s="55">
        <f t="shared" ca="1" si="244"/>
        <v>0</v>
      </c>
      <c r="Y1317" s="101">
        <f t="shared" ca="1" si="251"/>
        <v>0</v>
      </c>
      <c r="Z1317" s="133" t="str">
        <f>IF(TYPE((VLOOKUP(Первоначальный[[#This Row],[Дата платежа]],График[Срок конец],1,0)))=16,"",1)</f>
        <v/>
      </c>
      <c r="AA1317" s="57"/>
      <c r="AB1317" s="134"/>
      <c r="AC131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1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94261.620000000388</v>
      </c>
      <c r="AE131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7094.9599999999991</v>
      </c>
      <c r="AF131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1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359596.37447704835</v>
      </c>
      <c r="AH1317" s="55"/>
      <c r="AI1317" s="55"/>
      <c r="AJ1317" s="55"/>
      <c r="AK1317" s="101">
        <f t="shared" ca="1" si="252"/>
        <v>610586.29447704868</v>
      </c>
      <c r="AL1317" s="129">
        <f t="array" ref="AL1317">MAX((УслРестрактов[Характеристика]="Дата реструктуризации")*(УслРестрактов[Значение]=Первоначальный!$A1317),0)</f>
        <v>0</v>
      </c>
    </row>
    <row r="1318" spans="1:38" x14ac:dyDescent="0.25">
      <c r="A1318" s="97">
        <f t="shared" si="245"/>
        <v>45449</v>
      </c>
      <c r="B1318" s="100">
        <f t="shared" ca="1" si="246"/>
        <v>149633.34</v>
      </c>
      <c r="C1318" s="55">
        <f t="shared" ca="1" si="242"/>
        <v>94261.620000000388</v>
      </c>
      <c r="D1318" s="55">
        <f t="shared" ca="1" si="242"/>
        <v>7094.9599999999991</v>
      </c>
      <c r="E1318" s="55">
        <f t="shared" ca="1" si="247"/>
        <v>0</v>
      </c>
      <c r="F1318" s="55">
        <f t="shared" ca="1" si="248"/>
        <v>359596.37447704835</v>
      </c>
      <c r="G1318" s="101">
        <f t="shared" ca="1" si="249"/>
        <v>610586.29447704868</v>
      </c>
      <c r="H1318" s="100">
        <f ca="1">ROUND($B1318*VLOOKUP($A1318,$A$1:$B$10,2,1)/(365+IF(MOD(YEAR($A1318),4),0,1)*($A1318-$A1317)),2)-Первоначальный[[#This Row],[Проценты на просроченный платеж по ОД за период]]</f>
        <v>68.599999999999994</v>
      </c>
      <c r="I1318" s="55">
        <f t="shared" ca="1" si="250"/>
        <v>12.76</v>
      </c>
      <c r="J1318" s="55">
        <v>0</v>
      </c>
      <c r="K1318" s="55">
        <f t="shared" ca="1" si="253"/>
        <v>579.33350327868845</v>
      </c>
      <c r="L1318" s="55">
        <v>0</v>
      </c>
      <c r="M1318" s="113">
        <f>SUMIFS(График[Возврат основной суммы долга],График[Дата с учетом нерабочих дней],$A1318)</f>
        <v>0</v>
      </c>
      <c r="N1318" s="56">
        <f>SUMIFS(График[Возврат начисленных %],График[Дата с учетом нерабочих дней],$A1318)</f>
        <v>0</v>
      </c>
      <c r="O1318" s="101">
        <v>0</v>
      </c>
      <c r="P1318" s="100" cm="1">
        <f t="array" aca="1" ref="P1318" ca="1">MAX(IF(AA1317="Да",0,SUM(INDIRECT("M"&amp;(MAX(("Да"=AA$12:AA1317)*ROW(AA$12:AA1317)+1,ROW($P$12))&amp;":M"&amp;(ROW()))))-SUM(INDIRECT("W"&amp;(MAX(("Да"=AA$12:AA1317)*ROW(AA$12:AA1317)+1,ROW($P$12))&amp;":W"&amp;(ROW()))))),0)</f>
        <v>23462.519999999997</v>
      </c>
      <c r="Q1318" s="99">
        <f ca="1">MAX(SUM($N$13:N1318)-SUM($T$13:T1318),0)</f>
        <v>92404.180655737684</v>
      </c>
      <c r="R1318" s="99">
        <f ca="1">Первоначальный[[#This Row],[Просроченный платеж по ОД]]+Первоначальный[[#This Row],[Просроченный платеж по процентам]]</f>
        <v>115866.70065573769</v>
      </c>
      <c r="S1318" s="120">
        <f ca="1">IF(Первоначальный[[#This Row],[Просроченный платеж]]&lt;1,0,S1317+1)</f>
        <v>1214</v>
      </c>
      <c r="T1318" s="100" cm="1">
        <f t="array" aca="1" ref="T1318" ca="1">IF(Первоначальный[[#This Row],[Итого остаток на начало периода]]&lt;1,0,
IF(
AND(TYPE(VLOOKUP(1,$Z$12:Z1318,1,0))=16,Первоначальный[[#This Row],[Досрочное погашение (да/"")]]=""),0,
_xlfn.IFS(AND(S1317=0,Первоначальный[[#This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платеж]]&lt;&gt;0),MIN(LOOKUP(,-1/($Z$12:Z1318=1),$C$12:C1318)+LOOKUP(,-1/($Z$12:Z1318=1),$H$12:H1318),Первоначальный[[#This Row],[Полученный платеж]]+Y1317),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платеж]]+Y1317,SUM(Первоначальный[[#This Row],[Остаток процентов на начало периода]],Первоначальный[[#This Row],[Проценты за период]])),
AND(S1317=0,Первоначальный[[#This Row],[Дата платежа из графика]]=""),0,
AND(S1317=0,Первоначальный[[#This Row],[Дата платежа из графика]]=1,MAX((0&lt;&gt;S$12:S1317)*ROW(S$12:S1317),ROW($S$12))&gt;=MAX((1=Z$12:Z1317)*ROW(Z$12:Z1317),ROW($T$12)),TYPE(VLOOKUP("Да",(INDIRECT("AA"&amp;(MAX((1=Z$12:Z1317)*ROW(Z$12:Z1317),ROW($T$12))&amp;":AA"&amp;(ROW()-1)))),1,0))=16),MIN(LOOKUP(,-1/($Z$12:Z1318=1),$C$12:C1318)+LOOKUP(,-1/($Z$12:Z1318=1),$H$12:H1318),Первоначальный[[#This Row],[Полученный платеж]]+Y1317),
AND(S1317=0,TYPE(VLOOKUP("Да",(INDIRECT("AA"&amp;(MAX((1=Z$12:Z1317)*ROW(Z$12:Z1317),ROW($T$12))&amp;":AA"&amp;(ROW()-1)))),1,0))&lt;&gt;16),MIN(LOOKUP(,-1/($Z$12:Z1318=1),$C$12:C1318)+LOOKUP(,-1/($Z$12:Z1318=1),$H$12:H1318)-IF(AA1317="Да",0,SUM(INDIRECT("T"&amp;(MAX(("Да"=AA$12:AA1317)*ROW(AA$12:AA1317)+1,ROW($T$12))&amp;":T"&amp;(ROW()-1))))),Первоначальный[[#This Row],[Полученный платеж]]+Y1317),
AND(S1317=0,MAX((0&lt;&gt;N$12:N1317)*ROW(N$12:N1317),ROW($S$12))&gt;=MAX((1=Z$12:Z1317)*ROW(Z$12:Z1317),ROW($T$12))),MIN(LOOKUP(,-1/($Z$12:Z1318=1),$C$12:C1318)+LOOKUP(,-1/($Z$12:Z1318=1),$H$12:H1318)-IF(N1317&lt;&gt;0,0,SUM(INDIRECT("T"&amp;(MAX((0&lt;&gt;N$12:N1317)*ROW(N$12:N1317)+1,ROW($T$12))&amp;":T"&amp;(ROW()-1))))),Первоначальный[[#This Row],[Полученный платеж]]+Y1317),
AND(S1317=0,Первоначальный[[#This Row],[Дата платежа из графика]]=1),MIN(LOOKUP(,-1/($Z$12:Z1318=1),$C$12:C1318)+LOOKUP(,-1/($Z$12:Z1318=1),$H$12:H1318)-IF(Z1317=1,0,SUM(INDIRECT("T"&amp;(MAX((1=Z$12:Z1317)*ROW(Z$12:Z1317)+1,ROW($T$12))&amp;":T"&amp;(ROW()-1))))),Первоначальный[[#This Row],[Полученный платеж]]+Y1317),
AND(Z1317&gt;0,Первоначальный[[#This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платеж]]+Y1317),
AND(S1317&gt;0,MAX((0&lt;&gt;S$12:S1317)*ROW(S$12:S1317),ROW($S$12))&gt;=MAX((1=Z$12:Z1317)*ROW(Z$12:Z1317),ROW($T$12)),TYPE(VLOOKUP("Да",(INDIRECT("AA"&amp;(MAX((1=Z$12:Z1317)*ROW(Z$12:Z1317),ROW($T$12))&amp;":AA"&amp;(ROW()-1)))),1,0))=16),MIN(LOOKUP(,-1/($Z$12:Z1318=1),$C$12:C1318)+LOOKUP(,-1/($Z$12:Z1318=1),$H$12:H1318)-SUM(INDIRECT("T"&amp;(MAX((1=Z$12:Z1317)*ROW(Z$12:Z1317),ROW($T$12))&amp;":T"&amp;(ROW()-1)))),Первоначальный[[#This Row],[Полученный платеж]]+Y1317),
S1317&gt;0,MIN(LOOKUP(,-1/($Z$12:Z1318=1),$C$12:C1318)+LOOKUP(,-1/($Z$12:Z1318=1),$H$12:H1318)-IF(Z1317=1,0,SUM(INDIRECT("T"&amp;(MAX((1=Z$12:Z1317)*ROW(Z$12:Z1317)+1,ROW($T$12))&amp;":T"&amp;(ROW()-1))))),Первоначальный[[#This Row],[Полученный платеж]]+Y1317)
)
)
)</f>
        <v>0</v>
      </c>
      <c r="U131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платеж]]+Y1317-Первоначальный[[#This Row],[Полученный платёж по процентам]])</f>
        <v>0</v>
      </c>
      <c r="V1318" s="55">
        <f t="shared" ca="1" si="243"/>
        <v>0</v>
      </c>
      <c r="W1318" s="55" cm="1">
        <f t="array" aca="1" ref="W1318" ca="1">IF(Первоначальный[[#This Row],[Итого остаток на начало периода]]&lt;1,0,
_xlfn.IFS(
AND(TYPE(VLOOKUP(1,$Z$12:Z1318,1,0))=16,Первоначальный[[#This Row],[Досрочное погашение (да/"")]]=""),0,
AND(S1317=0,Первоначальный[[#This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платеж]]+Y1317-SUM(Первоначальный[[#This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комиссиям]]),VLOOKUP(LOOKUP(,-1/($Z$12:Z1318=1),$A$12:A1318),График[[Срок конец]:[Возврат основной суммы долга]],3,0)),
AND(S1317=0,Первоначальный[[#This Row],[Дата платежа из графика]]="",Первоначальный[[#This Row],[Досрочное погашение (да/"")]]&lt;&gt;"Да"),0,
AND(S1317=0,Первоначальный[[#This Row],[Досрочное погашение (да/"")]]=""),MIN(Первоначальный[[#This Row],[Полученный платеж]]+Y1317-SUM(Первоначальный[[#This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комиссиям]]),VLOOKUP(LOOKUP(,-1/($Z$12:Z1318=1),$A$12:A1318),График[[Срок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платеж]]+Y1317-SUM(Первоначальный[[#This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S1317&gt;0,MIN(Первоначальный[[#This Row],[Полученный платеж]]+Y1317-SUM(Первоначальный[[#This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комиссиям]]),SUM(INDIRECT("M"&amp;(MAX((1=S$12:S1317)*ROW(S$12:S1317),ROW($W$12))&amp;":M"&amp;(ROW()))))-SUM(INDIRECT("W"&amp;(MAX((1=S$12:S1317)*ROW(S$12:S1317),ROW($W$12))&amp;":W"&amp;(ROW()-1)))))
)
)</f>
        <v>0</v>
      </c>
      <c r="X1318" s="55">
        <f t="shared" ca="1" si="244"/>
        <v>0</v>
      </c>
      <c r="Y1318" s="101">
        <f t="shared" ca="1" si="251"/>
        <v>0</v>
      </c>
      <c r="Z1318" s="133" t="str">
        <f>IF(TYPE((VLOOKUP(Первоначальный[[#This Row],[Дата платежа]],График[Срок конец],1,0)))=16,"",1)</f>
        <v/>
      </c>
      <c r="AA1318" s="57"/>
      <c r="AB1318" s="134"/>
      <c r="AC131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1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94330.220000000394</v>
      </c>
      <c r="AE131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7107.7199999999993</v>
      </c>
      <c r="AF131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1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360175.70798032702</v>
      </c>
      <c r="AH1318" s="55"/>
      <c r="AI1318" s="55"/>
      <c r="AJ1318" s="55"/>
      <c r="AK1318" s="101">
        <f t="shared" ca="1" si="252"/>
        <v>611246.98798032745</v>
      </c>
      <c r="AL1318" s="129">
        <f t="array" ref="AL1318">MAX((УслРестрактов[Характеристика]="Дата реструктуризации")*(УслРестрактов[Значение]=Первоначальный!$A1318),0)</f>
        <v>0</v>
      </c>
    </row>
    <row r="1319" spans="1:38" x14ac:dyDescent="0.25">
      <c r="A1319" s="97">
        <f t="shared" si="245"/>
        <v>45450</v>
      </c>
      <c r="B1319" s="100">
        <f t="shared" ca="1" si="246"/>
        <v>149633.34</v>
      </c>
      <c r="C1319" s="55">
        <f t="shared" ca="1" si="242"/>
        <v>94330.220000000394</v>
      </c>
      <c r="D1319" s="55">
        <f t="shared" ca="1" si="242"/>
        <v>7107.7199999999993</v>
      </c>
      <c r="E1319" s="55">
        <f t="shared" ca="1" si="247"/>
        <v>0</v>
      </c>
      <c r="F1319" s="55">
        <f t="shared" ca="1" si="248"/>
        <v>360175.70798032702</v>
      </c>
      <c r="G1319" s="101">
        <f t="shared" ca="1" si="249"/>
        <v>611246.98798032745</v>
      </c>
      <c r="H1319" s="100">
        <f ca="1">ROUND($B1319*VLOOKUP($A1319,$A$1:$B$10,2,1)/(365+IF(MOD(YEAR($A1319),4),0,1)*($A1319-$A1318)),2)-Первоначальный[[#This Row],[Проценты на просроченный платеж по ОД за период]]</f>
        <v>68.599999999999994</v>
      </c>
      <c r="I1319" s="55">
        <f t="shared" ca="1" si="250"/>
        <v>12.76</v>
      </c>
      <c r="J1319" s="55">
        <v>0</v>
      </c>
      <c r="K1319" s="55">
        <f t="shared" ca="1" si="253"/>
        <v>579.33350327868845</v>
      </c>
      <c r="L1319" s="55">
        <v>0</v>
      </c>
      <c r="M1319" s="113">
        <f>SUMIFS(График[Возврат основной суммы долга],График[Дата с учетом нерабочих дней],$A1319)</f>
        <v>0</v>
      </c>
      <c r="N1319" s="56">
        <f>SUMIFS(График[Возврат начисленных %],График[Дата с учетом нерабочих дней],$A1319)</f>
        <v>0</v>
      </c>
      <c r="O1319" s="101">
        <v>0</v>
      </c>
      <c r="P1319" s="100" cm="1">
        <f t="array" aca="1" ref="P1319" ca="1">MAX(IF(AA1318="Да",0,SUM(INDIRECT("M"&amp;(MAX(("Да"=AA$12:AA1318)*ROW(AA$12:AA1318)+1,ROW($P$12))&amp;":M"&amp;(ROW()))))-SUM(INDIRECT("W"&amp;(MAX(("Да"=AA$12:AA1318)*ROW(AA$12:AA1318)+1,ROW($P$12))&amp;":W"&amp;(ROW()))))),0)</f>
        <v>23462.519999999997</v>
      </c>
      <c r="Q1319" s="99">
        <f ca="1">MAX(SUM($N$13:N1319)-SUM($T$13:T1319),0)</f>
        <v>92404.180655737684</v>
      </c>
      <c r="R1319" s="99">
        <f ca="1">Первоначальный[[#This Row],[Просроченный платеж по ОД]]+Первоначальный[[#This Row],[Просроченный платеж по процентам]]</f>
        <v>115866.70065573769</v>
      </c>
      <c r="S1319" s="120">
        <f ca="1">IF(Первоначальный[[#This Row],[Просроченный платеж]]&lt;1,0,S1318+1)</f>
        <v>1215</v>
      </c>
      <c r="T1319" s="100" cm="1">
        <f t="array" aca="1" ref="T1319" ca="1">IF(Первоначальный[[#This Row],[Итого остаток на начало периода]]&lt;1,0,
IF(
AND(TYPE(VLOOKUP(1,$Z$12:Z1319,1,0))=16,Первоначальный[[#This Row],[Досрочное погашение (да/"")]]=""),0,
_xlfn.IFS(AND(S1318=0,Первоначальный[[#This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платеж]]&lt;&gt;0),MIN(LOOKUP(,-1/($Z$12:Z1319=1),$C$12:C1319)+LOOKUP(,-1/($Z$12:Z1319=1),$H$12:H1319),Первоначальный[[#This Row],[Полученный платеж]]+Y1318),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платеж]]+Y1318,SUM(Первоначальный[[#This Row],[Остаток процентов на начало периода]],Первоначальный[[#This Row],[Проценты за период]])),
AND(S1318=0,Первоначальный[[#This Row],[Дата платежа из графика]]=""),0,
AND(S1318=0,Первоначальный[[#This Row],[Дата платежа из графика]]=1,MAX((0&lt;&gt;S$12:S1318)*ROW(S$12:S1318),ROW($S$12))&gt;=MAX((1=Z$12:Z1318)*ROW(Z$12:Z1318),ROW($T$12)),TYPE(VLOOKUP("Да",(INDIRECT("AA"&amp;(MAX((1=Z$12:Z1318)*ROW(Z$12:Z1318),ROW($T$12))&amp;":AA"&amp;(ROW()-1)))),1,0))=16),MIN(LOOKUP(,-1/($Z$12:Z1319=1),$C$12:C1319)+LOOKUP(,-1/($Z$12:Z1319=1),$H$12:H1319),Первоначальный[[#This Row],[Полученный платеж]]+Y1318),
AND(S1318=0,TYPE(VLOOKUP("Да",(INDIRECT("AA"&amp;(MAX((1=Z$12:Z1318)*ROW(Z$12:Z1318),ROW($T$12))&amp;":AA"&amp;(ROW()-1)))),1,0))&lt;&gt;16),MIN(LOOKUP(,-1/($Z$12:Z1319=1),$C$12:C1319)+LOOKUP(,-1/($Z$12:Z1319=1),$H$12:H1319)-IF(AA1318="Да",0,SUM(INDIRECT("T"&amp;(MAX(("Да"=AA$12:AA1318)*ROW(AA$12:AA1318)+1,ROW($T$12))&amp;":T"&amp;(ROW()-1))))),Первоначальный[[#This Row],[Полученный платеж]]+Y1318),
AND(S1318=0,MAX((0&lt;&gt;N$12:N1318)*ROW(N$12:N1318),ROW($S$12))&gt;=MAX((1=Z$12:Z1318)*ROW(Z$12:Z1318),ROW($T$12))),MIN(LOOKUP(,-1/($Z$12:Z1319=1),$C$12:C1319)+LOOKUP(,-1/($Z$12:Z1319=1),$H$12:H1319)-IF(N1318&lt;&gt;0,0,SUM(INDIRECT("T"&amp;(MAX((0&lt;&gt;N$12:N1318)*ROW(N$12:N1318)+1,ROW($T$12))&amp;":T"&amp;(ROW()-1))))),Первоначальный[[#This Row],[Полученный платеж]]+Y1318),
AND(S1318=0,Первоначальный[[#This Row],[Дата платежа из графика]]=1),MIN(LOOKUP(,-1/($Z$12:Z1319=1),$C$12:C1319)+LOOKUP(,-1/($Z$12:Z1319=1),$H$12:H1319)-IF(Z1318=1,0,SUM(INDIRECT("T"&amp;(MAX((1=Z$12:Z1318)*ROW(Z$12:Z1318)+1,ROW($T$12))&amp;":T"&amp;(ROW()-1))))),Первоначальный[[#This Row],[Полученный платеж]]+Y1318),
AND(Z1318&gt;0,Первоначальный[[#This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платеж]]+Y1318),
AND(S1318&gt;0,MAX((0&lt;&gt;S$12:S1318)*ROW(S$12:S1318),ROW($S$12))&gt;=MAX((1=Z$12:Z1318)*ROW(Z$12:Z1318),ROW($T$12)),TYPE(VLOOKUP("Да",(INDIRECT("AA"&amp;(MAX((1=Z$12:Z1318)*ROW(Z$12:Z1318),ROW($T$12))&amp;":AA"&amp;(ROW()-1)))),1,0))=16),MIN(LOOKUP(,-1/($Z$12:Z1319=1),$C$12:C1319)+LOOKUP(,-1/($Z$12:Z1319=1),$H$12:H1319)-SUM(INDIRECT("T"&amp;(MAX((1=Z$12:Z1318)*ROW(Z$12:Z1318),ROW($T$12))&amp;":T"&amp;(ROW()-1)))),Первоначальный[[#This Row],[Полученный платеж]]+Y1318),
S1318&gt;0,MIN(LOOKUP(,-1/($Z$12:Z1319=1),$C$12:C1319)+LOOKUP(,-1/($Z$12:Z1319=1),$H$12:H1319)-IF(Z1318=1,0,SUM(INDIRECT("T"&amp;(MAX((1=Z$12:Z1318)*ROW(Z$12:Z1318)+1,ROW($T$12))&amp;":T"&amp;(ROW()-1))))),Первоначальный[[#This Row],[Полученный платеж]]+Y1318)
)
)
)</f>
        <v>0</v>
      </c>
      <c r="U131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платеж]]+Y1318-Первоначальный[[#This Row],[Полученный платёж по процентам]])</f>
        <v>0</v>
      </c>
      <c r="V1319" s="55">
        <f t="shared" ca="1" si="243"/>
        <v>0</v>
      </c>
      <c r="W1319" s="55" cm="1">
        <f t="array" aca="1" ref="W1319" ca="1">IF(Первоначальный[[#This Row],[Итого остаток на начало периода]]&lt;1,0,
_xlfn.IFS(
AND(TYPE(VLOOKUP(1,$Z$12:Z1319,1,0))=16,Первоначальный[[#This Row],[Досрочное погашение (да/"")]]=""),0,
AND(S1318=0,Первоначальный[[#This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платеж]]+Y1318-SUM(Первоначальный[[#This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комиссиям]]),VLOOKUP(LOOKUP(,-1/($Z$12:Z1319=1),$A$12:A1319),График[[Срок конец]:[Возврат основной суммы долга]],3,0)),
AND(S1318=0,Первоначальный[[#This Row],[Дата платежа из графика]]="",Первоначальный[[#This Row],[Досрочное погашение (да/"")]]&lt;&gt;"Да"),0,
AND(S1318=0,Первоначальный[[#This Row],[Досрочное погашение (да/"")]]=""),MIN(Первоначальный[[#This Row],[Полученный платеж]]+Y1318-SUM(Первоначальный[[#This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комиссиям]]),VLOOKUP(LOOKUP(,-1/($Z$12:Z1319=1),$A$12:A1319),График[[Срок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платеж]]+Y1318-SUM(Первоначальный[[#This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S1318&gt;0,MIN(Первоначальный[[#This Row],[Полученный платеж]]+Y1318-SUM(Первоначальный[[#This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комиссиям]]),SUM(INDIRECT("M"&amp;(MAX((1=S$12:S1318)*ROW(S$12:S1318),ROW($W$12))&amp;":M"&amp;(ROW()))))-SUM(INDIRECT("W"&amp;(MAX((1=S$12:S1318)*ROW(S$12:S1318),ROW($W$12))&amp;":W"&amp;(ROW()-1)))))
)
)</f>
        <v>0</v>
      </c>
      <c r="X1319" s="55">
        <f t="shared" ca="1" si="244"/>
        <v>0</v>
      </c>
      <c r="Y1319" s="101">
        <f t="shared" ca="1" si="251"/>
        <v>0</v>
      </c>
      <c r="Z1319" s="133" t="str">
        <f>IF(TYPE((VLOOKUP(Первоначальный[[#This Row],[Дата платежа]],График[Срок конец],1,0)))=16,"",1)</f>
        <v/>
      </c>
      <c r="AA1319" s="57"/>
      <c r="AB1319" s="134"/>
      <c r="AC131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1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94398.8200000004</v>
      </c>
      <c r="AE131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7120.48</v>
      </c>
      <c r="AF131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1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360755.04148360569</v>
      </c>
      <c r="AH1319" s="55"/>
      <c r="AI1319" s="55"/>
      <c r="AJ1319" s="55"/>
      <c r="AK1319" s="101">
        <f t="shared" ca="1" si="252"/>
        <v>611907.68148360611</v>
      </c>
      <c r="AL1319" s="129">
        <f t="array" ref="AL1319">MAX((УслРестрактов[Характеристика]="Дата реструктуризации")*(УслРестрактов[Значение]=Первоначальный!$A1319),0)</f>
        <v>0</v>
      </c>
    </row>
    <row r="1320" spans="1:38" x14ac:dyDescent="0.25">
      <c r="A1320" s="97">
        <f t="shared" si="245"/>
        <v>45451</v>
      </c>
      <c r="B1320" s="100">
        <f t="shared" ca="1" si="246"/>
        <v>149633.34</v>
      </c>
      <c r="C1320" s="55">
        <f t="shared" ca="1" si="242"/>
        <v>94398.8200000004</v>
      </c>
      <c r="D1320" s="55">
        <f t="shared" ca="1" si="242"/>
        <v>7120.48</v>
      </c>
      <c r="E1320" s="55">
        <f t="shared" ca="1" si="247"/>
        <v>0</v>
      </c>
      <c r="F1320" s="55">
        <f t="shared" ca="1" si="248"/>
        <v>360755.04148360569</v>
      </c>
      <c r="G1320" s="101">
        <f t="shared" ca="1" si="249"/>
        <v>611907.68148360611</v>
      </c>
      <c r="H1320" s="100">
        <f ca="1">ROUND($B1320*VLOOKUP($A1320,$A$1:$B$10,2,1)/(365+IF(MOD(YEAR($A1320),4),0,1)*($A1320-$A1319)),2)-Первоначальный[[#This Row],[Проценты на просроченный платеж по ОД за период]]</f>
        <v>68.599999999999994</v>
      </c>
      <c r="I1320" s="55">
        <f t="shared" ca="1" si="250"/>
        <v>12.76</v>
      </c>
      <c r="J1320" s="55">
        <v>0</v>
      </c>
      <c r="K1320" s="55">
        <f t="shared" ca="1" si="253"/>
        <v>579.33350327868845</v>
      </c>
      <c r="L1320" s="55">
        <v>0</v>
      </c>
      <c r="M1320" s="113">
        <f>SUMIFS(График[Возврат основной суммы долга],График[Дата с учетом нерабочих дней],$A1320)</f>
        <v>0</v>
      </c>
      <c r="N1320" s="56">
        <f>SUMIFS(График[Возврат начисленных %],График[Дата с учетом нерабочих дней],$A1320)</f>
        <v>0</v>
      </c>
      <c r="O1320" s="101">
        <v>0</v>
      </c>
      <c r="P1320" s="100" cm="1">
        <f t="array" aca="1" ref="P1320" ca="1">MAX(IF(AA1319="Да",0,SUM(INDIRECT("M"&amp;(MAX(("Да"=AA$12:AA1319)*ROW(AA$12:AA1319)+1,ROW($P$12))&amp;":M"&amp;(ROW()))))-SUM(INDIRECT("W"&amp;(MAX(("Да"=AA$12:AA1319)*ROW(AA$12:AA1319)+1,ROW($P$12))&amp;":W"&amp;(ROW()))))),0)</f>
        <v>23462.519999999997</v>
      </c>
      <c r="Q1320" s="99">
        <f ca="1">MAX(SUM($N$13:N1320)-SUM($T$13:T1320),0)</f>
        <v>92404.180655737684</v>
      </c>
      <c r="R1320" s="99">
        <f ca="1">Первоначальный[[#This Row],[Просроченный платеж по ОД]]+Первоначальный[[#This Row],[Просроченный платеж по процентам]]</f>
        <v>115866.70065573769</v>
      </c>
      <c r="S1320" s="120">
        <f ca="1">IF(Первоначальный[[#This Row],[Просроченный платеж]]&lt;1,0,S1319+1)</f>
        <v>1216</v>
      </c>
      <c r="T1320" s="100" cm="1">
        <f t="array" aca="1" ref="T1320" ca="1">IF(Первоначальный[[#This Row],[Итого остаток на начало периода]]&lt;1,0,
IF(
AND(TYPE(VLOOKUP(1,$Z$12:Z1320,1,0))=16,Первоначальный[[#This Row],[Досрочное погашение (да/"")]]=""),0,
_xlfn.IFS(AND(S1319=0,Первоначальный[[#This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платеж]]&lt;&gt;0),MIN(LOOKUP(,-1/($Z$12:Z1320=1),$C$12:C1320)+LOOKUP(,-1/($Z$12:Z1320=1),$H$12:H1320),Первоначальный[[#This Row],[Полученный платеж]]+Y1319),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платеж]]+Y1319,SUM(Первоначальный[[#This Row],[Остаток процентов на начало периода]],Первоначальный[[#This Row],[Проценты за период]])),
AND(S1319=0,Первоначальный[[#This Row],[Дата платежа из графика]]=""),0,
AND(S1319=0,Первоначальный[[#This Row],[Дата платежа из графика]]=1,MAX((0&lt;&gt;S$12:S1319)*ROW(S$12:S1319),ROW($S$12))&gt;=MAX((1=Z$12:Z1319)*ROW(Z$12:Z1319),ROW($T$12)),TYPE(VLOOKUP("Да",(INDIRECT("AA"&amp;(MAX((1=Z$12:Z1319)*ROW(Z$12:Z1319),ROW($T$12))&amp;":AA"&amp;(ROW()-1)))),1,0))=16),MIN(LOOKUP(,-1/($Z$12:Z1320=1),$C$12:C1320)+LOOKUP(,-1/($Z$12:Z1320=1),$H$12:H1320),Первоначальный[[#This Row],[Полученный платеж]]+Y1319),
AND(S1319=0,TYPE(VLOOKUP("Да",(INDIRECT("AA"&amp;(MAX((1=Z$12:Z1319)*ROW(Z$12:Z1319),ROW($T$12))&amp;":AA"&amp;(ROW()-1)))),1,0))&lt;&gt;16),MIN(LOOKUP(,-1/($Z$12:Z1320=1),$C$12:C1320)+LOOKUP(,-1/($Z$12:Z1320=1),$H$12:H1320)-IF(AA1319="Да",0,SUM(INDIRECT("T"&amp;(MAX(("Да"=AA$12:AA1319)*ROW(AA$12:AA1319)+1,ROW($T$12))&amp;":T"&amp;(ROW()-1))))),Первоначальный[[#This Row],[Полученный платеж]]+Y1319),
AND(S1319=0,MAX((0&lt;&gt;N$12:N1319)*ROW(N$12:N1319),ROW($S$12))&gt;=MAX((1=Z$12:Z1319)*ROW(Z$12:Z1319),ROW($T$12))),MIN(LOOKUP(,-1/($Z$12:Z1320=1),$C$12:C1320)+LOOKUP(,-1/($Z$12:Z1320=1),$H$12:H1320)-IF(N1319&lt;&gt;0,0,SUM(INDIRECT("T"&amp;(MAX((0&lt;&gt;N$12:N1319)*ROW(N$12:N1319)+1,ROW($T$12))&amp;":T"&amp;(ROW()-1))))),Первоначальный[[#This Row],[Полученный платеж]]+Y1319),
AND(S1319=0,Первоначальный[[#This Row],[Дата платежа из графика]]=1),MIN(LOOKUP(,-1/($Z$12:Z1320=1),$C$12:C1320)+LOOKUP(,-1/($Z$12:Z1320=1),$H$12:H1320)-IF(Z1319=1,0,SUM(INDIRECT("T"&amp;(MAX((1=Z$12:Z1319)*ROW(Z$12:Z1319)+1,ROW($T$12))&amp;":T"&amp;(ROW()-1))))),Первоначальный[[#This Row],[Полученный платеж]]+Y1319),
AND(Z1319&gt;0,Первоначальный[[#This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платеж]]+Y1319),
AND(S1319&gt;0,MAX((0&lt;&gt;S$12:S1319)*ROW(S$12:S1319),ROW($S$12))&gt;=MAX((1=Z$12:Z1319)*ROW(Z$12:Z1319),ROW($T$12)),TYPE(VLOOKUP("Да",(INDIRECT("AA"&amp;(MAX((1=Z$12:Z1319)*ROW(Z$12:Z1319),ROW($T$12))&amp;":AA"&amp;(ROW()-1)))),1,0))=16),MIN(LOOKUP(,-1/($Z$12:Z1320=1),$C$12:C1320)+LOOKUP(,-1/($Z$12:Z1320=1),$H$12:H1320)-SUM(INDIRECT("T"&amp;(MAX((1=Z$12:Z1319)*ROW(Z$12:Z1319),ROW($T$12))&amp;":T"&amp;(ROW()-1)))),Первоначальный[[#This Row],[Полученный платеж]]+Y1319),
S1319&gt;0,MIN(LOOKUP(,-1/($Z$12:Z1320=1),$C$12:C1320)+LOOKUP(,-1/($Z$12:Z1320=1),$H$12:H1320)-IF(Z1319=1,0,SUM(INDIRECT("T"&amp;(MAX((1=Z$12:Z1319)*ROW(Z$12:Z1319)+1,ROW($T$12))&amp;":T"&amp;(ROW()-1))))),Первоначальный[[#This Row],[Полученный платеж]]+Y1319)
)
)
)</f>
        <v>0</v>
      </c>
      <c r="U132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платеж]]+Y1319-Первоначальный[[#This Row],[Полученный платёж по процентам]])</f>
        <v>0</v>
      </c>
      <c r="V1320" s="55">
        <f t="shared" ca="1" si="243"/>
        <v>0</v>
      </c>
      <c r="W1320" s="55" cm="1">
        <f t="array" aca="1" ref="W1320" ca="1">IF(Первоначальный[[#This Row],[Итого остаток на начало периода]]&lt;1,0,
_xlfn.IFS(
AND(TYPE(VLOOKUP(1,$Z$12:Z1320,1,0))=16,Первоначальный[[#This Row],[Досрочное погашение (да/"")]]=""),0,
AND(S1319=0,Первоначальный[[#This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платеж]]+Y1319-SUM(Первоначальный[[#This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комиссиям]]),VLOOKUP(LOOKUP(,-1/($Z$12:Z1320=1),$A$12:A1320),График[[Срок конец]:[Возврат основной суммы долга]],3,0)),
AND(S1319=0,Первоначальный[[#This Row],[Дата платежа из графика]]="",Первоначальный[[#This Row],[Досрочное погашение (да/"")]]&lt;&gt;"Да"),0,
AND(S1319=0,Первоначальный[[#This Row],[Досрочное погашение (да/"")]]=""),MIN(Первоначальный[[#This Row],[Полученный платеж]]+Y1319-SUM(Первоначальный[[#This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комиссиям]]),VLOOKUP(LOOKUP(,-1/($Z$12:Z1320=1),$A$12:A1320),График[[Срок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платеж]]+Y1319-SUM(Первоначальный[[#This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S1319&gt;0,MIN(Первоначальный[[#This Row],[Полученный платеж]]+Y1319-SUM(Первоначальный[[#This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комиссиям]]),SUM(INDIRECT("M"&amp;(MAX((1=S$12:S1319)*ROW(S$12:S1319),ROW($W$12))&amp;":M"&amp;(ROW()))))-SUM(INDIRECT("W"&amp;(MAX((1=S$12:S1319)*ROW(S$12:S1319),ROW($W$12))&amp;":W"&amp;(ROW()-1)))))
)
)</f>
        <v>0</v>
      </c>
      <c r="X1320" s="55">
        <f t="shared" ca="1" si="244"/>
        <v>0</v>
      </c>
      <c r="Y1320" s="101">
        <f t="shared" ca="1" si="251"/>
        <v>0</v>
      </c>
      <c r="Z1320" s="133" t="str">
        <f>IF(TYPE((VLOOKUP(Первоначальный[[#This Row],[Дата платежа]],График[Срок конец],1,0)))=16,"",1)</f>
        <v/>
      </c>
      <c r="AA1320" s="57"/>
      <c r="AB1320" s="134"/>
      <c r="AC132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2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94467.420000000406</v>
      </c>
      <c r="AE132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7133.24</v>
      </c>
      <c r="AF132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2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361334.37498688436</v>
      </c>
      <c r="AH1320" s="55"/>
      <c r="AI1320" s="55"/>
      <c r="AJ1320" s="55"/>
      <c r="AK1320" s="101">
        <f t="shared" ca="1" si="252"/>
        <v>612568.37498688477</v>
      </c>
      <c r="AL1320" s="129">
        <f t="array" ref="AL1320">MAX((УслРестрактов[Характеристика]="Дата реструктуризации")*(УслРестрактов[Значение]=Первоначальный!$A1320),0)</f>
        <v>0</v>
      </c>
    </row>
    <row r="1321" spans="1:38" x14ac:dyDescent="0.25">
      <c r="A1321" s="97">
        <f t="shared" si="245"/>
        <v>45452</v>
      </c>
      <c r="B1321" s="100">
        <f t="shared" ca="1" si="246"/>
        <v>149633.34</v>
      </c>
      <c r="C1321" s="55">
        <f t="shared" ca="1" si="242"/>
        <v>94467.420000000406</v>
      </c>
      <c r="D1321" s="55">
        <f t="shared" ca="1" si="242"/>
        <v>7133.24</v>
      </c>
      <c r="E1321" s="55">
        <f t="shared" ca="1" si="247"/>
        <v>0</v>
      </c>
      <c r="F1321" s="55">
        <f t="shared" ca="1" si="248"/>
        <v>361334.37498688436</v>
      </c>
      <c r="G1321" s="101">
        <f t="shared" ca="1" si="249"/>
        <v>612568.37498688477</v>
      </c>
      <c r="H1321" s="100">
        <f ca="1">ROUND($B1321*VLOOKUP($A1321,$A$1:$B$10,2,1)/(365+IF(MOD(YEAR($A1321),4),0,1)*($A1321-$A1320)),2)-Первоначальный[[#This Row],[Проценты на просроченный платеж по ОД за период]]</f>
        <v>68.599999999999994</v>
      </c>
      <c r="I1321" s="55">
        <f t="shared" ca="1" si="250"/>
        <v>12.76</v>
      </c>
      <c r="J1321" s="55">
        <v>0</v>
      </c>
      <c r="K1321" s="55">
        <f t="shared" ca="1" si="253"/>
        <v>579.33350327868845</v>
      </c>
      <c r="L1321" s="55">
        <v>0</v>
      </c>
      <c r="M1321" s="113">
        <f>SUMIFS(График[Возврат основной суммы долга],График[Дата с учетом нерабочих дней],$A1321)</f>
        <v>0</v>
      </c>
      <c r="N1321" s="56">
        <f>SUMIFS(График[Возврат начисленных %],График[Дата с учетом нерабочих дней],$A1321)</f>
        <v>0</v>
      </c>
      <c r="O1321" s="101">
        <v>0</v>
      </c>
      <c r="P1321" s="100" cm="1">
        <f t="array" aca="1" ref="P1321" ca="1">MAX(IF(AA1320="Да",0,SUM(INDIRECT("M"&amp;(MAX(("Да"=AA$12:AA1320)*ROW(AA$12:AA1320)+1,ROW($P$12))&amp;":M"&amp;(ROW()))))-SUM(INDIRECT("W"&amp;(MAX(("Да"=AA$12:AA1320)*ROW(AA$12:AA1320)+1,ROW($P$12))&amp;":W"&amp;(ROW()))))),0)</f>
        <v>23462.519999999997</v>
      </c>
      <c r="Q1321" s="99">
        <f ca="1">MAX(SUM($N$13:N1321)-SUM($T$13:T1321),0)</f>
        <v>92404.180655737684</v>
      </c>
      <c r="R1321" s="99">
        <f ca="1">Первоначальный[[#This Row],[Просроченный платеж по ОД]]+Первоначальный[[#This Row],[Просроченный платеж по процентам]]</f>
        <v>115866.70065573769</v>
      </c>
      <c r="S1321" s="120">
        <f ca="1">IF(Первоначальный[[#This Row],[Просроченный платеж]]&lt;1,0,S1320+1)</f>
        <v>1217</v>
      </c>
      <c r="T1321" s="100" cm="1">
        <f t="array" aca="1" ref="T1321" ca="1">IF(Первоначальный[[#This Row],[Итого остаток на начало периода]]&lt;1,0,
IF(
AND(TYPE(VLOOKUP(1,$Z$12:Z1321,1,0))=16,Первоначальный[[#This Row],[Досрочное погашение (да/"")]]=""),0,
_xlfn.IFS(AND(S1320=0,Первоначальный[[#This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платеж]]&lt;&gt;0),MIN(LOOKUP(,-1/($Z$12:Z1321=1),$C$12:C1321)+LOOKUP(,-1/($Z$12:Z1321=1),$H$12:H1321),Первоначальный[[#This Row],[Полученный платеж]]+Y1320),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платеж]]+Y1320,SUM(Первоначальный[[#This Row],[Остаток процентов на начало периода]],Первоначальный[[#This Row],[Проценты за период]])),
AND(S1320=0,Первоначальный[[#This Row],[Дата платежа из графика]]=""),0,
AND(S1320=0,Первоначальный[[#This Row],[Дата платежа из графика]]=1,MAX((0&lt;&gt;S$12:S1320)*ROW(S$12:S1320),ROW($S$12))&gt;=MAX((1=Z$12:Z1320)*ROW(Z$12:Z1320),ROW($T$12)),TYPE(VLOOKUP("Да",(INDIRECT("AA"&amp;(MAX((1=Z$12:Z1320)*ROW(Z$12:Z1320),ROW($T$12))&amp;":AA"&amp;(ROW()-1)))),1,0))=16),MIN(LOOKUP(,-1/($Z$12:Z1321=1),$C$12:C1321)+LOOKUP(,-1/($Z$12:Z1321=1),$H$12:H1321),Первоначальный[[#This Row],[Полученный платеж]]+Y1320),
AND(S1320=0,TYPE(VLOOKUP("Да",(INDIRECT("AA"&amp;(MAX((1=Z$12:Z1320)*ROW(Z$12:Z1320),ROW($T$12))&amp;":AA"&amp;(ROW()-1)))),1,0))&lt;&gt;16),MIN(LOOKUP(,-1/($Z$12:Z1321=1),$C$12:C1321)+LOOKUP(,-1/($Z$12:Z1321=1),$H$12:H1321)-IF(AA1320="Да",0,SUM(INDIRECT("T"&amp;(MAX(("Да"=AA$12:AA1320)*ROW(AA$12:AA1320)+1,ROW($T$12))&amp;":T"&amp;(ROW()-1))))),Первоначальный[[#This Row],[Полученный платеж]]+Y1320),
AND(S1320=0,MAX((0&lt;&gt;N$12:N1320)*ROW(N$12:N1320),ROW($S$12))&gt;=MAX((1=Z$12:Z1320)*ROW(Z$12:Z1320),ROW($T$12))),MIN(LOOKUP(,-1/($Z$12:Z1321=1),$C$12:C1321)+LOOKUP(,-1/($Z$12:Z1321=1),$H$12:H1321)-IF(N1320&lt;&gt;0,0,SUM(INDIRECT("T"&amp;(MAX((0&lt;&gt;N$12:N1320)*ROW(N$12:N1320)+1,ROW($T$12))&amp;":T"&amp;(ROW()-1))))),Первоначальный[[#This Row],[Полученный платеж]]+Y1320),
AND(S1320=0,Первоначальный[[#This Row],[Дата платежа из графика]]=1),MIN(LOOKUP(,-1/($Z$12:Z1321=1),$C$12:C1321)+LOOKUP(,-1/($Z$12:Z1321=1),$H$12:H1321)-IF(Z1320=1,0,SUM(INDIRECT("T"&amp;(MAX((1=Z$12:Z1320)*ROW(Z$12:Z1320)+1,ROW($T$12))&amp;":T"&amp;(ROW()-1))))),Первоначальный[[#This Row],[Полученный платеж]]+Y1320),
AND(Z1320&gt;0,Первоначальный[[#This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платеж]]+Y1320),
AND(S1320&gt;0,MAX((0&lt;&gt;S$12:S1320)*ROW(S$12:S1320),ROW($S$12))&gt;=MAX((1=Z$12:Z1320)*ROW(Z$12:Z1320),ROW($T$12)),TYPE(VLOOKUP("Да",(INDIRECT("AA"&amp;(MAX((1=Z$12:Z1320)*ROW(Z$12:Z1320),ROW($T$12))&amp;":AA"&amp;(ROW()-1)))),1,0))=16),MIN(LOOKUP(,-1/($Z$12:Z1321=1),$C$12:C1321)+LOOKUP(,-1/($Z$12:Z1321=1),$H$12:H1321)-SUM(INDIRECT("T"&amp;(MAX((1=Z$12:Z1320)*ROW(Z$12:Z1320),ROW($T$12))&amp;":T"&amp;(ROW()-1)))),Первоначальный[[#This Row],[Полученный платеж]]+Y1320),
S1320&gt;0,MIN(LOOKUP(,-1/($Z$12:Z1321=1),$C$12:C1321)+LOOKUP(,-1/($Z$12:Z1321=1),$H$12:H1321)-IF(Z1320=1,0,SUM(INDIRECT("T"&amp;(MAX((1=Z$12:Z1320)*ROW(Z$12:Z1320)+1,ROW($T$12))&amp;":T"&amp;(ROW()-1))))),Первоначальный[[#This Row],[Полученный платеж]]+Y1320)
)
)
)</f>
        <v>0</v>
      </c>
      <c r="U132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платеж]]+Y1320-Первоначальный[[#This Row],[Полученный платёж по процентам]])</f>
        <v>0</v>
      </c>
      <c r="V1321" s="55">
        <f t="shared" ca="1" si="243"/>
        <v>0</v>
      </c>
      <c r="W1321" s="55" cm="1">
        <f t="array" aca="1" ref="W1321" ca="1">IF(Первоначальный[[#This Row],[Итого остаток на начало периода]]&lt;1,0,
_xlfn.IFS(
AND(TYPE(VLOOKUP(1,$Z$12:Z1321,1,0))=16,Первоначальный[[#This Row],[Досрочное погашение (да/"")]]=""),0,
AND(S1320=0,Первоначальный[[#This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платеж]]+Y1320-SUM(Первоначальный[[#This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комиссиям]]),VLOOKUP(LOOKUP(,-1/($Z$12:Z1321=1),$A$12:A1321),График[[Срок конец]:[Возврат основной суммы долга]],3,0)),
AND(S1320=0,Первоначальный[[#This Row],[Дата платежа из графика]]="",Первоначальный[[#This Row],[Досрочное погашение (да/"")]]&lt;&gt;"Да"),0,
AND(S1320=0,Первоначальный[[#This Row],[Досрочное погашение (да/"")]]=""),MIN(Первоначальный[[#This Row],[Полученный платеж]]+Y1320-SUM(Первоначальный[[#This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комиссиям]]),VLOOKUP(LOOKUP(,-1/($Z$12:Z1321=1),$A$12:A1321),График[[Срок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платеж]]+Y1320-SUM(Первоначальный[[#This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S1320&gt;0,MIN(Первоначальный[[#This Row],[Полученный платеж]]+Y1320-SUM(Первоначальный[[#This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комиссиям]]),SUM(INDIRECT("M"&amp;(MAX((1=S$12:S1320)*ROW(S$12:S1320),ROW($W$12))&amp;":M"&amp;(ROW()))))-SUM(INDIRECT("W"&amp;(MAX((1=S$12:S1320)*ROW(S$12:S1320),ROW($W$12))&amp;":W"&amp;(ROW()-1)))))
)
)</f>
        <v>0</v>
      </c>
      <c r="X1321" s="55">
        <f t="shared" ca="1" si="244"/>
        <v>0</v>
      </c>
      <c r="Y1321" s="101">
        <f t="shared" ca="1" si="251"/>
        <v>0</v>
      </c>
      <c r="Z1321" s="133">
        <f>IF(TYPE((VLOOKUP(Первоначальный[[#This Row],[Дата платежа]],График[Срок конец],1,0)))=16,"",1)</f>
        <v>1</v>
      </c>
      <c r="AA1321" s="57"/>
      <c r="AB1321" s="134"/>
      <c r="AC132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2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94536.020000000412</v>
      </c>
      <c r="AE132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7146</v>
      </c>
      <c r="AF132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2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361913.70849016303</v>
      </c>
      <c r="AH1321" s="55"/>
      <c r="AI1321" s="55"/>
      <c r="AJ1321" s="55"/>
      <c r="AK1321" s="101">
        <f t="shared" ca="1" si="252"/>
        <v>613229.06849016342</v>
      </c>
      <c r="AL1321" s="129">
        <f t="array" ref="AL1321">MAX((УслРестрактов[Характеристика]="Дата реструктуризации")*(УслРестрактов[Значение]=Первоначальный!$A1321),0)</f>
        <v>0</v>
      </c>
    </row>
    <row r="1322" spans="1:38" x14ac:dyDescent="0.25">
      <c r="A1322" s="97">
        <f t="shared" si="245"/>
        <v>45453</v>
      </c>
      <c r="B1322" s="100">
        <f t="shared" ca="1" si="246"/>
        <v>149633.34</v>
      </c>
      <c r="C1322" s="55">
        <f t="shared" ca="1" si="242"/>
        <v>94536.020000000412</v>
      </c>
      <c r="D1322" s="55">
        <f t="shared" ca="1" si="242"/>
        <v>7146</v>
      </c>
      <c r="E1322" s="55">
        <f t="shared" ca="1" si="247"/>
        <v>0</v>
      </c>
      <c r="F1322" s="55">
        <f t="shared" ca="1" si="248"/>
        <v>361913.70849016303</v>
      </c>
      <c r="G1322" s="101">
        <f t="shared" ca="1" si="249"/>
        <v>613229.06849016342</v>
      </c>
      <c r="H1322" s="100">
        <f ca="1">ROUND($B1322*VLOOKUP($A1322,$A$1:$B$10,2,1)/(365+IF(MOD(YEAR($A1322),4),0,1)*($A1322-$A1321)),2)-Первоначальный[[#This Row],[Проценты на просроченный платеж по ОД за период]]</f>
        <v>68.599999999999994</v>
      </c>
      <c r="I1322" s="55">
        <f t="shared" ca="1" si="250"/>
        <v>12.76</v>
      </c>
      <c r="J1322" s="55">
        <v>0</v>
      </c>
      <c r="K1322" s="55">
        <f t="shared" ca="1" si="253"/>
        <v>593.81850327868847</v>
      </c>
      <c r="L1322" s="55">
        <v>0</v>
      </c>
      <c r="M1322" s="113">
        <f>SUMIFS(График[Возврат основной суммы долга],График[Дата с учетом нерабочих дней],$A1322)</f>
        <v>770.36999999999989</v>
      </c>
      <c r="N1322" s="56">
        <f>SUMIFS(График[Возврат начисленных %],График[Дата с учетом нерабочих дней],$A1322)</f>
        <v>2126.63</v>
      </c>
      <c r="O1322" s="101">
        <v>0</v>
      </c>
      <c r="P1322" s="100" cm="1">
        <f t="array" aca="1" ref="P1322" ca="1">MAX(IF(AA1321="Да",0,SUM(INDIRECT("M"&amp;(MAX(("Да"=AA$12:AA1321)*ROW(AA$12:AA1321)+1,ROW($P$12))&amp;":M"&amp;(ROW()))))-SUM(INDIRECT("W"&amp;(MAX(("Да"=AA$12:AA1321)*ROW(AA$12:AA1321)+1,ROW($P$12))&amp;":W"&amp;(ROW()))))),0)</f>
        <v>24232.889999999996</v>
      </c>
      <c r="Q1322" s="99">
        <f ca="1">MAX(SUM($N$13:N1322)-SUM($T$13:T1322),0)</f>
        <v>94530.810655737689</v>
      </c>
      <c r="R1322" s="99">
        <f ca="1">Первоначальный[[#This Row],[Просроченный платеж по ОД]]+Первоначальный[[#This Row],[Просроченный платеж по процентам]]</f>
        <v>118763.70065573769</v>
      </c>
      <c r="S1322" s="120">
        <f ca="1">IF(Первоначальный[[#This Row],[Просроченный платеж]]&lt;1,0,S1321+1)</f>
        <v>1218</v>
      </c>
      <c r="T1322" s="100" cm="1">
        <f t="array" aca="1" ref="T1322" ca="1">IF(Первоначальный[[#This Row],[Итого остаток на начало периода]]&lt;1,0,
IF(
AND(TYPE(VLOOKUP(1,$Z$12:Z1322,1,0))=16,Первоначальный[[#This Row],[Досрочное погашение (да/"")]]=""),0,
_xlfn.IFS(AND(S1321=0,Первоначальный[[#This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платеж]]&lt;&gt;0),MIN(LOOKUP(,-1/($Z$12:Z1322=1),$C$12:C1322)+LOOKUP(,-1/($Z$12:Z1322=1),$H$12:H1322),Первоначальный[[#This Row],[Полученный платеж]]+Y1321),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платеж]]+Y1321,SUM(Первоначальный[[#This Row],[Остаток процентов на начало периода]],Первоначальный[[#This Row],[Проценты за период]])),
AND(S1321=0,Первоначальный[[#This Row],[Дата платежа из графика]]=""),0,
AND(S1321=0,Первоначальный[[#This Row],[Дата платежа из графика]]=1,MAX((0&lt;&gt;S$12:S1321)*ROW(S$12:S1321),ROW($S$12))&gt;=MAX((1=Z$12:Z1321)*ROW(Z$12:Z1321),ROW($T$12)),TYPE(VLOOKUP("Да",(INDIRECT("AA"&amp;(MAX((1=Z$12:Z1321)*ROW(Z$12:Z1321),ROW($T$12))&amp;":AA"&amp;(ROW()-1)))),1,0))=16),MIN(LOOKUP(,-1/($Z$12:Z1322=1),$C$12:C1322)+LOOKUP(,-1/($Z$12:Z1322=1),$H$12:H1322),Первоначальный[[#This Row],[Полученный платеж]]+Y1321),
AND(S1321=0,TYPE(VLOOKUP("Да",(INDIRECT("AA"&amp;(MAX((1=Z$12:Z1321)*ROW(Z$12:Z1321),ROW($T$12))&amp;":AA"&amp;(ROW()-1)))),1,0))&lt;&gt;16),MIN(LOOKUP(,-1/($Z$12:Z1322=1),$C$12:C1322)+LOOKUP(,-1/($Z$12:Z1322=1),$H$12:H1322)-IF(AA1321="Да",0,SUM(INDIRECT("T"&amp;(MAX(("Да"=AA$12:AA1321)*ROW(AA$12:AA1321)+1,ROW($T$12))&amp;":T"&amp;(ROW()-1))))),Первоначальный[[#This Row],[Полученный платеж]]+Y1321),
AND(S1321=0,MAX((0&lt;&gt;N$12:N1321)*ROW(N$12:N1321),ROW($S$12))&gt;=MAX((1=Z$12:Z1321)*ROW(Z$12:Z1321),ROW($T$12))),MIN(LOOKUP(,-1/($Z$12:Z1322=1),$C$12:C1322)+LOOKUP(,-1/($Z$12:Z1322=1),$H$12:H1322)-IF(N1321&lt;&gt;0,0,SUM(INDIRECT("T"&amp;(MAX((0&lt;&gt;N$12:N1321)*ROW(N$12:N1321)+1,ROW($T$12))&amp;":T"&amp;(ROW()-1))))),Первоначальный[[#This Row],[Полученный платеж]]+Y1321),
AND(S1321=0,Первоначальный[[#This Row],[Дата платежа из графика]]=1),MIN(LOOKUP(,-1/($Z$12:Z1322=1),$C$12:C1322)+LOOKUP(,-1/($Z$12:Z1322=1),$H$12:H1322)-IF(Z1321=1,0,SUM(INDIRECT("T"&amp;(MAX((1=Z$12:Z1321)*ROW(Z$12:Z1321)+1,ROW($T$12))&amp;":T"&amp;(ROW()-1))))),Первоначальный[[#This Row],[Полученный платеж]]+Y1321),
AND(Z1321&gt;0,Первоначальный[[#This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платеж]]+Y1321),
AND(S1321&gt;0,MAX((0&lt;&gt;S$12:S1321)*ROW(S$12:S1321),ROW($S$12))&gt;=MAX((1=Z$12:Z1321)*ROW(Z$12:Z1321),ROW($T$12)),TYPE(VLOOKUP("Да",(INDIRECT("AA"&amp;(MAX((1=Z$12:Z1321)*ROW(Z$12:Z1321),ROW($T$12))&amp;":AA"&amp;(ROW()-1)))),1,0))=16),MIN(LOOKUP(,-1/($Z$12:Z1322=1),$C$12:C1322)+LOOKUP(,-1/($Z$12:Z1322=1),$H$12:H1322)-SUM(INDIRECT("T"&amp;(MAX((1=Z$12:Z1321)*ROW(Z$12:Z1321),ROW($T$12))&amp;":T"&amp;(ROW()-1)))),Первоначальный[[#This Row],[Полученный платеж]]+Y1321),
S1321&gt;0,MIN(LOOKUP(,-1/($Z$12:Z1322=1),$C$12:C1322)+LOOKUP(,-1/($Z$12:Z1322=1),$H$12:H1322)-IF(Z1321=1,0,SUM(INDIRECT("T"&amp;(MAX((1=Z$12:Z1321)*ROW(Z$12:Z1321)+1,ROW($T$12))&amp;":T"&amp;(ROW()-1))))),Первоначальный[[#This Row],[Полученный платеж]]+Y1321)
)
)
)</f>
        <v>0</v>
      </c>
      <c r="U132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платеж]]+Y1321-Первоначальный[[#This Row],[Полученный платёж по процентам]])</f>
        <v>0</v>
      </c>
      <c r="V1322" s="55">
        <f t="shared" ca="1" si="243"/>
        <v>0</v>
      </c>
      <c r="W1322" s="55" cm="1">
        <f t="array" aca="1" ref="W1322" ca="1">IF(Первоначальный[[#This Row],[Итого остаток на начало периода]]&lt;1,0,
_xlfn.IFS(
AND(TYPE(VLOOKUP(1,$Z$12:Z1322,1,0))=16,Первоначальный[[#This Row],[Досрочное погашение (да/"")]]=""),0,
AND(S1321=0,Первоначальный[[#This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платеж]]+Y1321-SUM(Первоначальный[[#This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комиссиям]]),VLOOKUP(LOOKUP(,-1/($Z$12:Z1322=1),$A$12:A1322),График[[Срок конец]:[Возврат основной суммы долга]],3,0)),
AND(S1321=0,Первоначальный[[#This Row],[Дата платежа из графика]]="",Первоначальный[[#This Row],[Досрочное погашение (да/"")]]&lt;&gt;"Да"),0,
AND(S1321=0,Первоначальный[[#This Row],[Досрочное погашение (да/"")]]=""),MIN(Первоначальный[[#This Row],[Полученный платеж]]+Y1321-SUM(Первоначальный[[#This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комиссиям]]),VLOOKUP(LOOKUP(,-1/($Z$12:Z1322=1),$A$12:A1322),График[[Срок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платеж]]+Y1321-SUM(Первоначальный[[#This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S1321&gt;0,MIN(Первоначальный[[#This Row],[Полученный платеж]]+Y1321-SUM(Первоначальный[[#This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комиссиям]]),SUM(INDIRECT("M"&amp;(MAX((1=S$12:S1321)*ROW(S$12:S1321),ROW($W$12))&amp;":M"&amp;(ROW()))))-SUM(INDIRECT("W"&amp;(MAX((1=S$12:S1321)*ROW(S$12:S1321),ROW($W$12))&amp;":W"&amp;(ROW()-1)))))
)
)</f>
        <v>0</v>
      </c>
      <c r="X1322" s="55">
        <f t="shared" ca="1" si="244"/>
        <v>0</v>
      </c>
      <c r="Y1322" s="101">
        <f t="shared" ca="1" si="251"/>
        <v>0</v>
      </c>
      <c r="Z1322" s="133" t="str">
        <f>IF(TYPE((VLOOKUP(Первоначальный[[#This Row],[Дата платежа]],График[Срок конец],1,0)))=16,"",1)</f>
        <v/>
      </c>
      <c r="AA1322" s="57"/>
      <c r="AB1322" s="134"/>
      <c r="AC132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2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94604.620000000417</v>
      </c>
      <c r="AE132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7158.76</v>
      </c>
      <c r="AF132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2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362507.52699344174</v>
      </c>
      <c r="AH1322" s="55"/>
      <c r="AI1322" s="55"/>
      <c r="AJ1322" s="55"/>
      <c r="AK1322" s="101">
        <f t="shared" ca="1" si="252"/>
        <v>613904.24699344218</v>
      </c>
      <c r="AL1322" s="129">
        <f t="array" ref="AL1322">MAX((УслРестрактов[Характеристика]="Дата реструктуризации")*(УслРестрактов[Значение]=Первоначальный!$A1322),0)</f>
        <v>0</v>
      </c>
    </row>
    <row r="1323" spans="1:38" x14ac:dyDescent="0.25">
      <c r="A1323" s="97">
        <f t="shared" si="245"/>
        <v>45454</v>
      </c>
      <c r="B1323" s="100">
        <f t="shared" ca="1" si="246"/>
        <v>149633.34</v>
      </c>
      <c r="C1323" s="55">
        <f t="shared" ca="1" si="242"/>
        <v>94604.620000000417</v>
      </c>
      <c r="D1323" s="55">
        <f t="shared" ca="1" si="242"/>
        <v>7158.76</v>
      </c>
      <c r="E1323" s="55">
        <f t="shared" ca="1" si="247"/>
        <v>0</v>
      </c>
      <c r="F1323" s="55">
        <f t="shared" ca="1" si="248"/>
        <v>362507.52699344174</v>
      </c>
      <c r="G1323" s="101">
        <f t="shared" ca="1" si="249"/>
        <v>613904.24699344218</v>
      </c>
      <c r="H1323" s="100">
        <f ca="1">ROUND($B1323*VLOOKUP($A1323,$A$1:$B$10,2,1)/(365+IF(MOD(YEAR($A1323),4),0,1)*($A1323-$A1322)),2)-Первоначальный[[#This Row],[Проценты на просроченный платеж по ОД за период]]</f>
        <v>68.180000000000007</v>
      </c>
      <c r="I1323" s="55">
        <f t="shared" ca="1" si="250"/>
        <v>13.18</v>
      </c>
      <c r="J1323" s="55">
        <v>0</v>
      </c>
      <c r="K1323" s="55">
        <f t="shared" ca="1" si="253"/>
        <v>593.81850327868847</v>
      </c>
      <c r="L1323" s="55">
        <v>0</v>
      </c>
      <c r="M1323" s="113">
        <f>SUMIFS(График[Возврат основной суммы долга],График[Дата с учетом нерабочих дней],$A1323)</f>
        <v>0</v>
      </c>
      <c r="N1323" s="56">
        <f>SUMIFS(График[Возврат начисленных %],График[Дата с учетом нерабочих дней],$A1323)</f>
        <v>0</v>
      </c>
      <c r="O1323" s="101">
        <v>0</v>
      </c>
      <c r="P1323" s="100" cm="1">
        <f t="array" aca="1" ref="P1323" ca="1">MAX(IF(AA1322="Да",0,SUM(INDIRECT("M"&amp;(MAX(("Да"=AA$12:AA1322)*ROW(AA$12:AA1322)+1,ROW($P$12))&amp;":M"&amp;(ROW()))))-SUM(INDIRECT("W"&amp;(MAX(("Да"=AA$12:AA1322)*ROW(AA$12:AA1322)+1,ROW($P$12))&amp;":W"&amp;(ROW()))))),0)</f>
        <v>24232.889999999996</v>
      </c>
      <c r="Q1323" s="99">
        <f ca="1">MAX(SUM($N$13:N1323)-SUM($T$13:T1323),0)</f>
        <v>94530.810655737689</v>
      </c>
      <c r="R1323" s="99">
        <f ca="1">Первоначальный[[#This Row],[Просроченный платеж по ОД]]+Первоначальный[[#This Row],[Просроченный платеж по процентам]]</f>
        <v>118763.70065573769</v>
      </c>
      <c r="S1323" s="120">
        <f ca="1">IF(Первоначальный[[#This Row],[Просроченный платеж]]&lt;1,0,S1322+1)</f>
        <v>1219</v>
      </c>
      <c r="T1323" s="100" cm="1">
        <f t="array" aca="1" ref="T1323" ca="1">IF(Первоначальный[[#This Row],[Итого остаток на начало периода]]&lt;1,0,
IF(
AND(TYPE(VLOOKUP(1,$Z$12:Z1323,1,0))=16,Первоначальный[[#This Row],[Досрочное погашение (да/"")]]=""),0,
_xlfn.IFS(AND(S1322=0,Первоначальный[[#This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платеж]]&lt;&gt;0),MIN(LOOKUP(,-1/($Z$12:Z1323=1),$C$12:C1323)+LOOKUP(,-1/($Z$12:Z1323=1),$H$12:H1323),Первоначальный[[#This Row],[Полученный платеж]]+Y1322),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платеж]]+Y1322,SUM(Первоначальный[[#This Row],[Остаток процентов на начало периода]],Первоначальный[[#This Row],[Проценты за период]])),
AND(S1322=0,Первоначальный[[#This Row],[Дата платежа из графика]]=""),0,
AND(S1322=0,Первоначальный[[#This Row],[Дата платежа из графика]]=1,MAX((0&lt;&gt;S$12:S1322)*ROW(S$12:S1322),ROW($S$12))&gt;=MAX((1=Z$12:Z1322)*ROW(Z$12:Z1322),ROW($T$12)),TYPE(VLOOKUP("Да",(INDIRECT("AA"&amp;(MAX((1=Z$12:Z1322)*ROW(Z$12:Z1322),ROW($T$12))&amp;":AA"&amp;(ROW()-1)))),1,0))=16),MIN(LOOKUP(,-1/($Z$12:Z1323=1),$C$12:C1323)+LOOKUP(,-1/($Z$12:Z1323=1),$H$12:H1323),Первоначальный[[#This Row],[Полученный платеж]]+Y1322),
AND(S1322=0,TYPE(VLOOKUP("Да",(INDIRECT("AA"&amp;(MAX((1=Z$12:Z1322)*ROW(Z$12:Z1322),ROW($T$12))&amp;":AA"&amp;(ROW()-1)))),1,0))&lt;&gt;16),MIN(LOOKUP(,-1/($Z$12:Z1323=1),$C$12:C1323)+LOOKUP(,-1/($Z$12:Z1323=1),$H$12:H1323)-IF(AA1322="Да",0,SUM(INDIRECT("T"&amp;(MAX(("Да"=AA$12:AA1322)*ROW(AA$12:AA1322)+1,ROW($T$12))&amp;":T"&amp;(ROW()-1))))),Первоначальный[[#This Row],[Полученный платеж]]+Y1322),
AND(S1322=0,MAX((0&lt;&gt;N$12:N1322)*ROW(N$12:N1322),ROW($S$12))&gt;=MAX((1=Z$12:Z1322)*ROW(Z$12:Z1322),ROW($T$12))),MIN(LOOKUP(,-1/($Z$12:Z1323=1),$C$12:C1323)+LOOKUP(,-1/($Z$12:Z1323=1),$H$12:H1323)-IF(N1322&lt;&gt;0,0,SUM(INDIRECT("T"&amp;(MAX((0&lt;&gt;N$12:N1322)*ROW(N$12:N1322)+1,ROW($T$12))&amp;":T"&amp;(ROW()-1))))),Первоначальный[[#This Row],[Полученный платеж]]+Y1322),
AND(S1322=0,Первоначальный[[#This Row],[Дата платежа из графика]]=1),MIN(LOOKUP(,-1/($Z$12:Z1323=1),$C$12:C1323)+LOOKUP(,-1/($Z$12:Z1323=1),$H$12:H1323)-IF(Z1322=1,0,SUM(INDIRECT("T"&amp;(MAX((1=Z$12:Z1322)*ROW(Z$12:Z1322)+1,ROW($T$12))&amp;":T"&amp;(ROW()-1))))),Первоначальный[[#This Row],[Полученный платеж]]+Y1322),
AND(Z1322&gt;0,Первоначальный[[#This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платеж]]+Y1322),
AND(S1322&gt;0,MAX((0&lt;&gt;S$12:S1322)*ROW(S$12:S1322),ROW($S$12))&gt;=MAX((1=Z$12:Z1322)*ROW(Z$12:Z1322),ROW($T$12)),TYPE(VLOOKUP("Да",(INDIRECT("AA"&amp;(MAX((1=Z$12:Z1322)*ROW(Z$12:Z1322),ROW($T$12))&amp;":AA"&amp;(ROW()-1)))),1,0))=16),MIN(LOOKUP(,-1/($Z$12:Z1323=1),$C$12:C1323)+LOOKUP(,-1/($Z$12:Z1323=1),$H$12:H1323)-SUM(INDIRECT("T"&amp;(MAX((1=Z$12:Z1322)*ROW(Z$12:Z1322),ROW($T$12))&amp;":T"&amp;(ROW()-1)))),Первоначальный[[#This Row],[Полученный платеж]]+Y1322),
S1322&gt;0,MIN(LOOKUP(,-1/($Z$12:Z1323=1),$C$12:C1323)+LOOKUP(,-1/($Z$12:Z1323=1),$H$12:H1323)-IF(Z1322=1,0,SUM(INDIRECT("T"&amp;(MAX((1=Z$12:Z1322)*ROW(Z$12:Z1322)+1,ROW($T$12))&amp;":T"&amp;(ROW()-1))))),Первоначальный[[#This Row],[Полученный платеж]]+Y1322)
)
)
)</f>
        <v>0</v>
      </c>
      <c r="U132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платеж]]+Y1322-Первоначальный[[#This Row],[Полученный платёж по процентам]])</f>
        <v>0</v>
      </c>
      <c r="V1323" s="55">
        <f t="shared" ca="1" si="243"/>
        <v>0</v>
      </c>
      <c r="W1323" s="55" cm="1">
        <f t="array" aca="1" ref="W1323" ca="1">IF(Первоначальный[[#This Row],[Итого остаток на начало периода]]&lt;1,0,
_xlfn.IFS(
AND(TYPE(VLOOKUP(1,$Z$12:Z1323,1,0))=16,Первоначальный[[#This Row],[Досрочное погашение (да/"")]]=""),0,
AND(S1322=0,Первоначальный[[#This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платеж]]+Y1322-SUM(Первоначальный[[#This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комиссиям]]),VLOOKUP(LOOKUP(,-1/($Z$12:Z1323=1),$A$12:A1323),График[[Срок конец]:[Возврат основной суммы долга]],3,0)),
AND(S1322=0,Первоначальный[[#This Row],[Дата платежа из графика]]="",Первоначальный[[#This Row],[Досрочное погашение (да/"")]]&lt;&gt;"Да"),0,
AND(S1322=0,Первоначальный[[#This Row],[Досрочное погашение (да/"")]]=""),MIN(Первоначальный[[#This Row],[Полученный платеж]]+Y1322-SUM(Первоначальный[[#This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комиссиям]]),VLOOKUP(LOOKUP(,-1/($Z$12:Z1323=1),$A$12:A1323),График[[Срок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платеж]]+Y1322-SUM(Первоначальный[[#This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S1322&gt;0,MIN(Первоначальный[[#This Row],[Полученный платеж]]+Y1322-SUM(Первоначальный[[#This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комиссиям]]),SUM(INDIRECT("M"&amp;(MAX((1=S$12:S1322)*ROW(S$12:S1322),ROW($W$12))&amp;":M"&amp;(ROW()))))-SUM(INDIRECT("W"&amp;(MAX((1=S$12:S1322)*ROW(S$12:S1322),ROW($W$12))&amp;":W"&amp;(ROW()-1)))))
)
)</f>
        <v>0</v>
      </c>
      <c r="X1323" s="55">
        <f t="shared" ca="1" si="244"/>
        <v>0</v>
      </c>
      <c r="Y1323" s="101">
        <f t="shared" ca="1" si="251"/>
        <v>0</v>
      </c>
      <c r="Z1323" s="133" t="str">
        <f>IF(TYPE((VLOOKUP(Первоначальный[[#This Row],[Дата платежа]],График[Срок конец],1,0)))=16,"",1)</f>
        <v/>
      </c>
      <c r="AA1323" s="57"/>
      <c r="AB1323" s="134"/>
      <c r="AC132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2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94672.80000000041</v>
      </c>
      <c r="AE132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7171.9400000000005</v>
      </c>
      <c r="AF132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2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363101.34549672046</v>
      </c>
      <c r="AH1323" s="55"/>
      <c r="AI1323" s="55"/>
      <c r="AJ1323" s="55"/>
      <c r="AK1323" s="101">
        <f t="shared" ca="1" si="252"/>
        <v>614579.42549672094</v>
      </c>
      <c r="AL1323" s="129">
        <f t="array" ref="AL1323">MAX((УслРестрактов[Характеристика]="Дата реструктуризации")*(УслРестрактов[Значение]=Первоначальный!$A1323),0)</f>
        <v>0</v>
      </c>
    </row>
    <row r="1324" spans="1:38" x14ac:dyDescent="0.25">
      <c r="A1324" s="97">
        <f t="shared" si="245"/>
        <v>45455</v>
      </c>
      <c r="B1324" s="100">
        <f t="shared" ca="1" si="246"/>
        <v>149633.34</v>
      </c>
      <c r="C1324" s="55">
        <f t="shared" ca="1" si="242"/>
        <v>94672.80000000041</v>
      </c>
      <c r="D1324" s="55">
        <f t="shared" ca="1" si="242"/>
        <v>7171.9400000000005</v>
      </c>
      <c r="E1324" s="55">
        <f t="shared" ca="1" si="247"/>
        <v>0</v>
      </c>
      <c r="F1324" s="55">
        <f t="shared" ca="1" si="248"/>
        <v>363101.34549672046</v>
      </c>
      <c r="G1324" s="101">
        <f t="shared" ca="1" si="249"/>
        <v>614579.42549672094</v>
      </c>
      <c r="H1324" s="100">
        <f ca="1">ROUND($B1324*VLOOKUP($A1324,$A$1:$B$10,2,1)/(365+IF(MOD(YEAR($A1324),4),0,1)*($A1324-$A1323)),2)-Первоначальный[[#This Row],[Проценты на просроченный платеж по ОД за период]]</f>
        <v>68.180000000000007</v>
      </c>
      <c r="I1324" s="55">
        <f t="shared" ca="1" si="250"/>
        <v>13.18</v>
      </c>
      <c r="J1324" s="55">
        <v>0</v>
      </c>
      <c r="K1324" s="55">
        <f t="shared" ca="1" si="253"/>
        <v>593.81850327868847</v>
      </c>
      <c r="L1324" s="55">
        <v>0</v>
      </c>
      <c r="M1324" s="113">
        <f>SUMIFS(График[Возврат основной суммы долга],График[Дата с учетом нерабочих дней],$A1324)</f>
        <v>0</v>
      </c>
      <c r="N1324" s="56">
        <f>SUMIFS(График[Возврат начисленных %],График[Дата с учетом нерабочих дней],$A1324)</f>
        <v>0</v>
      </c>
      <c r="O1324" s="101">
        <v>0</v>
      </c>
      <c r="P1324" s="100" cm="1">
        <f t="array" aca="1" ref="P1324" ca="1">MAX(IF(AA1323="Да",0,SUM(INDIRECT("M"&amp;(MAX(("Да"=AA$12:AA1323)*ROW(AA$12:AA1323)+1,ROW($P$12))&amp;":M"&amp;(ROW()))))-SUM(INDIRECT("W"&amp;(MAX(("Да"=AA$12:AA1323)*ROW(AA$12:AA1323)+1,ROW($P$12))&amp;":W"&amp;(ROW()))))),0)</f>
        <v>24232.889999999996</v>
      </c>
      <c r="Q1324" s="99">
        <f ca="1">MAX(SUM($N$13:N1324)-SUM($T$13:T1324),0)</f>
        <v>94530.810655737689</v>
      </c>
      <c r="R1324" s="99">
        <f ca="1">Первоначальный[[#This Row],[Просроченный платеж по ОД]]+Первоначальный[[#This Row],[Просроченный платеж по процентам]]</f>
        <v>118763.70065573769</v>
      </c>
      <c r="S1324" s="120">
        <f ca="1">IF(Первоначальный[[#This Row],[Просроченный платеж]]&lt;1,0,S1323+1)</f>
        <v>1220</v>
      </c>
      <c r="T1324" s="100" cm="1">
        <f t="array" aca="1" ref="T1324" ca="1">IF(Первоначальный[[#This Row],[Итого остаток на начало периода]]&lt;1,0,
IF(
AND(TYPE(VLOOKUP(1,$Z$12:Z1324,1,0))=16,Первоначальный[[#This Row],[Досрочное погашение (да/"")]]=""),0,
_xlfn.IFS(AND(S1323=0,Первоначальный[[#This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платеж]]&lt;&gt;0),MIN(LOOKUP(,-1/($Z$12:Z1324=1),$C$12:C1324)+LOOKUP(,-1/($Z$12:Z1324=1),$H$12:H1324),Первоначальный[[#This Row],[Полученный платеж]]+Y1323),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платеж]]+Y1323,SUM(Первоначальный[[#This Row],[Остаток процентов на начало периода]],Первоначальный[[#This Row],[Проценты за период]])),
AND(S1323=0,Первоначальный[[#This Row],[Дата платежа из графика]]=""),0,
AND(S1323=0,Первоначальный[[#This Row],[Дата платежа из графика]]=1,MAX((0&lt;&gt;S$12:S1323)*ROW(S$12:S1323),ROW($S$12))&gt;=MAX((1=Z$12:Z1323)*ROW(Z$12:Z1323),ROW($T$12)),TYPE(VLOOKUP("Да",(INDIRECT("AA"&amp;(MAX((1=Z$12:Z1323)*ROW(Z$12:Z1323),ROW($T$12))&amp;":AA"&amp;(ROW()-1)))),1,0))=16),MIN(LOOKUP(,-1/($Z$12:Z1324=1),$C$12:C1324)+LOOKUP(,-1/($Z$12:Z1324=1),$H$12:H1324),Первоначальный[[#This Row],[Полученный платеж]]+Y1323),
AND(S1323=0,TYPE(VLOOKUP("Да",(INDIRECT("AA"&amp;(MAX((1=Z$12:Z1323)*ROW(Z$12:Z1323),ROW($T$12))&amp;":AA"&amp;(ROW()-1)))),1,0))&lt;&gt;16),MIN(LOOKUP(,-1/($Z$12:Z1324=1),$C$12:C1324)+LOOKUP(,-1/($Z$12:Z1324=1),$H$12:H1324)-IF(AA1323="Да",0,SUM(INDIRECT("T"&amp;(MAX(("Да"=AA$12:AA1323)*ROW(AA$12:AA1323)+1,ROW($T$12))&amp;":T"&amp;(ROW()-1))))),Первоначальный[[#This Row],[Полученный платеж]]+Y1323),
AND(S1323=0,MAX((0&lt;&gt;N$12:N1323)*ROW(N$12:N1323),ROW($S$12))&gt;=MAX((1=Z$12:Z1323)*ROW(Z$12:Z1323),ROW($T$12))),MIN(LOOKUP(,-1/($Z$12:Z1324=1),$C$12:C1324)+LOOKUP(,-1/($Z$12:Z1324=1),$H$12:H1324)-IF(N1323&lt;&gt;0,0,SUM(INDIRECT("T"&amp;(MAX((0&lt;&gt;N$12:N1323)*ROW(N$12:N1323)+1,ROW($T$12))&amp;":T"&amp;(ROW()-1))))),Первоначальный[[#This Row],[Полученный платеж]]+Y1323),
AND(S1323=0,Первоначальный[[#This Row],[Дата платежа из графика]]=1),MIN(LOOKUP(,-1/($Z$12:Z1324=1),$C$12:C1324)+LOOKUP(,-1/($Z$12:Z1324=1),$H$12:H1324)-IF(Z1323=1,0,SUM(INDIRECT("T"&amp;(MAX((1=Z$12:Z1323)*ROW(Z$12:Z1323)+1,ROW($T$12))&amp;":T"&amp;(ROW()-1))))),Первоначальный[[#This Row],[Полученный платеж]]+Y1323),
AND(Z1323&gt;0,Первоначальный[[#This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платеж]]+Y1323),
AND(S1323&gt;0,MAX((0&lt;&gt;S$12:S1323)*ROW(S$12:S1323),ROW($S$12))&gt;=MAX((1=Z$12:Z1323)*ROW(Z$12:Z1323),ROW($T$12)),TYPE(VLOOKUP("Да",(INDIRECT("AA"&amp;(MAX((1=Z$12:Z1323)*ROW(Z$12:Z1323),ROW($T$12))&amp;":AA"&amp;(ROW()-1)))),1,0))=16),MIN(LOOKUP(,-1/($Z$12:Z1324=1),$C$12:C1324)+LOOKUP(,-1/($Z$12:Z1324=1),$H$12:H1324)-SUM(INDIRECT("T"&amp;(MAX((1=Z$12:Z1323)*ROW(Z$12:Z1323),ROW($T$12))&amp;":T"&amp;(ROW()-1)))),Первоначальный[[#This Row],[Полученный платеж]]+Y1323),
S1323&gt;0,MIN(LOOKUP(,-1/($Z$12:Z1324=1),$C$12:C1324)+LOOKUP(,-1/($Z$12:Z1324=1),$H$12:H1324)-IF(Z1323=1,0,SUM(INDIRECT("T"&amp;(MAX((1=Z$12:Z1323)*ROW(Z$12:Z1323)+1,ROW($T$12))&amp;":T"&amp;(ROW()-1))))),Первоначальный[[#This Row],[Полученный платеж]]+Y1323)
)
)
)</f>
        <v>0</v>
      </c>
      <c r="U132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платеж]]+Y1323-Первоначальный[[#This Row],[Полученный платёж по процентам]])</f>
        <v>0</v>
      </c>
      <c r="V1324" s="55">
        <f t="shared" ca="1" si="243"/>
        <v>0</v>
      </c>
      <c r="W1324" s="55" cm="1">
        <f t="array" aca="1" ref="W1324" ca="1">IF(Первоначальный[[#This Row],[Итого остаток на начало периода]]&lt;1,0,
_xlfn.IFS(
AND(TYPE(VLOOKUP(1,$Z$12:Z1324,1,0))=16,Первоначальный[[#This Row],[Досрочное погашение (да/"")]]=""),0,
AND(S1323=0,Первоначальный[[#This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платеж]]+Y1323-SUM(Первоначальный[[#This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комиссиям]]),VLOOKUP(LOOKUP(,-1/($Z$12:Z1324=1),$A$12:A1324),График[[Срок конец]:[Возврат основной суммы долга]],3,0)),
AND(S1323=0,Первоначальный[[#This Row],[Дата платежа из графика]]="",Первоначальный[[#This Row],[Досрочное погашение (да/"")]]&lt;&gt;"Да"),0,
AND(S1323=0,Первоначальный[[#This Row],[Досрочное погашение (да/"")]]=""),MIN(Первоначальный[[#This Row],[Полученный платеж]]+Y1323-SUM(Первоначальный[[#This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комиссиям]]),VLOOKUP(LOOKUP(,-1/($Z$12:Z1324=1),$A$12:A1324),График[[Срок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платеж]]+Y1323-SUM(Первоначальный[[#This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S1323&gt;0,MIN(Первоначальный[[#This Row],[Полученный платеж]]+Y1323-SUM(Первоначальный[[#This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комиссиям]]),SUM(INDIRECT("M"&amp;(MAX((1=S$12:S1323)*ROW(S$12:S1323),ROW($W$12))&amp;":M"&amp;(ROW()))))-SUM(INDIRECT("W"&amp;(MAX((1=S$12:S1323)*ROW(S$12:S1323),ROW($W$12))&amp;":W"&amp;(ROW()-1)))))
)
)</f>
        <v>0</v>
      </c>
      <c r="X1324" s="55">
        <f t="shared" ca="1" si="244"/>
        <v>0</v>
      </c>
      <c r="Y1324" s="101">
        <f t="shared" ca="1" si="251"/>
        <v>0</v>
      </c>
      <c r="Z1324" s="133" t="str">
        <f>IF(TYPE((VLOOKUP(Первоначальный[[#This Row],[Дата платежа]],График[Срок конец],1,0)))=16,"",1)</f>
        <v/>
      </c>
      <c r="AA1324" s="57"/>
      <c r="AB1324" s="134"/>
      <c r="AC132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2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94740.980000000403</v>
      </c>
      <c r="AE132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7185.1200000000008</v>
      </c>
      <c r="AF132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2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363695.16399999917</v>
      </c>
      <c r="AH1324" s="55"/>
      <c r="AI1324" s="55"/>
      <c r="AJ1324" s="55"/>
      <c r="AK1324" s="101">
        <f t="shared" ca="1" si="252"/>
        <v>615254.60399999958</v>
      </c>
      <c r="AL1324" s="129">
        <f t="array" ref="AL1324">MAX((УслРестрактов[Характеристика]="Дата реструктуризации")*(УслРестрактов[Значение]=Первоначальный!$A1324),0)</f>
        <v>0</v>
      </c>
    </row>
    <row r="1325" spans="1:38" x14ac:dyDescent="0.25">
      <c r="A1325" s="97">
        <f t="shared" si="245"/>
        <v>45456</v>
      </c>
      <c r="B1325" s="100">
        <f t="shared" ca="1" si="246"/>
        <v>149633.34</v>
      </c>
      <c r="C1325" s="55">
        <f t="shared" ca="1" si="242"/>
        <v>94740.980000000403</v>
      </c>
      <c r="D1325" s="55">
        <f t="shared" ca="1" si="242"/>
        <v>7185.1200000000008</v>
      </c>
      <c r="E1325" s="55">
        <f t="shared" ca="1" si="247"/>
        <v>0</v>
      </c>
      <c r="F1325" s="55">
        <f t="shared" ca="1" si="248"/>
        <v>363695.16399999917</v>
      </c>
      <c r="G1325" s="101">
        <f t="shared" ca="1" si="249"/>
        <v>615254.60399999958</v>
      </c>
      <c r="H1325" s="100">
        <f ca="1">ROUND($B1325*VLOOKUP($A1325,$A$1:$B$10,2,1)/(365+IF(MOD(YEAR($A1325),4),0,1)*($A1325-$A1324)),2)-Первоначальный[[#This Row],[Проценты на просроченный платеж по ОД за период]]</f>
        <v>68.180000000000007</v>
      </c>
      <c r="I1325" s="55">
        <f t="shared" ca="1" si="250"/>
        <v>13.18</v>
      </c>
      <c r="J1325" s="55">
        <v>0</v>
      </c>
      <c r="K1325" s="55">
        <f t="shared" ca="1" si="253"/>
        <v>593.81850327868847</v>
      </c>
      <c r="L1325" s="55">
        <v>0</v>
      </c>
      <c r="M1325" s="113">
        <f>SUMIFS(График[Возврат основной суммы долга],График[Дата с учетом нерабочих дней],$A1325)</f>
        <v>0</v>
      </c>
      <c r="N1325" s="56">
        <f>SUMIFS(График[Возврат начисленных %],График[Дата с учетом нерабочих дней],$A1325)</f>
        <v>0</v>
      </c>
      <c r="O1325" s="101">
        <v>0</v>
      </c>
      <c r="P1325" s="100" cm="1">
        <f t="array" aca="1" ref="P1325" ca="1">MAX(IF(AA1324="Да",0,SUM(INDIRECT("M"&amp;(MAX(("Да"=AA$12:AA1324)*ROW(AA$12:AA1324)+1,ROW($P$12))&amp;":M"&amp;(ROW()))))-SUM(INDIRECT("W"&amp;(MAX(("Да"=AA$12:AA1324)*ROW(AA$12:AA1324)+1,ROW($P$12))&amp;":W"&amp;(ROW()))))),0)</f>
        <v>24232.889999999996</v>
      </c>
      <c r="Q1325" s="99">
        <f ca="1">MAX(SUM($N$13:N1325)-SUM($T$13:T1325),0)</f>
        <v>94530.810655737689</v>
      </c>
      <c r="R1325" s="99">
        <f ca="1">Первоначальный[[#This Row],[Просроченный платеж по ОД]]+Первоначальный[[#This Row],[Просроченный платеж по процентам]]</f>
        <v>118763.70065573769</v>
      </c>
      <c r="S1325" s="120">
        <f ca="1">IF(Первоначальный[[#This Row],[Просроченный платеж]]&lt;1,0,S1324+1)</f>
        <v>1221</v>
      </c>
      <c r="T1325" s="100" cm="1">
        <f t="array" aca="1" ref="T1325" ca="1">IF(Первоначальный[[#This Row],[Итого остаток на начало периода]]&lt;1,0,
IF(
AND(TYPE(VLOOKUP(1,$Z$12:Z1325,1,0))=16,Первоначальный[[#This Row],[Досрочное погашение (да/"")]]=""),0,
_xlfn.IFS(AND(S1324=0,Первоначальный[[#This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платеж]]&lt;&gt;0),MIN(LOOKUP(,-1/($Z$12:Z1325=1),$C$12:C1325)+LOOKUP(,-1/($Z$12:Z1325=1),$H$12:H1325),Первоначальный[[#This Row],[Полученный платеж]]+Y1324),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платеж]]+Y1324,SUM(Первоначальный[[#This Row],[Остаток процентов на начало периода]],Первоначальный[[#This Row],[Проценты за период]])),
AND(S1324=0,Первоначальный[[#This Row],[Дата платежа из графика]]=""),0,
AND(S1324=0,Первоначальный[[#This Row],[Дата платежа из графика]]=1,MAX((0&lt;&gt;S$12:S1324)*ROW(S$12:S1324),ROW($S$12))&gt;=MAX((1=Z$12:Z1324)*ROW(Z$12:Z1324),ROW($T$12)),TYPE(VLOOKUP("Да",(INDIRECT("AA"&amp;(MAX((1=Z$12:Z1324)*ROW(Z$12:Z1324),ROW($T$12))&amp;":AA"&amp;(ROW()-1)))),1,0))=16),MIN(LOOKUP(,-1/($Z$12:Z1325=1),$C$12:C1325)+LOOKUP(,-1/($Z$12:Z1325=1),$H$12:H1325),Первоначальный[[#This Row],[Полученный платеж]]+Y1324),
AND(S1324=0,TYPE(VLOOKUP("Да",(INDIRECT("AA"&amp;(MAX((1=Z$12:Z1324)*ROW(Z$12:Z1324),ROW($T$12))&amp;":AA"&amp;(ROW()-1)))),1,0))&lt;&gt;16),MIN(LOOKUP(,-1/($Z$12:Z1325=1),$C$12:C1325)+LOOKUP(,-1/($Z$12:Z1325=1),$H$12:H1325)-IF(AA1324="Да",0,SUM(INDIRECT("T"&amp;(MAX(("Да"=AA$12:AA1324)*ROW(AA$12:AA1324)+1,ROW($T$12))&amp;":T"&amp;(ROW()-1))))),Первоначальный[[#This Row],[Полученный платеж]]+Y1324),
AND(S1324=0,MAX((0&lt;&gt;N$12:N1324)*ROW(N$12:N1324),ROW($S$12))&gt;=MAX((1=Z$12:Z1324)*ROW(Z$12:Z1324),ROW($T$12))),MIN(LOOKUP(,-1/($Z$12:Z1325=1),$C$12:C1325)+LOOKUP(,-1/($Z$12:Z1325=1),$H$12:H1325)-IF(N1324&lt;&gt;0,0,SUM(INDIRECT("T"&amp;(MAX((0&lt;&gt;N$12:N1324)*ROW(N$12:N1324)+1,ROW($T$12))&amp;":T"&amp;(ROW()-1))))),Первоначальный[[#This Row],[Полученный платеж]]+Y1324),
AND(S1324=0,Первоначальный[[#This Row],[Дата платежа из графика]]=1),MIN(LOOKUP(,-1/($Z$12:Z1325=1),$C$12:C1325)+LOOKUP(,-1/($Z$12:Z1325=1),$H$12:H1325)-IF(Z1324=1,0,SUM(INDIRECT("T"&amp;(MAX((1=Z$12:Z1324)*ROW(Z$12:Z1324)+1,ROW($T$12))&amp;":T"&amp;(ROW()-1))))),Первоначальный[[#This Row],[Полученный платеж]]+Y1324),
AND(Z1324&gt;0,Первоначальный[[#This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платеж]]+Y1324),
AND(S1324&gt;0,MAX((0&lt;&gt;S$12:S1324)*ROW(S$12:S1324),ROW($S$12))&gt;=MAX((1=Z$12:Z1324)*ROW(Z$12:Z1324),ROW($T$12)),TYPE(VLOOKUP("Да",(INDIRECT("AA"&amp;(MAX((1=Z$12:Z1324)*ROW(Z$12:Z1324),ROW($T$12))&amp;":AA"&amp;(ROW()-1)))),1,0))=16),MIN(LOOKUP(,-1/($Z$12:Z1325=1),$C$12:C1325)+LOOKUP(,-1/($Z$12:Z1325=1),$H$12:H1325)-SUM(INDIRECT("T"&amp;(MAX((1=Z$12:Z1324)*ROW(Z$12:Z1324),ROW($T$12))&amp;":T"&amp;(ROW()-1)))),Первоначальный[[#This Row],[Полученный платеж]]+Y1324),
S1324&gt;0,MIN(LOOKUP(,-1/($Z$12:Z1325=1),$C$12:C1325)+LOOKUP(,-1/($Z$12:Z1325=1),$H$12:H1325)-IF(Z1324=1,0,SUM(INDIRECT("T"&amp;(MAX((1=Z$12:Z1324)*ROW(Z$12:Z1324)+1,ROW($T$12))&amp;":T"&amp;(ROW()-1))))),Первоначальный[[#This Row],[Полученный платеж]]+Y1324)
)
)
)</f>
        <v>0</v>
      </c>
      <c r="U132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платеж]]+Y1324-Первоначальный[[#This Row],[Полученный платёж по процентам]])</f>
        <v>0</v>
      </c>
      <c r="V1325" s="55">
        <f t="shared" ca="1" si="243"/>
        <v>0</v>
      </c>
      <c r="W1325" s="55" cm="1">
        <f t="array" aca="1" ref="W1325" ca="1">IF(Первоначальный[[#This Row],[Итого остаток на начало периода]]&lt;1,0,
_xlfn.IFS(
AND(TYPE(VLOOKUP(1,$Z$12:Z1325,1,0))=16,Первоначальный[[#This Row],[Досрочное погашение (да/"")]]=""),0,
AND(S1324=0,Первоначальный[[#This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платеж]]+Y1324-SUM(Первоначальный[[#This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комиссиям]]),VLOOKUP(LOOKUP(,-1/($Z$12:Z1325=1),$A$12:A1325),График[[Срок конец]:[Возврат основной суммы долга]],3,0)),
AND(S1324=0,Первоначальный[[#This Row],[Дата платежа из графика]]="",Первоначальный[[#This Row],[Досрочное погашение (да/"")]]&lt;&gt;"Да"),0,
AND(S1324=0,Первоначальный[[#This Row],[Досрочное погашение (да/"")]]=""),MIN(Первоначальный[[#This Row],[Полученный платеж]]+Y1324-SUM(Первоначальный[[#This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комиссиям]]),VLOOKUP(LOOKUP(,-1/($Z$12:Z1325=1),$A$12:A1325),График[[Срок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платеж]]+Y1324-SUM(Первоначальный[[#This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S1324&gt;0,MIN(Первоначальный[[#This Row],[Полученный платеж]]+Y1324-SUM(Первоначальный[[#This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комиссиям]]),SUM(INDIRECT("M"&amp;(MAX((1=S$12:S1324)*ROW(S$12:S1324),ROW($W$12))&amp;":M"&amp;(ROW()))))-SUM(INDIRECT("W"&amp;(MAX((1=S$12:S1324)*ROW(S$12:S1324),ROW($W$12))&amp;":W"&amp;(ROW()-1)))))
)
)</f>
        <v>0</v>
      </c>
      <c r="X1325" s="55">
        <f t="shared" ca="1" si="244"/>
        <v>0</v>
      </c>
      <c r="Y1325" s="101">
        <f t="shared" ca="1" si="251"/>
        <v>0</v>
      </c>
      <c r="Z1325" s="133" t="str">
        <f>IF(TYPE((VLOOKUP(Первоначальный[[#This Row],[Дата платежа]],График[Срок конец],1,0)))=16,"",1)</f>
        <v/>
      </c>
      <c r="AA1325" s="57"/>
      <c r="AB1325" s="134"/>
      <c r="AC132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2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94809.160000000396</v>
      </c>
      <c r="AE132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7198.3000000000011</v>
      </c>
      <c r="AF132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2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364288.98250327789</v>
      </c>
      <c r="AH1325" s="55"/>
      <c r="AI1325" s="55"/>
      <c r="AJ1325" s="55"/>
      <c r="AK1325" s="101">
        <f t="shared" ca="1" si="252"/>
        <v>615929.78250327823</v>
      </c>
      <c r="AL1325" s="129">
        <f t="array" ref="AL1325">MAX((УслРестрактов[Характеристика]="Дата реструктуризации")*(УслРестрактов[Значение]=Первоначальный!$A1325),0)</f>
        <v>0</v>
      </c>
    </row>
    <row r="1326" spans="1:38" x14ac:dyDescent="0.25">
      <c r="A1326" s="97">
        <f t="shared" si="245"/>
        <v>45457</v>
      </c>
      <c r="B1326" s="100">
        <f t="shared" ca="1" si="246"/>
        <v>149633.34</v>
      </c>
      <c r="C1326" s="55">
        <f t="shared" ca="1" si="242"/>
        <v>94809.160000000396</v>
      </c>
      <c r="D1326" s="55">
        <f t="shared" ca="1" si="242"/>
        <v>7198.3000000000011</v>
      </c>
      <c r="E1326" s="55">
        <f t="shared" ca="1" si="247"/>
        <v>0</v>
      </c>
      <c r="F1326" s="55">
        <f t="shared" ca="1" si="248"/>
        <v>364288.98250327789</v>
      </c>
      <c r="G1326" s="101">
        <f t="shared" ca="1" si="249"/>
        <v>615929.78250327823</v>
      </c>
      <c r="H1326" s="100">
        <f ca="1">ROUND($B1326*VLOOKUP($A1326,$A$1:$B$10,2,1)/(365+IF(MOD(YEAR($A1326),4),0,1)*($A1326-$A1325)),2)-Первоначальный[[#This Row],[Проценты на просроченный платеж по ОД за период]]</f>
        <v>68.180000000000007</v>
      </c>
      <c r="I1326" s="55">
        <f t="shared" ca="1" si="250"/>
        <v>13.18</v>
      </c>
      <c r="J1326" s="55">
        <v>0</v>
      </c>
      <c r="K1326" s="55">
        <f t="shared" ca="1" si="253"/>
        <v>593.81850327868847</v>
      </c>
      <c r="L1326" s="55">
        <v>0</v>
      </c>
      <c r="M1326" s="113">
        <f>SUMIFS(График[Возврат основной суммы долга],График[Дата с учетом нерабочих дней],$A1326)</f>
        <v>0</v>
      </c>
      <c r="N1326" s="56">
        <f>SUMIFS(График[Возврат начисленных %],График[Дата с учетом нерабочих дней],$A1326)</f>
        <v>0</v>
      </c>
      <c r="O1326" s="101">
        <v>0</v>
      </c>
      <c r="P1326" s="100" cm="1">
        <f t="array" aca="1" ref="P1326" ca="1">MAX(IF(AA1325="Да",0,SUM(INDIRECT("M"&amp;(MAX(("Да"=AA$12:AA1325)*ROW(AA$12:AA1325)+1,ROW($P$12))&amp;":M"&amp;(ROW()))))-SUM(INDIRECT("W"&amp;(MAX(("Да"=AA$12:AA1325)*ROW(AA$12:AA1325)+1,ROW($P$12))&amp;":W"&amp;(ROW()))))),0)</f>
        <v>24232.889999999996</v>
      </c>
      <c r="Q1326" s="99">
        <f ca="1">MAX(SUM($N$13:N1326)-SUM($T$13:T1326),0)</f>
        <v>94530.810655737689</v>
      </c>
      <c r="R1326" s="99">
        <f ca="1">Первоначальный[[#This Row],[Просроченный платеж по ОД]]+Первоначальный[[#This Row],[Просроченный платеж по процентам]]</f>
        <v>118763.70065573769</v>
      </c>
      <c r="S1326" s="120">
        <f ca="1">IF(Первоначальный[[#This Row],[Просроченный платеж]]&lt;1,0,S1325+1)</f>
        <v>1222</v>
      </c>
      <c r="T1326" s="100" cm="1">
        <f t="array" aca="1" ref="T1326" ca="1">IF(Первоначальный[[#This Row],[Итого остаток на начало периода]]&lt;1,0,
IF(
AND(TYPE(VLOOKUP(1,$Z$12:Z1326,1,0))=16,Первоначальный[[#This Row],[Досрочное погашение (да/"")]]=""),0,
_xlfn.IFS(AND(S1325=0,Первоначальный[[#This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платеж]]&lt;&gt;0),MIN(LOOKUP(,-1/($Z$12:Z1326=1),$C$12:C1326)+LOOKUP(,-1/($Z$12:Z1326=1),$H$12:H1326),Первоначальный[[#This Row],[Полученный платеж]]+Y1325),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платеж]]+Y1325,SUM(Первоначальный[[#This Row],[Остаток процентов на начало периода]],Первоначальный[[#This Row],[Проценты за период]])),
AND(S1325=0,Первоначальный[[#This Row],[Дата платежа из графика]]=""),0,
AND(S1325=0,Первоначальный[[#This Row],[Дата платежа из графика]]=1,MAX((0&lt;&gt;S$12:S1325)*ROW(S$12:S1325),ROW($S$12))&gt;=MAX((1=Z$12:Z1325)*ROW(Z$12:Z1325),ROW($T$12)),TYPE(VLOOKUP("Да",(INDIRECT("AA"&amp;(MAX((1=Z$12:Z1325)*ROW(Z$12:Z1325),ROW($T$12))&amp;":AA"&amp;(ROW()-1)))),1,0))=16),MIN(LOOKUP(,-1/($Z$12:Z1326=1),$C$12:C1326)+LOOKUP(,-1/($Z$12:Z1326=1),$H$12:H1326),Первоначальный[[#This Row],[Полученный платеж]]+Y1325),
AND(S1325=0,TYPE(VLOOKUP("Да",(INDIRECT("AA"&amp;(MAX((1=Z$12:Z1325)*ROW(Z$12:Z1325),ROW($T$12))&amp;":AA"&amp;(ROW()-1)))),1,0))&lt;&gt;16),MIN(LOOKUP(,-1/($Z$12:Z1326=1),$C$12:C1326)+LOOKUP(,-1/($Z$12:Z1326=1),$H$12:H1326)-IF(AA1325="Да",0,SUM(INDIRECT("T"&amp;(MAX(("Да"=AA$12:AA1325)*ROW(AA$12:AA1325)+1,ROW($T$12))&amp;":T"&amp;(ROW()-1))))),Первоначальный[[#This Row],[Полученный платеж]]+Y1325),
AND(S1325=0,MAX((0&lt;&gt;N$12:N1325)*ROW(N$12:N1325),ROW($S$12))&gt;=MAX((1=Z$12:Z1325)*ROW(Z$12:Z1325),ROW($T$12))),MIN(LOOKUP(,-1/($Z$12:Z1326=1),$C$12:C1326)+LOOKUP(,-1/($Z$12:Z1326=1),$H$12:H1326)-IF(N1325&lt;&gt;0,0,SUM(INDIRECT("T"&amp;(MAX((0&lt;&gt;N$12:N1325)*ROW(N$12:N1325)+1,ROW($T$12))&amp;":T"&amp;(ROW()-1))))),Первоначальный[[#This Row],[Полученный платеж]]+Y1325),
AND(S1325=0,Первоначальный[[#This Row],[Дата платежа из графика]]=1),MIN(LOOKUP(,-1/($Z$12:Z1326=1),$C$12:C1326)+LOOKUP(,-1/($Z$12:Z1326=1),$H$12:H1326)-IF(Z1325=1,0,SUM(INDIRECT("T"&amp;(MAX((1=Z$12:Z1325)*ROW(Z$12:Z1325)+1,ROW($T$12))&amp;":T"&amp;(ROW()-1))))),Первоначальный[[#This Row],[Полученный платеж]]+Y1325),
AND(Z1325&gt;0,Первоначальный[[#This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платеж]]+Y1325),
AND(S1325&gt;0,MAX((0&lt;&gt;S$12:S1325)*ROW(S$12:S1325),ROW($S$12))&gt;=MAX((1=Z$12:Z1325)*ROW(Z$12:Z1325),ROW($T$12)),TYPE(VLOOKUP("Да",(INDIRECT("AA"&amp;(MAX((1=Z$12:Z1325)*ROW(Z$12:Z1325),ROW($T$12))&amp;":AA"&amp;(ROW()-1)))),1,0))=16),MIN(LOOKUP(,-1/($Z$12:Z1326=1),$C$12:C1326)+LOOKUP(,-1/($Z$12:Z1326=1),$H$12:H1326)-SUM(INDIRECT("T"&amp;(MAX((1=Z$12:Z1325)*ROW(Z$12:Z1325),ROW($T$12))&amp;":T"&amp;(ROW()-1)))),Первоначальный[[#This Row],[Полученный платеж]]+Y1325),
S1325&gt;0,MIN(LOOKUP(,-1/($Z$12:Z1326=1),$C$12:C1326)+LOOKUP(,-1/($Z$12:Z1326=1),$H$12:H1326)-IF(Z1325=1,0,SUM(INDIRECT("T"&amp;(MAX((1=Z$12:Z1325)*ROW(Z$12:Z1325)+1,ROW($T$12))&amp;":T"&amp;(ROW()-1))))),Первоначальный[[#This Row],[Полученный платеж]]+Y1325)
)
)
)</f>
        <v>0</v>
      </c>
      <c r="U132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платеж]]+Y1325-Первоначальный[[#This Row],[Полученный платёж по процентам]])</f>
        <v>0</v>
      </c>
      <c r="V1326" s="55">
        <f t="shared" ca="1" si="243"/>
        <v>0</v>
      </c>
      <c r="W1326" s="55" cm="1">
        <f t="array" aca="1" ref="W1326" ca="1">IF(Первоначальный[[#This Row],[Итого остаток на начало периода]]&lt;1,0,
_xlfn.IFS(
AND(TYPE(VLOOKUP(1,$Z$12:Z1326,1,0))=16,Первоначальный[[#This Row],[Досрочное погашение (да/"")]]=""),0,
AND(S1325=0,Первоначальный[[#This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платеж]]+Y1325-SUM(Первоначальный[[#This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комиссиям]]),VLOOKUP(LOOKUP(,-1/($Z$12:Z1326=1),$A$12:A1326),График[[Срок конец]:[Возврат основной суммы долга]],3,0)),
AND(S1325=0,Первоначальный[[#This Row],[Дата платежа из графика]]="",Первоначальный[[#This Row],[Досрочное погашение (да/"")]]&lt;&gt;"Да"),0,
AND(S1325=0,Первоначальный[[#This Row],[Досрочное погашение (да/"")]]=""),MIN(Первоначальный[[#This Row],[Полученный платеж]]+Y1325-SUM(Первоначальный[[#This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комиссиям]]),VLOOKUP(LOOKUP(,-1/($Z$12:Z1326=1),$A$12:A1326),График[[Срок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платеж]]+Y1325-SUM(Первоначальный[[#This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S1325&gt;0,MIN(Первоначальный[[#This Row],[Полученный платеж]]+Y1325-SUM(Первоначальный[[#This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комиссиям]]),SUM(INDIRECT("M"&amp;(MAX((1=S$12:S1325)*ROW(S$12:S1325),ROW($W$12))&amp;":M"&amp;(ROW()))))-SUM(INDIRECT("W"&amp;(MAX((1=S$12:S1325)*ROW(S$12:S1325),ROW($W$12))&amp;":W"&amp;(ROW()-1)))))
)
)</f>
        <v>0</v>
      </c>
      <c r="X1326" s="55">
        <f t="shared" ca="1" si="244"/>
        <v>0</v>
      </c>
      <c r="Y1326" s="101">
        <f t="shared" ca="1" si="251"/>
        <v>0</v>
      </c>
      <c r="Z1326" s="133" t="str">
        <f>IF(TYPE((VLOOKUP(Первоначальный[[#This Row],[Дата платежа]],График[Срок конец],1,0)))=16,"",1)</f>
        <v/>
      </c>
      <c r="AA1326" s="57"/>
      <c r="AB1326" s="134"/>
      <c r="AC132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2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94877.340000000389</v>
      </c>
      <c r="AE132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7211.4800000000014</v>
      </c>
      <c r="AF132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2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364882.8010065566</v>
      </c>
      <c r="AH1326" s="55"/>
      <c r="AI1326" s="55"/>
      <c r="AJ1326" s="55"/>
      <c r="AK1326" s="101">
        <f t="shared" ca="1" si="252"/>
        <v>616604.96100655699</v>
      </c>
      <c r="AL1326" s="129">
        <f t="array" ref="AL1326">MAX((УслРестрактов[Характеристика]="Дата реструктуризации")*(УслРестрактов[Значение]=Первоначальный!$A1326),0)</f>
        <v>0</v>
      </c>
    </row>
    <row r="1327" spans="1:38" x14ac:dyDescent="0.25">
      <c r="A1327" s="97">
        <f t="shared" si="245"/>
        <v>45458</v>
      </c>
      <c r="B1327" s="100">
        <f t="shared" ca="1" si="246"/>
        <v>149633.34</v>
      </c>
      <c r="C1327" s="55">
        <f t="shared" ca="1" si="242"/>
        <v>94877.340000000389</v>
      </c>
      <c r="D1327" s="55">
        <f t="shared" ca="1" si="242"/>
        <v>7211.4800000000014</v>
      </c>
      <c r="E1327" s="55">
        <f t="shared" ca="1" si="247"/>
        <v>0</v>
      </c>
      <c r="F1327" s="55">
        <f t="shared" ca="1" si="248"/>
        <v>364882.8010065566</v>
      </c>
      <c r="G1327" s="101">
        <f t="shared" ca="1" si="249"/>
        <v>616604.96100655699</v>
      </c>
      <c r="H1327" s="100">
        <f ca="1">ROUND($B1327*VLOOKUP($A1327,$A$1:$B$10,2,1)/(365+IF(MOD(YEAR($A1327),4),0,1)*($A1327-$A1326)),2)-Первоначальный[[#This Row],[Проценты на просроченный платеж по ОД за период]]</f>
        <v>68.180000000000007</v>
      </c>
      <c r="I1327" s="55">
        <f t="shared" ca="1" si="250"/>
        <v>13.18</v>
      </c>
      <c r="J1327" s="55">
        <v>0</v>
      </c>
      <c r="K1327" s="55">
        <f t="shared" ca="1" si="253"/>
        <v>593.81850327868847</v>
      </c>
      <c r="L1327" s="55">
        <v>0</v>
      </c>
      <c r="M1327" s="113">
        <f>SUMIFS(График[Возврат основной суммы долга],График[Дата с учетом нерабочих дней],$A1327)</f>
        <v>0</v>
      </c>
      <c r="N1327" s="56">
        <f>SUMIFS(График[Возврат начисленных %],График[Дата с учетом нерабочих дней],$A1327)</f>
        <v>0</v>
      </c>
      <c r="O1327" s="101">
        <v>0</v>
      </c>
      <c r="P1327" s="100" cm="1">
        <f t="array" aca="1" ref="P1327" ca="1">MAX(IF(AA1326="Да",0,SUM(INDIRECT("M"&amp;(MAX(("Да"=AA$12:AA1326)*ROW(AA$12:AA1326)+1,ROW($P$12))&amp;":M"&amp;(ROW()))))-SUM(INDIRECT("W"&amp;(MAX(("Да"=AA$12:AA1326)*ROW(AA$12:AA1326)+1,ROW($P$12))&amp;":W"&amp;(ROW()))))),0)</f>
        <v>24232.889999999996</v>
      </c>
      <c r="Q1327" s="99">
        <f ca="1">MAX(SUM($N$13:N1327)-SUM($T$13:T1327),0)</f>
        <v>94530.810655737689</v>
      </c>
      <c r="R1327" s="99">
        <f ca="1">Первоначальный[[#This Row],[Просроченный платеж по ОД]]+Первоначальный[[#This Row],[Просроченный платеж по процентам]]</f>
        <v>118763.70065573769</v>
      </c>
      <c r="S1327" s="120">
        <f ca="1">IF(Первоначальный[[#This Row],[Просроченный платеж]]&lt;1,0,S1326+1)</f>
        <v>1223</v>
      </c>
      <c r="T1327" s="100" cm="1">
        <f t="array" aca="1" ref="T1327" ca="1">IF(Первоначальный[[#This Row],[Итого остаток на начало периода]]&lt;1,0,
IF(
AND(TYPE(VLOOKUP(1,$Z$12:Z1327,1,0))=16,Первоначальный[[#This Row],[Досрочное погашение (да/"")]]=""),0,
_xlfn.IFS(AND(S1326=0,Первоначальный[[#This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платеж]]&lt;&gt;0),MIN(LOOKUP(,-1/($Z$12:Z1327=1),$C$12:C1327)+LOOKUP(,-1/($Z$12:Z1327=1),$H$12:H1327),Первоначальный[[#This Row],[Полученный платеж]]+Y1326),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платеж]]+Y1326,SUM(Первоначальный[[#This Row],[Остаток процентов на начало периода]],Первоначальный[[#This Row],[Проценты за период]])),
AND(S1326=0,Первоначальный[[#This Row],[Дата платежа из графика]]=""),0,
AND(S1326=0,Первоначальный[[#This Row],[Дата платежа из графика]]=1,MAX((0&lt;&gt;S$12:S1326)*ROW(S$12:S1326),ROW($S$12))&gt;=MAX((1=Z$12:Z1326)*ROW(Z$12:Z1326),ROW($T$12)),TYPE(VLOOKUP("Да",(INDIRECT("AA"&amp;(MAX((1=Z$12:Z1326)*ROW(Z$12:Z1326),ROW($T$12))&amp;":AA"&amp;(ROW()-1)))),1,0))=16),MIN(LOOKUP(,-1/($Z$12:Z1327=1),$C$12:C1327)+LOOKUP(,-1/($Z$12:Z1327=1),$H$12:H1327),Первоначальный[[#This Row],[Полученный платеж]]+Y1326),
AND(S1326=0,TYPE(VLOOKUP("Да",(INDIRECT("AA"&amp;(MAX((1=Z$12:Z1326)*ROW(Z$12:Z1326),ROW($T$12))&amp;":AA"&amp;(ROW()-1)))),1,0))&lt;&gt;16),MIN(LOOKUP(,-1/($Z$12:Z1327=1),$C$12:C1327)+LOOKUP(,-1/($Z$12:Z1327=1),$H$12:H1327)-IF(AA1326="Да",0,SUM(INDIRECT("T"&amp;(MAX(("Да"=AA$12:AA1326)*ROW(AA$12:AA1326)+1,ROW($T$12))&amp;":T"&amp;(ROW()-1))))),Первоначальный[[#This Row],[Полученный платеж]]+Y1326),
AND(S1326=0,MAX((0&lt;&gt;N$12:N1326)*ROW(N$12:N1326),ROW($S$12))&gt;=MAX((1=Z$12:Z1326)*ROW(Z$12:Z1326),ROW($T$12))),MIN(LOOKUP(,-1/($Z$12:Z1327=1),$C$12:C1327)+LOOKUP(,-1/($Z$12:Z1327=1),$H$12:H1327)-IF(N1326&lt;&gt;0,0,SUM(INDIRECT("T"&amp;(MAX((0&lt;&gt;N$12:N1326)*ROW(N$12:N1326)+1,ROW($T$12))&amp;":T"&amp;(ROW()-1))))),Первоначальный[[#This Row],[Полученный платеж]]+Y1326),
AND(S1326=0,Первоначальный[[#This Row],[Дата платежа из графика]]=1),MIN(LOOKUP(,-1/($Z$12:Z1327=1),$C$12:C1327)+LOOKUP(,-1/($Z$12:Z1327=1),$H$12:H1327)-IF(Z1326=1,0,SUM(INDIRECT("T"&amp;(MAX((1=Z$12:Z1326)*ROW(Z$12:Z1326)+1,ROW($T$12))&amp;":T"&amp;(ROW()-1))))),Первоначальный[[#This Row],[Полученный платеж]]+Y1326),
AND(Z1326&gt;0,Первоначальный[[#This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платеж]]+Y1326),
AND(S1326&gt;0,MAX((0&lt;&gt;S$12:S1326)*ROW(S$12:S1326),ROW($S$12))&gt;=MAX((1=Z$12:Z1326)*ROW(Z$12:Z1326),ROW($T$12)),TYPE(VLOOKUP("Да",(INDIRECT("AA"&amp;(MAX((1=Z$12:Z1326)*ROW(Z$12:Z1326),ROW($T$12))&amp;":AA"&amp;(ROW()-1)))),1,0))=16),MIN(LOOKUP(,-1/($Z$12:Z1327=1),$C$12:C1327)+LOOKUP(,-1/($Z$12:Z1327=1),$H$12:H1327)-SUM(INDIRECT("T"&amp;(MAX((1=Z$12:Z1326)*ROW(Z$12:Z1326),ROW($T$12))&amp;":T"&amp;(ROW()-1)))),Первоначальный[[#This Row],[Полученный платеж]]+Y1326),
S1326&gt;0,MIN(LOOKUP(,-1/($Z$12:Z1327=1),$C$12:C1327)+LOOKUP(,-1/($Z$12:Z1327=1),$H$12:H1327)-IF(Z1326=1,0,SUM(INDIRECT("T"&amp;(MAX((1=Z$12:Z1326)*ROW(Z$12:Z1326)+1,ROW($T$12))&amp;":T"&amp;(ROW()-1))))),Первоначальный[[#This Row],[Полученный платеж]]+Y1326)
)
)
)</f>
        <v>0</v>
      </c>
      <c r="U132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платеж]]+Y1326-Первоначальный[[#This Row],[Полученный платёж по процентам]])</f>
        <v>0</v>
      </c>
      <c r="V1327" s="55">
        <f t="shared" ca="1" si="243"/>
        <v>0</v>
      </c>
      <c r="W1327" s="55" cm="1">
        <f t="array" aca="1" ref="W1327" ca="1">IF(Первоначальный[[#This Row],[Итого остаток на начало периода]]&lt;1,0,
_xlfn.IFS(
AND(TYPE(VLOOKUP(1,$Z$12:Z1327,1,0))=16,Первоначальный[[#This Row],[Досрочное погашение (да/"")]]=""),0,
AND(S1326=0,Первоначальный[[#This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платеж]]+Y1326-SUM(Первоначальный[[#This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комиссиям]]),VLOOKUP(LOOKUP(,-1/($Z$12:Z1327=1),$A$12:A1327),График[[Срок конец]:[Возврат основной суммы долга]],3,0)),
AND(S1326=0,Первоначальный[[#This Row],[Дата платежа из графика]]="",Первоначальный[[#This Row],[Досрочное погашение (да/"")]]&lt;&gt;"Да"),0,
AND(S1326=0,Первоначальный[[#This Row],[Досрочное погашение (да/"")]]=""),MIN(Первоначальный[[#This Row],[Полученный платеж]]+Y1326-SUM(Первоначальный[[#This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комиссиям]]),VLOOKUP(LOOKUP(,-1/($Z$12:Z1327=1),$A$12:A1327),График[[Срок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платеж]]+Y1326-SUM(Первоначальный[[#This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S1326&gt;0,MIN(Первоначальный[[#This Row],[Полученный платеж]]+Y1326-SUM(Первоначальный[[#This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комиссиям]]),SUM(INDIRECT("M"&amp;(MAX((1=S$12:S1326)*ROW(S$12:S1326),ROW($W$12))&amp;":M"&amp;(ROW()))))-SUM(INDIRECT("W"&amp;(MAX((1=S$12:S1326)*ROW(S$12:S1326),ROW($W$12))&amp;":W"&amp;(ROW()-1)))))
)
)</f>
        <v>0</v>
      </c>
      <c r="X1327" s="55">
        <f t="shared" ca="1" si="244"/>
        <v>0</v>
      </c>
      <c r="Y1327" s="101">
        <f t="shared" ca="1" si="251"/>
        <v>0</v>
      </c>
      <c r="Z1327" s="133" t="str">
        <f>IF(TYPE((VLOOKUP(Первоначальный[[#This Row],[Дата платежа]],График[Срок конец],1,0)))=16,"",1)</f>
        <v/>
      </c>
      <c r="AA1327" s="57"/>
      <c r="AB1327" s="134"/>
      <c r="AC132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2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94945.520000000382</v>
      </c>
      <c r="AE132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7224.6600000000017</v>
      </c>
      <c r="AF132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2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365476.61950983532</v>
      </c>
      <c r="AH1327" s="55"/>
      <c r="AI1327" s="55"/>
      <c r="AJ1327" s="55"/>
      <c r="AK1327" s="101">
        <f t="shared" ca="1" si="252"/>
        <v>617280.13950983575</v>
      </c>
      <c r="AL1327" s="129">
        <f t="array" ref="AL1327">MAX((УслРестрактов[Характеристика]="Дата реструктуризации")*(УслРестрактов[Значение]=Первоначальный!$A1327),0)</f>
        <v>0</v>
      </c>
    </row>
    <row r="1328" spans="1:38" x14ac:dyDescent="0.25">
      <c r="A1328" s="97">
        <f t="shared" si="245"/>
        <v>45459</v>
      </c>
      <c r="B1328" s="100">
        <f t="shared" ca="1" si="246"/>
        <v>149633.34</v>
      </c>
      <c r="C1328" s="55">
        <f t="shared" ca="1" si="242"/>
        <v>94945.520000000382</v>
      </c>
      <c r="D1328" s="55">
        <f t="shared" ca="1" si="242"/>
        <v>7224.6600000000017</v>
      </c>
      <c r="E1328" s="55">
        <f t="shared" ca="1" si="247"/>
        <v>0</v>
      </c>
      <c r="F1328" s="55">
        <f t="shared" ca="1" si="248"/>
        <v>365476.61950983532</v>
      </c>
      <c r="G1328" s="101">
        <f t="shared" ca="1" si="249"/>
        <v>617280.13950983575</v>
      </c>
      <c r="H1328" s="100">
        <f ca="1">ROUND($B1328*VLOOKUP($A1328,$A$1:$B$10,2,1)/(365+IF(MOD(YEAR($A1328),4),0,1)*($A1328-$A1327)),2)-Первоначальный[[#This Row],[Проценты на просроченный платеж по ОД за период]]</f>
        <v>68.180000000000007</v>
      </c>
      <c r="I1328" s="55">
        <f t="shared" ca="1" si="250"/>
        <v>13.18</v>
      </c>
      <c r="J1328" s="55">
        <v>0</v>
      </c>
      <c r="K1328" s="55">
        <f t="shared" ca="1" si="253"/>
        <v>593.81850327868847</v>
      </c>
      <c r="L1328" s="55">
        <v>0</v>
      </c>
      <c r="M1328" s="113">
        <f>SUMIFS(График[Возврат основной суммы долга],График[Дата с учетом нерабочих дней],$A1328)</f>
        <v>0</v>
      </c>
      <c r="N1328" s="56">
        <f>SUMIFS(График[Возврат начисленных %],График[Дата с учетом нерабочих дней],$A1328)</f>
        <v>0</v>
      </c>
      <c r="O1328" s="101">
        <v>0</v>
      </c>
      <c r="P1328" s="100" cm="1">
        <f t="array" aca="1" ref="P1328" ca="1">MAX(IF(AA1327="Да",0,SUM(INDIRECT("M"&amp;(MAX(("Да"=AA$12:AA1327)*ROW(AA$12:AA1327)+1,ROW($P$12))&amp;":M"&amp;(ROW()))))-SUM(INDIRECT("W"&amp;(MAX(("Да"=AA$12:AA1327)*ROW(AA$12:AA1327)+1,ROW($P$12))&amp;":W"&amp;(ROW()))))),0)</f>
        <v>24232.889999999996</v>
      </c>
      <c r="Q1328" s="99">
        <f ca="1">MAX(SUM($N$13:N1328)-SUM($T$13:T1328),0)</f>
        <v>94530.810655737689</v>
      </c>
      <c r="R1328" s="99">
        <f ca="1">Первоначальный[[#This Row],[Просроченный платеж по ОД]]+Первоначальный[[#This Row],[Просроченный платеж по процентам]]</f>
        <v>118763.70065573769</v>
      </c>
      <c r="S1328" s="120">
        <f ca="1">IF(Первоначальный[[#This Row],[Просроченный платеж]]&lt;1,0,S1327+1)</f>
        <v>1224</v>
      </c>
      <c r="T1328" s="100" cm="1">
        <f t="array" aca="1" ref="T1328" ca="1">IF(Первоначальный[[#This Row],[Итого остаток на начало периода]]&lt;1,0,
IF(
AND(TYPE(VLOOKUP(1,$Z$12:Z1328,1,0))=16,Первоначальный[[#This Row],[Досрочное погашение (да/"")]]=""),0,
_xlfn.IFS(AND(S1327=0,Первоначальный[[#This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платеж]]&lt;&gt;0),MIN(LOOKUP(,-1/($Z$12:Z1328=1),$C$12:C1328)+LOOKUP(,-1/($Z$12:Z1328=1),$H$12:H1328),Первоначальный[[#This Row],[Полученный платеж]]+Y1327),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платеж]]+Y1327,SUM(Первоначальный[[#This Row],[Остаток процентов на начало периода]],Первоначальный[[#This Row],[Проценты за период]])),
AND(S1327=0,Первоначальный[[#This Row],[Дата платежа из графика]]=""),0,
AND(S1327=0,Первоначальный[[#This Row],[Дата платежа из графика]]=1,MAX((0&lt;&gt;S$12:S1327)*ROW(S$12:S1327),ROW($S$12))&gt;=MAX((1=Z$12:Z1327)*ROW(Z$12:Z1327),ROW($T$12)),TYPE(VLOOKUP("Да",(INDIRECT("AA"&amp;(MAX((1=Z$12:Z1327)*ROW(Z$12:Z1327),ROW($T$12))&amp;":AA"&amp;(ROW()-1)))),1,0))=16),MIN(LOOKUP(,-1/($Z$12:Z1328=1),$C$12:C1328)+LOOKUP(,-1/($Z$12:Z1328=1),$H$12:H1328),Первоначальный[[#This Row],[Полученный платеж]]+Y1327),
AND(S1327=0,TYPE(VLOOKUP("Да",(INDIRECT("AA"&amp;(MAX((1=Z$12:Z1327)*ROW(Z$12:Z1327),ROW($T$12))&amp;":AA"&amp;(ROW()-1)))),1,0))&lt;&gt;16),MIN(LOOKUP(,-1/($Z$12:Z1328=1),$C$12:C1328)+LOOKUP(,-1/($Z$12:Z1328=1),$H$12:H1328)-IF(AA1327="Да",0,SUM(INDIRECT("T"&amp;(MAX(("Да"=AA$12:AA1327)*ROW(AA$12:AA1327)+1,ROW($T$12))&amp;":T"&amp;(ROW()-1))))),Первоначальный[[#This Row],[Полученный платеж]]+Y1327),
AND(S1327=0,MAX((0&lt;&gt;N$12:N1327)*ROW(N$12:N1327),ROW($S$12))&gt;=MAX((1=Z$12:Z1327)*ROW(Z$12:Z1327),ROW($T$12))),MIN(LOOKUP(,-1/($Z$12:Z1328=1),$C$12:C1328)+LOOKUP(,-1/($Z$12:Z1328=1),$H$12:H1328)-IF(N1327&lt;&gt;0,0,SUM(INDIRECT("T"&amp;(MAX((0&lt;&gt;N$12:N1327)*ROW(N$12:N1327)+1,ROW($T$12))&amp;":T"&amp;(ROW()-1))))),Первоначальный[[#This Row],[Полученный платеж]]+Y1327),
AND(S1327=0,Первоначальный[[#This Row],[Дата платежа из графика]]=1),MIN(LOOKUP(,-1/($Z$12:Z1328=1),$C$12:C1328)+LOOKUP(,-1/($Z$12:Z1328=1),$H$12:H1328)-IF(Z1327=1,0,SUM(INDIRECT("T"&amp;(MAX((1=Z$12:Z1327)*ROW(Z$12:Z1327)+1,ROW($T$12))&amp;":T"&amp;(ROW()-1))))),Первоначальный[[#This Row],[Полученный платеж]]+Y1327),
AND(Z1327&gt;0,Первоначальный[[#This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платеж]]+Y1327),
AND(S1327&gt;0,MAX((0&lt;&gt;S$12:S1327)*ROW(S$12:S1327),ROW($S$12))&gt;=MAX((1=Z$12:Z1327)*ROW(Z$12:Z1327),ROW($T$12)),TYPE(VLOOKUP("Да",(INDIRECT("AA"&amp;(MAX((1=Z$12:Z1327)*ROW(Z$12:Z1327),ROW($T$12))&amp;":AA"&amp;(ROW()-1)))),1,0))=16),MIN(LOOKUP(,-1/($Z$12:Z1328=1),$C$12:C1328)+LOOKUP(,-1/($Z$12:Z1328=1),$H$12:H1328)-SUM(INDIRECT("T"&amp;(MAX((1=Z$12:Z1327)*ROW(Z$12:Z1327),ROW($T$12))&amp;":T"&amp;(ROW()-1)))),Первоначальный[[#This Row],[Полученный платеж]]+Y1327),
S1327&gt;0,MIN(LOOKUP(,-1/($Z$12:Z1328=1),$C$12:C1328)+LOOKUP(,-1/($Z$12:Z1328=1),$H$12:H1328)-IF(Z1327=1,0,SUM(INDIRECT("T"&amp;(MAX((1=Z$12:Z1327)*ROW(Z$12:Z1327)+1,ROW($T$12))&amp;":T"&amp;(ROW()-1))))),Первоначальный[[#This Row],[Полученный платеж]]+Y1327)
)
)
)</f>
        <v>0</v>
      </c>
      <c r="U132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платеж]]+Y1327-Первоначальный[[#This Row],[Полученный платёж по процентам]])</f>
        <v>0</v>
      </c>
      <c r="V1328" s="55">
        <f t="shared" ca="1" si="243"/>
        <v>0</v>
      </c>
      <c r="W1328" s="55" cm="1">
        <f t="array" aca="1" ref="W1328" ca="1">IF(Первоначальный[[#This Row],[Итого остаток на начало периода]]&lt;1,0,
_xlfn.IFS(
AND(TYPE(VLOOKUP(1,$Z$12:Z1328,1,0))=16,Первоначальный[[#This Row],[Досрочное погашение (да/"")]]=""),0,
AND(S1327=0,Первоначальный[[#This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платеж]]+Y1327-SUM(Первоначальный[[#This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комиссиям]]),VLOOKUP(LOOKUP(,-1/($Z$12:Z1328=1),$A$12:A1328),График[[Срок конец]:[Возврат основной суммы долга]],3,0)),
AND(S1327=0,Первоначальный[[#This Row],[Дата платежа из графика]]="",Первоначальный[[#This Row],[Досрочное погашение (да/"")]]&lt;&gt;"Да"),0,
AND(S1327=0,Первоначальный[[#This Row],[Досрочное погашение (да/"")]]=""),MIN(Первоначальный[[#This Row],[Полученный платеж]]+Y1327-SUM(Первоначальный[[#This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комиссиям]]),VLOOKUP(LOOKUP(,-1/($Z$12:Z1328=1),$A$12:A1328),График[[Срок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платеж]]+Y1327-SUM(Первоначальный[[#This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S1327&gt;0,MIN(Первоначальный[[#This Row],[Полученный платеж]]+Y1327-SUM(Первоначальный[[#This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комиссиям]]),SUM(INDIRECT("M"&amp;(MAX((1=S$12:S1327)*ROW(S$12:S1327),ROW($W$12))&amp;":M"&amp;(ROW()))))-SUM(INDIRECT("W"&amp;(MAX((1=S$12:S1327)*ROW(S$12:S1327),ROW($W$12))&amp;":W"&amp;(ROW()-1)))))
)
)</f>
        <v>0</v>
      </c>
      <c r="X1328" s="55">
        <f t="shared" ca="1" si="244"/>
        <v>0</v>
      </c>
      <c r="Y1328" s="101">
        <f t="shared" ca="1" si="251"/>
        <v>0</v>
      </c>
      <c r="Z1328" s="133" t="str">
        <f>IF(TYPE((VLOOKUP(Первоначальный[[#This Row],[Дата платежа]],График[Срок конец],1,0)))=16,"",1)</f>
        <v/>
      </c>
      <c r="AA1328" s="57"/>
      <c r="AB1328" s="134"/>
      <c r="AC132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2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95013.700000000375</v>
      </c>
      <c r="AE132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7237.840000000002</v>
      </c>
      <c r="AF132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2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366070.43801311404</v>
      </c>
      <c r="AH1328" s="55"/>
      <c r="AI1328" s="55"/>
      <c r="AJ1328" s="55"/>
      <c r="AK1328" s="101">
        <f t="shared" ca="1" si="252"/>
        <v>617955.31801311439</v>
      </c>
      <c r="AL1328" s="129">
        <f t="array" ref="AL1328">MAX((УслРестрактов[Характеристика]="Дата реструктуризации")*(УслРестрактов[Значение]=Первоначальный!$A1328),0)</f>
        <v>0</v>
      </c>
    </row>
    <row r="1329" spans="1:38" x14ac:dyDescent="0.25">
      <c r="A1329" s="97">
        <f t="shared" si="245"/>
        <v>45460</v>
      </c>
      <c r="B1329" s="100">
        <f t="shared" ca="1" si="246"/>
        <v>149633.34</v>
      </c>
      <c r="C1329" s="55">
        <f t="shared" ca="1" si="242"/>
        <v>95013.700000000375</v>
      </c>
      <c r="D1329" s="55">
        <f t="shared" ca="1" si="242"/>
        <v>7237.840000000002</v>
      </c>
      <c r="E1329" s="55">
        <f t="shared" ca="1" si="247"/>
        <v>0</v>
      </c>
      <c r="F1329" s="55">
        <f t="shared" ca="1" si="248"/>
        <v>366070.43801311404</v>
      </c>
      <c r="G1329" s="101">
        <f t="shared" ca="1" si="249"/>
        <v>617955.31801311439</v>
      </c>
      <c r="H1329" s="100">
        <f ca="1">ROUND($B1329*VLOOKUP($A1329,$A$1:$B$10,2,1)/(365+IF(MOD(YEAR($A1329),4),0,1)*($A1329-$A1328)),2)-Первоначальный[[#This Row],[Проценты на просроченный платеж по ОД за период]]</f>
        <v>68.180000000000007</v>
      </c>
      <c r="I1329" s="55">
        <f t="shared" ca="1" si="250"/>
        <v>13.18</v>
      </c>
      <c r="J1329" s="55">
        <v>0</v>
      </c>
      <c r="K1329" s="55">
        <f t="shared" ca="1" si="253"/>
        <v>593.81850327868847</v>
      </c>
      <c r="L1329" s="55">
        <v>0</v>
      </c>
      <c r="M1329" s="113">
        <f>SUMIFS(График[Возврат основной суммы долга],График[Дата с учетом нерабочих дней],$A1329)</f>
        <v>0</v>
      </c>
      <c r="N1329" s="56">
        <f>SUMIFS(График[Возврат начисленных %],График[Дата с учетом нерабочих дней],$A1329)</f>
        <v>0</v>
      </c>
      <c r="O1329" s="101">
        <v>0</v>
      </c>
      <c r="P1329" s="100" cm="1">
        <f t="array" aca="1" ref="P1329" ca="1">MAX(IF(AA1328="Да",0,SUM(INDIRECT("M"&amp;(MAX(("Да"=AA$12:AA1328)*ROW(AA$12:AA1328)+1,ROW($P$12))&amp;":M"&amp;(ROW()))))-SUM(INDIRECT("W"&amp;(MAX(("Да"=AA$12:AA1328)*ROW(AA$12:AA1328)+1,ROW($P$12))&amp;":W"&amp;(ROW()))))),0)</f>
        <v>24232.889999999996</v>
      </c>
      <c r="Q1329" s="99">
        <f ca="1">MAX(SUM($N$13:N1329)-SUM($T$13:T1329),0)</f>
        <v>94530.810655737689</v>
      </c>
      <c r="R1329" s="99">
        <f ca="1">Первоначальный[[#This Row],[Просроченный платеж по ОД]]+Первоначальный[[#This Row],[Просроченный платеж по процентам]]</f>
        <v>118763.70065573769</v>
      </c>
      <c r="S1329" s="120">
        <f ca="1">IF(Первоначальный[[#This Row],[Просроченный платеж]]&lt;1,0,S1328+1)</f>
        <v>1225</v>
      </c>
      <c r="T1329" s="100" cm="1">
        <f t="array" aca="1" ref="T1329" ca="1">IF(Первоначальный[[#This Row],[Итого остаток на начало периода]]&lt;1,0,
IF(
AND(TYPE(VLOOKUP(1,$Z$12:Z1329,1,0))=16,Первоначальный[[#This Row],[Досрочное погашение (да/"")]]=""),0,
_xlfn.IFS(AND(S1328=0,Первоначальный[[#This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платеж]]&lt;&gt;0),MIN(LOOKUP(,-1/($Z$12:Z1329=1),$C$12:C1329)+LOOKUP(,-1/($Z$12:Z1329=1),$H$12:H1329),Первоначальный[[#This Row],[Полученный платеж]]+Y1328),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платеж]]+Y1328,SUM(Первоначальный[[#This Row],[Остаток процентов на начало периода]],Первоначальный[[#This Row],[Проценты за период]])),
AND(S1328=0,Первоначальный[[#This Row],[Дата платежа из графика]]=""),0,
AND(S1328=0,Первоначальный[[#This Row],[Дата платежа из графика]]=1,MAX((0&lt;&gt;S$12:S1328)*ROW(S$12:S1328),ROW($S$12))&gt;=MAX((1=Z$12:Z1328)*ROW(Z$12:Z1328),ROW($T$12)),TYPE(VLOOKUP("Да",(INDIRECT("AA"&amp;(MAX((1=Z$12:Z1328)*ROW(Z$12:Z1328),ROW($T$12))&amp;":AA"&amp;(ROW()-1)))),1,0))=16),MIN(LOOKUP(,-1/($Z$12:Z1329=1),$C$12:C1329)+LOOKUP(,-1/($Z$12:Z1329=1),$H$12:H1329),Первоначальный[[#This Row],[Полученный платеж]]+Y1328),
AND(S1328=0,TYPE(VLOOKUP("Да",(INDIRECT("AA"&amp;(MAX((1=Z$12:Z1328)*ROW(Z$12:Z1328),ROW($T$12))&amp;":AA"&amp;(ROW()-1)))),1,0))&lt;&gt;16),MIN(LOOKUP(,-1/($Z$12:Z1329=1),$C$12:C1329)+LOOKUP(,-1/($Z$12:Z1329=1),$H$12:H1329)-IF(AA1328="Да",0,SUM(INDIRECT("T"&amp;(MAX(("Да"=AA$12:AA1328)*ROW(AA$12:AA1328)+1,ROW($T$12))&amp;":T"&amp;(ROW()-1))))),Первоначальный[[#This Row],[Полученный платеж]]+Y1328),
AND(S1328=0,MAX((0&lt;&gt;N$12:N1328)*ROW(N$12:N1328),ROW($S$12))&gt;=MAX((1=Z$12:Z1328)*ROW(Z$12:Z1328),ROW($T$12))),MIN(LOOKUP(,-1/($Z$12:Z1329=1),$C$12:C1329)+LOOKUP(,-1/($Z$12:Z1329=1),$H$12:H1329)-IF(N1328&lt;&gt;0,0,SUM(INDIRECT("T"&amp;(MAX((0&lt;&gt;N$12:N1328)*ROW(N$12:N1328)+1,ROW($T$12))&amp;":T"&amp;(ROW()-1))))),Первоначальный[[#This Row],[Полученный платеж]]+Y1328),
AND(S1328=0,Первоначальный[[#This Row],[Дата платежа из графика]]=1),MIN(LOOKUP(,-1/($Z$12:Z1329=1),$C$12:C1329)+LOOKUP(,-1/($Z$12:Z1329=1),$H$12:H1329)-IF(Z1328=1,0,SUM(INDIRECT("T"&amp;(MAX((1=Z$12:Z1328)*ROW(Z$12:Z1328)+1,ROW($T$12))&amp;":T"&amp;(ROW()-1))))),Первоначальный[[#This Row],[Полученный платеж]]+Y1328),
AND(Z1328&gt;0,Первоначальный[[#This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платеж]]+Y1328),
AND(S1328&gt;0,MAX((0&lt;&gt;S$12:S1328)*ROW(S$12:S1328),ROW($S$12))&gt;=MAX((1=Z$12:Z1328)*ROW(Z$12:Z1328),ROW($T$12)),TYPE(VLOOKUP("Да",(INDIRECT("AA"&amp;(MAX((1=Z$12:Z1328)*ROW(Z$12:Z1328),ROW($T$12))&amp;":AA"&amp;(ROW()-1)))),1,0))=16),MIN(LOOKUP(,-1/($Z$12:Z1329=1),$C$12:C1329)+LOOKUP(,-1/($Z$12:Z1329=1),$H$12:H1329)-SUM(INDIRECT("T"&amp;(MAX((1=Z$12:Z1328)*ROW(Z$12:Z1328),ROW($T$12))&amp;":T"&amp;(ROW()-1)))),Первоначальный[[#This Row],[Полученный платеж]]+Y1328),
S1328&gt;0,MIN(LOOKUP(,-1/($Z$12:Z1329=1),$C$12:C1329)+LOOKUP(,-1/($Z$12:Z1329=1),$H$12:H1329)-IF(Z1328=1,0,SUM(INDIRECT("T"&amp;(MAX((1=Z$12:Z1328)*ROW(Z$12:Z1328)+1,ROW($T$12))&amp;":T"&amp;(ROW()-1))))),Первоначальный[[#This Row],[Полученный платеж]]+Y1328)
)
)
)</f>
        <v>0</v>
      </c>
      <c r="U132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платеж]]+Y1328-Первоначальный[[#This Row],[Полученный платёж по процентам]])</f>
        <v>0</v>
      </c>
      <c r="V1329" s="55">
        <f t="shared" ca="1" si="243"/>
        <v>0</v>
      </c>
      <c r="W1329" s="55" cm="1">
        <f t="array" aca="1" ref="W1329" ca="1">IF(Первоначальный[[#This Row],[Итого остаток на начало периода]]&lt;1,0,
_xlfn.IFS(
AND(TYPE(VLOOKUP(1,$Z$12:Z1329,1,0))=16,Первоначальный[[#This Row],[Досрочное погашение (да/"")]]=""),0,
AND(S1328=0,Первоначальный[[#This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платеж]]+Y1328-SUM(Первоначальный[[#This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комиссиям]]),VLOOKUP(LOOKUP(,-1/($Z$12:Z1329=1),$A$12:A1329),График[[Срок конец]:[Возврат основной суммы долга]],3,0)),
AND(S1328=0,Первоначальный[[#This Row],[Дата платежа из графика]]="",Первоначальный[[#This Row],[Досрочное погашение (да/"")]]&lt;&gt;"Да"),0,
AND(S1328=0,Первоначальный[[#This Row],[Досрочное погашение (да/"")]]=""),MIN(Первоначальный[[#This Row],[Полученный платеж]]+Y1328-SUM(Первоначальный[[#This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комиссиям]]),VLOOKUP(LOOKUP(,-1/($Z$12:Z1329=1),$A$12:A1329),График[[Срок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платеж]]+Y1328-SUM(Первоначальный[[#This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S1328&gt;0,MIN(Первоначальный[[#This Row],[Полученный платеж]]+Y1328-SUM(Первоначальный[[#This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комиссиям]]),SUM(INDIRECT("M"&amp;(MAX((1=S$12:S1328)*ROW(S$12:S1328),ROW($W$12))&amp;":M"&amp;(ROW()))))-SUM(INDIRECT("W"&amp;(MAX((1=S$12:S1328)*ROW(S$12:S1328),ROW($W$12))&amp;":W"&amp;(ROW()-1)))))
)
)</f>
        <v>0</v>
      </c>
      <c r="X1329" s="55">
        <f t="shared" ca="1" si="244"/>
        <v>0</v>
      </c>
      <c r="Y1329" s="101">
        <f t="shared" ca="1" si="251"/>
        <v>0</v>
      </c>
      <c r="Z1329" s="133" t="str">
        <f>IF(TYPE((VLOOKUP(Первоначальный[[#This Row],[Дата платежа]],График[Срок конец],1,0)))=16,"",1)</f>
        <v/>
      </c>
      <c r="AA1329" s="57"/>
      <c r="AB1329" s="134"/>
      <c r="AC132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2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95081.880000000368</v>
      </c>
      <c r="AE132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7251.0200000000023</v>
      </c>
      <c r="AF132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2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366664.25651639275</v>
      </c>
      <c r="AH1329" s="55"/>
      <c r="AI1329" s="55"/>
      <c r="AJ1329" s="55"/>
      <c r="AK1329" s="101">
        <f t="shared" ca="1" si="252"/>
        <v>618630.49651639315</v>
      </c>
      <c r="AL1329" s="129">
        <f t="array" ref="AL1329">MAX((УслРестрактов[Характеристика]="Дата реструктуризации")*(УслРестрактов[Значение]=Первоначальный!$A1329),0)</f>
        <v>0</v>
      </c>
    </row>
    <row r="1330" spans="1:38" x14ac:dyDescent="0.25">
      <c r="A1330" s="97">
        <f t="shared" si="245"/>
        <v>45461</v>
      </c>
      <c r="B1330" s="100">
        <f t="shared" ca="1" si="246"/>
        <v>149633.34</v>
      </c>
      <c r="C1330" s="55">
        <f t="shared" ca="1" si="242"/>
        <v>95081.880000000368</v>
      </c>
      <c r="D1330" s="55">
        <f t="shared" ca="1" si="242"/>
        <v>7251.0200000000023</v>
      </c>
      <c r="E1330" s="55">
        <f t="shared" ca="1" si="247"/>
        <v>0</v>
      </c>
      <c r="F1330" s="55">
        <f t="shared" ca="1" si="248"/>
        <v>366664.25651639275</v>
      </c>
      <c r="G1330" s="101">
        <f t="shared" ca="1" si="249"/>
        <v>618630.49651639315</v>
      </c>
      <c r="H1330" s="100">
        <f ca="1">ROUND($B1330*VLOOKUP($A1330,$A$1:$B$10,2,1)/(365+IF(MOD(YEAR($A1330),4),0,1)*($A1330-$A1329)),2)-Первоначальный[[#This Row],[Проценты на просроченный платеж по ОД за период]]</f>
        <v>68.180000000000007</v>
      </c>
      <c r="I1330" s="55">
        <f t="shared" ca="1" si="250"/>
        <v>13.18</v>
      </c>
      <c r="J1330" s="55">
        <v>0</v>
      </c>
      <c r="K1330" s="55">
        <f t="shared" ca="1" si="253"/>
        <v>593.81850327868847</v>
      </c>
      <c r="L1330" s="55">
        <v>0</v>
      </c>
      <c r="M1330" s="113">
        <f>SUMIFS(График[Возврат основной суммы долга],График[Дата с учетом нерабочих дней],$A1330)</f>
        <v>0</v>
      </c>
      <c r="N1330" s="56">
        <f>SUMIFS(График[Возврат начисленных %],График[Дата с учетом нерабочих дней],$A1330)</f>
        <v>0</v>
      </c>
      <c r="O1330" s="101">
        <v>0</v>
      </c>
      <c r="P1330" s="100" cm="1">
        <f t="array" aca="1" ref="P1330" ca="1">MAX(IF(AA1329="Да",0,SUM(INDIRECT("M"&amp;(MAX(("Да"=AA$12:AA1329)*ROW(AA$12:AA1329)+1,ROW($P$12))&amp;":M"&amp;(ROW()))))-SUM(INDIRECT("W"&amp;(MAX(("Да"=AA$12:AA1329)*ROW(AA$12:AA1329)+1,ROW($P$12))&amp;":W"&amp;(ROW()))))),0)</f>
        <v>24232.889999999996</v>
      </c>
      <c r="Q1330" s="99">
        <f ca="1">MAX(SUM($N$13:N1330)-SUM($T$13:T1330),0)</f>
        <v>94530.810655737689</v>
      </c>
      <c r="R1330" s="99">
        <f ca="1">Первоначальный[[#This Row],[Просроченный платеж по ОД]]+Первоначальный[[#This Row],[Просроченный платеж по процентам]]</f>
        <v>118763.70065573769</v>
      </c>
      <c r="S1330" s="120">
        <f ca="1">IF(Первоначальный[[#This Row],[Просроченный платеж]]&lt;1,0,S1329+1)</f>
        <v>1226</v>
      </c>
      <c r="T1330" s="100" cm="1">
        <f t="array" aca="1" ref="T1330" ca="1">IF(Первоначальный[[#This Row],[Итого остаток на начало периода]]&lt;1,0,
IF(
AND(TYPE(VLOOKUP(1,$Z$12:Z1330,1,0))=16,Первоначальный[[#This Row],[Досрочное погашение (да/"")]]=""),0,
_xlfn.IFS(AND(S1329=0,Первоначальный[[#This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платеж]]&lt;&gt;0),MIN(LOOKUP(,-1/($Z$12:Z1330=1),$C$12:C1330)+LOOKUP(,-1/($Z$12:Z1330=1),$H$12:H1330),Первоначальный[[#This Row],[Полученный платеж]]+Y1329),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платеж]]+Y1329,SUM(Первоначальный[[#This Row],[Остаток процентов на начало периода]],Первоначальный[[#This Row],[Проценты за период]])),
AND(S1329=0,Первоначальный[[#This Row],[Дата платежа из графика]]=""),0,
AND(S1329=0,Первоначальный[[#This Row],[Дата платежа из графика]]=1,MAX((0&lt;&gt;S$12:S1329)*ROW(S$12:S1329),ROW($S$12))&gt;=MAX((1=Z$12:Z1329)*ROW(Z$12:Z1329),ROW($T$12)),TYPE(VLOOKUP("Да",(INDIRECT("AA"&amp;(MAX((1=Z$12:Z1329)*ROW(Z$12:Z1329),ROW($T$12))&amp;":AA"&amp;(ROW()-1)))),1,0))=16),MIN(LOOKUP(,-1/($Z$12:Z1330=1),$C$12:C1330)+LOOKUP(,-1/($Z$12:Z1330=1),$H$12:H1330),Первоначальный[[#This Row],[Полученный платеж]]+Y1329),
AND(S1329=0,TYPE(VLOOKUP("Да",(INDIRECT("AA"&amp;(MAX((1=Z$12:Z1329)*ROW(Z$12:Z1329),ROW($T$12))&amp;":AA"&amp;(ROW()-1)))),1,0))&lt;&gt;16),MIN(LOOKUP(,-1/($Z$12:Z1330=1),$C$12:C1330)+LOOKUP(,-1/($Z$12:Z1330=1),$H$12:H1330)-IF(AA1329="Да",0,SUM(INDIRECT("T"&amp;(MAX(("Да"=AA$12:AA1329)*ROW(AA$12:AA1329)+1,ROW($T$12))&amp;":T"&amp;(ROW()-1))))),Первоначальный[[#This Row],[Полученный платеж]]+Y1329),
AND(S1329=0,MAX((0&lt;&gt;N$12:N1329)*ROW(N$12:N1329),ROW($S$12))&gt;=MAX((1=Z$12:Z1329)*ROW(Z$12:Z1329),ROW($T$12))),MIN(LOOKUP(,-1/($Z$12:Z1330=1),$C$12:C1330)+LOOKUP(,-1/($Z$12:Z1330=1),$H$12:H1330)-IF(N1329&lt;&gt;0,0,SUM(INDIRECT("T"&amp;(MAX((0&lt;&gt;N$12:N1329)*ROW(N$12:N1329)+1,ROW($T$12))&amp;":T"&amp;(ROW()-1))))),Первоначальный[[#This Row],[Полученный платеж]]+Y1329),
AND(S1329=0,Первоначальный[[#This Row],[Дата платежа из графика]]=1),MIN(LOOKUP(,-1/($Z$12:Z1330=1),$C$12:C1330)+LOOKUP(,-1/($Z$12:Z1330=1),$H$12:H1330)-IF(Z1329=1,0,SUM(INDIRECT("T"&amp;(MAX((1=Z$12:Z1329)*ROW(Z$12:Z1329)+1,ROW($T$12))&amp;":T"&amp;(ROW()-1))))),Первоначальный[[#This Row],[Полученный платеж]]+Y1329),
AND(Z1329&gt;0,Первоначальный[[#This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платеж]]+Y1329),
AND(S1329&gt;0,MAX((0&lt;&gt;S$12:S1329)*ROW(S$12:S1329),ROW($S$12))&gt;=MAX((1=Z$12:Z1329)*ROW(Z$12:Z1329),ROW($T$12)),TYPE(VLOOKUP("Да",(INDIRECT("AA"&amp;(MAX((1=Z$12:Z1329)*ROW(Z$12:Z1329),ROW($T$12))&amp;":AA"&amp;(ROW()-1)))),1,0))=16),MIN(LOOKUP(,-1/($Z$12:Z1330=1),$C$12:C1330)+LOOKUP(,-1/($Z$12:Z1330=1),$H$12:H1330)-SUM(INDIRECT("T"&amp;(MAX((1=Z$12:Z1329)*ROW(Z$12:Z1329),ROW($T$12))&amp;":T"&amp;(ROW()-1)))),Первоначальный[[#This Row],[Полученный платеж]]+Y1329),
S1329&gt;0,MIN(LOOKUP(,-1/($Z$12:Z1330=1),$C$12:C1330)+LOOKUP(,-1/($Z$12:Z1330=1),$H$12:H1330)-IF(Z1329=1,0,SUM(INDIRECT("T"&amp;(MAX((1=Z$12:Z1329)*ROW(Z$12:Z1329)+1,ROW($T$12))&amp;":T"&amp;(ROW()-1))))),Первоначальный[[#This Row],[Полученный платеж]]+Y1329)
)
)
)</f>
        <v>0</v>
      </c>
      <c r="U133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платеж]]+Y1329-Первоначальный[[#This Row],[Полученный платёж по процентам]])</f>
        <v>0</v>
      </c>
      <c r="V1330" s="55">
        <f t="shared" ca="1" si="243"/>
        <v>0</v>
      </c>
      <c r="W1330" s="55" cm="1">
        <f t="array" aca="1" ref="W1330" ca="1">IF(Первоначальный[[#This Row],[Итого остаток на начало периода]]&lt;1,0,
_xlfn.IFS(
AND(TYPE(VLOOKUP(1,$Z$12:Z1330,1,0))=16,Первоначальный[[#This Row],[Досрочное погашение (да/"")]]=""),0,
AND(S1329=0,Первоначальный[[#This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платеж]]+Y1329-SUM(Первоначальный[[#This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комиссиям]]),VLOOKUP(LOOKUP(,-1/($Z$12:Z1330=1),$A$12:A1330),График[[Срок конец]:[Возврат основной суммы долга]],3,0)),
AND(S1329=0,Первоначальный[[#This Row],[Дата платежа из графика]]="",Первоначальный[[#This Row],[Досрочное погашение (да/"")]]&lt;&gt;"Да"),0,
AND(S1329=0,Первоначальный[[#This Row],[Досрочное погашение (да/"")]]=""),MIN(Первоначальный[[#This Row],[Полученный платеж]]+Y1329-SUM(Первоначальный[[#This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комиссиям]]),VLOOKUP(LOOKUP(,-1/($Z$12:Z1330=1),$A$12:A1330),График[[Срок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платеж]]+Y1329-SUM(Первоначальный[[#This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S1329&gt;0,MIN(Первоначальный[[#This Row],[Полученный платеж]]+Y1329-SUM(Первоначальный[[#This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комиссиям]]),SUM(INDIRECT("M"&amp;(MAX((1=S$12:S1329)*ROW(S$12:S1329),ROW($W$12))&amp;":M"&amp;(ROW()))))-SUM(INDIRECT("W"&amp;(MAX((1=S$12:S1329)*ROW(S$12:S1329),ROW($W$12))&amp;":W"&amp;(ROW()-1)))))
)
)</f>
        <v>0</v>
      </c>
      <c r="X1330" s="55">
        <f t="shared" ca="1" si="244"/>
        <v>0</v>
      </c>
      <c r="Y1330" s="101">
        <f t="shared" ca="1" si="251"/>
        <v>0</v>
      </c>
      <c r="Z1330" s="133" t="str">
        <f>IF(TYPE((VLOOKUP(Первоначальный[[#This Row],[Дата платежа]],График[Срок конец],1,0)))=16,"",1)</f>
        <v/>
      </c>
      <c r="AA1330" s="57"/>
      <c r="AB1330" s="134"/>
      <c r="AC133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3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95150.060000000361</v>
      </c>
      <c r="AE133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7264.2000000000025</v>
      </c>
      <c r="AF133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3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367258.07501967147</v>
      </c>
      <c r="AH1330" s="55"/>
      <c r="AI1330" s="55"/>
      <c r="AJ1330" s="55"/>
      <c r="AK1330" s="101">
        <f t="shared" ca="1" si="252"/>
        <v>619305.67501967191</v>
      </c>
      <c r="AL1330" s="129">
        <f t="array" ref="AL1330">MAX((УслРестрактов[Характеристика]="Дата реструктуризации")*(УслРестрактов[Значение]=Первоначальный!$A1330),0)</f>
        <v>0</v>
      </c>
    </row>
    <row r="1331" spans="1:38" x14ac:dyDescent="0.25">
      <c r="A1331" s="97">
        <f t="shared" si="245"/>
        <v>45462</v>
      </c>
      <c r="B1331" s="100">
        <f t="shared" ca="1" si="246"/>
        <v>149633.34</v>
      </c>
      <c r="C1331" s="55">
        <f t="shared" ca="1" si="242"/>
        <v>95150.060000000361</v>
      </c>
      <c r="D1331" s="55">
        <f t="shared" ca="1" si="242"/>
        <v>7264.2000000000025</v>
      </c>
      <c r="E1331" s="55">
        <f t="shared" ca="1" si="247"/>
        <v>0</v>
      </c>
      <c r="F1331" s="55">
        <f t="shared" ca="1" si="248"/>
        <v>367258.07501967147</v>
      </c>
      <c r="G1331" s="101">
        <f t="shared" ca="1" si="249"/>
        <v>619305.67501967191</v>
      </c>
      <c r="H1331" s="100">
        <f ca="1">ROUND($B1331*VLOOKUP($A1331,$A$1:$B$10,2,1)/(365+IF(MOD(YEAR($A1331),4),0,1)*($A1331-$A1330)),2)-Первоначальный[[#This Row],[Проценты на просроченный платеж по ОД за период]]</f>
        <v>68.180000000000007</v>
      </c>
      <c r="I1331" s="55">
        <f t="shared" ca="1" si="250"/>
        <v>13.18</v>
      </c>
      <c r="J1331" s="55">
        <v>0</v>
      </c>
      <c r="K1331" s="55">
        <f t="shared" ca="1" si="253"/>
        <v>593.81850327868847</v>
      </c>
      <c r="L1331" s="55">
        <v>0</v>
      </c>
      <c r="M1331" s="113">
        <f>SUMIFS(График[Возврат основной суммы долга],График[Дата с учетом нерабочих дней],$A1331)</f>
        <v>0</v>
      </c>
      <c r="N1331" s="56">
        <f>SUMIFS(График[Возврат начисленных %],График[Дата с учетом нерабочих дней],$A1331)</f>
        <v>0</v>
      </c>
      <c r="O1331" s="101">
        <v>0</v>
      </c>
      <c r="P1331" s="100" cm="1">
        <f t="array" aca="1" ref="P1331" ca="1">MAX(IF(AA1330="Да",0,SUM(INDIRECT("M"&amp;(MAX(("Да"=AA$12:AA1330)*ROW(AA$12:AA1330)+1,ROW($P$12))&amp;":M"&amp;(ROW()))))-SUM(INDIRECT("W"&amp;(MAX(("Да"=AA$12:AA1330)*ROW(AA$12:AA1330)+1,ROW($P$12))&amp;":W"&amp;(ROW()))))),0)</f>
        <v>24232.889999999996</v>
      </c>
      <c r="Q1331" s="99">
        <f ca="1">MAX(SUM($N$13:N1331)-SUM($T$13:T1331),0)</f>
        <v>94530.810655737689</v>
      </c>
      <c r="R1331" s="99">
        <f ca="1">Первоначальный[[#This Row],[Просроченный платеж по ОД]]+Первоначальный[[#This Row],[Просроченный платеж по процентам]]</f>
        <v>118763.70065573769</v>
      </c>
      <c r="S1331" s="120">
        <f ca="1">IF(Первоначальный[[#This Row],[Просроченный платеж]]&lt;1,0,S1330+1)</f>
        <v>1227</v>
      </c>
      <c r="T1331" s="100" cm="1">
        <f t="array" aca="1" ref="T1331" ca="1">IF(Первоначальный[[#This Row],[Итого остаток на начало периода]]&lt;1,0,
IF(
AND(TYPE(VLOOKUP(1,$Z$12:Z1331,1,0))=16,Первоначальный[[#This Row],[Досрочное погашение (да/"")]]=""),0,
_xlfn.IFS(AND(S1330=0,Первоначальный[[#This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платеж]]&lt;&gt;0),MIN(LOOKUP(,-1/($Z$12:Z1331=1),$C$12:C1331)+LOOKUP(,-1/($Z$12:Z1331=1),$H$12:H1331),Первоначальный[[#This Row],[Полученный платеж]]+Y1330),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платеж]]+Y1330,SUM(Первоначальный[[#This Row],[Остаток процентов на начало периода]],Первоначальный[[#This Row],[Проценты за период]])),
AND(S1330=0,Первоначальный[[#This Row],[Дата платежа из графика]]=""),0,
AND(S1330=0,Первоначальный[[#This Row],[Дата платежа из графика]]=1,MAX((0&lt;&gt;S$12:S1330)*ROW(S$12:S1330),ROW($S$12))&gt;=MAX((1=Z$12:Z1330)*ROW(Z$12:Z1330),ROW($T$12)),TYPE(VLOOKUP("Да",(INDIRECT("AA"&amp;(MAX((1=Z$12:Z1330)*ROW(Z$12:Z1330),ROW($T$12))&amp;":AA"&amp;(ROW()-1)))),1,0))=16),MIN(LOOKUP(,-1/($Z$12:Z1331=1),$C$12:C1331)+LOOKUP(,-1/($Z$12:Z1331=1),$H$12:H1331),Первоначальный[[#This Row],[Полученный платеж]]+Y1330),
AND(S1330=0,TYPE(VLOOKUP("Да",(INDIRECT("AA"&amp;(MAX((1=Z$12:Z1330)*ROW(Z$12:Z1330),ROW($T$12))&amp;":AA"&amp;(ROW()-1)))),1,0))&lt;&gt;16),MIN(LOOKUP(,-1/($Z$12:Z1331=1),$C$12:C1331)+LOOKUP(,-1/($Z$12:Z1331=1),$H$12:H1331)-IF(AA1330="Да",0,SUM(INDIRECT("T"&amp;(MAX(("Да"=AA$12:AA1330)*ROW(AA$12:AA1330)+1,ROW($T$12))&amp;":T"&amp;(ROW()-1))))),Первоначальный[[#This Row],[Полученный платеж]]+Y1330),
AND(S1330=0,MAX((0&lt;&gt;N$12:N1330)*ROW(N$12:N1330),ROW($S$12))&gt;=MAX((1=Z$12:Z1330)*ROW(Z$12:Z1330),ROW($T$12))),MIN(LOOKUP(,-1/($Z$12:Z1331=1),$C$12:C1331)+LOOKUP(,-1/($Z$12:Z1331=1),$H$12:H1331)-IF(N1330&lt;&gt;0,0,SUM(INDIRECT("T"&amp;(MAX((0&lt;&gt;N$12:N1330)*ROW(N$12:N1330)+1,ROW($T$12))&amp;":T"&amp;(ROW()-1))))),Первоначальный[[#This Row],[Полученный платеж]]+Y1330),
AND(S1330=0,Первоначальный[[#This Row],[Дата платежа из графика]]=1),MIN(LOOKUP(,-1/($Z$12:Z1331=1),$C$12:C1331)+LOOKUP(,-1/($Z$12:Z1331=1),$H$12:H1331)-IF(Z1330=1,0,SUM(INDIRECT("T"&amp;(MAX((1=Z$12:Z1330)*ROW(Z$12:Z1330)+1,ROW($T$12))&amp;":T"&amp;(ROW()-1))))),Первоначальный[[#This Row],[Полученный платеж]]+Y1330),
AND(Z1330&gt;0,Первоначальный[[#This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платеж]]+Y1330),
AND(S1330&gt;0,MAX((0&lt;&gt;S$12:S1330)*ROW(S$12:S1330),ROW($S$12))&gt;=MAX((1=Z$12:Z1330)*ROW(Z$12:Z1330),ROW($T$12)),TYPE(VLOOKUP("Да",(INDIRECT("AA"&amp;(MAX((1=Z$12:Z1330)*ROW(Z$12:Z1330),ROW($T$12))&amp;":AA"&amp;(ROW()-1)))),1,0))=16),MIN(LOOKUP(,-1/($Z$12:Z1331=1),$C$12:C1331)+LOOKUP(,-1/($Z$12:Z1331=1),$H$12:H1331)-SUM(INDIRECT("T"&amp;(MAX((1=Z$12:Z1330)*ROW(Z$12:Z1330),ROW($T$12))&amp;":T"&amp;(ROW()-1)))),Первоначальный[[#This Row],[Полученный платеж]]+Y1330),
S1330&gt;0,MIN(LOOKUP(,-1/($Z$12:Z1331=1),$C$12:C1331)+LOOKUP(,-1/($Z$12:Z1331=1),$H$12:H1331)-IF(Z1330=1,0,SUM(INDIRECT("T"&amp;(MAX((1=Z$12:Z1330)*ROW(Z$12:Z1330)+1,ROW($T$12))&amp;":T"&amp;(ROW()-1))))),Первоначальный[[#This Row],[Полученный платеж]]+Y1330)
)
)
)</f>
        <v>0</v>
      </c>
      <c r="U133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платеж]]+Y1330-Первоначальный[[#This Row],[Полученный платёж по процентам]])</f>
        <v>0</v>
      </c>
      <c r="V1331" s="55">
        <f t="shared" ca="1" si="243"/>
        <v>0</v>
      </c>
      <c r="W1331" s="55" cm="1">
        <f t="array" aca="1" ref="W1331" ca="1">IF(Первоначальный[[#This Row],[Итого остаток на начало периода]]&lt;1,0,
_xlfn.IFS(
AND(TYPE(VLOOKUP(1,$Z$12:Z1331,1,0))=16,Первоначальный[[#This Row],[Досрочное погашение (да/"")]]=""),0,
AND(S1330=0,Первоначальный[[#This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платеж]]+Y1330-SUM(Первоначальный[[#This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комиссиям]]),VLOOKUP(LOOKUP(,-1/($Z$12:Z1331=1),$A$12:A1331),График[[Срок конец]:[Возврат основной суммы долга]],3,0)),
AND(S1330=0,Первоначальный[[#This Row],[Дата платежа из графика]]="",Первоначальный[[#This Row],[Досрочное погашение (да/"")]]&lt;&gt;"Да"),0,
AND(S1330=0,Первоначальный[[#This Row],[Досрочное погашение (да/"")]]=""),MIN(Первоначальный[[#This Row],[Полученный платеж]]+Y1330-SUM(Первоначальный[[#This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комиссиям]]),VLOOKUP(LOOKUP(,-1/($Z$12:Z1331=1),$A$12:A1331),График[[Срок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платеж]]+Y1330-SUM(Первоначальный[[#This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S1330&gt;0,MIN(Первоначальный[[#This Row],[Полученный платеж]]+Y1330-SUM(Первоначальный[[#This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комиссиям]]),SUM(INDIRECT("M"&amp;(MAX((1=S$12:S1330)*ROW(S$12:S1330),ROW($W$12))&amp;":M"&amp;(ROW()))))-SUM(INDIRECT("W"&amp;(MAX((1=S$12:S1330)*ROW(S$12:S1330),ROW($W$12))&amp;":W"&amp;(ROW()-1)))))
)
)</f>
        <v>0</v>
      </c>
      <c r="X1331" s="55">
        <f t="shared" ca="1" si="244"/>
        <v>0</v>
      </c>
      <c r="Y1331" s="101">
        <f t="shared" ca="1" si="251"/>
        <v>0</v>
      </c>
      <c r="Z1331" s="133" t="str">
        <f>IF(TYPE((VLOOKUP(Первоначальный[[#This Row],[Дата платежа]],График[Срок конец],1,0)))=16,"",1)</f>
        <v/>
      </c>
      <c r="AA1331" s="57"/>
      <c r="AB1331" s="134"/>
      <c r="AC133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3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95218.240000000354</v>
      </c>
      <c r="AE133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7277.3800000000028</v>
      </c>
      <c r="AF133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3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367851.89352295018</v>
      </c>
      <c r="AH1331" s="55"/>
      <c r="AI1331" s="55"/>
      <c r="AJ1331" s="55"/>
      <c r="AK1331" s="101">
        <f t="shared" ca="1" si="252"/>
        <v>619980.85352295055</v>
      </c>
      <c r="AL1331" s="129">
        <f t="array" ref="AL1331">MAX((УслРестрактов[Характеристика]="Дата реструктуризации")*(УслРестрактов[Значение]=Первоначальный!$A1331),0)</f>
        <v>0</v>
      </c>
    </row>
    <row r="1332" spans="1:38" x14ac:dyDescent="0.25">
      <c r="A1332" s="97">
        <f t="shared" si="245"/>
        <v>45463</v>
      </c>
      <c r="B1332" s="100">
        <f t="shared" ca="1" si="246"/>
        <v>149633.34</v>
      </c>
      <c r="C1332" s="55">
        <f t="shared" ca="1" si="242"/>
        <v>95218.240000000354</v>
      </c>
      <c r="D1332" s="55">
        <f t="shared" ca="1" si="242"/>
        <v>7277.3800000000028</v>
      </c>
      <c r="E1332" s="55">
        <f t="shared" ca="1" si="247"/>
        <v>0</v>
      </c>
      <c r="F1332" s="55">
        <f t="shared" ca="1" si="248"/>
        <v>367851.89352295018</v>
      </c>
      <c r="G1332" s="101">
        <f t="shared" ca="1" si="249"/>
        <v>619980.85352295055</v>
      </c>
      <c r="H1332" s="100">
        <f ca="1">ROUND($B1332*VLOOKUP($A1332,$A$1:$B$10,2,1)/(365+IF(MOD(YEAR($A1332),4),0,1)*($A1332-$A1331)),2)-Первоначальный[[#This Row],[Проценты на просроченный платеж по ОД за период]]</f>
        <v>68.180000000000007</v>
      </c>
      <c r="I1332" s="55">
        <f t="shared" ca="1" si="250"/>
        <v>13.18</v>
      </c>
      <c r="J1332" s="55">
        <v>0</v>
      </c>
      <c r="K1332" s="55">
        <f t="shared" ca="1" si="253"/>
        <v>593.81850327868847</v>
      </c>
      <c r="L1332" s="55">
        <v>0</v>
      </c>
      <c r="M1332" s="113">
        <f>SUMIFS(График[Возврат основной суммы долга],График[Дата с учетом нерабочих дней],$A1332)</f>
        <v>0</v>
      </c>
      <c r="N1332" s="56">
        <f>SUMIFS(График[Возврат начисленных %],График[Дата с учетом нерабочих дней],$A1332)</f>
        <v>0</v>
      </c>
      <c r="O1332" s="101">
        <v>0</v>
      </c>
      <c r="P1332" s="100" cm="1">
        <f t="array" aca="1" ref="P1332" ca="1">MAX(IF(AA1331="Да",0,SUM(INDIRECT("M"&amp;(MAX(("Да"=AA$12:AA1331)*ROW(AA$12:AA1331)+1,ROW($P$12))&amp;":M"&amp;(ROW()))))-SUM(INDIRECT("W"&amp;(MAX(("Да"=AA$12:AA1331)*ROW(AA$12:AA1331)+1,ROW($P$12))&amp;":W"&amp;(ROW()))))),0)</f>
        <v>24232.889999999996</v>
      </c>
      <c r="Q1332" s="99">
        <f ca="1">MAX(SUM($N$13:N1332)-SUM($T$13:T1332),0)</f>
        <v>94530.810655737689</v>
      </c>
      <c r="R1332" s="99">
        <f ca="1">Первоначальный[[#This Row],[Просроченный платеж по ОД]]+Первоначальный[[#This Row],[Просроченный платеж по процентам]]</f>
        <v>118763.70065573769</v>
      </c>
      <c r="S1332" s="120">
        <f ca="1">IF(Первоначальный[[#This Row],[Просроченный платеж]]&lt;1,0,S1331+1)</f>
        <v>1228</v>
      </c>
      <c r="T1332" s="100" cm="1">
        <f t="array" aca="1" ref="T1332" ca="1">IF(Первоначальный[[#This Row],[Итого остаток на начало периода]]&lt;1,0,
IF(
AND(TYPE(VLOOKUP(1,$Z$12:Z1332,1,0))=16,Первоначальный[[#This Row],[Досрочное погашение (да/"")]]=""),0,
_xlfn.IFS(AND(S1331=0,Первоначальный[[#This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платеж]]&lt;&gt;0),MIN(LOOKUP(,-1/($Z$12:Z1332=1),$C$12:C1332)+LOOKUP(,-1/($Z$12:Z1332=1),$H$12:H1332),Первоначальный[[#This Row],[Полученный платеж]]+Y1331),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платеж]]+Y1331,SUM(Первоначальный[[#This Row],[Остаток процентов на начало периода]],Первоначальный[[#This Row],[Проценты за период]])),
AND(S1331=0,Первоначальный[[#This Row],[Дата платежа из графика]]=""),0,
AND(S1331=0,Первоначальный[[#This Row],[Дата платежа из графика]]=1,MAX((0&lt;&gt;S$12:S1331)*ROW(S$12:S1331),ROW($S$12))&gt;=MAX((1=Z$12:Z1331)*ROW(Z$12:Z1331),ROW($T$12)),TYPE(VLOOKUP("Да",(INDIRECT("AA"&amp;(MAX((1=Z$12:Z1331)*ROW(Z$12:Z1331),ROW($T$12))&amp;":AA"&amp;(ROW()-1)))),1,0))=16),MIN(LOOKUP(,-1/($Z$12:Z1332=1),$C$12:C1332)+LOOKUP(,-1/($Z$12:Z1332=1),$H$12:H1332),Первоначальный[[#This Row],[Полученный платеж]]+Y1331),
AND(S1331=0,TYPE(VLOOKUP("Да",(INDIRECT("AA"&amp;(MAX((1=Z$12:Z1331)*ROW(Z$12:Z1331),ROW($T$12))&amp;":AA"&amp;(ROW()-1)))),1,0))&lt;&gt;16),MIN(LOOKUP(,-1/($Z$12:Z1332=1),$C$12:C1332)+LOOKUP(,-1/($Z$12:Z1332=1),$H$12:H1332)-IF(AA1331="Да",0,SUM(INDIRECT("T"&amp;(MAX(("Да"=AA$12:AA1331)*ROW(AA$12:AA1331)+1,ROW($T$12))&amp;":T"&amp;(ROW()-1))))),Первоначальный[[#This Row],[Полученный платеж]]+Y1331),
AND(S1331=0,MAX((0&lt;&gt;N$12:N1331)*ROW(N$12:N1331),ROW($S$12))&gt;=MAX((1=Z$12:Z1331)*ROW(Z$12:Z1331),ROW($T$12))),MIN(LOOKUP(,-1/($Z$12:Z1332=1),$C$12:C1332)+LOOKUP(,-1/($Z$12:Z1332=1),$H$12:H1332)-IF(N1331&lt;&gt;0,0,SUM(INDIRECT("T"&amp;(MAX((0&lt;&gt;N$12:N1331)*ROW(N$12:N1331)+1,ROW($T$12))&amp;":T"&amp;(ROW()-1))))),Первоначальный[[#This Row],[Полученный платеж]]+Y1331),
AND(S1331=0,Первоначальный[[#This Row],[Дата платежа из графика]]=1),MIN(LOOKUP(,-1/($Z$12:Z1332=1),$C$12:C1332)+LOOKUP(,-1/($Z$12:Z1332=1),$H$12:H1332)-IF(Z1331=1,0,SUM(INDIRECT("T"&amp;(MAX((1=Z$12:Z1331)*ROW(Z$12:Z1331)+1,ROW($T$12))&amp;":T"&amp;(ROW()-1))))),Первоначальный[[#This Row],[Полученный платеж]]+Y1331),
AND(Z1331&gt;0,Первоначальный[[#This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платеж]]+Y1331),
AND(S1331&gt;0,MAX((0&lt;&gt;S$12:S1331)*ROW(S$12:S1331),ROW($S$12))&gt;=MAX((1=Z$12:Z1331)*ROW(Z$12:Z1331),ROW($T$12)),TYPE(VLOOKUP("Да",(INDIRECT("AA"&amp;(MAX((1=Z$12:Z1331)*ROW(Z$12:Z1331),ROW($T$12))&amp;":AA"&amp;(ROW()-1)))),1,0))=16),MIN(LOOKUP(,-1/($Z$12:Z1332=1),$C$12:C1332)+LOOKUP(,-1/($Z$12:Z1332=1),$H$12:H1332)-SUM(INDIRECT("T"&amp;(MAX((1=Z$12:Z1331)*ROW(Z$12:Z1331),ROW($T$12))&amp;":T"&amp;(ROW()-1)))),Первоначальный[[#This Row],[Полученный платеж]]+Y1331),
S1331&gt;0,MIN(LOOKUP(,-1/($Z$12:Z1332=1),$C$12:C1332)+LOOKUP(,-1/($Z$12:Z1332=1),$H$12:H1332)-IF(Z1331=1,0,SUM(INDIRECT("T"&amp;(MAX((1=Z$12:Z1331)*ROW(Z$12:Z1331)+1,ROW($T$12))&amp;":T"&amp;(ROW()-1))))),Первоначальный[[#This Row],[Полученный платеж]]+Y1331)
)
)
)</f>
        <v>0</v>
      </c>
      <c r="U133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платеж]]+Y1331-Первоначальный[[#This Row],[Полученный платёж по процентам]])</f>
        <v>0</v>
      </c>
      <c r="V1332" s="55">
        <f t="shared" ca="1" si="243"/>
        <v>0</v>
      </c>
      <c r="W1332" s="55" cm="1">
        <f t="array" aca="1" ref="W1332" ca="1">IF(Первоначальный[[#This Row],[Итого остаток на начало периода]]&lt;1,0,
_xlfn.IFS(
AND(TYPE(VLOOKUP(1,$Z$12:Z1332,1,0))=16,Первоначальный[[#This Row],[Досрочное погашение (да/"")]]=""),0,
AND(S1331=0,Первоначальный[[#This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платеж]]+Y1331-SUM(Первоначальный[[#This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комиссиям]]),VLOOKUP(LOOKUP(,-1/($Z$12:Z1332=1),$A$12:A1332),График[[Срок конец]:[Возврат основной суммы долга]],3,0)),
AND(S1331=0,Первоначальный[[#This Row],[Дата платежа из графика]]="",Первоначальный[[#This Row],[Досрочное погашение (да/"")]]&lt;&gt;"Да"),0,
AND(S1331=0,Первоначальный[[#This Row],[Досрочное погашение (да/"")]]=""),MIN(Первоначальный[[#This Row],[Полученный платеж]]+Y1331-SUM(Первоначальный[[#This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комиссиям]]),VLOOKUP(LOOKUP(,-1/($Z$12:Z1332=1),$A$12:A1332),График[[Срок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платеж]]+Y1331-SUM(Первоначальный[[#This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S1331&gt;0,MIN(Первоначальный[[#This Row],[Полученный платеж]]+Y1331-SUM(Первоначальный[[#This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комиссиям]]),SUM(INDIRECT("M"&amp;(MAX((1=S$12:S1331)*ROW(S$12:S1331),ROW($W$12))&amp;":M"&amp;(ROW()))))-SUM(INDIRECT("W"&amp;(MAX((1=S$12:S1331)*ROW(S$12:S1331),ROW($W$12))&amp;":W"&amp;(ROW()-1)))))
)
)</f>
        <v>0</v>
      </c>
      <c r="X1332" s="55">
        <f t="shared" ca="1" si="244"/>
        <v>0</v>
      </c>
      <c r="Y1332" s="101">
        <f t="shared" ca="1" si="251"/>
        <v>0</v>
      </c>
      <c r="Z1332" s="133" t="str">
        <f>IF(TYPE((VLOOKUP(Первоначальный[[#This Row],[Дата платежа]],График[Срок конец],1,0)))=16,"",1)</f>
        <v/>
      </c>
      <c r="AA1332" s="57"/>
      <c r="AB1332" s="134"/>
      <c r="AC133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3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95286.420000000347</v>
      </c>
      <c r="AE133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7290.5600000000031</v>
      </c>
      <c r="AF133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3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368445.7120262289</v>
      </c>
      <c r="AH1332" s="55"/>
      <c r="AI1332" s="55"/>
      <c r="AJ1332" s="55"/>
      <c r="AK1332" s="101">
        <f t="shared" ca="1" si="252"/>
        <v>620656.03202622919</v>
      </c>
      <c r="AL1332" s="129">
        <f t="array" ref="AL1332">MAX((УслРестрактов[Характеристика]="Дата реструктуризации")*(УслРестрактов[Значение]=Первоначальный!$A1332),0)</f>
        <v>0</v>
      </c>
    </row>
    <row r="1333" spans="1:38" x14ac:dyDescent="0.25">
      <c r="A1333" s="97">
        <f t="shared" si="245"/>
        <v>45464</v>
      </c>
      <c r="B1333" s="100">
        <f t="shared" ca="1" si="246"/>
        <v>149633.34</v>
      </c>
      <c r="C1333" s="55">
        <f t="shared" ca="1" si="242"/>
        <v>95286.420000000347</v>
      </c>
      <c r="D1333" s="55">
        <f t="shared" ca="1" si="242"/>
        <v>7290.5600000000031</v>
      </c>
      <c r="E1333" s="55">
        <f t="shared" ca="1" si="247"/>
        <v>0</v>
      </c>
      <c r="F1333" s="55">
        <f t="shared" ca="1" si="248"/>
        <v>368445.7120262289</v>
      </c>
      <c r="G1333" s="101">
        <f t="shared" ca="1" si="249"/>
        <v>620656.03202622919</v>
      </c>
      <c r="H1333" s="100">
        <f ca="1">ROUND($B1333*VLOOKUP($A1333,$A$1:$B$10,2,1)/(365+IF(MOD(YEAR($A1333),4),0,1)*($A1333-$A1332)),2)-Первоначальный[[#This Row],[Проценты на просроченный платеж по ОД за период]]</f>
        <v>68.180000000000007</v>
      </c>
      <c r="I1333" s="55">
        <f t="shared" ca="1" si="250"/>
        <v>13.18</v>
      </c>
      <c r="J1333" s="55">
        <v>0</v>
      </c>
      <c r="K1333" s="55">
        <f t="shared" ca="1" si="253"/>
        <v>593.81850327868847</v>
      </c>
      <c r="L1333" s="55">
        <v>0</v>
      </c>
      <c r="M1333" s="113">
        <f>SUMIFS(График[Возврат основной суммы долга],График[Дата с учетом нерабочих дней],$A1333)</f>
        <v>0</v>
      </c>
      <c r="N1333" s="56">
        <f>SUMIFS(График[Возврат начисленных %],График[Дата с учетом нерабочих дней],$A1333)</f>
        <v>0</v>
      </c>
      <c r="O1333" s="101">
        <v>0</v>
      </c>
      <c r="P1333" s="100" cm="1">
        <f t="array" aca="1" ref="P1333" ca="1">MAX(IF(AA1332="Да",0,SUM(INDIRECT("M"&amp;(MAX(("Да"=AA$12:AA1332)*ROW(AA$12:AA1332)+1,ROW($P$12))&amp;":M"&amp;(ROW()))))-SUM(INDIRECT("W"&amp;(MAX(("Да"=AA$12:AA1332)*ROW(AA$12:AA1332)+1,ROW($P$12))&amp;":W"&amp;(ROW()))))),0)</f>
        <v>24232.889999999996</v>
      </c>
      <c r="Q1333" s="99">
        <f ca="1">MAX(SUM($N$13:N1333)-SUM($T$13:T1333),0)</f>
        <v>94530.810655737689</v>
      </c>
      <c r="R1333" s="99">
        <f ca="1">Первоначальный[[#This Row],[Просроченный платеж по ОД]]+Первоначальный[[#This Row],[Просроченный платеж по процентам]]</f>
        <v>118763.70065573769</v>
      </c>
      <c r="S1333" s="120">
        <f ca="1">IF(Первоначальный[[#This Row],[Просроченный платеж]]&lt;1,0,S1332+1)</f>
        <v>1229</v>
      </c>
      <c r="T1333" s="100" cm="1">
        <f t="array" aca="1" ref="T1333" ca="1">IF(Первоначальный[[#This Row],[Итого остаток на начало периода]]&lt;1,0,
IF(
AND(TYPE(VLOOKUP(1,$Z$12:Z1333,1,0))=16,Первоначальный[[#This Row],[Досрочное погашение (да/"")]]=""),0,
_xlfn.IFS(AND(S1332=0,Первоначальный[[#This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платеж]]&lt;&gt;0),MIN(LOOKUP(,-1/($Z$12:Z1333=1),$C$12:C1333)+LOOKUP(,-1/($Z$12:Z1333=1),$H$12:H1333),Первоначальный[[#This Row],[Полученный платеж]]+Y1332),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платеж]]+Y1332,SUM(Первоначальный[[#This Row],[Остаток процентов на начало периода]],Первоначальный[[#This Row],[Проценты за период]])),
AND(S1332=0,Первоначальный[[#This Row],[Дата платежа из графика]]=""),0,
AND(S1332=0,Первоначальный[[#This Row],[Дата платежа из графика]]=1,MAX((0&lt;&gt;S$12:S1332)*ROW(S$12:S1332),ROW($S$12))&gt;=MAX((1=Z$12:Z1332)*ROW(Z$12:Z1332),ROW($T$12)),TYPE(VLOOKUP("Да",(INDIRECT("AA"&amp;(MAX((1=Z$12:Z1332)*ROW(Z$12:Z1332),ROW($T$12))&amp;":AA"&amp;(ROW()-1)))),1,0))=16),MIN(LOOKUP(,-1/($Z$12:Z1333=1),$C$12:C1333)+LOOKUP(,-1/($Z$12:Z1333=1),$H$12:H1333),Первоначальный[[#This Row],[Полученный платеж]]+Y1332),
AND(S1332=0,TYPE(VLOOKUP("Да",(INDIRECT("AA"&amp;(MAX((1=Z$12:Z1332)*ROW(Z$12:Z1332),ROW($T$12))&amp;":AA"&amp;(ROW()-1)))),1,0))&lt;&gt;16),MIN(LOOKUP(,-1/($Z$12:Z1333=1),$C$12:C1333)+LOOKUP(,-1/($Z$12:Z1333=1),$H$12:H1333)-IF(AA1332="Да",0,SUM(INDIRECT("T"&amp;(MAX(("Да"=AA$12:AA1332)*ROW(AA$12:AA1332)+1,ROW($T$12))&amp;":T"&amp;(ROW()-1))))),Первоначальный[[#This Row],[Полученный платеж]]+Y1332),
AND(S1332=0,MAX((0&lt;&gt;N$12:N1332)*ROW(N$12:N1332),ROW($S$12))&gt;=MAX((1=Z$12:Z1332)*ROW(Z$12:Z1332),ROW($T$12))),MIN(LOOKUP(,-1/($Z$12:Z1333=1),$C$12:C1333)+LOOKUP(,-1/($Z$12:Z1333=1),$H$12:H1333)-IF(N1332&lt;&gt;0,0,SUM(INDIRECT("T"&amp;(MAX((0&lt;&gt;N$12:N1332)*ROW(N$12:N1332)+1,ROW($T$12))&amp;":T"&amp;(ROW()-1))))),Первоначальный[[#This Row],[Полученный платеж]]+Y1332),
AND(S1332=0,Первоначальный[[#This Row],[Дата платежа из графика]]=1),MIN(LOOKUP(,-1/($Z$12:Z1333=1),$C$12:C1333)+LOOKUP(,-1/($Z$12:Z1333=1),$H$12:H1333)-IF(Z1332=1,0,SUM(INDIRECT("T"&amp;(MAX((1=Z$12:Z1332)*ROW(Z$12:Z1332)+1,ROW($T$12))&amp;":T"&amp;(ROW()-1))))),Первоначальный[[#This Row],[Полученный платеж]]+Y1332),
AND(Z1332&gt;0,Первоначальный[[#This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платеж]]+Y1332),
AND(S1332&gt;0,MAX((0&lt;&gt;S$12:S1332)*ROW(S$12:S1332),ROW($S$12))&gt;=MAX((1=Z$12:Z1332)*ROW(Z$12:Z1332),ROW($T$12)),TYPE(VLOOKUP("Да",(INDIRECT("AA"&amp;(MAX((1=Z$12:Z1332)*ROW(Z$12:Z1332),ROW($T$12))&amp;":AA"&amp;(ROW()-1)))),1,0))=16),MIN(LOOKUP(,-1/($Z$12:Z1333=1),$C$12:C1333)+LOOKUP(,-1/($Z$12:Z1333=1),$H$12:H1333)-SUM(INDIRECT("T"&amp;(MAX((1=Z$12:Z1332)*ROW(Z$12:Z1332),ROW($T$12))&amp;":T"&amp;(ROW()-1)))),Первоначальный[[#This Row],[Полученный платеж]]+Y1332),
S1332&gt;0,MIN(LOOKUP(,-1/($Z$12:Z1333=1),$C$12:C1333)+LOOKUP(,-1/($Z$12:Z1333=1),$H$12:H1333)-IF(Z1332=1,0,SUM(INDIRECT("T"&amp;(MAX((1=Z$12:Z1332)*ROW(Z$12:Z1332)+1,ROW($T$12))&amp;":T"&amp;(ROW()-1))))),Первоначальный[[#This Row],[Полученный платеж]]+Y1332)
)
)
)</f>
        <v>0</v>
      </c>
      <c r="U133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платеж]]+Y1332-Первоначальный[[#This Row],[Полученный платёж по процентам]])</f>
        <v>0</v>
      </c>
      <c r="V1333" s="55">
        <f t="shared" ca="1" si="243"/>
        <v>0</v>
      </c>
      <c r="W1333" s="55" cm="1">
        <f t="array" aca="1" ref="W1333" ca="1">IF(Первоначальный[[#This Row],[Итого остаток на начало периода]]&lt;1,0,
_xlfn.IFS(
AND(TYPE(VLOOKUP(1,$Z$12:Z1333,1,0))=16,Первоначальный[[#This Row],[Досрочное погашение (да/"")]]=""),0,
AND(S1332=0,Первоначальный[[#This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платеж]]+Y1332-SUM(Первоначальный[[#This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комиссиям]]),VLOOKUP(LOOKUP(,-1/($Z$12:Z1333=1),$A$12:A1333),График[[Срок конец]:[Возврат основной суммы долга]],3,0)),
AND(S1332=0,Первоначальный[[#This Row],[Дата платежа из графика]]="",Первоначальный[[#This Row],[Досрочное погашение (да/"")]]&lt;&gt;"Да"),0,
AND(S1332=0,Первоначальный[[#This Row],[Досрочное погашение (да/"")]]=""),MIN(Первоначальный[[#This Row],[Полученный платеж]]+Y1332-SUM(Первоначальный[[#This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комиссиям]]),VLOOKUP(LOOKUP(,-1/($Z$12:Z1333=1),$A$12:A1333),График[[Срок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платеж]]+Y1332-SUM(Первоначальный[[#This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S1332&gt;0,MIN(Первоначальный[[#This Row],[Полученный платеж]]+Y1332-SUM(Первоначальный[[#This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комиссиям]]),SUM(INDIRECT("M"&amp;(MAX((1=S$12:S1332)*ROW(S$12:S1332),ROW($W$12))&amp;":M"&amp;(ROW()))))-SUM(INDIRECT("W"&amp;(MAX((1=S$12:S1332)*ROW(S$12:S1332),ROW($W$12))&amp;":W"&amp;(ROW()-1)))))
)
)</f>
        <v>0</v>
      </c>
      <c r="X1333" s="55">
        <f t="shared" ca="1" si="244"/>
        <v>0</v>
      </c>
      <c r="Y1333" s="101">
        <f t="shared" ca="1" si="251"/>
        <v>0</v>
      </c>
      <c r="Z1333" s="133" t="str">
        <f>IF(TYPE((VLOOKUP(Первоначальный[[#This Row],[Дата платежа]],График[Срок конец],1,0)))=16,"",1)</f>
        <v/>
      </c>
      <c r="AA1333" s="57"/>
      <c r="AB1333" s="134"/>
      <c r="AC133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3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95354.600000000341</v>
      </c>
      <c r="AE133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7303.7400000000034</v>
      </c>
      <c r="AF133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3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369039.53052950761</v>
      </c>
      <c r="AH1333" s="55"/>
      <c r="AI1333" s="55"/>
      <c r="AJ1333" s="55"/>
      <c r="AK1333" s="101">
        <f t="shared" ca="1" si="252"/>
        <v>621331.21052950795</v>
      </c>
      <c r="AL1333" s="129">
        <f t="array" ref="AL1333">MAX((УслРестрактов[Характеристика]="Дата реструктуризации")*(УслРестрактов[Значение]=Первоначальный!$A1333),0)</f>
        <v>0</v>
      </c>
    </row>
    <row r="1334" spans="1:38" x14ac:dyDescent="0.25">
      <c r="A1334" s="97">
        <f t="shared" si="245"/>
        <v>45465</v>
      </c>
      <c r="B1334" s="100">
        <f t="shared" ca="1" si="246"/>
        <v>149633.34</v>
      </c>
      <c r="C1334" s="55">
        <f t="shared" ca="1" si="242"/>
        <v>95354.600000000341</v>
      </c>
      <c r="D1334" s="55">
        <f t="shared" ca="1" si="242"/>
        <v>7303.7400000000034</v>
      </c>
      <c r="E1334" s="55">
        <f t="shared" ca="1" si="247"/>
        <v>0</v>
      </c>
      <c r="F1334" s="55">
        <f t="shared" ca="1" si="248"/>
        <v>369039.53052950761</v>
      </c>
      <c r="G1334" s="101">
        <f t="shared" ca="1" si="249"/>
        <v>621331.21052950795</v>
      </c>
      <c r="H1334" s="100">
        <f ca="1">ROUND($B1334*VLOOKUP($A1334,$A$1:$B$10,2,1)/(365+IF(MOD(YEAR($A1334),4),0,1)*($A1334-$A1333)),2)-Первоначальный[[#This Row],[Проценты на просроченный платеж по ОД за период]]</f>
        <v>68.180000000000007</v>
      </c>
      <c r="I1334" s="55">
        <f t="shared" ca="1" si="250"/>
        <v>13.18</v>
      </c>
      <c r="J1334" s="55">
        <v>0</v>
      </c>
      <c r="K1334" s="55">
        <f t="shared" ca="1" si="253"/>
        <v>593.81850327868847</v>
      </c>
      <c r="L1334" s="55">
        <v>0</v>
      </c>
      <c r="M1334" s="113">
        <f>SUMIFS(График[Возврат основной суммы долга],График[Дата с учетом нерабочих дней],$A1334)</f>
        <v>0</v>
      </c>
      <c r="N1334" s="56">
        <f>SUMIFS(График[Возврат начисленных %],График[Дата с учетом нерабочих дней],$A1334)</f>
        <v>0</v>
      </c>
      <c r="O1334" s="101">
        <v>0</v>
      </c>
      <c r="P1334" s="100" cm="1">
        <f t="array" aca="1" ref="P1334" ca="1">MAX(IF(AA1333="Да",0,SUM(INDIRECT("M"&amp;(MAX(("Да"=AA$12:AA1333)*ROW(AA$12:AA1333)+1,ROW($P$12))&amp;":M"&amp;(ROW()))))-SUM(INDIRECT("W"&amp;(MAX(("Да"=AA$12:AA1333)*ROW(AA$12:AA1333)+1,ROW($P$12))&amp;":W"&amp;(ROW()))))),0)</f>
        <v>24232.889999999996</v>
      </c>
      <c r="Q1334" s="99">
        <f ca="1">MAX(SUM($N$13:N1334)-SUM($T$13:T1334),0)</f>
        <v>94530.810655737689</v>
      </c>
      <c r="R1334" s="99">
        <f ca="1">Первоначальный[[#This Row],[Просроченный платеж по ОД]]+Первоначальный[[#This Row],[Просроченный платеж по процентам]]</f>
        <v>118763.70065573769</v>
      </c>
      <c r="S1334" s="120">
        <f ca="1">IF(Первоначальный[[#This Row],[Просроченный платеж]]&lt;1,0,S1333+1)</f>
        <v>1230</v>
      </c>
      <c r="T1334" s="100" cm="1">
        <f t="array" aca="1" ref="T1334" ca="1">IF(Первоначальный[[#This Row],[Итого остаток на начало периода]]&lt;1,0,
IF(
AND(TYPE(VLOOKUP(1,$Z$12:Z1334,1,0))=16,Первоначальный[[#This Row],[Досрочное погашение (да/"")]]=""),0,
_xlfn.IFS(AND(S1333=0,Первоначальный[[#This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платеж]]&lt;&gt;0),MIN(LOOKUP(,-1/($Z$12:Z1334=1),$C$12:C1334)+LOOKUP(,-1/($Z$12:Z1334=1),$H$12:H1334),Первоначальный[[#This Row],[Полученный платеж]]+Y1333),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платеж]]+Y1333,SUM(Первоначальный[[#This Row],[Остаток процентов на начало периода]],Первоначальный[[#This Row],[Проценты за период]])),
AND(S1333=0,Первоначальный[[#This Row],[Дата платежа из графика]]=""),0,
AND(S1333=0,Первоначальный[[#This Row],[Дата платежа из графика]]=1,MAX((0&lt;&gt;S$12:S1333)*ROW(S$12:S1333),ROW($S$12))&gt;=MAX((1=Z$12:Z1333)*ROW(Z$12:Z1333),ROW($T$12)),TYPE(VLOOKUP("Да",(INDIRECT("AA"&amp;(MAX((1=Z$12:Z1333)*ROW(Z$12:Z1333),ROW($T$12))&amp;":AA"&amp;(ROW()-1)))),1,0))=16),MIN(LOOKUP(,-1/($Z$12:Z1334=1),$C$12:C1334)+LOOKUP(,-1/($Z$12:Z1334=1),$H$12:H1334),Первоначальный[[#This Row],[Полученный платеж]]+Y1333),
AND(S1333=0,TYPE(VLOOKUP("Да",(INDIRECT("AA"&amp;(MAX((1=Z$12:Z1333)*ROW(Z$12:Z1333),ROW($T$12))&amp;":AA"&amp;(ROW()-1)))),1,0))&lt;&gt;16),MIN(LOOKUP(,-1/($Z$12:Z1334=1),$C$12:C1334)+LOOKUP(,-1/($Z$12:Z1334=1),$H$12:H1334)-IF(AA1333="Да",0,SUM(INDIRECT("T"&amp;(MAX(("Да"=AA$12:AA1333)*ROW(AA$12:AA1333)+1,ROW($T$12))&amp;":T"&amp;(ROW()-1))))),Первоначальный[[#This Row],[Полученный платеж]]+Y1333),
AND(S1333=0,MAX((0&lt;&gt;N$12:N1333)*ROW(N$12:N1333),ROW($S$12))&gt;=MAX((1=Z$12:Z1333)*ROW(Z$12:Z1333),ROW($T$12))),MIN(LOOKUP(,-1/($Z$12:Z1334=1),$C$12:C1334)+LOOKUP(,-1/($Z$12:Z1334=1),$H$12:H1334)-IF(N1333&lt;&gt;0,0,SUM(INDIRECT("T"&amp;(MAX((0&lt;&gt;N$12:N1333)*ROW(N$12:N1333)+1,ROW($T$12))&amp;":T"&amp;(ROW()-1))))),Первоначальный[[#This Row],[Полученный платеж]]+Y1333),
AND(S1333=0,Первоначальный[[#This Row],[Дата платежа из графика]]=1),MIN(LOOKUP(,-1/($Z$12:Z1334=1),$C$12:C1334)+LOOKUP(,-1/($Z$12:Z1334=1),$H$12:H1334)-IF(Z1333=1,0,SUM(INDIRECT("T"&amp;(MAX((1=Z$12:Z1333)*ROW(Z$12:Z1333)+1,ROW($T$12))&amp;":T"&amp;(ROW()-1))))),Первоначальный[[#This Row],[Полученный платеж]]+Y1333),
AND(Z1333&gt;0,Первоначальный[[#This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платеж]]+Y1333),
AND(S1333&gt;0,MAX((0&lt;&gt;S$12:S1333)*ROW(S$12:S1333),ROW($S$12))&gt;=MAX((1=Z$12:Z1333)*ROW(Z$12:Z1333),ROW($T$12)),TYPE(VLOOKUP("Да",(INDIRECT("AA"&amp;(MAX((1=Z$12:Z1333)*ROW(Z$12:Z1333),ROW($T$12))&amp;":AA"&amp;(ROW()-1)))),1,0))=16),MIN(LOOKUP(,-1/($Z$12:Z1334=1),$C$12:C1334)+LOOKUP(,-1/($Z$12:Z1334=1),$H$12:H1334)-SUM(INDIRECT("T"&amp;(MAX((1=Z$12:Z1333)*ROW(Z$12:Z1333),ROW($T$12))&amp;":T"&amp;(ROW()-1)))),Первоначальный[[#This Row],[Полученный платеж]]+Y1333),
S1333&gt;0,MIN(LOOKUP(,-1/($Z$12:Z1334=1),$C$12:C1334)+LOOKUP(,-1/($Z$12:Z1334=1),$H$12:H1334)-IF(Z1333=1,0,SUM(INDIRECT("T"&amp;(MAX((1=Z$12:Z1333)*ROW(Z$12:Z1333)+1,ROW($T$12))&amp;":T"&amp;(ROW()-1))))),Первоначальный[[#This Row],[Полученный платеж]]+Y1333)
)
)
)</f>
        <v>0</v>
      </c>
      <c r="U133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платеж]]+Y1333-Первоначальный[[#This Row],[Полученный платёж по процентам]])</f>
        <v>0</v>
      </c>
      <c r="V1334" s="55">
        <f t="shared" ca="1" si="243"/>
        <v>0</v>
      </c>
      <c r="W1334" s="55" cm="1">
        <f t="array" aca="1" ref="W1334" ca="1">IF(Первоначальный[[#This Row],[Итого остаток на начало периода]]&lt;1,0,
_xlfn.IFS(
AND(TYPE(VLOOKUP(1,$Z$12:Z1334,1,0))=16,Первоначальный[[#This Row],[Досрочное погашение (да/"")]]=""),0,
AND(S1333=0,Первоначальный[[#This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платеж]]+Y1333-SUM(Первоначальный[[#This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комиссиям]]),VLOOKUP(LOOKUP(,-1/($Z$12:Z1334=1),$A$12:A1334),График[[Срок конец]:[Возврат основной суммы долга]],3,0)),
AND(S1333=0,Первоначальный[[#This Row],[Дата платежа из графика]]="",Первоначальный[[#This Row],[Досрочное погашение (да/"")]]&lt;&gt;"Да"),0,
AND(S1333=0,Первоначальный[[#This Row],[Досрочное погашение (да/"")]]=""),MIN(Первоначальный[[#This Row],[Полученный платеж]]+Y1333-SUM(Первоначальный[[#This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комиссиям]]),VLOOKUP(LOOKUP(,-1/($Z$12:Z1334=1),$A$12:A1334),График[[Срок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платеж]]+Y1333-SUM(Первоначальный[[#This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S1333&gt;0,MIN(Первоначальный[[#This Row],[Полученный платеж]]+Y1333-SUM(Первоначальный[[#This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комиссиям]]),SUM(INDIRECT("M"&amp;(MAX((1=S$12:S1333)*ROW(S$12:S1333),ROW($W$12))&amp;":M"&amp;(ROW()))))-SUM(INDIRECT("W"&amp;(MAX((1=S$12:S1333)*ROW(S$12:S1333),ROW($W$12))&amp;":W"&amp;(ROW()-1)))))
)
)</f>
        <v>0</v>
      </c>
      <c r="X1334" s="55">
        <f t="shared" ca="1" si="244"/>
        <v>0</v>
      </c>
      <c r="Y1334" s="101">
        <f t="shared" ca="1" si="251"/>
        <v>0</v>
      </c>
      <c r="Z1334" s="133" t="str">
        <f>IF(TYPE((VLOOKUP(Первоначальный[[#This Row],[Дата платежа]],График[Срок конец],1,0)))=16,"",1)</f>
        <v/>
      </c>
      <c r="AA1334" s="57"/>
      <c r="AB1334" s="134"/>
      <c r="AC133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3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95422.780000000334</v>
      </c>
      <c r="AE133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7316.9200000000037</v>
      </c>
      <c r="AF133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3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369633.34903278633</v>
      </c>
      <c r="AH1334" s="55"/>
      <c r="AI1334" s="55"/>
      <c r="AJ1334" s="55"/>
      <c r="AK1334" s="101">
        <f t="shared" ca="1" si="252"/>
        <v>622006.38903278671</v>
      </c>
      <c r="AL1334" s="129">
        <f t="array" ref="AL1334">MAX((УслРестрактов[Характеристика]="Дата реструктуризации")*(УслРестрактов[Значение]=Первоначальный!$A1334),0)</f>
        <v>0</v>
      </c>
    </row>
    <row r="1335" spans="1:38" x14ac:dyDescent="0.25">
      <c r="A1335" s="97">
        <f t="shared" si="245"/>
        <v>45466</v>
      </c>
      <c r="B1335" s="100">
        <f t="shared" ca="1" si="246"/>
        <v>149633.34</v>
      </c>
      <c r="C1335" s="55">
        <f t="shared" ca="1" si="242"/>
        <v>95422.780000000334</v>
      </c>
      <c r="D1335" s="55">
        <f t="shared" ca="1" si="242"/>
        <v>7316.9200000000037</v>
      </c>
      <c r="E1335" s="55">
        <f t="shared" ca="1" si="247"/>
        <v>0</v>
      </c>
      <c r="F1335" s="55">
        <f t="shared" ca="1" si="248"/>
        <v>369633.34903278633</v>
      </c>
      <c r="G1335" s="101">
        <f t="shared" ca="1" si="249"/>
        <v>622006.38903278671</v>
      </c>
      <c r="H1335" s="100">
        <f ca="1">ROUND($B1335*VLOOKUP($A1335,$A$1:$B$10,2,1)/(365+IF(MOD(YEAR($A1335),4),0,1)*($A1335-$A1334)),2)-Первоначальный[[#This Row],[Проценты на просроченный платеж по ОД за период]]</f>
        <v>68.180000000000007</v>
      </c>
      <c r="I1335" s="55">
        <f t="shared" ca="1" si="250"/>
        <v>13.18</v>
      </c>
      <c r="J1335" s="55">
        <v>0</v>
      </c>
      <c r="K1335" s="55">
        <f t="shared" ca="1" si="253"/>
        <v>593.81850327868847</v>
      </c>
      <c r="L1335" s="55">
        <v>0</v>
      </c>
      <c r="M1335" s="113">
        <f>SUMIFS(График[Возврат основной суммы долга],График[Дата с учетом нерабочих дней],$A1335)</f>
        <v>0</v>
      </c>
      <c r="N1335" s="56">
        <f>SUMIFS(График[Возврат начисленных %],График[Дата с учетом нерабочих дней],$A1335)</f>
        <v>0</v>
      </c>
      <c r="O1335" s="101">
        <v>0</v>
      </c>
      <c r="P1335" s="100" cm="1">
        <f t="array" aca="1" ref="P1335" ca="1">MAX(IF(AA1334="Да",0,SUM(INDIRECT("M"&amp;(MAX(("Да"=AA$12:AA1334)*ROW(AA$12:AA1334)+1,ROW($P$12))&amp;":M"&amp;(ROW()))))-SUM(INDIRECT("W"&amp;(MAX(("Да"=AA$12:AA1334)*ROW(AA$12:AA1334)+1,ROW($P$12))&amp;":W"&amp;(ROW()))))),0)</f>
        <v>24232.889999999996</v>
      </c>
      <c r="Q1335" s="99">
        <f ca="1">MAX(SUM($N$13:N1335)-SUM($T$13:T1335),0)</f>
        <v>94530.810655737689</v>
      </c>
      <c r="R1335" s="99">
        <f ca="1">Первоначальный[[#This Row],[Просроченный платеж по ОД]]+Первоначальный[[#This Row],[Просроченный платеж по процентам]]</f>
        <v>118763.70065573769</v>
      </c>
      <c r="S1335" s="120">
        <f ca="1">IF(Первоначальный[[#This Row],[Просроченный платеж]]&lt;1,0,S1334+1)</f>
        <v>1231</v>
      </c>
      <c r="T1335" s="100" cm="1">
        <f t="array" aca="1" ref="T1335" ca="1">IF(Первоначальный[[#This Row],[Итого остаток на начало периода]]&lt;1,0,
IF(
AND(TYPE(VLOOKUP(1,$Z$12:Z1335,1,0))=16,Первоначальный[[#This Row],[Досрочное погашение (да/"")]]=""),0,
_xlfn.IFS(AND(S1334=0,Первоначальный[[#This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платеж]]&lt;&gt;0),MIN(LOOKUP(,-1/($Z$12:Z1335=1),$C$12:C1335)+LOOKUP(,-1/($Z$12:Z1335=1),$H$12:H1335),Первоначальный[[#This Row],[Полученный платеж]]+Y1334),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платеж]]+Y1334,SUM(Первоначальный[[#This Row],[Остаток процентов на начало периода]],Первоначальный[[#This Row],[Проценты за период]])),
AND(S1334=0,Первоначальный[[#This Row],[Дата платежа из графика]]=""),0,
AND(S1334=0,Первоначальный[[#This Row],[Дата платежа из графика]]=1,MAX((0&lt;&gt;S$12:S1334)*ROW(S$12:S1334),ROW($S$12))&gt;=MAX((1=Z$12:Z1334)*ROW(Z$12:Z1334),ROW($T$12)),TYPE(VLOOKUP("Да",(INDIRECT("AA"&amp;(MAX((1=Z$12:Z1334)*ROW(Z$12:Z1334),ROW($T$12))&amp;":AA"&amp;(ROW()-1)))),1,0))=16),MIN(LOOKUP(,-1/($Z$12:Z1335=1),$C$12:C1335)+LOOKUP(,-1/($Z$12:Z1335=1),$H$12:H1335),Первоначальный[[#This Row],[Полученный платеж]]+Y1334),
AND(S1334=0,TYPE(VLOOKUP("Да",(INDIRECT("AA"&amp;(MAX((1=Z$12:Z1334)*ROW(Z$12:Z1334),ROW($T$12))&amp;":AA"&amp;(ROW()-1)))),1,0))&lt;&gt;16),MIN(LOOKUP(,-1/($Z$12:Z1335=1),$C$12:C1335)+LOOKUP(,-1/($Z$12:Z1335=1),$H$12:H1335)-IF(AA1334="Да",0,SUM(INDIRECT("T"&amp;(MAX(("Да"=AA$12:AA1334)*ROW(AA$12:AA1334)+1,ROW($T$12))&amp;":T"&amp;(ROW()-1))))),Первоначальный[[#This Row],[Полученный платеж]]+Y1334),
AND(S1334=0,MAX((0&lt;&gt;N$12:N1334)*ROW(N$12:N1334),ROW($S$12))&gt;=MAX((1=Z$12:Z1334)*ROW(Z$12:Z1334),ROW($T$12))),MIN(LOOKUP(,-1/($Z$12:Z1335=1),$C$12:C1335)+LOOKUP(,-1/($Z$12:Z1335=1),$H$12:H1335)-IF(N1334&lt;&gt;0,0,SUM(INDIRECT("T"&amp;(MAX((0&lt;&gt;N$12:N1334)*ROW(N$12:N1334)+1,ROW($T$12))&amp;":T"&amp;(ROW()-1))))),Первоначальный[[#This Row],[Полученный платеж]]+Y1334),
AND(S1334=0,Первоначальный[[#This Row],[Дата платежа из графика]]=1),MIN(LOOKUP(,-1/($Z$12:Z1335=1),$C$12:C1335)+LOOKUP(,-1/($Z$12:Z1335=1),$H$12:H1335)-IF(Z1334=1,0,SUM(INDIRECT("T"&amp;(MAX((1=Z$12:Z1334)*ROW(Z$12:Z1334)+1,ROW($T$12))&amp;":T"&amp;(ROW()-1))))),Первоначальный[[#This Row],[Полученный платеж]]+Y1334),
AND(Z1334&gt;0,Первоначальный[[#This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платеж]]+Y1334),
AND(S1334&gt;0,MAX((0&lt;&gt;S$12:S1334)*ROW(S$12:S1334),ROW($S$12))&gt;=MAX((1=Z$12:Z1334)*ROW(Z$12:Z1334),ROW($T$12)),TYPE(VLOOKUP("Да",(INDIRECT("AA"&amp;(MAX((1=Z$12:Z1334)*ROW(Z$12:Z1334),ROW($T$12))&amp;":AA"&amp;(ROW()-1)))),1,0))=16),MIN(LOOKUP(,-1/($Z$12:Z1335=1),$C$12:C1335)+LOOKUP(,-1/($Z$12:Z1335=1),$H$12:H1335)-SUM(INDIRECT("T"&amp;(MAX((1=Z$12:Z1334)*ROW(Z$12:Z1334),ROW($T$12))&amp;":T"&amp;(ROW()-1)))),Первоначальный[[#This Row],[Полученный платеж]]+Y1334),
S1334&gt;0,MIN(LOOKUP(,-1/($Z$12:Z1335=1),$C$12:C1335)+LOOKUP(,-1/($Z$12:Z1335=1),$H$12:H1335)-IF(Z1334=1,0,SUM(INDIRECT("T"&amp;(MAX((1=Z$12:Z1334)*ROW(Z$12:Z1334)+1,ROW($T$12))&amp;":T"&amp;(ROW()-1))))),Первоначальный[[#This Row],[Полученный платеж]]+Y1334)
)
)
)</f>
        <v>0</v>
      </c>
      <c r="U133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платеж]]+Y1334-Первоначальный[[#This Row],[Полученный платёж по процентам]])</f>
        <v>0</v>
      </c>
      <c r="V1335" s="55">
        <f t="shared" ca="1" si="243"/>
        <v>0</v>
      </c>
      <c r="W1335" s="55" cm="1">
        <f t="array" aca="1" ref="W1335" ca="1">IF(Первоначальный[[#This Row],[Итого остаток на начало периода]]&lt;1,0,
_xlfn.IFS(
AND(TYPE(VLOOKUP(1,$Z$12:Z1335,1,0))=16,Первоначальный[[#This Row],[Досрочное погашение (да/"")]]=""),0,
AND(S1334=0,Первоначальный[[#This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платеж]]+Y1334-SUM(Первоначальный[[#This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комиссиям]]),VLOOKUP(LOOKUP(,-1/($Z$12:Z1335=1),$A$12:A1335),График[[Срок конец]:[Возврат основной суммы долга]],3,0)),
AND(S1334=0,Первоначальный[[#This Row],[Дата платежа из графика]]="",Первоначальный[[#This Row],[Досрочное погашение (да/"")]]&lt;&gt;"Да"),0,
AND(S1334=0,Первоначальный[[#This Row],[Досрочное погашение (да/"")]]=""),MIN(Первоначальный[[#This Row],[Полученный платеж]]+Y1334-SUM(Первоначальный[[#This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комиссиям]]),VLOOKUP(LOOKUP(,-1/($Z$12:Z1335=1),$A$12:A1335),График[[Срок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платеж]]+Y1334-SUM(Первоначальный[[#This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S1334&gt;0,MIN(Первоначальный[[#This Row],[Полученный платеж]]+Y1334-SUM(Первоначальный[[#This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комиссиям]]),SUM(INDIRECT("M"&amp;(MAX((1=S$12:S1334)*ROW(S$12:S1334),ROW($W$12))&amp;":M"&amp;(ROW()))))-SUM(INDIRECT("W"&amp;(MAX((1=S$12:S1334)*ROW(S$12:S1334),ROW($W$12))&amp;":W"&amp;(ROW()-1)))))
)
)</f>
        <v>0</v>
      </c>
      <c r="X1335" s="55">
        <f t="shared" ca="1" si="244"/>
        <v>0</v>
      </c>
      <c r="Y1335" s="101">
        <f t="shared" ca="1" si="251"/>
        <v>0</v>
      </c>
      <c r="Z1335" s="133" t="str">
        <f>IF(TYPE((VLOOKUP(Первоначальный[[#This Row],[Дата платежа]],График[Срок конец],1,0)))=16,"",1)</f>
        <v/>
      </c>
      <c r="AA1335" s="57"/>
      <c r="AB1335" s="134"/>
      <c r="AC133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3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95490.960000000327</v>
      </c>
      <c r="AE133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7330.100000000004</v>
      </c>
      <c r="AF133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3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370227.16753606504</v>
      </c>
      <c r="AH1335" s="55"/>
      <c r="AI1335" s="55"/>
      <c r="AJ1335" s="55"/>
      <c r="AK1335" s="101">
        <f t="shared" ca="1" si="252"/>
        <v>622681.56753606535</v>
      </c>
      <c r="AL1335" s="129">
        <f t="array" ref="AL1335">MAX((УслРестрактов[Характеристика]="Дата реструктуризации")*(УслРестрактов[Значение]=Первоначальный!$A1335),0)</f>
        <v>0</v>
      </c>
    </row>
    <row r="1336" spans="1:38" x14ac:dyDescent="0.25">
      <c r="A1336" s="97">
        <f t="shared" si="245"/>
        <v>45467</v>
      </c>
      <c r="B1336" s="100">
        <f t="shared" ca="1" si="246"/>
        <v>149633.34</v>
      </c>
      <c r="C1336" s="55">
        <f t="shared" ca="1" si="242"/>
        <v>95490.960000000327</v>
      </c>
      <c r="D1336" s="55">
        <f t="shared" ca="1" si="242"/>
        <v>7330.100000000004</v>
      </c>
      <c r="E1336" s="55">
        <f t="shared" ca="1" si="247"/>
        <v>0</v>
      </c>
      <c r="F1336" s="55">
        <f t="shared" ca="1" si="248"/>
        <v>370227.16753606504</v>
      </c>
      <c r="G1336" s="101">
        <f t="shared" ca="1" si="249"/>
        <v>622681.56753606535</v>
      </c>
      <c r="H1336" s="100">
        <f ca="1">ROUND($B1336*VLOOKUP($A1336,$A$1:$B$10,2,1)/(365+IF(MOD(YEAR($A1336),4),0,1)*($A1336-$A1335)),2)-Первоначальный[[#This Row],[Проценты на просроченный платеж по ОД за период]]</f>
        <v>68.180000000000007</v>
      </c>
      <c r="I1336" s="55">
        <f t="shared" ca="1" si="250"/>
        <v>13.18</v>
      </c>
      <c r="J1336" s="55">
        <v>0</v>
      </c>
      <c r="K1336" s="55">
        <f t="shared" ca="1" si="253"/>
        <v>593.81850327868847</v>
      </c>
      <c r="L1336" s="55">
        <v>0</v>
      </c>
      <c r="M1336" s="113">
        <f>SUMIFS(График[Возврат основной суммы долга],График[Дата с учетом нерабочих дней],$A1336)</f>
        <v>0</v>
      </c>
      <c r="N1336" s="56">
        <f>SUMIFS(График[Возврат начисленных %],График[Дата с учетом нерабочих дней],$A1336)</f>
        <v>0</v>
      </c>
      <c r="O1336" s="101">
        <v>0</v>
      </c>
      <c r="P1336" s="100" cm="1">
        <f t="array" aca="1" ref="P1336" ca="1">MAX(IF(AA1335="Да",0,SUM(INDIRECT("M"&amp;(MAX(("Да"=AA$12:AA1335)*ROW(AA$12:AA1335)+1,ROW($P$12))&amp;":M"&amp;(ROW()))))-SUM(INDIRECT("W"&amp;(MAX(("Да"=AA$12:AA1335)*ROW(AA$12:AA1335)+1,ROW($P$12))&amp;":W"&amp;(ROW()))))),0)</f>
        <v>24232.889999999996</v>
      </c>
      <c r="Q1336" s="99">
        <f ca="1">MAX(SUM($N$13:N1336)-SUM($T$13:T1336),0)</f>
        <v>94530.810655737689</v>
      </c>
      <c r="R1336" s="99">
        <f ca="1">Первоначальный[[#This Row],[Просроченный платеж по ОД]]+Первоначальный[[#This Row],[Просроченный платеж по процентам]]</f>
        <v>118763.70065573769</v>
      </c>
      <c r="S1336" s="120">
        <f ca="1">IF(Первоначальный[[#This Row],[Просроченный платеж]]&lt;1,0,S1335+1)</f>
        <v>1232</v>
      </c>
      <c r="T1336" s="100" cm="1">
        <f t="array" aca="1" ref="T1336" ca="1">IF(Первоначальный[[#This Row],[Итого остаток на начало периода]]&lt;1,0,
IF(
AND(TYPE(VLOOKUP(1,$Z$12:Z1336,1,0))=16,Первоначальный[[#This Row],[Досрочное погашение (да/"")]]=""),0,
_xlfn.IFS(AND(S1335=0,Первоначальный[[#This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платеж]]&lt;&gt;0),MIN(LOOKUP(,-1/($Z$12:Z1336=1),$C$12:C1336)+LOOKUP(,-1/($Z$12:Z1336=1),$H$12:H1336),Первоначальный[[#This Row],[Полученный платеж]]+Y1335),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платеж]]+Y1335,SUM(Первоначальный[[#This Row],[Остаток процентов на начало периода]],Первоначальный[[#This Row],[Проценты за период]])),
AND(S1335=0,Первоначальный[[#This Row],[Дата платежа из графика]]=""),0,
AND(S1335=0,Первоначальный[[#This Row],[Дата платежа из графика]]=1,MAX((0&lt;&gt;S$12:S1335)*ROW(S$12:S1335),ROW($S$12))&gt;=MAX((1=Z$12:Z1335)*ROW(Z$12:Z1335),ROW($T$12)),TYPE(VLOOKUP("Да",(INDIRECT("AA"&amp;(MAX((1=Z$12:Z1335)*ROW(Z$12:Z1335),ROW($T$12))&amp;":AA"&amp;(ROW()-1)))),1,0))=16),MIN(LOOKUP(,-1/($Z$12:Z1336=1),$C$12:C1336)+LOOKUP(,-1/($Z$12:Z1336=1),$H$12:H1336),Первоначальный[[#This Row],[Полученный платеж]]+Y1335),
AND(S1335=0,TYPE(VLOOKUP("Да",(INDIRECT("AA"&amp;(MAX((1=Z$12:Z1335)*ROW(Z$12:Z1335),ROW($T$12))&amp;":AA"&amp;(ROW()-1)))),1,0))&lt;&gt;16),MIN(LOOKUP(,-1/($Z$12:Z1336=1),$C$12:C1336)+LOOKUP(,-1/($Z$12:Z1336=1),$H$12:H1336)-IF(AA1335="Да",0,SUM(INDIRECT("T"&amp;(MAX(("Да"=AA$12:AA1335)*ROW(AA$12:AA1335)+1,ROW($T$12))&amp;":T"&amp;(ROW()-1))))),Первоначальный[[#This Row],[Полученный платеж]]+Y1335),
AND(S1335=0,MAX((0&lt;&gt;N$12:N1335)*ROW(N$12:N1335),ROW($S$12))&gt;=MAX((1=Z$12:Z1335)*ROW(Z$12:Z1335),ROW($T$12))),MIN(LOOKUP(,-1/($Z$12:Z1336=1),$C$12:C1336)+LOOKUP(,-1/($Z$12:Z1336=1),$H$12:H1336)-IF(N1335&lt;&gt;0,0,SUM(INDIRECT("T"&amp;(MAX((0&lt;&gt;N$12:N1335)*ROW(N$12:N1335)+1,ROW($T$12))&amp;":T"&amp;(ROW()-1))))),Первоначальный[[#This Row],[Полученный платеж]]+Y1335),
AND(S1335=0,Первоначальный[[#This Row],[Дата платежа из графика]]=1),MIN(LOOKUP(,-1/($Z$12:Z1336=1),$C$12:C1336)+LOOKUP(,-1/($Z$12:Z1336=1),$H$12:H1336)-IF(Z1335=1,0,SUM(INDIRECT("T"&amp;(MAX((1=Z$12:Z1335)*ROW(Z$12:Z1335)+1,ROW($T$12))&amp;":T"&amp;(ROW()-1))))),Первоначальный[[#This Row],[Полученный платеж]]+Y1335),
AND(Z1335&gt;0,Первоначальный[[#This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платеж]]+Y1335),
AND(S1335&gt;0,MAX((0&lt;&gt;S$12:S1335)*ROW(S$12:S1335),ROW($S$12))&gt;=MAX((1=Z$12:Z1335)*ROW(Z$12:Z1335),ROW($T$12)),TYPE(VLOOKUP("Да",(INDIRECT("AA"&amp;(MAX((1=Z$12:Z1335)*ROW(Z$12:Z1335),ROW($T$12))&amp;":AA"&amp;(ROW()-1)))),1,0))=16),MIN(LOOKUP(,-1/($Z$12:Z1336=1),$C$12:C1336)+LOOKUP(,-1/($Z$12:Z1336=1),$H$12:H1336)-SUM(INDIRECT("T"&amp;(MAX((1=Z$12:Z1335)*ROW(Z$12:Z1335),ROW($T$12))&amp;":T"&amp;(ROW()-1)))),Первоначальный[[#This Row],[Полученный платеж]]+Y1335),
S1335&gt;0,MIN(LOOKUP(,-1/($Z$12:Z1336=1),$C$12:C1336)+LOOKUP(,-1/($Z$12:Z1336=1),$H$12:H1336)-IF(Z1335=1,0,SUM(INDIRECT("T"&amp;(MAX((1=Z$12:Z1335)*ROW(Z$12:Z1335)+1,ROW($T$12))&amp;":T"&amp;(ROW()-1))))),Первоначальный[[#This Row],[Полученный платеж]]+Y1335)
)
)
)</f>
        <v>0</v>
      </c>
      <c r="U133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платеж]]+Y1335-Первоначальный[[#This Row],[Полученный платёж по процентам]])</f>
        <v>0</v>
      </c>
      <c r="V1336" s="55">
        <f t="shared" ca="1" si="243"/>
        <v>0</v>
      </c>
      <c r="W1336" s="55" cm="1">
        <f t="array" aca="1" ref="W1336" ca="1">IF(Первоначальный[[#This Row],[Итого остаток на начало периода]]&lt;1,0,
_xlfn.IFS(
AND(TYPE(VLOOKUP(1,$Z$12:Z1336,1,0))=16,Первоначальный[[#This Row],[Досрочное погашение (да/"")]]=""),0,
AND(S1335=0,Первоначальный[[#This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платеж]]+Y1335-SUM(Первоначальный[[#This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комиссиям]]),VLOOKUP(LOOKUP(,-1/($Z$12:Z1336=1),$A$12:A1336),График[[Срок конец]:[Возврат основной суммы долга]],3,0)),
AND(S1335=0,Первоначальный[[#This Row],[Дата платежа из графика]]="",Первоначальный[[#This Row],[Досрочное погашение (да/"")]]&lt;&gt;"Да"),0,
AND(S1335=0,Первоначальный[[#This Row],[Досрочное погашение (да/"")]]=""),MIN(Первоначальный[[#This Row],[Полученный платеж]]+Y1335-SUM(Первоначальный[[#This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комиссиям]]),VLOOKUP(LOOKUP(,-1/($Z$12:Z1336=1),$A$12:A1336),График[[Срок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платеж]]+Y1335-SUM(Первоначальный[[#This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S1335&gt;0,MIN(Первоначальный[[#This Row],[Полученный платеж]]+Y1335-SUM(Первоначальный[[#This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комиссиям]]),SUM(INDIRECT("M"&amp;(MAX((1=S$12:S1335)*ROW(S$12:S1335),ROW($W$12))&amp;":M"&amp;(ROW()))))-SUM(INDIRECT("W"&amp;(MAX((1=S$12:S1335)*ROW(S$12:S1335),ROW($W$12))&amp;":W"&amp;(ROW()-1)))))
)
)</f>
        <v>0</v>
      </c>
      <c r="X1336" s="55">
        <f t="shared" ca="1" si="244"/>
        <v>0</v>
      </c>
      <c r="Y1336" s="101">
        <f t="shared" ca="1" si="251"/>
        <v>0</v>
      </c>
      <c r="Z1336" s="133" t="str">
        <f>IF(TYPE((VLOOKUP(Первоначальный[[#This Row],[Дата платежа]],График[Срок конец],1,0)))=16,"",1)</f>
        <v/>
      </c>
      <c r="AA1336" s="57"/>
      <c r="AB1336" s="134"/>
      <c r="AC133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3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95559.14000000032</v>
      </c>
      <c r="AE133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7343.2800000000043</v>
      </c>
      <c r="AF133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3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370820.98603934376</v>
      </c>
      <c r="AH1336" s="55"/>
      <c r="AI1336" s="55"/>
      <c r="AJ1336" s="55"/>
      <c r="AK1336" s="101">
        <f t="shared" ca="1" si="252"/>
        <v>623356.74603934411</v>
      </c>
      <c r="AL1336" s="129">
        <f t="array" ref="AL1336">MAX((УслРестрактов[Характеристика]="Дата реструктуризации")*(УслРестрактов[Значение]=Первоначальный!$A1336),0)</f>
        <v>0</v>
      </c>
    </row>
    <row r="1337" spans="1:38" x14ac:dyDescent="0.25">
      <c r="A1337" s="97">
        <f t="shared" si="245"/>
        <v>45468</v>
      </c>
      <c r="B1337" s="100">
        <f t="shared" ca="1" si="246"/>
        <v>149633.34</v>
      </c>
      <c r="C1337" s="55">
        <f t="shared" ca="1" si="242"/>
        <v>95559.14000000032</v>
      </c>
      <c r="D1337" s="55">
        <f t="shared" ca="1" si="242"/>
        <v>7343.2800000000043</v>
      </c>
      <c r="E1337" s="55">
        <f t="shared" ca="1" si="247"/>
        <v>0</v>
      </c>
      <c r="F1337" s="55">
        <f t="shared" ca="1" si="248"/>
        <v>370820.98603934376</v>
      </c>
      <c r="G1337" s="101">
        <f t="shared" ca="1" si="249"/>
        <v>623356.74603934411</v>
      </c>
      <c r="H1337" s="100">
        <f ca="1">ROUND($B1337*VLOOKUP($A1337,$A$1:$B$10,2,1)/(365+IF(MOD(YEAR($A1337),4),0,1)*($A1337-$A1336)),2)-Первоначальный[[#This Row],[Проценты на просроченный платеж по ОД за период]]</f>
        <v>68.180000000000007</v>
      </c>
      <c r="I1337" s="55">
        <f t="shared" ca="1" si="250"/>
        <v>13.18</v>
      </c>
      <c r="J1337" s="55">
        <v>0</v>
      </c>
      <c r="K1337" s="55">
        <f t="shared" ca="1" si="253"/>
        <v>593.81850327868847</v>
      </c>
      <c r="L1337" s="55">
        <v>0</v>
      </c>
      <c r="M1337" s="113">
        <f>SUMIFS(График[Возврат основной суммы долга],График[Дата с учетом нерабочих дней],$A1337)</f>
        <v>0</v>
      </c>
      <c r="N1337" s="56">
        <f>SUMIFS(График[Возврат начисленных %],График[Дата с учетом нерабочих дней],$A1337)</f>
        <v>0</v>
      </c>
      <c r="O1337" s="101">
        <v>0</v>
      </c>
      <c r="P1337" s="100" cm="1">
        <f t="array" aca="1" ref="P1337" ca="1">MAX(IF(AA1336="Да",0,SUM(INDIRECT("M"&amp;(MAX(("Да"=AA$12:AA1336)*ROW(AA$12:AA1336)+1,ROW($P$12))&amp;":M"&amp;(ROW()))))-SUM(INDIRECT("W"&amp;(MAX(("Да"=AA$12:AA1336)*ROW(AA$12:AA1336)+1,ROW($P$12))&amp;":W"&amp;(ROW()))))),0)</f>
        <v>24232.889999999996</v>
      </c>
      <c r="Q1337" s="99">
        <f ca="1">MAX(SUM($N$13:N1337)-SUM($T$13:T1337),0)</f>
        <v>94530.810655737689</v>
      </c>
      <c r="R1337" s="99">
        <f ca="1">Первоначальный[[#This Row],[Просроченный платеж по ОД]]+Первоначальный[[#This Row],[Просроченный платеж по процентам]]</f>
        <v>118763.70065573769</v>
      </c>
      <c r="S1337" s="120">
        <f ca="1">IF(Первоначальный[[#This Row],[Просроченный платеж]]&lt;1,0,S1336+1)</f>
        <v>1233</v>
      </c>
      <c r="T1337" s="100" cm="1">
        <f t="array" aca="1" ref="T1337" ca="1">IF(Первоначальный[[#This Row],[Итого остаток на начало периода]]&lt;1,0,
IF(
AND(TYPE(VLOOKUP(1,$Z$12:Z1337,1,0))=16,Первоначальный[[#This Row],[Досрочное погашение (да/"")]]=""),0,
_xlfn.IFS(AND(S1336=0,Первоначальный[[#This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платеж]]&lt;&gt;0),MIN(LOOKUP(,-1/($Z$12:Z1337=1),$C$12:C1337)+LOOKUP(,-1/($Z$12:Z1337=1),$H$12:H1337),Первоначальный[[#This Row],[Полученный платеж]]+Y1336),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платеж]]+Y1336,SUM(Первоначальный[[#This Row],[Остаток процентов на начало периода]],Первоначальный[[#This Row],[Проценты за период]])),
AND(S1336=0,Первоначальный[[#This Row],[Дата платежа из графика]]=""),0,
AND(S1336=0,Первоначальный[[#This Row],[Дата платежа из графика]]=1,MAX((0&lt;&gt;S$12:S1336)*ROW(S$12:S1336),ROW($S$12))&gt;=MAX((1=Z$12:Z1336)*ROW(Z$12:Z1336),ROW($T$12)),TYPE(VLOOKUP("Да",(INDIRECT("AA"&amp;(MAX((1=Z$12:Z1336)*ROW(Z$12:Z1336),ROW($T$12))&amp;":AA"&amp;(ROW()-1)))),1,0))=16),MIN(LOOKUP(,-1/($Z$12:Z1337=1),$C$12:C1337)+LOOKUP(,-1/($Z$12:Z1337=1),$H$12:H1337),Первоначальный[[#This Row],[Полученный платеж]]+Y1336),
AND(S1336=0,TYPE(VLOOKUP("Да",(INDIRECT("AA"&amp;(MAX((1=Z$12:Z1336)*ROW(Z$12:Z1336),ROW($T$12))&amp;":AA"&amp;(ROW()-1)))),1,0))&lt;&gt;16),MIN(LOOKUP(,-1/($Z$12:Z1337=1),$C$12:C1337)+LOOKUP(,-1/($Z$12:Z1337=1),$H$12:H1337)-IF(AA1336="Да",0,SUM(INDIRECT("T"&amp;(MAX(("Да"=AA$12:AA1336)*ROW(AA$12:AA1336)+1,ROW($T$12))&amp;":T"&amp;(ROW()-1))))),Первоначальный[[#This Row],[Полученный платеж]]+Y1336),
AND(S1336=0,MAX((0&lt;&gt;N$12:N1336)*ROW(N$12:N1336),ROW($S$12))&gt;=MAX((1=Z$12:Z1336)*ROW(Z$12:Z1336),ROW($T$12))),MIN(LOOKUP(,-1/($Z$12:Z1337=1),$C$12:C1337)+LOOKUP(,-1/($Z$12:Z1337=1),$H$12:H1337)-IF(N1336&lt;&gt;0,0,SUM(INDIRECT("T"&amp;(MAX((0&lt;&gt;N$12:N1336)*ROW(N$12:N1336)+1,ROW($T$12))&amp;":T"&amp;(ROW()-1))))),Первоначальный[[#This Row],[Полученный платеж]]+Y1336),
AND(S1336=0,Первоначальный[[#This Row],[Дата платежа из графика]]=1),MIN(LOOKUP(,-1/($Z$12:Z1337=1),$C$12:C1337)+LOOKUP(,-1/($Z$12:Z1337=1),$H$12:H1337)-IF(Z1336=1,0,SUM(INDIRECT("T"&amp;(MAX((1=Z$12:Z1336)*ROW(Z$12:Z1336)+1,ROW($T$12))&amp;":T"&amp;(ROW()-1))))),Первоначальный[[#This Row],[Полученный платеж]]+Y1336),
AND(Z1336&gt;0,Первоначальный[[#This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платеж]]+Y1336),
AND(S1336&gt;0,MAX((0&lt;&gt;S$12:S1336)*ROW(S$12:S1336),ROW($S$12))&gt;=MAX((1=Z$12:Z1336)*ROW(Z$12:Z1336),ROW($T$12)),TYPE(VLOOKUP("Да",(INDIRECT("AA"&amp;(MAX((1=Z$12:Z1336)*ROW(Z$12:Z1336),ROW($T$12))&amp;":AA"&amp;(ROW()-1)))),1,0))=16),MIN(LOOKUP(,-1/($Z$12:Z1337=1),$C$12:C1337)+LOOKUP(,-1/($Z$12:Z1337=1),$H$12:H1337)-SUM(INDIRECT("T"&amp;(MAX((1=Z$12:Z1336)*ROW(Z$12:Z1336),ROW($T$12))&amp;":T"&amp;(ROW()-1)))),Первоначальный[[#This Row],[Полученный платеж]]+Y1336),
S1336&gt;0,MIN(LOOKUP(,-1/($Z$12:Z1337=1),$C$12:C1337)+LOOKUP(,-1/($Z$12:Z1337=1),$H$12:H1337)-IF(Z1336=1,0,SUM(INDIRECT("T"&amp;(MAX((1=Z$12:Z1336)*ROW(Z$12:Z1336)+1,ROW($T$12))&amp;":T"&amp;(ROW()-1))))),Первоначальный[[#This Row],[Полученный платеж]]+Y1336)
)
)
)</f>
        <v>0</v>
      </c>
      <c r="U133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платеж]]+Y1336-Первоначальный[[#This Row],[Полученный платёж по процентам]])</f>
        <v>0</v>
      </c>
      <c r="V1337" s="55">
        <f t="shared" ca="1" si="243"/>
        <v>0</v>
      </c>
      <c r="W1337" s="55" cm="1">
        <f t="array" aca="1" ref="W1337" ca="1">IF(Первоначальный[[#This Row],[Итого остаток на начало периода]]&lt;1,0,
_xlfn.IFS(
AND(TYPE(VLOOKUP(1,$Z$12:Z1337,1,0))=16,Первоначальный[[#This Row],[Досрочное погашение (да/"")]]=""),0,
AND(S1336=0,Первоначальный[[#This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платеж]]+Y1336-SUM(Первоначальный[[#This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комиссиям]]),VLOOKUP(LOOKUP(,-1/($Z$12:Z1337=1),$A$12:A1337),График[[Срок конец]:[Возврат основной суммы долга]],3,0)),
AND(S1336=0,Первоначальный[[#This Row],[Дата платежа из графика]]="",Первоначальный[[#This Row],[Досрочное погашение (да/"")]]&lt;&gt;"Да"),0,
AND(S1336=0,Первоначальный[[#This Row],[Досрочное погашение (да/"")]]=""),MIN(Первоначальный[[#This Row],[Полученный платеж]]+Y1336-SUM(Первоначальный[[#This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комиссиям]]),VLOOKUP(LOOKUP(,-1/($Z$12:Z1337=1),$A$12:A1337),График[[Срок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платеж]]+Y1336-SUM(Первоначальный[[#This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S1336&gt;0,MIN(Первоначальный[[#This Row],[Полученный платеж]]+Y1336-SUM(Первоначальный[[#This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комиссиям]]),SUM(INDIRECT("M"&amp;(MAX((1=S$12:S1336)*ROW(S$12:S1336),ROW($W$12))&amp;":M"&amp;(ROW()))))-SUM(INDIRECT("W"&amp;(MAX((1=S$12:S1336)*ROW(S$12:S1336),ROW($W$12))&amp;":W"&amp;(ROW()-1)))))
)
)</f>
        <v>0</v>
      </c>
      <c r="X1337" s="55">
        <f t="shared" ca="1" si="244"/>
        <v>0</v>
      </c>
      <c r="Y1337" s="101">
        <f t="shared" ca="1" si="251"/>
        <v>0</v>
      </c>
      <c r="Z1337" s="133" t="str">
        <f>IF(TYPE((VLOOKUP(Первоначальный[[#This Row],[Дата платежа]],График[Срок конец],1,0)))=16,"",1)</f>
        <v/>
      </c>
      <c r="AA1337" s="57"/>
      <c r="AB1337" s="134"/>
      <c r="AC133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3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95627.320000000313</v>
      </c>
      <c r="AE133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7356.4600000000046</v>
      </c>
      <c r="AF133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3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371414.80454262247</v>
      </c>
      <c r="AH1337" s="55"/>
      <c r="AI1337" s="55"/>
      <c r="AJ1337" s="55"/>
      <c r="AK1337" s="101">
        <f t="shared" ca="1" si="252"/>
        <v>624031.92454262276</v>
      </c>
      <c r="AL1337" s="129">
        <f t="array" ref="AL1337">MAX((УслРестрактов[Характеристика]="Дата реструктуризации")*(УслРестрактов[Значение]=Первоначальный!$A1337),0)</f>
        <v>0</v>
      </c>
    </row>
    <row r="1338" spans="1:38" x14ac:dyDescent="0.25">
      <c r="A1338" s="97">
        <f t="shared" si="245"/>
        <v>45469</v>
      </c>
      <c r="B1338" s="100">
        <f t="shared" ca="1" si="246"/>
        <v>149633.34</v>
      </c>
      <c r="C1338" s="55">
        <f t="shared" ca="1" si="242"/>
        <v>95627.320000000313</v>
      </c>
      <c r="D1338" s="55">
        <f t="shared" ca="1" si="242"/>
        <v>7356.4600000000046</v>
      </c>
      <c r="E1338" s="55">
        <f t="shared" ca="1" si="247"/>
        <v>0</v>
      </c>
      <c r="F1338" s="55">
        <f t="shared" ca="1" si="248"/>
        <v>371414.80454262247</v>
      </c>
      <c r="G1338" s="101">
        <f t="shared" ca="1" si="249"/>
        <v>624031.92454262276</v>
      </c>
      <c r="H1338" s="100">
        <f ca="1">ROUND($B1338*VLOOKUP($A1338,$A$1:$B$10,2,1)/(365+IF(MOD(YEAR($A1338),4),0,1)*($A1338-$A1337)),2)-Первоначальный[[#This Row],[Проценты на просроченный платеж по ОД за период]]</f>
        <v>68.180000000000007</v>
      </c>
      <c r="I1338" s="55">
        <f t="shared" ca="1" si="250"/>
        <v>13.18</v>
      </c>
      <c r="J1338" s="55">
        <v>0</v>
      </c>
      <c r="K1338" s="55">
        <f t="shared" ca="1" si="253"/>
        <v>593.81850327868847</v>
      </c>
      <c r="L1338" s="55">
        <v>0</v>
      </c>
      <c r="M1338" s="113">
        <f>SUMIFS(График[Возврат основной суммы долга],График[Дата с учетом нерабочих дней],$A1338)</f>
        <v>0</v>
      </c>
      <c r="N1338" s="56">
        <f>SUMIFS(График[Возврат начисленных %],График[Дата с учетом нерабочих дней],$A1338)</f>
        <v>0</v>
      </c>
      <c r="O1338" s="101">
        <v>0</v>
      </c>
      <c r="P1338" s="100" cm="1">
        <f t="array" aca="1" ref="P1338" ca="1">MAX(IF(AA1337="Да",0,SUM(INDIRECT("M"&amp;(MAX(("Да"=AA$12:AA1337)*ROW(AA$12:AA1337)+1,ROW($P$12))&amp;":M"&amp;(ROW()))))-SUM(INDIRECT("W"&amp;(MAX(("Да"=AA$12:AA1337)*ROW(AA$12:AA1337)+1,ROW($P$12))&amp;":W"&amp;(ROW()))))),0)</f>
        <v>24232.889999999996</v>
      </c>
      <c r="Q1338" s="99">
        <f ca="1">MAX(SUM($N$13:N1338)-SUM($T$13:T1338),0)</f>
        <v>94530.810655737689</v>
      </c>
      <c r="R1338" s="99">
        <f ca="1">Первоначальный[[#This Row],[Просроченный платеж по ОД]]+Первоначальный[[#This Row],[Просроченный платеж по процентам]]</f>
        <v>118763.70065573769</v>
      </c>
      <c r="S1338" s="120">
        <f ca="1">IF(Первоначальный[[#This Row],[Просроченный платеж]]&lt;1,0,S1337+1)</f>
        <v>1234</v>
      </c>
      <c r="T1338" s="100" cm="1">
        <f t="array" aca="1" ref="T1338" ca="1">IF(Первоначальный[[#This Row],[Итого остаток на начало периода]]&lt;1,0,
IF(
AND(TYPE(VLOOKUP(1,$Z$12:Z1338,1,0))=16,Первоначальный[[#This Row],[Досрочное погашение (да/"")]]=""),0,
_xlfn.IFS(AND(S1337=0,Первоначальный[[#This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платеж]]&lt;&gt;0),MIN(LOOKUP(,-1/($Z$12:Z1338=1),$C$12:C1338)+LOOKUP(,-1/($Z$12:Z1338=1),$H$12:H1338),Первоначальный[[#This Row],[Полученный платеж]]+Y1337),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платеж]]+Y1337,SUM(Первоначальный[[#This Row],[Остаток процентов на начало периода]],Первоначальный[[#This Row],[Проценты за период]])),
AND(S1337=0,Первоначальный[[#This Row],[Дата платежа из графика]]=""),0,
AND(S1337=0,Первоначальный[[#This Row],[Дата платежа из графика]]=1,MAX((0&lt;&gt;S$12:S1337)*ROW(S$12:S1337),ROW($S$12))&gt;=MAX((1=Z$12:Z1337)*ROW(Z$12:Z1337),ROW($T$12)),TYPE(VLOOKUP("Да",(INDIRECT("AA"&amp;(MAX((1=Z$12:Z1337)*ROW(Z$12:Z1337),ROW($T$12))&amp;":AA"&amp;(ROW()-1)))),1,0))=16),MIN(LOOKUP(,-1/($Z$12:Z1338=1),$C$12:C1338)+LOOKUP(,-1/($Z$12:Z1338=1),$H$12:H1338),Первоначальный[[#This Row],[Полученный платеж]]+Y1337),
AND(S1337=0,TYPE(VLOOKUP("Да",(INDIRECT("AA"&amp;(MAX((1=Z$12:Z1337)*ROW(Z$12:Z1337),ROW($T$12))&amp;":AA"&amp;(ROW()-1)))),1,0))&lt;&gt;16),MIN(LOOKUP(,-1/($Z$12:Z1338=1),$C$12:C1338)+LOOKUP(,-1/($Z$12:Z1338=1),$H$12:H1338)-IF(AA1337="Да",0,SUM(INDIRECT("T"&amp;(MAX(("Да"=AA$12:AA1337)*ROW(AA$12:AA1337)+1,ROW($T$12))&amp;":T"&amp;(ROW()-1))))),Первоначальный[[#This Row],[Полученный платеж]]+Y1337),
AND(S1337=0,MAX((0&lt;&gt;N$12:N1337)*ROW(N$12:N1337),ROW($S$12))&gt;=MAX((1=Z$12:Z1337)*ROW(Z$12:Z1337),ROW($T$12))),MIN(LOOKUP(,-1/($Z$12:Z1338=1),$C$12:C1338)+LOOKUP(,-1/($Z$12:Z1338=1),$H$12:H1338)-IF(N1337&lt;&gt;0,0,SUM(INDIRECT("T"&amp;(MAX((0&lt;&gt;N$12:N1337)*ROW(N$12:N1337)+1,ROW($T$12))&amp;":T"&amp;(ROW()-1))))),Первоначальный[[#This Row],[Полученный платеж]]+Y1337),
AND(S1337=0,Первоначальный[[#This Row],[Дата платежа из графика]]=1),MIN(LOOKUP(,-1/($Z$12:Z1338=1),$C$12:C1338)+LOOKUP(,-1/($Z$12:Z1338=1),$H$12:H1338)-IF(Z1337=1,0,SUM(INDIRECT("T"&amp;(MAX((1=Z$12:Z1337)*ROW(Z$12:Z1337)+1,ROW($T$12))&amp;":T"&amp;(ROW()-1))))),Первоначальный[[#This Row],[Полученный платеж]]+Y1337),
AND(Z1337&gt;0,Первоначальный[[#This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платеж]]+Y1337),
AND(S1337&gt;0,MAX((0&lt;&gt;S$12:S1337)*ROW(S$12:S1337),ROW($S$12))&gt;=MAX((1=Z$12:Z1337)*ROW(Z$12:Z1337),ROW($T$12)),TYPE(VLOOKUP("Да",(INDIRECT("AA"&amp;(MAX((1=Z$12:Z1337)*ROW(Z$12:Z1337),ROW($T$12))&amp;":AA"&amp;(ROW()-1)))),1,0))=16),MIN(LOOKUP(,-1/($Z$12:Z1338=1),$C$12:C1338)+LOOKUP(,-1/($Z$12:Z1338=1),$H$12:H1338)-SUM(INDIRECT("T"&amp;(MAX((1=Z$12:Z1337)*ROW(Z$12:Z1337),ROW($T$12))&amp;":T"&amp;(ROW()-1)))),Первоначальный[[#This Row],[Полученный платеж]]+Y1337),
S1337&gt;0,MIN(LOOKUP(,-1/($Z$12:Z1338=1),$C$12:C1338)+LOOKUP(,-1/($Z$12:Z1338=1),$H$12:H1338)-IF(Z1337=1,0,SUM(INDIRECT("T"&amp;(MAX((1=Z$12:Z1337)*ROW(Z$12:Z1337)+1,ROW($T$12))&amp;":T"&amp;(ROW()-1))))),Первоначальный[[#This Row],[Полученный платеж]]+Y1337)
)
)
)</f>
        <v>0</v>
      </c>
      <c r="U133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платеж]]+Y1337-Первоначальный[[#This Row],[Полученный платёж по процентам]])</f>
        <v>0</v>
      </c>
      <c r="V1338" s="55">
        <f t="shared" ca="1" si="243"/>
        <v>0</v>
      </c>
      <c r="W1338" s="55" cm="1">
        <f t="array" aca="1" ref="W1338" ca="1">IF(Первоначальный[[#This Row],[Итого остаток на начало периода]]&lt;1,0,
_xlfn.IFS(
AND(TYPE(VLOOKUP(1,$Z$12:Z1338,1,0))=16,Первоначальный[[#This Row],[Досрочное погашение (да/"")]]=""),0,
AND(S1337=0,Первоначальный[[#This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платеж]]+Y1337-SUM(Первоначальный[[#This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комиссиям]]),VLOOKUP(LOOKUP(,-1/($Z$12:Z1338=1),$A$12:A1338),График[[Срок конец]:[Возврат основной суммы долга]],3,0)),
AND(S1337=0,Первоначальный[[#This Row],[Дата платежа из графика]]="",Первоначальный[[#This Row],[Досрочное погашение (да/"")]]&lt;&gt;"Да"),0,
AND(S1337=0,Первоначальный[[#This Row],[Досрочное погашение (да/"")]]=""),MIN(Первоначальный[[#This Row],[Полученный платеж]]+Y1337-SUM(Первоначальный[[#This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комиссиям]]),VLOOKUP(LOOKUP(,-1/($Z$12:Z1338=1),$A$12:A1338),График[[Срок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платеж]]+Y1337-SUM(Первоначальный[[#This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S1337&gt;0,MIN(Первоначальный[[#This Row],[Полученный платеж]]+Y1337-SUM(Первоначальный[[#This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комиссиям]]),SUM(INDIRECT("M"&amp;(MAX((1=S$12:S1337)*ROW(S$12:S1337),ROW($W$12))&amp;":M"&amp;(ROW()))))-SUM(INDIRECT("W"&amp;(MAX((1=S$12:S1337)*ROW(S$12:S1337),ROW($W$12))&amp;":W"&amp;(ROW()-1)))))
)
)</f>
        <v>0</v>
      </c>
      <c r="X1338" s="55">
        <f t="shared" ca="1" si="244"/>
        <v>0</v>
      </c>
      <c r="Y1338" s="101">
        <f t="shared" ca="1" si="251"/>
        <v>0</v>
      </c>
      <c r="Z1338" s="133" t="str">
        <f>IF(TYPE((VLOOKUP(Первоначальный[[#This Row],[Дата платежа]],График[Срок конец],1,0)))=16,"",1)</f>
        <v/>
      </c>
      <c r="AA1338" s="57"/>
      <c r="AB1338" s="134"/>
      <c r="AC133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3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95695.500000000306</v>
      </c>
      <c r="AE133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7369.6400000000049</v>
      </c>
      <c r="AF133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3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372008.62304590119</v>
      </c>
      <c r="AH1338" s="55"/>
      <c r="AI1338" s="55"/>
      <c r="AJ1338" s="55"/>
      <c r="AK1338" s="101">
        <f t="shared" ca="1" si="252"/>
        <v>624707.10304590152</v>
      </c>
      <c r="AL1338" s="129">
        <f t="array" ref="AL1338">MAX((УслРестрактов[Характеристика]="Дата реструктуризации")*(УслРестрактов[Значение]=Первоначальный!$A1338),0)</f>
        <v>0</v>
      </c>
    </row>
    <row r="1339" spans="1:38" x14ac:dyDescent="0.25">
      <c r="A1339" s="97">
        <f t="shared" si="245"/>
        <v>45470</v>
      </c>
      <c r="B1339" s="100">
        <f t="shared" ca="1" si="246"/>
        <v>149633.34</v>
      </c>
      <c r="C1339" s="55">
        <f t="shared" ca="1" si="242"/>
        <v>95695.500000000306</v>
      </c>
      <c r="D1339" s="55">
        <f t="shared" ca="1" si="242"/>
        <v>7369.6400000000049</v>
      </c>
      <c r="E1339" s="55">
        <f t="shared" ca="1" si="247"/>
        <v>0</v>
      </c>
      <c r="F1339" s="55">
        <f t="shared" ca="1" si="248"/>
        <v>372008.62304590119</v>
      </c>
      <c r="G1339" s="101">
        <f t="shared" ca="1" si="249"/>
        <v>624707.10304590152</v>
      </c>
      <c r="H1339" s="100">
        <f ca="1">ROUND($B1339*VLOOKUP($A1339,$A$1:$B$10,2,1)/(365+IF(MOD(YEAR($A1339),4),0,1)*($A1339-$A1338)),2)-Первоначальный[[#This Row],[Проценты на просроченный платеж по ОД за период]]</f>
        <v>68.180000000000007</v>
      </c>
      <c r="I1339" s="55">
        <f t="shared" ca="1" si="250"/>
        <v>13.18</v>
      </c>
      <c r="J1339" s="55">
        <v>0</v>
      </c>
      <c r="K1339" s="55">
        <f t="shared" ca="1" si="253"/>
        <v>593.81850327868847</v>
      </c>
      <c r="L1339" s="55">
        <v>0</v>
      </c>
      <c r="M1339" s="113">
        <f>SUMIFS(График[Возврат основной суммы долга],График[Дата с учетом нерабочих дней],$A1339)</f>
        <v>0</v>
      </c>
      <c r="N1339" s="56">
        <f>SUMIFS(График[Возврат начисленных %],График[Дата с учетом нерабочих дней],$A1339)</f>
        <v>0</v>
      </c>
      <c r="O1339" s="101">
        <v>0</v>
      </c>
      <c r="P1339" s="100" cm="1">
        <f t="array" aca="1" ref="P1339" ca="1">MAX(IF(AA1338="Да",0,SUM(INDIRECT("M"&amp;(MAX(("Да"=AA$12:AA1338)*ROW(AA$12:AA1338)+1,ROW($P$12))&amp;":M"&amp;(ROW()))))-SUM(INDIRECT("W"&amp;(MAX(("Да"=AA$12:AA1338)*ROW(AA$12:AA1338)+1,ROW($P$12))&amp;":W"&amp;(ROW()))))),0)</f>
        <v>24232.889999999996</v>
      </c>
      <c r="Q1339" s="99">
        <f ca="1">MAX(SUM($N$13:N1339)-SUM($T$13:T1339),0)</f>
        <v>94530.810655737689</v>
      </c>
      <c r="R1339" s="99">
        <f ca="1">Первоначальный[[#This Row],[Просроченный платеж по ОД]]+Первоначальный[[#This Row],[Просроченный платеж по процентам]]</f>
        <v>118763.70065573769</v>
      </c>
      <c r="S1339" s="120">
        <f ca="1">IF(Первоначальный[[#This Row],[Просроченный платеж]]&lt;1,0,S1338+1)</f>
        <v>1235</v>
      </c>
      <c r="T1339" s="100" cm="1">
        <f t="array" aca="1" ref="T1339" ca="1">IF(Первоначальный[[#This Row],[Итого остаток на начало периода]]&lt;1,0,
IF(
AND(TYPE(VLOOKUP(1,$Z$12:Z1339,1,0))=16,Первоначальный[[#This Row],[Досрочное погашение (да/"")]]=""),0,
_xlfn.IFS(AND(S1338=0,Первоначальный[[#This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платеж]]&lt;&gt;0),MIN(LOOKUP(,-1/($Z$12:Z1339=1),$C$12:C1339)+LOOKUP(,-1/($Z$12:Z1339=1),$H$12:H1339),Первоначальный[[#This Row],[Полученный платеж]]+Y1338),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платеж]]+Y1338,SUM(Первоначальный[[#This Row],[Остаток процентов на начало периода]],Первоначальный[[#This Row],[Проценты за период]])),
AND(S1338=0,Первоначальный[[#This Row],[Дата платежа из графика]]=""),0,
AND(S1338=0,Первоначальный[[#This Row],[Дата платежа из графика]]=1,MAX((0&lt;&gt;S$12:S1338)*ROW(S$12:S1338),ROW($S$12))&gt;=MAX((1=Z$12:Z1338)*ROW(Z$12:Z1338),ROW($T$12)),TYPE(VLOOKUP("Да",(INDIRECT("AA"&amp;(MAX((1=Z$12:Z1338)*ROW(Z$12:Z1338),ROW($T$12))&amp;":AA"&amp;(ROW()-1)))),1,0))=16),MIN(LOOKUP(,-1/($Z$12:Z1339=1),$C$12:C1339)+LOOKUP(,-1/($Z$12:Z1339=1),$H$12:H1339),Первоначальный[[#This Row],[Полученный платеж]]+Y1338),
AND(S1338=0,TYPE(VLOOKUP("Да",(INDIRECT("AA"&amp;(MAX((1=Z$12:Z1338)*ROW(Z$12:Z1338),ROW($T$12))&amp;":AA"&amp;(ROW()-1)))),1,0))&lt;&gt;16),MIN(LOOKUP(,-1/($Z$12:Z1339=1),$C$12:C1339)+LOOKUP(,-1/($Z$12:Z1339=1),$H$12:H1339)-IF(AA1338="Да",0,SUM(INDIRECT("T"&amp;(MAX(("Да"=AA$12:AA1338)*ROW(AA$12:AA1338)+1,ROW($T$12))&amp;":T"&amp;(ROW()-1))))),Первоначальный[[#This Row],[Полученный платеж]]+Y1338),
AND(S1338=0,MAX((0&lt;&gt;N$12:N1338)*ROW(N$12:N1338),ROW($S$12))&gt;=MAX((1=Z$12:Z1338)*ROW(Z$12:Z1338),ROW($T$12))),MIN(LOOKUP(,-1/($Z$12:Z1339=1),$C$12:C1339)+LOOKUP(,-1/($Z$12:Z1339=1),$H$12:H1339)-IF(N1338&lt;&gt;0,0,SUM(INDIRECT("T"&amp;(MAX((0&lt;&gt;N$12:N1338)*ROW(N$12:N1338)+1,ROW($T$12))&amp;":T"&amp;(ROW()-1))))),Первоначальный[[#This Row],[Полученный платеж]]+Y1338),
AND(S1338=0,Первоначальный[[#This Row],[Дата платежа из графика]]=1),MIN(LOOKUP(,-1/($Z$12:Z1339=1),$C$12:C1339)+LOOKUP(,-1/($Z$12:Z1339=1),$H$12:H1339)-IF(Z1338=1,0,SUM(INDIRECT("T"&amp;(MAX((1=Z$12:Z1338)*ROW(Z$12:Z1338)+1,ROW($T$12))&amp;":T"&amp;(ROW()-1))))),Первоначальный[[#This Row],[Полученный платеж]]+Y1338),
AND(Z1338&gt;0,Первоначальный[[#This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платеж]]+Y1338),
AND(S1338&gt;0,MAX((0&lt;&gt;S$12:S1338)*ROW(S$12:S1338),ROW($S$12))&gt;=MAX((1=Z$12:Z1338)*ROW(Z$12:Z1338),ROW($T$12)),TYPE(VLOOKUP("Да",(INDIRECT("AA"&amp;(MAX((1=Z$12:Z1338)*ROW(Z$12:Z1338),ROW($T$12))&amp;":AA"&amp;(ROW()-1)))),1,0))=16),MIN(LOOKUP(,-1/($Z$12:Z1339=1),$C$12:C1339)+LOOKUP(,-1/($Z$12:Z1339=1),$H$12:H1339)-SUM(INDIRECT("T"&amp;(MAX((1=Z$12:Z1338)*ROW(Z$12:Z1338),ROW($T$12))&amp;":T"&amp;(ROW()-1)))),Первоначальный[[#This Row],[Полученный платеж]]+Y1338),
S1338&gt;0,MIN(LOOKUP(,-1/($Z$12:Z1339=1),$C$12:C1339)+LOOKUP(,-1/($Z$12:Z1339=1),$H$12:H1339)-IF(Z1338=1,0,SUM(INDIRECT("T"&amp;(MAX((1=Z$12:Z1338)*ROW(Z$12:Z1338)+1,ROW($T$12))&amp;":T"&amp;(ROW()-1))))),Первоначальный[[#This Row],[Полученный платеж]]+Y1338)
)
)
)</f>
        <v>0</v>
      </c>
      <c r="U133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платеж]]+Y1338-Первоначальный[[#This Row],[Полученный платёж по процентам]])</f>
        <v>0</v>
      </c>
      <c r="V1339" s="55">
        <f t="shared" ca="1" si="243"/>
        <v>0</v>
      </c>
      <c r="W1339" s="55" cm="1">
        <f t="array" aca="1" ref="W1339" ca="1">IF(Первоначальный[[#This Row],[Итого остаток на начало периода]]&lt;1,0,
_xlfn.IFS(
AND(TYPE(VLOOKUP(1,$Z$12:Z1339,1,0))=16,Первоначальный[[#This Row],[Досрочное погашение (да/"")]]=""),0,
AND(S1338=0,Первоначальный[[#This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платеж]]+Y1338-SUM(Первоначальный[[#This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комиссиям]]),VLOOKUP(LOOKUP(,-1/($Z$12:Z1339=1),$A$12:A1339),График[[Срок конец]:[Возврат основной суммы долга]],3,0)),
AND(S1338=0,Первоначальный[[#This Row],[Дата платежа из графика]]="",Первоначальный[[#This Row],[Досрочное погашение (да/"")]]&lt;&gt;"Да"),0,
AND(S1338=0,Первоначальный[[#This Row],[Досрочное погашение (да/"")]]=""),MIN(Первоначальный[[#This Row],[Полученный платеж]]+Y1338-SUM(Первоначальный[[#This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комиссиям]]),VLOOKUP(LOOKUP(,-1/($Z$12:Z1339=1),$A$12:A1339),График[[Срок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платеж]]+Y1338-SUM(Первоначальный[[#This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S1338&gt;0,MIN(Первоначальный[[#This Row],[Полученный платеж]]+Y1338-SUM(Первоначальный[[#This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комиссиям]]),SUM(INDIRECT("M"&amp;(MAX((1=S$12:S1338)*ROW(S$12:S1338),ROW($W$12))&amp;":M"&amp;(ROW()))))-SUM(INDIRECT("W"&amp;(MAX((1=S$12:S1338)*ROW(S$12:S1338),ROW($W$12))&amp;":W"&amp;(ROW()-1)))))
)
)</f>
        <v>0</v>
      </c>
      <c r="X1339" s="55">
        <f t="shared" ca="1" si="244"/>
        <v>0</v>
      </c>
      <c r="Y1339" s="101">
        <f t="shared" ca="1" si="251"/>
        <v>0</v>
      </c>
      <c r="Z1339" s="133" t="str">
        <f>IF(TYPE((VLOOKUP(Первоначальный[[#This Row],[Дата платежа]],График[Срок конец],1,0)))=16,"",1)</f>
        <v/>
      </c>
      <c r="AA1339" s="57"/>
      <c r="AB1339" s="134"/>
      <c r="AC133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3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95763.680000000299</v>
      </c>
      <c r="AE133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7382.8200000000052</v>
      </c>
      <c r="AF133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3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372602.4415491799</v>
      </c>
      <c r="AH1339" s="55"/>
      <c r="AI1339" s="55"/>
      <c r="AJ1339" s="55"/>
      <c r="AK1339" s="101">
        <f t="shared" ca="1" si="252"/>
        <v>625382.28154918016</v>
      </c>
      <c r="AL1339" s="129">
        <f t="array" ref="AL1339">MAX((УслРестрактов[Характеристика]="Дата реструктуризации")*(УслРестрактов[Значение]=Первоначальный!$A1339),0)</f>
        <v>0</v>
      </c>
    </row>
    <row r="1340" spans="1:38" x14ac:dyDescent="0.25">
      <c r="A1340" s="97">
        <f t="shared" si="245"/>
        <v>45471</v>
      </c>
      <c r="B1340" s="100">
        <f t="shared" ca="1" si="246"/>
        <v>149633.34</v>
      </c>
      <c r="C1340" s="55">
        <f t="shared" ca="1" si="242"/>
        <v>95763.680000000299</v>
      </c>
      <c r="D1340" s="55">
        <f t="shared" ca="1" si="242"/>
        <v>7382.8200000000052</v>
      </c>
      <c r="E1340" s="55">
        <f t="shared" ca="1" si="247"/>
        <v>0</v>
      </c>
      <c r="F1340" s="55">
        <f t="shared" ca="1" si="248"/>
        <v>372602.4415491799</v>
      </c>
      <c r="G1340" s="101">
        <f t="shared" ca="1" si="249"/>
        <v>625382.28154918016</v>
      </c>
      <c r="H1340" s="100">
        <f ca="1">ROUND($B1340*VLOOKUP($A1340,$A$1:$B$10,2,1)/(365+IF(MOD(YEAR($A1340),4),0,1)*($A1340-$A1339)),2)-Первоначальный[[#This Row],[Проценты на просроченный платеж по ОД за период]]</f>
        <v>68.180000000000007</v>
      </c>
      <c r="I1340" s="55">
        <f t="shared" ca="1" si="250"/>
        <v>13.18</v>
      </c>
      <c r="J1340" s="55">
        <v>0</v>
      </c>
      <c r="K1340" s="55">
        <f t="shared" ca="1" si="253"/>
        <v>593.81850327868847</v>
      </c>
      <c r="L1340" s="55">
        <v>0</v>
      </c>
      <c r="M1340" s="113">
        <f>SUMIFS(График[Возврат основной суммы долга],График[Дата с учетом нерабочих дней],$A1340)</f>
        <v>0</v>
      </c>
      <c r="N1340" s="56">
        <f>SUMIFS(График[Возврат начисленных %],График[Дата с учетом нерабочих дней],$A1340)</f>
        <v>0</v>
      </c>
      <c r="O1340" s="101">
        <v>0</v>
      </c>
      <c r="P1340" s="100" cm="1">
        <f t="array" aca="1" ref="P1340" ca="1">MAX(IF(AA1339="Да",0,SUM(INDIRECT("M"&amp;(MAX(("Да"=AA$12:AA1339)*ROW(AA$12:AA1339)+1,ROW($P$12))&amp;":M"&amp;(ROW()))))-SUM(INDIRECT("W"&amp;(MAX(("Да"=AA$12:AA1339)*ROW(AA$12:AA1339)+1,ROW($P$12))&amp;":W"&amp;(ROW()))))),0)</f>
        <v>24232.889999999996</v>
      </c>
      <c r="Q1340" s="99">
        <f ca="1">MAX(SUM($N$13:N1340)-SUM($T$13:T1340),0)</f>
        <v>94530.810655737689</v>
      </c>
      <c r="R1340" s="99">
        <f ca="1">Первоначальный[[#This Row],[Просроченный платеж по ОД]]+Первоначальный[[#This Row],[Просроченный платеж по процентам]]</f>
        <v>118763.70065573769</v>
      </c>
      <c r="S1340" s="120">
        <f ca="1">IF(Первоначальный[[#This Row],[Просроченный платеж]]&lt;1,0,S1339+1)</f>
        <v>1236</v>
      </c>
      <c r="T1340" s="100" cm="1">
        <f t="array" aca="1" ref="T1340" ca="1">IF(Первоначальный[[#This Row],[Итого остаток на начало периода]]&lt;1,0,
IF(
AND(TYPE(VLOOKUP(1,$Z$12:Z1340,1,0))=16,Первоначальный[[#This Row],[Досрочное погашение (да/"")]]=""),0,
_xlfn.IFS(AND(S1339=0,Первоначальный[[#This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платеж]]&lt;&gt;0),MIN(LOOKUP(,-1/($Z$12:Z1340=1),$C$12:C1340)+LOOKUP(,-1/($Z$12:Z1340=1),$H$12:H1340),Первоначальный[[#This Row],[Полученный платеж]]+Y1339),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платеж]]+Y1339,SUM(Первоначальный[[#This Row],[Остаток процентов на начало периода]],Первоначальный[[#This Row],[Проценты за период]])),
AND(S1339=0,Первоначальный[[#This Row],[Дата платежа из графика]]=""),0,
AND(S1339=0,Первоначальный[[#This Row],[Дата платежа из графика]]=1,MAX((0&lt;&gt;S$12:S1339)*ROW(S$12:S1339),ROW($S$12))&gt;=MAX((1=Z$12:Z1339)*ROW(Z$12:Z1339),ROW($T$12)),TYPE(VLOOKUP("Да",(INDIRECT("AA"&amp;(MAX((1=Z$12:Z1339)*ROW(Z$12:Z1339),ROW($T$12))&amp;":AA"&amp;(ROW()-1)))),1,0))=16),MIN(LOOKUP(,-1/($Z$12:Z1340=1),$C$12:C1340)+LOOKUP(,-1/($Z$12:Z1340=1),$H$12:H1340),Первоначальный[[#This Row],[Полученный платеж]]+Y1339),
AND(S1339=0,TYPE(VLOOKUP("Да",(INDIRECT("AA"&amp;(MAX((1=Z$12:Z1339)*ROW(Z$12:Z1339),ROW($T$12))&amp;":AA"&amp;(ROW()-1)))),1,0))&lt;&gt;16),MIN(LOOKUP(,-1/($Z$12:Z1340=1),$C$12:C1340)+LOOKUP(,-1/($Z$12:Z1340=1),$H$12:H1340)-IF(AA1339="Да",0,SUM(INDIRECT("T"&amp;(MAX(("Да"=AA$12:AA1339)*ROW(AA$12:AA1339)+1,ROW($T$12))&amp;":T"&amp;(ROW()-1))))),Первоначальный[[#This Row],[Полученный платеж]]+Y1339),
AND(S1339=0,MAX((0&lt;&gt;N$12:N1339)*ROW(N$12:N1339),ROW($S$12))&gt;=MAX((1=Z$12:Z1339)*ROW(Z$12:Z1339),ROW($T$12))),MIN(LOOKUP(,-1/($Z$12:Z1340=1),$C$12:C1340)+LOOKUP(,-1/($Z$12:Z1340=1),$H$12:H1340)-IF(N1339&lt;&gt;0,0,SUM(INDIRECT("T"&amp;(MAX((0&lt;&gt;N$12:N1339)*ROW(N$12:N1339)+1,ROW($T$12))&amp;":T"&amp;(ROW()-1))))),Первоначальный[[#This Row],[Полученный платеж]]+Y1339),
AND(S1339=0,Первоначальный[[#This Row],[Дата платежа из графика]]=1),MIN(LOOKUP(,-1/($Z$12:Z1340=1),$C$12:C1340)+LOOKUP(,-1/($Z$12:Z1340=1),$H$12:H1340)-IF(Z1339=1,0,SUM(INDIRECT("T"&amp;(MAX((1=Z$12:Z1339)*ROW(Z$12:Z1339)+1,ROW($T$12))&amp;":T"&amp;(ROW()-1))))),Первоначальный[[#This Row],[Полученный платеж]]+Y1339),
AND(Z1339&gt;0,Первоначальный[[#This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платеж]]+Y1339),
AND(S1339&gt;0,MAX((0&lt;&gt;S$12:S1339)*ROW(S$12:S1339),ROW($S$12))&gt;=MAX((1=Z$12:Z1339)*ROW(Z$12:Z1339),ROW($T$12)),TYPE(VLOOKUP("Да",(INDIRECT("AA"&amp;(MAX((1=Z$12:Z1339)*ROW(Z$12:Z1339),ROW($T$12))&amp;":AA"&amp;(ROW()-1)))),1,0))=16),MIN(LOOKUP(,-1/($Z$12:Z1340=1),$C$12:C1340)+LOOKUP(,-1/($Z$12:Z1340=1),$H$12:H1340)-SUM(INDIRECT("T"&amp;(MAX((1=Z$12:Z1339)*ROW(Z$12:Z1339),ROW($T$12))&amp;":T"&amp;(ROW()-1)))),Первоначальный[[#This Row],[Полученный платеж]]+Y1339),
S1339&gt;0,MIN(LOOKUP(,-1/($Z$12:Z1340=1),$C$12:C1340)+LOOKUP(,-1/($Z$12:Z1340=1),$H$12:H1340)-IF(Z1339=1,0,SUM(INDIRECT("T"&amp;(MAX((1=Z$12:Z1339)*ROW(Z$12:Z1339)+1,ROW($T$12))&amp;":T"&amp;(ROW()-1))))),Первоначальный[[#This Row],[Полученный платеж]]+Y1339)
)
)
)</f>
        <v>0</v>
      </c>
      <c r="U134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платеж]]+Y1339-Первоначальный[[#This Row],[Полученный платёж по процентам]])</f>
        <v>0</v>
      </c>
      <c r="V1340" s="55">
        <f t="shared" ca="1" si="243"/>
        <v>0</v>
      </c>
      <c r="W1340" s="55" cm="1">
        <f t="array" aca="1" ref="W1340" ca="1">IF(Первоначальный[[#This Row],[Итого остаток на начало периода]]&lt;1,0,
_xlfn.IFS(
AND(TYPE(VLOOKUP(1,$Z$12:Z1340,1,0))=16,Первоначальный[[#This Row],[Досрочное погашение (да/"")]]=""),0,
AND(S1339=0,Первоначальный[[#This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платеж]]+Y1339-SUM(Первоначальный[[#This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комиссиям]]),VLOOKUP(LOOKUP(,-1/($Z$12:Z1340=1),$A$12:A1340),График[[Срок конец]:[Возврат основной суммы долга]],3,0)),
AND(S1339=0,Первоначальный[[#This Row],[Дата платежа из графика]]="",Первоначальный[[#This Row],[Досрочное погашение (да/"")]]&lt;&gt;"Да"),0,
AND(S1339=0,Первоначальный[[#This Row],[Досрочное погашение (да/"")]]=""),MIN(Первоначальный[[#This Row],[Полученный платеж]]+Y1339-SUM(Первоначальный[[#This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комиссиям]]),VLOOKUP(LOOKUP(,-1/($Z$12:Z1340=1),$A$12:A1340),График[[Срок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платеж]]+Y1339-SUM(Первоначальный[[#This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S1339&gt;0,MIN(Первоначальный[[#This Row],[Полученный платеж]]+Y1339-SUM(Первоначальный[[#This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комиссиям]]),SUM(INDIRECT("M"&amp;(MAX((1=S$12:S1339)*ROW(S$12:S1339),ROW($W$12))&amp;":M"&amp;(ROW()))))-SUM(INDIRECT("W"&amp;(MAX((1=S$12:S1339)*ROW(S$12:S1339),ROW($W$12))&amp;":W"&amp;(ROW()-1)))))
)
)</f>
        <v>0</v>
      </c>
      <c r="X1340" s="55">
        <f t="shared" ca="1" si="244"/>
        <v>0</v>
      </c>
      <c r="Y1340" s="101">
        <f t="shared" ca="1" si="251"/>
        <v>0</v>
      </c>
      <c r="Z1340" s="133" t="str">
        <f>IF(TYPE((VLOOKUP(Первоначальный[[#This Row],[Дата платежа]],График[Срок конец],1,0)))=16,"",1)</f>
        <v/>
      </c>
      <c r="AA1340" s="57"/>
      <c r="AB1340" s="134"/>
      <c r="AC134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4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95831.860000000292</v>
      </c>
      <c r="AE134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7396.0000000000055</v>
      </c>
      <c r="AF134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4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373196.26005245862</v>
      </c>
      <c r="AH1340" s="55"/>
      <c r="AI1340" s="55"/>
      <c r="AJ1340" s="55"/>
      <c r="AK1340" s="101">
        <f t="shared" ca="1" si="252"/>
        <v>626057.46005245892</v>
      </c>
      <c r="AL1340" s="129">
        <f t="array" ref="AL1340">MAX((УслРестрактов[Характеристика]="Дата реструктуризации")*(УслРестрактов[Значение]=Первоначальный!$A1340),0)</f>
        <v>0</v>
      </c>
    </row>
    <row r="1341" spans="1:38" x14ac:dyDescent="0.25">
      <c r="A1341" s="97">
        <f t="shared" si="245"/>
        <v>45472</v>
      </c>
      <c r="B1341" s="100">
        <f t="shared" ca="1" si="246"/>
        <v>149633.34</v>
      </c>
      <c r="C1341" s="55">
        <f t="shared" ca="1" si="242"/>
        <v>95831.860000000292</v>
      </c>
      <c r="D1341" s="55">
        <f t="shared" ca="1" si="242"/>
        <v>7396.0000000000055</v>
      </c>
      <c r="E1341" s="55">
        <f t="shared" ca="1" si="247"/>
        <v>0</v>
      </c>
      <c r="F1341" s="55">
        <f t="shared" ca="1" si="248"/>
        <v>373196.26005245862</v>
      </c>
      <c r="G1341" s="101">
        <f t="shared" ca="1" si="249"/>
        <v>626057.46005245892</v>
      </c>
      <c r="H1341" s="100">
        <f ca="1">ROUND($B1341*VLOOKUP($A1341,$A$1:$B$10,2,1)/(365+IF(MOD(YEAR($A1341),4),0,1)*($A1341-$A1340)),2)-Первоначальный[[#This Row],[Проценты на просроченный платеж по ОД за период]]</f>
        <v>68.180000000000007</v>
      </c>
      <c r="I1341" s="55">
        <f t="shared" ca="1" si="250"/>
        <v>13.18</v>
      </c>
      <c r="J1341" s="55">
        <v>0</v>
      </c>
      <c r="K1341" s="55">
        <f t="shared" ca="1" si="253"/>
        <v>593.81850327868847</v>
      </c>
      <c r="L1341" s="55">
        <v>0</v>
      </c>
      <c r="M1341" s="113">
        <f>SUMIFS(График[Возврат основной суммы долга],График[Дата с учетом нерабочих дней],$A1341)</f>
        <v>0</v>
      </c>
      <c r="N1341" s="56">
        <f>SUMIFS(График[Возврат начисленных %],График[Дата с учетом нерабочих дней],$A1341)</f>
        <v>0</v>
      </c>
      <c r="O1341" s="101">
        <v>0</v>
      </c>
      <c r="P1341" s="100" cm="1">
        <f t="array" aca="1" ref="P1341" ca="1">MAX(IF(AA1340="Да",0,SUM(INDIRECT("M"&amp;(MAX(("Да"=AA$12:AA1340)*ROW(AA$12:AA1340)+1,ROW($P$12))&amp;":M"&amp;(ROW()))))-SUM(INDIRECT("W"&amp;(MAX(("Да"=AA$12:AA1340)*ROW(AA$12:AA1340)+1,ROW($P$12))&amp;":W"&amp;(ROW()))))),0)</f>
        <v>24232.889999999996</v>
      </c>
      <c r="Q1341" s="99">
        <f ca="1">MAX(SUM($N$13:N1341)-SUM($T$13:T1341),0)</f>
        <v>94530.810655737689</v>
      </c>
      <c r="R1341" s="99">
        <f ca="1">Первоначальный[[#This Row],[Просроченный платеж по ОД]]+Первоначальный[[#This Row],[Просроченный платеж по процентам]]</f>
        <v>118763.70065573769</v>
      </c>
      <c r="S1341" s="120">
        <f ca="1">IF(Первоначальный[[#This Row],[Просроченный платеж]]&lt;1,0,S1340+1)</f>
        <v>1237</v>
      </c>
      <c r="T1341" s="100" cm="1">
        <f t="array" aca="1" ref="T1341" ca="1">IF(Первоначальный[[#This Row],[Итого остаток на начало периода]]&lt;1,0,
IF(
AND(TYPE(VLOOKUP(1,$Z$12:Z1341,1,0))=16,Первоначальный[[#This Row],[Досрочное погашение (да/"")]]=""),0,
_xlfn.IFS(AND(S1340=0,Первоначальный[[#This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платеж]]&lt;&gt;0),MIN(LOOKUP(,-1/($Z$12:Z1341=1),$C$12:C1341)+LOOKUP(,-1/($Z$12:Z1341=1),$H$12:H1341),Первоначальный[[#This Row],[Полученный платеж]]+Y1340),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платеж]]+Y1340,SUM(Первоначальный[[#This Row],[Остаток процентов на начало периода]],Первоначальный[[#This Row],[Проценты за период]])),
AND(S1340=0,Первоначальный[[#This Row],[Дата платежа из графика]]=""),0,
AND(S1340=0,Первоначальный[[#This Row],[Дата платежа из графика]]=1,MAX((0&lt;&gt;S$12:S1340)*ROW(S$12:S1340),ROW($S$12))&gt;=MAX((1=Z$12:Z1340)*ROW(Z$12:Z1340),ROW($T$12)),TYPE(VLOOKUP("Да",(INDIRECT("AA"&amp;(MAX((1=Z$12:Z1340)*ROW(Z$12:Z1340),ROW($T$12))&amp;":AA"&amp;(ROW()-1)))),1,0))=16),MIN(LOOKUP(,-1/($Z$12:Z1341=1),$C$12:C1341)+LOOKUP(,-1/($Z$12:Z1341=1),$H$12:H1341),Первоначальный[[#This Row],[Полученный платеж]]+Y1340),
AND(S1340=0,TYPE(VLOOKUP("Да",(INDIRECT("AA"&amp;(MAX((1=Z$12:Z1340)*ROW(Z$12:Z1340),ROW($T$12))&amp;":AA"&amp;(ROW()-1)))),1,0))&lt;&gt;16),MIN(LOOKUP(,-1/($Z$12:Z1341=1),$C$12:C1341)+LOOKUP(,-1/($Z$12:Z1341=1),$H$12:H1341)-IF(AA1340="Да",0,SUM(INDIRECT("T"&amp;(MAX(("Да"=AA$12:AA1340)*ROW(AA$12:AA1340)+1,ROW($T$12))&amp;":T"&amp;(ROW()-1))))),Первоначальный[[#This Row],[Полученный платеж]]+Y1340),
AND(S1340=0,MAX((0&lt;&gt;N$12:N1340)*ROW(N$12:N1340),ROW($S$12))&gt;=MAX((1=Z$12:Z1340)*ROW(Z$12:Z1340),ROW($T$12))),MIN(LOOKUP(,-1/($Z$12:Z1341=1),$C$12:C1341)+LOOKUP(,-1/($Z$12:Z1341=1),$H$12:H1341)-IF(N1340&lt;&gt;0,0,SUM(INDIRECT("T"&amp;(MAX((0&lt;&gt;N$12:N1340)*ROW(N$12:N1340)+1,ROW($T$12))&amp;":T"&amp;(ROW()-1))))),Первоначальный[[#This Row],[Полученный платеж]]+Y1340),
AND(S1340=0,Первоначальный[[#This Row],[Дата платежа из графика]]=1),MIN(LOOKUP(,-1/($Z$12:Z1341=1),$C$12:C1341)+LOOKUP(,-1/($Z$12:Z1341=1),$H$12:H1341)-IF(Z1340=1,0,SUM(INDIRECT("T"&amp;(MAX((1=Z$12:Z1340)*ROW(Z$12:Z1340)+1,ROW($T$12))&amp;":T"&amp;(ROW()-1))))),Первоначальный[[#This Row],[Полученный платеж]]+Y1340),
AND(Z1340&gt;0,Первоначальный[[#This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платеж]]+Y1340),
AND(S1340&gt;0,MAX((0&lt;&gt;S$12:S1340)*ROW(S$12:S1340),ROW($S$12))&gt;=MAX((1=Z$12:Z1340)*ROW(Z$12:Z1340),ROW($T$12)),TYPE(VLOOKUP("Да",(INDIRECT("AA"&amp;(MAX((1=Z$12:Z1340)*ROW(Z$12:Z1340),ROW($T$12))&amp;":AA"&amp;(ROW()-1)))),1,0))=16),MIN(LOOKUP(,-1/($Z$12:Z1341=1),$C$12:C1341)+LOOKUP(,-1/($Z$12:Z1341=1),$H$12:H1341)-SUM(INDIRECT("T"&amp;(MAX((1=Z$12:Z1340)*ROW(Z$12:Z1340),ROW($T$12))&amp;":T"&amp;(ROW()-1)))),Первоначальный[[#This Row],[Полученный платеж]]+Y1340),
S1340&gt;0,MIN(LOOKUP(,-1/($Z$12:Z1341=1),$C$12:C1341)+LOOKUP(,-1/($Z$12:Z1341=1),$H$12:H1341)-IF(Z1340=1,0,SUM(INDIRECT("T"&amp;(MAX((1=Z$12:Z1340)*ROW(Z$12:Z1340)+1,ROW($T$12))&amp;":T"&amp;(ROW()-1))))),Первоначальный[[#This Row],[Полученный платеж]]+Y1340)
)
)
)</f>
        <v>0</v>
      </c>
      <c r="U134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платеж]]+Y1340-Первоначальный[[#This Row],[Полученный платёж по процентам]])</f>
        <v>0</v>
      </c>
      <c r="V1341" s="55">
        <f t="shared" ca="1" si="243"/>
        <v>0</v>
      </c>
      <c r="W1341" s="55" cm="1">
        <f t="array" aca="1" ref="W1341" ca="1">IF(Первоначальный[[#This Row],[Итого остаток на начало периода]]&lt;1,0,
_xlfn.IFS(
AND(TYPE(VLOOKUP(1,$Z$12:Z1341,1,0))=16,Первоначальный[[#This Row],[Досрочное погашение (да/"")]]=""),0,
AND(S1340=0,Первоначальный[[#This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платеж]]+Y1340-SUM(Первоначальный[[#This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комиссиям]]),VLOOKUP(LOOKUP(,-1/($Z$12:Z1341=1),$A$12:A1341),График[[Срок конец]:[Возврат основной суммы долга]],3,0)),
AND(S1340=0,Первоначальный[[#This Row],[Дата платежа из графика]]="",Первоначальный[[#This Row],[Досрочное погашение (да/"")]]&lt;&gt;"Да"),0,
AND(S1340=0,Первоначальный[[#This Row],[Досрочное погашение (да/"")]]=""),MIN(Первоначальный[[#This Row],[Полученный платеж]]+Y1340-SUM(Первоначальный[[#This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комиссиям]]),VLOOKUP(LOOKUP(,-1/($Z$12:Z1341=1),$A$12:A1341),График[[Срок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платеж]]+Y1340-SUM(Первоначальный[[#This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S1340&gt;0,MIN(Первоначальный[[#This Row],[Полученный платеж]]+Y1340-SUM(Первоначальный[[#This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комиссиям]]),SUM(INDIRECT("M"&amp;(MAX((1=S$12:S1340)*ROW(S$12:S1340),ROW($W$12))&amp;":M"&amp;(ROW()))))-SUM(INDIRECT("W"&amp;(MAX((1=S$12:S1340)*ROW(S$12:S1340),ROW($W$12))&amp;":W"&amp;(ROW()-1)))))
)
)</f>
        <v>0</v>
      </c>
      <c r="X1341" s="55">
        <f t="shared" ca="1" si="244"/>
        <v>0</v>
      </c>
      <c r="Y1341" s="101">
        <f t="shared" ca="1" si="251"/>
        <v>0</v>
      </c>
      <c r="Z1341" s="133" t="str">
        <f>IF(TYPE((VLOOKUP(Первоначальный[[#This Row],[Дата платежа]],График[Срок конец],1,0)))=16,"",1)</f>
        <v/>
      </c>
      <c r="AA1341" s="57"/>
      <c r="AB1341" s="134"/>
      <c r="AC134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4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95900.040000000285</v>
      </c>
      <c r="AE134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7409.1800000000057</v>
      </c>
      <c r="AF134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4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373790.07855573733</v>
      </c>
      <c r="AH1341" s="55"/>
      <c r="AI1341" s="55"/>
      <c r="AJ1341" s="55"/>
      <c r="AK1341" s="101">
        <f t="shared" ca="1" si="252"/>
        <v>626732.63855573768</v>
      </c>
      <c r="AL1341" s="129">
        <f t="array" ref="AL1341">MAX((УслРестрактов[Характеристика]="Дата реструктуризации")*(УслРестрактов[Значение]=Первоначальный!$A1341),0)</f>
        <v>0</v>
      </c>
    </row>
    <row r="1342" spans="1:38" x14ac:dyDescent="0.25">
      <c r="A1342" s="97">
        <f t="shared" si="245"/>
        <v>45473</v>
      </c>
      <c r="B1342" s="100">
        <f t="shared" ca="1" si="246"/>
        <v>149633.34</v>
      </c>
      <c r="C1342" s="55">
        <f t="shared" ca="1" si="242"/>
        <v>95900.040000000285</v>
      </c>
      <c r="D1342" s="55">
        <f t="shared" ca="1" si="242"/>
        <v>7409.1800000000057</v>
      </c>
      <c r="E1342" s="55">
        <f t="shared" ca="1" si="247"/>
        <v>0</v>
      </c>
      <c r="F1342" s="55">
        <f t="shared" ca="1" si="248"/>
        <v>373790.07855573733</v>
      </c>
      <c r="G1342" s="101">
        <f t="shared" ca="1" si="249"/>
        <v>626732.63855573768</v>
      </c>
      <c r="H1342" s="100">
        <f ca="1">ROUND($B1342*VLOOKUP($A1342,$A$1:$B$10,2,1)/(365+IF(MOD(YEAR($A1342),4),0,1)*($A1342-$A1341)),2)-Первоначальный[[#This Row],[Проценты на просроченный платеж по ОД за период]]</f>
        <v>68.180000000000007</v>
      </c>
      <c r="I1342" s="55">
        <f t="shared" ca="1" si="250"/>
        <v>13.18</v>
      </c>
      <c r="J1342" s="55">
        <v>0</v>
      </c>
      <c r="K1342" s="55">
        <f t="shared" ca="1" si="253"/>
        <v>593.81850327868847</v>
      </c>
      <c r="L1342" s="55">
        <v>0</v>
      </c>
      <c r="M1342" s="113">
        <f>SUMIFS(График[Возврат основной суммы долга],График[Дата с учетом нерабочих дней],$A1342)</f>
        <v>0</v>
      </c>
      <c r="N1342" s="56">
        <f>SUMIFS(График[Возврат начисленных %],График[Дата с учетом нерабочих дней],$A1342)</f>
        <v>0</v>
      </c>
      <c r="O1342" s="101">
        <v>0</v>
      </c>
      <c r="P1342" s="100" cm="1">
        <f t="array" aca="1" ref="P1342" ca="1">MAX(IF(AA1341="Да",0,SUM(INDIRECT("M"&amp;(MAX(("Да"=AA$12:AA1341)*ROW(AA$12:AA1341)+1,ROW($P$12))&amp;":M"&amp;(ROW()))))-SUM(INDIRECT("W"&amp;(MAX(("Да"=AA$12:AA1341)*ROW(AA$12:AA1341)+1,ROW($P$12))&amp;":W"&amp;(ROW()))))),0)</f>
        <v>24232.889999999996</v>
      </c>
      <c r="Q1342" s="99">
        <f ca="1">MAX(SUM($N$13:N1342)-SUM($T$13:T1342),0)</f>
        <v>94530.810655737689</v>
      </c>
      <c r="R1342" s="99">
        <f ca="1">Первоначальный[[#This Row],[Просроченный платеж по ОД]]+Первоначальный[[#This Row],[Просроченный платеж по процентам]]</f>
        <v>118763.70065573769</v>
      </c>
      <c r="S1342" s="120">
        <f ca="1">IF(Первоначальный[[#This Row],[Просроченный платеж]]&lt;1,0,S1341+1)</f>
        <v>1238</v>
      </c>
      <c r="T1342" s="100" cm="1">
        <f t="array" aca="1" ref="T1342" ca="1">IF(Первоначальный[[#This Row],[Итого остаток на начало периода]]&lt;1,0,
IF(
AND(TYPE(VLOOKUP(1,$Z$12:Z1342,1,0))=16,Первоначальный[[#This Row],[Досрочное погашение (да/"")]]=""),0,
_xlfn.IFS(AND(S1341=0,Первоначальный[[#This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платеж]]&lt;&gt;0),MIN(LOOKUP(,-1/($Z$12:Z1342=1),$C$12:C1342)+LOOKUP(,-1/($Z$12:Z1342=1),$H$12:H1342),Первоначальный[[#This Row],[Полученный платеж]]+Y1341),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платеж]]+Y1341,SUM(Первоначальный[[#This Row],[Остаток процентов на начало периода]],Первоначальный[[#This Row],[Проценты за период]])),
AND(S1341=0,Первоначальный[[#This Row],[Дата платежа из графика]]=""),0,
AND(S1341=0,Первоначальный[[#This Row],[Дата платежа из графика]]=1,MAX((0&lt;&gt;S$12:S1341)*ROW(S$12:S1341),ROW($S$12))&gt;=MAX((1=Z$12:Z1341)*ROW(Z$12:Z1341),ROW($T$12)),TYPE(VLOOKUP("Да",(INDIRECT("AA"&amp;(MAX((1=Z$12:Z1341)*ROW(Z$12:Z1341),ROW($T$12))&amp;":AA"&amp;(ROW()-1)))),1,0))=16),MIN(LOOKUP(,-1/($Z$12:Z1342=1),$C$12:C1342)+LOOKUP(,-1/($Z$12:Z1342=1),$H$12:H1342),Первоначальный[[#This Row],[Полученный платеж]]+Y1341),
AND(S1341=0,TYPE(VLOOKUP("Да",(INDIRECT("AA"&amp;(MAX((1=Z$12:Z1341)*ROW(Z$12:Z1341),ROW($T$12))&amp;":AA"&amp;(ROW()-1)))),1,0))&lt;&gt;16),MIN(LOOKUP(,-1/($Z$12:Z1342=1),$C$12:C1342)+LOOKUP(,-1/($Z$12:Z1342=1),$H$12:H1342)-IF(AA1341="Да",0,SUM(INDIRECT("T"&amp;(MAX(("Да"=AA$12:AA1341)*ROW(AA$12:AA1341)+1,ROW($T$12))&amp;":T"&amp;(ROW()-1))))),Первоначальный[[#This Row],[Полученный платеж]]+Y1341),
AND(S1341=0,MAX((0&lt;&gt;N$12:N1341)*ROW(N$12:N1341),ROW($S$12))&gt;=MAX((1=Z$12:Z1341)*ROW(Z$12:Z1341),ROW($T$12))),MIN(LOOKUP(,-1/($Z$12:Z1342=1),$C$12:C1342)+LOOKUP(,-1/($Z$12:Z1342=1),$H$12:H1342)-IF(N1341&lt;&gt;0,0,SUM(INDIRECT("T"&amp;(MAX((0&lt;&gt;N$12:N1341)*ROW(N$12:N1341)+1,ROW($T$12))&amp;":T"&amp;(ROW()-1))))),Первоначальный[[#This Row],[Полученный платеж]]+Y1341),
AND(S1341=0,Первоначальный[[#This Row],[Дата платежа из графика]]=1),MIN(LOOKUP(,-1/($Z$12:Z1342=1),$C$12:C1342)+LOOKUP(,-1/($Z$12:Z1342=1),$H$12:H1342)-IF(Z1341=1,0,SUM(INDIRECT("T"&amp;(MAX((1=Z$12:Z1341)*ROW(Z$12:Z1341)+1,ROW($T$12))&amp;":T"&amp;(ROW()-1))))),Первоначальный[[#This Row],[Полученный платеж]]+Y1341),
AND(Z1341&gt;0,Первоначальный[[#This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платеж]]+Y1341),
AND(S1341&gt;0,MAX((0&lt;&gt;S$12:S1341)*ROW(S$12:S1341),ROW($S$12))&gt;=MAX((1=Z$12:Z1341)*ROW(Z$12:Z1341),ROW($T$12)),TYPE(VLOOKUP("Да",(INDIRECT("AA"&amp;(MAX((1=Z$12:Z1341)*ROW(Z$12:Z1341),ROW($T$12))&amp;":AA"&amp;(ROW()-1)))),1,0))=16),MIN(LOOKUP(,-1/($Z$12:Z1342=1),$C$12:C1342)+LOOKUP(,-1/($Z$12:Z1342=1),$H$12:H1342)-SUM(INDIRECT("T"&amp;(MAX((1=Z$12:Z1341)*ROW(Z$12:Z1341),ROW($T$12))&amp;":T"&amp;(ROW()-1)))),Первоначальный[[#This Row],[Полученный платеж]]+Y1341),
S1341&gt;0,MIN(LOOKUP(,-1/($Z$12:Z1342=1),$C$12:C1342)+LOOKUP(,-1/($Z$12:Z1342=1),$H$12:H1342)-IF(Z1341=1,0,SUM(INDIRECT("T"&amp;(MAX((1=Z$12:Z1341)*ROW(Z$12:Z1341)+1,ROW($T$12))&amp;":T"&amp;(ROW()-1))))),Первоначальный[[#This Row],[Полученный платеж]]+Y1341)
)
)
)</f>
        <v>0</v>
      </c>
      <c r="U134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платеж]]+Y1341-Первоначальный[[#This Row],[Полученный платёж по процентам]])</f>
        <v>0</v>
      </c>
      <c r="V1342" s="55">
        <f t="shared" ca="1" si="243"/>
        <v>0</v>
      </c>
      <c r="W1342" s="55" cm="1">
        <f t="array" aca="1" ref="W1342" ca="1">IF(Первоначальный[[#This Row],[Итого остаток на начало периода]]&lt;1,0,
_xlfn.IFS(
AND(TYPE(VLOOKUP(1,$Z$12:Z1342,1,0))=16,Первоначальный[[#This Row],[Досрочное погашение (да/"")]]=""),0,
AND(S1341=0,Первоначальный[[#This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платеж]]+Y1341-SUM(Первоначальный[[#This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комиссиям]]),VLOOKUP(LOOKUP(,-1/($Z$12:Z1342=1),$A$12:A1342),График[[Срок конец]:[Возврат основной суммы долга]],3,0)),
AND(S1341=0,Первоначальный[[#This Row],[Дата платежа из графика]]="",Первоначальный[[#This Row],[Досрочное погашение (да/"")]]&lt;&gt;"Да"),0,
AND(S1341=0,Первоначальный[[#This Row],[Досрочное погашение (да/"")]]=""),MIN(Первоначальный[[#This Row],[Полученный платеж]]+Y1341-SUM(Первоначальный[[#This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комиссиям]]),VLOOKUP(LOOKUP(,-1/($Z$12:Z1342=1),$A$12:A1342),График[[Срок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платеж]]+Y1341-SUM(Первоначальный[[#This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S1341&gt;0,MIN(Первоначальный[[#This Row],[Полученный платеж]]+Y1341-SUM(Первоначальный[[#This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комиссиям]]),SUM(INDIRECT("M"&amp;(MAX((1=S$12:S1341)*ROW(S$12:S1341),ROW($W$12))&amp;":M"&amp;(ROW()))))-SUM(INDIRECT("W"&amp;(MAX((1=S$12:S1341)*ROW(S$12:S1341),ROW($W$12))&amp;":W"&amp;(ROW()-1)))))
)
)</f>
        <v>0</v>
      </c>
      <c r="X1342" s="55">
        <f t="shared" ca="1" si="244"/>
        <v>0</v>
      </c>
      <c r="Y1342" s="101">
        <f t="shared" ca="1" si="251"/>
        <v>0</v>
      </c>
      <c r="Z1342" s="133" t="str">
        <f>IF(TYPE((VLOOKUP(Первоначальный[[#This Row],[Дата платежа]],График[Срок конец],1,0)))=16,"",1)</f>
        <v/>
      </c>
      <c r="AA1342" s="57"/>
      <c r="AB1342" s="134"/>
      <c r="AC134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4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95968.220000000278</v>
      </c>
      <c r="AE134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7422.360000000006</v>
      </c>
      <c r="AF134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4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374383.89705901605</v>
      </c>
      <c r="AH1342" s="55"/>
      <c r="AI1342" s="55"/>
      <c r="AJ1342" s="55"/>
      <c r="AK1342" s="101">
        <f t="shared" ca="1" si="252"/>
        <v>627407.81705901632</v>
      </c>
      <c r="AL1342" s="129">
        <f t="array" ref="AL1342">MAX((УслРестрактов[Характеристика]="Дата реструктуризации")*(УслРестрактов[Значение]=Первоначальный!$A1342),0)</f>
        <v>0</v>
      </c>
    </row>
    <row r="1343" spans="1:38" x14ac:dyDescent="0.25">
      <c r="A1343" s="97">
        <f t="shared" si="245"/>
        <v>45474</v>
      </c>
      <c r="B1343" s="100">
        <f t="shared" ca="1" si="246"/>
        <v>149633.34</v>
      </c>
      <c r="C1343" s="55">
        <f t="shared" ca="1" si="242"/>
        <v>95968.220000000278</v>
      </c>
      <c r="D1343" s="55">
        <f t="shared" ca="1" si="242"/>
        <v>7422.360000000006</v>
      </c>
      <c r="E1343" s="55">
        <f t="shared" ca="1" si="247"/>
        <v>0</v>
      </c>
      <c r="F1343" s="55">
        <f t="shared" ca="1" si="248"/>
        <v>374383.89705901605</v>
      </c>
      <c r="G1343" s="101">
        <f t="shared" ca="1" si="249"/>
        <v>627407.81705901632</v>
      </c>
      <c r="H1343" s="100">
        <f ca="1">ROUND($B1343*VLOOKUP($A1343,$A$1:$B$10,2,1)/(365+IF(MOD(YEAR($A1343),4),0,1)*($A1343-$A1342)),2)-Первоначальный[[#This Row],[Проценты на просроченный платеж по ОД за период]]</f>
        <v>68.180000000000007</v>
      </c>
      <c r="I1343" s="55">
        <f t="shared" ca="1" si="250"/>
        <v>13.18</v>
      </c>
      <c r="J1343" s="55">
        <v>0</v>
      </c>
      <c r="K1343" s="55">
        <f t="shared" ca="1" si="253"/>
        <v>593.81850327868847</v>
      </c>
      <c r="L1343" s="55">
        <v>0</v>
      </c>
      <c r="M1343" s="113">
        <f>SUMIFS(График[Возврат основной суммы долга],График[Дата с учетом нерабочих дней],$A1343)</f>
        <v>0</v>
      </c>
      <c r="N1343" s="56">
        <f>SUMIFS(График[Возврат начисленных %],График[Дата с учетом нерабочих дней],$A1343)</f>
        <v>0</v>
      </c>
      <c r="O1343" s="101">
        <v>0</v>
      </c>
      <c r="P1343" s="100" cm="1">
        <f t="array" aca="1" ref="P1343" ca="1">MAX(IF(AA1342="Да",0,SUM(INDIRECT("M"&amp;(MAX(("Да"=AA$12:AA1342)*ROW(AA$12:AA1342)+1,ROW($P$12))&amp;":M"&amp;(ROW()))))-SUM(INDIRECT("W"&amp;(MAX(("Да"=AA$12:AA1342)*ROW(AA$12:AA1342)+1,ROW($P$12))&amp;":W"&amp;(ROW()))))),0)</f>
        <v>24232.889999999996</v>
      </c>
      <c r="Q1343" s="99">
        <f ca="1">MAX(SUM($N$13:N1343)-SUM($T$13:T1343),0)</f>
        <v>94530.810655737689</v>
      </c>
      <c r="R1343" s="99">
        <f ca="1">Первоначальный[[#This Row],[Просроченный платеж по ОД]]+Первоначальный[[#This Row],[Просроченный платеж по процентам]]</f>
        <v>118763.70065573769</v>
      </c>
      <c r="S1343" s="120">
        <f ca="1">IF(Первоначальный[[#This Row],[Просроченный платеж]]&lt;1,0,S1342+1)</f>
        <v>1239</v>
      </c>
      <c r="T1343" s="100" cm="1">
        <f t="array" aca="1" ref="T1343" ca="1">IF(Первоначальный[[#This Row],[Итого остаток на начало периода]]&lt;1,0,
IF(
AND(TYPE(VLOOKUP(1,$Z$12:Z1343,1,0))=16,Первоначальный[[#This Row],[Досрочное погашение (да/"")]]=""),0,
_xlfn.IFS(AND(S1342=0,Первоначальный[[#This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платеж]]&lt;&gt;0),MIN(LOOKUP(,-1/($Z$12:Z1343=1),$C$12:C1343)+LOOKUP(,-1/($Z$12:Z1343=1),$H$12:H1343),Первоначальный[[#This Row],[Полученный платеж]]+Y1342),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платеж]]+Y1342,SUM(Первоначальный[[#This Row],[Остаток процентов на начало периода]],Первоначальный[[#This Row],[Проценты за период]])),
AND(S1342=0,Первоначальный[[#This Row],[Дата платежа из графика]]=""),0,
AND(S1342=0,Первоначальный[[#This Row],[Дата платежа из графика]]=1,MAX((0&lt;&gt;S$12:S1342)*ROW(S$12:S1342),ROW($S$12))&gt;=MAX((1=Z$12:Z1342)*ROW(Z$12:Z1342),ROW($T$12)),TYPE(VLOOKUP("Да",(INDIRECT("AA"&amp;(MAX((1=Z$12:Z1342)*ROW(Z$12:Z1342),ROW($T$12))&amp;":AA"&amp;(ROW()-1)))),1,0))=16),MIN(LOOKUP(,-1/($Z$12:Z1343=1),$C$12:C1343)+LOOKUP(,-1/($Z$12:Z1343=1),$H$12:H1343),Первоначальный[[#This Row],[Полученный платеж]]+Y1342),
AND(S1342=0,TYPE(VLOOKUP("Да",(INDIRECT("AA"&amp;(MAX((1=Z$12:Z1342)*ROW(Z$12:Z1342),ROW($T$12))&amp;":AA"&amp;(ROW()-1)))),1,0))&lt;&gt;16),MIN(LOOKUP(,-1/($Z$12:Z1343=1),$C$12:C1343)+LOOKUP(,-1/($Z$12:Z1343=1),$H$12:H1343)-IF(AA1342="Да",0,SUM(INDIRECT("T"&amp;(MAX(("Да"=AA$12:AA1342)*ROW(AA$12:AA1342)+1,ROW($T$12))&amp;":T"&amp;(ROW()-1))))),Первоначальный[[#This Row],[Полученный платеж]]+Y1342),
AND(S1342=0,MAX((0&lt;&gt;N$12:N1342)*ROW(N$12:N1342),ROW($S$12))&gt;=MAX((1=Z$12:Z1342)*ROW(Z$12:Z1342),ROW($T$12))),MIN(LOOKUP(,-1/($Z$12:Z1343=1),$C$12:C1343)+LOOKUP(,-1/($Z$12:Z1343=1),$H$12:H1343)-IF(N1342&lt;&gt;0,0,SUM(INDIRECT("T"&amp;(MAX((0&lt;&gt;N$12:N1342)*ROW(N$12:N1342)+1,ROW($T$12))&amp;":T"&amp;(ROW()-1))))),Первоначальный[[#This Row],[Полученный платеж]]+Y1342),
AND(S1342=0,Первоначальный[[#This Row],[Дата платежа из графика]]=1),MIN(LOOKUP(,-1/($Z$12:Z1343=1),$C$12:C1343)+LOOKUP(,-1/($Z$12:Z1343=1),$H$12:H1343)-IF(Z1342=1,0,SUM(INDIRECT("T"&amp;(MAX((1=Z$12:Z1342)*ROW(Z$12:Z1342)+1,ROW($T$12))&amp;":T"&amp;(ROW()-1))))),Первоначальный[[#This Row],[Полученный платеж]]+Y1342),
AND(Z1342&gt;0,Первоначальный[[#This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платеж]]+Y1342),
AND(S1342&gt;0,MAX((0&lt;&gt;S$12:S1342)*ROW(S$12:S1342),ROW($S$12))&gt;=MAX((1=Z$12:Z1342)*ROW(Z$12:Z1342),ROW($T$12)),TYPE(VLOOKUP("Да",(INDIRECT("AA"&amp;(MAX((1=Z$12:Z1342)*ROW(Z$12:Z1342),ROW($T$12))&amp;":AA"&amp;(ROW()-1)))),1,0))=16),MIN(LOOKUP(,-1/($Z$12:Z1343=1),$C$12:C1343)+LOOKUP(,-1/($Z$12:Z1343=1),$H$12:H1343)-SUM(INDIRECT("T"&amp;(MAX((1=Z$12:Z1342)*ROW(Z$12:Z1342),ROW($T$12))&amp;":T"&amp;(ROW()-1)))),Первоначальный[[#This Row],[Полученный платеж]]+Y1342),
S1342&gt;0,MIN(LOOKUP(,-1/($Z$12:Z1343=1),$C$12:C1343)+LOOKUP(,-1/($Z$12:Z1343=1),$H$12:H1343)-IF(Z1342=1,0,SUM(INDIRECT("T"&amp;(MAX((1=Z$12:Z1342)*ROW(Z$12:Z1342)+1,ROW($T$12))&amp;":T"&amp;(ROW()-1))))),Первоначальный[[#This Row],[Полученный платеж]]+Y1342)
)
)
)</f>
        <v>0</v>
      </c>
      <c r="U134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платеж]]+Y1342-Первоначальный[[#This Row],[Полученный платёж по процентам]])</f>
        <v>0</v>
      </c>
      <c r="V1343" s="55">
        <f t="shared" ca="1" si="243"/>
        <v>0</v>
      </c>
      <c r="W1343" s="55" cm="1">
        <f t="array" aca="1" ref="W1343" ca="1">IF(Первоначальный[[#This Row],[Итого остаток на начало периода]]&lt;1,0,
_xlfn.IFS(
AND(TYPE(VLOOKUP(1,$Z$12:Z1343,1,0))=16,Первоначальный[[#This Row],[Досрочное погашение (да/"")]]=""),0,
AND(S1342=0,Первоначальный[[#This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платеж]]+Y1342-SUM(Первоначальный[[#This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комиссиям]]),VLOOKUP(LOOKUP(,-1/($Z$12:Z1343=1),$A$12:A1343),График[[Срок конец]:[Возврат основной суммы долга]],3,0)),
AND(S1342=0,Первоначальный[[#This Row],[Дата платежа из графика]]="",Первоначальный[[#This Row],[Досрочное погашение (да/"")]]&lt;&gt;"Да"),0,
AND(S1342=0,Первоначальный[[#This Row],[Досрочное погашение (да/"")]]=""),MIN(Первоначальный[[#This Row],[Полученный платеж]]+Y1342-SUM(Первоначальный[[#This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комиссиям]]),VLOOKUP(LOOKUP(,-1/($Z$12:Z1343=1),$A$12:A1343),График[[Срок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платеж]]+Y1342-SUM(Первоначальный[[#This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S1342&gt;0,MIN(Первоначальный[[#This Row],[Полученный платеж]]+Y1342-SUM(Первоначальный[[#This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комиссиям]]),SUM(INDIRECT("M"&amp;(MAX((1=S$12:S1342)*ROW(S$12:S1342),ROW($W$12))&amp;":M"&amp;(ROW()))))-SUM(INDIRECT("W"&amp;(MAX((1=S$12:S1342)*ROW(S$12:S1342),ROW($W$12))&amp;":W"&amp;(ROW()-1)))))
)
)</f>
        <v>0</v>
      </c>
      <c r="X1343" s="55">
        <f t="shared" ca="1" si="244"/>
        <v>0</v>
      </c>
      <c r="Y1343" s="101">
        <f t="shared" ca="1" si="251"/>
        <v>0</v>
      </c>
      <c r="Z1343" s="133" t="str">
        <f>IF(TYPE((VLOOKUP(Первоначальный[[#This Row],[Дата платежа]],График[Срок конец],1,0)))=16,"",1)</f>
        <v/>
      </c>
      <c r="AA1343" s="57"/>
      <c r="AB1343" s="134"/>
      <c r="AC134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4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96036.400000000271</v>
      </c>
      <c r="AE134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7435.5400000000063</v>
      </c>
      <c r="AF134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4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374977.71556229476</v>
      </c>
      <c r="AH1343" s="55"/>
      <c r="AI1343" s="55"/>
      <c r="AJ1343" s="55"/>
      <c r="AK1343" s="101">
        <f t="shared" ca="1" si="252"/>
        <v>628082.99556229508</v>
      </c>
      <c r="AL1343" s="129">
        <f t="array" ref="AL1343">MAX((УслРестрактов[Характеристика]="Дата реструктуризации")*(УслРестрактов[Значение]=Первоначальный!$A1343),0)</f>
        <v>0</v>
      </c>
    </row>
    <row r="1344" spans="1:38" x14ac:dyDescent="0.25">
      <c r="A1344" s="97">
        <f t="shared" si="245"/>
        <v>45475</v>
      </c>
      <c r="B1344" s="100">
        <f t="shared" ca="1" si="246"/>
        <v>149633.34</v>
      </c>
      <c r="C1344" s="55">
        <f t="shared" ca="1" si="242"/>
        <v>96036.400000000271</v>
      </c>
      <c r="D1344" s="55">
        <f t="shared" ca="1" si="242"/>
        <v>7435.5400000000063</v>
      </c>
      <c r="E1344" s="55">
        <f t="shared" ca="1" si="247"/>
        <v>0</v>
      </c>
      <c r="F1344" s="55">
        <f t="shared" ca="1" si="248"/>
        <v>374977.71556229476</v>
      </c>
      <c r="G1344" s="101">
        <f t="shared" ca="1" si="249"/>
        <v>628082.99556229508</v>
      </c>
      <c r="H1344" s="100">
        <f ca="1">ROUND($B1344*VLOOKUP($A1344,$A$1:$B$10,2,1)/(365+IF(MOD(YEAR($A1344),4),0,1)*($A1344-$A1343)),2)-Первоначальный[[#This Row],[Проценты на просроченный платеж по ОД за период]]</f>
        <v>68.180000000000007</v>
      </c>
      <c r="I1344" s="55">
        <f t="shared" ca="1" si="250"/>
        <v>13.18</v>
      </c>
      <c r="J1344" s="55">
        <v>0</v>
      </c>
      <c r="K1344" s="55">
        <f t="shared" ca="1" si="253"/>
        <v>593.81850327868847</v>
      </c>
      <c r="L1344" s="55">
        <v>0</v>
      </c>
      <c r="M1344" s="113">
        <f>SUMIFS(График[Возврат основной суммы долга],График[Дата с учетом нерабочих дней],$A1344)</f>
        <v>0</v>
      </c>
      <c r="N1344" s="56">
        <f>SUMIFS(График[Возврат начисленных %],График[Дата с учетом нерабочих дней],$A1344)</f>
        <v>0</v>
      </c>
      <c r="O1344" s="101">
        <v>0</v>
      </c>
      <c r="P1344" s="100" cm="1">
        <f t="array" aca="1" ref="P1344" ca="1">MAX(IF(AA1343="Да",0,SUM(INDIRECT("M"&amp;(MAX(("Да"=AA$12:AA1343)*ROW(AA$12:AA1343)+1,ROW($P$12))&amp;":M"&amp;(ROW()))))-SUM(INDIRECT("W"&amp;(MAX(("Да"=AA$12:AA1343)*ROW(AA$12:AA1343)+1,ROW($P$12))&amp;":W"&amp;(ROW()))))),0)</f>
        <v>24232.889999999996</v>
      </c>
      <c r="Q1344" s="99">
        <f ca="1">MAX(SUM($N$13:N1344)-SUM($T$13:T1344),0)</f>
        <v>94530.810655737689</v>
      </c>
      <c r="R1344" s="99">
        <f ca="1">Первоначальный[[#This Row],[Просроченный платеж по ОД]]+Первоначальный[[#This Row],[Просроченный платеж по процентам]]</f>
        <v>118763.70065573769</v>
      </c>
      <c r="S1344" s="120">
        <f ca="1">IF(Первоначальный[[#This Row],[Просроченный платеж]]&lt;1,0,S1343+1)</f>
        <v>1240</v>
      </c>
      <c r="T1344" s="100" cm="1">
        <f t="array" aca="1" ref="T1344" ca="1">IF(Первоначальный[[#This Row],[Итого остаток на начало периода]]&lt;1,0,
IF(
AND(TYPE(VLOOKUP(1,$Z$12:Z1344,1,0))=16,Первоначальный[[#This Row],[Досрочное погашение (да/"")]]=""),0,
_xlfn.IFS(AND(S1343=0,Первоначальный[[#This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платеж]]&lt;&gt;0),MIN(LOOKUP(,-1/($Z$12:Z1344=1),$C$12:C1344)+LOOKUP(,-1/($Z$12:Z1344=1),$H$12:H1344),Первоначальный[[#This Row],[Полученный платеж]]+Y1343),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платеж]]+Y1343,SUM(Первоначальный[[#This Row],[Остаток процентов на начало периода]],Первоначальный[[#This Row],[Проценты за период]])),
AND(S1343=0,Первоначальный[[#This Row],[Дата платежа из графика]]=""),0,
AND(S1343=0,Первоначальный[[#This Row],[Дата платежа из графика]]=1,MAX((0&lt;&gt;S$12:S1343)*ROW(S$12:S1343),ROW($S$12))&gt;=MAX((1=Z$12:Z1343)*ROW(Z$12:Z1343),ROW($T$12)),TYPE(VLOOKUP("Да",(INDIRECT("AA"&amp;(MAX((1=Z$12:Z1343)*ROW(Z$12:Z1343),ROW($T$12))&amp;":AA"&amp;(ROW()-1)))),1,0))=16),MIN(LOOKUP(,-1/($Z$12:Z1344=1),$C$12:C1344)+LOOKUP(,-1/($Z$12:Z1344=1),$H$12:H1344),Первоначальный[[#This Row],[Полученный платеж]]+Y1343),
AND(S1343=0,TYPE(VLOOKUP("Да",(INDIRECT("AA"&amp;(MAX((1=Z$12:Z1343)*ROW(Z$12:Z1343),ROW($T$12))&amp;":AA"&amp;(ROW()-1)))),1,0))&lt;&gt;16),MIN(LOOKUP(,-1/($Z$12:Z1344=1),$C$12:C1344)+LOOKUP(,-1/($Z$12:Z1344=1),$H$12:H1344)-IF(AA1343="Да",0,SUM(INDIRECT("T"&amp;(MAX(("Да"=AA$12:AA1343)*ROW(AA$12:AA1343)+1,ROW($T$12))&amp;":T"&amp;(ROW()-1))))),Первоначальный[[#This Row],[Полученный платеж]]+Y1343),
AND(S1343=0,MAX((0&lt;&gt;N$12:N1343)*ROW(N$12:N1343),ROW($S$12))&gt;=MAX((1=Z$12:Z1343)*ROW(Z$12:Z1343),ROW($T$12))),MIN(LOOKUP(,-1/($Z$12:Z1344=1),$C$12:C1344)+LOOKUP(,-1/($Z$12:Z1344=1),$H$12:H1344)-IF(N1343&lt;&gt;0,0,SUM(INDIRECT("T"&amp;(MAX((0&lt;&gt;N$12:N1343)*ROW(N$12:N1343)+1,ROW($T$12))&amp;":T"&amp;(ROW()-1))))),Первоначальный[[#This Row],[Полученный платеж]]+Y1343),
AND(S1343=0,Первоначальный[[#This Row],[Дата платежа из графика]]=1),MIN(LOOKUP(,-1/($Z$12:Z1344=1),$C$12:C1344)+LOOKUP(,-1/($Z$12:Z1344=1),$H$12:H1344)-IF(Z1343=1,0,SUM(INDIRECT("T"&amp;(MAX((1=Z$12:Z1343)*ROW(Z$12:Z1343)+1,ROW($T$12))&amp;":T"&amp;(ROW()-1))))),Первоначальный[[#This Row],[Полученный платеж]]+Y1343),
AND(Z1343&gt;0,Первоначальный[[#This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платеж]]+Y1343),
AND(S1343&gt;0,MAX((0&lt;&gt;S$12:S1343)*ROW(S$12:S1343),ROW($S$12))&gt;=MAX((1=Z$12:Z1343)*ROW(Z$12:Z1343),ROW($T$12)),TYPE(VLOOKUP("Да",(INDIRECT("AA"&amp;(MAX((1=Z$12:Z1343)*ROW(Z$12:Z1343),ROW($T$12))&amp;":AA"&amp;(ROW()-1)))),1,0))=16),MIN(LOOKUP(,-1/($Z$12:Z1344=1),$C$12:C1344)+LOOKUP(,-1/($Z$12:Z1344=1),$H$12:H1344)-SUM(INDIRECT("T"&amp;(MAX((1=Z$12:Z1343)*ROW(Z$12:Z1343),ROW($T$12))&amp;":T"&amp;(ROW()-1)))),Первоначальный[[#This Row],[Полученный платеж]]+Y1343),
S1343&gt;0,MIN(LOOKUP(,-1/($Z$12:Z1344=1),$C$12:C1344)+LOOKUP(,-1/($Z$12:Z1344=1),$H$12:H1344)-IF(Z1343=1,0,SUM(INDIRECT("T"&amp;(MAX((1=Z$12:Z1343)*ROW(Z$12:Z1343)+1,ROW($T$12))&amp;":T"&amp;(ROW()-1))))),Первоначальный[[#This Row],[Полученный платеж]]+Y1343)
)
)
)</f>
        <v>0</v>
      </c>
      <c r="U134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платеж]]+Y1343-Первоначальный[[#This Row],[Полученный платёж по процентам]])</f>
        <v>0</v>
      </c>
      <c r="V1344" s="55">
        <f t="shared" ca="1" si="243"/>
        <v>0</v>
      </c>
      <c r="W1344" s="55" cm="1">
        <f t="array" aca="1" ref="W1344" ca="1">IF(Первоначальный[[#This Row],[Итого остаток на начало периода]]&lt;1,0,
_xlfn.IFS(
AND(TYPE(VLOOKUP(1,$Z$12:Z1344,1,0))=16,Первоначальный[[#This Row],[Досрочное погашение (да/"")]]=""),0,
AND(S1343=0,Первоначальный[[#This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платеж]]+Y1343-SUM(Первоначальный[[#This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комиссиям]]),VLOOKUP(LOOKUP(,-1/($Z$12:Z1344=1),$A$12:A1344),График[[Срок конец]:[Возврат основной суммы долга]],3,0)),
AND(S1343=0,Первоначальный[[#This Row],[Дата платежа из графика]]="",Первоначальный[[#This Row],[Досрочное погашение (да/"")]]&lt;&gt;"Да"),0,
AND(S1343=0,Первоначальный[[#This Row],[Досрочное погашение (да/"")]]=""),MIN(Первоначальный[[#This Row],[Полученный платеж]]+Y1343-SUM(Первоначальный[[#This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комиссиям]]),VLOOKUP(LOOKUP(,-1/($Z$12:Z1344=1),$A$12:A1344),График[[Срок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платеж]]+Y1343-SUM(Первоначальный[[#This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S1343&gt;0,MIN(Первоначальный[[#This Row],[Полученный платеж]]+Y1343-SUM(Первоначальный[[#This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комиссиям]]),SUM(INDIRECT("M"&amp;(MAX((1=S$12:S1343)*ROW(S$12:S1343),ROW($W$12))&amp;":M"&amp;(ROW()))))-SUM(INDIRECT("W"&amp;(MAX((1=S$12:S1343)*ROW(S$12:S1343),ROW($W$12))&amp;":W"&amp;(ROW()-1)))))
)
)</f>
        <v>0</v>
      </c>
      <c r="X1344" s="55">
        <f t="shared" ca="1" si="244"/>
        <v>0</v>
      </c>
      <c r="Y1344" s="101">
        <f t="shared" ca="1" si="251"/>
        <v>0</v>
      </c>
      <c r="Z1344" s="133" t="str">
        <f>IF(TYPE((VLOOKUP(Первоначальный[[#This Row],[Дата платежа]],График[Срок конец],1,0)))=16,"",1)</f>
        <v/>
      </c>
      <c r="AA1344" s="57"/>
      <c r="AB1344" s="134"/>
      <c r="AC134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4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96104.580000000264</v>
      </c>
      <c r="AE134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7448.7200000000066</v>
      </c>
      <c r="AF134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4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375571.53406557348</v>
      </c>
      <c r="AH1344" s="55"/>
      <c r="AI1344" s="55"/>
      <c r="AJ1344" s="55"/>
      <c r="AK1344" s="101">
        <f t="shared" ca="1" si="252"/>
        <v>628758.17406557372</v>
      </c>
      <c r="AL1344" s="129">
        <f t="array" ref="AL1344">MAX((УслРестрактов[Характеристика]="Дата реструктуризации")*(УслРестрактов[Значение]=Первоначальный!$A1344),0)</f>
        <v>0</v>
      </c>
    </row>
    <row r="1345" spans="1:38" x14ac:dyDescent="0.25">
      <c r="A1345" s="97">
        <f t="shared" si="245"/>
        <v>45476</v>
      </c>
      <c r="B1345" s="100">
        <f t="shared" ca="1" si="246"/>
        <v>149633.34</v>
      </c>
      <c r="C1345" s="55">
        <f t="shared" ref="C1345:D1408" ca="1" si="254">AD1344+AI1344</f>
        <v>96104.580000000264</v>
      </c>
      <c r="D1345" s="55">
        <f t="shared" ca="1" si="254"/>
        <v>7448.7200000000066</v>
      </c>
      <c r="E1345" s="55">
        <f t="shared" ca="1" si="247"/>
        <v>0</v>
      </c>
      <c r="F1345" s="55">
        <f t="shared" ca="1" si="248"/>
        <v>375571.53406557348</v>
      </c>
      <c r="G1345" s="101">
        <f t="shared" ca="1" si="249"/>
        <v>628758.17406557372</v>
      </c>
      <c r="H1345" s="100">
        <f ca="1">ROUND($B1345*VLOOKUP($A1345,$A$1:$B$10,2,1)/(365+IF(MOD(YEAR($A1345),4),0,1)*($A1345-$A1344)),2)-Первоначальный[[#This Row],[Проценты на просроченный платеж по ОД за период]]</f>
        <v>68.180000000000007</v>
      </c>
      <c r="I1345" s="55">
        <f t="shared" ca="1" si="250"/>
        <v>13.18</v>
      </c>
      <c r="J1345" s="55">
        <v>0</v>
      </c>
      <c r="K1345" s="55">
        <f t="shared" ca="1" si="253"/>
        <v>593.81850327868847</v>
      </c>
      <c r="L1345" s="55">
        <v>0</v>
      </c>
      <c r="M1345" s="113">
        <f>SUMIFS(График[Возврат основной суммы долга],График[Дата с учетом нерабочих дней],$A1345)</f>
        <v>0</v>
      </c>
      <c r="N1345" s="56">
        <f>SUMIFS(График[Возврат начисленных %],График[Дата с учетом нерабочих дней],$A1345)</f>
        <v>0</v>
      </c>
      <c r="O1345" s="101">
        <v>0</v>
      </c>
      <c r="P1345" s="100" cm="1">
        <f t="array" aca="1" ref="P1345" ca="1">MAX(IF(AA1344="Да",0,SUM(INDIRECT("M"&amp;(MAX(("Да"=AA$12:AA1344)*ROW(AA$12:AA1344)+1,ROW($P$12))&amp;":M"&amp;(ROW()))))-SUM(INDIRECT("W"&amp;(MAX(("Да"=AA$12:AA1344)*ROW(AA$12:AA1344)+1,ROW($P$12))&amp;":W"&amp;(ROW()))))),0)</f>
        <v>24232.889999999996</v>
      </c>
      <c r="Q1345" s="99">
        <f ca="1">MAX(SUM($N$13:N1345)-SUM($T$13:T1345),0)</f>
        <v>94530.810655737689</v>
      </c>
      <c r="R1345" s="99">
        <f ca="1">Первоначальный[[#This Row],[Просроченный платеж по ОД]]+Первоначальный[[#This Row],[Просроченный платеж по процентам]]</f>
        <v>118763.70065573769</v>
      </c>
      <c r="S1345" s="120">
        <f ca="1">IF(Первоначальный[[#This Row],[Просроченный платеж]]&lt;1,0,S1344+1)</f>
        <v>1241</v>
      </c>
      <c r="T1345" s="100" cm="1">
        <f t="array" aca="1" ref="T1345" ca="1">IF(Первоначальный[[#This Row],[Итого остаток на начало периода]]&lt;1,0,
IF(
AND(TYPE(VLOOKUP(1,$Z$12:Z1345,1,0))=16,Первоначальный[[#This Row],[Досрочное погашение (да/"")]]=""),0,
_xlfn.IFS(AND(S1344=0,Первоначальный[[#This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платеж]]&lt;&gt;0),MIN(LOOKUP(,-1/($Z$12:Z1345=1),$C$12:C1345)+LOOKUP(,-1/($Z$12:Z1345=1),$H$12:H1345),Первоначальный[[#This Row],[Полученный платеж]]+Y1344),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платеж]]+Y1344,SUM(Первоначальный[[#This Row],[Остаток процентов на начало периода]],Первоначальный[[#This Row],[Проценты за период]])),
AND(S1344=0,Первоначальный[[#This Row],[Дата платежа из графика]]=""),0,
AND(S1344=0,Первоначальный[[#This Row],[Дата платежа из графика]]=1,MAX((0&lt;&gt;S$12:S1344)*ROW(S$12:S1344),ROW($S$12))&gt;=MAX((1=Z$12:Z1344)*ROW(Z$12:Z1344),ROW($T$12)),TYPE(VLOOKUP("Да",(INDIRECT("AA"&amp;(MAX((1=Z$12:Z1344)*ROW(Z$12:Z1344),ROW($T$12))&amp;":AA"&amp;(ROW()-1)))),1,0))=16),MIN(LOOKUP(,-1/($Z$12:Z1345=1),$C$12:C1345)+LOOKUP(,-1/($Z$12:Z1345=1),$H$12:H1345),Первоначальный[[#This Row],[Полученный платеж]]+Y1344),
AND(S1344=0,TYPE(VLOOKUP("Да",(INDIRECT("AA"&amp;(MAX((1=Z$12:Z1344)*ROW(Z$12:Z1344),ROW($T$12))&amp;":AA"&amp;(ROW()-1)))),1,0))&lt;&gt;16),MIN(LOOKUP(,-1/($Z$12:Z1345=1),$C$12:C1345)+LOOKUP(,-1/($Z$12:Z1345=1),$H$12:H1345)-IF(AA1344="Да",0,SUM(INDIRECT("T"&amp;(MAX(("Да"=AA$12:AA1344)*ROW(AA$12:AA1344)+1,ROW($T$12))&amp;":T"&amp;(ROW()-1))))),Первоначальный[[#This Row],[Полученный платеж]]+Y1344),
AND(S1344=0,MAX((0&lt;&gt;N$12:N1344)*ROW(N$12:N1344),ROW($S$12))&gt;=MAX((1=Z$12:Z1344)*ROW(Z$12:Z1344),ROW($T$12))),MIN(LOOKUP(,-1/($Z$12:Z1345=1),$C$12:C1345)+LOOKUP(,-1/($Z$12:Z1345=1),$H$12:H1345)-IF(N1344&lt;&gt;0,0,SUM(INDIRECT("T"&amp;(MAX((0&lt;&gt;N$12:N1344)*ROW(N$12:N1344)+1,ROW($T$12))&amp;":T"&amp;(ROW()-1))))),Первоначальный[[#This Row],[Полученный платеж]]+Y1344),
AND(S1344=0,Первоначальный[[#This Row],[Дата платежа из графика]]=1),MIN(LOOKUP(,-1/($Z$12:Z1345=1),$C$12:C1345)+LOOKUP(,-1/($Z$12:Z1345=1),$H$12:H1345)-IF(Z1344=1,0,SUM(INDIRECT("T"&amp;(MAX((1=Z$12:Z1344)*ROW(Z$12:Z1344)+1,ROW($T$12))&amp;":T"&amp;(ROW()-1))))),Первоначальный[[#This Row],[Полученный платеж]]+Y1344),
AND(Z1344&gt;0,Первоначальный[[#This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платеж]]+Y1344),
AND(S1344&gt;0,MAX((0&lt;&gt;S$12:S1344)*ROW(S$12:S1344),ROW($S$12))&gt;=MAX((1=Z$12:Z1344)*ROW(Z$12:Z1344),ROW($T$12)),TYPE(VLOOKUP("Да",(INDIRECT("AA"&amp;(MAX((1=Z$12:Z1344)*ROW(Z$12:Z1344),ROW($T$12))&amp;":AA"&amp;(ROW()-1)))),1,0))=16),MIN(LOOKUP(,-1/($Z$12:Z1345=1),$C$12:C1345)+LOOKUP(,-1/($Z$12:Z1345=1),$H$12:H1345)-SUM(INDIRECT("T"&amp;(MAX((1=Z$12:Z1344)*ROW(Z$12:Z1344),ROW($T$12))&amp;":T"&amp;(ROW()-1)))),Первоначальный[[#This Row],[Полученный платеж]]+Y1344),
S1344&gt;0,MIN(LOOKUP(,-1/($Z$12:Z1345=1),$C$12:C1345)+LOOKUP(,-1/($Z$12:Z1345=1),$H$12:H1345)-IF(Z1344=1,0,SUM(INDIRECT("T"&amp;(MAX((1=Z$12:Z1344)*ROW(Z$12:Z1344)+1,ROW($T$12))&amp;":T"&amp;(ROW()-1))))),Первоначальный[[#This Row],[Полученный платеж]]+Y1344)
)
)
)</f>
        <v>0</v>
      </c>
      <c r="U134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платеж]]+Y1344-Первоначальный[[#This Row],[Полученный платёж по процентам]])</f>
        <v>0</v>
      </c>
      <c r="V1345" s="55">
        <f t="shared" ca="1" si="243"/>
        <v>0</v>
      </c>
      <c r="W1345" s="55" cm="1">
        <f t="array" aca="1" ref="W1345" ca="1">IF(Первоначальный[[#This Row],[Итого остаток на начало периода]]&lt;1,0,
_xlfn.IFS(
AND(TYPE(VLOOKUP(1,$Z$12:Z1345,1,0))=16,Первоначальный[[#This Row],[Досрочное погашение (да/"")]]=""),0,
AND(S1344=0,Первоначальный[[#This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платеж]]+Y1344-SUM(Первоначальный[[#This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комиссиям]]),VLOOKUP(LOOKUP(,-1/($Z$12:Z1345=1),$A$12:A1345),График[[Срок конец]:[Возврат основной суммы долга]],3,0)),
AND(S1344=0,Первоначальный[[#This Row],[Дата платежа из графика]]="",Первоначальный[[#This Row],[Досрочное погашение (да/"")]]&lt;&gt;"Да"),0,
AND(S1344=0,Первоначальный[[#This Row],[Досрочное погашение (да/"")]]=""),MIN(Первоначальный[[#This Row],[Полученный платеж]]+Y1344-SUM(Первоначальный[[#This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комиссиям]]),VLOOKUP(LOOKUP(,-1/($Z$12:Z1345=1),$A$12:A1345),График[[Срок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платеж]]+Y1344-SUM(Первоначальный[[#This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S1344&gt;0,MIN(Первоначальный[[#This Row],[Полученный платеж]]+Y1344-SUM(Первоначальный[[#This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комиссиям]]),SUM(INDIRECT("M"&amp;(MAX((1=S$12:S1344)*ROW(S$12:S1344),ROW($W$12))&amp;":M"&amp;(ROW()))))-SUM(INDIRECT("W"&amp;(MAX((1=S$12:S1344)*ROW(S$12:S1344),ROW($W$12))&amp;":W"&amp;(ROW()-1)))))
)
)</f>
        <v>0</v>
      </c>
      <c r="X1345" s="55">
        <f t="shared" ca="1" si="244"/>
        <v>0</v>
      </c>
      <c r="Y1345" s="101">
        <f t="shared" ca="1" si="251"/>
        <v>0</v>
      </c>
      <c r="Z1345" s="133" t="str">
        <f>IF(TYPE((VLOOKUP(Первоначальный[[#This Row],[Дата платежа]],График[Срок конец],1,0)))=16,"",1)</f>
        <v/>
      </c>
      <c r="AA1345" s="57"/>
      <c r="AB1345" s="134"/>
      <c r="AC134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4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96172.760000000257</v>
      </c>
      <c r="AE134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7461.9000000000069</v>
      </c>
      <c r="AF134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4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376165.35256885219</v>
      </c>
      <c r="AH1345" s="55"/>
      <c r="AI1345" s="55"/>
      <c r="AJ1345" s="55"/>
      <c r="AK1345" s="101">
        <f t="shared" ca="1" si="252"/>
        <v>629433.35256885248</v>
      </c>
      <c r="AL1345" s="129">
        <f t="array" ref="AL1345">MAX((УслРестрактов[Характеристика]="Дата реструктуризации")*(УслРестрактов[Значение]=Первоначальный!$A1345),0)</f>
        <v>0</v>
      </c>
    </row>
    <row r="1346" spans="1:38" x14ac:dyDescent="0.25">
      <c r="A1346" s="97">
        <f t="shared" si="245"/>
        <v>45477</v>
      </c>
      <c r="B1346" s="100">
        <f t="shared" ca="1" si="246"/>
        <v>149633.34</v>
      </c>
      <c r="C1346" s="55">
        <f t="shared" ca="1" si="254"/>
        <v>96172.760000000257</v>
      </c>
      <c r="D1346" s="55">
        <f t="shared" ca="1" si="254"/>
        <v>7461.9000000000069</v>
      </c>
      <c r="E1346" s="55">
        <f t="shared" ca="1" si="247"/>
        <v>0</v>
      </c>
      <c r="F1346" s="55">
        <f t="shared" ca="1" si="248"/>
        <v>376165.35256885219</v>
      </c>
      <c r="G1346" s="101">
        <f t="shared" ca="1" si="249"/>
        <v>629433.35256885248</v>
      </c>
      <c r="H1346" s="100">
        <f ca="1">ROUND($B1346*VLOOKUP($A1346,$A$1:$B$10,2,1)/(365+IF(MOD(YEAR($A1346),4),0,1)*($A1346-$A1345)),2)-Первоначальный[[#This Row],[Проценты на просроченный платеж по ОД за период]]</f>
        <v>68.180000000000007</v>
      </c>
      <c r="I1346" s="55">
        <f t="shared" ca="1" si="250"/>
        <v>13.18</v>
      </c>
      <c r="J1346" s="55">
        <v>0</v>
      </c>
      <c r="K1346" s="55">
        <f t="shared" ca="1" si="253"/>
        <v>593.81850327868847</v>
      </c>
      <c r="L1346" s="55">
        <v>0</v>
      </c>
      <c r="M1346" s="113">
        <f>SUMIFS(График[Возврат основной суммы долга],График[Дата с учетом нерабочих дней],$A1346)</f>
        <v>0</v>
      </c>
      <c r="N1346" s="56">
        <f>SUMIFS(График[Возврат начисленных %],График[Дата с учетом нерабочих дней],$A1346)</f>
        <v>0</v>
      </c>
      <c r="O1346" s="101">
        <v>0</v>
      </c>
      <c r="P1346" s="100" cm="1">
        <f t="array" aca="1" ref="P1346" ca="1">MAX(IF(AA1345="Да",0,SUM(INDIRECT("M"&amp;(MAX(("Да"=AA$12:AA1345)*ROW(AA$12:AA1345)+1,ROW($P$12))&amp;":M"&amp;(ROW()))))-SUM(INDIRECT("W"&amp;(MAX(("Да"=AA$12:AA1345)*ROW(AA$12:AA1345)+1,ROW($P$12))&amp;":W"&amp;(ROW()))))),0)</f>
        <v>24232.889999999996</v>
      </c>
      <c r="Q1346" s="99">
        <f ca="1">MAX(SUM($N$13:N1346)-SUM($T$13:T1346),0)</f>
        <v>94530.810655737689</v>
      </c>
      <c r="R1346" s="99">
        <f ca="1">Первоначальный[[#This Row],[Просроченный платеж по ОД]]+Первоначальный[[#This Row],[Просроченный платеж по процентам]]</f>
        <v>118763.70065573769</v>
      </c>
      <c r="S1346" s="120">
        <f ca="1">IF(Первоначальный[[#This Row],[Просроченный платеж]]&lt;1,0,S1345+1)</f>
        <v>1242</v>
      </c>
      <c r="T1346" s="100" cm="1">
        <f t="array" aca="1" ref="T1346" ca="1">IF(Первоначальный[[#This Row],[Итого остаток на начало периода]]&lt;1,0,
IF(
AND(TYPE(VLOOKUP(1,$Z$12:Z1346,1,0))=16,Первоначальный[[#This Row],[Досрочное погашение (да/"")]]=""),0,
_xlfn.IFS(AND(S1345=0,Первоначальный[[#This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платеж]]&lt;&gt;0),MIN(LOOKUP(,-1/($Z$12:Z1346=1),$C$12:C1346)+LOOKUP(,-1/($Z$12:Z1346=1),$H$12:H1346),Первоначальный[[#This Row],[Полученный платеж]]+Y1345),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платеж]]+Y1345,SUM(Первоначальный[[#This Row],[Остаток процентов на начало периода]],Первоначальный[[#This Row],[Проценты за период]])),
AND(S1345=0,Первоначальный[[#This Row],[Дата платежа из графика]]=""),0,
AND(S1345=0,Первоначальный[[#This Row],[Дата платежа из графика]]=1,MAX((0&lt;&gt;S$12:S1345)*ROW(S$12:S1345),ROW($S$12))&gt;=MAX((1=Z$12:Z1345)*ROW(Z$12:Z1345),ROW($T$12)),TYPE(VLOOKUP("Да",(INDIRECT("AA"&amp;(MAX((1=Z$12:Z1345)*ROW(Z$12:Z1345),ROW($T$12))&amp;":AA"&amp;(ROW()-1)))),1,0))=16),MIN(LOOKUP(,-1/($Z$12:Z1346=1),$C$12:C1346)+LOOKUP(,-1/($Z$12:Z1346=1),$H$12:H1346),Первоначальный[[#This Row],[Полученный платеж]]+Y1345),
AND(S1345=0,TYPE(VLOOKUP("Да",(INDIRECT("AA"&amp;(MAX((1=Z$12:Z1345)*ROW(Z$12:Z1345),ROW($T$12))&amp;":AA"&amp;(ROW()-1)))),1,0))&lt;&gt;16),MIN(LOOKUP(,-1/($Z$12:Z1346=1),$C$12:C1346)+LOOKUP(,-1/($Z$12:Z1346=1),$H$12:H1346)-IF(AA1345="Да",0,SUM(INDIRECT("T"&amp;(MAX(("Да"=AA$12:AA1345)*ROW(AA$12:AA1345)+1,ROW($T$12))&amp;":T"&amp;(ROW()-1))))),Первоначальный[[#This Row],[Полученный платеж]]+Y1345),
AND(S1345=0,MAX((0&lt;&gt;N$12:N1345)*ROW(N$12:N1345),ROW($S$12))&gt;=MAX((1=Z$12:Z1345)*ROW(Z$12:Z1345),ROW($T$12))),MIN(LOOKUP(,-1/($Z$12:Z1346=1),$C$12:C1346)+LOOKUP(,-1/($Z$12:Z1346=1),$H$12:H1346)-IF(N1345&lt;&gt;0,0,SUM(INDIRECT("T"&amp;(MAX((0&lt;&gt;N$12:N1345)*ROW(N$12:N1345)+1,ROW($T$12))&amp;":T"&amp;(ROW()-1))))),Первоначальный[[#This Row],[Полученный платеж]]+Y1345),
AND(S1345=0,Первоначальный[[#This Row],[Дата платежа из графика]]=1),MIN(LOOKUP(,-1/($Z$12:Z1346=1),$C$12:C1346)+LOOKUP(,-1/($Z$12:Z1346=1),$H$12:H1346)-IF(Z1345=1,0,SUM(INDIRECT("T"&amp;(MAX((1=Z$12:Z1345)*ROW(Z$12:Z1345)+1,ROW($T$12))&amp;":T"&amp;(ROW()-1))))),Первоначальный[[#This Row],[Полученный платеж]]+Y1345),
AND(Z1345&gt;0,Первоначальный[[#This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платеж]]+Y1345),
AND(S1345&gt;0,MAX((0&lt;&gt;S$12:S1345)*ROW(S$12:S1345),ROW($S$12))&gt;=MAX((1=Z$12:Z1345)*ROW(Z$12:Z1345),ROW($T$12)),TYPE(VLOOKUP("Да",(INDIRECT("AA"&amp;(MAX((1=Z$12:Z1345)*ROW(Z$12:Z1345),ROW($T$12))&amp;":AA"&amp;(ROW()-1)))),1,0))=16),MIN(LOOKUP(,-1/($Z$12:Z1346=1),$C$12:C1346)+LOOKUP(,-1/($Z$12:Z1346=1),$H$12:H1346)-SUM(INDIRECT("T"&amp;(MAX((1=Z$12:Z1345)*ROW(Z$12:Z1345),ROW($T$12))&amp;":T"&amp;(ROW()-1)))),Первоначальный[[#This Row],[Полученный платеж]]+Y1345),
S1345&gt;0,MIN(LOOKUP(,-1/($Z$12:Z1346=1),$C$12:C1346)+LOOKUP(,-1/($Z$12:Z1346=1),$H$12:H1346)-IF(Z1345=1,0,SUM(INDIRECT("T"&amp;(MAX((1=Z$12:Z1345)*ROW(Z$12:Z1345)+1,ROW($T$12))&amp;":T"&amp;(ROW()-1))))),Первоначальный[[#This Row],[Полученный платеж]]+Y1345)
)
)
)</f>
        <v>0</v>
      </c>
      <c r="U134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платеж]]+Y1345-Первоначальный[[#This Row],[Полученный платёж по процентам]])</f>
        <v>0</v>
      </c>
      <c r="V1346" s="55">
        <f t="shared" ca="1" si="243"/>
        <v>0</v>
      </c>
      <c r="W1346" s="55" cm="1">
        <f t="array" aca="1" ref="W1346" ca="1">IF(Первоначальный[[#This Row],[Итого остаток на начало периода]]&lt;1,0,
_xlfn.IFS(
AND(TYPE(VLOOKUP(1,$Z$12:Z1346,1,0))=16,Первоначальный[[#This Row],[Досрочное погашение (да/"")]]=""),0,
AND(S1345=0,Первоначальный[[#This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платеж]]+Y1345-SUM(Первоначальный[[#This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комиссиям]]),VLOOKUP(LOOKUP(,-1/($Z$12:Z1346=1),$A$12:A1346),График[[Срок конец]:[Возврат основной суммы долга]],3,0)),
AND(S1345=0,Первоначальный[[#This Row],[Дата платежа из графика]]="",Первоначальный[[#This Row],[Досрочное погашение (да/"")]]&lt;&gt;"Да"),0,
AND(S1345=0,Первоначальный[[#This Row],[Досрочное погашение (да/"")]]=""),MIN(Первоначальный[[#This Row],[Полученный платеж]]+Y1345-SUM(Первоначальный[[#This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комиссиям]]),VLOOKUP(LOOKUP(,-1/($Z$12:Z1346=1),$A$12:A1346),График[[Срок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платеж]]+Y1345-SUM(Первоначальный[[#This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S1345&gt;0,MIN(Первоначальный[[#This Row],[Полученный платеж]]+Y1345-SUM(Первоначальный[[#This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комиссиям]]),SUM(INDIRECT("M"&amp;(MAX((1=S$12:S1345)*ROW(S$12:S1345),ROW($W$12))&amp;":M"&amp;(ROW()))))-SUM(INDIRECT("W"&amp;(MAX((1=S$12:S1345)*ROW(S$12:S1345),ROW($W$12))&amp;":W"&amp;(ROW()-1)))))
)
)</f>
        <v>0</v>
      </c>
      <c r="X1346" s="55">
        <f t="shared" ca="1" si="244"/>
        <v>0</v>
      </c>
      <c r="Y1346" s="101">
        <f t="shared" ca="1" si="251"/>
        <v>0</v>
      </c>
      <c r="Z1346" s="133" t="str">
        <f>IF(TYPE((VLOOKUP(Первоначальный[[#This Row],[Дата платежа]],График[Срок конец],1,0)))=16,"",1)</f>
        <v/>
      </c>
      <c r="AA1346" s="57"/>
      <c r="AB1346" s="134"/>
      <c r="AC134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4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96240.94000000025</v>
      </c>
      <c r="AE134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7475.0800000000072</v>
      </c>
      <c r="AF134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4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376759.17107213091</v>
      </c>
      <c r="AH1346" s="55"/>
      <c r="AI1346" s="55"/>
      <c r="AJ1346" s="55"/>
      <c r="AK1346" s="101">
        <f t="shared" ca="1" si="252"/>
        <v>630108.53107213113</v>
      </c>
      <c r="AL1346" s="129">
        <f t="array" ref="AL1346">MAX((УслРестрактов[Характеристика]="Дата реструктуризации")*(УслРестрактов[Значение]=Первоначальный!$A1346),0)</f>
        <v>0</v>
      </c>
    </row>
    <row r="1347" spans="1:38" x14ac:dyDescent="0.25">
      <c r="A1347" s="97">
        <f t="shared" si="245"/>
        <v>45478</v>
      </c>
      <c r="B1347" s="100">
        <f t="shared" ca="1" si="246"/>
        <v>149633.34</v>
      </c>
      <c r="C1347" s="55">
        <f t="shared" ca="1" si="254"/>
        <v>96240.94000000025</v>
      </c>
      <c r="D1347" s="55">
        <f t="shared" ca="1" si="254"/>
        <v>7475.0800000000072</v>
      </c>
      <c r="E1347" s="55">
        <f t="shared" ca="1" si="247"/>
        <v>0</v>
      </c>
      <c r="F1347" s="55">
        <f t="shared" ca="1" si="248"/>
        <v>376759.17107213091</v>
      </c>
      <c r="G1347" s="101">
        <f t="shared" ca="1" si="249"/>
        <v>630108.53107213113</v>
      </c>
      <c r="H1347" s="100">
        <f ca="1">ROUND($B1347*VLOOKUP($A1347,$A$1:$B$10,2,1)/(365+IF(MOD(YEAR($A1347),4),0,1)*($A1347-$A1346)),2)-Первоначальный[[#This Row],[Проценты на просроченный платеж по ОД за период]]</f>
        <v>68.180000000000007</v>
      </c>
      <c r="I1347" s="55">
        <f t="shared" ca="1" si="250"/>
        <v>13.18</v>
      </c>
      <c r="J1347" s="55">
        <v>0</v>
      </c>
      <c r="K1347" s="55">
        <f t="shared" ca="1" si="253"/>
        <v>593.81850327868847</v>
      </c>
      <c r="L1347" s="55">
        <v>0</v>
      </c>
      <c r="M1347" s="113">
        <f>SUMIFS(График[Возврат основной суммы долга],График[Дата с учетом нерабочих дней],$A1347)</f>
        <v>0</v>
      </c>
      <c r="N1347" s="56">
        <f>SUMIFS(График[Возврат начисленных %],График[Дата с учетом нерабочих дней],$A1347)</f>
        <v>0</v>
      </c>
      <c r="O1347" s="101">
        <v>0</v>
      </c>
      <c r="P1347" s="100" cm="1">
        <f t="array" aca="1" ref="P1347" ca="1">MAX(IF(AA1346="Да",0,SUM(INDIRECT("M"&amp;(MAX(("Да"=AA$12:AA1346)*ROW(AA$12:AA1346)+1,ROW($P$12))&amp;":M"&amp;(ROW()))))-SUM(INDIRECT("W"&amp;(MAX(("Да"=AA$12:AA1346)*ROW(AA$12:AA1346)+1,ROW($P$12))&amp;":W"&amp;(ROW()))))),0)</f>
        <v>24232.889999999996</v>
      </c>
      <c r="Q1347" s="99">
        <f ca="1">MAX(SUM($N$13:N1347)-SUM($T$13:T1347),0)</f>
        <v>94530.810655737689</v>
      </c>
      <c r="R1347" s="99">
        <f ca="1">Первоначальный[[#This Row],[Просроченный платеж по ОД]]+Первоначальный[[#This Row],[Просроченный платеж по процентам]]</f>
        <v>118763.70065573769</v>
      </c>
      <c r="S1347" s="120">
        <f ca="1">IF(Первоначальный[[#This Row],[Просроченный платеж]]&lt;1,0,S1346+1)</f>
        <v>1243</v>
      </c>
      <c r="T1347" s="100" cm="1">
        <f t="array" aca="1" ref="T1347" ca="1">IF(Первоначальный[[#This Row],[Итого остаток на начало периода]]&lt;1,0,
IF(
AND(TYPE(VLOOKUP(1,$Z$12:Z1347,1,0))=16,Первоначальный[[#This Row],[Досрочное погашение (да/"")]]=""),0,
_xlfn.IFS(AND(S1346=0,Первоначальный[[#This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платеж]]&lt;&gt;0),MIN(LOOKUP(,-1/($Z$12:Z1347=1),$C$12:C1347)+LOOKUP(,-1/($Z$12:Z1347=1),$H$12:H1347),Первоначальный[[#This Row],[Полученный платеж]]+Y1346),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платеж]]+Y1346,SUM(Первоначальный[[#This Row],[Остаток процентов на начало периода]],Первоначальный[[#This Row],[Проценты за период]])),
AND(S1346=0,Первоначальный[[#This Row],[Дата платежа из графика]]=""),0,
AND(S1346=0,Первоначальный[[#This Row],[Дата платежа из графика]]=1,MAX((0&lt;&gt;S$12:S1346)*ROW(S$12:S1346),ROW($S$12))&gt;=MAX((1=Z$12:Z1346)*ROW(Z$12:Z1346),ROW($T$12)),TYPE(VLOOKUP("Да",(INDIRECT("AA"&amp;(MAX((1=Z$12:Z1346)*ROW(Z$12:Z1346),ROW($T$12))&amp;":AA"&amp;(ROW()-1)))),1,0))=16),MIN(LOOKUP(,-1/($Z$12:Z1347=1),$C$12:C1347)+LOOKUP(,-1/($Z$12:Z1347=1),$H$12:H1347),Первоначальный[[#This Row],[Полученный платеж]]+Y1346),
AND(S1346=0,TYPE(VLOOKUP("Да",(INDIRECT("AA"&amp;(MAX((1=Z$12:Z1346)*ROW(Z$12:Z1346),ROW($T$12))&amp;":AA"&amp;(ROW()-1)))),1,0))&lt;&gt;16),MIN(LOOKUP(,-1/($Z$12:Z1347=1),$C$12:C1347)+LOOKUP(,-1/($Z$12:Z1347=1),$H$12:H1347)-IF(AA1346="Да",0,SUM(INDIRECT("T"&amp;(MAX(("Да"=AA$12:AA1346)*ROW(AA$12:AA1346)+1,ROW($T$12))&amp;":T"&amp;(ROW()-1))))),Первоначальный[[#This Row],[Полученный платеж]]+Y1346),
AND(S1346=0,MAX((0&lt;&gt;N$12:N1346)*ROW(N$12:N1346),ROW($S$12))&gt;=MAX((1=Z$12:Z1346)*ROW(Z$12:Z1346),ROW($T$12))),MIN(LOOKUP(,-1/($Z$12:Z1347=1),$C$12:C1347)+LOOKUP(,-1/($Z$12:Z1347=1),$H$12:H1347)-IF(N1346&lt;&gt;0,0,SUM(INDIRECT("T"&amp;(MAX((0&lt;&gt;N$12:N1346)*ROW(N$12:N1346)+1,ROW($T$12))&amp;":T"&amp;(ROW()-1))))),Первоначальный[[#This Row],[Полученный платеж]]+Y1346),
AND(S1346=0,Первоначальный[[#This Row],[Дата платежа из графика]]=1),MIN(LOOKUP(,-1/($Z$12:Z1347=1),$C$12:C1347)+LOOKUP(,-1/($Z$12:Z1347=1),$H$12:H1347)-IF(Z1346=1,0,SUM(INDIRECT("T"&amp;(MAX((1=Z$12:Z1346)*ROW(Z$12:Z1346)+1,ROW($T$12))&amp;":T"&amp;(ROW()-1))))),Первоначальный[[#This Row],[Полученный платеж]]+Y1346),
AND(Z1346&gt;0,Первоначальный[[#This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платеж]]+Y1346),
AND(S1346&gt;0,MAX((0&lt;&gt;S$12:S1346)*ROW(S$12:S1346),ROW($S$12))&gt;=MAX((1=Z$12:Z1346)*ROW(Z$12:Z1346),ROW($T$12)),TYPE(VLOOKUP("Да",(INDIRECT("AA"&amp;(MAX((1=Z$12:Z1346)*ROW(Z$12:Z1346),ROW($T$12))&amp;":AA"&amp;(ROW()-1)))),1,0))=16),MIN(LOOKUP(,-1/($Z$12:Z1347=1),$C$12:C1347)+LOOKUP(,-1/($Z$12:Z1347=1),$H$12:H1347)-SUM(INDIRECT("T"&amp;(MAX((1=Z$12:Z1346)*ROW(Z$12:Z1346),ROW($T$12))&amp;":T"&amp;(ROW()-1)))),Первоначальный[[#This Row],[Полученный платеж]]+Y1346),
S1346&gt;0,MIN(LOOKUP(,-1/($Z$12:Z1347=1),$C$12:C1347)+LOOKUP(,-1/($Z$12:Z1347=1),$H$12:H1347)-IF(Z1346=1,0,SUM(INDIRECT("T"&amp;(MAX((1=Z$12:Z1346)*ROW(Z$12:Z1346)+1,ROW($T$12))&amp;":T"&amp;(ROW()-1))))),Первоначальный[[#This Row],[Полученный платеж]]+Y1346)
)
)
)</f>
        <v>0</v>
      </c>
      <c r="U134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платеж]]+Y1346-Первоначальный[[#This Row],[Полученный платёж по процентам]])</f>
        <v>0</v>
      </c>
      <c r="V1347" s="55">
        <f t="shared" ca="1" si="243"/>
        <v>0</v>
      </c>
      <c r="W1347" s="55" cm="1">
        <f t="array" aca="1" ref="W1347" ca="1">IF(Первоначальный[[#This Row],[Итого остаток на начало периода]]&lt;1,0,
_xlfn.IFS(
AND(TYPE(VLOOKUP(1,$Z$12:Z1347,1,0))=16,Первоначальный[[#This Row],[Досрочное погашение (да/"")]]=""),0,
AND(S1346=0,Первоначальный[[#This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платеж]]+Y1346-SUM(Первоначальный[[#This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комиссиям]]),VLOOKUP(LOOKUP(,-1/($Z$12:Z1347=1),$A$12:A1347),График[[Срок конец]:[Возврат основной суммы долга]],3,0)),
AND(S1346=0,Первоначальный[[#This Row],[Дата платежа из графика]]="",Первоначальный[[#This Row],[Досрочное погашение (да/"")]]&lt;&gt;"Да"),0,
AND(S1346=0,Первоначальный[[#This Row],[Досрочное погашение (да/"")]]=""),MIN(Первоначальный[[#This Row],[Полученный платеж]]+Y1346-SUM(Первоначальный[[#This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комиссиям]]),VLOOKUP(LOOKUP(,-1/($Z$12:Z1347=1),$A$12:A1347),График[[Срок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платеж]]+Y1346-SUM(Первоначальный[[#This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S1346&gt;0,MIN(Первоначальный[[#This Row],[Полученный платеж]]+Y1346-SUM(Первоначальный[[#This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комиссиям]]),SUM(INDIRECT("M"&amp;(MAX((1=S$12:S1346)*ROW(S$12:S1346),ROW($W$12))&amp;":M"&amp;(ROW()))))-SUM(INDIRECT("W"&amp;(MAX((1=S$12:S1346)*ROW(S$12:S1346),ROW($W$12))&amp;":W"&amp;(ROW()-1)))))
)
)</f>
        <v>0</v>
      </c>
      <c r="X1347" s="55">
        <f t="shared" ca="1" si="244"/>
        <v>0</v>
      </c>
      <c r="Y1347" s="101">
        <f t="shared" ca="1" si="251"/>
        <v>0</v>
      </c>
      <c r="Z1347" s="133" t="str">
        <f>IF(TYPE((VLOOKUP(Первоначальный[[#This Row],[Дата платежа]],График[Срок конец],1,0)))=16,"",1)</f>
        <v/>
      </c>
      <c r="AA1347" s="57"/>
      <c r="AB1347" s="134"/>
      <c r="AC134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4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96309.120000000243</v>
      </c>
      <c r="AE134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7488.2600000000075</v>
      </c>
      <c r="AF134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4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377352.98957540962</v>
      </c>
      <c r="AH1347" s="55"/>
      <c r="AI1347" s="55"/>
      <c r="AJ1347" s="55"/>
      <c r="AK1347" s="101">
        <f t="shared" ca="1" si="252"/>
        <v>630783.70957540988</v>
      </c>
      <c r="AL1347" s="129">
        <f t="array" ref="AL1347">MAX((УслРестрактов[Характеристика]="Дата реструктуризации")*(УслРестрактов[Значение]=Первоначальный!$A1347),0)</f>
        <v>0</v>
      </c>
    </row>
    <row r="1348" spans="1:38" x14ac:dyDescent="0.25">
      <c r="A1348" s="97">
        <f t="shared" si="245"/>
        <v>45479</v>
      </c>
      <c r="B1348" s="100">
        <f t="shared" ca="1" si="246"/>
        <v>149633.34</v>
      </c>
      <c r="C1348" s="55">
        <f t="shared" ca="1" si="254"/>
        <v>96309.120000000243</v>
      </c>
      <c r="D1348" s="55">
        <f t="shared" ca="1" si="254"/>
        <v>7488.2600000000075</v>
      </c>
      <c r="E1348" s="55">
        <f t="shared" ca="1" si="247"/>
        <v>0</v>
      </c>
      <c r="F1348" s="55">
        <f t="shared" ca="1" si="248"/>
        <v>377352.98957540962</v>
      </c>
      <c r="G1348" s="101">
        <f t="shared" ca="1" si="249"/>
        <v>630783.70957540988</v>
      </c>
      <c r="H1348" s="100">
        <f ca="1">ROUND($B1348*VLOOKUP($A1348,$A$1:$B$10,2,1)/(365+IF(MOD(YEAR($A1348),4),0,1)*($A1348-$A1347)),2)-Первоначальный[[#This Row],[Проценты на просроченный платеж по ОД за период]]</f>
        <v>68.180000000000007</v>
      </c>
      <c r="I1348" s="55">
        <f t="shared" ca="1" si="250"/>
        <v>13.18</v>
      </c>
      <c r="J1348" s="55">
        <v>0</v>
      </c>
      <c r="K1348" s="55">
        <f t="shared" ca="1" si="253"/>
        <v>593.81850327868847</v>
      </c>
      <c r="L1348" s="55">
        <v>0</v>
      </c>
      <c r="M1348" s="113">
        <f>SUMIFS(График[Возврат основной суммы долга],График[Дата с учетом нерабочих дней],$A1348)</f>
        <v>0</v>
      </c>
      <c r="N1348" s="56">
        <f>SUMIFS(График[Возврат начисленных %],График[Дата с учетом нерабочих дней],$A1348)</f>
        <v>0</v>
      </c>
      <c r="O1348" s="101">
        <v>0</v>
      </c>
      <c r="P1348" s="100" cm="1">
        <f t="array" aca="1" ref="P1348" ca="1">MAX(IF(AA1347="Да",0,SUM(INDIRECT("M"&amp;(MAX(("Да"=AA$12:AA1347)*ROW(AA$12:AA1347)+1,ROW($P$12))&amp;":M"&amp;(ROW()))))-SUM(INDIRECT("W"&amp;(MAX(("Да"=AA$12:AA1347)*ROW(AA$12:AA1347)+1,ROW($P$12))&amp;":W"&amp;(ROW()))))),0)</f>
        <v>24232.889999999996</v>
      </c>
      <c r="Q1348" s="99">
        <f ca="1">MAX(SUM($N$13:N1348)-SUM($T$13:T1348),0)</f>
        <v>94530.810655737689</v>
      </c>
      <c r="R1348" s="99">
        <f ca="1">Первоначальный[[#This Row],[Просроченный платеж по ОД]]+Первоначальный[[#This Row],[Просроченный платеж по процентам]]</f>
        <v>118763.70065573769</v>
      </c>
      <c r="S1348" s="120">
        <f ca="1">IF(Первоначальный[[#This Row],[Просроченный платеж]]&lt;1,0,S1347+1)</f>
        <v>1244</v>
      </c>
      <c r="T1348" s="100" cm="1">
        <f t="array" aca="1" ref="T1348" ca="1">IF(Первоначальный[[#This Row],[Итого остаток на начало периода]]&lt;1,0,
IF(
AND(TYPE(VLOOKUP(1,$Z$12:Z1348,1,0))=16,Первоначальный[[#This Row],[Досрочное погашение (да/"")]]=""),0,
_xlfn.IFS(AND(S1347=0,Первоначальный[[#This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платеж]]&lt;&gt;0),MIN(LOOKUP(,-1/($Z$12:Z1348=1),$C$12:C1348)+LOOKUP(,-1/($Z$12:Z1348=1),$H$12:H1348),Первоначальный[[#This Row],[Полученный платеж]]+Y1347),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платеж]]+Y1347,SUM(Первоначальный[[#This Row],[Остаток процентов на начало периода]],Первоначальный[[#This Row],[Проценты за период]])),
AND(S1347=0,Первоначальный[[#This Row],[Дата платежа из графика]]=""),0,
AND(S1347=0,Первоначальный[[#This Row],[Дата платежа из графика]]=1,MAX((0&lt;&gt;S$12:S1347)*ROW(S$12:S1347),ROW($S$12))&gt;=MAX((1=Z$12:Z1347)*ROW(Z$12:Z1347),ROW($T$12)),TYPE(VLOOKUP("Да",(INDIRECT("AA"&amp;(MAX((1=Z$12:Z1347)*ROW(Z$12:Z1347),ROW($T$12))&amp;":AA"&amp;(ROW()-1)))),1,0))=16),MIN(LOOKUP(,-1/($Z$12:Z1348=1),$C$12:C1348)+LOOKUP(,-1/($Z$12:Z1348=1),$H$12:H1348),Первоначальный[[#This Row],[Полученный платеж]]+Y1347),
AND(S1347=0,TYPE(VLOOKUP("Да",(INDIRECT("AA"&amp;(MAX((1=Z$12:Z1347)*ROW(Z$12:Z1347),ROW($T$12))&amp;":AA"&amp;(ROW()-1)))),1,0))&lt;&gt;16),MIN(LOOKUP(,-1/($Z$12:Z1348=1),$C$12:C1348)+LOOKUP(,-1/($Z$12:Z1348=1),$H$12:H1348)-IF(AA1347="Да",0,SUM(INDIRECT("T"&amp;(MAX(("Да"=AA$12:AA1347)*ROW(AA$12:AA1347)+1,ROW($T$12))&amp;":T"&amp;(ROW()-1))))),Первоначальный[[#This Row],[Полученный платеж]]+Y1347),
AND(S1347=0,MAX((0&lt;&gt;N$12:N1347)*ROW(N$12:N1347),ROW($S$12))&gt;=MAX((1=Z$12:Z1347)*ROW(Z$12:Z1347),ROW($T$12))),MIN(LOOKUP(,-1/($Z$12:Z1348=1),$C$12:C1348)+LOOKUP(,-1/($Z$12:Z1348=1),$H$12:H1348)-IF(N1347&lt;&gt;0,0,SUM(INDIRECT("T"&amp;(MAX((0&lt;&gt;N$12:N1347)*ROW(N$12:N1347)+1,ROW($T$12))&amp;":T"&amp;(ROW()-1))))),Первоначальный[[#This Row],[Полученный платеж]]+Y1347),
AND(S1347=0,Первоначальный[[#This Row],[Дата платежа из графика]]=1),MIN(LOOKUP(,-1/($Z$12:Z1348=1),$C$12:C1348)+LOOKUP(,-1/($Z$12:Z1348=1),$H$12:H1348)-IF(Z1347=1,0,SUM(INDIRECT("T"&amp;(MAX((1=Z$12:Z1347)*ROW(Z$12:Z1347)+1,ROW($T$12))&amp;":T"&amp;(ROW()-1))))),Первоначальный[[#This Row],[Полученный платеж]]+Y1347),
AND(Z1347&gt;0,Первоначальный[[#This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платеж]]+Y1347),
AND(S1347&gt;0,MAX((0&lt;&gt;S$12:S1347)*ROW(S$12:S1347),ROW($S$12))&gt;=MAX((1=Z$12:Z1347)*ROW(Z$12:Z1347),ROW($T$12)),TYPE(VLOOKUP("Да",(INDIRECT("AA"&amp;(MAX((1=Z$12:Z1347)*ROW(Z$12:Z1347),ROW($T$12))&amp;":AA"&amp;(ROW()-1)))),1,0))=16),MIN(LOOKUP(,-1/($Z$12:Z1348=1),$C$12:C1348)+LOOKUP(,-1/($Z$12:Z1348=1),$H$12:H1348)-SUM(INDIRECT("T"&amp;(MAX((1=Z$12:Z1347)*ROW(Z$12:Z1347),ROW($T$12))&amp;":T"&amp;(ROW()-1)))),Первоначальный[[#This Row],[Полученный платеж]]+Y1347),
S1347&gt;0,MIN(LOOKUP(,-1/($Z$12:Z1348=1),$C$12:C1348)+LOOKUP(,-1/($Z$12:Z1348=1),$H$12:H1348)-IF(Z1347=1,0,SUM(INDIRECT("T"&amp;(MAX((1=Z$12:Z1347)*ROW(Z$12:Z1347)+1,ROW($T$12))&amp;":T"&amp;(ROW()-1))))),Первоначальный[[#This Row],[Полученный платеж]]+Y1347)
)
)
)</f>
        <v>0</v>
      </c>
      <c r="U134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платеж]]+Y1347-Первоначальный[[#This Row],[Полученный платёж по процентам]])</f>
        <v>0</v>
      </c>
      <c r="V1348" s="55">
        <f t="shared" ca="1" si="243"/>
        <v>0</v>
      </c>
      <c r="W1348" s="55" cm="1">
        <f t="array" aca="1" ref="W1348" ca="1">IF(Первоначальный[[#This Row],[Итого остаток на начало периода]]&lt;1,0,
_xlfn.IFS(
AND(TYPE(VLOOKUP(1,$Z$12:Z1348,1,0))=16,Первоначальный[[#This Row],[Досрочное погашение (да/"")]]=""),0,
AND(S1347=0,Первоначальный[[#This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платеж]]+Y1347-SUM(Первоначальный[[#This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комиссиям]]),VLOOKUP(LOOKUP(,-1/($Z$12:Z1348=1),$A$12:A1348),График[[Срок конец]:[Возврат основной суммы долга]],3,0)),
AND(S1347=0,Первоначальный[[#This Row],[Дата платежа из графика]]="",Первоначальный[[#This Row],[Досрочное погашение (да/"")]]&lt;&gt;"Да"),0,
AND(S1347=0,Первоначальный[[#This Row],[Досрочное погашение (да/"")]]=""),MIN(Первоначальный[[#This Row],[Полученный платеж]]+Y1347-SUM(Первоначальный[[#This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комиссиям]]),VLOOKUP(LOOKUP(,-1/($Z$12:Z1348=1),$A$12:A1348),График[[Срок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платеж]]+Y1347-SUM(Первоначальный[[#This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S1347&gt;0,MIN(Первоначальный[[#This Row],[Полученный платеж]]+Y1347-SUM(Первоначальный[[#This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комиссиям]]),SUM(INDIRECT("M"&amp;(MAX((1=S$12:S1347)*ROW(S$12:S1347),ROW($W$12))&amp;":M"&amp;(ROW()))))-SUM(INDIRECT("W"&amp;(MAX((1=S$12:S1347)*ROW(S$12:S1347),ROW($W$12))&amp;":W"&amp;(ROW()-1)))))
)
)</f>
        <v>0</v>
      </c>
      <c r="X1348" s="55">
        <f t="shared" ca="1" si="244"/>
        <v>0</v>
      </c>
      <c r="Y1348" s="101">
        <f t="shared" ca="1" si="251"/>
        <v>0</v>
      </c>
      <c r="Z1348" s="133" t="str">
        <f>IF(TYPE((VLOOKUP(Первоначальный[[#This Row],[Дата платежа]],График[Срок конец],1,0)))=16,"",1)</f>
        <v/>
      </c>
      <c r="AA1348" s="57"/>
      <c r="AB1348" s="134"/>
      <c r="AC134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4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96377.300000000236</v>
      </c>
      <c r="AE134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7501.4400000000078</v>
      </c>
      <c r="AF134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4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377946.80807868834</v>
      </c>
      <c r="AH1348" s="55"/>
      <c r="AI1348" s="55"/>
      <c r="AJ1348" s="55"/>
      <c r="AK1348" s="101">
        <f t="shared" ca="1" si="252"/>
        <v>631458.88807868864</v>
      </c>
      <c r="AL1348" s="129">
        <f t="array" ref="AL1348">MAX((УслРестрактов[Характеристика]="Дата реструктуризации")*(УслРестрактов[Значение]=Первоначальный!$A1348),0)</f>
        <v>0</v>
      </c>
    </row>
    <row r="1349" spans="1:38" x14ac:dyDescent="0.25">
      <c r="A1349" s="97">
        <f t="shared" si="245"/>
        <v>45480</v>
      </c>
      <c r="B1349" s="100">
        <f t="shared" ca="1" si="246"/>
        <v>149633.34</v>
      </c>
      <c r="C1349" s="55">
        <f t="shared" ca="1" si="254"/>
        <v>96377.300000000236</v>
      </c>
      <c r="D1349" s="55">
        <f t="shared" ca="1" si="254"/>
        <v>7501.4400000000078</v>
      </c>
      <c r="E1349" s="55">
        <f t="shared" ca="1" si="247"/>
        <v>0</v>
      </c>
      <c r="F1349" s="55">
        <f t="shared" ca="1" si="248"/>
        <v>377946.80807868834</v>
      </c>
      <c r="G1349" s="101">
        <f t="shared" ca="1" si="249"/>
        <v>631458.88807868864</v>
      </c>
      <c r="H1349" s="100">
        <f ca="1">ROUND($B1349*VLOOKUP($A1349,$A$1:$B$10,2,1)/(365+IF(MOD(YEAR($A1349),4),0,1)*($A1349-$A1348)),2)-Первоначальный[[#This Row],[Проценты на просроченный платеж по ОД за период]]</f>
        <v>68.180000000000007</v>
      </c>
      <c r="I1349" s="55">
        <f t="shared" ca="1" si="250"/>
        <v>13.18</v>
      </c>
      <c r="J1349" s="55">
        <v>0</v>
      </c>
      <c r="K1349" s="55">
        <f t="shared" ca="1" si="253"/>
        <v>593.81850327868847</v>
      </c>
      <c r="L1349" s="55">
        <v>0</v>
      </c>
      <c r="M1349" s="113">
        <f>SUMIFS(График[Возврат основной суммы долга],График[Дата с учетом нерабочих дней],$A1349)</f>
        <v>0</v>
      </c>
      <c r="N1349" s="56">
        <f>SUMIFS(График[Возврат начисленных %],График[Дата с учетом нерабочих дней],$A1349)</f>
        <v>0</v>
      </c>
      <c r="O1349" s="101">
        <v>0</v>
      </c>
      <c r="P1349" s="100" cm="1">
        <f t="array" aca="1" ref="P1349" ca="1">MAX(IF(AA1348="Да",0,SUM(INDIRECT("M"&amp;(MAX(("Да"=AA$12:AA1348)*ROW(AA$12:AA1348)+1,ROW($P$12))&amp;":M"&amp;(ROW()))))-SUM(INDIRECT("W"&amp;(MAX(("Да"=AA$12:AA1348)*ROW(AA$12:AA1348)+1,ROW($P$12))&amp;":W"&amp;(ROW()))))),0)</f>
        <v>24232.889999999996</v>
      </c>
      <c r="Q1349" s="99">
        <f ca="1">MAX(SUM($N$13:N1349)-SUM($T$13:T1349),0)</f>
        <v>94530.810655737689</v>
      </c>
      <c r="R1349" s="99">
        <f ca="1">Первоначальный[[#This Row],[Просроченный платеж по ОД]]+Первоначальный[[#This Row],[Просроченный платеж по процентам]]</f>
        <v>118763.70065573769</v>
      </c>
      <c r="S1349" s="120">
        <f ca="1">IF(Первоначальный[[#This Row],[Просроченный платеж]]&lt;1,0,S1348+1)</f>
        <v>1245</v>
      </c>
      <c r="T1349" s="100" cm="1">
        <f t="array" aca="1" ref="T1349" ca="1">IF(Первоначальный[[#This Row],[Итого остаток на начало периода]]&lt;1,0,
IF(
AND(TYPE(VLOOKUP(1,$Z$12:Z1349,1,0))=16,Первоначальный[[#This Row],[Досрочное погашение (да/"")]]=""),0,
_xlfn.IFS(AND(S1348=0,Первоначальный[[#This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платеж]]&lt;&gt;0),MIN(LOOKUP(,-1/($Z$12:Z1349=1),$C$12:C1349)+LOOKUP(,-1/($Z$12:Z1349=1),$H$12:H1349),Первоначальный[[#This Row],[Полученный платеж]]+Y1348),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платеж]]+Y1348,SUM(Первоначальный[[#This Row],[Остаток процентов на начало периода]],Первоначальный[[#This Row],[Проценты за период]])),
AND(S1348=0,Первоначальный[[#This Row],[Дата платежа из графика]]=""),0,
AND(S1348=0,Первоначальный[[#This Row],[Дата платежа из графика]]=1,MAX((0&lt;&gt;S$12:S1348)*ROW(S$12:S1348),ROW($S$12))&gt;=MAX((1=Z$12:Z1348)*ROW(Z$12:Z1348),ROW($T$12)),TYPE(VLOOKUP("Да",(INDIRECT("AA"&amp;(MAX((1=Z$12:Z1348)*ROW(Z$12:Z1348),ROW($T$12))&amp;":AA"&amp;(ROW()-1)))),1,0))=16),MIN(LOOKUP(,-1/($Z$12:Z1349=1),$C$12:C1349)+LOOKUP(,-1/($Z$12:Z1349=1),$H$12:H1349),Первоначальный[[#This Row],[Полученный платеж]]+Y1348),
AND(S1348=0,TYPE(VLOOKUP("Да",(INDIRECT("AA"&amp;(MAX((1=Z$12:Z1348)*ROW(Z$12:Z1348),ROW($T$12))&amp;":AA"&amp;(ROW()-1)))),1,0))&lt;&gt;16),MIN(LOOKUP(,-1/($Z$12:Z1349=1),$C$12:C1349)+LOOKUP(,-1/($Z$12:Z1349=1),$H$12:H1349)-IF(AA1348="Да",0,SUM(INDIRECT("T"&amp;(MAX(("Да"=AA$12:AA1348)*ROW(AA$12:AA1348)+1,ROW($T$12))&amp;":T"&amp;(ROW()-1))))),Первоначальный[[#This Row],[Полученный платеж]]+Y1348),
AND(S1348=0,MAX((0&lt;&gt;N$12:N1348)*ROW(N$12:N1348),ROW($S$12))&gt;=MAX((1=Z$12:Z1348)*ROW(Z$12:Z1348),ROW($T$12))),MIN(LOOKUP(,-1/($Z$12:Z1349=1),$C$12:C1349)+LOOKUP(,-1/($Z$12:Z1349=1),$H$12:H1349)-IF(N1348&lt;&gt;0,0,SUM(INDIRECT("T"&amp;(MAX((0&lt;&gt;N$12:N1348)*ROW(N$12:N1348)+1,ROW($T$12))&amp;":T"&amp;(ROW()-1))))),Первоначальный[[#This Row],[Полученный платеж]]+Y1348),
AND(S1348=0,Первоначальный[[#This Row],[Дата платежа из графика]]=1),MIN(LOOKUP(,-1/($Z$12:Z1349=1),$C$12:C1349)+LOOKUP(,-1/($Z$12:Z1349=1),$H$12:H1349)-IF(Z1348=1,0,SUM(INDIRECT("T"&amp;(MAX((1=Z$12:Z1348)*ROW(Z$12:Z1348)+1,ROW($T$12))&amp;":T"&amp;(ROW()-1))))),Первоначальный[[#This Row],[Полученный платеж]]+Y1348),
AND(Z1348&gt;0,Первоначальный[[#This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платеж]]+Y1348),
AND(S1348&gt;0,MAX((0&lt;&gt;S$12:S1348)*ROW(S$12:S1348),ROW($S$12))&gt;=MAX((1=Z$12:Z1348)*ROW(Z$12:Z1348),ROW($T$12)),TYPE(VLOOKUP("Да",(INDIRECT("AA"&amp;(MAX((1=Z$12:Z1348)*ROW(Z$12:Z1348),ROW($T$12))&amp;":AA"&amp;(ROW()-1)))),1,0))=16),MIN(LOOKUP(,-1/($Z$12:Z1349=1),$C$12:C1349)+LOOKUP(,-1/($Z$12:Z1349=1),$H$12:H1349)-SUM(INDIRECT("T"&amp;(MAX((1=Z$12:Z1348)*ROW(Z$12:Z1348),ROW($T$12))&amp;":T"&amp;(ROW()-1)))),Первоначальный[[#This Row],[Полученный платеж]]+Y1348),
S1348&gt;0,MIN(LOOKUP(,-1/($Z$12:Z1349=1),$C$12:C1349)+LOOKUP(,-1/($Z$12:Z1349=1),$H$12:H1349)-IF(Z1348=1,0,SUM(INDIRECT("T"&amp;(MAX((1=Z$12:Z1348)*ROW(Z$12:Z1348)+1,ROW($T$12))&amp;":T"&amp;(ROW()-1))))),Первоначальный[[#This Row],[Полученный платеж]]+Y1348)
)
)
)</f>
        <v>0</v>
      </c>
      <c r="U134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платеж]]+Y1348-Первоначальный[[#This Row],[Полученный платёж по процентам]])</f>
        <v>0</v>
      </c>
      <c r="V1349" s="55">
        <f t="shared" ca="1" si="243"/>
        <v>0</v>
      </c>
      <c r="W1349" s="55" cm="1">
        <f t="array" aca="1" ref="W1349" ca="1">IF(Первоначальный[[#This Row],[Итого остаток на начало периода]]&lt;1,0,
_xlfn.IFS(
AND(TYPE(VLOOKUP(1,$Z$12:Z1349,1,0))=16,Первоначальный[[#This Row],[Досрочное погашение (да/"")]]=""),0,
AND(S1348=0,Первоначальный[[#This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платеж]]+Y1348-SUM(Первоначальный[[#This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комиссиям]]),VLOOKUP(LOOKUP(,-1/($Z$12:Z1349=1),$A$12:A1349),График[[Срок конец]:[Возврат основной суммы долга]],3,0)),
AND(S1348=0,Первоначальный[[#This Row],[Дата платежа из графика]]="",Первоначальный[[#This Row],[Досрочное погашение (да/"")]]&lt;&gt;"Да"),0,
AND(S1348=0,Первоначальный[[#This Row],[Досрочное погашение (да/"")]]=""),MIN(Первоначальный[[#This Row],[Полученный платеж]]+Y1348-SUM(Первоначальный[[#This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комиссиям]]),VLOOKUP(LOOKUP(,-1/($Z$12:Z1349=1),$A$12:A1349),График[[Срок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платеж]]+Y1348-SUM(Первоначальный[[#This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S1348&gt;0,MIN(Первоначальный[[#This Row],[Полученный платеж]]+Y1348-SUM(Первоначальный[[#This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комиссиям]]),SUM(INDIRECT("M"&amp;(MAX((1=S$12:S1348)*ROW(S$12:S1348),ROW($W$12))&amp;":M"&amp;(ROW()))))-SUM(INDIRECT("W"&amp;(MAX((1=S$12:S1348)*ROW(S$12:S1348),ROW($W$12))&amp;":W"&amp;(ROW()-1)))))
)
)</f>
        <v>0</v>
      </c>
      <c r="X1349" s="55">
        <f t="shared" ca="1" si="244"/>
        <v>0</v>
      </c>
      <c r="Y1349" s="101">
        <f t="shared" ca="1" si="251"/>
        <v>0</v>
      </c>
      <c r="Z1349" s="133" t="str">
        <f>IF(TYPE((VLOOKUP(Первоначальный[[#This Row],[Дата платежа]],График[Срок конец],1,0)))=16,"",1)</f>
        <v/>
      </c>
      <c r="AA1349" s="57"/>
      <c r="AB1349" s="134"/>
      <c r="AC134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4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96445.480000000229</v>
      </c>
      <c r="AE134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7514.6200000000081</v>
      </c>
      <c r="AF134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4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378540.62658196705</v>
      </c>
      <c r="AH1349" s="55"/>
      <c r="AI1349" s="55"/>
      <c r="AJ1349" s="55"/>
      <c r="AK1349" s="101">
        <f t="shared" ca="1" si="252"/>
        <v>632134.06658196729</v>
      </c>
      <c r="AL1349" s="129">
        <f t="array" ref="AL1349">MAX((УслРестрактов[Характеристика]="Дата реструктуризации")*(УслРестрактов[Значение]=Первоначальный!$A1349),0)</f>
        <v>0</v>
      </c>
    </row>
    <row r="1350" spans="1:38" x14ac:dyDescent="0.25">
      <c r="A1350" s="97">
        <f t="shared" si="245"/>
        <v>45481</v>
      </c>
      <c r="B1350" s="100">
        <f t="shared" ca="1" si="246"/>
        <v>149633.34</v>
      </c>
      <c r="C1350" s="55">
        <f t="shared" ca="1" si="254"/>
        <v>96445.480000000229</v>
      </c>
      <c r="D1350" s="55">
        <f t="shared" ca="1" si="254"/>
        <v>7514.6200000000081</v>
      </c>
      <c r="E1350" s="55">
        <f t="shared" ca="1" si="247"/>
        <v>0</v>
      </c>
      <c r="F1350" s="55">
        <f t="shared" ca="1" si="248"/>
        <v>378540.62658196705</v>
      </c>
      <c r="G1350" s="101">
        <f t="shared" ca="1" si="249"/>
        <v>632134.06658196729</v>
      </c>
      <c r="H1350" s="100">
        <f ca="1">ROUND($B1350*VLOOKUP($A1350,$A$1:$B$10,2,1)/(365+IF(MOD(YEAR($A1350),4),0,1)*($A1350-$A1349)),2)-Первоначальный[[#This Row],[Проценты на просроченный платеж по ОД за период]]</f>
        <v>68.180000000000007</v>
      </c>
      <c r="I1350" s="55">
        <f t="shared" ca="1" si="250"/>
        <v>13.18</v>
      </c>
      <c r="J1350" s="55">
        <v>0</v>
      </c>
      <c r="K1350" s="55">
        <f t="shared" ca="1" si="253"/>
        <v>593.81850327868847</v>
      </c>
      <c r="L1350" s="55">
        <v>0</v>
      </c>
      <c r="M1350" s="113">
        <f>SUMIFS(График[Возврат основной суммы долга],График[Дата с учетом нерабочих дней],$A1350)</f>
        <v>0</v>
      </c>
      <c r="N1350" s="56">
        <f>SUMIFS(График[Возврат начисленных %],График[Дата с учетом нерабочих дней],$A1350)</f>
        <v>0</v>
      </c>
      <c r="O1350" s="101">
        <v>0</v>
      </c>
      <c r="P1350" s="100" cm="1">
        <f t="array" aca="1" ref="P1350" ca="1">MAX(IF(AA1349="Да",0,SUM(INDIRECT("M"&amp;(MAX(("Да"=AA$12:AA1349)*ROW(AA$12:AA1349)+1,ROW($P$12))&amp;":M"&amp;(ROW()))))-SUM(INDIRECT("W"&amp;(MAX(("Да"=AA$12:AA1349)*ROW(AA$12:AA1349)+1,ROW($P$12))&amp;":W"&amp;(ROW()))))),0)</f>
        <v>24232.889999999996</v>
      </c>
      <c r="Q1350" s="99">
        <f ca="1">MAX(SUM($N$13:N1350)-SUM($T$13:T1350),0)</f>
        <v>94530.810655737689</v>
      </c>
      <c r="R1350" s="99">
        <f ca="1">Первоначальный[[#This Row],[Просроченный платеж по ОД]]+Первоначальный[[#This Row],[Просроченный платеж по процентам]]</f>
        <v>118763.70065573769</v>
      </c>
      <c r="S1350" s="120">
        <f ca="1">IF(Первоначальный[[#This Row],[Просроченный платеж]]&lt;1,0,S1349+1)</f>
        <v>1246</v>
      </c>
      <c r="T1350" s="100" cm="1">
        <f t="array" aca="1" ref="T1350" ca="1">IF(Первоначальный[[#This Row],[Итого остаток на начало периода]]&lt;1,0,
IF(
AND(TYPE(VLOOKUP(1,$Z$12:Z1350,1,0))=16,Первоначальный[[#This Row],[Досрочное погашение (да/"")]]=""),0,
_xlfn.IFS(AND(S1349=0,Первоначальный[[#This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платеж]]&lt;&gt;0),MIN(LOOKUP(,-1/($Z$12:Z1350=1),$C$12:C1350)+LOOKUP(,-1/($Z$12:Z1350=1),$H$12:H1350),Первоначальный[[#This Row],[Полученный платеж]]+Y1349),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платеж]]+Y1349,SUM(Первоначальный[[#This Row],[Остаток процентов на начало периода]],Первоначальный[[#This Row],[Проценты за период]])),
AND(S1349=0,Первоначальный[[#This Row],[Дата платежа из графика]]=""),0,
AND(S1349=0,Первоначальный[[#This Row],[Дата платежа из графика]]=1,MAX((0&lt;&gt;S$12:S1349)*ROW(S$12:S1349),ROW($S$12))&gt;=MAX((1=Z$12:Z1349)*ROW(Z$12:Z1349),ROW($T$12)),TYPE(VLOOKUP("Да",(INDIRECT("AA"&amp;(MAX((1=Z$12:Z1349)*ROW(Z$12:Z1349),ROW($T$12))&amp;":AA"&amp;(ROW()-1)))),1,0))=16),MIN(LOOKUP(,-1/($Z$12:Z1350=1),$C$12:C1350)+LOOKUP(,-1/($Z$12:Z1350=1),$H$12:H1350),Первоначальный[[#This Row],[Полученный платеж]]+Y1349),
AND(S1349=0,TYPE(VLOOKUP("Да",(INDIRECT("AA"&amp;(MAX((1=Z$12:Z1349)*ROW(Z$12:Z1349),ROW($T$12))&amp;":AA"&amp;(ROW()-1)))),1,0))&lt;&gt;16),MIN(LOOKUP(,-1/($Z$12:Z1350=1),$C$12:C1350)+LOOKUP(,-1/($Z$12:Z1350=1),$H$12:H1350)-IF(AA1349="Да",0,SUM(INDIRECT("T"&amp;(MAX(("Да"=AA$12:AA1349)*ROW(AA$12:AA1349)+1,ROW($T$12))&amp;":T"&amp;(ROW()-1))))),Первоначальный[[#This Row],[Полученный платеж]]+Y1349),
AND(S1349=0,MAX((0&lt;&gt;N$12:N1349)*ROW(N$12:N1349),ROW($S$12))&gt;=MAX((1=Z$12:Z1349)*ROW(Z$12:Z1349),ROW($T$12))),MIN(LOOKUP(,-1/($Z$12:Z1350=1),$C$12:C1350)+LOOKUP(,-1/($Z$12:Z1350=1),$H$12:H1350)-IF(N1349&lt;&gt;0,0,SUM(INDIRECT("T"&amp;(MAX((0&lt;&gt;N$12:N1349)*ROW(N$12:N1349)+1,ROW($T$12))&amp;":T"&amp;(ROW()-1))))),Первоначальный[[#This Row],[Полученный платеж]]+Y1349),
AND(S1349=0,Первоначальный[[#This Row],[Дата платежа из графика]]=1),MIN(LOOKUP(,-1/($Z$12:Z1350=1),$C$12:C1350)+LOOKUP(,-1/($Z$12:Z1350=1),$H$12:H1350)-IF(Z1349=1,0,SUM(INDIRECT("T"&amp;(MAX((1=Z$12:Z1349)*ROW(Z$12:Z1349)+1,ROW($T$12))&amp;":T"&amp;(ROW()-1))))),Первоначальный[[#This Row],[Полученный платеж]]+Y1349),
AND(Z1349&gt;0,Первоначальный[[#This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платеж]]+Y1349),
AND(S1349&gt;0,MAX((0&lt;&gt;S$12:S1349)*ROW(S$12:S1349),ROW($S$12))&gt;=MAX((1=Z$12:Z1349)*ROW(Z$12:Z1349),ROW($T$12)),TYPE(VLOOKUP("Да",(INDIRECT("AA"&amp;(MAX((1=Z$12:Z1349)*ROW(Z$12:Z1349),ROW($T$12))&amp;":AA"&amp;(ROW()-1)))),1,0))=16),MIN(LOOKUP(,-1/($Z$12:Z1350=1),$C$12:C1350)+LOOKUP(,-1/($Z$12:Z1350=1),$H$12:H1350)-SUM(INDIRECT("T"&amp;(MAX((1=Z$12:Z1349)*ROW(Z$12:Z1349),ROW($T$12))&amp;":T"&amp;(ROW()-1)))),Первоначальный[[#This Row],[Полученный платеж]]+Y1349),
S1349&gt;0,MIN(LOOKUP(,-1/($Z$12:Z1350=1),$C$12:C1350)+LOOKUP(,-1/($Z$12:Z1350=1),$H$12:H1350)-IF(Z1349=1,0,SUM(INDIRECT("T"&amp;(MAX((1=Z$12:Z1349)*ROW(Z$12:Z1349)+1,ROW($T$12))&amp;":T"&amp;(ROW()-1))))),Первоначальный[[#This Row],[Полученный платеж]]+Y1349)
)
)
)</f>
        <v>0</v>
      </c>
      <c r="U135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платеж]]+Y1349-Первоначальный[[#This Row],[Полученный платёж по процентам]])</f>
        <v>0</v>
      </c>
      <c r="V1350" s="55">
        <f t="shared" ca="1" si="243"/>
        <v>0</v>
      </c>
      <c r="W1350" s="55" cm="1">
        <f t="array" aca="1" ref="W1350" ca="1">IF(Первоначальный[[#This Row],[Итого остаток на начало периода]]&lt;1,0,
_xlfn.IFS(
AND(TYPE(VLOOKUP(1,$Z$12:Z1350,1,0))=16,Первоначальный[[#This Row],[Досрочное погашение (да/"")]]=""),0,
AND(S1349=0,Первоначальный[[#This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платеж]]+Y1349-SUM(Первоначальный[[#This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комиссиям]]),VLOOKUP(LOOKUP(,-1/($Z$12:Z1350=1),$A$12:A1350),График[[Срок конец]:[Возврат основной суммы долга]],3,0)),
AND(S1349=0,Первоначальный[[#This Row],[Дата платежа из графика]]="",Первоначальный[[#This Row],[Досрочное погашение (да/"")]]&lt;&gt;"Да"),0,
AND(S1349=0,Первоначальный[[#This Row],[Досрочное погашение (да/"")]]=""),MIN(Первоначальный[[#This Row],[Полученный платеж]]+Y1349-SUM(Первоначальный[[#This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комиссиям]]),VLOOKUP(LOOKUP(,-1/($Z$12:Z1350=1),$A$12:A1350),График[[Срок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платеж]]+Y1349-SUM(Первоначальный[[#This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S1349&gt;0,MIN(Первоначальный[[#This Row],[Полученный платеж]]+Y1349-SUM(Первоначальный[[#This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комиссиям]]),SUM(INDIRECT("M"&amp;(MAX((1=S$12:S1349)*ROW(S$12:S1349),ROW($W$12))&amp;":M"&amp;(ROW()))))-SUM(INDIRECT("W"&amp;(MAX((1=S$12:S1349)*ROW(S$12:S1349),ROW($W$12))&amp;":W"&amp;(ROW()-1)))))
)
)</f>
        <v>0</v>
      </c>
      <c r="X1350" s="55">
        <f t="shared" ca="1" si="244"/>
        <v>0</v>
      </c>
      <c r="Y1350" s="101">
        <f t="shared" ca="1" si="251"/>
        <v>0</v>
      </c>
      <c r="Z1350" s="133" t="str">
        <f>IF(TYPE((VLOOKUP(Первоначальный[[#This Row],[Дата платежа]],График[Срок конец],1,0)))=16,"",1)</f>
        <v/>
      </c>
      <c r="AA1350" s="57"/>
      <c r="AB1350" s="134"/>
      <c r="AC135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5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96513.660000000222</v>
      </c>
      <c r="AE135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7527.8000000000084</v>
      </c>
      <c r="AF135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5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379134.44508524577</v>
      </c>
      <c r="AH1350" s="55"/>
      <c r="AI1350" s="55"/>
      <c r="AJ1350" s="55"/>
      <c r="AK1350" s="101">
        <f t="shared" ca="1" si="252"/>
        <v>632809.24508524605</v>
      </c>
      <c r="AL1350" s="129">
        <f t="array" ref="AL1350">MAX((УслРестрактов[Характеристика]="Дата реструктуризации")*(УслРестрактов[Значение]=Первоначальный!$A1350),0)</f>
        <v>0</v>
      </c>
    </row>
    <row r="1351" spans="1:38" x14ac:dyDescent="0.25">
      <c r="A1351" s="97">
        <f t="shared" si="245"/>
        <v>45482</v>
      </c>
      <c r="B1351" s="100">
        <f t="shared" ca="1" si="246"/>
        <v>149633.34</v>
      </c>
      <c r="C1351" s="55">
        <f t="shared" ca="1" si="254"/>
        <v>96513.660000000222</v>
      </c>
      <c r="D1351" s="55">
        <f t="shared" ca="1" si="254"/>
        <v>7527.8000000000084</v>
      </c>
      <c r="E1351" s="55">
        <f t="shared" ca="1" si="247"/>
        <v>0</v>
      </c>
      <c r="F1351" s="55">
        <f t="shared" ca="1" si="248"/>
        <v>379134.44508524577</v>
      </c>
      <c r="G1351" s="101">
        <f t="shared" ca="1" si="249"/>
        <v>632809.24508524605</v>
      </c>
      <c r="H1351" s="100">
        <f ca="1">ROUND($B1351*VLOOKUP($A1351,$A$1:$B$10,2,1)/(365+IF(MOD(YEAR($A1351),4),0,1)*($A1351-$A1350)),2)-Первоначальный[[#This Row],[Проценты на просроченный платеж по ОД за период]]</f>
        <v>68.180000000000007</v>
      </c>
      <c r="I1351" s="55">
        <f t="shared" ca="1" si="250"/>
        <v>13.18</v>
      </c>
      <c r="J1351" s="55">
        <v>0</v>
      </c>
      <c r="K1351" s="55">
        <f t="shared" ca="1" si="253"/>
        <v>608.30350327868848</v>
      </c>
      <c r="L1351" s="55">
        <v>0</v>
      </c>
      <c r="M1351" s="113">
        <f>SUMIFS(График[Возврат основной суммы долга],График[Дата с учетом нерабочих дней],$A1351)</f>
        <v>851.53</v>
      </c>
      <c r="N1351" s="56">
        <f>SUMIFS(График[Возврат начисленных %],График[Дата с учетом нерабочих дней],$A1351)</f>
        <v>2045.47</v>
      </c>
      <c r="O1351" s="101">
        <v>0</v>
      </c>
      <c r="P1351" s="100" cm="1">
        <f t="array" aca="1" ref="P1351" ca="1">MAX(IF(AA1350="Да",0,SUM(INDIRECT("M"&amp;(MAX(("Да"=AA$12:AA1350)*ROW(AA$12:AA1350)+1,ROW($P$12))&amp;":M"&amp;(ROW()))))-SUM(INDIRECT("W"&amp;(MAX(("Да"=AA$12:AA1350)*ROW(AA$12:AA1350)+1,ROW($P$12))&amp;":W"&amp;(ROW()))))),0)</f>
        <v>25084.419999999995</v>
      </c>
      <c r="Q1351" s="99">
        <f ca="1">MAX(SUM($N$13:N1351)-SUM($T$13:T1351),0)</f>
        <v>96576.28065573769</v>
      </c>
      <c r="R1351" s="99">
        <f ca="1">Первоначальный[[#This Row],[Просроченный платеж по ОД]]+Первоначальный[[#This Row],[Просроченный платеж по процентам]]</f>
        <v>121660.70065573769</v>
      </c>
      <c r="S1351" s="120">
        <f ca="1">IF(Первоначальный[[#This Row],[Просроченный платеж]]&lt;1,0,S1350+1)</f>
        <v>1247</v>
      </c>
      <c r="T1351" s="100" cm="1">
        <f t="array" aca="1" ref="T1351" ca="1">IF(Первоначальный[[#This Row],[Итого остаток на начало периода]]&lt;1,0,
IF(
AND(TYPE(VLOOKUP(1,$Z$12:Z1351,1,0))=16,Первоначальный[[#This Row],[Досрочное погашение (да/"")]]=""),0,
_xlfn.IFS(AND(S1350=0,Первоначальный[[#This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платеж]]&lt;&gt;0),MIN(LOOKUP(,-1/($Z$12:Z1351=1),$C$12:C1351)+LOOKUP(,-1/($Z$12:Z1351=1),$H$12:H1351),Первоначальный[[#This Row],[Полученный платеж]]+Y1350),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платеж]]+Y1350,SUM(Первоначальный[[#This Row],[Остаток процентов на начало периода]],Первоначальный[[#This Row],[Проценты за период]])),
AND(S1350=0,Первоначальный[[#This Row],[Дата платежа из графика]]=""),0,
AND(S1350=0,Первоначальный[[#This Row],[Дата платежа из графика]]=1,MAX((0&lt;&gt;S$12:S1350)*ROW(S$12:S1350),ROW($S$12))&gt;=MAX((1=Z$12:Z1350)*ROW(Z$12:Z1350),ROW($T$12)),TYPE(VLOOKUP("Да",(INDIRECT("AA"&amp;(MAX((1=Z$12:Z1350)*ROW(Z$12:Z1350),ROW($T$12))&amp;":AA"&amp;(ROW()-1)))),1,0))=16),MIN(LOOKUP(,-1/($Z$12:Z1351=1),$C$12:C1351)+LOOKUP(,-1/($Z$12:Z1351=1),$H$12:H1351),Первоначальный[[#This Row],[Полученный платеж]]+Y1350),
AND(S1350=0,TYPE(VLOOKUP("Да",(INDIRECT("AA"&amp;(MAX((1=Z$12:Z1350)*ROW(Z$12:Z1350),ROW($T$12))&amp;":AA"&amp;(ROW()-1)))),1,0))&lt;&gt;16),MIN(LOOKUP(,-1/($Z$12:Z1351=1),$C$12:C1351)+LOOKUP(,-1/($Z$12:Z1351=1),$H$12:H1351)-IF(AA1350="Да",0,SUM(INDIRECT("T"&amp;(MAX(("Да"=AA$12:AA1350)*ROW(AA$12:AA1350)+1,ROW($T$12))&amp;":T"&amp;(ROW()-1))))),Первоначальный[[#This Row],[Полученный платеж]]+Y1350),
AND(S1350=0,MAX((0&lt;&gt;N$12:N1350)*ROW(N$12:N1350),ROW($S$12))&gt;=MAX((1=Z$12:Z1350)*ROW(Z$12:Z1350),ROW($T$12))),MIN(LOOKUP(,-1/($Z$12:Z1351=1),$C$12:C1351)+LOOKUP(,-1/($Z$12:Z1351=1),$H$12:H1351)-IF(N1350&lt;&gt;0,0,SUM(INDIRECT("T"&amp;(MAX((0&lt;&gt;N$12:N1350)*ROW(N$12:N1350)+1,ROW($T$12))&amp;":T"&amp;(ROW()-1))))),Первоначальный[[#This Row],[Полученный платеж]]+Y1350),
AND(S1350=0,Первоначальный[[#This Row],[Дата платежа из графика]]=1),MIN(LOOKUP(,-1/($Z$12:Z1351=1),$C$12:C1351)+LOOKUP(,-1/($Z$12:Z1351=1),$H$12:H1351)-IF(Z1350=1,0,SUM(INDIRECT("T"&amp;(MAX((1=Z$12:Z1350)*ROW(Z$12:Z1350)+1,ROW($T$12))&amp;":T"&amp;(ROW()-1))))),Первоначальный[[#This Row],[Полученный платеж]]+Y1350),
AND(Z1350&gt;0,Первоначальный[[#This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платеж]]+Y1350),
AND(S1350&gt;0,MAX((0&lt;&gt;S$12:S1350)*ROW(S$12:S1350),ROW($S$12))&gt;=MAX((1=Z$12:Z1350)*ROW(Z$12:Z1350),ROW($T$12)),TYPE(VLOOKUP("Да",(INDIRECT("AA"&amp;(MAX((1=Z$12:Z1350)*ROW(Z$12:Z1350),ROW($T$12))&amp;":AA"&amp;(ROW()-1)))),1,0))=16),MIN(LOOKUP(,-1/($Z$12:Z1351=1),$C$12:C1351)+LOOKUP(,-1/($Z$12:Z1351=1),$H$12:H1351)-SUM(INDIRECT("T"&amp;(MAX((1=Z$12:Z1350)*ROW(Z$12:Z1350),ROW($T$12))&amp;":T"&amp;(ROW()-1)))),Первоначальный[[#This Row],[Полученный платеж]]+Y1350),
S1350&gt;0,MIN(LOOKUP(,-1/($Z$12:Z1351=1),$C$12:C1351)+LOOKUP(,-1/($Z$12:Z1351=1),$H$12:H1351)-IF(Z1350=1,0,SUM(INDIRECT("T"&amp;(MAX((1=Z$12:Z1350)*ROW(Z$12:Z1350)+1,ROW($T$12))&amp;":T"&amp;(ROW()-1))))),Первоначальный[[#This Row],[Полученный платеж]]+Y1350)
)
)
)</f>
        <v>0</v>
      </c>
      <c r="U135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платеж]]+Y1350-Первоначальный[[#This Row],[Полученный платёж по процентам]])</f>
        <v>0</v>
      </c>
      <c r="V1351" s="55">
        <f t="shared" ca="1" si="243"/>
        <v>0</v>
      </c>
      <c r="W1351" s="55" cm="1">
        <f t="array" aca="1" ref="W1351" ca="1">IF(Первоначальный[[#This Row],[Итого остаток на начало периода]]&lt;1,0,
_xlfn.IFS(
AND(TYPE(VLOOKUP(1,$Z$12:Z1351,1,0))=16,Первоначальный[[#This Row],[Досрочное погашение (да/"")]]=""),0,
AND(S1350=0,Первоначальный[[#This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платеж]]+Y1350-SUM(Первоначальный[[#This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комиссиям]]),VLOOKUP(LOOKUP(,-1/($Z$12:Z1351=1),$A$12:A1351),График[[Срок конец]:[Возврат основной суммы долга]],3,0)),
AND(S1350=0,Первоначальный[[#This Row],[Дата платежа из графика]]="",Первоначальный[[#This Row],[Досрочное погашение (да/"")]]&lt;&gt;"Да"),0,
AND(S1350=0,Первоначальный[[#This Row],[Досрочное погашение (да/"")]]=""),MIN(Первоначальный[[#This Row],[Полученный платеж]]+Y1350-SUM(Первоначальный[[#This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комиссиям]]),VLOOKUP(LOOKUP(,-1/($Z$12:Z1351=1),$A$12:A1351),График[[Срок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платеж]]+Y1350-SUM(Первоначальный[[#This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S1350&gt;0,MIN(Первоначальный[[#This Row],[Полученный платеж]]+Y1350-SUM(Первоначальный[[#This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комиссиям]]),SUM(INDIRECT("M"&amp;(MAX((1=S$12:S1350)*ROW(S$12:S1350),ROW($W$12))&amp;":M"&amp;(ROW()))))-SUM(INDIRECT("W"&amp;(MAX((1=S$12:S1350)*ROW(S$12:S1350),ROW($W$12))&amp;":W"&amp;(ROW()-1)))))
)
)</f>
        <v>0</v>
      </c>
      <c r="X1351" s="55">
        <f t="shared" ca="1" si="244"/>
        <v>0</v>
      </c>
      <c r="Y1351" s="101">
        <f t="shared" ca="1" si="251"/>
        <v>0</v>
      </c>
      <c r="Z1351" s="133">
        <f>IF(TYPE((VLOOKUP(Первоначальный[[#This Row],[Дата платежа]],График[Срок конец],1,0)))=16,"",1)</f>
        <v>1</v>
      </c>
      <c r="AA1351" s="57"/>
      <c r="AB1351" s="134"/>
      <c r="AC135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5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96581.840000000215</v>
      </c>
      <c r="AE135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7540.9800000000087</v>
      </c>
      <c r="AF135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5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379742.74858852447</v>
      </c>
      <c r="AH1351" s="55"/>
      <c r="AI1351" s="55"/>
      <c r="AJ1351" s="55"/>
      <c r="AK1351" s="101">
        <f t="shared" ca="1" si="252"/>
        <v>633498.90858852467</v>
      </c>
      <c r="AL1351" s="129">
        <f t="array" ref="AL1351">MAX((УслРестрактов[Характеристика]="Дата реструктуризации")*(УслРестрактов[Значение]=Первоначальный!$A1351),0)</f>
        <v>0</v>
      </c>
    </row>
    <row r="1352" spans="1:38" x14ac:dyDescent="0.25">
      <c r="A1352" s="97">
        <f t="shared" si="245"/>
        <v>45483</v>
      </c>
      <c r="B1352" s="100">
        <f t="shared" ca="1" si="246"/>
        <v>149633.34</v>
      </c>
      <c r="C1352" s="55">
        <f t="shared" ca="1" si="254"/>
        <v>96581.840000000215</v>
      </c>
      <c r="D1352" s="55">
        <f t="shared" ca="1" si="254"/>
        <v>7540.9800000000087</v>
      </c>
      <c r="E1352" s="55">
        <f t="shared" ca="1" si="247"/>
        <v>0</v>
      </c>
      <c r="F1352" s="55">
        <f t="shared" ca="1" si="248"/>
        <v>379742.74858852447</v>
      </c>
      <c r="G1352" s="101">
        <f t="shared" ca="1" si="249"/>
        <v>633498.90858852467</v>
      </c>
      <c r="H1352" s="100">
        <f ca="1">ROUND($B1352*VLOOKUP($A1352,$A$1:$B$10,2,1)/(365+IF(MOD(YEAR($A1352),4),0,1)*($A1352-$A1351)),2)-Первоначальный[[#This Row],[Проценты на просроченный платеж по ОД за период]]</f>
        <v>67.72</v>
      </c>
      <c r="I1352" s="55">
        <f t="shared" ca="1" si="250"/>
        <v>13.64</v>
      </c>
      <c r="J1352" s="55">
        <v>0</v>
      </c>
      <c r="K1352" s="55">
        <f t="shared" ca="1" si="253"/>
        <v>608.30350327868848</v>
      </c>
      <c r="L1352" s="55">
        <v>0</v>
      </c>
      <c r="M1352" s="113">
        <f>SUMIFS(График[Возврат основной суммы долга],График[Дата с учетом нерабочих дней],$A1352)</f>
        <v>0</v>
      </c>
      <c r="N1352" s="56">
        <f>SUMIFS(График[Возврат начисленных %],График[Дата с учетом нерабочих дней],$A1352)</f>
        <v>0</v>
      </c>
      <c r="O1352" s="101">
        <v>0</v>
      </c>
      <c r="P1352" s="100" cm="1">
        <f t="array" aca="1" ref="P1352" ca="1">MAX(IF(AA1351="Да",0,SUM(INDIRECT("M"&amp;(MAX(("Да"=AA$12:AA1351)*ROW(AA$12:AA1351)+1,ROW($P$12))&amp;":M"&amp;(ROW()))))-SUM(INDIRECT("W"&amp;(MAX(("Да"=AA$12:AA1351)*ROW(AA$12:AA1351)+1,ROW($P$12))&amp;":W"&amp;(ROW()))))),0)</f>
        <v>25084.419999999995</v>
      </c>
      <c r="Q1352" s="99">
        <f ca="1">MAX(SUM($N$13:N1352)-SUM($T$13:T1352),0)</f>
        <v>96576.28065573769</v>
      </c>
      <c r="R1352" s="99">
        <f ca="1">Первоначальный[[#This Row],[Просроченный платеж по ОД]]+Первоначальный[[#This Row],[Просроченный платеж по процентам]]</f>
        <v>121660.70065573769</v>
      </c>
      <c r="S1352" s="120">
        <f ca="1">IF(Первоначальный[[#This Row],[Просроченный платеж]]&lt;1,0,S1351+1)</f>
        <v>1248</v>
      </c>
      <c r="T1352" s="100" cm="1">
        <f t="array" aca="1" ref="T1352" ca="1">IF(Первоначальный[[#This Row],[Итого остаток на начало периода]]&lt;1,0,
IF(
AND(TYPE(VLOOKUP(1,$Z$12:Z1352,1,0))=16,Первоначальный[[#This Row],[Досрочное погашение (да/"")]]=""),0,
_xlfn.IFS(AND(S1351=0,Первоначальный[[#This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платеж]]&lt;&gt;0),MIN(LOOKUP(,-1/($Z$12:Z1352=1),$C$12:C1352)+LOOKUP(,-1/($Z$12:Z1352=1),$H$12:H1352),Первоначальный[[#This Row],[Полученный платеж]]+Y1351),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платеж]]+Y1351,SUM(Первоначальный[[#This Row],[Остаток процентов на начало периода]],Первоначальный[[#This Row],[Проценты за период]])),
AND(S1351=0,Первоначальный[[#This Row],[Дата платежа из графика]]=""),0,
AND(S1351=0,Первоначальный[[#This Row],[Дата платежа из графика]]=1,MAX((0&lt;&gt;S$12:S1351)*ROW(S$12:S1351),ROW($S$12))&gt;=MAX((1=Z$12:Z1351)*ROW(Z$12:Z1351),ROW($T$12)),TYPE(VLOOKUP("Да",(INDIRECT("AA"&amp;(MAX((1=Z$12:Z1351)*ROW(Z$12:Z1351),ROW($T$12))&amp;":AA"&amp;(ROW()-1)))),1,0))=16),MIN(LOOKUP(,-1/($Z$12:Z1352=1),$C$12:C1352)+LOOKUP(,-1/($Z$12:Z1352=1),$H$12:H1352),Первоначальный[[#This Row],[Полученный платеж]]+Y1351),
AND(S1351=0,TYPE(VLOOKUP("Да",(INDIRECT("AA"&amp;(MAX((1=Z$12:Z1351)*ROW(Z$12:Z1351),ROW($T$12))&amp;":AA"&amp;(ROW()-1)))),1,0))&lt;&gt;16),MIN(LOOKUP(,-1/($Z$12:Z1352=1),$C$12:C1352)+LOOKUP(,-1/($Z$12:Z1352=1),$H$12:H1352)-IF(AA1351="Да",0,SUM(INDIRECT("T"&amp;(MAX(("Да"=AA$12:AA1351)*ROW(AA$12:AA1351)+1,ROW($T$12))&amp;":T"&amp;(ROW()-1))))),Первоначальный[[#This Row],[Полученный платеж]]+Y1351),
AND(S1351=0,MAX((0&lt;&gt;N$12:N1351)*ROW(N$12:N1351),ROW($S$12))&gt;=MAX((1=Z$12:Z1351)*ROW(Z$12:Z1351),ROW($T$12))),MIN(LOOKUP(,-1/($Z$12:Z1352=1),$C$12:C1352)+LOOKUP(,-1/($Z$12:Z1352=1),$H$12:H1352)-IF(N1351&lt;&gt;0,0,SUM(INDIRECT("T"&amp;(MAX((0&lt;&gt;N$12:N1351)*ROW(N$12:N1351)+1,ROW($T$12))&amp;":T"&amp;(ROW()-1))))),Первоначальный[[#This Row],[Полученный платеж]]+Y1351),
AND(S1351=0,Первоначальный[[#This Row],[Дата платежа из графика]]=1),MIN(LOOKUP(,-1/($Z$12:Z1352=1),$C$12:C1352)+LOOKUP(,-1/($Z$12:Z1352=1),$H$12:H1352)-IF(Z1351=1,0,SUM(INDIRECT("T"&amp;(MAX((1=Z$12:Z1351)*ROW(Z$12:Z1351)+1,ROW($T$12))&amp;":T"&amp;(ROW()-1))))),Первоначальный[[#This Row],[Полученный платеж]]+Y1351),
AND(Z1351&gt;0,Первоначальный[[#This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платеж]]+Y1351),
AND(S1351&gt;0,MAX((0&lt;&gt;S$12:S1351)*ROW(S$12:S1351),ROW($S$12))&gt;=MAX((1=Z$12:Z1351)*ROW(Z$12:Z1351),ROW($T$12)),TYPE(VLOOKUP("Да",(INDIRECT("AA"&amp;(MAX((1=Z$12:Z1351)*ROW(Z$12:Z1351),ROW($T$12))&amp;":AA"&amp;(ROW()-1)))),1,0))=16),MIN(LOOKUP(,-1/($Z$12:Z1352=1),$C$12:C1352)+LOOKUP(,-1/($Z$12:Z1352=1),$H$12:H1352)-SUM(INDIRECT("T"&amp;(MAX((1=Z$12:Z1351)*ROW(Z$12:Z1351),ROW($T$12))&amp;":T"&amp;(ROW()-1)))),Первоначальный[[#This Row],[Полученный платеж]]+Y1351),
S1351&gt;0,MIN(LOOKUP(,-1/($Z$12:Z1352=1),$C$12:C1352)+LOOKUP(,-1/($Z$12:Z1352=1),$H$12:H1352)-IF(Z1351=1,0,SUM(INDIRECT("T"&amp;(MAX((1=Z$12:Z1351)*ROW(Z$12:Z1351)+1,ROW($T$12))&amp;":T"&amp;(ROW()-1))))),Первоначальный[[#This Row],[Полученный платеж]]+Y1351)
)
)
)</f>
        <v>0</v>
      </c>
      <c r="U135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платеж]]+Y1351-Первоначальный[[#This Row],[Полученный платёж по процентам]])</f>
        <v>0</v>
      </c>
      <c r="V1352" s="55">
        <f t="shared" ca="1" si="243"/>
        <v>0</v>
      </c>
      <c r="W1352" s="55" cm="1">
        <f t="array" aca="1" ref="W1352" ca="1">IF(Первоначальный[[#This Row],[Итого остаток на начало периода]]&lt;1,0,
_xlfn.IFS(
AND(TYPE(VLOOKUP(1,$Z$12:Z1352,1,0))=16,Первоначальный[[#This Row],[Досрочное погашение (да/"")]]=""),0,
AND(S1351=0,Первоначальный[[#This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платеж]]+Y1351-SUM(Первоначальный[[#This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комиссиям]]),VLOOKUP(LOOKUP(,-1/($Z$12:Z1352=1),$A$12:A1352),График[[Срок конец]:[Возврат основной суммы долга]],3,0)),
AND(S1351=0,Первоначальный[[#This Row],[Дата платежа из графика]]="",Первоначальный[[#This Row],[Досрочное погашение (да/"")]]&lt;&gt;"Да"),0,
AND(S1351=0,Первоначальный[[#This Row],[Досрочное погашение (да/"")]]=""),MIN(Первоначальный[[#This Row],[Полученный платеж]]+Y1351-SUM(Первоначальный[[#This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комиссиям]]),VLOOKUP(LOOKUP(,-1/($Z$12:Z1352=1),$A$12:A1352),График[[Срок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платеж]]+Y1351-SUM(Первоначальный[[#This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S1351&gt;0,MIN(Первоначальный[[#This Row],[Полученный платеж]]+Y1351-SUM(Первоначальный[[#This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комиссиям]]),SUM(INDIRECT("M"&amp;(MAX((1=S$12:S1351)*ROW(S$12:S1351),ROW($W$12))&amp;":M"&amp;(ROW()))))-SUM(INDIRECT("W"&amp;(MAX((1=S$12:S1351)*ROW(S$12:S1351),ROW($W$12))&amp;":W"&amp;(ROW()-1)))))
)
)</f>
        <v>0</v>
      </c>
      <c r="X1352" s="55">
        <f t="shared" ca="1" si="244"/>
        <v>0</v>
      </c>
      <c r="Y1352" s="101">
        <f t="shared" ca="1" si="251"/>
        <v>0</v>
      </c>
      <c r="Z1352" s="133" t="str">
        <f>IF(TYPE((VLOOKUP(Первоначальный[[#This Row],[Дата платежа]],График[Срок конец],1,0)))=16,"",1)</f>
        <v/>
      </c>
      <c r="AA1352" s="57"/>
      <c r="AB1352" s="134"/>
      <c r="AC135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5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96649.560000000216</v>
      </c>
      <c r="AE135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7554.620000000009</v>
      </c>
      <c r="AF135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5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380351.05209180317</v>
      </c>
      <c r="AH1352" s="55"/>
      <c r="AI1352" s="55"/>
      <c r="AJ1352" s="55"/>
      <c r="AK1352" s="101">
        <f t="shared" ca="1" si="252"/>
        <v>634188.57209180342</v>
      </c>
      <c r="AL1352" s="129">
        <f t="array" ref="AL1352">MAX((УслРестрактов[Характеристика]="Дата реструктуризации")*(УслРестрактов[Значение]=Первоначальный!$A1352),0)</f>
        <v>0</v>
      </c>
    </row>
    <row r="1353" spans="1:38" x14ac:dyDescent="0.25">
      <c r="A1353" s="97">
        <f t="shared" si="245"/>
        <v>45484</v>
      </c>
      <c r="B1353" s="100">
        <f t="shared" ca="1" si="246"/>
        <v>149633.34</v>
      </c>
      <c r="C1353" s="55">
        <f t="shared" ca="1" si="254"/>
        <v>96649.560000000216</v>
      </c>
      <c r="D1353" s="55">
        <f t="shared" ca="1" si="254"/>
        <v>7554.620000000009</v>
      </c>
      <c r="E1353" s="55">
        <f t="shared" ca="1" si="247"/>
        <v>0</v>
      </c>
      <c r="F1353" s="55">
        <f t="shared" ca="1" si="248"/>
        <v>380351.05209180317</v>
      </c>
      <c r="G1353" s="101">
        <f t="shared" ca="1" si="249"/>
        <v>634188.57209180342</v>
      </c>
      <c r="H1353" s="100">
        <f ca="1">ROUND($B1353*VLOOKUP($A1353,$A$1:$B$10,2,1)/(365+IF(MOD(YEAR($A1353),4),0,1)*($A1353-$A1352)),2)-Первоначальный[[#This Row],[Проценты на просроченный платеж по ОД за период]]</f>
        <v>67.72</v>
      </c>
      <c r="I1353" s="55">
        <f t="shared" ca="1" si="250"/>
        <v>13.64</v>
      </c>
      <c r="J1353" s="55">
        <v>0</v>
      </c>
      <c r="K1353" s="55">
        <f t="shared" ca="1" si="253"/>
        <v>608.30350327868848</v>
      </c>
      <c r="L1353" s="55">
        <v>0</v>
      </c>
      <c r="M1353" s="113">
        <f>SUMIFS(График[Возврат основной суммы долга],График[Дата с учетом нерабочих дней],$A1353)</f>
        <v>0</v>
      </c>
      <c r="N1353" s="56">
        <f>SUMIFS(График[Возврат начисленных %],График[Дата с учетом нерабочих дней],$A1353)</f>
        <v>0</v>
      </c>
      <c r="O1353" s="101">
        <v>0</v>
      </c>
      <c r="P1353" s="100" cm="1">
        <f t="array" aca="1" ref="P1353" ca="1">MAX(IF(AA1352="Да",0,SUM(INDIRECT("M"&amp;(MAX(("Да"=AA$12:AA1352)*ROW(AA$12:AA1352)+1,ROW($P$12))&amp;":M"&amp;(ROW()))))-SUM(INDIRECT("W"&amp;(MAX(("Да"=AA$12:AA1352)*ROW(AA$12:AA1352)+1,ROW($P$12))&amp;":W"&amp;(ROW()))))),0)</f>
        <v>25084.419999999995</v>
      </c>
      <c r="Q1353" s="99">
        <f ca="1">MAX(SUM($N$13:N1353)-SUM($T$13:T1353),0)</f>
        <v>96576.28065573769</v>
      </c>
      <c r="R1353" s="99">
        <f ca="1">Первоначальный[[#This Row],[Просроченный платеж по ОД]]+Первоначальный[[#This Row],[Просроченный платеж по процентам]]</f>
        <v>121660.70065573769</v>
      </c>
      <c r="S1353" s="120">
        <f ca="1">IF(Первоначальный[[#This Row],[Просроченный платеж]]&lt;1,0,S1352+1)</f>
        <v>1249</v>
      </c>
      <c r="T1353" s="100" cm="1">
        <f t="array" aca="1" ref="T1353" ca="1">IF(Первоначальный[[#This Row],[Итого остаток на начало периода]]&lt;1,0,
IF(
AND(TYPE(VLOOKUP(1,$Z$12:Z1353,1,0))=16,Первоначальный[[#This Row],[Досрочное погашение (да/"")]]=""),0,
_xlfn.IFS(AND(S1352=0,Первоначальный[[#This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платеж]]&lt;&gt;0),MIN(LOOKUP(,-1/($Z$12:Z1353=1),$C$12:C1353)+LOOKUP(,-1/($Z$12:Z1353=1),$H$12:H1353),Первоначальный[[#This Row],[Полученный платеж]]+Y1352),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платеж]]+Y1352,SUM(Первоначальный[[#This Row],[Остаток процентов на начало периода]],Первоначальный[[#This Row],[Проценты за период]])),
AND(S1352=0,Первоначальный[[#This Row],[Дата платежа из графика]]=""),0,
AND(S1352=0,Первоначальный[[#This Row],[Дата платежа из графика]]=1,MAX((0&lt;&gt;S$12:S1352)*ROW(S$12:S1352),ROW($S$12))&gt;=MAX((1=Z$12:Z1352)*ROW(Z$12:Z1352),ROW($T$12)),TYPE(VLOOKUP("Да",(INDIRECT("AA"&amp;(MAX((1=Z$12:Z1352)*ROW(Z$12:Z1352),ROW($T$12))&amp;":AA"&amp;(ROW()-1)))),1,0))=16),MIN(LOOKUP(,-1/($Z$12:Z1353=1),$C$12:C1353)+LOOKUP(,-1/($Z$12:Z1353=1),$H$12:H1353),Первоначальный[[#This Row],[Полученный платеж]]+Y1352),
AND(S1352=0,TYPE(VLOOKUP("Да",(INDIRECT("AA"&amp;(MAX((1=Z$12:Z1352)*ROW(Z$12:Z1352),ROW($T$12))&amp;":AA"&amp;(ROW()-1)))),1,0))&lt;&gt;16),MIN(LOOKUP(,-1/($Z$12:Z1353=1),$C$12:C1353)+LOOKUP(,-1/($Z$12:Z1353=1),$H$12:H1353)-IF(AA1352="Да",0,SUM(INDIRECT("T"&amp;(MAX(("Да"=AA$12:AA1352)*ROW(AA$12:AA1352)+1,ROW($T$12))&amp;":T"&amp;(ROW()-1))))),Первоначальный[[#This Row],[Полученный платеж]]+Y1352),
AND(S1352=0,MAX((0&lt;&gt;N$12:N1352)*ROW(N$12:N1352),ROW($S$12))&gt;=MAX((1=Z$12:Z1352)*ROW(Z$12:Z1352),ROW($T$12))),MIN(LOOKUP(,-1/($Z$12:Z1353=1),$C$12:C1353)+LOOKUP(,-1/($Z$12:Z1353=1),$H$12:H1353)-IF(N1352&lt;&gt;0,0,SUM(INDIRECT("T"&amp;(MAX((0&lt;&gt;N$12:N1352)*ROW(N$12:N1352)+1,ROW($T$12))&amp;":T"&amp;(ROW()-1))))),Первоначальный[[#This Row],[Полученный платеж]]+Y1352),
AND(S1352=0,Первоначальный[[#This Row],[Дата платежа из графика]]=1),MIN(LOOKUP(,-1/($Z$12:Z1353=1),$C$12:C1353)+LOOKUP(,-1/($Z$12:Z1353=1),$H$12:H1353)-IF(Z1352=1,0,SUM(INDIRECT("T"&amp;(MAX((1=Z$12:Z1352)*ROW(Z$12:Z1352)+1,ROW($T$12))&amp;":T"&amp;(ROW()-1))))),Первоначальный[[#This Row],[Полученный платеж]]+Y1352),
AND(Z1352&gt;0,Первоначальный[[#This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платеж]]+Y1352),
AND(S1352&gt;0,MAX((0&lt;&gt;S$12:S1352)*ROW(S$12:S1352),ROW($S$12))&gt;=MAX((1=Z$12:Z1352)*ROW(Z$12:Z1352),ROW($T$12)),TYPE(VLOOKUP("Да",(INDIRECT("AA"&amp;(MAX((1=Z$12:Z1352)*ROW(Z$12:Z1352),ROW($T$12))&amp;":AA"&amp;(ROW()-1)))),1,0))=16),MIN(LOOKUP(,-1/($Z$12:Z1353=1),$C$12:C1353)+LOOKUP(,-1/($Z$12:Z1353=1),$H$12:H1353)-SUM(INDIRECT("T"&amp;(MAX((1=Z$12:Z1352)*ROW(Z$12:Z1352),ROW($T$12))&amp;":T"&amp;(ROW()-1)))),Первоначальный[[#This Row],[Полученный платеж]]+Y1352),
S1352&gt;0,MIN(LOOKUP(,-1/($Z$12:Z1353=1),$C$12:C1353)+LOOKUP(,-1/($Z$12:Z1353=1),$H$12:H1353)-IF(Z1352=1,0,SUM(INDIRECT("T"&amp;(MAX((1=Z$12:Z1352)*ROW(Z$12:Z1352)+1,ROW($T$12))&amp;":T"&amp;(ROW()-1))))),Первоначальный[[#This Row],[Полученный платеж]]+Y1352)
)
)
)</f>
        <v>0</v>
      </c>
      <c r="U135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платеж]]+Y1352-Первоначальный[[#This Row],[Полученный платёж по процентам]])</f>
        <v>0</v>
      </c>
      <c r="V1353" s="55">
        <f t="shared" ca="1" si="243"/>
        <v>0</v>
      </c>
      <c r="W1353" s="55" cm="1">
        <f t="array" aca="1" ref="W1353" ca="1">IF(Первоначальный[[#This Row],[Итого остаток на начало периода]]&lt;1,0,
_xlfn.IFS(
AND(TYPE(VLOOKUP(1,$Z$12:Z1353,1,0))=16,Первоначальный[[#This Row],[Досрочное погашение (да/"")]]=""),0,
AND(S1352=0,Первоначальный[[#This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платеж]]+Y1352-SUM(Первоначальный[[#This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комиссиям]]),VLOOKUP(LOOKUP(,-1/($Z$12:Z1353=1),$A$12:A1353),График[[Срок конец]:[Возврат основной суммы долга]],3,0)),
AND(S1352=0,Первоначальный[[#This Row],[Дата платежа из графика]]="",Первоначальный[[#This Row],[Досрочное погашение (да/"")]]&lt;&gt;"Да"),0,
AND(S1352=0,Первоначальный[[#This Row],[Досрочное погашение (да/"")]]=""),MIN(Первоначальный[[#This Row],[Полученный платеж]]+Y1352-SUM(Первоначальный[[#This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комиссиям]]),VLOOKUP(LOOKUP(,-1/($Z$12:Z1353=1),$A$12:A1353),График[[Срок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платеж]]+Y1352-SUM(Первоначальный[[#This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S1352&gt;0,MIN(Первоначальный[[#This Row],[Полученный платеж]]+Y1352-SUM(Первоначальный[[#This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комиссиям]]),SUM(INDIRECT("M"&amp;(MAX((1=S$12:S1352)*ROW(S$12:S1352),ROW($W$12))&amp;":M"&amp;(ROW()))))-SUM(INDIRECT("W"&amp;(MAX((1=S$12:S1352)*ROW(S$12:S1352),ROW($W$12))&amp;":W"&amp;(ROW()-1)))))
)
)</f>
        <v>0</v>
      </c>
      <c r="X1353" s="55">
        <f t="shared" ca="1" si="244"/>
        <v>0</v>
      </c>
      <c r="Y1353" s="101">
        <f t="shared" ca="1" si="251"/>
        <v>0</v>
      </c>
      <c r="Z1353" s="133" t="str">
        <f>IF(TYPE((VLOOKUP(Первоначальный[[#This Row],[Дата платежа]],График[Срок конец],1,0)))=16,"",1)</f>
        <v/>
      </c>
      <c r="AA1353" s="57"/>
      <c r="AB1353" s="134"/>
      <c r="AC135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5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96717.280000000217</v>
      </c>
      <c r="AE135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7568.2600000000093</v>
      </c>
      <c r="AF135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5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380959.35559508187</v>
      </c>
      <c r="AH1353" s="55"/>
      <c r="AI1353" s="55"/>
      <c r="AJ1353" s="55"/>
      <c r="AK1353" s="101">
        <f t="shared" ca="1" si="252"/>
        <v>634878.23559508217</v>
      </c>
      <c r="AL1353" s="129">
        <f t="array" ref="AL1353">MAX((УслРестрактов[Характеристика]="Дата реструктуризации")*(УслРестрактов[Значение]=Первоначальный!$A1353),0)</f>
        <v>0</v>
      </c>
    </row>
    <row r="1354" spans="1:38" x14ac:dyDescent="0.25">
      <c r="A1354" s="97">
        <f t="shared" si="245"/>
        <v>45485</v>
      </c>
      <c r="B1354" s="100">
        <f t="shared" ca="1" si="246"/>
        <v>149633.34</v>
      </c>
      <c r="C1354" s="55">
        <f t="shared" ca="1" si="254"/>
        <v>96717.280000000217</v>
      </c>
      <c r="D1354" s="55">
        <f t="shared" ca="1" si="254"/>
        <v>7568.2600000000093</v>
      </c>
      <c r="E1354" s="55">
        <f t="shared" ca="1" si="247"/>
        <v>0</v>
      </c>
      <c r="F1354" s="55">
        <f t="shared" ca="1" si="248"/>
        <v>380959.35559508187</v>
      </c>
      <c r="G1354" s="101">
        <f t="shared" ca="1" si="249"/>
        <v>634878.23559508217</v>
      </c>
      <c r="H1354" s="100">
        <f ca="1">ROUND($B1354*VLOOKUP($A1354,$A$1:$B$10,2,1)/(365+IF(MOD(YEAR($A1354),4),0,1)*($A1354-$A1353)),2)-Первоначальный[[#This Row],[Проценты на просроченный платеж по ОД за период]]</f>
        <v>67.72</v>
      </c>
      <c r="I1354" s="55">
        <f t="shared" ca="1" si="250"/>
        <v>13.64</v>
      </c>
      <c r="J1354" s="55">
        <v>0</v>
      </c>
      <c r="K1354" s="55">
        <f t="shared" ca="1" si="253"/>
        <v>608.30350327868848</v>
      </c>
      <c r="L1354" s="55">
        <v>0</v>
      </c>
      <c r="M1354" s="113">
        <f>SUMIFS(График[Возврат основной суммы долга],График[Дата с учетом нерабочих дней],$A1354)</f>
        <v>0</v>
      </c>
      <c r="N1354" s="56">
        <f>SUMIFS(График[Возврат начисленных %],График[Дата с учетом нерабочих дней],$A1354)</f>
        <v>0</v>
      </c>
      <c r="O1354" s="101">
        <v>0</v>
      </c>
      <c r="P1354" s="100" cm="1">
        <f t="array" aca="1" ref="P1354" ca="1">MAX(IF(AA1353="Да",0,SUM(INDIRECT("M"&amp;(MAX(("Да"=AA$12:AA1353)*ROW(AA$12:AA1353)+1,ROW($P$12))&amp;":M"&amp;(ROW()))))-SUM(INDIRECT("W"&amp;(MAX(("Да"=AA$12:AA1353)*ROW(AA$12:AA1353)+1,ROW($P$12))&amp;":W"&amp;(ROW()))))),0)</f>
        <v>25084.419999999995</v>
      </c>
      <c r="Q1354" s="99">
        <f ca="1">MAX(SUM($N$13:N1354)-SUM($T$13:T1354),0)</f>
        <v>96576.28065573769</v>
      </c>
      <c r="R1354" s="99">
        <f ca="1">Первоначальный[[#This Row],[Просроченный платеж по ОД]]+Первоначальный[[#This Row],[Просроченный платеж по процентам]]</f>
        <v>121660.70065573769</v>
      </c>
      <c r="S1354" s="120">
        <f ca="1">IF(Первоначальный[[#This Row],[Просроченный платеж]]&lt;1,0,S1353+1)</f>
        <v>1250</v>
      </c>
      <c r="T1354" s="100" cm="1">
        <f t="array" aca="1" ref="T1354" ca="1">IF(Первоначальный[[#This Row],[Итого остаток на начало периода]]&lt;1,0,
IF(
AND(TYPE(VLOOKUP(1,$Z$12:Z1354,1,0))=16,Первоначальный[[#This Row],[Досрочное погашение (да/"")]]=""),0,
_xlfn.IFS(AND(S1353=0,Первоначальный[[#This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платеж]]&lt;&gt;0),MIN(LOOKUP(,-1/($Z$12:Z1354=1),$C$12:C1354)+LOOKUP(,-1/($Z$12:Z1354=1),$H$12:H1354),Первоначальный[[#This Row],[Полученный платеж]]+Y1353),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платеж]]+Y1353,SUM(Первоначальный[[#This Row],[Остаток процентов на начало периода]],Первоначальный[[#This Row],[Проценты за период]])),
AND(S1353=0,Первоначальный[[#This Row],[Дата платежа из графика]]=""),0,
AND(S1353=0,Первоначальный[[#This Row],[Дата платежа из графика]]=1,MAX((0&lt;&gt;S$12:S1353)*ROW(S$12:S1353),ROW($S$12))&gt;=MAX((1=Z$12:Z1353)*ROW(Z$12:Z1353),ROW($T$12)),TYPE(VLOOKUP("Да",(INDIRECT("AA"&amp;(MAX((1=Z$12:Z1353)*ROW(Z$12:Z1353),ROW($T$12))&amp;":AA"&amp;(ROW()-1)))),1,0))=16),MIN(LOOKUP(,-1/($Z$12:Z1354=1),$C$12:C1354)+LOOKUP(,-1/($Z$12:Z1354=1),$H$12:H1354),Первоначальный[[#This Row],[Полученный платеж]]+Y1353),
AND(S1353=0,TYPE(VLOOKUP("Да",(INDIRECT("AA"&amp;(MAX((1=Z$12:Z1353)*ROW(Z$12:Z1353),ROW($T$12))&amp;":AA"&amp;(ROW()-1)))),1,0))&lt;&gt;16),MIN(LOOKUP(,-1/($Z$12:Z1354=1),$C$12:C1354)+LOOKUP(,-1/($Z$12:Z1354=1),$H$12:H1354)-IF(AA1353="Да",0,SUM(INDIRECT("T"&amp;(MAX(("Да"=AA$12:AA1353)*ROW(AA$12:AA1353)+1,ROW($T$12))&amp;":T"&amp;(ROW()-1))))),Первоначальный[[#This Row],[Полученный платеж]]+Y1353),
AND(S1353=0,MAX((0&lt;&gt;N$12:N1353)*ROW(N$12:N1353),ROW($S$12))&gt;=MAX((1=Z$12:Z1353)*ROW(Z$12:Z1353),ROW($T$12))),MIN(LOOKUP(,-1/($Z$12:Z1354=1),$C$12:C1354)+LOOKUP(,-1/($Z$12:Z1354=1),$H$12:H1354)-IF(N1353&lt;&gt;0,0,SUM(INDIRECT("T"&amp;(MAX((0&lt;&gt;N$12:N1353)*ROW(N$12:N1353)+1,ROW($T$12))&amp;":T"&amp;(ROW()-1))))),Первоначальный[[#This Row],[Полученный платеж]]+Y1353),
AND(S1353=0,Первоначальный[[#This Row],[Дата платежа из графика]]=1),MIN(LOOKUP(,-1/($Z$12:Z1354=1),$C$12:C1354)+LOOKUP(,-1/($Z$12:Z1354=1),$H$12:H1354)-IF(Z1353=1,0,SUM(INDIRECT("T"&amp;(MAX((1=Z$12:Z1353)*ROW(Z$12:Z1353)+1,ROW($T$12))&amp;":T"&amp;(ROW()-1))))),Первоначальный[[#This Row],[Полученный платеж]]+Y1353),
AND(Z1353&gt;0,Первоначальный[[#This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платеж]]+Y1353),
AND(S1353&gt;0,MAX((0&lt;&gt;S$12:S1353)*ROW(S$12:S1353),ROW($S$12))&gt;=MAX((1=Z$12:Z1353)*ROW(Z$12:Z1353),ROW($T$12)),TYPE(VLOOKUP("Да",(INDIRECT("AA"&amp;(MAX((1=Z$12:Z1353)*ROW(Z$12:Z1353),ROW($T$12))&amp;":AA"&amp;(ROW()-1)))),1,0))=16),MIN(LOOKUP(,-1/($Z$12:Z1354=1),$C$12:C1354)+LOOKUP(,-1/($Z$12:Z1354=1),$H$12:H1354)-SUM(INDIRECT("T"&amp;(MAX((1=Z$12:Z1353)*ROW(Z$12:Z1353),ROW($T$12))&amp;":T"&amp;(ROW()-1)))),Первоначальный[[#This Row],[Полученный платеж]]+Y1353),
S1353&gt;0,MIN(LOOKUP(,-1/($Z$12:Z1354=1),$C$12:C1354)+LOOKUP(,-1/($Z$12:Z1354=1),$H$12:H1354)-IF(Z1353=1,0,SUM(INDIRECT("T"&amp;(MAX((1=Z$12:Z1353)*ROW(Z$12:Z1353)+1,ROW($T$12))&amp;":T"&amp;(ROW()-1))))),Первоначальный[[#This Row],[Полученный платеж]]+Y1353)
)
)
)</f>
        <v>0</v>
      </c>
      <c r="U135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платеж]]+Y1353-Первоначальный[[#This Row],[Полученный платёж по процентам]])</f>
        <v>0</v>
      </c>
      <c r="V1354" s="55">
        <f t="shared" ca="1" si="243"/>
        <v>0</v>
      </c>
      <c r="W1354" s="55" cm="1">
        <f t="array" aca="1" ref="W1354" ca="1">IF(Первоначальный[[#This Row],[Итого остаток на начало периода]]&lt;1,0,
_xlfn.IFS(
AND(TYPE(VLOOKUP(1,$Z$12:Z1354,1,0))=16,Первоначальный[[#This Row],[Досрочное погашение (да/"")]]=""),0,
AND(S1353=0,Первоначальный[[#This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платеж]]+Y1353-SUM(Первоначальный[[#This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комиссиям]]),VLOOKUP(LOOKUP(,-1/($Z$12:Z1354=1),$A$12:A1354),График[[Срок конец]:[Возврат основной суммы долга]],3,0)),
AND(S1353=0,Первоначальный[[#This Row],[Дата платежа из графика]]="",Первоначальный[[#This Row],[Досрочное погашение (да/"")]]&lt;&gt;"Да"),0,
AND(S1353=0,Первоначальный[[#This Row],[Досрочное погашение (да/"")]]=""),MIN(Первоначальный[[#This Row],[Полученный платеж]]+Y1353-SUM(Первоначальный[[#This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комиссиям]]),VLOOKUP(LOOKUP(,-1/($Z$12:Z1354=1),$A$12:A1354),График[[Срок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платеж]]+Y1353-SUM(Первоначальный[[#This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S1353&gt;0,MIN(Первоначальный[[#This Row],[Полученный платеж]]+Y1353-SUM(Первоначальный[[#This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комиссиям]]),SUM(INDIRECT("M"&amp;(MAX((1=S$12:S1353)*ROW(S$12:S1353),ROW($W$12))&amp;":M"&amp;(ROW()))))-SUM(INDIRECT("W"&amp;(MAX((1=S$12:S1353)*ROW(S$12:S1353),ROW($W$12))&amp;":W"&amp;(ROW()-1)))))
)
)</f>
        <v>0</v>
      </c>
      <c r="X1354" s="55">
        <f t="shared" ca="1" si="244"/>
        <v>0</v>
      </c>
      <c r="Y1354" s="101">
        <f t="shared" ca="1" si="251"/>
        <v>0</v>
      </c>
      <c r="Z1354" s="133" t="str">
        <f>IF(TYPE((VLOOKUP(Первоначальный[[#This Row],[Дата платежа]],График[Срок конец],1,0)))=16,"",1)</f>
        <v/>
      </c>
      <c r="AA1354" s="57"/>
      <c r="AB1354" s="134"/>
      <c r="AC135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5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96785.000000000218</v>
      </c>
      <c r="AE135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7581.9000000000096</v>
      </c>
      <c r="AF135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5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381567.65909836057</v>
      </c>
      <c r="AH1354" s="55"/>
      <c r="AI1354" s="55"/>
      <c r="AJ1354" s="55"/>
      <c r="AK1354" s="101">
        <f t="shared" ca="1" si="252"/>
        <v>635567.89909836079</v>
      </c>
      <c r="AL1354" s="129">
        <f t="array" ref="AL1354">MAX((УслРестрактов[Характеристика]="Дата реструктуризации")*(УслРестрактов[Значение]=Первоначальный!$A1354),0)</f>
        <v>0</v>
      </c>
    </row>
    <row r="1355" spans="1:38" x14ac:dyDescent="0.25">
      <c r="A1355" s="97">
        <f t="shared" si="245"/>
        <v>45486</v>
      </c>
      <c r="B1355" s="100">
        <f t="shared" ca="1" si="246"/>
        <v>149633.34</v>
      </c>
      <c r="C1355" s="55">
        <f t="shared" ca="1" si="254"/>
        <v>96785.000000000218</v>
      </c>
      <c r="D1355" s="55">
        <f t="shared" ca="1" si="254"/>
        <v>7581.9000000000096</v>
      </c>
      <c r="E1355" s="55">
        <f t="shared" ca="1" si="247"/>
        <v>0</v>
      </c>
      <c r="F1355" s="55">
        <f t="shared" ca="1" si="248"/>
        <v>381567.65909836057</v>
      </c>
      <c r="G1355" s="101">
        <f t="shared" ca="1" si="249"/>
        <v>635567.89909836079</v>
      </c>
      <c r="H1355" s="100">
        <f ca="1">ROUND($B1355*VLOOKUP($A1355,$A$1:$B$10,2,1)/(365+IF(MOD(YEAR($A1355),4),0,1)*($A1355-$A1354)),2)-Первоначальный[[#This Row],[Проценты на просроченный платеж по ОД за период]]</f>
        <v>67.72</v>
      </c>
      <c r="I1355" s="55">
        <f t="shared" ca="1" si="250"/>
        <v>13.64</v>
      </c>
      <c r="J1355" s="55">
        <v>0</v>
      </c>
      <c r="K1355" s="55">
        <f t="shared" ca="1" si="253"/>
        <v>608.30350327868848</v>
      </c>
      <c r="L1355" s="55">
        <v>0</v>
      </c>
      <c r="M1355" s="113">
        <f>SUMIFS(График[Возврат основной суммы долга],График[Дата с учетом нерабочих дней],$A1355)</f>
        <v>0</v>
      </c>
      <c r="N1355" s="56">
        <f>SUMIFS(График[Возврат начисленных %],График[Дата с учетом нерабочих дней],$A1355)</f>
        <v>0</v>
      </c>
      <c r="O1355" s="101">
        <v>0</v>
      </c>
      <c r="P1355" s="100" cm="1">
        <f t="array" aca="1" ref="P1355" ca="1">MAX(IF(AA1354="Да",0,SUM(INDIRECT("M"&amp;(MAX(("Да"=AA$12:AA1354)*ROW(AA$12:AA1354)+1,ROW($P$12))&amp;":M"&amp;(ROW()))))-SUM(INDIRECT("W"&amp;(MAX(("Да"=AA$12:AA1354)*ROW(AA$12:AA1354)+1,ROW($P$12))&amp;":W"&amp;(ROW()))))),0)</f>
        <v>25084.419999999995</v>
      </c>
      <c r="Q1355" s="99">
        <f ca="1">MAX(SUM($N$13:N1355)-SUM($T$13:T1355),0)</f>
        <v>96576.28065573769</v>
      </c>
      <c r="R1355" s="99">
        <f ca="1">Первоначальный[[#This Row],[Просроченный платеж по ОД]]+Первоначальный[[#This Row],[Просроченный платеж по процентам]]</f>
        <v>121660.70065573769</v>
      </c>
      <c r="S1355" s="120">
        <f ca="1">IF(Первоначальный[[#This Row],[Просроченный платеж]]&lt;1,0,S1354+1)</f>
        <v>1251</v>
      </c>
      <c r="T1355" s="100" cm="1">
        <f t="array" aca="1" ref="T1355" ca="1">IF(Первоначальный[[#This Row],[Итого остаток на начало периода]]&lt;1,0,
IF(
AND(TYPE(VLOOKUP(1,$Z$12:Z1355,1,0))=16,Первоначальный[[#This Row],[Досрочное погашение (да/"")]]=""),0,
_xlfn.IFS(AND(S1354=0,Первоначальный[[#This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платеж]]&lt;&gt;0),MIN(LOOKUP(,-1/($Z$12:Z1355=1),$C$12:C1355)+LOOKUP(,-1/($Z$12:Z1355=1),$H$12:H1355),Первоначальный[[#This Row],[Полученный платеж]]+Y1354),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платеж]]+Y1354,SUM(Первоначальный[[#This Row],[Остаток процентов на начало периода]],Первоначальный[[#This Row],[Проценты за период]])),
AND(S1354=0,Первоначальный[[#This Row],[Дата платежа из графика]]=""),0,
AND(S1354=0,Первоначальный[[#This Row],[Дата платежа из графика]]=1,MAX((0&lt;&gt;S$12:S1354)*ROW(S$12:S1354),ROW($S$12))&gt;=MAX((1=Z$12:Z1354)*ROW(Z$12:Z1354),ROW($T$12)),TYPE(VLOOKUP("Да",(INDIRECT("AA"&amp;(MAX((1=Z$12:Z1354)*ROW(Z$12:Z1354),ROW($T$12))&amp;":AA"&amp;(ROW()-1)))),1,0))=16),MIN(LOOKUP(,-1/($Z$12:Z1355=1),$C$12:C1355)+LOOKUP(,-1/($Z$12:Z1355=1),$H$12:H1355),Первоначальный[[#This Row],[Полученный платеж]]+Y1354),
AND(S1354=0,TYPE(VLOOKUP("Да",(INDIRECT("AA"&amp;(MAX((1=Z$12:Z1354)*ROW(Z$12:Z1354),ROW($T$12))&amp;":AA"&amp;(ROW()-1)))),1,0))&lt;&gt;16),MIN(LOOKUP(,-1/($Z$12:Z1355=1),$C$12:C1355)+LOOKUP(,-1/($Z$12:Z1355=1),$H$12:H1355)-IF(AA1354="Да",0,SUM(INDIRECT("T"&amp;(MAX(("Да"=AA$12:AA1354)*ROW(AA$12:AA1354)+1,ROW($T$12))&amp;":T"&amp;(ROW()-1))))),Первоначальный[[#This Row],[Полученный платеж]]+Y1354),
AND(S1354=0,MAX((0&lt;&gt;N$12:N1354)*ROW(N$12:N1354),ROW($S$12))&gt;=MAX((1=Z$12:Z1354)*ROW(Z$12:Z1354),ROW($T$12))),MIN(LOOKUP(,-1/($Z$12:Z1355=1),$C$12:C1355)+LOOKUP(,-1/($Z$12:Z1355=1),$H$12:H1355)-IF(N1354&lt;&gt;0,0,SUM(INDIRECT("T"&amp;(MAX((0&lt;&gt;N$12:N1354)*ROW(N$12:N1354)+1,ROW($T$12))&amp;":T"&amp;(ROW()-1))))),Первоначальный[[#This Row],[Полученный платеж]]+Y1354),
AND(S1354=0,Первоначальный[[#This Row],[Дата платежа из графика]]=1),MIN(LOOKUP(,-1/($Z$12:Z1355=1),$C$12:C1355)+LOOKUP(,-1/($Z$12:Z1355=1),$H$12:H1355)-IF(Z1354=1,0,SUM(INDIRECT("T"&amp;(MAX((1=Z$12:Z1354)*ROW(Z$12:Z1354)+1,ROW($T$12))&amp;":T"&amp;(ROW()-1))))),Первоначальный[[#This Row],[Полученный платеж]]+Y1354),
AND(Z1354&gt;0,Первоначальный[[#This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платеж]]+Y1354),
AND(S1354&gt;0,MAX((0&lt;&gt;S$12:S1354)*ROW(S$12:S1354),ROW($S$12))&gt;=MAX((1=Z$12:Z1354)*ROW(Z$12:Z1354),ROW($T$12)),TYPE(VLOOKUP("Да",(INDIRECT("AA"&amp;(MAX((1=Z$12:Z1354)*ROW(Z$12:Z1354),ROW($T$12))&amp;":AA"&amp;(ROW()-1)))),1,0))=16),MIN(LOOKUP(,-1/($Z$12:Z1355=1),$C$12:C1355)+LOOKUP(,-1/($Z$12:Z1355=1),$H$12:H1355)-SUM(INDIRECT("T"&amp;(MAX((1=Z$12:Z1354)*ROW(Z$12:Z1354),ROW($T$12))&amp;":T"&amp;(ROW()-1)))),Первоначальный[[#This Row],[Полученный платеж]]+Y1354),
S1354&gt;0,MIN(LOOKUP(,-1/($Z$12:Z1355=1),$C$12:C1355)+LOOKUP(,-1/($Z$12:Z1355=1),$H$12:H1355)-IF(Z1354=1,0,SUM(INDIRECT("T"&amp;(MAX((1=Z$12:Z1354)*ROW(Z$12:Z1354)+1,ROW($T$12))&amp;":T"&amp;(ROW()-1))))),Первоначальный[[#This Row],[Полученный платеж]]+Y1354)
)
)
)</f>
        <v>0</v>
      </c>
      <c r="U135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платеж]]+Y1354-Первоначальный[[#This Row],[Полученный платёж по процентам]])</f>
        <v>0</v>
      </c>
      <c r="V1355" s="55">
        <f t="shared" ca="1" si="243"/>
        <v>0</v>
      </c>
      <c r="W1355" s="55" cm="1">
        <f t="array" aca="1" ref="W1355" ca="1">IF(Первоначальный[[#This Row],[Итого остаток на начало периода]]&lt;1,0,
_xlfn.IFS(
AND(TYPE(VLOOKUP(1,$Z$12:Z1355,1,0))=16,Первоначальный[[#This Row],[Досрочное погашение (да/"")]]=""),0,
AND(S1354=0,Первоначальный[[#This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платеж]]+Y1354-SUM(Первоначальный[[#This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комиссиям]]),VLOOKUP(LOOKUP(,-1/($Z$12:Z1355=1),$A$12:A1355),График[[Срок конец]:[Возврат основной суммы долга]],3,0)),
AND(S1354=0,Первоначальный[[#This Row],[Дата платежа из графика]]="",Первоначальный[[#This Row],[Досрочное погашение (да/"")]]&lt;&gt;"Да"),0,
AND(S1354=0,Первоначальный[[#This Row],[Досрочное погашение (да/"")]]=""),MIN(Первоначальный[[#This Row],[Полученный платеж]]+Y1354-SUM(Первоначальный[[#This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комиссиям]]),VLOOKUP(LOOKUP(,-1/($Z$12:Z1355=1),$A$12:A1355),График[[Срок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платеж]]+Y1354-SUM(Первоначальный[[#This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S1354&gt;0,MIN(Первоначальный[[#This Row],[Полученный платеж]]+Y1354-SUM(Первоначальный[[#This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комиссиям]]),SUM(INDIRECT("M"&amp;(MAX((1=S$12:S1354)*ROW(S$12:S1354),ROW($W$12))&amp;":M"&amp;(ROW()))))-SUM(INDIRECT("W"&amp;(MAX((1=S$12:S1354)*ROW(S$12:S1354),ROW($W$12))&amp;":W"&amp;(ROW()-1)))))
)
)</f>
        <v>0</v>
      </c>
      <c r="X1355" s="55">
        <f t="shared" ca="1" si="244"/>
        <v>0</v>
      </c>
      <c r="Y1355" s="101">
        <f t="shared" ca="1" si="251"/>
        <v>0</v>
      </c>
      <c r="Z1355" s="133" t="str">
        <f>IF(TYPE((VLOOKUP(Первоначальный[[#This Row],[Дата платежа]],График[Срок конец],1,0)))=16,"",1)</f>
        <v/>
      </c>
      <c r="AA1355" s="57"/>
      <c r="AB1355" s="134"/>
      <c r="AC135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5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96852.720000000219</v>
      </c>
      <c r="AE135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7595.54000000001</v>
      </c>
      <c r="AF135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5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382175.96260163927</v>
      </c>
      <c r="AH1355" s="55"/>
      <c r="AI1355" s="55"/>
      <c r="AJ1355" s="55"/>
      <c r="AK1355" s="101">
        <f t="shared" ca="1" si="252"/>
        <v>636257.56260163954</v>
      </c>
      <c r="AL1355" s="129">
        <f t="array" ref="AL1355">MAX((УслРестрактов[Характеристика]="Дата реструктуризации")*(УслРестрактов[Значение]=Первоначальный!$A1355),0)</f>
        <v>0</v>
      </c>
    </row>
    <row r="1356" spans="1:38" x14ac:dyDescent="0.25">
      <c r="A1356" s="97">
        <f t="shared" si="245"/>
        <v>45487</v>
      </c>
      <c r="B1356" s="100">
        <f t="shared" ca="1" si="246"/>
        <v>149633.34</v>
      </c>
      <c r="C1356" s="55">
        <f t="shared" ca="1" si="254"/>
        <v>96852.720000000219</v>
      </c>
      <c r="D1356" s="55">
        <f t="shared" ca="1" si="254"/>
        <v>7595.54000000001</v>
      </c>
      <c r="E1356" s="55">
        <f t="shared" ca="1" si="247"/>
        <v>0</v>
      </c>
      <c r="F1356" s="55">
        <f t="shared" ca="1" si="248"/>
        <v>382175.96260163927</v>
      </c>
      <c r="G1356" s="101">
        <f t="shared" ca="1" si="249"/>
        <v>636257.56260163954</v>
      </c>
      <c r="H1356" s="100">
        <f ca="1">ROUND($B1356*VLOOKUP($A1356,$A$1:$B$10,2,1)/(365+IF(MOD(YEAR($A1356),4),0,1)*($A1356-$A1355)),2)-Первоначальный[[#This Row],[Проценты на просроченный платеж по ОД за период]]</f>
        <v>67.72</v>
      </c>
      <c r="I1356" s="55">
        <f t="shared" ca="1" si="250"/>
        <v>13.64</v>
      </c>
      <c r="J1356" s="55">
        <v>0</v>
      </c>
      <c r="K1356" s="55">
        <f t="shared" ca="1" si="253"/>
        <v>608.30350327868848</v>
      </c>
      <c r="L1356" s="55">
        <v>0</v>
      </c>
      <c r="M1356" s="113">
        <f>SUMIFS(График[Возврат основной суммы долга],График[Дата с учетом нерабочих дней],$A1356)</f>
        <v>0</v>
      </c>
      <c r="N1356" s="56">
        <f>SUMIFS(График[Возврат начисленных %],График[Дата с учетом нерабочих дней],$A1356)</f>
        <v>0</v>
      </c>
      <c r="O1356" s="101">
        <v>0</v>
      </c>
      <c r="P1356" s="100" cm="1">
        <f t="array" aca="1" ref="P1356" ca="1">MAX(IF(AA1355="Да",0,SUM(INDIRECT("M"&amp;(MAX(("Да"=AA$12:AA1355)*ROW(AA$12:AA1355)+1,ROW($P$12))&amp;":M"&amp;(ROW()))))-SUM(INDIRECT("W"&amp;(MAX(("Да"=AA$12:AA1355)*ROW(AA$12:AA1355)+1,ROW($P$12))&amp;":W"&amp;(ROW()))))),0)</f>
        <v>25084.419999999995</v>
      </c>
      <c r="Q1356" s="99">
        <f ca="1">MAX(SUM($N$13:N1356)-SUM($T$13:T1356),0)</f>
        <v>96576.28065573769</v>
      </c>
      <c r="R1356" s="99">
        <f ca="1">Первоначальный[[#This Row],[Просроченный платеж по ОД]]+Первоначальный[[#This Row],[Просроченный платеж по процентам]]</f>
        <v>121660.70065573769</v>
      </c>
      <c r="S1356" s="120">
        <f ca="1">IF(Первоначальный[[#This Row],[Просроченный платеж]]&lt;1,0,S1355+1)</f>
        <v>1252</v>
      </c>
      <c r="T1356" s="100" cm="1">
        <f t="array" aca="1" ref="T1356" ca="1">IF(Первоначальный[[#This Row],[Итого остаток на начало периода]]&lt;1,0,
IF(
AND(TYPE(VLOOKUP(1,$Z$12:Z1356,1,0))=16,Первоначальный[[#This Row],[Досрочное погашение (да/"")]]=""),0,
_xlfn.IFS(AND(S1355=0,Первоначальный[[#This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платеж]]&lt;&gt;0),MIN(LOOKUP(,-1/($Z$12:Z1356=1),$C$12:C1356)+LOOKUP(,-1/($Z$12:Z1356=1),$H$12:H1356),Первоначальный[[#This Row],[Полученный платеж]]+Y1355),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платеж]]+Y1355,SUM(Первоначальный[[#This Row],[Остаток процентов на начало периода]],Первоначальный[[#This Row],[Проценты за период]])),
AND(S1355=0,Первоначальный[[#This Row],[Дата платежа из графика]]=""),0,
AND(S1355=0,Первоначальный[[#This Row],[Дата платежа из графика]]=1,MAX((0&lt;&gt;S$12:S1355)*ROW(S$12:S1355),ROW($S$12))&gt;=MAX((1=Z$12:Z1355)*ROW(Z$12:Z1355),ROW($T$12)),TYPE(VLOOKUP("Да",(INDIRECT("AA"&amp;(MAX((1=Z$12:Z1355)*ROW(Z$12:Z1355),ROW($T$12))&amp;":AA"&amp;(ROW()-1)))),1,0))=16),MIN(LOOKUP(,-1/($Z$12:Z1356=1),$C$12:C1356)+LOOKUP(,-1/($Z$12:Z1356=1),$H$12:H1356),Первоначальный[[#This Row],[Полученный платеж]]+Y1355),
AND(S1355=0,TYPE(VLOOKUP("Да",(INDIRECT("AA"&amp;(MAX((1=Z$12:Z1355)*ROW(Z$12:Z1355),ROW($T$12))&amp;":AA"&amp;(ROW()-1)))),1,0))&lt;&gt;16),MIN(LOOKUP(,-1/($Z$12:Z1356=1),$C$12:C1356)+LOOKUP(,-1/($Z$12:Z1356=1),$H$12:H1356)-IF(AA1355="Да",0,SUM(INDIRECT("T"&amp;(MAX(("Да"=AA$12:AA1355)*ROW(AA$12:AA1355)+1,ROW($T$12))&amp;":T"&amp;(ROW()-1))))),Первоначальный[[#This Row],[Полученный платеж]]+Y1355),
AND(S1355=0,MAX((0&lt;&gt;N$12:N1355)*ROW(N$12:N1355),ROW($S$12))&gt;=MAX((1=Z$12:Z1355)*ROW(Z$12:Z1355),ROW($T$12))),MIN(LOOKUP(,-1/($Z$12:Z1356=1),$C$12:C1356)+LOOKUP(,-1/($Z$12:Z1356=1),$H$12:H1356)-IF(N1355&lt;&gt;0,0,SUM(INDIRECT("T"&amp;(MAX((0&lt;&gt;N$12:N1355)*ROW(N$12:N1355)+1,ROW($T$12))&amp;":T"&amp;(ROW()-1))))),Первоначальный[[#This Row],[Полученный платеж]]+Y1355),
AND(S1355=0,Первоначальный[[#This Row],[Дата платежа из графика]]=1),MIN(LOOKUP(,-1/($Z$12:Z1356=1),$C$12:C1356)+LOOKUP(,-1/($Z$12:Z1356=1),$H$12:H1356)-IF(Z1355=1,0,SUM(INDIRECT("T"&amp;(MAX((1=Z$12:Z1355)*ROW(Z$12:Z1355)+1,ROW($T$12))&amp;":T"&amp;(ROW()-1))))),Первоначальный[[#This Row],[Полученный платеж]]+Y1355),
AND(Z1355&gt;0,Первоначальный[[#This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платеж]]+Y1355),
AND(S1355&gt;0,MAX((0&lt;&gt;S$12:S1355)*ROW(S$12:S1355),ROW($S$12))&gt;=MAX((1=Z$12:Z1355)*ROW(Z$12:Z1355),ROW($T$12)),TYPE(VLOOKUP("Да",(INDIRECT("AA"&amp;(MAX((1=Z$12:Z1355)*ROW(Z$12:Z1355),ROW($T$12))&amp;":AA"&amp;(ROW()-1)))),1,0))=16),MIN(LOOKUP(,-1/($Z$12:Z1356=1),$C$12:C1356)+LOOKUP(,-1/($Z$12:Z1356=1),$H$12:H1356)-SUM(INDIRECT("T"&amp;(MAX((1=Z$12:Z1355)*ROW(Z$12:Z1355),ROW($T$12))&amp;":T"&amp;(ROW()-1)))),Первоначальный[[#This Row],[Полученный платеж]]+Y1355),
S1355&gt;0,MIN(LOOKUP(,-1/($Z$12:Z1356=1),$C$12:C1356)+LOOKUP(,-1/($Z$12:Z1356=1),$H$12:H1356)-IF(Z1355=1,0,SUM(INDIRECT("T"&amp;(MAX((1=Z$12:Z1355)*ROW(Z$12:Z1355)+1,ROW($T$12))&amp;":T"&amp;(ROW()-1))))),Первоначальный[[#This Row],[Полученный платеж]]+Y1355)
)
)
)</f>
        <v>0</v>
      </c>
      <c r="U135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платеж]]+Y1355-Первоначальный[[#This Row],[Полученный платёж по процентам]])</f>
        <v>0</v>
      </c>
      <c r="V1356" s="55">
        <f t="shared" ca="1" si="243"/>
        <v>0</v>
      </c>
      <c r="W1356" s="55" cm="1">
        <f t="array" aca="1" ref="W1356" ca="1">IF(Первоначальный[[#This Row],[Итого остаток на начало периода]]&lt;1,0,
_xlfn.IFS(
AND(TYPE(VLOOKUP(1,$Z$12:Z1356,1,0))=16,Первоначальный[[#This Row],[Досрочное погашение (да/"")]]=""),0,
AND(S1355=0,Первоначальный[[#This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платеж]]+Y1355-SUM(Первоначальный[[#This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комиссиям]]),VLOOKUP(LOOKUP(,-1/($Z$12:Z1356=1),$A$12:A1356),График[[Срок конец]:[Возврат основной суммы долга]],3,0)),
AND(S1355=0,Первоначальный[[#This Row],[Дата платежа из графика]]="",Первоначальный[[#This Row],[Досрочное погашение (да/"")]]&lt;&gt;"Да"),0,
AND(S1355=0,Первоначальный[[#This Row],[Досрочное погашение (да/"")]]=""),MIN(Первоначальный[[#This Row],[Полученный платеж]]+Y1355-SUM(Первоначальный[[#This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комиссиям]]),VLOOKUP(LOOKUP(,-1/($Z$12:Z1356=1),$A$12:A1356),График[[Срок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платеж]]+Y1355-SUM(Первоначальный[[#This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S1355&gt;0,MIN(Первоначальный[[#This Row],[Полученный платеж]]+Y1355-SUM(Первоначальный[[#This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комиссиям]]),SUM(INDIRECT("M"&amp;(MAX((1=S$12:S1355)*ROW(S$12:S1355),ROW($W$12))&amp;":M"&amp;(ROW()))))-SUM(INDIRECT("W"&amp;(MAX((1=S$12:S1355)*ROW(S$12:S1355),ROW($W$12))&amp;":W"&amp;(ROW()-1)))))
)
)</f>
        <v>0</v>
      </c>
      <c r="X1356" s="55">
        <f t="shared" ca="1" si="244"/>
        <v>0</v>
      </c>
      <c r="Y1356" s="101">
        <f t="shared" ca="1" si="251"/>
        <v>0</v>
      </c>
      <c r="Z1356" s="133" t="str">
        <f>IF(TYPE((VLOOKUP(Первоначальный[[#This Row],[Дата платежа]],График[Срок конец],1,0)))=16,"",1)</f>
        <v/>
      </c>
      <c r="AA1356" s="57"/>
      <c r="AB1356" s="134"/>
      <c r="AC135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5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96920.440000000221</v>
      </c>
      <c r="AE135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7609.1800000000103</v>
      </c>
      <c r="AF135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5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382784.26610491797</v>
      </c>
      <c r="AH1356" s="55"/>
      <c r="AI1356" s="55"/>
      <c r="AJ1356" s="55"/>
      <c r="AK1356" s="101">
        <f t="shared" ca="1" si="252"/>
        <v>636947.22610491817</v>
      </c>
      <c r="AL1356" s="129">
        <f t="array" ref="AL1356">MAX((УслРестрактов[Характеристика]="Дата реструктуризации")*(УслРестрактов[Значение]=Первоначальный!$A1356),0)</f>
        <v>0</v>
      </c>
    </row>
    <row r="1357" spans="1:38" x14ac:dyDescent="0.25">
      <c r="A1357" s="97">
        <f t="shared" si="245"/>
        <v>45488</v>
      </c>
      <c r="B1357" s="100">
        <f t="shared" ca="1" si="246"/>
        <v>149633.34</v>
      </c>
      <c r="C1357" s="55">
        <f t="shared" ca="1" si="254"/>
        <v>96920.440000000221</v>
      </c>
      <c r="D1357" s="55">
        <f t="shared" ca="1" si="254"/>
        <v>7609.1800000000103</v>
      </c>
      <c r="E1357" s="55">
        <f t="shared" ca="1" si="247"/>
        <v>0</v>
      </c>
      <c r="F1357" s="55">
        <f t="shared" ca="1" si="248"/>
        <v>382784.26610491797</v>
      </c>
      <c r="G1357" s="101">
        <f t="shared" ca="1" si="249"/>
        <v>636947.22610491817</v>
      </c>
      <c r="H1357" s="100">
        <f ca="1">ROUND($B1357*VLOOKUP($A1357,$A$1:$B$10,2,1)/(365+IF(MOD(YEAR($A1357),4),0,1)*($A1357-$A1356)),2)-Первоначальный[[#This Row],[Проценты на просроченный платеж по ОД за период]]</f>
        <v>67.72</v>
      </c>
      <c r="I1357" s="55">
        <f t="shared" ca="1" si="250"/>
        <v>13.64</v>
      </c>
      <c r="J1357" s="55">
        <v>0</v>
      </c>
      <c r="K1357" s="55">
        <f t="shared" ca="1" si="253"/>
        <v>608.30350327868848</v>
      </c>
      <c r="L1357" s="55">
        <v>0</v>
      </c>
      <c r="M1357" s="113">
        <f>SUMIFS(График[Возврат основной суммы долга],График[Дата с учетом нерабочих дней],$A1357)</f>
        <v>0</v>
      </c>
      <c r="N1357" s="56">
        <f>SUMIFS(График[Возврат начисленных %],График[Дата с учетом нерабочих дней],$A1357)</f>
        <v>0</v>
      </c>
      <c r="O1357" s="101">
        <v>0</v>
      </c>
      <c r="P1357" s="100" cm="1">
        <f t="array" aca="1" ref="P1357" ca="1">MAX(IF(AA1356="Да",0,SUM(INDIRECT("M"&amp;(MAX(("Да"=AA$12:AA1356)*ROW(AA$12:AA1356)+1,ROW($P$12))&amp;":M"&amp;(ROW()))))-SUM(INDIRECT("W"&amp;(MAX(("Да"=AA$12:AA1356)*ROW(AA$12:AA1356)+1,ROW($P$12))&amp;":W"&amp;(ROW()))))),0)</f>
        <v>25084.419999999995</v>
      </c>
      <c r="Q1357" s="99">
        <f ca="1">MAX(SUM($N$13:N1357)-SUM($T$13:T1357),0)</f>
        <v>96576.28065573769</v>
      </c>
      <c r="R1357" s="99">
        <f ca="1">Первоначальный[[#This Row],[Просроченный платеж по ОД]]+Первоначальный[[#This Row],[Просроченный платеж по процентам]]</f>
        <v>121660.70065573769</v>
      </c>
      <c r="S1357" s="120">
        <f ca="1">IF(Первоначальный[[#This Row],[Просроченный платеж]]&lt;1,0,S1356+1)</f>
        <v>1253</v>
      </c>
      <c r="T1357" s="100" cm="1">
        <f t="array" aca="1" ref="T1357" ca="1">IF(Первоначальный[[#This Row],[Итого остаток на начало периода]]&lt;1,0,
IF(
AND(TYPE(VLOOKUP(1,$Z$12:Z1357,1,0))=16,Первоначальный[[#This Row],[Досрочное погашение (да/"")]]=""),0,
_xlfn.IFS(AND(S1356=0,Первоначальный[[#This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платеж]]&lt;&gt;0),MIN(LOOKUP(,-1/($Z$12:Z1357=1),$C$12:C1357)+LOOKUP(,-1/($Z$12:Z1357=1),$H$12:H1357),Первоначальный[[#This Row],[Полученный платеж]]+Y1356),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платеж]]+Y1356,SUM(Первоначальный[[#This Row],[Остаток процентов на начало периода]],Первоначальный[[#This Row],[Проценты за период]])),
AND(S1356=0,Первоначальный[[#This Row],[Дата платежа из графика]]=""),0,
AND(S1356=0,Первоначальный[[#This Row],[Дата платежа из графика]]=1,MAX((0&lt;&gt;S$12:S1356)*ROW(S$12:S1356),ROW($S$12))&gt;=MAX((1=Z$12:Z1356)*ROW(Z$12:Z1356),ROW($T$12)),TYPE(VLOOKUP("Да",(INDIRECT("AA"&amp;(MAX((1=Z$12:Z1356)*ROW(Z$12:Z1356),ROW($T$12))&amp;":AA"&amp;(ROW()-1)))),1,0))=16),MIN(LOOKUP(,-1/($Z$12:Z1357=1),$C$12:C1357)+LOOKUP(,-1/($Z$12:Z1357=1),$H$12:H1357),Первоначальный[[#This Row],[Полученный платеж]]+Y1356),
AND(S1356=0,TYPE(VLOOKUP("Да",(INDIRECT("AA"&amp;(MAX((1=Z$12:Z1356)*ROW(Z$12:Z1356),ROW($T$12))&amp;":AA"&amp;(ROW()-1)))),1,0))&lt;&gt;16),MIN(LOOKUP(,-1/($Z$12:Z1357=1),$C$12:C1357)+LOOKUP(,-1/($Z$12:Z1357=1),$H$12:H1357)-IF(AA1356="Да",0,SUM(INDIRECT("T"&amp;(MAX(("Да"=AA$12:AA1356)*ROW(AA$12:AA1356)+1,ROW($T$12))&amp;":T"&amp;(ROW()-1))))),Первоначальный[[#This Row],[Полученный платеж]]+Y1356),
AND(S1356=0,MAX((0&lt;&gt;N$12:N1356)*ROW(N$12:N1356),ROW($S$12))&gt;=MAX((1=Z$12:Z1356)*ROW(Z$12:Z1356),ROW($T$12))),MIN(LOOKUP(,-1/($Z$12:Z1357=1),$C$12:C1357)+LOOKUP(,-1/($Z$12:Z1357=1),$H$12:H1357)-IF(N1356&lt;&gt;0,0,SUM(INDIRECT("T"&amp;(MAX((0&lt;&gt;N$12:N1356)*ROW(N$12:N1356)+1,ROW($T$12))&amp;":T"&amp;(ROW()-1))))),Первоначальный[[#This Row],[Полученный платеж]]+Y1356),
AND(S1356=0,Первоначальный[[#This Row],[Дата платежа из графика]]=1),MIN(LOOKUP(,-1/($Z$12:Z1357=1),$C$12:C1357)+LOOKUP(,-1/($Z$12:Z1357=1),$H$12:H1357)-IF(Z1356=1,0,SUM(INDIRECT("T"&amp;(MAX((1=Z$12:Z1356)*ROW(Z$12:Z1356)+1,ROW($T$12))&amp;":T"&amp;(ROW()-1))))),Первоначальный[[#This Row],[Полученный платеж]]+Y1356),
AND(Z1356&gt;0,Первоначальный[[#This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платеж]]+Y1356),
AND(S1356&gt;0,MAX((0&lt;&gt;S$12:S1356)*ROW(S$12:S1356),ROW($S$12))&gt;=MAX((1=Z$12:Z1356)*ROW(Z$12:Z1356),ROW($T$12)),TYPE(VLOOKUP("Да",(INDIRECT("AA"&amp;(MAX((1=Z$12:Z1356)*ROW(Z$12:Z1356),ROW($T$12))&amp;":AA"&amp;(ROW()-1)))),1,0))=16),MIN(LOOKUP(,-1/($Z$12:Z1357=1),$C$12:C1357)+LOOKUP(,-1/($Z$12:Z1357=1),$H$12:H1357)-SUM(INDIRECT("T"&amp;(MAX((1=Z$12:Z1356)*ROW(Z$12:Z1356),ROW($T$12))&amp;":T"&amp;(ROW()-1)))),Первоначальный[[#This Row],[Полученный платеж]]+Y1356),
S1356&gt;0,MIN(LOOKUP(,-1/($Z$12:Z1357=1),$C$12:C1357)+LOOKUP(,-1/($Z$12:Z1357=1),$H$12:H1357)-IF(Z1356=1,0,SUM(INDIRECT("T"&amp;(MAX((1=Z$12:Z1356)*ROW(Z$12:Z1356)+1,ROW($T$12))&amp;":T"&amp;(ROW()-1))))),Первоначальный[[#This Row],[Полученный платеж]]+Y1356)
)
)
)</f>
        <v>0</v>
      </c>
      <c r="U135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платеж]]+Y1356-Первоначальный[[#This Row],[Полученный платёж по процентам]])</f>
        <v>0</v>
      </c>
      <c r="V1357" s="55">
        <f t="shared" ref="V1357:V1420" ca="1" si="255">MAX(MIN(SUM(O1357,Y1356)-SUM(T1357:T1357),SUM(E1357,J1357)),0)</f>
        <v>0</v>
      </c>
      <c r="W1357" s="55" cm="1">
        <f t="array" aca="1" ref="W1357" ca="1">IF(Первоначальный[[#This Row],[Итого остаток на начало периода]]&lt;1,0,
_xlfn.IFS(
AND(TYPE(VLOOKUP(1,$Z$12:Z1357,1,0))=16,Первоначальный[[#This Row],[Досрочное погашение (да/"")]]=""),0,
AND(S1356=0,Первоначальный[[#This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платеж]]+Y1356-SUM(Первоначальный[[#This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комиссиям]]),VLOOKUP(LOOKUP(,-1/($Z$12:Z1357=1),$A$12:A1357),График[[Срок конец]:[Возврат основной суммы долга]],3,0)),
AND(S1356=0,Первоначальный[[#This Row],[Дата платежа из графика]]="",Первоначальный[[#This Row],[Досрочное погашение (да/"")]]&lt;&gt;"Да"),0,
AND(S1356=0,Первоначальный[[#This Row],[Досрочное погашение (да/"")]]=""),MIN(Первоначальный[[#This Row],[Полученный платеж]]+Y1356-SUM(Первоначальный[[#This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комиссиям]]),VLOOKUP(LOOKUP(,-1/($Z$12:Z1357=1),$A$12:A1357),График[[Срок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платеж]]+Y1356-SUM(Первоначальный[[#This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S1356&gt;0,MIN(Первоначальный[[#This Row],[Полученный платеж]]+Y1356-SUM(Первоначальный[[#This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комиссиям]]),SUM(INDIRECT("M"&amp;(MAX((1=S$12:S1356)*ROW(S$12:S1356),ROW($W$12))&amp;":M"&amp;(ROW()))))-SUM(INDIRECT("W"&amp;(MAX((1=S$12:S1356)*ROW(S$12:S1356),ROW($W$12))&amp;":W"&amp;(ROW()-1)))))
)
)</f>
        <v>0</v>
      </c>
      <c r="X1357" s="55">
        <f t="shared" ref="X1357:X1420" ca="1" si="256">MAX(MIN(SUM(O1357,Y1356)-SUM(T1357:W1357),SUM(F1357,K1357)),0)</f>
        <v>0</v>
      </c>
      <c r="Y1357" s="101">
        <f t="shared" ca="1" si="251"/>
        <v>0</v>
      </c>
      <c r="Z1357" s="133" t="str">
        <f>IF(TYPE((VLOOKUP(Первоначальный[[#This Row],[Дата платежа]],График[Срок конец],1,0)))=16,"",1)</f>
        <v/>
      </c>
      <c r="AA1357" s="57"/>
      <c r="AB1357" s="134"/>
      <c r="AC135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5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96988.160000000222</v>
      </c>
      <c r="AE135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7622.8200000000106</v>
      </c>
      <c r="AF135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5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383392.56960819667</v>
      </c>
      <c r="AH1357" s="55"/>
      <c r="AI1357" s="55"/>
      <c r="AJ1357" s="55"/>
      <c r="AK1357" s="101">
        <f t="shared" ca="1" si="252"/>
        <v>637636.88960819691</v>
      </c>
      <c r="AL1357" s="129">
        <f t="array" ref="AL1357">MAX((УслРестрактов[Характеристика]="Дата реструктуризации")*(УслРестрактов[Значение]=Первоначальный!$A1357),0)</f>
        <v>0</v>
      </c>
    </row>
    <row r="1358" spans="1:38" x14ac:dyDescent="0.25">
      <c r="A1358" s="97">
        <f t="shared" ref="A1358:A1421" si="257">A1357+1</f>
        <v>45489</v>
      </c>
      <c r="B1358" s="100">
        <f t="shared" ref="B1358:B1421" ca="1" si="258">AC1357</f>
        <v>149633.34</v>
      </c>
      <c r="C1358" s="55">
        <f t="shared" ca="1" si="254"/>
        <v>96988.160000000222</v>
      </c>
      <c r="D1358" s="55">
        <f t="shared" ca="1" si="254"/>
        <v>7622.8200000000106</v>
      </c>
      <c r="E1358" s="55">
        <f t="shared" ref="E1358:E1421" ca="1" si="259">AF1357</f>
        <v>0</v>
      </c>
      <c r="F1358" s="55">
        <f t="shared" ref="F1358:F1421" ca="1" si="260">AG1357+AH1357</f>
        <v>383392.56960819667</v>
      </c>
      <c r="G1358" s="101">
        <f t="shared" ref="G1358:G1421" ca="1" si="261">AK1357</f>
        <v>637636.88960819691</v>
      </c>
      <c r="H1358" s="100">
        <f ca="1">ROUND($B1358*VLOOKUP($A1358,$A$1:$B$10,2,1)/(365+IF(MOD(YEAR($A1358),4),0,1)*($A1358-$A1357)),2)-Первоначальный[[#This Row],[Проценты на просроченный платеж по ОД за период]]</f>
        <v>67.72</v>
      </c>
      <c r="I1358" s="55">
        <f t="shared" ref="I1358:I1421" ca="1" si="262">ROUND(P1357*VLOOKUP($A1358,$A$1:$B$10,2,1)/(365+IF(MOD(YEAR($A1358),4),0,1)*($A1358-$A1357)),2)</f>
        <v>13.64</v>
      </c>
      <c r="J1358" s="55">
        <v>0</v>
      </c>
      <c r="K1358" s="55">
        <f t="shared" ca="1" si="253"/>
        <v>608.30350327868848</v>
      </c>
      <c r="L1358" s="55">
        <v>0</v>
      </c>
      <c r="M1358" s="113">
        <f>SUMIFS(График[Возврат основной суммы долга],График[Дата с учетом нерабочих дней],$A1358)</f>
        <v>0</v>
      </c>
      <c r="N1358" s="56">
        <f>SUMIFS(График[Возврат начисленных %],График[Дата с учетом нерабочих дней],$A1358)</f>
        <v>0</v>
      </c>
      <c r="O1358" s="101">
        <v>0</v>
      </c>
      <c r="P1358" s="100" cm="1">
        <f t="array" aca="1" ref="P1358" ca="1">MAX(IF(AA1357="Да",0,SUM(INDIRECT("M"&amp;(MAX(("Да"=AA$12:AA1357)*ROW(AA$12:AA1357)+1,ROW($P$12))&amp;":M"&amp;(ROW()))))-SUM(INDIRECT("W"&amp;(MAX(("Да"=AA$12:AA1357)*ROW(AA$12:AA1357)+1,ROW($P$12))&amp;":W"&amp;(ROW()))))),0)</f>
        <v>25084.419999999995</v>
      </c>
      <c r="Q1358" s="99">
        <f ca="1">MAX(SUM($N$13:N1358)-SUM($T$13:T1358),0)</f>
        <v>96576.28065573769</v>
      </c>
      <c r="R1358" s="99">
        <f ca="1">Первоначальный[[#This Row],[Просроченный платеж по ОД]]+Первоначальный[[#This Row],[Просроченный платеж по процентам]]</f>
        <v>121660.70065573769</v>
      </c>
      <c r="S1358" s="120">
        <f ca="1">IF(Первоначальный[[#This Row],[Просроченный платеж]]&lt;1,0,S1357+1)</f>
        <v>1254</v>
      </c>
      <c r="T1358" s="100" cm="1">
        <f t="array" aca="1" ref="T1358" ca="1">IF(Первоначальный[[#This Row],[Итого остаток на начало периода]]&lt;1,0,
IF(
AND(TYPE(VLOOKUP(1,$Z$12:Z1358,1,0))=16,Первоначальный[[#This Row],[Досрочное погашение (да/"")]]=""),0,
_xlfn.IFS(AND(S1357=0,Первоначальный[[#This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платеж]]&lt;&gt;0),MIN(LOOKUP(,-1/($Z$12:Z1358=1),$C$12:C1358)+LOOKUP(,-1/($Z$12:Z1358=1),$H$12:H1358),Первоначальный[[#This Row],[Полученный платеж]]+Y1357),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платеж]]+Y1357,SUM(Первоначальный[[#This Row],[Остаток процентов на начало периода]],Первоначальный[[#This Row],[Проценты за период]])),
AND(S1357=0,Первоначальный[[#This Row],[Дата платежа из графика]]=""),0,
AND(S1357=0,Первоначальный[[#This Row],[Дата платежа из графика]]=1,MAX((0&lt;&gt;S$12:S1357)*ROW(S$12:S1357),ROW($S$12))&gt;=MAX((1=Z$12:Z1357)*ROW(Z$12:Z1357),ROW($T$12)),TYPE(VLOOKUP("Да",(INDIRECT("AA"&amp;(MAX((1=Z$12:Z1357)*ROW(Z$12:Z1357),ROW($T$12))&amp;":AA"&amp;(ROW()-1)))),1,0))=16),MIN(LOOKUP(,-1/($Z$12:Z1358=1),$C$12:C1358)+LOOKUP(,-1/($Z$12:Z1358=1),$H$12:H1358),Первоначальный[[#This Row],[Полученный платеж]]+Y1357),
AND(S1357=0,TYPE(VLOOKUP("Да",(INDIRECT("AA"&amp;(MAX((1=Z$12:Z1357)*ROW(Z$12:Z1357),ROW($T$12))&amp;":AA"&amp;(ROW()-1)))),1,0))&lt;&gt;16),MIN(LOOKUP(,-1/($Z$12:Z1358=1),$C$12:C1358)+LOOKUP(,-1/($Z$12:Z1358=1),$H$12:H1358)-IF(AA1357="Да",0,SUM(INDIRECT("T"&amp;(MAX(("Да"=AA$12:AA1357)*ROW(AA$12:AA1357)+1,ROW($T$12))&amp;":T"&amp;(ROW()-1))))),Первоначальный[[#This Row],[Полученный платеж]]+Y1357),
AND(S1357=0,MAX((0&lt;&gt;N$12:N1357)*ROW(N$12:N1357),ROW($S$12))&gt;=MAX((1=Z$12:Z1357)*ROW(Z$12:Z1357),ROW($T$12))),MIN(LOOKUP(,-1/($Z$12:Z1358=1),$C$12:C1358)+LOOKUP(,-1/($Z$12:Z1358=1),$H$12:H1358)-IF(N1357&lt;&gt;0,0,SUM(INDIRECT("T"&amp;(MAX((0&lt;&gt;N$12:N1357)*ROW(N$12:N1357)+1,ROW($T$12))&amp;":T"&amp;(ROW()-1))))),Первоначальный[[#This Row],[Полученный платеж]]+Y1357),
AND(S1357=0,Первоначальный[[#This Row],[Дата платежа из графика]]=1),MIN(LOOKUP(,-1/($Z$12:Z1358=1),$C$12:C1358)+LOOKUP(,-1/($Z$12:Z1358=1),$H$12:H1358)-IF(Z1357=1,0,SUM(INDIRECT("T"&amp;(MAX((1=Z$12:Z1357)*ROW(Z$12:Z1357)+1,ROW($T$12))&amp;":T"&amp;(ROW()-1))))),Первоначальный[[#This Row],[Полученный платеж]]+Y1357),
AND(Z1357&gt;0,Первоначальный[[#This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платеж]]+Y1357),
AND(S1357&gt;0,MAX((0&lt;&gt;S$12:S1357)*ROW(S$12:S1357),ROW($S$12))&gt;=MAX((1=Z$12:Z1357)*ROW(Z$12:Z1357),ROW($T$12)),TYPE(VLOOKUP("Да",(INDIRECT("AA"&amp;(MAX((1=Z$12:Z1357)*ROW(Z$12:Z1357),ROW($T$12))&amp;":AA"&amp;(ROW()-1)))),1,0))=16),MIN(LOOKUP(,-1/($Z$12:Z1358=1),$C$12:C1358)+LOOKUP(,-1/($Z$12:Z1358=1),$H$12:H1358)-SUM(INDIRECT("T"&amp;(MAX((1=Z$12:Z1357)*ROW(Z$12:Z1357),ROW($T$12))&amp;":T"&amp;(ROW()-1)))),Первоначальный[[#This Row],[Полученный платеж]]+Y1357),
S1357&gt;0,MIN(LOOKUP(,-1/($Z$12:Z1358=1),$C$12:C1358)+LOOKUP(,-1/($Z$12:Z1358=1),$H$12:H1358)-IF(Z1357=1,0,SUM(INDIRECT("T"&amp;(MAX((1=Z$12:Z1357)*ROW(Z$12:Z1357)+1,ROW($T$12))&amp;":T"&amp;(ROW()-1))))),Первоначальный[[#This Row],[Полученный платеж]]+Y1357)
)
)
)</f>
        <v>0</v>
      </c>
      <c r="U135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платеж]]+Y1357-Первоначальный[[#This Row],[Полученный платёж по процентам]])</f>
        <v>0</v>
      </c>
      <c r="V1358" s="55">
        <f t="shared" ca="1" si="255"/>
        <v>0</v>
      </c>
      <c r="W1358" s="55" cm="1">
        <f t="array" aca="1" ref="W1358" ca="1">IF(Первоначальный[[#This Row],[Итого остаток на начало периода]]&lt;1,0,
_xlfn.IFS(
AND(TYPE(VLOOKUP(1,$Z$12:Z1358,1,0))=16,Первоначальный[[#This Row],[Досрочное погашение (да/"")]]=""),0,
AND(S1357=0,Первоначальный[[#This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платеж]]+Y1357-SUM(Первоначальный[[#This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комиссиям]]),VLOOKUP(LOOKUP(,-1/($Z$12:Z1358=1),$A$12:A1358),График[[Срок конец]:[Возврат основной суммы долга]],3,0)),
AND(S1357=0,Первоначальный[[#This Row],[Дата платежа из графика]]="",Первоначальный[[#This Row],[Досрочное погашение (да/"")]]&lt;&gt;"Да"),0,
AND(S1357=0,Первоначальный[[#This Row],[Досрочное погашение (да/"")]]=""),MIN(Первоначальный[[#This Row],[Полученный платеж]]+Y1357-SUM(Первоначальный[[#This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комиссиям]]),VLOOKUP(LOOKUP(,-1/($Z$12:Z1358=1),$A$12:A1358),График[[Срок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платеж]]+Y1357-SUM(Первоначальный[[#This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S1357&gt;0,MIN(Первоначальный[[#This Row],[Полученный платеж]]+Y1357-SUM(Первоначальный[[#This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комиссиям]]),SUM(INDIRECT("M"&amp;(MAX((1=S$12:S1357)*ROW(S$12:S1357),ROW($W$12))&amp;":M"&amp;(ROW()))))-SUM(INDIRECT("W"&amp;(MAX((1=S$12:S1357)*ROW(S$12:S1357),ROW($W$12))&amp;":W"&amp;(ROW()-1)))))
)
)</f>
        <v>0</v>
      </c>
      <c r="X1358" s="55">
        <f t="shared" ca="1" si="256"/>
        <v>0</v>
      </c>
      <c r="Y1358" s="101">
        <f t="shared" ref="Y1358:Y1421" ca="1" si="263">ROUND(Y1357+O1358-SUM(T1358:X1358),2)</f>
        <v>0</v>
      </c>
      <c r="Z1358" s="133" t="str">
        <f>IF(TYPE((VLOOKUP(Первоначальный[[#This Row],[Дата платежа]],График[Срок конец],1,0)))=16,"",1)</f>
        <v/>
      </c>
      <c r="AA1358" s="57"/>
      <c r="AB1358" s="134"/>
      <c r="AC135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5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97055.880000000223</v>
      </c>
      <c r="AE135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7636.460000000011</v>
      </c>
      <c r="AF135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5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384000.87311147538</v>
      </c>
      <c r="AH1358" s="55"/>
      <c r="AI1358" s="55"/>
      <c r="AJ1358" s="55"/>
      <c r="AK1358" s="101">
        <f t="shared" ref="AK1358:AK1421" ca="1" si="264">SUM(AC1358:AJ1358)</f>
        <v>638326.55311147566</v>
      </c>
      <c r="AL1358" s="129">
        <f t="array" ref="AL1358">MAX((УслРестрактов[Характеристика]="Дата реструктуризации")*(УслРестрактов[Значение]=Первоначальный!$A1358),0)</f>
        <v>0</v>
      </c>
    </row>
    <row r="1359" spans="1:38" x14ac:dyDescent="0.25">
      <c r="A1359" s="97">
        <f t="shared" si="257"/>
        <v>45490</v>
      </c>
      <c r="B1359" s="100">
        <f t="shared" ca="1" si="258"/>
        <v>149633.34</v>
      </c>
      <c r="C1359" s="55">
        <f t="shared" ca="1" si="254"/>
        <v>97055.880000000223</v>
      </c>
      <c r="D1359" s="55">
        <f t="shared" ca="1" si="254"/>
        <v>7636.460000000011</v>
      </c>
      <c r="E1359" s="55">
        <f t="shared" ca="1" si="259"/>
        <v>0</v>
      </c>
      <c r="F1359" s="55">
        <f t="shared" ca="1" si="260"/>
        <v>384000.87311147538</v>
      </c>
      <c r="G1359" s="101">
        <f t="shared" ca="1" si="261"/>
        <v>638326.55311147566</v>
      </c>
      <c r="H1359" s="100">
        <f ca="1">ROUND($B1359*VLOOKUP($A1359,$A$1:$B$10,2,1)/(365+IF(MOD(YEAR($A1359),4),0,1)*($A1359-$A1358)),2)-Первоначальный[[#This Row],[Проценты на просроченный платеж по ОД за период]]</f>
        <v>67.72</v>
      </c>
      <c r="I1359" s="55">
        <f t="shared" ca="1" si="262"/>
        <v>13.64</v>
      </c>
      <c r="J1359" s="55">
        <v>0</v>
      </c>
      <c r="K1359" s="55">
        <f t="shared" ref="K1359:K1422" ca="1" si="265">IF(S1359&lt;&gt;0,R1359*$B$7,0)</f>
        <v>608.30350327868848</v>
      </c>
      <c r="L1359" s="55">
        <v>0</v>
      </c>
      <c r="M1359" s="113">
        <f>SUMIFS(График[Возврат основной суммы долга],График[Дата с учетом нерабочих дней],$A1359)</f>
        <v>0</v>
      </c>
      <c r="N1359" s="56">
        <f>SUMIFS(График[Возврат начисленных %],График[Дата с учетом нерабочих дней],$A1359)</f>
        <v>0</v>
      </c>
      <c r="O1359" s="101">
        <v>0</v>
      </c>
      <c r="P1359" s="100" cm="1">
        <f t="array" aca="1" ref="P1359" ca="1">MAX(IF(AA1358="Да",0,SUM(INDIRECT("M"&amp;(MAX(("Да"=AA$12:AA1358)*ROW(AA$12:AA1358)+1,ROW($P$12))&amp;":M"&amp;(ROW()))))-SUM(INDIRECT("W"&amp;(MAX(("Да"=AA$12:AA1358)*ROW(AA$12:AA1358)+1,ROW($P$12))&amp;":W"&amp;(ROW()))))),0)</f>
        <v>25084.419999999995</v>
      </c>
      <c r="Q1359" s="99">
        <f ca="1">MAX(SUM($N$13:N1359)-SUM($T$13:T1359),0)</f>
        <v>96576.28065573769</v>
      </c>
      <c r="R1359" s="99">
        <f ca="1">Первоначальный[[#This Row],[Просроченный платеж по ОД]]+Первоначальный[[#This Row],[Просроченный платеж по процентам]]</f>
        <v>121660.70065573769</v>
      </c>
      <c r="S1359" s="120">
        <f ca="1">IF(Первоначальный[[#This Row],[Просроченный платеж]]&lt;1,0,S1358+1)</f>
        <v>1255</v>
      </c>
      <c r="T1359" s="100" cm="1">
        <f t="array" aca="1" ref="T1359" ca="1">IF(Первоначальный[[#This Row],[Итого остаток на начало периода]]&lt;1,0,
IF(
AND(TYPE(VLOOKUP(1,$Z$12:Z1359,1,0))=16,Первоначальный[[#This Row],[Досрочное погашение (да/"")]]=""),0,
_xlfn.IFS(AND(S1358=0,Первоначальный[[#This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платеж]]&lt;&gt;0),MIN(LOOKUP(,-1/($Z$12:Z1359=1),$C$12:C1359)+LOOKUP(,-1/($Z$12:Z1359=1),$H$12:H1359),Первоначальный[[#This Row],[Полученный платеж]]+Y1358),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платеж]]+Y1358,SUM(Первоначальный[[#This Row],[Остаток процентов на начало периода]],Первоначальный[[#This Row],[Проценты за период]])),
AND(S1358=0,Первоначальный[[#This Row],[Дата платежа из графика]]=""),0,
AND(S1358=0,Первоначальный[[#This Row],[Дата платежа из графика]]=1,MAX((0&lt;&gt;S$12:S1358)*ROW(S$12:S1358),ROW($S$12))&gt;=MAX((1=Z$12:Z1358)*ROW(Z$12:Z1358),ROW($T$12)),TYPE(VLOOKUP("Да",(INDIRECT("AA"&amp;(MAX((1=Z$12:Z1358)*ROW(Z$12:Z1358),ROW($T$12))&amp;":AA"&amp;(ROW()-1)))),1,0))=16),MIN(LOOKUP(,-1/($Z$12:Z1359=1),$C$12:C1359)+LOOKUP(,-1/($Z$12:Z1359=1),$H$12:H1359),Первоначальный[[#This Row],[Полученный платеж]]+Y1358),
AND(S1358=0,TYPE(VLOOKUP("Да",(INDIRECT("AA"&amp;(MAX((1=Z$12:Z1358)*ROW(Z$12:Z1358),ROW($T$12))&amp;":AA"&amp;(ROW()-1)))),1,0))&lt;&gt;16),MIN(LOOKUP(,-1/($Z$12:Z1359=1),$C$12:C1359)+LOOKUP(,-1/($Z$12:Z1359=1),$H$12:H1359)-IF(AA1358="Да",0,SUM(INDIRECT("T"&amp;(MAX(("Да"=AA$12:AA1358)*ROW(AA$12:AA1358)+1,ROW($T$12))&amp;":T"&amp;(ROW()-1))))),Первоначальный[[#This Row],[Полученный платеж]]+Y1358),
AND(S1358=0,MAX((0&lt;&gt;N$12:N1358)*ROW(N$12:N1358),ROW($S$12))&gt;=MAX((1=Z$12:Z1358)*ROW(Z$12:Z1358),ROW($T$12))),MIN(LOOKUP(,-1/($Z$12:Z1359=1),$C$12:C1359)+LOOKUP(,-1/($Z$12:Z1359=1),$H$12:H1359)-IF(N1358&lt;&gt;0,0,SUM(INDIRECT("T"&amp;(MAX((0&lt;&gt;N$12:N1358)*ROW(N$12:N1358)+1,ROW($T$12))&amp;":T"&amp;(ROW()-1))))),Первоначальный[[#This Row],[Полученный платеж]]+Y1358),
AND(S1358=0,Первоначальный[[#This Row],[Дата платежа из графика]]=1),MIN(LOOKUP(,-1/($Z$12:Z1359=1),$C$12:C1359)+LOOKUP(,-1/($Z$12:Z1359=1),$H$12:H1359)-IF(Z1358=1,0,SUM(INDIRECT("T"&amp;(MAX((1=Z$12:Z1358)*ROW(Z$12:Z1358)+1,ROW($T$12))&amp;":T"&amp;(ROW()-1))))),Первоначальный[[#This Row],[Полученный платеж]]+Y1358),
AND(Z1358&gt;0,Первоначальный[[#This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платеж]]+Y1358),
AND(S1358&gt;0,MAX((0&lt;&gt;S$12:S1358)*ROW(S$12:S1358),ROW($S$12))&gt;=MAX((1=Z$12:Z1358)*ROW(Z$12:Z1358),ROW($T$12)),TYPE(VLOOKUP("Да",(INDIRECT("AA"&amp;(MAX((1=Z$12:Z1358)*ROW(Z$12:Z1358),ROW($T$12))&amp;":AA"&amp;(ROW()-1)))),1,0))=16),MIN(LOOKUP(,-1/($Z$12:Z1359=1),$C$12:C1359)+LOOKUP(,-1/($Z$12:Z1359=1),$H$12:H1359)-SUM(INDIRECT("T"&amp;(MAX((1=Z$12:Z1358)*ROW(Z$12:Z1358),ROW($T$12))&amp;":T"&amp;(ROW()-1)))),Первоначальный[[#This Row],[Полученный платеж]]+Y1358),
S1358&gt;0,MIN(LOOKUP(,-1/($Z$12:Z1359=1),$C$12:C1359)+LOOKUP(,-1/($Z$12:Z1359=1),$H$12:H1359)-IF(Z1358=1,0,SUM(INDIRECT("T"&amp;(MAX((1=Z$12:Z1358)*ROW(Z$12:Z1358)+1,ROW($T$12))&amp;":T"&amp;(ROW()-1))))),Первоначальный[[#This Row],[Полученный платеж]]+Y1358)
)
)
)</f>
        <v>0</v>
      </c>
      <c r="U135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платеж]]+Y1358-Первоначальный[[#This Row],[Полученный платёж по процентам]])</f>
        <v>0</v>
      </c>
      <c r="V1359" s="55">
        <f t="shared" ca="1" si="255"/>
        <v>0</v>
      </c>
      <c r="W1359" s="55" cm="1">
        <f t="array" aca="1" ref="W1359" ca="1">IF(Первоначальный[[#This Row],[Итого остаток на начало периода]]&lt;1,0,
_xlfn.IFS(
AND(TYPE(VLOOKUP(1,$Z$12:Z1359,1,0))=16,Первоначальный[[#This Row],[Досрочное погашение (да/"")]]=""),0,
AND(S1358=0,Первоначальный[[#This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платеж]]+Y1358-SUM(Первоначальный[[#This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комиссиям]]),VLOOKUP(LOOKUP(,-1/($Z$12:Z1359=1),$A$12:A1359),График[[Срок конец]:[Возврат основной суммы долга]],3,0)),
AND(S1358=0,Первоначальный[[#This Row],[Дата платежа из графика]]="",Первоначальный[[#This Row],[Досрочное погашение (да/"")]]&lt;&gt;"Да"),0,
AND(S1358=0,Первоначальный[[#This Row],[Досрочное погашение (да/"")]]=""),MIN(Первоначальный[[#This Row],[Полученный платеж]]+Y1358-SUM(Первоначальный[[#This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комиссиям]]),VLOOKUP(LOOKUP(,-1/($Z$12:Z1359=1),$A$12:A1359),График[[Срок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платеж]]+Y1358-SUM(Первоначальный[[#This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S1358&gt;0,MIN(Первоначальный[[#This Row],[Полученный платеж]]+Y1358-SUM(Первоначальный[[#This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комиссиям]]),SUM(INDIRECT("M"&amp;(MAX((1=S$12:S1358)*ROW(S$12:S1358),ROW($W$12))&amp;":M"&amp;(ROW()))))-SUM(INDIRECT("W"&amp;(MAX((1=S$12:S1358)*ROW(S$12:S1358),ROW($W$12))&amp;":W"&amp;(ROW()-1)))))
)
)</f>
        <v>0</v>
      </c>
      <c r="X1359" s="55">
        <f t="shared" ca="1" si="256"/>
        <v>0</v>
      </c>
      <c r="Y1359" s="101">
        <f t="shared" ca="1" si="263"/>
        <v>0</v>
      </c>
      <c r="Z1359" s="133" t="str">
        <f>IF(TYPE((VLOOKUP(Первоначальный[[#This Row],[Дата платежа]],График[Срок конец],1,0)))=16,"",1)</f>
        <v/>
      </c>
      <c r="AA1359" s="57"/>
      <c r="AB1359" s="134"/>
      <c r="AC135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5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97123.600000000224</v>
      </c>
      <c r="AE135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7650.1000000000113</v>
      </c>
      <c r="AF135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5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384609.17661475408</v>
      </c>
      <c r="AH1359" s="55"/>
      <c r="AI1359" s="55"/>
      <c r="AJ1359" s="55"/>
      <c r="AK1359" s="101">
        <f t="shared" ca="1" si="264"/>
        <v>639016.21661475429</v>
      </c>
      <c r="AL1359" s="129">
        <f t="array" ref="AL1359">MAX((УслРестрактов[Характеристика]="Дата реструктуризации")*(УслРестрактов[Значение]=Первоначальный!$A1359),0)</f>
        <v>0</v>
      </c>
    </row>
    <row r="1360" spans="1:38" x14ac:dyDescent="0.25">
      <c r="A1360" s="97">
        <f t="shared" si="257"/>
        <v>45491</v>
      </c>
      <c r="B1360" s="100">
        <f t="shared" ca="1" si="258"/>
        <v>149633.34</v>
      </c>
      <c r="C1360" s="55">
        <f t="shared" ca="1" si="254"/>
        <v>97123.600000000224</v>
      </c>
      <c r="D1360" s="55">
        <f t="shared" ca="1" si="254"/>
        <v>7650.1000000000113</v>
      </c>
      <c r="E1360" s="55">
        <f t="shared" ca="1" si="259"/>
        <v>0</v>
      </c>
      <c r="F1360" s="55">
        <f t="shared" ca="1" si="260"/>
        <v>384609.17661475408</v>
      </c>
      <c r="G1360" s="101">
        <f t="shared" ca="1" si="261"/>
        <v>639016.21661475429</v>
      </c>
      <c r="H1360" s="100">
        <f ca="1">ROUND($B1360*VLOOKUP($A1360,$A$1:$B$10,2,1)/(365+IF(MOD(YEAR($A1360),4),0,1)*($A1360-$A1359)),2)-Первоначальный[[#This Row],[Проценты на просроченный платеж по ОД за период]]</f>
        <v>67.72</v>
      </c>
      <c r="I1360" s="55">
        <f t="shared" ca="1" si="262"/>
        <v>13.64</v>
      </c>
      <c r="J1360" s="55">
        <v>0</v>
      </c>
      <c r="K1360" s="55">
        <f t="shared" ca="1" si="265"/>
        <v>608.30350327868848</v>
      </c>
      <c r="L1360" s="55">
        <v>0</v>
      </c>
      <c r="M1360" s="113">
        <f>SUMIFS(График[Возврат основной суммы долга],График[Дата с учетом нерабочих дней],$A1360)</f>
        <v>0</v>
      </c>
      <c r="N1360" s="56">
        <f>SUMIFS(График[Возврат начисленных %],График[Дата с учетом нерабочих дней],$A1360)</f>
        <v>0</v>
      </c>
      <c r="O1360" s="101">
        <v>0</v>
      </c>
      <c r="P1360" s="100" cm="1">
        <f t="array" aca="1" ref="P1360" ca="1">MAX(IF(AA1359="Да",0,SUM(INDIRECT("M"&amp;(MAX(("Да"=AA$12:AA1359)*ROW(AA$12:AA1359)+1,ROW($P$12))&amp;":M"&amp;(ROW()))))-SUM(INDIRECT("W"&amp;(MAX(("Да"=AA$12:AA1359)*ROW(AA$12:AA1359)+1,ROW($P$12))&amp;":W"&amp;(ROW()))))),0)</f>
        <v>25084.419999999995</v>
      </c>
      <c r="Q1360" s="99">
        <f ca="1">MAX(SUM($N$13:N1360)-SUM($T$13:T1360),0)</f>
        <v>96576.28065573769</v>
      </c>
      <c r="R1360" s="99">
        <f ca="1">Первоначальный[[#This Row],[Просроченный платеж по ОД]]+Первоначальный[[#This Row],[Просроченный платеж по процентам]]</f>
        <v>121660.70065573769</v>
      </c>
      <c r="S1360" s="120">
        <f ca="1">IF(Первоначальный[[#This Row],[Просроченный платеж]]&lt;1,0,S1359+1)</f>
        <v>1256</v>
      </c>
      <c r="T1360" s="100" cm="1">
        <f t="array" aca="1" ref="T1360" ca="1">IF(Первоначальный[[#This Row],[Итого остаток на начало периода]]&lt;1,0,
IF(
AND(TYPE(VLOOKUP(1,$Z$12:Z1360,1,0))=16,Первоначальный[[#This Row],[Досрочное погашение (да/"")]]=""),0,
_xlfn.IFS(AND(S1359=0,Первоначальный[[#This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платеж]]&lt;&gt;0),MIN(LOOKUP(,-1/($Z$12:Z1360=1),$C$12:C1360)+LOOKUP(,-1/($Z$12:Z1360=1),$H$12:H1360),Первоначальный[[#This Row],[Полученный платеж]]+Y1359),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платеж]]+Y1359,SUM(Первоначальный[[#This Row],[Остаток процентов на начало периода]],Первоначальный[[#This Row],[Проценты за период]])),
AND(S1359=0,Первоначальный[[#This Row],[Дата платежа из графика]]=""),0,
AND(S1359=0,Первоначальный[[#This Row],[Дата платежа из графика]]=1,MAX((0&lt;&gt;S$12:S1359)*ROW(S$12:S1359),ROW($S$12))&gt;=MAX((1=Z$12:Z1359)*ROW(Z$12:Z1359),ROW($T$12)),TYPE(VLOOKUP("Да",(INDIRECT("AA"&amp;(MAX((1=Z$12:Z1359)*ROW(Z$12:Z1359),ROW($T$12))&amp;":AA"&amp;(ROW()-1)))),1,0))=16),MIN(LOOKUP(,-1/($Z$12:Z1360=1),$C$12:C1360)+LOOKUP(,-1/($Z$12:Z1360=1),$H$12:H1360),Первоначальный[[#This Row],[Полученный платеж]]+Y1359),
AND(S1359=0,TYPE(VLOOKUP("Да",(INDIRECT("AA"&amp;(MAX((1=Z$12:Z1359)*ROW(Z$12:Z1359),ROW($T$12))&amp;":AA"&amp;(ROW()-1)))),1,0))&lt;&gt;16),MIN(LOOKUP(,-1/($Z$12:Z1360=1),$C$12:C1360)+LOOKUP(,-1/($Z$12:Z1360=1),$H$12:H1360)-IF(AA1359="Да",0,SUM(INDIRECT("T"&amp;(MAX(("Да"=AA$12:AA1359)*ROW(AA$12:AA1359)+1,ROW($T$12))&amp;":T"&amp;(ROW()-1))))),Первоначальный[[#This Row],[Полученный платеж]]+Y1359),
AND(S1359=0,MAX((0&lt;&gt;N$12:N1359)*ROW(N$12:N1359),ROW($S$12))&gt;=MAX((1=Z$12:Z1359)*ROW(Z$12:Z1359),ROW($T$12))),MIN(LOOKUP(,-1/($Z$12:Z1360=1),$C$12:C1360)+LOOKUP(,-1/($Z$12:Z1360=1),$H$12:H1360)-IF(N1359&lt;&gt;0,0,SUM(INDIRECT("T"&amp;(MAX((0&lt;&gt;N$12:N1359)*ROW(N$12:N1359)+1,ROW($T$12))&amp;":T"&amp;(ROW()-1))))),Первоначальный[[#This Row],[Полученный платеж]]+Y1359),
AND(S1359=0,Первоначальный[[#This Row],[Дата платежа из графика]]=1),MIN(LOOKUP(,-1/($Z$12:Z1360=1),$C$12:C1360)+LOOKUP(,-1/($Z$12:Z1360=1),$H$12:H1360)-IF(Z1359=1,0,SUM(INDIRECT("T"&amp;(MAX((1=Z$12:Z1359)*ROW(Z$12:Z1359)+1,ROW($T$12))&amp;":T"&amp;(ROW()-1))))),Первоначальный[[#This Row],[Полученный платеж]]+Y1359),
AND(Z1359&gt;0,Первоначальный[[#This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платеж]]+Y1359),
AND(S1359&gt;0,MAX((0&lt;&gt;S$12:S1359)*ROW(S$12:S1359),ROW($S$12))&gt;=MAX((1=Z$12:Z1359)*ROW(Z$12:Z1359),ROW($T$12)),TYPE(VLOOKUP("Да",(INDIRECT("AA"&amp;(MAX((1=Z$12:Z1359)*ROW(Z$12:Z1359),ROW($T$12))&amp;":AA"&amp;(ROW()-1)))),1,0))=16),MIN(LOOKUP(,-1/($Z$12:Z1360=1),$C$12:C1360)+LOOKUP(,-1/($Z$12:Z1360=1),$H$12:H1360)-SUM(INDIRECT("T"&amp;(MAX((1=Z$12:Z1359)*ROW(Z$12:Z1359),ROW($T$12))&amp;":T"&amp;(ROW()-1)))),Первоначальный[[#This Row],[Полученный платеж]]+Y1359),
S1359&gt;0,MIN(LOOKUP(,-1/($Z$12:Z1360=1),$C$12:C1360)+LOOKUP(,-1/($Z$12:Z1360=1),$H$12:H1360)-IF(Z1359=1,0,SUM(INDIRECT("T"&amp;(MAX((1=Z$12:Z1359)*ROW(Z$12:Z1359)+1,ROW($T$12))&amp;":T"&amp;(ROW()-1))))),Первоначальный[[#This Row],[Полученный платеж]]+Y1359)
)
)
)</f>
        <v>0</v>
      </c>
      <c r="U136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платеж]]+Y1359-Первоначальный[[#This Row],[Полученный платёж по процентам]])</f>
        <v>0</v>
      </c>
      <c r="V1360" s="55">
        <f t="shared" ca="1" si="255"/>
        <v>0</v>
      </c>
      <c r="W1360" s="55" cm="1">
        <f t="array" aca="1" ref="W1360" ca="1">IF(Первоначальный[[#This Row],[Итого остаток на начало периода]]&lt;1,0,
_xlfn.IFS(
AND(TYPE(VLOOKUP(1,$Z$12:Z1360,1,0))=16,Первоначальный[[#This Row],[Досрочное погашение (да/"")]]=""),0,
AND(S1359=0,Первоначальный[[#This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платеж]]+Y1359-SUM(Первоначальный[[#This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комиссиям]]),VLOOKUP(LOOKUP(,-1/($Z$12:Z1360=1),$A$12:A1360),График[[Срок конец]:[Возврат основной суммы долга]],3,0)),
AND(S1359=0,Первоначальный[[#This Row],[Дата платежа из графика]]="",Первоначальный[[#This Row],[Досрочное погашение (да/"")]]&lt;&gt;"Да"),0,
AND(S1359=0,Первоначальный[[#This Row],[Досрочное погашение (да/"")]]=""),MIN(Первоначальный[[#This Row],[Полученный платеж]]+Y1359-SUM(Первоначальный[[#This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комиссиям]]),VLOOKUP(LOOKUP(,-1/($Z$12:Z1360=1),$A$12:A1360),График[[Срок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платеж]]+Y1359-SUM(Первоначальный[[#This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S1359&gt;0,MIN(Первоначальный[[#This Row],[Полученный платеж]]+Y1359-SUM(Первоначальный[[#This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комиссиям]]),SUM(INDIRECT("M"&amp;(MAX((1=S$12:S1359)*ROW(S$12:S1359),ROW($W$12))&amp;":M"&amp;(ROW()))))-SUM(INDIRECT("W"&amp;(MAX((1=S$12:S1359)*ROW(S$12:S1359),ROW($W$12))&amp;":W"&amp;(ROW()-1)))))
)
)</f>
        <v>0</v>
      </c>
      <c r="X1360" s="55">
        <f t="shared" ca="1" si="256"/>
        <v>0</v>
      </c>
      <c r="Y1360" s="101">
        <f t="shared" ca="1" si="263"/>
        <v>0</v>
      </c>
      <c r="Z1360" s="133" t="str">
        <f>IF(TYPE((VLOOKUP(Первоначальный[[#This Row],[Дата платежа]],График[Срок конец],1,0)))=16,"",1)</f>
        <v/>
      </c>
      <c r="AA1360" s="57"/>
      <c r="AB1360" s="134"/>
      <c r="AC136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6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97191.320000000225</v>
      </c>
      <c r="AE136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7663.7400000000116</v>
      </c>
      <c r="AF136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6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385217.48011803278</v>
      </c>
      <c r="AH1360" s="55"/>
      <c r="AI1360" s="55"/>
      <c r="AJ1360" s="55"/>
      <c r="AK1360" s="101">
        <f t="shared" ca="1" si="264"/>
        <v>639705.88011803303</v>
      </c>
      <c r="AL1360" s="129">
        <f t="array" ref="AL1360">MAX((УслРестрактов[Характеристика]="Дата реструктуризации")*(УслРестрактов[Значение]=Первоначальный!$A1360),0)</f>
        <v>0</v>
      </c>
    </row>
    <row r="1361" spans="1:38" x14ac:dyDescent="0.25">
      <c r="A1361" s="97">
        <f t="shared" si="257"/>
        <v>45492</v>
      </c>
      <c r="B1361" s="100">
        <f t="shared" ca="1" si="258"/>
        <v>149633.34</v>
      </c>
      <c r="C1361" s="55">
        <f t="shared" ca="1" si="254"/>
        <v>97191.320000000225</v>
      </c>
      <c r="D1361" s="55">
        <f t="shared" ca="1" si="254"/>
        <v>7663.7400000000116</v>
      </c>
      <c r="E1361" s="55">
        <f t="shared" ca="1" si="259"/>
        <v>0</v>
      </c>
      <c r="F1361" s="55">
        <f t="shared" ca="1" si="260"/>
        <v>385217.48011803278</v>
      </c>
      <c r="G1361" s="101">
        <f t="shared" ca="1" si="261"/>
        <v>639705.88011803303</v>
      </c>
      <c r="H1361" s="100">
        <f ca="1">ROUND($B1361*VLOOKUP($A1361,$A$1:$B$10,2,1)/(365+IF(MOD(YEAR($A1361),4),0,1)*($A1361-$A1360)),2)-Первоначальный[[#This Row],[Проценты на просроченный платеж по ОД за период]]</f>
        <v>67.72</v>
      </c>
      <c r="I1361" s="55">
        <f t="shared" ca="1" si="262"/>
        <v>13.64</v>
      </c>
      <c r="J1361" s="55">
        <v>0</v>
      </c>
      <c r="K1361" s="55">
        <f t="shared" ca="1" si="265"/>
        <v>608.30350327868848</v>
      </c>
      <c r="L1361" s="55">
        <v>0</v>
      </c>
      <c r="M1361" s="113">
        <f>SUMIFS(График[Возврат основной суммы долга],График[Дата с учетом нерабочих дней],$A1361)</f>
        <v>0</v>
      </c>
      <c r="N1361" s="56">
        <f>SUMIFS(График[Возврат начисленных %],График[Дата с учетом нерабочих дней],$A1361)</f>
        <v>0</v>
      </c>
      <c r="O1361" s="101">
        <v>0</v>
      </c>
      <c r="P1361" s="100" cm="1">
        <f t="array" aca="1" ref="P1361" ca="1">MAX(IF(AA1360="Да",0,SUM(INDIRECT("M"&amp;(MAX(("Да"=AA$12:AA1360)*ROW(AA$12:AA1360)+1,ROW($P$12))&amp;":M"&amp;(ROW()))))-SUM(INDIRECT("W"&amp;(MAX(("Да"=AA$12:AA1360)*ROW(AA$12:AA1360)+1,ROW($P$12))&amp;":W"&amp;(ROW()))))),0)</f>
        <v>25084.419999999995</v>
      </c>
      <c r="Q1361" s="99">
        <f ca="1">MAX(SUM($N$13:N1361)-SUM($T$13:T1361),0)</f>
        <v>96576.28065573769</v>
      </c>
      <c r="R1361" s="99">
        <f ca="1">Первоначальный[[#This Row],[Просроченный платеж по ОД]]+Первоначальный[[#This Row],[Просроченный платеж по процентам]]</f>
        <v>121660.70065573769</v>
      </c>
      <c r="S1361" s="120">
        <f ca="1">IF(Первоначальный[[#This Row],[Просроченный платеж]]&lt;1,0,S1360+1)</f>
        <v>1257</v>
      </c>
      <c r="T1361" s="100" cm="1">
        <f t="array" aca="1" ref="T1361" ca="1">IF(Первоначальный[[#This Row],[Итого остаток на начало периода]]&lt;1,0,
IF(
AND(TYPE(VLOOKUP(1,$Z$12:Z1361,1,0))=16,Первоначальный[[#This Row],[Досрочное погашение (да/"")]]=""),0,
_xlfn.IFS(AND(S1360=0,Первоначальный[[#This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платеж]]&lt;&gt;0),MIN(LOOKUP(,-1/($Z$12:Z1361=1),$C$12:C1361)+LOOKUP(,-1/($Z$12:Z1361=1),$H$12:H1361),Первоначальный[[#This Row],[Полученный платеж]]+Y1360),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платеж]]+Y1360,SUM(Первоначальный[[#This Row],[Остаток процентов на начало периода]],Первоначальный[[#This Row],[Проценты за период]])),
AND(S1360=0,Первоначальный[[#This Row],[Дата платежа из графика]]=""),0,
AND(S1360=0,Первоначальный[[#This Row],[Дата платежа из графика]]=1,MAX((0&lt;&gt;S$12:S1360)*ROW(S$12:S1360),ROW($S$12))&gt;=MAX((1=Z$12:Z1360)*ROW(Z$12:Z1360),ROW($T$12)),TYPE(VLOOKUP("Да",(INDIRECT("AA"&amp;(MAX((1=Z$12:Z1360)*ROW(Z$12:Z1360),ROW($T$12))&amp;":AA"&amp;(ROW()-1)))),1,0))=16),MIN(LOOKUP(,-1/($Z$12:Z1361=1),$C$12:C1361)+LOOKUP(,-1/($Z$12:Z1361=1),$H$12:H1361),Первоначальный[[#This Row],[Полученный платеж]]+Y1360),
AND(S1360=0,TYPE(VLOOKUP("Да",(INDIRECT("AA"&amp;(MAX((1=Z$12:Z1360)*ROW(Z$12:Z1360),ROW($T$12))&amp;":AA"&amp;(ROW()-1)))),1,0))&lt;&gt;16),MIN(LOOKUP(,-1/($Z$12:Z1361=1),$C$12:C1361)+LOOKUP(,-1/($Z$12:Z1361=1),$H$12:H1361)-IF(AA1360="Да",0,SUM(INDIRECT("T"&amp;(MAX(("Да"=AA$12:AA1360)*ROW(AA$12:AA1360)+1,ROW($T$12))&amp;":T"&amp;(ROW()-1))))),Первоначальный[[#This Row],[Полученный платеж]]+Y1360),
AND(S1360=0,MAX((0&lt;&gt;N$12:N1360)*ROW(N$12:N1360),ROW($S$12))&gt;=MAX((1=Z$12:Z1360)*ROW(Z$12:Z1360),ROW($T$12))),MIN(LOOKUP(,-1/($Z$12:Z1361=1),$C$12:C1361)+LOOKUP(,-1/($Z$12:Z1361=1),$H$12:H1361)-IF(N1360&lt;&gt;0,0,SUM(INDIRECT("T"&amp;(MAX((0&lt;&gt;N$12:N1360)*ROW(N$12:N1360)+1,ROW($T$12))&amp;":T"&amp;(ROW()-1))))),Первоначальный[[#This Row],[Полученный платеж]]+Y1360),
AND(S1360=0,Первоначальный[[#This Row],[Дата платежа из графика]]=1),MIN(LOOKUP(,-1/($Z$12:Z1361=1),$C$12:C1361)+LOOKUP(,-1/($Z$12:Z1361=1),$H$12:H1361)-IF(Z1360=1,0,SUM(INDIRECT("T"&amp;(MAX((1=Z$12:Z1360)*ROW(Z$12:Z1360)+1,ROW($T$12))&amp;":T"&amp;(ROW()-1))))),Первоначальный[[#This Row],[Полученный платеж]]+Y1360),
AND(Z1360&gt;0,Первоначальный[[#This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платеж]]+Y1360),
AND(S1360&gt;0,MAX((0&lt;&gt;S$12:S1360)*ROW(S$12:S1360),ROW($S$12))&gt;=MAX((1=Z$12:Z1360)*ROW(Z$12:Z1360),ROW($T$12)),TYPE(VLOOKUP("Да",(INDIRECT("AA"&amp;(MAX((1=Z$12:Z1360)*ROW(Z$12:Z1360),ROW($T$12))&amp;":AA"&amp;(ROW()-1)))),1,0))=16),MIN(LOOKUP(,-1/($Z$12:Z1361=1),$C$12:C1361)+LOOKUP(,-1/($Z$12:Z1361=1),$H$12:H1361)-SUM(INDIRECT("T"&amp;(MAX((1=Z$12:Z1360)*ROW(Z$12:Z1360),ROW($T$12))&amp;":T"&amp;(ROW()-1)))),Первоначальный[[#This Row],[Полученный платеж]]+Y1360),
S1360&gt;0,MIN(LOOKUP(,-1/($Z$12:Z1361=1),$C$12:C1361)+LOOKUP(,-1/($Z$12:Z1361=1),$H$12:H1361)-IF(Z1360=1,0,SUM(INDIRECT("T"&amp;(MAX((1=Z$12:Z1360)*ROW(Z$12:Z1360)+1,ROW($T$12))&amp;":T"&amp;(ROW()-1))))),Первоначальный[[#This Row],[Полученный платеж]]+Y1360)
)
)
)</f>
        <v>0</v>
      </c>
      <c r="U136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платеж]]+Y1360-Первоначальный[[#This Row],[Полученный платёж по процентам]])</f>
        <v>0</v>
      </c>
      <c r="V1361" s="55">
        <f t="shared" ca="1" si="255"/>
        <v>0</v>
      </c>
      <c r="W1361" s="55" cm="1">
        <f t="array" aca="1" ref="W1361" ca="1">IF(Первоначальный[[#This Row],[Итого остаток на начало периода]]&lt;1,0,
_xlfn.IFS(
AND(TYPE(VLOOKUP(1,$Z$12:Z1361,1,0))=16,Первоначальный[[#This Row],[Досрочное погашение (да/"")]]=""),0,
AND(S1360=0,Первоначальный[[#This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платеж]]+Y1360-SUM(Первоначальный[[#This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комиссиям]]),VLOOKUP(LOOKUP(,-1/($Z$12:Z1361=1),$A$12:A1361),График[[Срок конец]:[Возврат основной суммы долга]],3,0)),
AND(S1360=0,Первоначальный[[#This Row],[Дата платежа из графика]]="",Первоначальный[[#This Row],[Досрочное погашение (да/"")]]&lt;&gt;"Да"),0,
AND(S1360=0,Первоначальный[[#This Row],[Досрочное погашение (да/"")]]=""),MIN(Первоначальный[[#This Row],[Полученный платеж]]+Y1360-SUM(Первоначальный[[#This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комиссиям]]),VLOOKUP(LOOKUP(,-1/($Z$12:Z1361=1),$A$12:A1361),График[[Срок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платеж]]+Y1360-SUM(Первоначальный[[#This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S1360&gt;0,MIN(Первоначальный[[#This Row],[Полученный платеж]]+Y1360-SUM(Первоначальный[[#This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комиссиям]]),SUM(INDIRECT("M"&amp;(MAX((1=S$12:S1360)*ROW(S$12:S1360),ROW($W$12))&amp;":M"&amp;(ROW()))))-SUM(INDIRECT("W"&amp;(MAX((1=S$12:S1360)*ROW(S$12:S1360),ROW($W$12))&amp;":W"&amp;(ROW()-1)))))
)
)</f>
        <v>0</v>
      </c>
      <c r="X1361" s="55">
        <f t="shared" ca="1" si="256"/>
        <v>0</v>
      </c>
      <c r="Y1361" s="101">
        <f t="shared" ca="1" si="263"/>
        <v>0</v>
      </c>
      <c r="Z1361" s="133" t="str">
        <f>IF(TYPE((VLOOKUP(Первоначальный[[#This Row],[Дата платежа]],График[Срок конец],1,0)))=16,"",1)</f>
        <v/>
      </c>
      <c r="AA1361" s="57"/>
      <c r="AB1361" s="134"/>
      <c r="AC136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6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97259.040000000226</v>
      </c>
      <c r="AE136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7677.3800000000119</v>
      </c>
      <c r="AF136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6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385825.78362131148</v>
      </c>
      <c r="AH1361" s="55"/>
      <c r="AI1361" s="55"/>
      <c r="AJ1361" s="55"/>
      <c r="AK1361" s="101">
        <f t="shared" ca="1" si="264"/>
        <v>640395.54362131166</v>
      </c>
      <c r="AL1361" s="129">
        <f t="array" ref="AL1361">MAX((УслРестрактов[Характеристика]="Дата реструктуризации")*(УслРестрактов[Значение]=Первоначальный!$A1361),0)</f>
        <v>0</v>
      </c>
    </row>
    <row r="1362" spans="1:38" x14ac:dyDescent="0.25">
      <c r="A1362" s="97">
        <f t="shared" si="257"/>
        <v>45493</v>
      </c>
      <c r="B1362" s="100">
        <f t="shared" ca="1" si="258"/>
        <v>149633.34</v>
      </c>
      <c r="C1362" s="55">
        <f t="shared" ca="1" si="254"/>
        <v>97259.040000000226</v>
      </c>
      <c r="D1362" s="55">
        <f t="shared" ca="1" si="254"/>
        <v>7677.3800000000119</v>
      </c>
      <c r="E1362" s="55">
        <f t="shared" ca="1" si="259"/>
        <v>0</v>
      </c>
      <c r="F1362" s="55">
        <f t="shared" ca="1" si="260"/>
        <v>385825.78362131148</v>
      </c>
      <c r="G1362" s="101">
        <f t="shared" ca="1" si="261"/>
        <v>640395.54362131166</v>
      </c>
      <c r="H1362" s="100">
        <f ca="1">ROUND($B1362*VLOOKUP($A1362,$A$1:$B$10,2,1)/(365+IF(MOD(YEAR($A1362),4),0,1)*($A1362-$A1361)),2)-Первоначальный[[#This Row],[Проценты на просроченный платеж по ОД за период]]</f>
        <v>67.72</v>
      </c>
      <c r="I1362" s="55">
        <f t="shared" ca="1" si="262"/>
        <v>13.64</v>
      </c>
      <c r="J1362" s="55">
        <v>0</v>
      </c>
      <c r="K1362" s="55">
        <f t="shared" ca="1" si="265"/>
        <v>608.30350327868848</v>
      </c>
      <c r="L1362" s="55">
        <v>0</v>
      </c>
      <c r="M1362" s="113">
        <f>SUMIFS(График[Возврат основной суммы долга],График[Дата с учетом нерабочих дней],$A1362)</f>
        <v>0</v>
      </c>
      <c r="N1362" s="56">
        <f>SUMIFS(График[Возврат начисленных %],График[Дата с учетом нерабочих дней],$A1362)</f>
        <v>0</v>
      </c>
      <c r="O1362" s="101">
        <v>0</v>
      </c>
      <c r="P1362" s="100" cm="1">
        <f t="array" aca="1" ref="P1362" ca="1">MAX(IF(AA1361="Да",0,SUM(INDIRECT("M"&amp;(MAX(("Да"=AA$12:AA1361)*ROW(AA$12:AA1361)+1,ROW($P$12))&amp;":M"&amp;(ROW()))))-SUM(INDIRECT("W"&amp;(MAX(("Да"=AA$12:AA1361)*ROW(AA$12:AA1361)+1,ROW($P$12))&amp;":W"&amp;(ROW()))))),0)</f>
        <v>25084.419999999995</v>
      </c>
      <c r="Q1362" s="99">
        <f ca="1">MAX(SUM($N$13:N1362)-SUM($T$13:T1362),0)</f>
        <v>96576.28065573769</v>
      </c>
      <c r="R1362" s="99">
        <f ca="1">Первоначальный[[#This Row],[Просроченный платеж по ОД]]+Первоначальный[[#This Row],[Просроченный платеж по процентам]]</f>
        <v>121660.70065573769</v>
      </c>
      <c r="S1362" s="120">
        <f ca="1">IF(Первоначальный[[#This Row],[Просроченный платеж]]&lt;1,0,S1361+1)</f>
        <v>1258</v>
      </c>
      <c r="T1362" s="100" cm="1">
        <f t="array" aca="1" ref="T1362" ca="1">IF(Первоначальный[[#This Row],[Итого остаток на начало периода]]&lt;1,0,
IF(
AND(TYPE(VLOOKUP(1,$Z$12:Z1362,1,0))=16,Первоначальный[[#This Row],[Досрочное погашение (да/"")]]=""),0,
_xlfn.IFS(AND(S1361=0,Первоначальный[[#This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платеж]]&lt;&gt;0),MIN(LOOKUP(,-1/($Z$12:Z1362=1),$C$12:C1362)+LOOKUP(,-1/($Z$12:Z1362=1),$H$12:H1362),Первоначальный[[#This Row],[Полученный платеж]]+Y1361),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платеж]]+Y1361,SUM(Первоначальный[[#This Row],[Остаток процентов на начало периода]],Первоначальный[[#This Row],[Проценты за период]])),
AND(S1361=0,Первоначальный[[#This Row],[Дата платежа из графика]]=""),0,
AND(S1361=0,Первоначальный[[#This Row],[Дата платежа из графика]]=1,MAX((0&lt;&gt;S$12:S1361)*ROW(S$12:S1361),ROW($S$12))&gt;=MAX((1=Z$12:Z1361)*ROW(Z$12:Z1361),ROW($T$12)),TYPE(VLOOKUP("Да",(INDIRECT("AA"&amp;(MAX((1=Z$12:Z1361)*ROW(Z$12:Z1361),ROW($T$12))&amp;":AA"&amp;(ROW()-1)))),1,0))=16),MIN(LOOKUP(,-1/($Z$12:Z1362=1),$C$12:C1362)+LOOKUP(,-1/($Z$12:Z1362=1),$H$12:H1362),Первоначальный[[#This Row],[Полученный платеж]]+Y1361),
AND(S1361=0,TYPE(VLOOKUP("Да",(INDIRECT("AA"&amp;(MAX((1=Z$12:Z1361)*ROW(Z$12:Z1361),ROW($T$12))&amp;":AA"&amp;(ROW()-1)))),1,0))&lt;&gt;16),MIN(LOOKUP(,-1/($Z$12:Z1362=1),$C$12:C1362)+LOOKUP(,-1/($Z$12:Z1362=1),$H$12:H1362)-IF(AA1361="Да",0,SUM(INDIRECT("T"&amp;(MAX(("Да"=AA$12:AA1361)*ROW(AA$12:AA1361)+1,ROW($T$12))&amp;":T"&amp;(ROW()-1))))),Первоначальный[[#This Row],[Полученный платеж]]+Y1361),
AND(S1361=0,MAX((0&lt;&gt;N$12:N1361)*ROW(N$12:N1361),ROW($S$12))&gt;=MAX((1=Z$12:Z1361)*ROW(Z$12:Z1361),ROW($T$12))),MIN(LOOKUP(,-1/($Z$12:Z1362=1),$C$12:C1362)+LOOKUP(,-1/($Z$12:Z1362=1),$H$12:H1362)-IF(N1361&lt;&gt;0,0,SUM(INDIRECT("T"&amp;(MAX((0&lt;&gt;N$12:N1361)*ROW(N$12:N1361)+1,ROW($T$12))&amp;":T"&amp;(ROW()-1))))),Первоначальный[[#This Row],[Полученный платеж]]+Y1361),
AND(S1361=0,Первоначальный[[#This Row],[Дата платежа из графика]]=1),MIN(LOOKUP(,-1/($Z$12:Z1362=1),$C$12:C1362)+LOOKUP(,-1/($Z$12:Z1362=1),$H$12:H1362)-IF(Z1361=1,0,SUM(INDIRECT("T"&amp;(MAX((1=Z$12:Z1361)*ROW(Z$12:Z1361)+1,ROW($T$12))&amp;":T"&amp;(ROW()-1))))),Первоначальный[[#This Row],[Полученный платеж]]+Y1361),
AND(Z1361&gt;0,Первоначальный[[#This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платеж]]+Y1361),
AND(S1361&gt;0,MAX((0&lt;&gt;S$12:S1361)*ROW(S$12:S1361),ROW($S$12))&gt;=MAX((1=Z$12:Z1361)*ROW(Z$12:Z1361),ROW($T$12)),TYPE(VLOOKUP("Да",(INDIRECT("AA"&amp;(MAX((1=Z$12:Z1361)*ROW(Z$12:Z1361),ROW($T$12))&amp;":AA"&amp;(ROW()-1)))),1,0))=16),MIN(LOOKUP(,-1/($Z$12:Z1362=1),$C$12:C1362)+LOOKUP(,-1/($Z$12:Z1362=1),$H$12:H1362)-SUM(INDIRECT("T"&amp;(MAX((1=Z$12:Z1361)*ROW(Z$12:Z1361),ROW($T$12))&amp;":T"&amp;(ROW()-1)))),Первоначальный[[#This Row],[Полученный платеж]]+Y1361),
S1361&gt;0,MIN(LOOKUP(,-1/($Z$12:Z1362=1),$C$12:C1362)+LOOKUP(,-1/($Z$12:Z1362=1),$H$12:H1362)-IF(Z1361=1,0,SUM(INDIRECT("T"&amp;(MAX((1=Z$12:Z1361)*ROW(Z$12:Z1361)+1,ROW($T$12))&amp;":T"&amp;(ROW()-1))))),Первоначальный[[#This Row],[Полученный платеж]]+Y1361)
)
)
)</f>
        <v>0</v>
      </c>
      <c r="U136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платеж]]+Y1361-Первоначальный[[#This Row],[Полученный платёж по процентам]])</f>
        <v>0</v>
      </c>
      <c r="V1362" s="55">
        <f t="shared" ca="1" si="255"/>
        <v>0</v>
      </c>
      <c r="W1362" s="55" cm="1">
        <f t="array" aca="1" ref="W1362" ca="1">IF(Первоначальный[[#This Row],[Итого остаток на начало периода]]&lt;1,0,
_xlfn.IFS(
AND(TYPE(VLOOKUP(1,$Z$12:Z1362,1,0))=16,Первоначальный[[#This Row],[Досрочное погашение (да/"")]]=""),0,
AND(S1361=0,Первоначальный[[#This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платеж]]+Y1361-SUM(Первоначальный[[#This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комиссиям]]),VLOOKUP(LOOKUP(,-1/($Z$12:Z1362=1),$A$12:A1362),График[[Срок конец]:[Возврат основной суммы долга]],3,0)),
AND(S1361=0,Первоначальный[[#This Row],[Дата платежа из графика]]="",Первоначальный[[#This Row],[Досрочное погашение (да/"")]]&lt;&gt;"Да"),0,
AND(S1361=0,Первоначальный[[#This Row],[Досрочное погашение (да/"")]]=""),MIN(Первоначальный[[#This Row],[Полученный платеж]]+Y1361-SUM(Первоначальный[[#This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комиссиям]]),VLOOKUP(LOOKUP(,-1/($Z$12:Z1362=1),$A$12:A1362),График[[Срок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платеж]]+Y1361-SUM(Первоначальный[[#This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S1361&gt;0,MIN(Первоначальный[[#This Row],[Полученный платеж]]+Y1361-SUM(Первоначальный[[#This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комиссиям]]),SUM(INDIRECT("M"&amp;(MAX((1=S$12:S1361)*ROW(S$12:S1361),ROW($W$12))&amp;":M"&amp;(ROW()))))-SUM(INDIRECT("W"&amp;(MAX((1=S$12:S1361)*ROW(S$12:S1361),ROW($W$12))&amp;":W"&amp;(ROW()-1)))))
)
)</f>
        <v>0</v>
      </c>
      <c r="X1362" s="55">
        <f t="shared" ca="1" si="256"/>
        <v>0</v>
      </c>
      <c r="Y1362" s="101">
        <f t="shared" ca="1" si="263"/>
        <v>0</v>
      </c>
      <c r="Z1362" s="133" t="str">
        <f>IF(TYPE((VLOOKUP(Первоначальный[[#This Row],[Дата платежа]],График[Срок конец],1,0)))=16,"",1)</f>
        <v/>
      </c>
      <c r="AA1362" s="57"/>
      <c r="AB1362" s="134"/>
      <c r="AC136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6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97326.760000000228</v>
      </c>
      <c r="AE136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7691.0200000000123</v>
      </c>
      <c r="AF136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6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386434.08712459018</v>
      </c>
      <c r="AH1362" s="55"/>
      <c r="AI1362" s="55"/>
      <c r="AJ1362" s="55"/>
      <c r="AK1362" s="101">
        <f t="shared" ca="1" si="264"/>
        <v>641085.20712459041</v>
      </c>
      <c r="AL1362" s="129">
        <f t="array" ref="AL1362">MAX((УслРестрактов[Характеристика]="Дата реструктуризации")*(УслРестрактов[Значение]=Первоначальный!$A1362),0)</f>
        <v>0</v>
      </c>
    </row>
    <row r="1363" spans="1:38" x14ac:dyDescent="0.25">
      <c r="A1363" s="97">
        <f t="shared" si="257"/>
        <v>45494</v>
      </c>
      <c r="B1363" s="100">
        <f t="shared" ca="1" si="258"/>
        <v>149633.34</v>
      </c>
      <c r="C1363" s="55">
        <f t="shared" ca="1" si="254"/>
        <v>97326.760000000228</v>
      </c>
      <c r="D1363" s="55">
        <f t="shared" ca="1" si="254"/>
        <v>7691.0200000000123</v>
      </c>
      <c r="E1363" s="55">
        <f t="shared" ca="1" si="259"/>
        <v>0</v>
      </c>
      <c r="F1363" s="55">
        <f t="shared" ca="1" si="260"/>
        <v>386434.08712459018</v>
      </c>
      <c r="G1363" s="101">
        <f t="shared" ca="1" si="261"/>
        <v>641085.20712459041</v>
      </c>
      <c r="H1363" s="100">
        <f ca="1">ROUND($B1363*VLOOKUP($A1363,$A$1:$B$10,2,1)/(365+IF(MOD(YEAR($A1363),4),0,1)*($A1363-$A1362)),2)-Первоначальный[[#This Row],[Проценты на просроченный платеж по ОД за период]]</f>
        <v>67.72</v>
      </c>
      <c r="I1363" s="55">
        <f t="shared" ca="1" si="262"/>
        <v>13.64</v>
      </c>
      <c r="J1363" s="55">
        <v>0</v>
      </c>
      <c r="K1363" s="55">
        <f t="shared" ca="1" si="265"/>
        <v>608.30350327868848</v>
      </c>
      <c r="L1363" s="55">
        <v>0</v>
      </c>
      <c r="M1363" s="113">
        <f>SUMIFS(График[Возврат основной суммы долга],График[Дата с учетом нерабочих дней],$A1363)</f>
        <v>0</v>
      </c>
      <c r="N1363" s="56">
        <f>SUMIFS(График[Возврат начисленных %],График[Дата с учетом нерабочих дней],$A1363)</f>
        <v>0</v>
      </c>
      <c r="O1363" s="101">
        <v>0</v>
      </c>
      <c r="P1363" s="100" cm="1">
        <f t="array" aca="1" ref="P1363" ca="1">MAX(IF(AA1362="Да",0,SUM(INDIRECT("M"&amp;(MAX(("Да"=AA$12:AA1362)*ROW(AA$12:AA1362)+1,ROW($P$12))&amp;":M"&amp;(ROW()))))-SUM(INDIRECT("W"&amp;(MAX(("Да"=AA$12:AA1362)*ROW(AA$12:AA1362)+1,ROW($P$12))&amp;":W"&amp;(ROW()))))),0)</f>
        <v>25084.419999999995</v>
      </c>
      <c r="Q1363" s="99">
        <f ca="1">MAX(SUM($N$13:N1363)-SUM($T$13:T1363),0)</f>
        <v>96576.28065573769</v>
      </c>
      <c r="R1363" s="99">
        <f ca="1">Первоначальный[[#This Row],[Просроченный платеж по ОД]]+Первоначальный[[#This Row],[Просроченный платеж по процентам]]</f>
        <v>121660.70065573769</v>
      </c>
      <c r="S1363" s="120">
        <f ca="1">IF(Первоначальный[[#This Row],[Просроченный платеж]]&lt;1,0,S1362+1)</f>
        <v>1259</v>
      </c>
      <c r="T1363" s="100" cm="1">
        <f t="array" aca="1" ref="T1363" ca="1">IF(Первоначальный[[#This Row],[Итого остаток на начало периода]]&lt;1,0,
IF(
AND(TYPE(VLOOKUP(1,$Z$12:Z1363,1,0))=16,Первоначальный[[#This Row],[Досрочное погашение (да/"")]]=""),0,
_xlfn.IFS(AND(S1362=0,Первоначальный[[#This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платеж]]&lt;&gt;0),MIN(LOOKUP(,-1/($Z$12:Z1363=1),$C$12:C1363)+LOOKUP(,-1/($Z$12:Z1363=1),$H$12:H1363),Первоначальный[[#This Row],[Полученный платеж]]+Y1362),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платеж]]+Y1362,SUM(Первоначальный[[#This Row],[Остаток процентов на начало периода]],Первоначальный[[#This Row],[Проценты за период]])),
AND(S1362=0,Первоначальный[[#This Row],[Дата платежа из графика]]=""),0,
AND(S1362=0,Первоначальный[[#This Row],[Дата платежа из графика]]=1,MAX((0&lt;&gt;S$12:S1362)*ROW(S$12:S1362),ROW($S$12))&gt;=MAX((1=Z$12:Z1362)*ROW(Z$12:Z1362),ROW($T$12)),TYPE(VLOOKUP("Да",(INDIRECT("AA"&amp;(MAX((1=Z$12:Z1362)*ROW(Z$12:Z1362),ROW($T$12))&amp;":AA"&amp;(ROW()-1)))),1,0))=16),MIN(LOOKUP(,-1/($Z$12:Z1363=1),$C$12:C1363)+LOOKUP(,-1/($Z$12:Z1363=1),$H$12:H1363),Первоначальный[[#This Row],[Полученный платеж]]+Y1362),
AND(S1362=0,TYPE(VLOOKUP("Да",(INDIRECT("AA"&amp;(MAX((1=Z$12:Z1362)*ROW(Z$12:Z1362),ROW($T$12))&amp;":AA"&amp;(ROW()-1)))),1,0))&lt;&gt;16),MIN(LOOKUP(,-1/($Z$12:Z1363=1),$C$12:C1363)+LOOKUP(,-1/($Z$12:Z1363=1),$H$12:H1363)-IF(AA1362="Да",0,SUM(INDIRECT("T"&amp;(MAX(("Да"=AA$12:AA1362)*ROW(AA$12:AA1362)+1,ROW($T$12))&amp;":T"&amp;(ROW()-1))))),Первоначальный[[#This Row],[Полученный платеж]]+Y1362),
AND(S1362=0,MAX((0&lt;&gt;N$12:N1362)*ROW(N$12:N1362),ROW($S$12))&gt;=MAX((1=Z$12:Z1362)*ROW(Z$12:Z1362),ROW($T$12))),MIN(LOOKUP(,-1/($Z$12:Z1363=1),$C$12:C1363)+LOOKUP(,-1/($Z$12:Z1363=1),$H$12:H1363)-IF(N1362&lt;&gt;0,0,SUM(INDIRECT("T"&amp;(MAX((0&lt;&gt;N$12:N1362)*ROW(N$12:N1362)+1,ROW($T$12))&amp;":T"&amp;(ROW()-1))))),Первоначальный[[#This Row],[Полученный платеж]]+Y1362),
AND(S1362=0,Первоначальный[[#This Row],[Дата платежа из графика]]=1),MIN(LOOKUP(,-1/($Z$12:Z1363=1),$C$12:C1363)+LOOKUP(,-1/($Z$12:Z1363=1),$H$12:H1363)-IF(Z1362=1,0,SUM(INDIRECT("T"&amp;(MAX((1=Z$12:Z1362)*ROW(Z$12:Z1362)+1,ROW($T$12))&amp;":T"&amp;(ROW()-1))))),Первоначальный[[#This Row],[Полученный платеж]]+Y1362),
AND(Z1362&gt;0,Первоначальный[[#This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платеж]]+Y1362),
AND(S1362&gt;0,MAX((0&lt;&gt;S$12:S1362)*ROW(S$12:S1362),ROW($S$12))&gt;=MAX((1=Z$12:Z1362)*ROW(Z$12:Z1362),ROW($T$12)),TYPE(VLOOKUP("Да",(INDIRECT("AA"&amp;(MAX((1=Z$12:Z1362)*ROW(Z$12:Z1362),ROW($T$12))&amp;":AA"&amp;(ROW()-1)))),1,0))=16),MIN(LOOKUP(,-1/($Z$12:Z1363=1),$C$12:C1363)+LOOKUP(,-1/($Z$12:Z1363=1),$H$12:H1363)-SUM(INDIRECT("T"&amp;(MAX((1=Z$12:Z1362)*ROW(Z$12:Z1362),ROW($T$12))&amp;":T"&amp;(ROW()-1)))),Первоначальный[[#This Row],[Полученный платеж]]+Y1362),
S1362&gt;0,MIN(LOOKUP(,-1/($Z$12:Z1363=1),$C$12:C1363)+LOOKUP(,-1/($Z$12:Z1363=1),$H$12:H1363)-IF(Z1362=1,0,SUM(INDIRECT("T"&amp;(MAX((1=Z$12:Z1362)*ROW(Z$12:Z1362)+1,ROW($T$12))&amp;":T"&amp;(ROW()-1))))),Первоначальный[[#This Row],[Полученный платеж]]+Y1362)
)
)
)</f>
        <v>0</v>
      </c>
      <c r="U136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платеж]]+Y1362-Первоначальный[[#This Row],[Полученный платёж по процентам]])</f>
        <v>0</v>
      </c>
      <c r="V1363" s="55">
        <f t="shared" ca="1" si="255"/>
        <v>0</v>
      </c>
      <c r="W1363" s="55" cm="1">
        <f t="array" aca="1" ref="W1363" ca="1">IF(Первоначальный[[#This Row],[Итого остаток на начало периода]]&lt;1,0,
_xlfn.IFS(
AND(TYPE(VLOOKUP(1,$Z$12:Z1363,1,0))=16,Первоначальный[[#This Row],[Досрочное погашение (да/"")]]=""),0,
AND(S1362=0,Первоначальный[[#This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платеж]]+Y1362-SUM(Первоначальный[[#This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комиссиям]]),VLOOKUP(LOOKUP(,-1/($Z$12:Z1363=1),$A$12:A1363),График[[Срок конец]:[Возврат основной суммы долга]],3,0)),
AND(S1362=0,Первоначальный[[#This Row],[Дата платежа из графика]]="",Первоначальный[[#This Row],[Досрочное погашение (да/"")]]&lt;&gt;"Да"),0,
AND(S1362=0,Первоначальный[[#This Row],[Досрочное погашение (да/"")]]=""),MIN(Первоначальный[[#This Row],[Полученный платеж]]+Y1362-SUM(Первоначальный[[#This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комиссиям]]),VLOOKUP(LOOKUP(,-1/($Z$12:Z1363=1),$A$12:A1363),График[[Срок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платеж]]+Y1362-SUM(Первоначальный[[#This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S1362&gt;0,MIN(Первоначальный[[#This Row],[Полученный платеж]]+Y1362-SUM(Первоначальный[[#This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комиссиям]]),SUM(INDIRECT("M"&amp;(MAX((1=S$12:S1362)*ROW(S$12:S1362),ROW($W$12))&amp;":M"&amp;(ROW()))))-SUM(INDIRECT("W"&amp;(MAX((1=S$12:S1362)*ROW(S$12:S1362),ROW($W$12))&amp;":W"&amp;(ROW()-1)))))
)
)</f>
        <v>0</v>
      </c>
      <c r="X1363" s="55">
        <f t="shared" ca="1" si="256"/>
        <v>0</v>
      </c>
      <c r="Y1363" s="101">
        <f t="shared" ca="1" si="263"/>
        <v>0</v>
      </c>
      <c r="Z1363" s="133" t="str">
        <f>IF(TYPE((VLOOKUP(Первоначальный[[#This Row],[Дата платежа]],График[Срок конец],1,0)))=16,"",1)</f>
        <v/>
      </c>
      <c r="AA1363" s="57"/>
      <c r="AB1363" s="134"/>
      <c r="AC136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6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97394.480000000229</v>
      </c>
      <c r="AE136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7704.6600000000126</v>
      </c>
      <c r="AF136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6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387042.39062786888</v>
      </c>
      <c r="AH1363" s="55"/>
      <c r="AI1363" s="55"/>
      <c r="AJ1363" s="55"/>
      <c r="AK1363" s="101">
        <f t="shared" ca="1" si="264"/>
        <v>641774.87062786915</v>
      </c>
      <c r="AL1363" s="129">
        <f t="array" ref="AL1363">MAX((УслРестрактов[Характеристика]="Дата реструктуризации")*(УслРестрактов[Значение]=Первоначальный!$A1363),0)</f>
        <v>0</v>
      </c>
    </row>
    <row r="1364" spans="1:38" x14ac:dyDescent="0.25">
      <c r="A1364" s="97">
        <f t="shared" si="257"/>
        <v>45495</v>
      </c>
      <c r="B1364" s="100">
        <f t="shared" ca="1" si="258"/>
        <v>149633.34</v>
      </c>
      <c r="C1364" s="55">
        <f t="shared" ca="1" si="254"/>
        <v>97394.480000000229</v>
      </c>
      <c r="D1364" s="55">
        <f t="shared" ca="1" si="254"/>
        <v>7704.6600000000126</v>
      </c>
      <c r="E1364" s="55">
        <f t="shared" ca="1" si="259"/>
        <v>0</v>
      </c>
      <c r="F1364" s="55">
        <f t="shared" ca="1" si="260"/>
        <v>387042.39062786888</v>
      </c>
      <c r="G1364" s="101">
        <f t="shared" ca="1" si="261"/>
        <v>641774.87062786915</v>
      </c>
      <c r="H1364" s="100">
        <f ca="1">ROUND($B1364*VLOOKUP($A1364,$A$1:$B$10,2,1)/(365+IF(MOD(YEAR($A1364),4),0,1)*($A1364-$A1363)),2)-Первоначальный[[#This Row],[Проценты на просроченный платеж по ОД за период]]</f>
        <v>67.72</v>
      </c>
      <c r="I1364" s="55">
        <f t="shared" ca="1" si="262"/>
        <v>13.64</v>
      </c>
      <c r="J1364" s="55">
        <v>0</v>
      </c>
      <c r="K1364" s="55">
        <f t="shared" ca="1" si="265"/>
        <v>608.30350327868848</v>
      </c>
      <c r="L1364" s="55">
        <v>0</v>
      </c>
      <c r="M1364" s="113">
        <f>SUMIFS(График[Возврат основной суммы долга],График[Дата с учетом нерабочих дней],$A1364)</f>
        <v>0</v>
      </c>
      <c r="N1364" s="56">
        <f>SUMIFS(График[Возврат начисленных %],График[Дата с учетом нерабочих дней],$A1364)</f>
        <v>0</v>
      </c>
      <c r="O1364" s="101">
        <v>0</v>
      </c>
      <c r="P1364" s="100" cm="1">
        <f t="array" aca="1" ref="P1364" ca="1">MAX(IF(AA1363="Да",0,SUM(INDIRECT("M"&amp;(MAX(("Да"=AA$12:AA1363)*ROW(AA$12:AA1363)+1,ROW($P$12))&amp;":M"&amp;(ROW()))))-SUM(INDIRECT("W"&amp;(MAX(("Да"=AA$12:AA1363)*ROW(AA$12:AA1363)+1,ROW($P$12))&amp;":W"&amp;(ROW()))))),0)</f>
        <v>25084.419999999995</v>
      </c>
      <c r="Q1364" s="99">
        <f ca="1">MAX(SUM($N$13:N1364)-SUM($T$13:T1364),0)</f>
        <v>96576.28065573769</v>
      </c>
      <c r="R1364" s="99">
        <f ca="1">Первоначальный[[#This Row],[Просроченный платеж по ОД]]+Первоначальный[[#This Row],[Просроченный платеж по процентам]]</f>
        <v>121660.70065573769</v>
      </c>
      <c r="S1364" s="120">
        <f ca="1">IF(Первоначальный[[#This Row],[Просроченный платеж]]&lt;1,0,S1363+1)</f>
        <v>1260</v>
      </c>
      <c r="T1364" s="100" cm="1">
        <f t="array" aca="1" ref="T1364" ca="1">IF(Первоначальный[[#This Row],[Итого остаток на начало периода]]&lt;1,0,
IF(
AND(TYPE(VLOOKUP(1,$Z$12:Z1364,1,0))=16,Первоначальный[[#This Row],[Досрочное погашение (да/"")]]=""),0,
_xlfn.IFS(AND(S1363=0,Первоначальный[[#This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платеж]]&lt;&gt;0),MIN(LOOKUP(,-1/($Z$12:Z1364=1),$C$12:C1364)+LOOKUP(,-1/($Z$12:Z1364=1),$H$12:H1364),Первоначальный[[#This Row],[Полученный платеж]]+Y1363),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платеж]]+Y1363,SUM(Первоначальный[[#This Row],[Остаток процентов на начало периода]],Первоначальный[[#This Row],[Проценты за период]])),
AND(S1363=0,Первоначальный[[#This Row],[Дата платежа из графика]]=""),0,
AND(S1363=0,Первоначальный[[#This Row],[Дата платежа из графика]]=1,MAX((0&lt;&gt;S$12:S1363)*ROW(S$12:S1363),ROW($S$12))&gt;=MAX((1=Z$12:Z1363)*ROW(Z$12:Z1363),ROW($T$12)),TYPE(VLOOKUP("Да",(INDIRECT("AA"&amp;(MAX((1=Z$12:Z1363)*ROW(Z$12:Z1363),ROW($T$12))&amp;":AA"&amp;(ROW()-1)))),1,0))=16),MIN(LOOKUP(,-1/($Z$12:Z1364=1),$C$12:C1364)+LOOKUP(,-1/($Z$12:Z1364=1),$H$12:H1364),Первоначальный[[#This Row],[Полученный платеж]]+Y1363),
AND(S1363=0,TYPE(VLOOKUP("Да",(INDIRECT("AA"&amp;(MAX((1=Z$12:Z1363)*ROW(Z$12:Z1363),ROW($T$12))&amp;":AA"&amp;(ROW()-1)))),1,0))&lt;&gt;16),MIN(LOOKUP(,-1/($Z$12:Z1364=1),$C$12:C1364)+LOOKUP(,-1/($Z$12:Z1364=1),$H$12:H1364)-IF(AA1363="Да",0,SUM(INDIRECT("T"&amp;(MAX(("Да"=AA$12:AA1363)*ROW(AA$12:AA1363)+1,ROW($T$12))&amp;":T"&amp;(ROW()-1))))),Первоначальный[[#This Row],[Полученный платеж]]+Y1363),
AND(S1363=0,MAX((0&lt;&gt;N$12:N1363)*ROW(N$12:N1363),ROW($S$12))&gt;=MAX((1=Z$12:Z1363)*ROW(Z$12:Z1363),ROW($T$12))),MIN(LOOKUP(,-1/($Z$12:Z1364=1),$C$12:C1364)+LOOKUP(,-1/($Z$12:Z1364=1),$H$12:H1364)-IF(N1363&lt;&gt;0,0,SUM(INDIRECT("T"&amp;(MAX((0&lt;&gt;N$12:N1363)*ROW(N$12:N1363)+1,ROW($T$12))&amp;":T"&amp;(ROW()-1))))),Первоначальный[[#This Row],[Полученный платеж]]+Y1363),
AND(S1363=0,Первоначальный[[#This Row],[Дата платежа из графика]]=1),MIN(LOOKUP(,-1/($Z$12:Z1364=1),$C$12:C1364)+LOOKUP(,-1/($Z$12:Z1364=1),$H$12:H1364)-IF(Z1363=1,0,SUM(INDIRECT("T"&amp;(MAX((1=Z$12:Z1363)*ROW(Z$12:Z1363)+1,ROW($T$12))&amp;":T"&amp;(ROW()-1))))),Первоначальный[[#This Row],[Полученный платеж]]+Y1363),
AND(Z1363&gt;0,Первоначальный[[#This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платеж]]+Y1363),
AND(S1363&gt;0,MAX((0&lt;&gt;S$12:S1363)*ROW(S$12:S1363),ROW($S$12))&gt;=MAX((1=Z$12:Z1363)*ROW(Z$12:Z1363),ROW($T$12)),TYPE(VLOOKUP("Да",(INDIRECT("AA"&amp;(MAX((1=Z$12:Z1363)*ROW(Z$12:Z1363),ROW($T$12))&amp;":AA"&amp;(ROW()-1)))),1,0))=16),MIN(LOOKUP(,-1/($Z$12:Z1364=1),$C$12:C1364)+LOOKUP(,-1/($Z$12:Z1364=1),$H$12:H1364)-SUM(INDIRECT("T"&amp;(MAX((1=Z$12:Z1363)*ROW(Z$12:Z1363),ROW($T$12))&amp;":T"&amp;(ROW()-1)))),Первоначальный[[#This Row],[Полученный платеж]]+Y1363),
S1363&gt;0,MIN(LOOKUP(,-1/($Z$12:Z1364=1),$C$12:C1364)+LOOKUP(,-1/($Z$12:Z1364=1),$H$12:H1364)-IF(Z1363=1,0,SUM(INDIRECT("T"&amp;(MAX((1=Z$12:Z1363)*ROW(Z$12:Z1363)+1,ROW($T$12))&amp;":T"&amp;(ROW()-1))))),Первоначальный[[#This Row],[Полученный платеж]]+Y1363)
)
)
)</f>
        <v>0</v>
      </c>
      <c r="U136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платеж]]+Y1363-Первоначальный[[#This Row],[Полученный платёж по процентам]])</f>
        <v>0</v>
      </c>
      <c r="V1364" s="55">
        <f t="shared" ca="1" si="255"/>
        <v>0</v>
      </c>
      <c r="W1364" s="55" cm="1">
        <f t="array" aca="1" ref="W1364" ca="1">IF(Первоначальный[[#This Row],[Итого остаток на начало периода]]&lt;1,0,
_xlfn.IFS(
AND(TYPE(VLOOKUP(1,$Z$12:Z1364,1,0))=16,Первоначальный[[#This Row],[Досрочное погашение (да/"")]]=""),0,
AND(S1363=0,Первоначальный[[#This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платеж]]+Y1363-SUM(Первоначальный[[#This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комиссиям]]),VLOOKUP(LOOKUP(,-1/($Z$12:Z1364=1),$A$12:A1364),График[[Срок конец]:[Возврат основной суммы долга]],3,0)),
AND(S1363=0,Первоначальный[[#This Row],[Дата платежа из графика]]="",Первоначальный[[#This Row],[Досрочное погашение (да/"")]]&lt;&gt;"Да"),0,
AND(S1363=0,Первоначальный[[#This Row],[Досрочное погашение (да/"")]]=""),MIN(Первоначальный[[#This Row],[Полученный платеж]]+Y1363-SUM(Первоначальный[[#This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комиссиям]]),VLOOKUP(LOOKUP(,-1/($Z$12:Z1364=1),$A$12:A1364),График[[Срок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платеж]]+Y1363-SUM(Первоначальный[[#This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S1363&gt;0,MIN(Первоначальный[[#This Row],[Полученный платеж]]+Y1363-SUM(Первоначальный[[#This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комиссиям]]),SUM(INDIRECT("M"&amp;(MAX((1=S$12:S1363)*ROW(S$12:S1363),ROW($W$12))&amp;":M"&amp;(ROW()))))-SUM(INDIRECT("W"&amp;(MAX((1=S$12:S1363)*ROW(S$12:S1363),ROW($W$12))&amp;":W"&amp;(ROW()-1)))))
)
)</f>
        <v>0</v>
      </c>
      <c r="X1364" s="55">
        <f t="shared" ca="1" si="256"/>
        <v>0</v>
      </c>
      <c r="Y1364" s="101">
        <f t="shared" ca="1" si="263"/>
        <v>0</v>
      </c>
      <c r="Z1364" s="133" t="str">
        <f>IF(TYPE((VLOOKUP(Первоначальный[[#This Row],[Дата платежа]],График[Срок конец],1,0)))=16,"",1)</f>
        <v/>
      </c>
      <c r="AA1364" s="57"/>
      <c r="AB1364" s="134"/>
      <c r="AC136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6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97462.20000000023</v>
      </c>
      <c r="AE136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7718.3000000000129</v>
      </c>
      <c r="AF136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6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387650.69413114758</v>
      </c>
      <c r="AH1364" s="55"/>
      <c r="AI1364" s="55"/>
      <c r="AJ1364" s="55"/>
      <c r="AK1364" s="101">
        <f t="shared" ca="1" si="264"/>
        <v>642464.53413114778</v>
      </c>
      <c r="AL1364" s="129">
        <f t="array" ref="AL1364">MAX((УслРестрактов[Характеристика]="Дата реструктуризации")*(УслРестрактов[Значение]=Первоначальный!$A1364),0)</f>
        <v>0</v>
      </c>
    </row>
    <row r="1365" spans="1:38" x14ac:dyDescent="0.25">
      <c r="A1365" s="97">
        <f t="shared" si="257"/>
        <v>45496</v>
      </c>
      <c r="B1365" s="100">
        <f t="shared" ca="1" si="258"/>
        <v>149633.34</v>
      </c>
      <c r="C1365" s="55">
        <f t="shared" ca="1" si="254"/>
        <v>97462.20000000023</v>
      </c>
      <c r="D1365" s="55">
        <f t="shared" ca="1" si="254"/>
        <v>7718.3000000000129</v>
      </c>
      <c r="E1365" s="55">
        <f t="shared" ca="1" si="259"/>
        <v>0</v>
      </c>
      <c r="F1365" s="55">
        <f t="shared" ca="1" si="260"/>
        <v>387650.69413114758</v>
      </c>
      <c r="G1365" s="101">
        <f t="shared" ca="1" si="261"/>
        <v>642464.53413114778</v>
      </c>
      <c r="H1365" s="100">
        <f ca="1">ROUND($B1365*VLOOKUP($A1365,$A$1:$B$10,2,1)/(365+IF(MOD(YEAR($A1365),4),0,1)*($A1365-$A1364)),2)-Первоначальный[[#This Row],[Проценты на просроченный платеж по ОД за период]]</f>
        <v>67.72</v>
      </c>
      <c r="I1365" s="55">
        <f t="shared" ca="1" si="262"/>
        <v>13.64</v>
      </c>
      <c r="J1365" s="55">
        <v>0</v>
      </c>
      <c r="K1365" s="55">
        <f t="shared" ca="1" si="265"/>
        <v>608.30350327868848</v>
      </c>
      <c r="L1365" s="55">
        <v>0</v>
      </c>
      <c r="M1365" s="113">
        <f>SUMIFS(График[Возврат основной суммы долга],График[Дата с учетом нерабочих дней],$A1365)</f>
        <v>0</v>
      </c>
      <c r="N1365" s="56">
        <f>SUMIFS(График[Возврат начисленных %],График[Дата с учетом нерабочих дней],$A1365)</f>
        <v>0</v>
      </c>
      <c r="O1365" s="101">
        <v>0</v>
      </c>
      <c r="P1365" s="100" cm="1">
        <f t="array" aca="1" ref="P1365" ca="1">MAX(IF(AA1364="Да",0,SUM(INDIRECT("M"&amp;(MAX(("Да"=AA$12:AA1364)*ROW(AA$12:AA1364)+1,ROW($P$12))&amp;":M"&amp;(ROW()))))-SUM(INDIRECT("W"&amp;(MAX(("Да"=AA$12:AA1364)*ROW(AA$12:AA1364)+1,ROW($P$12))&amp;":W"&amp;(ROW()))))),0)</f>
        <v>25084.419999999995</v>
      </c>
      <c r="Q1365" s="99">
        <f ca="1">MAX(SUM($N$13:N1365)-SUM($T$13:T1365),0)</f>
        <v>96576.28065573769</v>
      </c>
      <c r="R1365" s="99">
        <f ca="1">Первоначальный[[#This Row],[Просроченный платеж по ОД]]+Первоначальный[[#This Row],[Просроченный платеж по процентам]]</f>
        <v>121660.70065573769</v>
      </c>
      <c r="S1365" s="120">
        <f ca="1">IF(Первоначальный[[#This Row],[Просроченный платеж]]&lt;1,0,S1364+1)</f>
        <v>1261</v>
      </c>
      <c r="T1365" s="100" cm="1">
        <f t="array" aca="1" ref="T1365" ca="1">IF(Первоначальный[[#This Row],[Итого остаток на начало периода]]&lt;1,0,
IF(
AND(TYPE(VLOOKUP(1,$Z$12:Z1365,1,0))=16,Первоначальный[[#This Row],[Досрочное погашение (да/"")]]=""),0,
_xlfn.IFS(AND(S1364=0,Первоначальный[[#This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платеж]]&lt;&gt;0),MIN(LOOKUP(,-1/($Z$12:Z1365=1),$C$12:C1365)+LOOKUP(,-1/($Z$12:Z1365=1),$H$12:H1365),Первоначальный[[#This Row],[Полученный платеж]]+Y1364),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платеж]]+Y1364,SUM(Первоначальный[[#This Row],[Остаток процентов на начало периода]],Первоначальный[[#This Row],[Проценты за период]])),
AND(S1364=0,Первоначальный[[#This Row],[Дата платежа из графика]]=""),0,
AND(S1364=0,Первоначальный[[#This Row],[Дата платежа из графика]]=1,MAX((0&lt;&gt;S$12:S1364)*ROW(S$12:S1364),ROW($S$12))&gt;=MAX((1=Z$12:Z1364)*ROW(Z$12:Z1364),ROW($T$12)),TYPE(VLOOKUP("Да",(INDIRECT("AA"&amp;(MAX((1=Z$12:Z1364)*ROW(Z$12:Z1364),ROW($T$12))&amp;":AA"&amp;(ROW()-1)))),1,0))=16),MIN(LOOKUP(,-1/($Z$12:Z1365=1),$C$12:C1365)+LOOKUP(,-1/($Z$12:Z1365=1),$H$12:H1365),Первоначальный[[#This Row],[Полученный платеж]]+Y1364),
AND(S1364=0,TYPE(VLOOKUP("Да",(INDIRECT("AA"&amp;(MAX((1=Z$12:Z1364)*ROW(Z$12:Z1364),ROW($T$12))&amp;":AA"&amp;(ROW()-1)))),1,0))&lt;&gt;16),MIN(LOOKUP(,-1/($Z$12:Z1365=1),$C$12:C1365)+LOOKUP(,-1/($Z$12:Z1365=1),$H$12:H1365)-IF(AA1364="Да",0,SUM(INDIRECT("T"&amp;(MAX(("Да"=AA$12:AA1364)*ROW(AA$12:AA1364)+1,ROW($T$12))&amp;":T"&amp;(ROW()-1))))),Первоначальный[[#This Row],[Полученный платеж]]+Y1364),
AND(S1364=0,MAX((0&lt;&gt;N$12:N1364)*ROW(N$12:N1364),ROW($S$12))&gt;=MAX((1=Z$12:Z1364)*ROW(Z$12:Z1364),ROW($T$12))),MIN(LOOKUP(,-1/($Z$12:Z1365=1),$C$12:C1365)+LOOKUP(,-1/($Z$12:Z1365=1),$H$12:H1365)-IF(N1364&lt;&gt;0,0,SUM(INDIRECT("T"&amp;(MAX((0&lt;&gt;N$12:N1364)*ROW(N$12:N1364)+1,ROW($T$12))&amp;":T"&amp;(ROW()-1))))),Первоначальный[[#This Row],[Полученный платеж]]+Y1364),
AND(S1364=0,Первоначальный[[#This Row],[Дата платежа из графика]]=1),MIN(LOOKUP(,-1/($Z$12:Z1365=1),$C$12:C1365)+LOOKUP(,-1/($Z$12:Z1365=1),$H$12:H1365)-IF(Z1364=1,0,SUM(INDIRECT("T"&amp;(MAX((1=Z$12:Z1364)*ROW(Z$12:Z1364)+1,ROW($T$12))&amp;":T"&amp;(ROW()-1))))),Первоначальный[[#This Row],[Полученный платеж]]+Y1364),
AND(Z1364&gt;0,Первоначальный[[#This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платеж]]+Y1364),
AND(S1364&gt;0,MAX((0&lt;&gt;S$12:S1364)*ROW(S$12:S1364),ROW($S$12))&gt;=MAX((1=Z$12:Z1364)*ROW(Z$12:Z1364),ROW($T$12)),TYPE(VLOOKUP("Да",(INDIRECT("AA"&amp;(MAX((1=Z$12:Z1364)*ROW(Z$12:Z1364),ROW($T$12))&amp;":AA"&amp;(ROW()-1)))),1,0))=16),MIN(LOOKUP(,-1/($Z$12:Z1365=1),$C$12:C1365)+LOOKUP(,-1/($Z$12:Z1365=1),$H$12:H1365)-SUM(INDIRECT("T"&amp;(MAX((1=Z$12:Z1364)*ROW(Z$12:Z1364),ROW($T$12))&amp;":T"&amp;(ROW()-1)))),Первоначальный[[#This Row],[Полученный платеж]]+Y1364),
S1364&gt;0,MIN(LOOKUP(,-1/($Z$12:Z1365=1),$C$12:C1365)+LOOKUP(,-1/($Z$12:Z1365=1),$H$12:H1365)-IF(Z1364=1,0,SUM(INDIRECT("T"&amp;(MAX((1=Z$12:Z1364)*ROW(Z$12:Z1364)+1,ROW($T$12))&amp;":T"&amp;(ROW()-1))))),Первоначальный[[#This Row],[Полученный платеж]]+Y1364)
)
)
)</f>
        <v>0</v>
      </c>
      <c r="U136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платеж]]+Y1364-Первоначальный[[#This Row],[Полученный платёж по процентам]])</f>
        <v>0</v>
      </c>
      <c r="V1365" s="55">
        <f t="shared" ca="1" si="255"/>
        <v>0</v>
      </c>
      <c r="W1365" s="55" cm="1">
        <f t="array" aca="1" ref="W1365" ca="1">IF(Первоначальный[[#This Row],[Итого остаток на начало периода]]&lt;1,0,
_xlfn.IFS(
AND(TYPE(VLOOKUP(1,$Z$12:Z1365,1,0))=16,Первоначальный[[#This Row],[Досрочное погашение (да/"")]]=""),0,
AND(S1364=0,Первоначальный[[#This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платеж]]+Y1364-SUM(Первоначальный[[#This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комиссиям]]),VLOOKUP(LOOKUP(,-1/($Z$12:Z1365=1),$A$12:A1365),График[[Срок конец]:[Возврат основной суммы долга]],3,0)),
AND(S1364=0,Первоначальный[[#This Row],[Дата платежа из графика]]="",Первоначальный[[#This Row],[Досрочное погашение (да/"")]]&lt;&gt;"Да"),0,
AND(S1364=0,Первоначальный[[#This Row],[Досрочное погашение (да/"")]]=""),MIN(Первоначальный[[#This Row],[Полученный платеж]]+Y1364-SUM(Первоначальный[[#This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комиссиям]]),VLOOKUP(LOOKUP(,-1/($Z$12:Z1365=1),$A$12:A1365),График[[Срок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платеж]]+Y1364-SUM(Первоначальный[[#This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S1364&gt;0,MIN(Первоначальный[[#This Row],[Полученный платеж]]+Y1364-SUM(Первоначальный[[#This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комиссиям]]),SUM(INDIRECT("M"&amp;(MAX((1=S$12:S1364)*ROW(S$12:S1364),ROW($W$12))&amp;":M"&amp;(ROW()))))-SUM(INDIRECT("W"&amp;(MAX((1=S$12:S1364)*ROW(S$12:S1364),ROW($W$12))&amp;":W"&amp;(ROW()-1)))))
)
)</f>
        <v>0</v>
      </c>
      <c r="X1365" s="55">
        <f t="shared" ca="1" si="256"/>
        <v>0</v>
      </c>
      <c r="Y1365" s="101">
        <f t="shared" ca="1" si="263"/>
        <v>0</v>
      </c>
      <c r="Z1365" s="133" t="str">
        <f>IF(TYPE((VLOOKUP(Первоначальный[[#This Row],[Дата платежа]],График[Срок конец],1,0)))=16,"",1)</f>
        <v/>
      </c>
      <c r="AA1365" s="57"/>
      <c r="AB1365" s="134"/>
      <c r="AC136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6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97529.920000000231</v>
      </c>
      <c r="AE136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7731.9400000000132</v>
      </c>
      <c r="AF136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6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388258.99763442628</v>
      </c>
      <c r="AH1365" s="55"/>
      <c r="AI1365" s="55"/>
      <c r="AJ1365" s="55"/>
      <c r="AK1365" s="101">
        <f t="shared" ca="1" si="264"/>
        <v>643154.19763442653</v>
      </c>
      <c r="AL1365" s="129">
        <f t="array" ref="AL1365">MAX((УслРестрактов[Характеристика]="Дата реструктуризации")*(УслРестрактов[Значение]=Первоначальный!$A1365),0)</f>
        <v>0</v>
      </c>
    </row>
    <row r="1366" spans="1:38" x14ac:dyDescent="0.25">
      <c r="A1366" s="97">
        <f t="shared" si="257"/>
        <v>45497</v>
      </c>
      <c r="B1366" s="100">
        <f t="shared" ca="1" si="258"/>
        <v>149633.34</v>
      </c>
      <c r="C1366" s="55">
        <f t="shared" ca="1" si="254"/>
        <v>97529.920000000231</v>
      </c>
      <c r="D1366" s="55">
        <f t="shared" ca="1" si="254"/>
        <v>7731.9400000000132</v>
      </c>
      <c r="E1366" s="55">
        <f t="shared" ca="1" si="259"/>
        <v>0</v>
      </c>
      <c r="F1366" s="55">
        <f t="shared" ca="1" si="260"/>
        <v>388258.99763442628</v>
      </c>
      <c r="G1366" s="101">
        <f t="shared" ca="1" si="261"/>
        <v>643154.19763442653</v>
      </c>
      <c r="H1366" s="100">
        <f ca="1">ROUND($B1366*VLOOKUP($A1366,$A$1:$B$10,2,1)/(365+IF(MOD(YEAR($A1366),4),0,1)*($A1366-$A1365)),2)-Первоначальный[[#This Row],[Проценты на просроченный платеж по ОД за период]]</f>
        <v>67.72</v>
      </c>
      <c r="I1366" s="55">
        <f t="shared" ca="1" si="262"/>
        <v>13.64</v>
      </c>
      <c r="J1366" s="55">
        <v>0</v>
      </c>
      <c r="K1366" s="55">
        <f t="shared" ca="1" si="265"/>
        <v>608.30350327868848</v>
      </c>
      <c r="L1366" s="55">
        <v>0</v>
      </c>
      <c r="M1366" s="113">
        <f>SUMIFS(График[Возврат основной суммы долга],График[Дата с учетом нерабочих дней],$A1366)</f>
        <v>0</v>
      </c>
      <c r="N1366" s="56">
        <f>SUMIFS(График[Возврат начисленных %],График[Дата с учетом нерабочих дней],$A1366)</f>
        <v>0</v>
      </c>
      <c r="O1366" s="101">
        <v>0</v>
      </c>
      <c r="P1366" s="100" cm="1">
        <f t="array" aca="1" ref="P1366" ca="1">MAX(IF(AA1365="Да",0,SUM(INDIRECT("M"&amp;(MAX(("Да"=AA$12:AA1365)*ROW(AA$12:AA1365)+1,ROW($P$12))&amp;":M"&amp;(ROW()))))-SUM(INDIRECT("W"&amp;(MAX(("Да"=AA$12:AA1365)*ROW(AA$12:AA1365)+1,ROW($P$12))&amp;":W"&amp;(ROW()))))),0)</f>
        <v>25084.419999999995</v>
      </c>
      <c r="Q1366" s="99">
        <f ca="1">MAX(SUM($N$13:N1366)-SUM($T$13:T1366),0)</f>
        <v>96576.28065573769</v>
      </c>
      <c r="R1366" s="99">
        <f ca="1">Первоначальный[[#This Row],[Просроченный платеж по ОД]]+Первоначальный[[#This Row],[Просроченный платеж по процентам]]</f>
        <v>121660.70065573769</v>
      </c>
      <c r="S1366" s="120">
        <f ca="1">IF(Первоначальный[[#This Row],[Просроченный платеж]]&lt;1,0,S1365+1)</f>
        <v>1262</v>
      </c>
      <c r="T1366" s="100" cm="1">
        <f t="array" aca="1" ref="T1366" ca="1">IF(Первоначальный[[#This Row],[Итого остаток на начало периода]]&lt;1,0,
IF(
AND(TYPE(VLOOKUP(1,$Z$12:Z1366,1,0))=16,Первоначальный[[#This Row],[Досрочное погашение (да/"")]]=""),0,
_xlfn.IFS(AND(S1365=0,Первоначальный[[#This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платеж]]&lt;&gt;0),MIN(LOOKUP(,-1/($Z$12:Z1366=1),$C$12:C1366)+LOOKUP(,-1/($Z$12:Z1366=1),$H$12:H1366),Первоначальный[[#This Row],[Полученный платеж]]+Y1365),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платеж]]+Y1365,SUM(Первоначальный[[#This Row],[Остаток процентов на начало периода]],Первоначальный[[#This Row],[Проценты за период]])),
AND(S1365=0,Первоначальный[[#This Row],[Дата платежа из графика]]=""),0,
AND(S1365=0,Первоначальный[[#This Row],[Дата платежа из графика]]=1,MAX((0&lt;&gt;S$12:S1365)*ROW(S$12:S1365),ROW($S$12))&gt;=MAX((1=Z$12:Z1365)*ROW(Z$12:Z1365),ROW($T$12)),TYPE(VLOOKUP("Да",(INDIRECT("AA"&amp;(MAX((1=Z$12:Z1365)*ROW(Z$12:Z1365),ROW($T$12))&amp;":AA"&amp;(ROW()-1)))),1,0))=16),MIN(LOOKUP(,-1/($Z$12:Z1366=1),$C$12:C1366)+LOOKUP(,-1/($Z$12:Z1366=1),$H$12:H1366),Первоначальный[[#This Row],[Полученный платеж]]+Y1365),
AND(S1365=0,TYPE(VLOOKUP("Да",(INDIRECT("AA"&amp;(MAX((1=Z$12:Z1365)*ROW(Z$12:Z1365),ROW($T$12))&amp;":AA"&amp;(ROW()-1)))),1,0))&lt;&gt;16),MIN(LOOKUP(,-1/($Z$12:Z1366=1),$C$12:C1366)+LOOKUP(,-1/($Z$12:Z1366=1),$H$12:H1366)-IF(AA1365="Да",0,SUM(INDIRECT("T"&amp;(MAX(("Да"=AA$12:AA1365)*ROW(AA$12:AA1365)+1,ROW($T$12))&amp;":T"&amp;(ROW()-1))))),Первоначальный[[#This Row],[Полученный платеж]]+Y1365),
AND(S1365=0,MAX((0&lt;&gt;N$12:N1365)*ROW(N$12:N1365),ROW($S$12))&gt;=MAX((1=Z$12:Z1365)*ROW(Z$12:Z1365),ROW($T$12))),MIN(LOOKUP(,-1/($Z$12:Z1366=1),$C$12:C1366)+LOOKUP(,-1/($Z$12:Z1366=1),$H$12:H1366)-IF(N1365&lt;&gt;0,0,SUM(INDIRECT("T"&amp;(MAX((0&lt;&gt;N$12:N1365)*ROW(N$12:N1365)+1,ROW($T$12))&amp;":T"&amp;(ROW()-1))))),Первоначальный[[#This Row],[Полученный платеж]]+Y1365),
AND(S1365=0,Первоначальный[[#This Row],[Дата платежа из графика]]=1),MIN(LOOKUP(,-1/($Z$12:Z1366=1),$C$12:C1366)+LOOKUP(,-1/($Z$12:Z1366=1),$H$12:H1366)-IF(Z1365=1,0,SUM(INDIRECT("T"&amp;(MAX((1=Z$12:Z1365)*ROW(Z$12:Z1365)+1,ROW($T$12))&amp;":T"&amp;(ROW()-1))))),Первоначальный[[#This Row],[Полученный платеж]]+Y1365),
AND(Z1365&gt;0,Первоначальный[[#This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платеж]]+Y1365),
AND(S1365&gt;0,MAX((0&lt;&gt;S$12:S1365)*ROW(S$12:S1365),ROW($S$12))&gt;=MAX((1=Z$12:Z1365)*ROW(Z$12:Z1365),ROW($T$12)),TYPE(VLOOKUP("Да",(INDIRECT("AA"&amp;(MAX((1=Z$12:Z1365)*ROW(Z$12:Z1365),ROW($T$12))&amp;":AA"&amp;(ROW()-1)))),1,0))=16),MIN(LOOKUP(,-1/($Z$12:Z1366=1),$C$12:C1366)+LOOKUP(,-1/($Z$12:Z1366=1),$H$12:H1366)-SUM(INDIRECT("T"&amp;(MAX((1=Z$12:Z1365)*ROW(Z$12:Z1365),ROW($T$12))&amp;":T"&amp;(ROW()-1)))),Первоначальный[[#This Row],[Полученный платеж]]+Y1365),
S1365&gt;0,MIN(LOOKUP(,-1/($Z$12:Z1366=1),$C$12:C1366)+LOOKUP(,-1/($Z$12:Z1366=1),$H$12:H1366)-IF(Z1365=1,0,SUM(INDIRECT("T"&amp;(MAX((1=Z$12:Z1365)*ROW(Z$12:Z1365)+1,ROW($T$12))&amp;":T"&amp;(ROW()-1))))),Первоначальный[[#This Row],[Полученный платеж]]+Y1365)
)
)
)</f>
        <v>0</v>
      </c>
      <c r="U136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платеж]]+Y1365-Первоначальный[[#This Row],[Полученный платёж по процентам]])</f>
        <v>0</v>
      </c>
      <c r="V1366" s="55">
        <f t="shared" ca="1" si="255"/>
        <v>0</v>
      </c>
      <c r="W1366" s="55" cm="1">
        <f t="array" aca="1" ref="W1366" ca="1">IF(Первоначальный[[#This Row],[Итого остаток на начало периода]]&lt;1,0,
_xlfn.IFS(
AND(TYPE(VLOOKUP(1,$Z$12:Z1366,1,0))=16,Первоначальный[[#This Row],[Досрочное погашение (да/"")]]=""),0,
AND(S1365=0,Первоначальный[[#This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платеж]]+Y1365-SUM(Первоначальный[[#This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комиссиям]]),VLOOKUP(LOOKUP(,-1/($Z$12:Z1366=1),$A$12:A1366),График[[Срок конец]:[Возврат основной суммы долга]],3,0)),
AND(S1365=0,Первоначальный[[#This Row],[Дата платежа из графика]]="",Первоначальный[[#This Row],[Досрочное погашение (да/"")]]&lt;&gt;"Да"),0,
AND(S1365=0,Первоначальный[[#This Row],[Досрочное погашение (да/"")]]=""),MIN(Первоначальный[[#This Row],[Полученный платеж]]+Y1365-SUM(Первоначальный[[#This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комиссиям]]),VLOOKUP(LOOKUP(,-1/($Z$12:Z1366=1),$A$12:A1366),График[[Срок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платеж]]+Y1365-SUM(Первоначальный[[#This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S1365&gt;0,MIN(Первоначальный[[#This Row],[Полученный платеж]]+Y1365-SUM(Первоначальный[[#This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комиссиям]]),SUM(INDIRECT("M"&amp;(MAX((1=S$12:S1365)*ROW(S$12:S1365),ROW($W$12))&amp;":M"&amp;(ROW()))))-SUM(INDIRECT("W"&amp;(MAX((1=S$12:S1365)*ROW(S$12:S1365),ROW($W$12))&amp;":W"&amp;(ROW()-1)))))
)
)</f>
        <v>0</v>
      </c>
      <c r="X1366" s="55">
        <f t="shared" ca="1" si="256"/>
        <v>0</v>
      </c>
      <c r="Y1366" s="101">
        <f t="shared" ca="1" si="263"/>
        <v>0</v>
      </c>
      <c r="Z1366" s="133" t="str">
        <f>IF(TYPE((VLOOKUP(Первоначальный[[#This Row],[Дата платежа]],График[Срок конец],1,0)))=16,"",1)</f>
        <v/>
      </c>
      <c r="AA1366" s="57"/>
      <c r="AB1366" s="134"/>
      <c r="AC136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6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97597.640000000232</v>
      </c>
      <c r="AE136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7745.5800000000136</v>
      </c>
      <c r="AF136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6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388867.30113770498</v>
      </c>
      <c r="AH1366" s="55"/>
      <c r="AI1366" s="55"/>
      <c r="AJ1366" s="55"/>
      <c r="AK1366" s="101">
        <f t="shared" ca="1" si="264"/>
        <v>643843.86113770516</v>
      </c>
      <c r="AL1366" s="129">
        <f t="array" ref="AL1366">MAX((УслРестрактов[Характеристика]="Дата реструктуризации")*(УслРестрактов[Значение]=Первоначальный!$A1366),0)</f>
        <v>0</v>
      </c>
    </row>
    <row r="1367" spans="1:38" x14ac:dyDescent="0.25">
      <c r="A1367" s="97">
        <f t="shared" si="257"/>
        <v>45498</v>
      </c>
      <c r="B1367" s="100">
        <f t="shared" ca="1" si="258"/>
        <v>149633.34</v>
      </c>
      <c r="C1367" s="55">
        <f t="shared" ca="1" si="254"/>
        <v>97597.640000000232</v>
      </c>
      <c r="D1367" s="55">
        <f t="shared" ca="1" si="254"/>
        <v>7745.5800000000136</v>
      </c>
      <c r="E1367" s="55">
        <f t="shared" ca="1" si="259"/>
        <v>0</v>
      </c>
      <c r="F1367" s="55">
        <f t="shared" ca="1" si="260"/>
        <v>388867.30113770498</v>
      </c>
      <c r="G1367" s="101">
        <f t="shared" ca="1" si="261"/>
        <v>643843.86113770516</v>
      </c>
      <c r="H1367" s="100">
        <f ca="1">ROUND($B1367*VLOOKUP($A1367,$A$1:$B$10,2,1)/(365+IF(MOD(YEAR($A1367),4),0,1)*($A1367-$A1366)),2)-Первоначальный[[#This Row],[Проценты на просроченный платеж по ОД за период]]</f>
        <v>67.72</v>
      </c>
      <c r="I1367" s="55">
        <f t="shared" ca="1" si="262"/>
        <v>13.64</v>
      </c>
      <c r="J1367" s="55">
        <v>0</v>
      </c>
      <c r="K1367" s="55">
        <f t="shared" ca="1" si="265"/>
        <v>608.30350327868848</v>
      </c>
      <c r="L1367" s="55">
        <v>0</v>
      </c>
      <c r="M1367" s="113">
        <f>SUMIFS(График[Возврат основной суммы долга],График[Дата с учетом нерабочих дней],$A1367)</f>
        <v>0</v>
      </c>
      <c r="N1367" s="56">
        <f>SUMIFS(График[Возврат начисленных %],График[Дата с учетом нерабочих дней],$A1367)</f>
        <v>0</v>
      </c>
      <c r="O1367" s="101">
        <v>0</v>
      </c>
      <c r="P1367" s="100" cm="1">
        <f t="array" aca="1" ref="P1367" ca="1">MAX(IF(AA1366="Да",0,SUM(INDIRECT("M"&amp;(MAX(("Да"=AA$12:AA1366)*ROW(AA$12:AA1366)+1,ROW($P$12))&amp;":M"&amp;(ROW()))))-SUM(INDIRECT("W"&amp;(MAX(("Да"=AA$12:AA1366)*ROW(AA$12:AA1366)+1,ROW($P$12))&amp;":W"&amp;(ROW()))))),0)</f>
        <v>25084.419999999995</v>
      </c>
      <c r="Q1367" s="99">
        <f ca="1">MAX(SUM($N$13:N1367)-SUM($T$13:T1367),0)</f>
        <v>96576.28065573769</v>
      </c>
      <c r="R1367" s="99">
        <f ca="1">Первоначальный[[#This Row],[Просроченный платеж по ОД]]+Первоначальный[[#This Row],[Просроченный платеж по процентам]]</f>
        <v>121660.70065573769</v>
      </c>
      <c r="S1367" s="120">
        <f ca="1">IF(Первоначальный[[#This Row],[Просроченный платеж]]&lt;1,0,S1366+1)</f>
        <v>1263</v>
      </c>
      <c r="T1367" s="100" cm="1">
        <f t="array" aca="1" ref="T1367" ca="1">IF(Первоначальный[[#This Row],[Итого остаток на начало периода]]&lt;1,0,
IF(
AND(TYPE(VLOOKUP(1,$Z$12:Z1367,1,0))=16,Первоначальный[[#This Row],[Досрочное погашение (да/"")]]=""),0,
_xlfn.IFS(AND(S1366=0,Первоначальный[[#This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платеж]]&lt;&gt;0),MIN(LOOKUP(,-1/($Z$12:Z1367=1),$C$12:C1367)+LOOKUP(,-1/($Z$12:Z1367=1),$H$12:H1367),Первоначальный[[#This Row],[Полученный платеж]]+Y1366),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платеж]]+Y1366,SUM(Первоначальный[[#This Row],[Остаток процентов на начало периода]],Первоначальный[[#This Row],[Проценты за период]])),
AND(S1366=0,Первоначальный[[#This Row],[Дата платежа из графика]]=""),0,
AND(S1366=0,Первоначальный[[#This Row],[Дата платежа из графика]]=1,MAX((0&lt;&gt;S$12:S1366)*ROW(S$12:S1366),ROW($S$12))&gt;=MAX((1=Z$12:Z1366)*ROW(Z$12:Z1366),ROW($T$12)),TYPE(VLOOKUP("Да",(INDIRECT("AA"&amp;(MAX((1=Z$12:Z1366)*ROW(Z$12:Z1366),ROW($T$12))&amp;":AA"&amp;(ROW()-1)))),1,0))=16),MIN(LOOKUP(,-1/($Z$12:Z1367=1),$C$12:C1367)+LOOKUP(,-1/($Z$12:Z1367=1),$H$12:H1367),Первоначальный[[#This Row],[Полученный платеж]]+Y1366),
AND(S1366=0,TYPE(VLOOKUP("Да",(INDIRECT("AA"&amp;(MAX((1=Z$12:Z1366)*ROW(Z$12:Z1366),ROW($T$12))&amp;":AA"&amp;(ROW()-1)))),1,0))&lt;&gt;16),MIN(LOOKUP(,-1/($Z$12:Z1367=1),$C$12:C1367)+LOOKUP(,-1/($Z$12:Z1367=1),$H$12:H1367)-IF(AA1366="Да",0,SUM(INDIRECT("T"&amp;(MAX(("Да"=AA$12:AA1366)*ROW(AA$12:AA1366)+1,ROW($T$12))&amp;":T"&amp;(ROW()-1))))),Первоначальный[[#This Row],[Полученный платеж]]+Y1366),
AND(S1366=0,MAX((0&lt;&gt;N$12:N1366)*ROW(N$12:N1366),ROW($S$12))&gt;=MAX((1=Z$12:Z1366)*ROW(Z$12:Z1366),ROW($T$12))),MIN(LOOKUP(,-1/($Z$12:Z1367=1),$C$12:C1367)+LOOKUP(,-1/($Z$12:Z1367=1),$H$12:H1367)-IF(N1366&lt;&gt;0,0,SUM(INDIRECT("T"&amp;(MAX((0&lt;&gt;N$12:N1366)*ROW(N$12:N1366)+1,ROW($T$12))&amp;":T"&amp;(ROW()-1))))),Первоначальный[[#This Row],[Полученный платеж]]+Y1366),
AND(S1366=0,Первоначальный[[#This Row],[Дата платежа из графика]]=1),MIN(LOOKUP(,-1/($Z$12:Z1367=1),$C$12:C1367)+LOOKUP(,-1/($Z$12:Z1367=1),$H$12:H1367)-IF(Z1366=1,0,SUM(INDIRECT("T"&amp;(MAX((1=Z$12:Z1366)*ROW(Z$12:Z1366)+1,ROW($T$12))&amp;":T"&amp;(ROW()-1))))),Первоначальный[[#This Row],[Полученный платеж]]+Y1366),
AND(Z1366&gt;0,Первоначальный[[#This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платеж]]+Y1366),
AND(S1366&gt;0,MAX((0&lt;&gt;S$12:S1366)*ROW(S$12:S1366),ROW($S$12))&gt;=MAX((1=Z$12:Z1366)*ROW(Z$12:Z1366),ROW($T$12)),TYPE(VLOOKUP("Да",(INDIRECT("AA"&amp;(MAX((1=Z$12:Z1366)*ROW(Z$12:Z1366),ROW($T$12))&amp;":AA"&amp;(ROW()-1)))),1,0))=16),MIN(LOOKUP(,-1/($Z$12:Z1367=1),$C$12:C1367)+LOOKUP(,-1/($Z$12:Z1367=1),$H$12:H1367)-SUM(INDIRECT("T"&amp;(MAX((1=Z$12:Z1366)*ROW(Z$12:Z1366),ROW($T$12))&amp;":T"&amp;(ROW()-1)))),Первоначальный[[#This Row],[Полученный платеж]]+Y1366),
S1366&gt;0,MIN(LOOKUP(,-1/($Z$12:Z1367=1),$C$12:C1367)+LOOKUP(,-1/($Z$12:Z1367=1),$H$12:H1367)-IF(Z1366=1,0,SUM(INDIRECT("T"&amp;(MAX((1=Z$12:Z1366)*ROW(Z$12:Z1366)+1,ROW($T$12))&amp;":T"&amp;(ROW()-1))))),Первоначальный[[#This Row],[Полученный платеж]]+Y1366)
)
)
)</f>
        <v>0</v>
      </c>
      <c r="U136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платеж]]+Y1366-Первоначальный[[#This Row],[Полученный платёж по процентам]])</f>
        <v>0</v>
      </c>
      <c r="V1367" s="55">
        <f t="shared" ca="1" si="255"/>
        <v>0</v>
      </c>
      <c r="W1367" s="55" cm="1">
        <f t="array" aca="1" ref="W1367" ca="1">IF(Первоначальный[[#This Row],[Итого остаток на начало периода]]&lt;1,0,
_xlfn.IFS(
AND(TYPE(VLOOKUP(1,$Z$12:Z1367,1,0))=16,Первоначальный[[#This Row],[Досрочное погашение (да/"")]]=""),0,
AND(S1366=0,Первоначальный[[#This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платеж]]+Y1366-SUM(Первоначальный[[#This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комиссиям]]),VLOOKUP(LOOKUP(,-1/($Z$12:Z1367=1),$A$12:A1367),График[[Срок конец]:[Возврат основной суммы долга]],3,0)),
AND(S1366=0,Первоначальный[[#This Row],[Дата платежа из графика]]="",Первоначальный[[#This Row],[Досрочное погашение (да/"")]]&lt;&gt;"Да"),0,
AND(S1366=0,Первоначальный[[#This Row],[Досрочное погашение (да/"")]]=""),MIN(Первоначальный[[#This Row],[Полученный платеж]]+Y1366-SUM(Первоначальный[[#This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комиссиям]]),VLOOKUP(LOOKUP(,-1/($Z$12:Z1367=1),$A$12:A1367),График[[Срок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платеж]]+Y1366-SUM(Первоначальный[[#This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S1366&gt;0,MIN(Первоначальный[[#This Row],[Полученный платеж]]+Y1366-SUM(Первоначальный[[#This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комиссиям]]),SUM(INDIRECT("M"&amp;(MAX((1=S$12:S1366)*ROW(S$12:S1366),ROW($W$12))&amp;":M"&amp;(ROW()))))-SUM(INDIRECT("W"&amp;(MAX((1=S$12:S1366)*ROW(S$12:S1366),ROW($W$12))&amp;":W"&amp;(ROW()-1)))))
)
)</f>
        <v>0</v>
      </c>
      <c r="X1367" s="55">
        <f t="shared" ca="1" si="256"/>
        <v>0</v>
      </c>
      <c r="Y1367" s="101">
        <f t="shared" ca="1" si="263"/>
        <v>0</v>
      </c>
      <c r="Z1367" s="133" t="str">
        <f>IF(TYPE((VLOOKUP(Первоначальный[[#This Row],[Дата платежа]],График[Срок конец],1,0)))=16,"",1)</f>
        <v/>
      </c>
      <c r="AA1367" s="57"/>
      <c r="AB1367" s="134"/>
      <c r="AC136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6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97665.360000000233</v>
      </c>
      <c r="AE136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7759.2200000000139</v>
      </c>
      <c r="AF136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6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389475.60464098369</v>
      </c>
      <c r="AH1367" s="55"/>
      <c r="AI1367" s="55"/>
      <c r="AJ1367" s="55"/>
      <c r="AK1367" s="101">
        <f t="shared" ca="1" si="264"/>
        <v>644533.5246409839</v>
      </c>
      <c r="AL1367" s="129">
        <f t="array" ref="AL1367">MAX((УслРестрактов[Характеристика]="Дата реструктуризации")*(УслРестрактов[Значение]=Первоначальный!$A1367),0)</f>
        <v>0</v>
      </c>
    </row>
    <row r="1368" spans="1:38" x14ac:dyDescent="0.25">
      <c r="A1368" s="97">
        <f t="shared" si="257"/>
        <v>45499</v>
      </c>
      <c r="B1368" s="100">
        <f t="shared" ca="1" si="258"/>
        <v>149633.34</v>
      </c>
      <c r="C1368" s="55">
        <f t="shared" ca="1" si="254"/>
        <v>97665.360000000233</v>
      </c>
      <c r="D1368" s="55">
        <f t="shared" ca="1" si="254"/>
        <v>7759.2200000000139</v>
      </c>
      <c r="E1368" s="55">
        <f t="shared" ca="1" si="259"/>
        <v>0</v>
      </c>
      <c r="F1368" s="55">
        <f t="shared" ca="1" si="260"/>
        <v>389475.60464098369</v>
      </c>
      <c r="G1368" s="101">
        <f t="shared" ca="1" si="261"/>
        <v>644533.5246409839</v>
      </c>
      <c r="H1368" s="100">
        <f ca="1">ROUND($B1368*VLOOKUP($A1368,$A$1:$B$10,2,1)/(365+IF(MOD(YEAR($A1368),4),0,1)*($A1368-$A1367)),2)-Первоначальный[[#This Row],[Проценты на просроченный платеж по ОД за период]]</f>
        <v>67.72</v>
      </c>
      <c r="I1368" s="55">
        <f t="shared" ca="1" si="262"/>
        <v>13.64</v>
      </c>
      <c r="J1368" s="55">
        <v>0</v>
      </c>
      <c r="K1368" s="55">
        <f t="shared" ca="1" si="265"/>
        <v>608.30350327868848</v>
      </c>
      <c r="L1368" s="55">
        <v>0</v>
      </c>
      <c r="M1368" s="113">
        <f>SUMIFS(График[Возврат основной суммы долга],График[Дата с учетом нерабочих дней],$A1368)</f>
        <v>0</v>
      </c>
      <c r="N1368" s="56">
        <f>SUMIFS(График[Возврат начисленных %],График[Дата с учетом нерабочих дней],$A1368)</f>
        <v>0</v>
      </c>
      <c r="O1368" s="101">
        <v>0</v>
      </c>
      <c r="P1368" s="100" cm="1">
        <f t="array" aca="1" ref="P1368" ca="1">MAX(IF(AA1367="Да",0,SUM(INDIRECT("M"&amp;(MAX(("Да"=AA$12:AA1367)*ROW(AA$12:AA1367)+1,ROW($P$12))&amp;":M"&amp;(ROW()))))-SUM(INDIRECT("W"&amp;(MAX(("Да"=AA$12:AA1367)*ROW(AA$12:AA1367)+1,ROW($P$12))&amp;":W"&amp;(ROW()))))),0)</f>
        <v>25084.419999999995</v>
      </c>
      <c r="Q1368" s="99">
        <f ca="1">MAX(SUM($N$13:N1368)-SUM($T$13:T1368),0)</f>
        <v>96576.28065573769</v>
      </c>
      <c r="R1368" s="99">
        <f ca="1">Первоначальный[[#This Row],[Просроченный платеж по ОД]]+Первоначальный[[#This Row],[Просроченный платеж по процентам]]</f>
        <v>121660.70065573769</v>
      </c>
      <c r="S1368" s="120">
        <f ca="1">IF(Первоначальный[[#This Row],[Просроченный платеж]]&lt;1,0,S1367+1)</f>
        <v>1264</v>
      </c>
      <c r="T1368" s="100" cm="1">
        <f t="array" aca="1" ref="T1368" ca="1">IF(Первоначальный[[#This Row],[Итого остаток на начало периода]]&lt;1,0,
IF(
AND(TYPE(VLOOKUP(1,$Z$12:Z1368,1,0))=16,Первоначальный[[#This Row],[Досрочное погашение (да/"")]]=""),0,
_xlfn.IFS(AND(S1367=0,Первоначальный[[#This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платеж]]&lt;&gt;0),MIN(LOOKUP(,-1/($Z$12:Z1368=1),$C$12:C1368)+LOOKUP(,-1/($Z$12:Z1368=1),$H$12:H1368),Первоначальный[[#This Row],[Полученный платеж]]+Y1367),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платеж]]+Y1367,SUM(Первоначальный[[#This Row],[Остаток процентов на начало периода]],Первоначальный[[#This Row],[Проценты за период]])),
AND(S1367=0,Первоначальный[[#This Row],[Дата платежа из графика]]=""),0,
AND(S1367=0,Первоначальный[[#This Row],[Дата платежа из графика]]=1,MAX((0&lt;&gt;S$12:S1367)*ROW(S$12:S1367),ROW($S$12))&gt;=MAX((1=Z$12:Z1367)*ROW(Z$12:Z1367),ROW($T$12)),TYPE(VLOOKUP("Да",(INDIRECT("AA"&amp;(MAX((1=Z$12:Z1367)*ROW(Z$12:Z1367),ROW($T$12))&amp;":AA"&amp;(ROW()-1)))),1,0))=16),MIN(LOOKUP(,-1/($Z$12:Z1368=1),$C$12:C1368)+LOOKUP(,-1/($Z$12:Z1368=1),$H$12:H1368),Первоначальный[[#This Row],[Полученный платеж]]+Y1367),
AND(S1367=0,TYPE(VLOOKUP("Да",(INDIRECT("AA"&amp;(MAX((1=Z$12:Z1367)*ROW(Z$12:Z1367),ROW($T$12))&amp;":AA"&amp;(ROW()-1)))),1,0))&lt;&gt;16),MIN(LOOKUP(,-1/($Z$12:Z1368=1),$C$12:C1368)+LOOKUP(,-1/($Z$12:Z1368=1),$H$12:H1368)-IF(AA1367="Да",0,SUM(INDIRECT("T"&amp;(MAX(("Да"=AA$12:AA1367)*ROW(AA$12:AA1367)+1,ROW($T$12))&amp;":T"&amp;(ROW()-1))))),Первоначальный[[#This Row],[Полученный платеж]]+Y1367),
AND(S1367=0,MAX((0&lt;&gt;N$12:N1367)*ROW(N$12:N1367),ROW($S$12))&gt;=MAX((1=Z$12:Z1367)*ROW(Z$12:Z1367),ROW($T$12))),MIN(LOOKUP(,-1/($Z$12:Z1368=1),$C$12:C1368)+LOOKUP(,-1/($Z$12:Z1368=1),$H$12:H1368)-IF(N1367&lt;&gt;0,0,SUM(INDIRECT("T"&amp;(MAX((0&lt;&gt;N$12:N1367)*ROW(N$12:N1367)+1,ROW($T$12))&amp;":T"&amp;(ROW()-1))))),Первоначальный[[#This Row],[Полученный платеж]]+Y1367),
AND(S1367=0,Первоначальный[[#This Row],[Дата платежа из графика]]=1),MIN(LOOKUP(,-1/($Z$12:Z1368=1),$C$12:C1368)+LOOKUP(,-1/($Z$12:Z1368=1),$H$12:H1368)-IF(Z1367=1,0,SUM(INDIRECT("T"&amp;(MAX((1=Z$12:Z1367)*ROW(Z$12:Z1367)+1,ROW($T$12))&amp;":T"&amp;(ROW()-1))))),Первоначальный[[#This Row],[Полученный платеж]]+Y1367),
AND(Z1367&gt;0,Первоначальный[[#This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платеж]]+Y1367),
AND(S1367&gt;0,MAX((0&lt;&gt;S$12:S1367)*ROW(S$12:S1367),ROW($S$12))&gt;=MAX((1=Z$12:Z1367)*ROW(Z$12:Z1367),ROW($T$12)),TYPE(VLOOKUP("Да",(INDIRECT("AA"&amp;(MAX((1=Z$12:Z1367)*ROW(Z$12:Z1367),ROW($T$12))&amp;":AA"&amp;(ROW()-1)))),1,0))=16),MIN(LOOKUP(,-1/($Z$12:Z1368=1),$C$12:C1368)+LOOKUP(,-1/($Z$12:Z1368=1),$H$12:H1368)-SUM(INDIRECT("T"&amp;(MAX((1=Z$12:Z1367)*ROW(Z$12:Z1367),ROW($T$12))&amp;":T"&amp;(ROW()-1)))),Первоначальный[[#This Row],[Полученный платеж]]+Y1367),
S1367&gt;0,MIN(LOOKUP(,-1/($Z$12:Z1368=1),$C$12:C1368)+LOOKUP(,-1/($Z$12:Z1368=1),$H$12:H1368)-IF(Z1367=1,0,SUM(INDIRECT("T"&amp;(MAX((1=Z$12:Z1367)*ROW(Z$12:Z1367)+1,ROW($T$12))&amp;":T"&amp;(ROW()-1))))),Первоначальный[[#This Row],[Полученный платеж]]+Y1367)
)
)
)</f>
        <v>0</v>
      </c>
      <c r="U136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платеж]]+Y1367-Первоначальный[[#This Row],[Полученный платёж по процентам]])</f>
        <v>0</v>
      </c>
      <c r="V1368" s="55">
        <f t="shared" ca="1" si="255"/>
        <v>0</v>
      </c>
      <c r="W1368" s="55" cm="1">
        <f t="array" aca="1" ref="W1368" ca="1">IF(Первоначальный[[#This Row],[Итого остаток на начало периода]]&lt;1,0,
_xlfn.IFS(
AND(TYPE(VLOOKUP(1,$Z$12:Z1368,1,0))=16,Первоначальный[[#This Row],[Досрочное погашение (да/"")]]=""),0,
AND(S1367=0,Первоначальный[[#This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платеж]]+Y1367-SUM(Первоначальный[[#This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комиссиям]]),VLOOKUP(LOOKUP(,-1/($Z$12:Z1368=1),$A$12:A1368),График[[Срок конец]:[Возврат основной суммы долга]],3,0)),
AND(S1367=0,Первоначальный[[#This Row],[Дата платежа из графика]]="",Первоначальный[[#This Row],[Досрочное погашение (да/"")]]&lt;&gt;"Да"),0,
AND(S1367=0,Первоначальный[[#This Row],[Досрочное погашение (да/"")]]=""),MIN(Первоначальный[[#This Row],[Полученный платеж]]+Y1367-SUM(Первоначальный[[#This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комиссиям]]),VLOOKUP(LOOKUP(,-1/($Z$12:Z1368=1),$A$12:A1368),График[[Срок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платеж]]+Y1367-SUM(Первоначальный[[#This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S1367&gt;0,MIN(Первоначальный[[#This Row],[Полученный платеж]]+Y1367-SUM(Первоначальный[[#This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комиссиям]]),SUM(INDIRECT("M"&amp;(MAX((1=S$12:S1367)*ROW(S$12:S1367),ROW($W$12))&amp;":M"&amp;(ROW()))))-SUM(INDIRECT("W"&amp;(MAX((1=S$12:S1367)*ROW(S$12:S1367),ROW($W$12))&amp;":W"&amp;(ROW()-1)))))
)
)</f>
        <v>0</v>
      </c>
      <c r="X1368" s="55">
        <f t="shared" ca="1" si="256"/>
        <v>0</v>
      </c>
      <c r="Y1368" s="101">
        <f t="shared" ca="1" si="263"/>
        <v>0</v>
      </c>
      <c r="Z1368" s="133" t="str">
        <f>IF(TYPE((VLOOKUP(Первоначальный[[#This Row],[Дата платежа]],График[Срок конец],1,0)))=16,"",1)</f>
        <v/>
      </c>
      <c r="AA1368" s="57"/>
      <c r="AB1368" s="134"/>
      <c r="AC136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6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97733.080000000235</v>
      </c>
      <c r="AE136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7772.8600000000142</v>
      </c>
      <c r="AF136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6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390083.90814426239</v>
      </c>
      <c r="AH1368" s="55"/>
      <c r="AI1368" s="55"/>
      <c r="AJ1368" s="55"/>
      <c r="AK1368" s="101">
        <f t="shared" ca="1" si="264"/>
        <v>645223.18814426265</v>
      </c>
      <c r="AL1368" s="129">
        <f t="array" ref="AL1368">MAX((УслРестрактов[Характеристика]="Дата реструктуризации")*(УслРестрактов[Значение]=Первоначальный!$A1368),0)</f>
        <v>0</v>
      </c>
    </row>
    <row r="1369" spans="1:38" x14ac:dyDescent="0.25">
      <c r="A1369" s="97">
        <f t="shared" si="257"/>
        <v>45500</v>
      </c>
      <c r="B1369" s="100">
        <f t="shared" ca="1" si="258"/>
        <v>149633.34</v>
      </c>
      <c r="C1369" s="55">
        <f t="shared" ca="1" si="254"/>
        <v>97733.080000000235</v>
      </c>
      <c r="D1369" s="55">
        <f t="shared" ca="1" si="254"/>
        <v>7772.8600000000142</v>
      </c>
      <c r="E1369" s="55">
        <f t="shared" ca="1" si="259"/>
        <v>0</v>
      </c>
      <c r="F1369" s="55">
        <f t="shared" ca="1" si="260"/>
        <v>390083.90814426239</v>
      </c>
      <c r="G1369" s="101">
        <f t="shared" ca="1" si="261"/>
        <v>645223.18814426265</v>
      </c>
      <c r="H1369" s="100">
        <f ca="1">ROUND($B1369*VLOOKUP($A1369,$A$1:$B$10,2,1)/(365+IF(MOD(YEAR($A1369),4),0,1)*($A1369-$A1368)),2)-Первоначальный[[#This Row],[Проценты на просроченный платеж по ОД за период]]</f>
        <v>67.72</v>
      </c>
      <c r="I1369" s="55">
        <f t="shared" ca="1" si="262"/>
        <v>13.64</v>
      </c>
      <c r="J1369" s="55">
        <v>0</v>
      </c>
      <c r="K1369" s="55">
        <f t="shared" ca="1" si="265"/>
        <v>608.30350327868848</v>
      </c>
      <c r="L1369" s="55">
        <v>0</v>
      </c>
      <c r="M1369" s="113">
        <f>SUMIFS(График[Возврат основной суммы долга],График[Дата с учетом нерабочих дней],$A1369)</f>
        <v>0</v>
      </c>
      <c r="N1369" s="56">
        <f>SUMIFS(График[Возврат начисленных %],График[Дата с учетом нерабочих дней],$A1369)</f>
        <v>0</v>
      </c>
      <c r="O1369" s="101">
        <v>0</v>
      </c>
      <c r="P1369" s="100" cm="1">
        <f t="array" aca="1" ref="P1369" ca="1">MAX(IF(AA1368="Да",0,SUM(INDIRECT("M"&amp;(MAX(("Да"=AA$12:AA1368)*ROW(AA$12:AA1368)+1,ROW($P$12))&amp;":M"&amp;(ROW()))))-SUM(INDIRECT("W"&amp;(MAX(("Да"=AA$12:AA1368)*ROW(AA$12:AA1368)+1,ROW($P$12))&amp;":W"&amp;(ROW()))))),0)</f>
        <v>25084.419999999995</v>
      </c>
      <c r="Q1369" s="99">
        <f ca="1">MAX(SUM($N$13:N1369)-SUM($T$13:T1369),0)</f>
        <v>96576.28065573769</v>
      </c>
      <c r="R1369" s="99">
        <f ca="1">Первоначальный[[#This Row],[Просроченный платеж по ОД]]+Первоначальный[[#This Row],[Просроченный платеж по процентам]]</f>
        <v>121660.70065573769</v>
      </c>
      <c r="S1369" s="120">
        <f ca="1">IF(Первоначальный[[#This Row],[Просроченный платеж]]&lt;1,0,S1368+1)</f>
        <v>1265</v>
      </c>
      <c r="T1369" s="100" cm="1">
        <f t="array" aca="1" ref="T1369" ca="1">IF(Первоначальный[[#This Row],[Итого остаток на начало периода]]&lt;1,0,
IF(
AND(TYPE(VLOOKUP(1,$Z$12:Z1369,1,0))=16,Первоначальный[[#This Row],[Досрочное погашение (да/"")]]=""),0,
_xlfn.IFS(AND(S1368=0,Первоначальный[[#This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платеж]]&lt;&gt;0),MIN(LOOKUP(,-1/($Z$12:Z1369=1),$C$12:C1369)+LOOKUP(,-1/($Z$12:Z1369=1),$H$12:H1369),Первоначальный[[#This Row],[Полученный платеж]]+Y1368),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платеж]]+Y1368,SUM(Первоначальный[[#This Row],[Остаток процентов на начало периода]],Первоначальный[[#This Row],[Проценты за период]])),
AND(S1368=0,Первоначальный[[#This Row],[Дата платежа из графика]]=""),0,
AND(S1368=0,Первоначальный[[#This Row],[Дата платежа из графика]]=1,MAX((0&lt;&gt;S$12:S1368)*ROW(S$12:S1368),ROW($S$12))&gt;=MAX((1=Z$12:Z1368)*ROW(Z$12:Z1368),ROW($T$12)),TYPE(VLOOKUP("Да",(INDIRECT("AA"&amp;(MAX((1=Z$12:Z1368)*ROW(Z$12:Z1368),ROW($T$12))&amp;":AA"&amp;(ROW()-1)))),1,0))=16),MIN(LOOKUP(,-1/($Z$12:Z1369=1),$C$12:C1369)+LOOKUP(,-1/($Z$12:Z1369=1),$H$12:H1369),Первоначальный[[#This Row],[Полученный платеж]]+Y1368),
AND(S1368=0,TYPE(VLOOKUP("Да",(INDIRECT("AA"&amp;(MAX((1=Z$12:Z1368)*ROW(Z$12:Z1368),ROW($T$12))&amp;":AA"&amp;(ROW()-1)))),1,0))&lt;&gt;16),MIN(LOOKUP(,-1/($Z$12:Z1369=1),$C$12:C1369)+LOOKUP(,-1/($Z$12:Z1369=1),$H$12:H1369)-IF(AA1368="Да",0,SUM(INDIRECT("T"&amp;(MAX(("Да"=AA$12:AA1368)*ROW(AA$12:AA1368)+1,ROW($T$12))&amp;":T"&amp;(ROW()-1))))),Первоначальный[[#This Row],[Полученный платеж]]+Y1368),
AND(S1368=0,MAX((0&lt;&gt;N$12:N1368)*ROW(N$12:N1368),ROW($S$12))&gt;=MAX((1=Z$12:Z1368)*ROW(Z$12:Z1368),ROW($T$12))),MIN(LOOKUP(,-1/($Z$12:Z1369=1),$C$12:C1369)+LOOKUP(,-1/($Z$12:Z1369=1),$H$12:H1369)-IF(N1368&lt;&gt;0,0,SUM(INDIRECT("T"&amp;(MAX((0&lt;&gt;N$12:N1368)*ROW(N$12:N1368)+1,ROW($T$12))&amp;":T"&amp;(ROW()-1))))),Первоначальный[[#This Row],[Полученный платеж]]+Y1368),
AND(S1368=0,Первоначальный[[#This Row],[Дата платежа из графика]]=1),MIN(LOOKUP(,-1/($Z$12:Z1369=1),$C$12:C1369)+LOOKUP(,-1/($Z$12:Z1369=1),$H$12:H1369)-IF(Z1368=1,0,SUM(INDIRECT("T"&amp;(MAX((1=Z$12:Z1368)*ROW(Z$12:Z1368)+1,ROW($T$12))&amp;":T"&amp;(ROW()-1))))),Первоначальный[[#This Row],[Полученный платеж]]+Y1368),
AND(Z1368&gt;0,Первоначальный[[#This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платеж]]+Y1368),
AND(S1368&gt;0,MAX((0&lt;&gt;S$12:S1368)*ROW(S$12:S1368),ROW($S$12))&gt;=MAX((1=Z$12:Z1368)*ROW(Z$12:Z1368),ROW($T$12)),TYPE(VLOOKUP("Да",(INDIRECT("AA"&amp;(MAX((1=Z$12:Z1368)*ROW(Z$12:Z1368),ROW($T$12))&amp;":AA"&amp;(ROW()-1)))),1,0))=16),MIN(LOOKUP(,-1/($Z$12:Z1369=1),$C$12:C1369)+LOOKUP(,-1/($Z$12:Z1369=1),$H$12:H1369)-SUM(INDIRECT("T"&amp;(MAX((1=Z$12:Z1368)*ROW(Z$12:Z1368),ROW($T$12))&amp;":T"&amp;(ROW()-1)))),Первоначальный[[#This Row],[Полученный платеж]]+Y1368),
S1368&gt;0,MIN(LOOKUP(,-1/($Z$12:Z1369=1),$C$12:C1369)+LOOKUP(,-1/($Z$12:Z1369=1),$H$12:H1369)-IF(Z1368=1,0,SUM(INDIRECT("T"&amp;(MAX((1=Z$12:Z1368)*ROW(Z$12:Z1368)+1,ROW($T$12))&amp;":T"&amp;(ROW()-1))))),Первоначальный[[#This Row],[Полученный платеж]]+Y1368)
)
)
)</f>
        <v>0</v>
      </c>
      <c r="U136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платеж]]+Y1368-Первоначальный[[#This Row],[Полученный платёж по процентам]])</f>
        <v>0</v>
      </c>
      <c r="V1369" s="55">
        <f t="shared" ca="1" si="255"/>
        <v>0</v>
      </c>
      <c r="W1369" s="55" cm="1">
        <f t="array" aca="1" ref="W1369" ca="1">IF(Первоначальный[[#This Row],[Итого остаток на начало периода]]&lt;1,0,
_xlfn.IFS(
AND(TYPE(VLOOKUP(1,$Z$12:Z1369,1,0))=16,Первоначальный[[#This Row],[Досрочное погашение (да/"")]]=""),0,
AND(S1368=0,Первоначальный[[#This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платеж]]+Y1368-SUM(Первоначальный[[#This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комиссиям]]),VLOOKUP(LOOKUP(,-1/($Z$12:Z1369=1),$A$12:A1369),График[[Срок конец]:[Возврат основной суммы долга]],3,0)),
AND(S1368=0,Первоначальный[[#This Row],[Дата платежа из графика]]="",Первоначальный[[#This Row],[Досрочное погашение (да/"")]]&lt;&gt;"Да"),0,
AND(S1368=0,Первоначальный[[#This Row],[Досрочное погашение (да/"")]]=""),MIN(Первоначальный[[#This Row],[Полученный платеж]]+Y1368-SUM(Первоначальный[[#This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комиссиям]]),VLOOKUP(LOOKUP(,-1/($Z$12:Z1369=1),$A$12:A1369),График[[Срок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платеж]]+Y1368-SUM(Первоначальный[[#This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S1368&gt;0,MIN(Первоначальный[[#This Row],[Полученный платеж]]+Y1368-SUM(Первоначальный[[#This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комиссиям]]),SUM(INDIRECT("M"&amp;(MAX((1=S$12:S1368)*ROW(S$12:S1368),ROW($W$12))&amp;":M"&amp;(ROW()))))-SUM(INDIRECT("W"&amp;(MAX((1=S$12:S1368)*ROW(S$12:S1368),ROW($W$12))&amp;":W"&amp;(ROW()-1)))))
)
)</f>
        <v>0</v>
      </c>
      <c r="X1369" s="55">
        <f t="shared" ca="1" si="256"/>
        <v>0</v>
      </c>
      <c r="Y1369" s="101">
        <f t="shared" ca="1" si="263"/>
        <v>0</v>
      </c>
      <c r="Z1369" s="133" t="str">
        <f>IF(TYPE((VLOOKUP(Первоначальный[[#This Row],[Дата платежа]],График[Срок конец],1,0)))=16,"",1)</f>
        <v/>
      </c>
      <c r="AA1369" s="57"/>
      <c r="AB1369" s="134"/>
      <c r="AC136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6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97800.800000000236</v>
      </c>
      <c r="AE136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7786.5000000000146</v>
      </c>
      <c r="AF136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6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390692.21164754109</v>
      </c>
      <c r="AH1369" s="55"/>
      <c r="AI1369" s="55"/>
      <c r="AJ1369" s="55"/>
      <c r="AK1369" s="101">
        <f t="shared" ca="1" si="264"/>
        <v>645912.85164754139</v>
      </c>
      <c r="AL1369" s="129">
        <f t="array" ref="AL1369">MAX((УслРестрактов[Характеристика]="Дата реструктуризации")*(УслРестрактов[Значение]=Первоначальный!$A1369),0)</f>
        <v>0</v>
      </c>
    </row>
    <row r="1370" spans="1:38" x14ac:dyDescent="0.25">
      <c r="A1370" s="97">
        <f t="shared" si="257"/>
        <v>45501</v>
      </c>
      <c r="B1370" s="100">
        <f t="shared" ca="1" si="258"/>
        <v>149633.34</v>
      </c>
      <c r="C1370" s="55">
        <f t="shared" ca="1" si="254"/>
        <v>97800.800000000236</v>
      </c>
      <c r="D1370" s="55">
        <f t="shared" ca="1" si="254"/>
        <v>7786.5000000000146</v>
      </c>
      <c r="E1370" s="55">
        <f t="shared" ca="1" si="259"/>
        <v>0</v>
      </c>
      <c r="F1370" s="55">
        <f t="shared" ca="1" si="260"/>
        <v>390692.21164754109</v>
      </c>
      <c r="G1370" s="101">
        <f t="shared" ca="1" si="261"/>
        <v>645912.85164754139</v>
      </c>
      <c r="H1370" s="100">
        <f ca="1">ROUND($B1370*VLOOKUP($A1370,$A$1:$B$10,2,1)/(365+IF(MOD(YEAR($A1370),4),0,1)*($A1370-$A1369)),2)-Первоначальный[[#This Row],[Проценты на просроченный платеж по ОД за период]]</f>
        <v>67.72</v>
      </c>
      <c r="I1370" s="55">
        <f t="shared" ca="1" si="262"/>
        <v>13.64</v>
      </c>
      <c r="J1370" s="55">
        <v>0</v>
      </c>
      <c r="K1370" s="55">
        <f t="shared" ca="1" si="265"/>
        <v>608.30350327868848</v>
      </c>
      <c r="L1370" s="55">
        <v>0</v>
      </c>
      <c r="M1370" s="113">
        <f>SUMIFS(График[Возврат основной суммы долга],График[Дата с учетом нерабочих дней],$A1370)</f>
        <v>0</v>
      </c>
      <c r="N1370" s="56">
        <f>SUMIFS(График[Возврат начисленных %],График[Дата с учетом нерабочих дней],$A1370)</f>
        <v>0</v>
      </c>
      <c r="O1370" s="101">
        <v>0</v>
      </c>
      <c r="P1370" s="100" cm="1">
        <f t="array" aca="1" ref="P1370" ca="1">MAX(IF(AA1369="Да",0,SUM(INDIRECT("M"&amp;(MAX(("Да"=AA$12:AA1369)*ROW(AA$12:AA1369)+1,ROW($P$12))&amp;":M"&amp;(ROW()))))-SUM(INDIRECT("W"&amp;(MAX(("Да"=AA$12:AA1369)*ROW(AA$12:AA1369)+1,ROW($P$12))&amp;":W"&amp;(ROW()))))),0)</f>
        <v>25084.419999999995</v>
      </c>
      <c r="Q1370" s="99">
        <f ca="1">MAX(SUM($N$13:N1370)-SUM($T$13:T1370),0)</f>
        <v>96576.28065573769</v>
      </c>
      <c r="R1370" s="99">
        <f ca="1">Первоначальный[[#This Row],[Просроченный платеж по ОД]]+Первоначальный[[#This Row],[Просроченный платеж по процентам]]</f>
        <v>121660.70065573769</v>
      </c>
      <c r="S1370" s="120">
        <f ca="1">IF(Первоначальный[[#This Row],[Просроченный платеж]]&lt;1,0,S1369+1)</f>
        <v>1266</v>
      </c>
      <c r="T1370" s="100" cm="1">
        <f t="array" aca="1" ref="T1370" ca="1">IF(Первоначальный[[#This Row],[Итого остаток на начало периода]]&lt;1,0,
IF(
AND(TYPE(VLOOKUP(1,$Z$12:Z1370,1,0))=16,Первоначальный[[#This Row],[Досрочное погашение (да/"")]]=""),0,
_xlfn.IFS(AND(S1369=0,Первоначальный[[#This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платеж]]&lt;&gt;0),MIN(LOOKUP(,-1/($Z$12:Z1370=1),$C$12:C1370)+LOOKUP(,-1/($Z$12:Z1370=1),$H$12:H1370),Первоначальный[[#This Row],[Полученный платеж]]+Y1369),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платеж]]+Y1369,SUM(Первоначальный[[#This Row],[Остаток процентов на начало периода]],Первоначальный[[#This Row],[Проценты за период]])),
AND(S1369=0,Первоначальный[[#This Row],[Дата платежа из графика]]=""),0,
AND(S1369=0,Первоначальный[[#This Row],[Дата платежа из графика]]=1,MAX((0&lt;&gt;S$12:S1369)*ROW(S$12:S1369),ROW($S$12))&gt;=MAX((1=Z$12:Z1369)*ROW(Z$12:Z1369),ROW($T$12)),TYPE(VLOOKUP("Да",(INDIRECT("AA"&amp;(MAX((1=Z$12:Z1369)*ROW(Z$12:Z1369),ROW($T$12))&amp;":AA"&amp;(ROW()-1)))),1,0))=16),MIN(LOOKUP(,-1/($Z$12:Z1370=1),$C$12:C1370)+LOOKUP(,-1/($Z$12:Z1370=1),$H$12:H1370),Первоначальный[[#This Row],[Полученный платеж]]+Y1369),
AND(S1369=0,TYPE(VLOOKUP("Да",(INDIRECT("AA"&amp;(MAX((1=Z$12:Z1369)*ROW(Z$12:Z1369),ROW($T$12))&amp;":AA"&amp;(ROW()-1)))),1,0))&lt;&gt;16),MIN(LOOKUP(,-1/($Z$12:Z1370=1),$C$12:C1370)+LOOKUP(,-1/($Z$12:Z1370=1),$H$12:H1370)-IF(AA1369="Да",0,SUM(INDIRECT("T"&amp;(MAX(("Да"=AA$12:AA1369)*ROW(AA$12:AA1369)+1,ROW($T$12))&amp;":T"&amp;(ROW()-1))))),Первоначальный[[#This Row],[Полученный платеж]]+Y1369),
AND(S1369=0,MAX((0&lt;&gt;N$12:N1369)*ROW(N$12:N1369),ROW($S$12))&gt;=MAX((1=Z$12:Z1369)*ROW(Z$12:Z1369),ROW($T$12))),MIN(LOOKUP(,-1/($Z$12:Z1370=1),$C$12:C1370)+LOOKUP(,-1/($Z$12:Z1370=1),$H$12:H1370)-IF(N1369&lt;&gt;0,0,SUM(INDIRECT("T"&amp;(MAX((0&lt;&gt;N$12:N1369)*ROW(N$12:N1369)+1,ROW($T$12))&amp;":T"&amp;(ROW()-1))))),Первоначальный[[#This Row],[Полученный платеж]]+Y1369),
AND(S1369=0,Первоначальный[[#This Row],[Дата платежа из графика]]=1),MIN(LOOKUP(,-1/($Z$12:Z1370=1),$C$12:C1370)+LOOKUP(,-1/($Z$12:Z1370=1),$H$12:H1370)-IF(Z1369=1,0,SUM(INDIRECT("T"&amp;(MAX((1=Z$12:Z1369)*ROW(Z$12:Z1369)+1,ROW($T$12))&amp;":T"&amp;(ROW()-1))))),Первоначальный[[#This Row],[Полученный платеж]]+Y1369),
AND(Z1369&gt;0,Первоначальный[[#This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платеж]]+Y1369),
AND(S1369&gt;0,MAX((0&lt;&gt;S$12:S1369)*ROW(S$12:S1369),ROW($S$12))&gt;=MAX((1=Z$12:Z1369)*ROW(Z$12:Z1369),ROW($T$12)),TYPE(VLOOKUP("Да",(INDIRECT("AA"&amp;(MAX((1=Z$12:Z1369)*ROW(Z$12:Z1369),ROW($T$12))&amp;":AA"&amp;(ROW()-1)))),1,0))=16),MIN(LOOKUP(,-1/($Z$12:Z1370=1),$C$12:C1370)+LOOKUP(,-1/($Z$12:Z1370=1),$H$12:H1370)-SUM(INDIRECT("T"&amp;(MAX((1=Z$12:Z1369)*ROW(Z$12:Z1369),ROW($T$12))&amp;":T"&amp;(ROW()-1)))),Первоначальный[[#This Row],[Полученный платеж]]+Y1369),
S1369&gt;0,MIN(LOOKUP(,-1/($Z$12:Z1370=1),$C$12:C1370)+LOOKUP(,-1/($Z$12:Z1370=1),$H$12:H1370)-IF(Z1369=1,0,SUM(INDIRECT("T"&amp;(MAX((1=Z$12:Z1369)*ROW(Z$12:Z1369)+1,ROW($T$12))&amp;":T"&amp;(ROW()-1))))),Первоначальный[[#This Row],[Полученный платеж]]+Y1369)
)
)
)</f>
        <v>0</v>
      </c>
      <c r="U137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платеж]]+Y1369-Первоначальный[[#This Row],[Полученный платёж по процентам]])</f>
        <v>0</v>
      </c>
      <c r="V1370" s="55">
        <f t="shared" ca="1" si="255"/>
        <v>0</v>
      </c>
      <c r="W1370" s="55" cm="1">
        <f t="array" aca="1" ref="W1370" ca="1">IF(Первоначальный[[#This Row],[Итого остаток на начало периода]]&lt;1,0,
_xlfn.IFS(
AND(TYPE(VLOOKUP(1,$Z$12:Z1370,1,0))=16,Первоначальный[[#This Row],[Досрочное погашение (да/"")]]=""),0,
AND(S1369=0,Первоначальный[[#This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платеж]]+Y1369-SUM(Первоначальный[[#This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комиссиям]]),VLOOKUP(LOOKUP(,-1/($Z$12:Z1370=1),$A$12:A1370),График[[Срок конец]:[Возврат основной суммы долга]],3,0)),
AND(S1369=0,Первоначальный[[#This Row],[Дата платежа из графика]]="",Первоначальный[[#This Row],[Досрочное погашение (да/"")]]&lt;&gt;"Да"),0,
AND(S1369=0,Первоначальный[[#This Row],[Досрочное погашение (да/"")]]=""),MIN(Первоначальный[[#This Row],[Полученный платеж]]+Y1369-SUM(Первоначальный[[#This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комиссиям]]),VLOOKUP(LOOKUP(,-1/($Z$12:Z1370=1),$A$12:A1370),График[[Срок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платеж]]+Y1369-SUM(Первоначальный[[#This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S1369&gt;0,MIN(Первоначальный[[#This Row],[Полученный платеж]]+Y1369-SUM(Первоначальный[[#This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комиссиям]]),SUM(INDIRECT("M"&amp;(MAX((1=S$12:S1369)*ROW(S$12:S1369),ROW($W$12))&amp;":M"&amp;(ROW()))))-SUM(INDIRECT("W"&amp;(MAX((1=S$12:S1369)*ROW(S$12:S1369),ROW($W$12))&amp;":W"&amp;(ROW()-1)))))
)
)</f>
        <v>0</v>
      </c>
      <c r="X1370" s="55">
        <f t="shared" ca="1" si="256"/>
        <v>0</v>
      </c>
      <c r="Y1370" s="101">
        <f t="shared" ca="1" si="263"/>
        <v>0</v>
      </c>
      <c r="Z1370" s="133" t="str">
        <f>IF(TYPE((VLOOKUP(Первоначальный[[#This Row],[Дата платежа]],График[Срок конец],1,0)))=16,"",1)</f>
        <v/>
      </c>
      <c r="AA1370" s="57"/>
      <c r="AB1370" s="134"/>
      <c r="AC137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7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97868.520000000237</v>
      </c>
      <c r="AE137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7800.1400000000149</v>
      </c>
      <c r="AF137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7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391300.51515081979</v>
      </c>
      <c r="AH1370" s="55"/>
      <c r="AI1370" s="55"/>
      <c r="AJ1370" s="55"/>
      <c r="AK1370" s="101">
        <f t="shared" ca="1" si="264"/>
        <v>646602.51515082002</v>
      </c>
      <c r="AL1370" s="129">
        <f t="array" ref="AL1370">MAX((УслРестрактов[Характеристика]="Дата реструктуризации")*(УслРестрактов[Значение]=Первоначальный!$A1370),0)</f>
        <v>0</v>
      </c>
    </row>
    <row r="1371" spans="1:38" x14ac:dyDescent="0.25">
      <c r="A1371" s="97">
        <f t="shared" si="257"/>
        <v>45502</v>
      </c>
      <c r="B1371" s="100">
        <f t="shared" ca="1" si="258"/>
        <v>149633.34</v>
      </c>
      <c r="C1371" s="55">
        <f t="shared" ca="1" si="254"/>
        <v>97868.520000000237</v>
      </c>
      <c r="D1371" s="55">
        <f t="shared" ca="1" si="254"/>
        <v>7800.1400000000149</v>
      </c>
      <c r="E1371" s="55">
        <f t="shared" ca="1" si="259"/>
        <v>0</v>
      </c>
      <c r="F1371" s="55">
        <f t="shared" ca="1" si="260"/>
        <v>391300.51515081979</v>
      </c>
      <c r="G1371" s="101">
        <f t="shared" ca="1" si="261"/>
        <v>646602.51515082002</v>
      </c>
      <c r="H1371" s="100">
        <f ca="1">ROUND($B1371*VLOOKUP($A1371,$A$1:$B$10,2,1)/(365+IF(MOD(YEAR($A1371),4),0,1)*($A1371-$A1370)),2)-Первоначальный[[#This Row],[Проценты на просроченный платеж по ОД за период]]</f>
        <v>67.72</v>
      </c>
      <c r="I1371" s="55">
        <f t="shared" ca="1" si="262"/>
        <v>13.64</v>
      </c>
      <c r="J1371" s="55">
        <v>0</v>
      </c>
      <c r="K1371" s="55">
        <f t="shared" ca="1" si="265"/>
        <v>608.30350327868848</v>
      </c>
      <c r="L1371" s="55">
        <v>0</v>
      </c>
      <c r="M1371" s="113">
        <f>SUMIFS(График[Возврат основной суммы долга],График[Дата с учетом нерабочих дней],$A1371)</f>
        <v>0</v>
      </c>
      <c r="N1371" s="56">
        <f>SUMIFS(График[Возврат начисленных %],График[Дата с учетом нерабочих дней],$A1371)</f>
        <v>0</v>
      </c>
      <c r="O1371" s="101">
        <v>0</v>
      </c>
      <c r="P1371" s="100" cm="1">
        <f t="array" aca="1" ref="P1371" ca="1">MAX(IF(AA1370="Да",0,SUM(INDIRECT("M"&amp;(MAX(("Да"=AA$12:AA1370)*ROW(AA$12:AA1370)+1,ROW($P$12))&amp;":M"&amp;(ROW()))))-SUM(INDIRECT("W"&amp;(MAX(("Да"=AA$12:AA1370)*ROW(AA$12:AA1370)+1,ROW($P$12))&amp;":W"&amp;(ROW()))))),0)</f>
        <v>25084.419999999995</v>
      </c>
      <c r="Q1371" s="99">
        <f ca="1">MAX(SUM($N$13:N1371)-SUM($T$13:T1371),0)</f>
        <v>96576.28065573769</v>
      </c>
      <c r="R1371" s="99">
        <f ca="1">Первоначальный[[#This Row],[Просроченный платеж по ОД]]+Первоначальный[[#This Row],[Просроченный платеж по процентам]]</f>
        <v>121660.70065573769</v>
      </c>
      <c r="S1371" s="120">
        <f ca="1">IF(Первоначальный[[#This Row],[Просроченный платеж]]&lt;1,0,S1370+1)</f>
        <v>1267</v>
      </c>
      <c r="T1371" s="100" cm="1">
        <f t="array" aca="1" ref="T1371" ca="1">IF(Первоначальный[[#This Row],[Итого остаток на начало периода]]&lt;1,0,
IF(
AND(TYPE(VLOOKUP(1,$Z$12:Z1371,1,0))=16,Первоначальный[[#This Row],[Досрочное погашение (да/"")]]=""),0,
_xlfn.IFS(AND(S1370=0,Первоначальный[[#This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платеж]]&lt;&gt;0),MIN(LOOKUP(,-1/($Z$12:Z1371=1),$C$12:C1371)+LOOKUP(,-1/($Z$12:Z1371=1),$H$12:H1371),Первоначальный[[#This Row],[Полученный платеж]]+Y1370),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платеж]]+Y1370,SUM(Первоначальный[[#This Row],[Остаток процентов на начало периода]],Первоначальный[[#This Row],[Проценты за период]])),
AND(S1370=0,Первоначальный[[#This Row],[Дата платежа из графика]]=""),0,
AND(S1370=0,Первоначальный[[#This Row],[Дата платежа из графика]]=1,MAX((0&lt;&gt;S$12:S1370)*ROW(S$12:S1370),ROW($S$12))&gt;=MAX((1=Z$12:Z1370)*ROW(Z$12:Z1370),ROW($T$12)),TYPE(VLOOKUP("Да",(INDIRECT("AA"&amp;(MAX((1=Z$12:Z1370)*ROW(Z$12:Z1370),ROW($T$12))&amp;":AA"&amp;(ROW()-1)))),1,0))=16),MIN(LOOKUP(,-1/($Z$12:Z1371=1),$C$12:C1371)+LOOKUP(,-1/($Z$12:Z1371=1),$H$12:H1371),Первоначальный[[#This Row],[Полученный платеж]]+Y1370),
AND(S1370=0,TYPE(VLOOKUP("Да",(INDIRECT("AA"&amp;(MAX((1=Z$12:Z1370)*ROW(Z$12:Z1370),ROW($T$12))&amp;":AA"&amp;(ROW()-1)))),1,0))&lt;&gt;16),MIN(LOOKUP(,-1/($Z$12:Z1371=1),$C$12:C1371)+LOOKUP(,-1/($Z$12:Z1371=1),$H$12:H1371)-IF(AA1370="Да",0,SUM(INDIRECT("T"&amp;(MAX(("Да"=AA$12:AA1370)*ROW(AA$12:AA1370)+1,ROW($T$12))&amp;":T"&amp;(ROW()-1))))),Первоначальный[[#This Row],[Полученный платеж]]+Y1370),
AND(S1370=0,MAX((0&lt;&gt;N$12:N1370)*ROW(N$12:N1370),ROW($S$12))&gt;=MAX((1=Z$12:Z1370)*ROW(Z$12:Z1370),ROW($T$12))),MIN(LOOKUP(,-1/($Z$12:Z1371=1),$C$12:C1371)+LOOKUP(,-1/($Z$12:Z1371=1),$H$12:H1371)-IF(N1370&lt;&gt;0,0,SUM(INDIRECT("T"&amp;(MAX((0&lt;&gt;N$12:N1370)*ROW(N$12:N1370)+1,ROW($T$12))&amp;":T"&amp;(ROW()-1))))),Первоначальный[[#This Row],[Полученный платеж]]+Y1370),
AND(S1370=0,Первоначальный[[#This Row],[Дата платежа из графика]]=1),MIN(LOOKUP(,-1/($Z$12:Z1371=1),$C$12:C1371)+LOOKUP(,-1/($Z$12:Z1371=1),$H$12:H1371)-IF(Z1370=1,0,SUM(INDIRECT("T"&amp;(MAX((1=Z$12:Z1370)*ROW(Z$12:Z1370)+1,ROW($T$12))&amp;":T"&amp;(ROW()-1))))),Первоначальный[[#This Row],[Полученный платеж]]+Y1370),
AND(Z1370&gt;0,Первоначальный[[#This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платеж]]+Y1370),
AND(S1370&gt;0,MAX((0&lt;&gt;S$12:S1370)*ROW(S$12:S1370),ROW($S$12))&gt;=MAX((1=Z$12:Z1370)*ROW(Z$12:Z1370),ROW($T$12)),TYPE(VLOOKUP("Да",(INDIRECT("AA"&amp;(MAX((1=Z$12:Z1370)*ROW(Z$12:Z1370),ROW($T$12))&amp;":AA"&amp;(ROW()-1)))),1,0))=16),MIN(LOOKUP(,-1/($Z$12:Z1371=1),$C$12:C1371)+LOOKUP(,-1/($Z$12:Z1371=1),$H$12:H1371)-SUM(INDIRECT("T"&amp;(MAX((1=Z$12:Z1370)*ROW(Z$12:Z1370),ROW($T$12))&amp;":T"&amp;(ROW()-1)))),Первоначальный[[#This Row],[Полученный платеж]]+Y1370),
S1370&gt;0,MIN(LOOKUP(,-1/($Z$12:Z1371=1),$C$12:C1371)+LOOKUP(,-1/($Z$12:Z1371=1),$H$12:H1371)-IF(Z1370=1,0,SUM(INDIRECT("T"&amp;(MAX((1=Z$12:Z1370)*ROW(Z$12:Z1370)+1,ROW($T$12))&amp;":T"&amp;(ROW()-1))))),Первоначальный[[#This Row],[Полученный платеж]]+Y1370)
)
)
)</f>
        <v>0</v>
      </c>
      <c r="U137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платеж]]+Y1370-Первоначальный[[#This Row],[Полученный платёж по процентам]])</f>
        <v>0</v>
      </c>
      <c r="V1371" s="55">
        <f t="shared" ca="1" si="255"/>
        <v>0</v>
      </c>
      <c r="W1371" s="55" cm="1">
        <f t="array" aca="1" ref="W1371" ca="1">IF(Первоначальный[[#This Row],[Итого остаток на начало периода]]&lt;1,0,
_xlfn.IFS(
AND(TYPE(VLOOKUP(1,$Z$12:Z1371,1,0))=16,Первоначальный[[#This Row],[Досрочное погашение (да/"")]]=""),0,
AND(S1370=0,Первоначальный[[#This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платеж]]+Y1370-SUM(Первоначальный[[#This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комиссиям]]),VLOOKUP(LOOKUP(,-1/($Z$12:Z1371=1),$A$12:A1371),График[[Срок конец]:[Возврат основной суммы долга]],3,0)),
AND(S1370=0,Первоначальный[[#This Row],[Дата платежа из графика]]="",Первоначальный[[#This Row],[Досрочное погашение (да/"")]]&lt;&gt;"Да"),0,
AND(S1370=0,Первоначальный[[#This Row],[Досрочное погашение (да/"")]]=""),MIN(Первоначальный[[#This Row],[Полученный платеж]]+Y1370-SUM(Первоначальный[[#This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комиссиям]]),VLOOKUP(LOOKUP(,-1/($Z$12:Z1371=1),$A$12:A1371),График[[Срок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платеж]]+Y1370-SUM(Первоначальный[[#This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S1370&gt;0,MIN(Первоначальный[[#This Row],[Полученный платеж]]+Y1370-SUM(Первоначальный[[#This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комиссиям]]),SUM(INDIRECT("M"&amp;(MAX((1=S$12:S1370)*ROW(S$12:S1370),ROW($W$12))&amp;":M"&amp;(ROW()))))-SUM(INDIRECT("W"&amp;(MAX((1=S$12:S1370)*ROW(S$12:S1370),ROW($W$12))&amp;":W"&amp;(ROW()-1)))))
)
)</f>
        <v>0</v>
      </c>
      <c r="X1371" s="55">
        <f t="shared" ca="1" si="256"/>
        <v>0</v>
      </c>
      <c r="Y1371" s="101">
        <f t="shared" ca="1" si="263"/>
        <v>0</v>
      </c>
      <c r="Z1371" s="133" t="str">
        <f>IF(TYPE((VLOOKUP(Первоначальный[[#This Row],[Дата платежа]],График[Срок конец],1,0)))=16,"",1)</f>
        <v/>
      </c>
      <c r="AA1371" s="57"/>
      <c r="AB1371" s="134"/>
      <c r="AC137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7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97936.240000000238</v>
      </c>
      <c r="AE137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7813.7800000000152</v>
      </c>
      <c r="AF137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7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391908.81865409849</v>
      </c>
      <c r="AH1371" s="55"/>
      <c r="AI1371" s="55"/>
      <c r="AJ1371" s="55"/>
      <c r="AK1371" s="101">
        <f t="shared" ca="1" si="264"/>
        <v>647292.17865409877</v>
      </c>
      <c r="AL1371" s="129">
        <f t="array" ref="AL1371">MAX((УслРестрактов[Характеристика]="Дата реструктуризации")*(УслРестрактов[Значение]=Первоначальный!$A1371),0)</f>
        <v>0</v>
      </c>
    </row>
    <row r="1372" spans="1:38" x14ac:dyDescent="0.25">
      <c r="A1372" s="97">
        <f t="shared" si="257"/>
        <v>45503</v>
      </c>
      <c r="B1372" s="100">
        <f t="shared" ca="1" si="258"/>
        <v>149633.34</v>
      </c>
      <c r="C1372" s="55">
        <f t="shared" ca="1" si="254"/>
        <v>97936.240000000238</v>
      </c>
      <c r="D1372" s="55">
        <f t="shared" ca="1" si="254"/>
        <v>7813.7800000000152</v>
      </c>
      <c r="E1372" s="55">
        <f t="shared" ca="1" si="259"/>
        <v>0</v>
      </c>
      <c r="F1372" s="55">
        <f t="shared" ca="1" si="260"/>
        <v>391908.81865409849</v>
      </c>
      <c r="G1372" s="101">
        <f t="shared" ca="1" si="261"/>
        <v>647292.17865409877</v>
      </c>
      <c r="H1372" s="100">
        <f ca="1">ROUND($B1372*VLOOKUP($A1372,$A$1:$B$10,2,1)/(365+IF(MOD(YEAR($A1372),4),0,1)*($A1372-$A1371)),2)-Первоначальный[[#This Row],[Проценты на просроченный платеж по ОД за период]]</f>
        <v>67.72</v>
      </c>
      <c r="I1372" s="55">
        <f t="shared" ca="1" si="262"/>
        <v>13.64</v>
      </c>
      <c r="J1372" s="55">
        <v>0</v>
      </c>
      <c r="K1372" s="55">
        <f t="shared" ca="1" si="265"/>
        <v>608.30350327868848</v>
      </c>
      <c r="L1372" s="55">
        <v>0</v>
      </c>
      <c r="M1372" s="113">
        <f>SUMIFS(График[Возврат основной суммы долга],График[Дата с учетом нерабочих дней],$A1372)</f>
        <v>0</v>
      </c>
      <c r="N1372" s="56">
        <f>SUMIFS(График[Возврат начисленных %],График[Дата с учетом нерабочих дней],$A1372)</f>
        <v>0</v>
      </c>
      <c r="O1372" s="101">
        <v>0</v>
      </c>
      <c r="P1372" s="100" cm="1">
        <f t="array" aca="1" ref="P1372" ca="1">MAX(IF(AA1371="Да",0,SUM(INDIRECT("M"&amp;(MAX(("Да"=AA$12:AA1371)*ROW(AA$12:AA1371)+1,ROW($P$12))&amp;":M"&amp;(ROW()))))-SUM(INDIRECT("W"&amp;(MAX(("Да"=AA$12:AA1371)*ROW(AA$12:AA1371)+1,ROW($P$12))&amp;":W"&amp;(ROW()))))),0)</f>
        <v>25084.419999999995</v>
      </c>
      <c r="Q1372" s="99">
        <f ca="1">MAX(SUM($N$13:N1372)-SUM($T$13:T1372),0)</f>
        <v>96576.28065573769</v>
      </c>
      <c r="R1372" s="99">
        <f ca="1">Первоначальный[[#This Row],[Просроченный платеж по ОД]]+Первоначальный[[#This Row],[Просроченный платеж по процентам]]</f>
        <v>121660.70065573769</v>
      </c>
      <c r="S1372" s="120">
        <f ca="1">IF(Первоначальный[[#This Row],[Просроченный платеж]]&lt;1,0,S1371+1)</f>
        <v>1268</v>
      </c>
      <c r="T1372" s="100" cm="1">
        <f t="array" aca="1" ref="T1372" ca="1">IF(Первоначальный[[#This Row],[Итого остаток на начало периода]]&lt;1,0,
IF(
AND(TYPE(VLOOKUP(1,$Z$12:Z1372,1,0))=16,Первоначальный[[#This Row],[Досрочное погашение (да/"")]]=""),0,
_xlfn.IFS(AND(S1371=0,Первоначальный[[#This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платеж]]&lt;&gt;0),MIN(LOOKUP(,-1/($Z$12:Z1372=1),$C$12:C1372)+LOOKUP(,-1/($Z$12:Z1372=1),$H$12:H1372),Первоначальный[[#This Row],[Полученный платеж]]+Y1371),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платеж]]+Y1371,SUM(Первоначальный[[#This Row],[Остаток процентов на начало периода]],Первоначальный[[#This Row],[Проценты за период]])),
AND(S1371=0,Первоначальный[[#This Row],[Дата платежа из графика]]=""),0,
AND(S1371=0,Первоначальный[[#This Row],[Дата платежа из графика]]=1,MAX((0&lt;&gt;S$12:S1371)*ROW(S$12:S1371),ROW($S$12))&gt;=MAX((1=Z$12:Z1371)*ROW(Z$12:Z1371),ROW($T$12)),TYPE(VLOOKUP("Да",(INDIRECT("AA"&amp;(MAX((1=Z$12:Z1371)*ROW(Z$12:Z1371),ROW($T$12))&amp;":AA"&amp;(ROW()-1)))),1,0))=16),MIN(LOOKUP(,-1/($Z$12:Z1372=1),$C$12:C1372)+LOOKUP(,-1/($Z$12:Z1372=1),$H$12:H1372),Первоначальный[[#This Row],[Полученный платеж]]+Y1371),
AND(S1371=0,TYPE(VLOOKUP("Да",(INDIRECT("AA"&amp;(MAX((1=Z$12:Z1371)*ROW(Z$12:Z1371),ROW($T$12))&amp;":AA"&amp;(ROW()-1)))),1,0))&lt;&gt;16),MIN(LOOKUP(,-1/($Z$12:Z1372=1),$C$12:C1372)+LOOKUP(,-1/($Z$12:Z1372=1),$H$12:H1372)-IF(AA1371="Да",0,SUM(INDIRECT("T"&amp;(MAX(("Да"=AA$12:AA1371)*ROW(AA$12:AA1371)+1,ROW($T$12))&amp;":T"&amp;(ROW()-1))))),Первоначальный[[#This Row],[Полученный платеж]]+Y1371),
AND(S1371=0,MAX((0&lt;&gt;N$12:N1371)*ROW(N$12:N1371),ROW($S$12))&gt;=MAX((1=Z$12:Z1371)*ROW(Z$12:Z1371),ROW($T$12))),MIN(LOOKUP(,-1/($Z$12:Z1372=1),$C$12:C1372)+LOOKUP(,-1/($Z$12:Z1372=1),$H$12:H1372)-IF(N1371&lt;&gt;0,0,SUM(INDIRECT("T"&amp;(MAX((0&lt;&gt;N$12:N1371)*ROW(N$12:N1371)+1,ROW($T$12))&amp;":T"&amp;(ROW()-1))))),Первоначальный[[#This Row],[Полученный платеж]]+Y1371),
AND(S1371=0,Первоначальный[[#This Row],[Дата платежа из графика]]=1),MIN(LOOKUP(,-1/($Z$12:Z1372=1),$C$12:C1372)+LOOKUP(,-1/($Z$12:Z1372=1),$H$12:H1372)-IF(Z1371=1,0,SUM(INDIRECT("T"&amp;(MAX((1=Z$12:Z1371)*ROW(Z$12:Z1371)+1,ROW($T$12))&amp;":T"&amp;(ROW()-1))))),Первоначальный[[#This Row],[Полученный платеж]]+Y1371),
AND(Z1371&gt;0,Первоначальный[[#This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платеж]]+Y1371),
AND(S1371&gt;0,MAX((0&lt;&gt;S$12:S1371)*ROW(S$12:S1371),ROW($S$12))&gt;=MAX((1=Z$12:Z1371)*ROW(Z$12:Z1371),ROW($T$12)),TYPE(VLOOKUP("Да",(INDIRECT("AA"&amp;(MAX((1=Z$12:Z1371)*ROW(Z$12:Z1371),ROW($T$12))&amp;":AA"&amp;(ROW()-1)))),1,0))=16),MIN(LOOKUP(,-1/($Z$12:Z1372=1),$C$12:C1372)+LOOKUP(,-1/($Z$12:Z1372=1),$H$12:H1372)-SUM(INDIRECT("T"&amp;(MAX((1=Z$12:Z1371)*ROW(Z$12:Z1371),ROW($T$12))&amp;":T"&amp;(ROW()-1)))),Первоначальный[[#This Row],[Полученный платеж]]+Y1371),
S1371&gt;0,MIN(LOOKUP(,-1/($Z$12:Z1372=1),$C$12:C1372)+LOOKUP(,-1/($Z$12:Z1372=1),$H$12:H1372)-IF(Z1371=1,0,SUM(INDIRECT("T"&amp;(MAX((1=Z$12:Z1371)*ROW(Z$12:Z1371)+1,ROW($T$12))&amp;":T"&amp;(ROW()-1))))),Первоначальный[[#This Row],[Полученный платеж]]+Y1371)
)
)
)</f>
        <v>0</v>
      </c>
      <c r="U137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платеж]]+Y1371-Первоначальный[[#This Row],[Полученный платёж по процентам]])</f>
        <v>0</v>
      </c>
      <c r="V1372" s="55">
        <f t="shared" ca="1" si="255"/>
        <v>0</v>
      </c>
      <c r="W1372" s="55" cm="1">
        <f t="array" aca="1" ref="W1372" ca="1">IF(Первоначальный[[#This Row],[Итого остаток на начало периода]]&lt;1,0,
_xlfn.IFS(
AND(TYPE(VLOOKUP(1,$Z$12:Z1372,1,0))=16,Первоначальный[[#This Row],[Досрочное погашение (да/"")]]=""),0,
AND(S1371=0,Первоначальный[[#This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платеж]]+Y1371-SUM(Первоначальный[[#This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комиссиям]]),VLOOKUP(LOOKUP(,-1/($Z$12:Z1372=1),$A$12:A1372),График[[Срок конец]:[Возврат основной суммы долга]],3,0)),
AND(S1371=0,Первоначальный[[#This Row],[Дата платежа из графика]]="",Первоначальный[[#This Row],[Досрочное погашение (да/"")]]&lt;&gt;"Да"),0,
AND(S1371=0,Первоначальный[[#This Row],[Досрочное погашение (да/"")]]=""),MIN(Первоначальный[[#This Row],[Полученный платеж]]+Y1371-SUM(Первоначальный[[#This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комиссиям]]),VLOOKUP(LOOKUP(,-1/($Z$12:Z1372=1),$A$12:A1372),График[[Срок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платеж]]+Y1371-SUM(Первоначальный[[#This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S1371&gt;0,MIN(Первоначальный[[#This Row],[Полученный платеж]]+Y1371-SUM(Первоначальный[[#This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комиссиям]]),SUM(INDIRECT("M"&amp;(MAX((1=S$12:S1371)*ROW(S$12:S1371),ROW($W$12))&amp;":M"&amp;(ROW()))))-SUM(INDIRECT("W"&amp;(MAX((1=S$12:S1371)*ROW(S$12:S1371),ROW($W$12))&amp;":W"&amp;(ROW()-1)))))
)
)</f>
        <v>0</v>
      </c>
      <c r="X1372" s="55">
        <f t="shared" ca="1" si="256"/>
        <v>0</v>
      </c>
      <c r="Y1372" s="101">
        <f t="shared" ca="1" si="263"/>
        <v>0</v>
      </c>
      <c r="Z1372" s="133" t="str">
        <f>IF(TYPE((VLOOKUP(Первоначальный[[#This Row],[Дата платежа]],График[Срок конец],1,0)))=16,"",1)</f>
        <v/>
      </c>
      <c r="AA1372" s="57"/>
      <c r="AB1372" s="134"/>
      <c r="AC137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7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98003.960000000239</v>
      </c>
      <c r="AE137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7827.4200000000155</v>
      </c>
      <c r="AF137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7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392517.12215737719</v>
      </c>
      <c r="AH1372" s="55"/>
      <c r="AI1372" s="55"/>
      <c r="AJ1372" s="55"/>
      <c r="AK1372" s="101">
        <f t="shared" ca="1" si="264"/>
        <v>647981.8421573774</v>
      </c>
      <c r="AL1372" s="129">
        <f t="array" ref="AL1372">MAX((УслРестрактов[Характеристика]="Дата реструктуризации")*(УслРестрактов[Значение]=Первоначальный!$A1372),0)</f>
        <v>0</v>
      </c>
    </row>
    <row r="1373" spans="1:38" x14ac:dyDescent="0.25">
      <c r="A1373" s="97">
        <f t="shared" si="257"/>
        <v>45504</v>
      </c>
      <c r="B1373" s="100">
        <f t="shared" ca="1" si="258"/>
        <v>149633.34</v>
      </c>
      <c r="C1373" s="55">
        <f t="shared" ca="1" si="254"/>
        <v>98003.960000000239</v>
      </c>
      <c r="D1373" s="55">
        <f t="shared" ca="1" si="254"/>
        <v>7827.4200000000155</v>
      </c>
      <c r="E1373" s="55">
        <f t="shared" ca="1" si="259"/>
        <v>0</v>
      </c>
      <c r="F1373" s="55">
        <f t="shared" ca="1" si="260"/>
        <v>392517.12215737719</v>
      </c>
      <c r="G1373" s="101">
        <f t="shared" ca="1" si="261"/>
        <v>647981.8421573774</v>
      </c>
      <c r="H1373" s="100">
        <f ca="1">ROUND($B1373*VLOOKUP($A1373,$A$1:$B$10,2,1)/(365+IF(MOD(YEAR($A1373),4),0,1)*($A1373-$A1372)),2)-Первоначальный[[#This Row],[Проценты на просроченный платеж по ОД за период]]</f>
        <v>67.72</v>
      </c>
      <c r="I1373" s="55">
        <f t="shared" ca="1" si="262"/>
        <v>13.64</v>
      </c>
      <c r="J1373" s="55">
        <v>0</v>
      </c>
      <c r="K1373" s="55">
        <f t="shared" ca="1" si="265"/>
        <v>608.30350327868848</v>
      </c>
      <c r="L1373" s="55">
        <v>0</v>
      </c>
      <c r="M1373" s="113">
        <f>SUMIFS(График[Возврат основной суммы долга],График[Дата с учетом нерабочих дней],$A1373)</f>
        <v>0</v>
      </c>
      <c r="N1373" s="56">
        <f>SUMIFS(График[Возврат начисленных %],График[Дата с учетом нерабочих дней],$A1373)</f>
        <v>0</v>
      </c>
      <c r="O1373" s="101">
        <v>0</v>
      </c>
      <c r="P1373" s="100" cm="1">
        <f t="array" aca="1" ref="P1373" ca="1">MAX(IF(AA1372="Да",0,SUM(INDIRECT("M"&amp;(MAX(("Да"=AA$12:AA1372)*ROW(AA$12:AA1372)+1,ROW($P$12))&amp;":M"&amp;(ROW()))))-SUM(INDIRECT("W"&amp;(MAX(("Да"=AA$12:AA1372)*ROW(AA$12:AA1372)+1,ROW($P$12))&amp;":W"&amp;(ROW()))))),0)</f>
        <v>25084.419999999995</v>
      </c>
      <c r="Q1373" s="99">
        <f ca="1">MAX(SUM($N$13:N1373)-SUM($T$13:T1373),0)</f>
        <v>96576.28065573769</v>
      </c>
      <c r="R1373" s="99">
        <f ca="1">Первоначальный[[#This Row],[Просроченный платеж по ОД]]+Первоначальный[[#This Row],[Просроченный платеж по процентам]]</f>
        <v>121660.70065573769</v>
      </c>
      <c r="S1373" s="120">
        <f ca="1">IF(Первоначальный[[#This Row],[Просроченный платеж]]&lt;1,0,S1372+1)</f>
        <v>1269</v>
      </c>
      <c r="T1373" s="100" cm="1">
        <f t="array" aca="1" ref="T1373" ca="1">IF(Первоначальный[[#This Row],[Итого остаток на начало периода]]&lt;1,0,
IF(
AND(TYPE(VLOOKUP(1,$Z$12:Z1373,1,0))=16,Первоначальный[[#This Row],[Досрочное погашение (да/"")]]=""),0,
_xlfn.IFS(AND(S1372=0,Первоначальный[[#This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платеж]]&lt;&gt;0),MIN(LOOKUP(,-1/($Z$12:Z1373=1),$C$12:C1373)+LOOKUP(,-1/($Z$12:Z1373=1),$H$12:H1373),Первоначальный[[#This Row],[Полученный платеж]]+Y1372),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платеж]]+Y1372,SUM(Первоначальный[[#This Row],[Остаток процентов на начало периода]],Первоначальный[[#This Row],[Проценты за период]])),
AND(S1372=0,Первоначальный[[#This Row],[Дата платежа из графика]]=""),0,
AND(S1372=0,Первоначальный[[#This Row],[Дата платежа из графика]]=1,MAX((0&lt;&gt;S$12:S1372)*ROW(S$12:S1372),ROW($S$12))&gt;=MAX((1=Z$12:Z1372)*ROW(Z$12:Z1372),ROW($T$12)),TYPE(VLOOKUP("Да",(INDIRECT("AA"&amp;(MAX((1=Z$12:Z1372)*ROW(Z$12:Z1372),ROW($T$12))&amp;":AA"&amp;(ROW()-1)))),1,0))=16),MIN(LOOKUP(,-1/($Z$12:Z1373=1),$C$12:C1373)+LOOKUP(,-1/($Z$12:Z1373=1),$H$12:H1373),Первоначальный[[#This Row],[Полученный платеж]]+Y1372),
AND(S1372=0,TYPE(VLOOKUP("Да",(INDIRECT("AA"&amp;(MAX((1=Z$12:Z1372)*ROW(Z$12:Z1372),ROW($T$12))&amp;":AA"&amp;(ROW()-1)))),1,0))&lt;&gt;16),MIN(LOOKUP(,-1/($Z$12:Z1373=1),$C$12:C1373)+LOOKUP(,-1/($Z$12:Z1373=1),$H$12:H1373)-IF(AA1372="Да",0,SUM(INDIRECT("T"&amp;(MAX(("Да"=AA$12:AA1372)*ROW(AA$12:AA1372)+1,ROW($T$12))&amp;":T"&amp;(ROW()-1))))),Первоначальный[[#This Row],[Полученный платеж]]+Y1372),
AND(S1372=0,MAX((0&lt;&gt;N$12:N1372)*ROW(N$12:N1372),ROW($S$12))&gt;=MAX((1=Z$12:Z1372)*ROW(Z$12:Z1372),ROW($T$12))),MIN(LOOKUP(,-1/($Z$12:Z1373=1),$C$12:C1373)+LOOKUP(,-1/($Z$12:Z1373=1),$H$12:H1373)-IF(N1372&lt;&gt;0,0,SUM(INDIRECT("T"&amp;(MAX((0&lt;&gt;N$12:N1372)*ROW(N$12:N1372)+1,ROW($T$12))&amp;":T"&amp;(ROW()-1))))),Первоначальный[[#This Row],[Полученный платеж]]+Y1372),
AND(S1372=0,Первоначальный[[#This Row],[Дата платежа из графика]]=1),MIN(LOOKUP(,-1/($Z$12:Z1373=1),$C$12:C1373)+LOOKUP(,-1/($Z$12:Z1373=1),$H$12:H1373)-IF(Z1372=1,0,SUM(INDIRECT("T"&amp;(MAX((1=Z$12:Z1372)*ROW(Z$12:Z1372)+1,ROW($T$12))&amp;":T"&amp;(ROW()-1))))),Первоначальный[[#This Row],[Полученный платеж]]+Y1372),
AND(Z1372&gt;0,Первоначальный[[#This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платеж]]+Y1372),
AND(S1372&gt;0,MAX((0&lt;&gt;S$12:S1372)*ROW(S$12:S1372),ROW($S$12))&gt;=MAX((1=Z$12:Z1372)*ROW(Z$12:Z1372),ROW($T$12)),TYPE(VLOOKUP("Да",(INDIRECT("AA"&amp;(MAX((1=Z$12:Z1372)*ROW(Z$12:Z1372),ROW($T$12))&amp;":AA"&amp;(ROW()-1)))),1,0))=16),MIN(LOOKUP(,-1/($Z$12:Z1373=1),$C$12:C1373)+LOOKUP(,-1/($Z$12:Z1373=1),$H$12:H1373)-SUM(INDIRECT("T"&amp;(MAX((1=Z$12:Z1372)*ROW(Z$12:Z1372),ROW($T$12))&amp;":T"&amp;(ROW()-1)))),Первоначальный[[#This Row],[Полученный платеж]]+Y1372),
S1372&gt;0,MIN(LOOKUP(,-1/($Z$12:Z1373=1),$C$12:C1373)+LOOKUP(,-1/($Z$12:Z1373=1),$H$12:H1373)-IF(Z1372=1,0,SUM(INDIRECT("T"&amp;(MAX((1=Z$12:Z1372)*ROW(Z$12:Z1372)+1,ROW($T$12))&amp;":T"&amp;(ROW()-1))))),Первоначальный[[#This Row],[Полученный платеж]]+Y1372)
)
)
)</f>
        <v>0</v>
      </c>
      <c r="U137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платеж]]+Y1372-Первоначальный[[#This Row],[Полученный платёж по процентам]])</f>
        <v>0</v>
      </c>
      <c r="V1373" s="55">
        <f t="shared" ca="1" si="255"/>
        <v>0</v>
      </c>
      <c r="W1373" s="55" cm="1">
        <f t="array" aca="1" ref="W1373" ca="1">IF(Первоначальный[[#This Row],[Итого остаток на начало периода]]&lt;1,0,
_xlfn.IFS(
AND(TYPE(VLOOKUP(1,$Z$12:Z1373,1,0))=16,Первоначальный[[#This Row],[Досрочное погашение (да/"")]]=""),0,
AND(S1372=0,Первоначальный[[#This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платеж]]+Y1372-SUM(Первоначальный[[#This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комиссиям]]),VLOOKUP(LOOKUP(,-1/($Z$12:Z1373=1),$A$12:A1373),График[[Срок конец]:[Возврат основной суммы долга]],3,0)),
AND(S1372=0,Первоначальный[[#This Row],[Дата платежа из графика]]="",Первоначальный[[#This Row],[Досрочное погашение (да/"")]]&lt;&gt;"Да"),0,
AND(S1372=0,Первоначальный[[#This Row],[Досрочное погашение (да/"")]]=""),MIN(Первоначальный[[#This Row],[Полученный платеж]]+Y1372-SUM(Первоначальный[[#This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комиссиям]]),VLOOKUP(LOOKUP(,-1/($Z$12:Z1373=1),$A$12:A1373),График[[Срок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платеж]]+Y1372-SUM(Первоначальный[[#This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S1372&gt;0,MIN(Первоначальный[[#This Row],[Полученный платеж]]+Y1372-SUM(Первоначальный[[#This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комиссиям]]),SUM(INDIRECT("M"&amp;(MAX((1=S$12:S1372)*ROW(S$12:S1372),ROW($W$12))&amp;":M"&amp;(ROW()))))-SUM(INDIRECT("W"&amp;(MAX((1=S$12:S1372)*ROW(S$12:S1372),ROW($W$12))&amp;":W"&amp;(ROW()-1)))))
)
)</f>
        <v>0</v>
      </c>
      <c r="X1373" s="55">
        <f t="shared" ca="1" si="256"/>
        <v>0</v>
      </c>
      <c r="Y1373" s="101">
        <f t="shared" ca="1" si="263"/>
        <v>0</v>
      </c>
      <c r="Z1373" s="133" t="str">
        <f>IF(TYPE((VLOOKUP(Первоначальный[[#This Row],[Дата платежа]],График[Срок конец],1,0)))=16,"",1)</f>
        <v/>
      </c>
      <c r="AA1373" s="57"/>
      <c r="AB1373" s="134"/>
      <c r="AC137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7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98071.68000000024</v>
      </c>
      <c r="AE137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7841.0600000000159</v>
      </c>
      <c r="AF137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7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393125.42566065589</v>
      </c>
      <c r="AH1373" s="55"/>
      <c r="AI1373" s="55"/>
      <c r="AJ1373" s="55"/>
      <c r="AK1373" s="101">
        <f t="shared" ca="1" si="264"/>
        <v>648671.50566065614</v>
      </c>
      <c r="AL1373" s="129">
        <f t="array" ref="AL1373">MAX((УслРестрактов[Характеристика]="Дата реструктуризации")*(УслРестрактов[Значение]=Первоначальный!$A1373),0)</f>
        <v>0</v>
      </c>
    </row>
    <row r="1374" spans="1:38" x14ac:dyDescent="0.25">
      <c r="A1374" s="97">
        <f t="shared" si="257"/>
        <v>45505</v>
      </c>
      <c r="B1374" s="100">
        <f t="shared" ca="1" si="258"/>
        <v>149633.34</v>
      </c>
      <c r="C1374" s="55">
        <f t="shared" ca="1" si="254"/>
        <v>98071.68000000024</v>
      </c>
      <c r="D1374" s="55">
        <f t="shared" ca="1" si="254"/>
        <v>7841.0600000000159</v>
      </c>
      <c r="E1374" s="55">
        <f t="shared" ca="1" si="259"/>
        <v>0</v>
      </c>
      <c r="F1374" s="55">
        <f t="shared" ca="1" si="260"/>
        <v>393125.42566065589</v>
      </c>
      <c r="G1374" s="101">
        <f t="shared" ca="1" si="261"/>
        <v>648671.50566065614</v>
      </c>
      <c r="H1374" s="100">
        <f ca="1">ROUND($B1374*VLOOKUP($A1374,$A$1:$B$10,2,1)/(365+IF(MOD(YEAR($A1374),4),0,1)*($A1374-$A1373)),2)-Первоначальный[[#This Row],[Проценты на просроченный платеж по ОД за период]]</f>
        <v>67.72</v>
      </c>
      <c r="I1374" s="55">
        <f t="shared" ca="1" si="262"/>
        <v>13.64</v>
      </c>
      <c r="J1374" s="55">
        <v>0</v>
      </c>
      <c r="K1374" s="55">
        <f t="shared" ca="1" si="265"/>
        <v>608.30350327868848</v>
      </c>
      <c r="L1374" s="55">
        <v>0</v>
      </c>
      <c r="M1374" s="113">
        <f>SUMIFS(График[Возврат основной суммы долга],График[Дата с учетом нерабочих дней],$A1374)</f>
        <v>0</v>
      </c>
      <c r="N1374" s="56">
        <f>SUMIFS(График[Возврат начисленных %],График[Дата с учетом нерабочих дней],$A1374)</f>
        <v>0</v>
      </c>
      <c r="O1374" s="101">
        <v>0</v>
      </c>
      <c r="P1374" s="100" cm="1">
        <f t="array" aca="1" ref="P1374" ca="1">MAX(IF(AA1373="Да",0,SUM(INDIRECT("M"&amp;(MAX(("Да"=AA$12:AA1373)*ROW(AA$12:AA1373)+1,ROW($P$12))&amp;":M"&amp;(ROW()))))-SUM(INDIRECT("W"&amp;(MAX(("Да"=AA$12:AA1373)*ROW(AA$12:AA1373)+1,ROW($P$12))&amp;":W"&amp;(ROW()))))),0)</f>
        <v>25084.419999999995</v>
      </c>
      <c r="Q1374" s="99">
        <f ca="1">MAX(SUM($N$13:N1374)-SUM($T$13:T1374),0)</f>
        <v>96576.28065573769</v>
      </c>
      <c r="R1374" s="99">
        <f ca="1">Первоначальный[[#This Row],[Просроченный платеж по ОД]]+Первоначальный[[#This Row],[Просроченный платеж по процентам]]</f>
        <v>121660.70065573769</v>
      </c>
      <c r="S1374" s="120">
        <f ca="1">IF(Первоначальный[[#This Row],[Просроченный платеж]]&lt;1,0,S1373+1)</f>
        <v>1270</v>
      </c>
      <c r="T1374" s="100" cm="1">
        <f t="array" aca="1" ref="T1374" ca="1">IF(Первоначальный[[#This Row],[Итого остаток на начало периода]]&lt;1,0,
IF(
AND(TYPE(VLOOKUP(1,$Z$12:Z1374,1,0))=16,Первоначальный[[#This Row],[Досрочное погашение (да/"")]]=""),0,
_xlfn.IFS(AND(S1373=0,Первоначальный[[#This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платеж]]&lt;&gt;0),MIN(LOOKUP(,-1/($Z$12:Z1374=1),$C$12:C1374)+LOOKUP(,-1/($Z$12:Z1374=1),$H$12:H1374),Первоначальный[[#This Row],[Полученный платеж]]+Y1373),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платеж]]+Y1373,SUM(Первоначальный[[#This Row],[Остаток процентов на начало периода]],Первоначальный[[#This Row],[Проценты за период]])),
AND(S1373=0,Первоначальный[[#This Row],[Дата платежа из графика]]=""),0,
AND(S1373=0,Первоначальный[[#This Row],[Дата платежа из графика]]=1,MAX((0&lt;&gt;S$12:S1373)*ROW(S$12:S1373),ROW($S$12))&gt;=MAX((1=Z$12:Z1373)*ROW(Z$12:Z1373),ROW($T$12)),TYPE(VLOOKUP("Да",(INDIRECT("AA"&amp;(MAX((1=Z$12:Z1373)*ROW(Z$12:Z1373),ROW($T$12))&amp;":AA"&amp;(ROW()-1)))),1,0))=16),MIN(LOOKUP(,-1/($Z$12:Z1374=1),$C$12:C1374)+LOOKUP(,-1/($Z$12:Z1374=1),$H$12:H1374),Первоначальный[[#This Row],[Полученный платеж]]+Y1373),
AND(S1373=0,TYPE(VLOOKUP("Да",(INDIRECT("AA"&amp;(MAX((1=Z$12:Z1373)*ROW(Z$12:Z1373),ROW($T$12))&amp;":AA"&amp;(ROW()-1)))),1,0))&lt;&gt;16),MIN(LOOKUP(,-1/($Z$12:Z1374=1),$C$12:C1374)+LOOKUP(,-1/($Z$12:Z1374=1),$H$12:H1374)-IF(AA1373="Да",0,SUM(INDIRECT("T"&amp;(MAX(("Да"=AA$12:AA1373)*ROW(AA$12:AA1373)+1,ROW($T$12))&amp;":T"&amp;(ROW()-1))))),Первоначальный[[#This Row],[Полученный платеж]]+Y1373),
AND(S1373=0,MAX((0&lt;&gt;N$12:N1373)*ROW(N$12:N1373),ROW($S$12))&gt;=MAX((1=Z$12:Z1373)*ROW(Z$12:Z1373),ROW($T$12))),MIN(LOOKUP(,-1/($Z$12:Z1374=1),$C$12:C1374)+LOOKUP(,-1/($Z$12:Z1374=1),$H$12:H1374)-IF(N1373&lt;&gt;0,0,SUM(INDIRECT("T"&amp;(MAX((0&lt;&gt;N$12:N1373)*ROW(N$12:N1373)+1,ROW($T$12))&amp;":T"&amp;(ROW()-1))))),Первоначальный[[#This Row],[Полученный платеж]]+Y1373),
AND(S1373=0,Первоначальный[[#This Row],[Дата платежа из графика]]=1),MIN(LOOKUP(,-1/($Z$12:Z1374=1),$C$12:C1374)+LOOKUP(,-1/($Z$12:Z1374=1),$H$12:H1374)-IF(Z1373=1,0,SUM(INDIRECT("T"&amp;(MAX((1=Z$12:Z1373)*ROW(Z$12:Z1373)+1,ROW($T$12))&amp;":T"&amp;(ROW()-1))))),Первоначальный[[#This Row],[Полученный платеж]]+Y1373),
AND(Z1373&gt;0,Первоначальный[[#This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платеж]]+Y1373),
AND(S1373&gt;0,MAX((0&lt;&gt;S$12:S1373)*ROW(S$12:S1373),ROW($S$12))&gt;=MAX((1=Z$12:Z1373)*ROW(Z$12:Z1373),ROW($T$12)),TYPE(VLOOKUP("Да",(INDIRECT("AA"&amp;(MAX((1=Z$12:Z1373)*ROW(Z$12:Z1373),ROW($T$12))&amp;":AA"&amp;(ROW()-1)))),1,0))=16),MIN(LOOKUP(,-1/($Z$12:Z1374=1),$C$12:C1374)+LOOKUP(,-1/($Z$12:Z1374=1),$H$12:H1374)-SUM(INDIRECT("T"&amp;(MAX((1=Z$12:Z1373)*ROW(Z$12:Z1373),ROW($T$12))&amp;":T"&amp;(ROW()-1)))),Первоначальный[[#This Row],[Полученный платеж]]+Y1373),
S1373&gt;0,MIN(LOOKUP(,-1/($Z$12:Z1374=1),$C$12:C1374)+LOOKUP(,-1/($Z$12:Z1374=1),$H$12:H1374)-IF(Z1373=1,0,SUM(INDIRECT("T"&amp;(MAX((1=Z$12:Z1373)*ROW(Z$12:Z1373)+1,ROW($T$12))&amp;":T"&amp;(ROW()-1))))),Первоначальный[[#This Row],[Полученный платеж]]+Y1373)
)
)
)</f>
        <v>0</v>
      </c>
      <c r="U137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платеж]]+Y1373-Первоначальный[[#This Row],[Полученный платёж по процентам]])</f>
        <v>0</v>
      </c>
      <c r="V1374" s="55">
        <f t="shared" ca="1" si="255"/>
        <v>0</v>
      </c>
      <c r="W1374" s="55" cm="1">
        <f t="array" aca="1" ref="W1374" ca="1">IF(Первоначальный[[#This Row],[Итого остаток на начало периода]]&lt;1,0,
_xlfn.IFS(
AND(TYPE(VLOOKUP(1,$Z$12:Z1374,1,0))=16,Первоначальный[[#This Row],[Досрочное погашение (да/"")]]=""),0,
AND(S1373=0,Первоначальный[[#This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платеж]]+Y1373-SUM(Первоначальный[[#This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комиссиям]]),VLOOKUP(LOOKUP(,-1/($Z$12:Z1374=1),$A$12:A1374),График[[Срок конец]:[Возврат основной суммы долга]],3,0)),
AND(S1373=0,Первоначальный[[#This Row],[Дата платежа из графика]]="",Первоначальный[[#This Row],[Досрочное погашение (да/"")]]&lt;&gt;"Да"),0,
AND(S1373=0,Первоначальный[[#This Row],[Досрочное погашение (да/"")]]=""),MIN(Первоначальный[[#This Row],[Полученный платеж]]+Y1373-SUM(Первоначальный[[#This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комиссиям]]),VLOOKUP(LOOKUP(,-1/($Z$12:Z1374=1),$A$12:A1374),График[[Срок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платеж]]+Y1373-SUM(Первоначальный[[#This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S1373&gt;0,MIN(Первоначальный[[#This Row],[Полученный платеж]]+Y1373-SUM(Первоначальный[[#This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комиссиям]]),SUM(INDIRECT("M"&amp;(MAX((1=S$12:S1373)*ROW(S$12:S1373),ROW($W$12))&amp;":M"&amp;(ROW()))))-SUM(INDIRECT("W"&amp;(MAX((1=S$12:S1373)*ROW(S$12:S1373),ROW($W$12))&amp;":W"&amp;(ROW()-1)))))
)
)</f>
        <v>0</v>
      </c>
      <c r="X1374" s="55">
        <f t="shared" ca="1" si="256"/>
        <v>0</v>
      </c>
      <c r="Y1374" s="101">
        <f t="shared" ca="1" si="263"/>
        <v>0</v>
      </c>
      <c r="Z1374" s="133" t="str">
        <f>IF(TYPE((VLOOKUP(Первоначальный[[#This Row],[Дата платежа]],График[Срок конец],1,0)))=16,"",1)</f>
        <v/>
      </c>
      <c r="AA1374" s="57"/>
      <c r="AB1374" s="134"/>
      <c r="AC137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7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98139.400000000242</v>
      </c>
      <c r="AE137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7854.7000000000162</v>
      </c>
      <c r="AF137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7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393733.72916393459</v>
      </c>
      <c r="AH1374" s="55"/>
      <c r="AI1374" s="55"/>
      <c r="AJ1374" s="55"/>
      <c r="AK1374" s="101">
        <f t="shared" ca="1" si="264"/>
        <v>649361.16916393489</v>
      </c>
      <c r="AL1374" s="129">
        <f t="array" ref="AL1374">MAX((УслРестрактов[Характеристика]="Дата реструктуризации")*(УслРестрактов[Значение]=Первоначальный!$A1374),0)</f>
        <v>0</v>
      </c>
    </row>
    <row r="1375" spans="1:38" x14ac:dyDescent="0.25">
      <c r="A1375" s="97">
        <f t="shared" si="257"/>
        <v>45506</v>
      </c>
      <c r="B1375" s="100">
        <f t="shared" ca="1" si="258"/>
        <v>149633.34</v>
      </c>
      <c r="C1375" s="55">
        <f t="shared" ca="1" si="254"/>
        <v>98139.400000000242</v>
      </c>
      <c r="D1375" s="55">
        <f t="shared" ca="1" si="254"/>
        <v>7854.7000000000162</v>
      </c>
      <c r="E1375" s="55">
        <f t="shared" ca="1" si="259"/>
        <v>0</v>
      </c>
      <c r="F1375" s="55">
        <f t="shared" ca="1" si="260"/>
        <v>393733.72916393459</v>
      </c>
      <c r="G1375" s="101">
        <f t="shared" ca="1" si="261"/>
        <v>649361.16916393489</v>
      </c>
      <c r="H1375" s="100">
        <f ca="1">ROUND($B1375*VLOOKUP($A1375,$A$1:$B$10,2,1)/(365+IF(MOD(YEAR($A1375),4),0,1)*($A1375-$A1374)),2)-Первоначальный[[#This Row],[Проценты на просроченный платеж по ОД за период]]</f>
        <v>67.72</v>
      </c>
      <c r="I1375" s="55">
        <f t="shared" ca="1" si="262"/>
        <v>13.64</v>
      </c>
      <c r="J1375" s="55">
        <v>0</v>
      </c>
      <c r="K1375" s="55">
        <f t="shared" ca="1" si="265"/>
        <v>608.30350327868848</v>
      </c>
      <c r="L1375" s="55">
        <v>0</v>
      </c>
      <c r="M1375" s="113">
        <f>SUMIFS(График[Возврат основной суммы долга],График[Дата с учетом нерабочих дней],$A1375)</f>
        <v>0</v>
      </c>
      <c r="N1375" s="56">
        <f>SUMIFS(График[Возврат начисленных %],График[Дата с учетом нерабочих дней],$A1375)</f>
        <v>0</v>
      </c>
      <c r="O1375" s="101">
        <v>0</v>
      </c>
      <c r="P1375" s="100" cm="1">
        <f t="array" aca="1" ref="P1375" ca="1">MAX(IF(AA1374="Да",0,SUM(INDIRECT("M"&amp;(MAX(("Да"=AA$12:AA1374)*ROW(AA$12:AA1374)+1,ROW($P$12))&amp;":M"&amp;(ROW()))))-SUM(INDIRECT("W"&amp;(MAX(("Да"=AA$12:AA1374)*ROW(AA$12:AA1374)+1,ROW($P$12))&amp;":W"&amp;(ROW()))))),0)</f>
        <v>25084.419999999995</v>
      </c>
      <c r="Q1375" s="99">
        <f ca="1">MAX(SUM($N$13:N1375)-SUM($T$13:T1375),0)</f>
        <v>96576.28065573769</v>
      </c>
      <c r="R1375" s="99">
        <f ca="1">Первоначальный[[#This Row],[Просроченный платеж по ОД]]+Первоначальный[[#This Row],[Просроченный платеж по процентам]]</f>
        <v>121660.70065573769</v>
      </c>
      <c r="S1375" s="120">
        <f ca="1">IF(Первоначальный[[#This Row],[Просроченный платеж]]&lt;1,0,S1374+1)</f>
        <v>1271</v>
      </c>
      <c r="T1375" s="100" cm="1">
        <f t="array" aca="1" ref="T1375" ca="1">IF(Первоначальный[[#This Row],[Итого остаток на начало периода]]&lt;1,0,
IF(
AND(TYPE(VLOOKUP(1,$Z$12:Z1375,1,0))=16,Первоначальный[[#This Row],[Досрочное погашение (да/"")]]=""),0,
_xlfn.IFS(AND(S1374=0,Первоначальный[[#This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платеж]]&lt;&gt;0),MIN(LOOKUP(,-1/($Z$12:Z1375=1),$C$12:C1375)+LOOKUP(,-1/($Z$12:Z1375=1),$H$12:H1375),Первоначальный[[#This Row],[Полученный платеж]]+Y1374),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платеж]]+Y1374,SUM(Первоначальный[[#This Row],[Остаток процентов на начало периода]],Первоначальный[[#This Row],[Проценты за период]])),
AND(S1374=0,Первоначальный[[#This Row],[Дата платежа из графика]]=""),0,
AND(S1374=0,Первоначальный[[#This Row],[Дата платежа из графика]]=1,MAX((0&lt;&gt;S$12:S1374)*ROW(S$12:S1374),ROW($S$12))&gt;=MAX((1=Z$12:Z1374)*ROW(Z$12:Z1374),ROW($T$12)),TYPE(VLOOKUP("Да",(INDIRECT("AA"&amp;(MAX((1=Z$12:Z1374)*ROW(Z$12:Z1374),ROW($T$12))&amp;":AA"&amp;(ROW()-1)))),1,0))=16),MIN(LOOKUP(,-1/($Z$12:Z1375=1),$C$12:C1375)+LOOKUP(,-1/($Z$12:Z1375=1),$H$12:H1375),Первоначальный[[#This Row],[Полученный платеж]]+Y1374),
AND(S1374=0,TYPE(VLOOKUP("Да",(INDIRECT("AA"&amp;(MAX((1=Z$12:Z1374)*ROW(Z$12:Z1374),ROW($T$12))&amp;":AA"&amp;(ROW()-1)))),1,0))&lt;&gt;16),MIN(LOOKUP(,-1/($Z$12:Z1375=1),$C$12:C1375)+LOOKUP(,-1/($Z$12:Z1375=1),$H$12:H1375)-IF(AA1374="Да",0,SUM(INDIRECT("T"&amp;(MAX(("Да"=AA$12:AA1374)*ROW(AA$12:AA1374)+1,ROW($T$12))&amp;":T"&amp;(ROW()-1))))),Первоначальный[[#This Row],[Полученный платеж]]+Y1374),
AND(S1374=0,MAX((0&lt;&gt;N$12:N1374)*ROW(N$12:N1374),ROW($S$12))&gt;=MAX((1=Z$12:Z1374)*ROW(Z$12:Z1374),ROW($T$12))),MIN(LOOKUP(,-1/($Z$12:Z1375=1),$C$12:C1375)+LOOKUP(,-1/($Z$12:Z1375=1),$H$12:H1375)-IF(N1374&lt;&gt;0,0,SUM(INDIRECT("T"&amp;(MAX((0&lt;&gt;N$12:N1374)*ROW(N$12:N1374)+1,ROW($T$12))&amp;":T"&amp;(ROW()-1))))),Первоначальный[[#This Row],[Полученный платеж]]+Y1374),
AND(S1374=0,Первоначальный[[#This Row],[Дата платежа из графика]]=1),MIN(LOOKUP(,-1/($Z$12:Z1375=1),$C$12:C1375)+LOOKUP(,-1/($Z$12:Z1375=1),$H$12:H1375)-IF(Z1374=1,0,SUM(INDIRECT("T"&amp;(MAX((1=Z$12:Z1374)*ROW(Z$12:Z1374)+1,ROW($T$12))&amp;":T"&amp;(ROW()-1))))),Первоначальный[[#This Row],[Полученный платеж]]+Y1374),
AND(Z1374&gt;0,Первоначальный[[#This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платеж]]+Y1374),
AND(S1374&gt;0,MAX((0&lt;&gt;S$12:S1374)*ROW(S$12:S1374),ROW($S$12))&gt;=MAX((1=Z$12:Z1374)*ROW(Z$12:Z1374),ROW($T$12)),TYPE(VLOOKUP("Да",(INDIRECT("AA"&amp;(MAX((1=Z$12:Z1374)*ROW(Z$12:Z1374),ROW($T$12))&amp;":AA"&amp;(ROW()-1)))),1,0))=16),MIN(LOOKUP(,-1/($Z$12:Z1375=1),$C$12:C1375)+LOOKUP(,-1/($Z$12:Z1375=1),$H$12:H1375)-SUM(INDIRECT("T"&amp;(MAX((1=Z$12:Z1374)*ROW(Z$12:Z1374),ROW($T$12))&amp;":T"&amp;(ROW()-1)))),Первоначальный[[#This Row],[Полученный платеж]]+Y1374),
S1374&gt;0,MIN(LOOKUP(,-1/($Z$12:Z1375=1),$C$12:C1375)+LOOKUP(,-1/($Z$12:Z1375=1),$H$12:H1375)-IF(Z1374=1,0,SUM(INDIRECT("T"&amp;(MAX((1=Z$12:Z1374)*ROW(Z$12:Z1374)+1,ROW($T$12))&amp;":T"&amp;(ROW()-1))))),Первоначальный[[#This Row],[Полученный платеж]]+Y1374)
)
)
)</f>
        <v>0</v>
      </c>
      <c r="U137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платеж]]+Y1374-Первоначальный[[#This Row],[Полученный платёж по процентам]])</f>
        <v>0</v>
      </c>
      <c r="V1375" s="55">
        <f t="shared" ca="1" si="255"/>
        <v>0</v>
      </c>
      <c r="W1375" s="55" cm="1">
        <f t="array" aca="1" ref="W1375" ca="1">IF(Первоначальный[[#This Row],[Итого остаток на начало периода]]&lt;1,0,
_xlfn.IFS(
AND(TYPE(VLOOKUP(1,$Z$12:Z1375,1,0))=16,Первоначальный[[#This Row],[Досрочное погашение (да/"")]]=""),0,
AND(S1374=0,Первоначальный[[#This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платеж]]+Y1374-SUM(Первоначальный[[#This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комиссиям]]),VLOOKUP(LOOKUP(,-1/($Z$12:Z1375=1),$A$12:A1375),График[[Срок конец]:[Возврат основной суммы долга]],3,0)),
AND(S1374=0,Первоначальный[[#This Row],[Дата платежа из графика]]="",Первоначальный[[#This Row],[Досрочное погашение (да/"")]]&lt;&gt;"Да"),0,
AND(S1374=0,Первоначальный[[#This Row],[Досрочное погашение (да/"")]]=""),MIN(Первоначальный[[#This Row],[Полученный платеж]]+Y1374-SUM(Первоначальный[[#This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комиссиям]]),VLOOKUP(LOOKUP(,-1/($Z$12:Z1375=1),$A$12:A1375),График[[Срок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платеж]]+Y1374-SUM(Первоначальный[[#This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S1374&gt;0,MIN(Первоначальный[[#This Row],[Полученный платеж]]+Y1374-SUM(Первоначальный[[#This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комиссиям]]),SUM(INDIRECT("M"&amp;(MAX((1=S$12:S1374)*ROW(S$12:S1374),ROW($W$12))&amp;":M"&amp;(ROW()))))-SUM(INDIRECT("W"&amp;(MAX((1=S$12:S1374)*ROW(S$12:S1374),ROW($W$12))&amp;":W"&amp;(ROW()-1)))))
)
)</f>
        <v>0</v>
      </c>
      <c r="X1375" s="55">
        <f t="shared" ca="1" si="256"/>
        <v>0</v>
      </c>
      <c r="Y1375" s="101">
        <f t="shared" ca="1" si="263"/>
        <v>0</v>
      </c>
      <c r="Z1375" s="133" t="str">
        <f>IF(TYPE((VLOOKUP(Первоначальный[[#This Row],[Дата платежа]],График[Срок конец],1,0)))=16,"",1)</f>
        <v/>
      </c>
      <c r="AA1375" s="57"/>
      <c r="AB1375" s="134"/>
      <c r="AC137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7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98207.120000000243</v>
      </c>
      <c r="AE137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7868.3400000000165</v>
      </c>
      <c r="AF137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7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394342.03266721329</v>
      </c>
      <c r="AH1375" s="55"/>
      <c r="AI1375" s="55"/>
      <c r="AJ1375" s="55"/>
      <c r="AK1375" s="101">
        <f t="shared" ca="1" si="264"/>
        <v>650050.83266721363</v>
      </c>
      <c r="AL1375" s="129">
        <f t="array" ref="AL1375">MAX((УслРестрактов[Характеристика]="Дата реструктуризации")*(УслРестрактов[Значение]=Первоначальный!$A1375),0)</f>
        <v>0</v>
      </c>
    </row>
    <row r="1376" spans="1:38" x14ac:dyDescent="0.25">
      <c r="A1376" s="97">
        <f t="shared" si="257"/>
        <v>45507</v>
      </c>
      <c r="B1376" s="100">
        <f t="shared" ca="1" si="258"/>
        <v>149633.34</v>
      </c>
      <c r="C1376" s="55">
        <f t="shared" ca="1" si="254"/>
        <v>98207.120000000243</v>
      </c>
      <c r="D1376" s="55">
        <f t="shared" ca="1" si="254"/>
        <v>7868.3400000000165</v>
      </c>
      <c r="E1376" s="55">
        <f t="shared" ca="1" si="259"/>
        <v>0</v>
      </c>
      <c r="F1376" s="55">
        <f t="shared" ca="1" si="260"/>
        <v>394342.03266721329</v>
      </c>
      <c r="G1376" s="101">
        <f t="shared" ca="1" si="261"/>
        <v>650050.83266721363</v>
      </c>
      <c r="H1376" s="100">
        <f ca="1">ROUND($B1376*VLOOKUP($A1376,$A$1:$B$10,2,1)/(365+IF(MOD(YEAR($A1376),4),0,1)*($A1376-$A1375)),2)-Первоначальный[[#This Row],[Проценты на просроченный платеж по ОД за период]]</f>
        <v>67.72</v>
      </c>
      <c r="I1376" s="55">
        <f t="shared" ca="1" si="262"/>
        <v>13.64</v>
      </c>
      <c r="J1376" s="55">
        <v>0</v>
      </c>
      <c r="K1376" s="55">
        <f t="shared" ca="1" si="265"/>
        <v>608.30350327868848</v>
      </c>
      <c r="L1376" s="55">
        <v>0</v>
      </c>
      <c r="M1376" s="113">
        <f>SUMIFS(График[Возврат основной суммы долга],График[Дата с учетом нерабочих дней],$A1376)</f>
        <v>0</v>
      </c>
      <c r="N1376" s="56">
        <f>SUMIFS(График[Возврат начисленных %],График[Дата с учетом нерабочих дней],$A1376)</f>
        <v>0</v>
      </c>
      <c r="O1376" s="101">
        <v>0</v>
      </c>
      <c r="P1376" s="100" cm="1">
        <f t="array" aca="1" ref="P1376" ca="1">MAX(IF(AA1375="Да",0,SUM(INDIRECT("M"&amp;(MAX(("Да"=AA$12:AA1375)*ROW(AA$12:AA1375)+1,ROW($P$12))&amp;":M"&amp;(ROW()))))-SUM(INDIRECT("W"&amp;(MAX(("Да"=AA$12:AA1375)*ROW(AA$12:AA1375)+1,ROW($P$12))&amp;":W"&amp;(ROW()))))),0)</f>
        <v>25084.419999999995</v>
      </c>
      <c r="Q1376" s="99">
        <f ca="1">MAX(SUM($N$13:N1376)-SUM($T$13:T1376),0)</f>
        <v>96576.28065573769</v>
      </c>
      <c r="R1376" s="99">
        <f ca="1">Первоначальный[[#This Row],[Просроченный платеж по ОД]]+Первоначальный[[#This Row],[Просроченный платеж по процентам]]</f>
        <v>121660.70065573769</v>
      </c>
      <c r="S1376" s="120">
        <f ca="1">IF(Первоначальный[[#This Row],[Просроченный платеж]]&lt;1,0,S1375+1)</f>
        <v>1272</v>
      </c>
      <c r="T1376" s="100" cm="1">
        <f t="array" aca="1" ref="T1376" ca="1">IF(Первоначальный[[#This Row],[Итого остаток на начало периода]]&lt;1,0,
IF(
AND(TYPE(VLOOKUP(1,$Z$12:Z1376,1,0))=16,Первоначальный[[#This Row],[Досрочное погашение (да/"")]]=""),0,
_xlfn.IFS(AND(S1375=0,Первоначальный[[#This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платеж]]&lt;&gt;0),MIN(LOOKUP(,-1/($Z$12:Z1376=1),$C$12:C1376)+LOOKUP(,-1/($Z$12:Z1376=1),$H$12:H1376),Первоначальный[[#This Row],[Полученный платеж]]+Y1375),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платеж]]+Y1375,SUM(Первоначальный[[#This Row],[Остаток процентов на начало периода]],Первоначальный[[#This Row],[Проценты за период]])),
AND(S1375=0,Первоначальный[[#This Row],[Дата платежа из графика]]=""),0,
AND(S1375=0,Первоначальный[[#This Row],[Дата платежа из графика]]=1,MAX((0&lt;&gt;S$12:S1375)*ROW(S$12:S1375),ROW($S$12))&gt;=MAX((1=Z$12:Z1375)*ROW(Z$12:Z1375),ROW($T$12)),TYPE(VLOOKUP("Да",(INDIRECT("AA"&amp;(MAX((1=Z$12:Z1375)*ROW(Z$12:Z1375),ROW($T$12))&amp;":AA"&amp;(ROW()-1)))),1,0))=16),MIN(LOOKUP(,-1/($Z$12:Z1376=1),$C$12:C1376)+LOOKUP(,-1/($Z$12:Z1376=1),$H$12:H1376),Первоначальный[[#This Row],[Полученный платеж]]+Y1375),
AND(S1375=0,TYPE(VLOOKUP("Да",(INDIRECT("AA"&amp;(MAX((1=Z$12:Z1375)*ROW(Z$12:Z1375),ROW($T$12))&amp;":AA"&amp;(ROW()-1)))),1,0))&lt;&gt;16),MIN(LOOKUP(,-1/($Z$12:Z1376=1),$C$12:C1376)+LOOKUP(,-1/($Z$12:Z1376=1),$H$12:H1376)-IF(AA1375="Да",0,SUM(INDIRECT("T"&amp;(MAX(("Да"=AA$12:AA1375)*ROW(AA$12:AA1375)+1,ROW($T$12))&amp;":T"&amp;(ROW()-1))))),Первоначальный[[#This Row],[Полученный платеж]]+Y1375),
AND(S1375=0,MAX((0&lt;&gt;N$12:N1375)*ROW(N$12:N1375),ROW($S$12))&gt;=MAX((1=Z$12:Z1375)*ROW(Z$12:Z1375),ROW($T$12))),MIN(LOOKUP(,-1/($Z$12:Z1376=1),$C$12:C1376)+LOOKUP(,-1/($Z$12:Z1376=1),$H$12:H1376)-IF(N1375&lt;&gt;0,0,SUM(INDIRECT("T"&amp;(MAX((0&lt;&gt;N$12:N1375)*ROW(N$12:N1375)+1,ROW($T$12))&amp;":T"&amp;(ROW()-1))))),Первоначальный[[#This Row],[Полученный платеж]]+Y1375),
AND(S1375=0,Первоначальный[[#This Row],[Дата платежа из графика]]=1),MIN(LOOKUP(,-1/($Z$12:Z1376=1),$C$12:C1376)+LOOKUP(,-1/($Z$12:Z1376=1),$H$12:H1376)-IF(Z1375=1,0,SUM(INDIRECT("T"&amp;(MAX((1=Z$12:Z1375)*ROW(Z$12:Z1375)+1,ROW($T$12))&amp;":T"&amp;(ROW()-1))))),Первоначальный[[#This Row],[Полученный платеж]]+Y1375),
AND(Z1375&gt;0,Первоначальный[[#This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платеж]]+Y1375),
AND(S1375&gt;0,MAX((0&lt;&gt;S$12:S1375)*ROW(S$12:S1375),ROW($S$12))&gt;=MAX((1=Z$12:Z1375)*ROW(Z$12:Z1375),ROW($T$12)),TYPE(VLOOKUP("Да",(INDIRECT("AA"&amp;(MAX((1=Z$12:Z1375)*ROW(Z$12:Z1375),ROW($T$12))&amp;":AA"&amp;(ROW()-1)))),1,0))=16),MIN(LOOKUP(,-1/($Z$12:Z1376=1),$C$12:C1376)+LOOKUP(,-1/($Z$12:Z1376=1),$H$12:H1376)-SUM(INDIRECT("T"&amp;(MAX((1=Z$12:Z1375)*ROW(Z$12:Z1375),ROW($T$12))&amp;":T"&amp;(ROW()-1)))),Первоначальный[[#This Row],[Полученный платеж]]+Y1375),
S1375&gt;0,MIN(LOOKUP(,-1/($Z$12:Z1376=1),$C$12:C1376)+LOOKUP(,-1/($Z$12:Z1376=1),$H$12:H1376)-IF(Z1375=1,0,SUM(INDIRECT("T"&amp;(MAX((1=Z$12:Z1375)*ROW(Z$12:Z1375)+1,ROW($T$12))&amp;":T"&amp;(ROW()-1))))),Первоначальный[[#This Row],[Полученный платеж]]+Y1375)
)
)
)</f>
        <v>0</v>
      </c>
      <c r="U137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платеж]]+Y1375-Первоначальный[[#This Row],[Полученный платёж по процентам]])</f>
        <v>0</v>
      </c>
      <c r="V1376" s="55">
        <f t="shared" ca="1" si="255"/>
        <v>0</v>
      </c>
      <c r="W1376" s="55" cm="1">
        <f t="array" aca="1" ref="W1376" ca="1">IF(Первоначальный[[#This Row],[Итого остаток на начало периода]]&lt;1,0,
_xlfn.IFS(
AND(TYPE(VLOOKUP(1,$Z$12:Z1376,1,0))=16,Первоначальный[[#This Row],[Досрочное погашение (да/"")]]=""),0,
AND(S1375=0,Первоначальный[[#This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платеж]]+Y1375-SUM(Первоначальный[[#This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комиссиям]]),VLOOKUP(LOOKUP(,-1/($Z$12:Z1376=1),$A$12:A1376),График[[Срок конец]:[Возврат основной суммы долга]],3,0)),
AND(S1375=0,Первоначальный[[#This Row],[Дата платежа из графика]]="",Первоначальный[[#This Row],[Досрочное погашение (да/"")]]&lt;&gt;"Да"),0,
AND(S1375=0,Первоначальный[[#This Row],[Досрочное погашение (да/"")]]=""),MIN(Первоначальный[[#This Row],[Полученный платеж]]+Y1375-SUM(Первоначальный[[#This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комиссиям]]),VLOOKUP(LOOKUP(,-1/($Z$12:Z1376=1),$A$12:A1376),График[[Срок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платеж]]+Y1375-SUM(Первоначальный[[#This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S1375&gt;0,MIN(Первоначальный[[#This Row],[Полученный платеж]]+Y1375-SUM(Первоначальный[[#This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комиссиям]]),SUM(INDIRECT("M"&amp;(MAX((1=S$12:S1375)*ROW(S$12:S1375),ROW($W$12))&amp;":M"&amp;(ROW()))))-SUM(INDIRECT("W"&amp;(MAX((1=S$12:S1375)*ROW(S$12:S1375),ROW($W$12))&amp;":W"&amp;(ROW()-1)))))
)
)</f>
        <v>0</v>
      </c>
      <c r="X1376" s="55">
        <f t="shared" ca="1" si="256"/>
        <v>0</v>
      </c>
      <c r="Y1376" s="101">
        <f t="shared" ca="1" si="263"/>
        <v>0</v>
      </c>
      <c r="Z1376" s="133" t="str">
        <f>IF(TYPE((VLOOKUP(Первоначальный[[#This Row],[Дата платежа]],График[Срок конец],1,0)))=16,"",1)</f>
        <v/>
      </c>
      <c r="AA1376" s="57"/>
      <c r="AB1376" s="134"/>
      <c r="AC137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7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98274.840000000244</v>
      </c>
      <c r="AE137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7881.9800000000168</v>
      </c>
      <c r="AF137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7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394950.336170492</v>
      </c>
      <c r="AH1376" s="55"/>
      <c r="AI1376" s="55"/>
      <c r="AJ1376" s="55"/>
      <c r="AK1376" s="101">
        <f t="shared" ca="1" si="264"/>
        <v>650740.49617049226</v>
      </c>
      <c r="AL1376" s="129">
        <f t="array" ref="AL1376">MAX((УслРестрактов[Характеристика]="Дата реструктуризации")*(УслРестрактов[Значение]=Первоначальный!$A1376),0)</f>
        <v>0</v>
      </c>
    </row>
    <row r="1377" spans="1:38" x14ac:dyDescent="0.25">
      <c r="A1377" s="97">
        <f t="shared" si="257"/>
        <v>45508</v>
      </c>
      <c r="B1377" s="100">
        <f t="shared" ca="1" si="258"/>
        <v>149633.34</v>
      </c>
      <c r="C1377" s="55">
        <f t="shared" ca="1" si="254"/>
        <v>98274.840000000244</v>
      </c>
      <c r="D1377" s="55">
        <f t="shared" ca="1" si="254"/>
        <v>7881.9800000000168</v>
      </c>
      <c r="E1377" s="55">
        <f t="shared" ca="1" si="259"/>
        <v>0</v>
      </c>
      <c r="F1377" s="55">
        <f t="shared" ca="1" si="260"/>
        <v>394950.336170492</v>
      </c>
      <c r="G1377" s="101">
        <f t="shared" ca="1" si="261"/>
        <v>650740.49617049226</v>
      </c>
      <c r="H1377" s="100">
        <f ca="1">ROUND($B1377*VLOOKUP($A1377,$A$1:$B$10,2,1)/(365+IF(MOD(YEAR($A1377),4),0,1)*($A1377-$A1376)),2)-Первоначальный[[#This Row],[Проценты на просроченный платеж по ОД за период]]</f>
        <v>67.72</v>
      </c>
      <c r="I1377" s="55">
        <f t="shared" ca="1" si="262"/>
        <v>13.64</v>
      </c>
      <c r="J1377" s="55">
        <v>0</v>
      </c>
      <c r="K1377" s="55">
        <f t="shared" ca="1" si="265"/>
        <v>608.30350327868848</v>
      </c>
      <c r="L1377" s="55">
        <v>0</v>
      </c>
      <c r="M1377" s="113">
        <f>SUMIFS(График[Возврат основной суммы долга],График[Дата с учетом нерабочих дней],$A1377)</f>
        <v>0</v>
      </c>
      <c r="N1377" s="56">
        <f>SUMIFS(График[Возврат начисленных %],График[Дата с учетом нерабочих дней],$A1377)</f>
        <v>0</v>
      </c>
      <c r="O1377" s="101">
        <v>0</v>
      </c>
      <c r="P1377" s="100" cm="1">
        <f t="array" aca="1" ref="P1377" ca="1">MAX(IF(AA1376="Да",0,SUM(INDIRECT("M"&amp;(MAX(("Да"=AA$12:AA1376)*ROW(AA$12:AA1376)+1,ROW($P$12))&amp;":M"&amp;(ROW()))))-SUM(INDIRECT("W"&amp;(MAX(("Да"=AA$12:AA1376)*ROW(AA$12:AA1376)+1,ROW($P$12))&amp;":W"&amp;(ROW()))))),0)</f>
        <v>25084.419999999995</v>
      </c>
      <c r="Q1377" s="99">
        <f ca="1">MAX(SUM($N$13:N1377)-SUM($T$13:T1377),0)</f>
        <v>96576.28065573769</v>
      </c>
      <c r="R1377" s="99">
        <f ca="1">Первоначальный[[#This Row],[Просроченный платеж по ОД]]+Первоначальный[[#This Row],[Просроченный платеж по процентам]]</f>
        <v>121660.70065573769</v>
      </c>
      <c r="S1377" s="120">
        <f ca="1">IF(Первоначальный[[#This Row],[Просроченный платеж]]&lt;1,0,S1376+1)</f>
        <v>1273</v>
      </c>
      <c r="T1377" s="100" cm="1">
        <f t="array" aca="1" ref="T1377" ca="1">IF(Первоначальный[[#This Row],[Итого остаток на начало периода]]&lt;1,0,
IF(
AND(TYPE(VLOOKUP(1,$Z$12:Z1377,1,0))=16,Первоначальный[[#This Row],[Досрочное погашение (да/"")]]=""),0,
_xlfn.IFS(AND(S1376=0,Первоначальный[[#This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платеж]]&lt;&gt;0),MIN(LOOKUP(,-1/($Z$12:Z1377=1),$C$12:C1377)+LOOKUP(,-1/($Z$12:Z1377=1),$H$12:H1377),Первоначальный[[#This Row],[Полученный платеж]]+Y1376),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платеж]]+Y1376,SUM(Первоначальный[[#This Row],[Остаток процентов на начало периода]],Первоначальный[[#This Row],[Проценты за период]])),
AND(S1376=0,Первоначальный[[#This Row],[Дата платежа из графика]]=""),0,
AND(S1376=0,Первоначальный[[#This Row],[Дата платежа из графика]]=1,MAX((0&lt;&gt;S$12:S1376)*ROW(S$12:S1376),ROW($S$12))&gt;=MAX((1=Z$12:Z1376)*ROW(Z$12:Z1376),ROW($T$12)),TYPE(VLOOKUP("Да",(INDIRECT("AA"&amp;(MAX((1=Z$12:Z1376)*ROW(Z$12:Z1376),ROW($T$12))&amp;":AA"&amp;(ROW()-1)))),1,0))=16),MIN(LOOKUP(,-1/($Z$12:Z1377=1),$C$12:C1377)+LOOKUP(,-1/($Z$12:Z1377=1),$H$12:H1377),Первоначальный[[#This Row],[Полученный платеж]]+Y1376),
AND(S1376=0,TYPE(VLOOKUP("Да",(INDIRECT("AA"&amp;(MAX((1=Z$12:Z1376)*ROW(Z$12:Z1376),ROW($T$12))&amp;":AA"&amp;(ROW()-1)))),1,0))&lt;&gt;16),MIN(LOOKUP(,-1/($Z$12:Z1377=1),$C$12:C1377)+LOOKUP(,-1/($Z$12:Z1377=1),$H$12:H1377)-IF(AA1376="Да",0,SUM(INDIRECT("T"&amp;(MAX(("Да"=AA$12:AA1376)*ROW(AA$12:AA1376)+1,ROW($T$12))&amp;":T"&amp;(ROW()-1))))),Первоначальный[[#This Row],[Полученный платеж]]+Y1376),
AND(S1376=0,MAX((0&lt;&gt;N$12:N1376)*ROW(N$12:N1376),ROW($S$12))&gt;=MAX((1=Z$12:Z1376)*ROW(Z$12:Z1376),ROW($T$12))),MIN(LOOKUP(,-1/($Z$12:Z1377=1),$C$12:C1377)+LOOKUP(,-1/($Z$12:Z1377=1),$H$12:H1377)-IF(N1376&lt;&gt;0,0,SUM(INDIRECT("T"&amp;(MAX((0&lt;&gt;N$12:N1376)*ROW(N$12:N1376)+1,ROW($T$12))&amp;":T"&amp;(ROW()-1))))),Первоначальный[[#This Row],[Полученный платеж]]+Y1376),
AND(S1376=0,Первоначальный[[#This Row],[Дата платежа из графика]]=1),MIN(LOOKUP(,-1/($Z$12:Z1377=1),$C$12:C1377)+LOOKUP(,-1/($Z$12:Z1377=1),$H$12:H1377)-IF(Z1376=1,0,SUM(INDIRECT("T"&amp;(MAX((1=Z$12:Z1376)*ROW(Z$12:Z1376)+1,ROW($T$12))&amp;":T"&amp;(ROW()-1))))),Первоначальный[[#This Row],[Полученный платеж]]+Y1376),
AND(Z1376&gt;0,Первоначальный[[#This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платеж]]+Y1376),
AND(S1376&gt;0,MAX((0&lt;&gt;S$12:S1376)*ROW(S$12:S1376),ROW($S$12))&gt;=MAX((1=Z$12:Z1376)*ROW(Z$12:Z1376),ROW($T$12)),TYPE(VLOOKUP("Да",(INDIRECT("AA"&amp;(MAX((1=Z$12:Z1376)*ROW(Z$12:Z1376),ROW($T$12))&amp;":AA"&amp;(ROW()-1)))),1,0))=16),MIN(LOOKUP(,-1/($Z$12:Z1377=1),$C$12:C1377)+LOOKUP(,-1/($Z$12:Z1377=1),$H$12:H1377)-SUM(INDIRECT("T"&amp;(MAX((1=Z$12:Z1376)*ROW(Z$12:Z1376),ROW($T$12))&amp;":T"&amp;(ROW()-1)))),Первоначальный[[#This Row],[Полученный платеж]]+Y1376),
S1376&gt;0,MIN(LOOKUP(,-1/($Z$12:Z1377=1),$C$12:C1377)+LOOKUP(,-1/($Z$12:Z1377=1),$H$12:H1377)-IF(Z1376=1,0,SUM(INDIRECT("T"&amp;(MAX((1=Z$12:Z1376)*ROW(Z$12:Z1376)+1,ROW($T$12))&amp;":T"&amp;(ROW()-1))))),Первоначальный[[#This Row],[Полученный платеж]]+Y1376)
)
)
)</f>
        <v>0</v>
      </c>
      <c r="U137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платеж]]+Y1376-Первоначальный[[#This Row],[Полученный платёж по процентам]])</f>
        <v>0</v>
      </c>
      <c r="V1377" s="55">
        <f t="shared" ca="1" si="255"/>
        <v>0</v>
      </c>
      <c r="W1377" s="55" cm="1">
        <f t="array" aca="1" ref="W1377" ca="1">IF(Первоначальный[[#This Row],[Итого остаток на начало периода]]&lt;1,0,
_xlfn.IFS(
AND(TYPE(VLOOKUP(1,$Z$12:Z1377,1,0))=16,Первоначальный[[#This Row],[Досрочное погашение (да/"")]]=""),0,
AND(S1376=0,Первоначальный[[#This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платеж]]+Y1376-SUM(Первоначальный[[#This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комиссиям]]),VLOOKUP(LOOKUP(,-1/($Z$12:Z1377=1),$A$12:A1377),График[[Срок конец]:[Возврат основной суммы долга]],3,0)),
AND(S1376=0,Первоначальный[[#This Row],[Дата платежа из графика]]="",Первоначальный[[#This Row],[Досрочное погашение (да/"")]]&lt;&gt;"Да"),0,
AND(S1376=0,Первоначальный[[#This Row],[Досрочное погашение (да/"")]]=""),MIN(Первоначальный[[#This Row],[Полученный платеж]]+Y1376-SUM(Первоначальный[[#This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комиссиям]]),VLOOKUP(LOOKUP(,-1/($Z$12:Z1377=1),$A$12:A1377),График[[Срок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платеж]]+Y1376-SUM(Первоначальный[[#This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S1376&gt;0,MIN(Первоначальный[[#This Row],[Полученный платеж]]+Y1376-SUM(Первоначальный[[#This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комиссиям]]),SUM(INDIRECT("M"&amp;(MAX((1=S$12:S1376)*ROW(S$12:S1376),ROW($W$12))&amp;":M"&amp;(ROW()))))-SUM(INDIRECT("W"&amp;(MAX((1=S$12:S1376)*ROW(S$12:S1376),ROW($W$12))&amp;":W"&amp;(ROW()-1)))))
)
)</f>
        <v>0</v>
      </c>
      <c r="X1377" s="55">
        <f t="shared" ca="1" si="256"/>
        <v>0</v>
      </c>
      <c r="Y1377" s="101">
        <f t="shared" ca="1" si="263"/>
        <v>0</v>
      </c>
      <c r="Z1377" s="133" t="str">
        <f>IF(TYPE((VLOOKUP(Первоначальный[[#This Row],[Дата платежа]],График[Срок конец],1,0)))=16,"",1)</f>
        <v/>
      </c>
      <c r="AA1377" s="57"/>
      <c r="AB1377" s="134"/>
      <c r="AC137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7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98342.560000000245</v>
      </c>
      <c r="AE137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7895.6200000000172</v>
      </c>
      <c r="AF137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7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395558.6396737707</v>
      </c>
      <c r="AH1377" s="55"/>
      <c r="AI1377" s="55"/>
      <c r="AJ1377" s="55"/>
      <c r="AK1377" s="101">
        <f t="shared" ca="1" si="264"/>
        <v>651430.15967377101</v>
      </c>
      <c r="AL1377" s="129">
        <f t="array" ref="AL1377">MAX((УслРестрактов[Характеристика]="Дата реструктуризации")*(УслРестрактов[Значение]=Первоначальный!$A1377),0)</f>
        <v>0</v>
      </c>
    </row>
    <row r="1378" spans="1:38" x14ac:dyDescent="0.25">
      <c r="A1378" s="97">
        <f t="shared" si="257"/>
        <v>45509</v>
      </c>
      <c r="B1378" s="100">
        <f t="shared" ca="1" si="258"/>
        <v>149633.34</v>
      </c>
      <c r="C1378" s="55">
        <f t="shared" ca="1" si="254"/>
        <v>98342.560000000245</v>
      </c>
      <c r="D1378" s="55">
        <f t="shared" ca="1" si="254"/>
        <v>7895.6200000000172</v>
      </c>
      <c r="E1378" s="55">
        <f t="shared" ca="1" si="259"/>
        <v>0</v>
      </c>
      <c r="F1378" s="55">
        <f t="shared" ca="1" si="260"/>
        <v>395558.6396737707</v>
      </c>
      <c r="G1378" s="101">
        <f t="shared" ca="1" si="261"/>
        <v>651430.15967377101</v>
      </c>
      <c r="H1378" s="100">
        <f ca="1">ROUND($B1378*VLOOKUP($A1378,$A$1:$B$10,2,1)/(365+IF(MOD(YEAR($A1378),4),0,1)*($A1378-$A1377)),2)-Первоначальный[[#This Row],[Проценты на просроченный платеж по ОД за период]]</f>
        <v>67.72</v>
      </c>
      <c r="I1378" s="55">
        <f t="shared" ca="1" si="262"/>
        <v>13.64</v>
      </c>
      <c r="J1378" s="55">
        <v>0</v>
      </c>
      <c r="K1378" s="55">
        <f t="shared" ca="1" si="265"/>
        <v>608.30350327868848</v>
      </c>
      <c r="L1378" s="55">
        <v>0</v>
      </c>
      <c r="M1378" s="113">
        <f>SUMIFS(График[Возврат основной суммы долга],График[Дата с учетом нерабочих дней],$A1378)</f>
        <v>0</v>
      </c>
      <c r="N1378" s="56">
        <f>SUMIFS(График[Возврат начисленных %],График[Дата с учетом нерабочих дней],$A1378)</f>
        <v>0</v>
      </c>
      <c r="O1378" s="101">
        <v>0</v>
      </c>
      <c r="P1378" s="100" cm="1">
        <f t="array" aca="1" ref="P1378" ca="1">MAX(IF(AA1377="Да",0,SUM(INDIRECT("M"&amp;(MAX(("Да"=AA$12:AA1377)*ROW(AA$12:AA1377)+1,ROW($P$12))&amp;":M"&amp;(ROW()))))-SUM(INDIRECT("W"&amp;(MAX(("Да"=AA$12:AA1377)*ROW(AA$12:AA1377)+1,ROW($P$12))&amp;":W"&amp;(ROW()))))),0)</f>
        <v>25084.419999999995</v>
      </c>
      <c r="Q1378" s="99">
        <f ca="1">MAX(SUM($N$13:N1378)-SUM($T$13:T1378),0)</f>
        <v>96576.28065573769</v>
      </c>
      <c r="R1378" s="99">
        <f ca="1">Первоначальный[[#This Row],[Просроченный платеж по ОД]]+Первоначальный[[#This Row],[Просроченный платеж по процентам]]</f>
        <v>121660.70065573769</v>
      </c>
      <c r="S1378" s="120">
        <f ca="1">IF(Первоначальный[[#This Row],[Просроченный платеж]]&lt;1,0,S1377+1)</f>
        <v>1274</v>
      </c>
      <c r="T1378" s="100" cm="1">
        <f t="array" aca="1" ref="T1378" ca="1">IF(Первоначальный[[#This Row],[Итого остаток на начало периода]]&lt;1,0,
IF(
AND(TYPE(VLOOKUP(1,$Z$12:Z1378,1,0))=16,Первоначальный[[#This Row],[Досрочное погашение (да/"")]]=""),0,
_xlfn.IFS(AND(S1377=0,Первоначальный[[#This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платеж]]&lt;&gt;0),MIN(LOOKUP(,-1/($Z$12:Z1378=1),$C$12:C1378)+LOOKUP(,-1/($Z$12:Z1378=1),$H$12:H1378),Первоначальный[[#This Row],[Полученный платеж]]+Y1377),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платеж]]+Y1377,SUM(Первоначальный[[#This Row],[Остаток процентов на начало периода]],Первоначальный[[#This Row],[Проценты за период]])),
AND(S1377=0,Первоначальный[[#This Row],[Дата платежа из графика]]=""),0,
AND(S1377=0,Первоначальный[[#This Row],[Дата платежа из графика]]=1,MAX((0&lt;&gt;S$12:S1377)*ROW(S$12:S1377),ROW($S$12))&gt;=MAX((1=Z$12:Z1377)*ROW(Z$12:Z1377),ROW($T$12)),TYPE(VLOOKUP("Да",(INDIRECT("AA"&amp;(MAX((1=Z$12:Z1377)*ROW(Z$12:Z1377),ROW($T$12))&amp;":AA"&amp;(ROW()-1)))),1,0))=16),MIN(LOOKUP(,-1/($Z$12:Z1378=1),$C$12:C1378)+LOOKUP(,-1/($Z$12:Z1378=1),$H$12:H1378),Первоначальный[[#This Row],[Полученный платеж]]+Y1377),
AND(S1377=0,TYPE(VLOOKUP("Да",(INDIRECT("AA"&amp;(MAX((1=Z$12:Z1377)*ROW(Z$12:Z1377),ROW($T$12))&amp;":AA"&amp;(ROW()-1)))),1,0))&lt;&gt;16),MIN(LOOKUP(,-1/($Z$12:Z1378=1),$C$12:C1378)+LOOKUP(,-1/($Z$12:Z1378=1),$H$12:H1378)-IF(AA1377="Да",0,SUM(INDIRECT("T"&amp;(MAX(("Да"=AA$12:AA1377)*ROW(AA$12:AA1377)+1,ROW($T$12))&amp;":T"&amp;(ROW()-1))))),Первоначальный[[#This Row],[Полученный платеж]]+Y1377),
AND(S1377=0,MAX((0&lt;&gt;N$12:N1377)*ROW(N$12:N1377),ROW($S$12))&gt;=MAX((1=Z$12:Z1377)*ROW(Z$12:Z1377),ROW($T$12))),MIN(LOOKUP(,-1/($Z$12:Z1378=1),$C$12:C1378)+LOOKUP(,-1/($Z$12:Z1378=1),$H$12:H1378)-IF(N1377&lt;&gt;0,0,SUM(INDIRECT("T"&amp;(MAX((0&lt;&gt;N$12:N1377)*ROW(N$12:N1377)+1,ROW($T$12))&amp;":T"&amp;(ROW()-1))))),Первоначальный[[#This Row],[Полученный платеж]]+Y1377),
AND(S1377=0,Первоначальный[[#This Row],[Дата платежа из графика]]=1),MIN(LOOKUP(,-1/($Z$12:Z1378=1),$C$12:C1378)+LOOKUP(,-1/($Z$12:Z1378=1),$H$12:H1378)-IF(Z1377=1,0,SUM(INDIRECT("T"&amp;(MAX((1=Z$12:Z1377)*ROW(Z$12:Z1377)+1,ROW($T$12))&amp;":T"&amp;(ROW()-1))))),Первоначальный[[#This Row],[Полученный платеж]]+Y1377),
AND(Z1377&gt;0,Первоначальный[[#This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платеж]]+Y1377),
AND(S1377&gt;0,MAX((0&lt;&gt;S$12:S1377)*ROW(S$12:S1377),ROW($S$12))&gt;=MAX((1=Z$12:Z1377)*ROW(Z$12:Z1377),ROW($T$12)),TYPE(VLOOKUP("Да",(INDIRECT("AA"&amp;(MAX((1=Z$12:Z1377)*ROW(Z$12:Z1377),ROW($T$12))&amp;":AA"&amp;(ROW()-1)))),1,0))=16),MIN(LOOKUP(,-1/($Z$12:Z1378=1),$C$12:C1378)+LOOKUP(,-1/($Z$12:Z1378=1),$H$12:H1378)-SUM(INDIRECT("T"&amp;(MAX((1=Z$12:Z1377)*ROW(Z$12:Z1377),ROW($T$12))&amp;":T"&amp;(ROW()-1)))),Первоначальный[[#This Row],[Полученный платеж]]+Y1377),
S1377&gt;0,MIN(LOOKUP(,-1/($Z$12:Z1378=1),$C$12:C1378)+LOOKUP(,-1/($Z$12:Z1378=1),$H$12:H1378)-IF(Z1377=1,0,SUM(INDIRECT("T"&amp;(MAX((1=Z$12:Z1377)*ROW(Z$12:Z1377)+1,ROW($T$12))&amp;":T"&amp;(ROW()-1))))),Первоначальный[[#This Row],[Полученный платеж]]+Y1377)
)
)
)</f>
        <v>0</v>
      </c>
      <c r="U137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платеж]]+Y1377-Первоначальный[[#This Row],[Полученный платёж по процентам]])</f>
        <v>0</v>
      </c>
      <c r="V1378" s="55">
        <f t="shared" ca="1" si="255"/>
        <v>0</v>
      </c>
      <c r="W1378" s="55" cm="1">
        <f t="array" aca="1" ref="W1378" ca="1">IF(Первоначальный[[#This Row],[Итого остаток на начало периода]]&lt;1,0,
_xlfn.IFS(
AND(TYPE(VLOOKUP(1,$Z$12:Z1378,1,0))=16,Первоначальный[[#This Row],[Досрочное погашение (да/"")]]=""),0,
AND(S1377=0,Первоначальный[[#This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платеж]]+Y1377-SUM(Первоначальный[[#This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комиссиям]]),VLOOKUP(LOOKUP(,-1/($Z$12:Z1378=1),$A$12:A1378),График[[Срок конец]:[Возврат основной суммы долга]],3,0)),
AND(S1377=0,Первоначальный[[#This Row],[Дата платежа из графика]]="",Первоначальный[[#This Row],[Досрочное погашение (да/"")]]&lt;&gt;"Да"),0,
AND(S1377=0,Первоначальный[[#This Row],[Досрочное погашение (да/"")]]=""),MIN(Первоначальный[[#This Row],[Полученный платеж]]+Y1377-SUM(Первоначальный[[#This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комиссиям]]),VLOOKUP(LOOKUP(,-1/($Z$12:Z1378=1),$A$12:A1378),График[[Срок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платеж]]+Y1377-SUM(Первоначальный[[#This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S1377&gt;0,MIN(Первоначальный[[#This Row],[Полученный платеж]]+Y1377-SUM(Первоначальный[[#This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комиссиям]]),SUM(INDIRECT("M"&amp;(MAX((1=S$12:S1377)*ROW(S$12:S1377),ROW($W$12))&amp;":M"&amp;(ROW()))))-SUM(INDIRECT("W"&amp;(MAX((1=S$12:S1377)*ROW(S$12:S1377),ROW($W$12))&amp;":W"&amp;(ROW()-1)))))
)
)</f>
        <v>0</v>
      </c>
      <c r="X1378" s="55">
        <f t="shared" ca="1" si="256"/>
        <v>0</v>
      </c>
      <c r="Y1378" s="101">
        <f t="shared" ca="1" si="263"/>
        <v>0</v>
      </c>
      <c r="Z1378" s="133" t="str">
        <f>IF(TYPE((VLOOKUP(Первоначальный[[#This Row],[Дата платежа]],График[Срок конец],1,0)))=16,"",1)</f>
        <v/>
      </c>
      <c r="AA1378" s="57"/>
      <c r="AB1378" s="134"/>
      <c r="AC137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7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98410.280000000246</v>
      </c>
      <c r="AE137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7909.2600000000175</v>
      </c>
      <c r="AF137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7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396166.9431770494</v>
      </c>
      <c r="AH1378" s="55"/>
      <c r="AI1378" s="55"/>
      <c r="AJ1378" s="55"/>
      <c r="AK1378" s="101">
        <f t="shared" ca="1" si="264"/>
        <v>652119.82317704963</v>
      </c>
      <c r="AL1378" s="129">
        <f t="array" ref="AL1378">MAX((УслРестрактов[Характеристика]="Дата реструктуризации")*(УслРестрактов[Значение]=Первоначальный!$A1378),0)</f>
        <v>0</v>
      </c>
    </row>
    <row r="1379" spans="1:38" x14ac:dyDescent="0.25">
      <c r="A1379" s="97">
        <f t="shared" si="257"/>
        <v>45510</v>
      </c>
      <c r="B1379" s="100">
        <f t="shared" ca="1" si="258"/>
        <v>149633.34</v>
      </c>
      <c r="C1379" s="55">
        <f t="shared" ca="1" si="254"/>
        <v>98410.280000000246</v>
      </c>
      <c r="D1379" s="55">
        <f t="shared" ca="1" si="254"/>
        <v>7909.2600000000175</v>
      </c>
      <c r="E1379" s="55">
        <f t="shared" ca="1" si="259"/>
        <v>0</v>
      </c>
      <c r="F1379" s="55">
        <f t="shared" ca="1" si="260"/>
        <v>396166.9431770494</v>
      </c>
      <c r="G1379" s="101">
        <f t="shared" ca="1" si="261"/>
        <v>652119.82317704963</v>
      </c>
      <c r="H1379" s="100">
        <f ca="1">ROUND($B1379*VLOOKUP($A1379,$A$1:$B$10,2,1)/(365+IF(MOD(YEAR($A1379),4),0,1)*($A1379-$A1378)),2)-Первоначальный[[#This Row],[Проценты на просроченный платеж по ОД за период]]</f>
        <v>67.72</v>
      </c>
      <c r="I1379" s="55">
        <f t="shared" ca="1" si="262"/>
        <v>13.64</v>
      </c>
      <c r="J1379" s="55">
        <v>0</v>
      </c>
      <c r="K1379" s="55">
        <f t="shared" ca="1" si="265"/>
        <v>608.30350327868848</v>
      </c>
      <c r="L1379" s="55">
        <v>0</v>
      </c>
      <c r="M1379" s="113">
        <f>SUMIFS(График[Возврат основной суммы долга],График[Дата с учетом нерабочих дней],$A1379)</f>
        <v>0</v>
      </c>
      <c r="N1379" s="56">
        <f>SUMIFS(График[Возврат начисленных %],График[Дата с учетом нерабочих дней],$A1379)</f>
        <v>0</v>
      </c>
      <c r="O1379" s="101">
        <v>0</v>
      </c>
      <c r="P1379" s="100" cm="1">
        <f t="array" aca="1" ref="P1379" ca="1">MAX(IF(AA1378="Да",0,SUM(INDIRECT("M"&amp;(MAX(("Да"=AA$12:AA1378)*ROW(AA$12:AA1378)+1,ROW($P$12))&amp;":M"&amp;(ROW()))))-SUM(INDIRECT("W"&amp;(MAX(("Да"=AA$12:AA1378)*ROW(AA$12:AA1378)+1,ROW($P$12))&amp;":W"&amp;(ROW()))))),0)</f>
        <v>25084.419999999995</v>
      </c>
      <c r="Q1379" s="99">
        <f ca="1">MAX(SUM($N$13:N1379)-SUM($T$13:T1379),0)</f>
        <v>96576.28065573769</v>
      </c>
      <c r="R1379" s="99">
        <f ca="1">Первоначальный[[#This Row],[Просроченный платеж по ОД]]+Первоначальный[[#This Row],[Просроченный платеж по процентам]]</f>
        <v>121660.70065573769</v>
      </c>
      <c r="S1379" s="120">
        <f ca="1">IF(Первоначальный[[#This Row],[Просроченный платеж]]&lt;1,0,S1378+1)</f>
        <v>1275</v>
      </c>
      <c r="T1379" s="100" cm="1">
        <f t="array" aca="1" ref="T1379" ca="1">IF(Первоначальный[[#This Row],[Итого остаток на начало периода]]&lt;1,0,
IF(
AND(TYPE(VLOOKUP(1,$Z$12:Z1379,1,0))=16,Первоначальный[[#This Row],[Досрочное погашение (да/"")]]=""),0,
_xlfn.IFS(AND(S1378=0,Первоначальный[[#This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платеж]]&lt;&gt;0),MIN(LOOKUP(,-1/($Z$12:Z1379=1),$C$12:C1379)+LOOKUP(,-1/($Z$12:Z1379=1),$H$12:H1379),Первоначальный[[#This Row],[Полученный платеж]]+Y1378),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платеж]]+Y1378,SUM(Первоначальный[[#This Row],[Остаток процентов на начало периода]],Первоначальный[[#This Row],[Проценты за период]])),
AND(S1378=0,Первоначальный[[#This Row],[Дата платежа из графика]]=""),0,
AND(S1378=0,Первоначальный[[#This Row],[Дата платежа из графика]]=1,MAX((0&lt;&gt;S$12:S1378)*ROW(S$12:S1378),ROW($S$12))&gt;=MAX((1=Z$12:Z1378)*ROW(Z$12:Z1378),ROW($T$12)),TYPE(VLOOKUP("Да",(INDIRECT("AA"&amp;(MAX((1=Z$12:Z1378)*ROW(Z$12:Z1378),ROW($T$12))&amp;":AA"&amp;(ROW()-1)))),1,0))=16),MIN(LOOKUP(,-1/($Z$12:Z1379=1),$C$12:C1379)+LOOKUP(,-1/($Z$12:Z1379=1),$H$12:H1379),Первоначальный[[#This Row],[Полученный платеж]]+Y1378),
AND(S1378=0,TYPE(VLOOKUP("Да",(INDIRECT("AA"&amp;(MAX((1=Z$12:Z1378)*ROW(Z$12:Z1378),ROW($T$12))&amp;":AA"&amp;(ROW()-1)))),1,0))&lt;&gt;16),MIN(LOOKUP(,-1/($Z$12:Z1379=1),$C$12:C1379)+LOOKUP(,-1/($Z$12:Z1379=1),$H$12:H1379)-IF(AA1378="Да",0,SUM(INDIRECT("T"&amp;(MAX(("Да"=AA$12:AA1378)*ROW(AA$12:AA1378)+1,ROW($T$12))&amp;":T"&amp;(ROW()-1))))),Первоначальный[[#This Row],[Полученный платеж]]+Y1378),
AND(S1378=0,MAX((0&lt;&gt;N$12:N1378)*ROW(N$12:N1378),ROW($S$12))&gt;=MAX((1=Z$12:Z1378)*ROW(Z$12:Z1378),ROW($T$12))),MIN(LOOKUP(,-1/($Z$12:Z1379=1),$C$12:C1379)+LOOKUP(,-1/($Z$12:Z1379=1),$H$12:H1379)-IF(N1378&lt;&gt;0,0,SUM(INDIRECT("T"&amp;(MAX((0&lt;&gt;N$12:N1378)*ROW(N$12:N1378)+1,ROW($T$12))&amp;":T"&amp;(ROW()-1))))),Первоначальный[[#This Row],[Полученный платеж]]+Y1378),
AND(S1378=0,Первоначальный[[#This Row],[Дата платежа из графика]]=1),MIN(LOOKUP(,-1/($Z$12:Z1379=1),$C$12:C1379)+LOOKUP(,-1/($Z$12:Z1379=1),$H$12:H1379)-IF(Z1378=1,0,SUM(INDIRECT("T"&amp;(MAX((1=Z$12:Z1378)*ROW(Z$12:Z1378)+1,ROW($T$12))&amp;":T"&amp;(ROW()-1))))),Первоначальный[[#This Row],[Полученный платеж]]+Y1378),
AND(Z1378&gt;0,Первоначальный[[#This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платеж]]+Y1378),
AND(S1378&gt;0,MAX((0&lt;&gt;S$12:S1378)*ROW(S$12:S1378),ROW($S$12))&gt;=MAX((1=Z$12:Z1378)*ROW(Z$12:Z1378),ROW($T$12)),TYPE(VLOOKUP("Да",(INDIRECT("AA"&amp;(MAX((1=Z$12:Z1378)*ROW(Z$12:Z1378),ROW($T$12))&amp;":AA"&amp;(ROW()-1)))),1,0))=16),MIN(LOOKUP(,-1/($Z$12:Z1379=1),$C$12:C1379)+LOOKUP(,-1/($Z$12:Z1379=1),$H$12:H1379)-SUM(INDIRECT("T"&amp;(MAX((1=Z$12:Z1378)*ROW(Z$12:Z1378),ROW($T$12))&amp;":T"&amp;(ROW()-1)))),Первоначальный[[#This Row],[Полученный платеж]]+Y1378),
S1378&gt;0,MIN(LOOKUP(,-1/($Z$12:Z1379=1),$C$12:C1379)+LOOKUP(,-1/($Z$12:Z1379=1),$H$12:H1379)-IF(Z1378=1,0,SUM(INDIRECT("T"&amp;(MAX((1=Z$12:Z1378)*ROW(Z$12:Z1378)+1,ROW($T$12))&amp;":T"&amp;(ROW()-1))))),Первоначальный[[#This Row],[Полученный платеж]]+Y1378)
)
)
)</f>
        <v>0</v>
      </c>
      <c r="U137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платеж]]+Y1378-Первоначальный[[#This Row],[Полученный платёж по процентам]])</f>
        <v>0</v>
      </c>
      <c r="V1379" s="55">
        <f t="shared" ca="1" si="255"/>
        <v>0</v>
      </c>
      <c r="W1379" s="55" cm="1">
        <f t="array" aca="1" ref="W1379" ca="1">IF(Первоначальный[[#This Row],[Итого остаток на начало периода]]&lt;1,0,
_xlfn.IFS(
AND(TYPE(VLOOKUP(1,$Z$12:Z1379,1,0))=16,Первоначальный[[#This Row],[Досрочное погашение (да/"")]]=""),0,
AND(S1378=0,Первоначальный[[#This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платеж]]+Y1378-SUM(Первоначальный[[#This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комиссиям]]),VLOOKUP(LOOKUP(,-1/($Z$12:Z1379=1),$A$12:A1379),График[[Срок конец]:[Возврат основной суммы долга]],3,0)),
AND(S1378=0,Первоначальный[[#This Row],[Дата платежа из графика]]="",Первоначальный[[#This Row],[Досрочное погашение (да/"")]]&lt;&gt;"Да"),0,
AND(S1378=0,Первоначальный[[#This Row],[Досрочное погашение (да/"")]]=""),MIN(Первоначальный[[#This Row],[Полученный платеж]]+Y1378-SUM(Первоначальный[[#This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комиссиям]]),VLOOKUP(LOOKUP(,-1/($Z$12:Z1379=1),$A$12:A1379),График[[Срок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платеж]]+Y1378-SUM(Первоначальный[[#This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S1378&gt;0,MIN(Первоначальный[[#This Row],[Полученный платеж]]+Y1378-SUM(Первоначальный[[#This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комиссиям]]),SUM(INDIRECT("M"&amp;(MAX((1=S$12:S1378)*ROW(S$12:S1378),ROW($W$12))&amp;":M"&amp;(ROW()))))-SUM(INDIRECT("W"&amp;(MAX((1=S$12:S1378)*ROW(S$12:S1378),ROW($W$12))&amp;":W"&amp;(ROW()-1)))))
)
)</f>
        <v>0</v>
      </c>
      <c r="X1379" s="55">
        <f t="shared" ca="1" si="256"/>
        <v>0</v>
      </c>
      <c r="Y1379" s="101">
        <f t="shared" ca="1" si="263"/>
        <v>0</v>
      </c>
      <c r="Z1379" s="133" t="str">
        <f>IF(TYPE((VLOOKUP(Первоначальный[[#This Row],[Дата платежа]],График[Срок конец],1,0)))=16,"",1)</f>
        <v/>
      </c>
      <c r="AA1379" s="57"/>
      <c r="AB1379" s="134"/>
      <c r="AC137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7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98478.000000000247</v>
      </c>
      <c r="AE137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7922.9000000000178</v>
      </c>
      <c r="AF137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7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396775.2466803281</v>
      </c>
      <c r="AH1379" s="55"/>
      <c r="AI1379" s="55"/>
      <c r="AJ1379" s="55"/>
      <c r="AK1379" s="101">
        <f t="shared" ca="1" si="264"/>
        <v>652809.48668032838</v>
      </c>
      <c r="AL1379" s="129">
        <f t="array" ref="AL1379">MAX((УслРестрактов[Характеристика]="Дата реструктуризации")*(УслРестрактов[Значение]=Первоначальный!$A1379),0)</f>
        <v>0</v>
      </c>
    </row>
    <row r="1380" spans="1:38" x14ac:dyDescent="0.25">
      <c r="A1380" s="97">
        <f t="shared" si="257"/>
        <v>45511</v>
      </c>
      <c r="B1380" s="100">
        <f t="shared" ca="1" si="258"/>
        <v>149633.34</v>
      </c>
      <c r="C1380" s="55">
        <f t="shared" ca="1" si="254"/>
        <v>98478.000000000247</v>
      </c>
      <c r="D1380" s="55">
        <f t="shared" ca="1" si="254"/>
        <v>7922.9000000000178</v>
      </c>
      <c r="E1380" s="55">
        <f t="shared" ca="1" si="259"/>
        <v>0</v>
      </c>
      <c r="F1380" s="55">
        <f t="shared" ca="1" si="260"/>
        <v>396775.2466803281</v>
      </c>
      <c r="G1380" s="101">
        <f t="shared" ca="1" si="261"/>
        <v>652809.48668032838</v>
      </c>
      <c r="H1380" s="100">
        <f ca="1">ROUND($B1380*VLOOKUP($A1380,$A$1:$B$10,2,1)/(365+IF(MOD(YEAR($A1380),4),0,1)*($A1380-$A1379)),2)-Первоначальный[[#This Row],[Проценты на просроченный платеж по ОД за период]]</f>
        <v>67.72</v>
      </c>
      <c r="I1380" s="55">
        <f t="shared" ca="1" si="262"/>
        <v>13.64</v>
      </c>
      <c r="J1380" s="55">
        <v>0</v>
      </c>
      <c r="K1380" s="55">
        <f t="shared" ca="1" si="265"/>
        <v>608.30350327868848</v>
      </c>
      <c r="L1380" s="55">
        <v>0</v>
      </c>
      <c r="M1380" s="113">
        <f>SUMIFS(График[Возврат основной суммы долга],График[Дата с учетом нерабочих дней],$A1380)</f>
        <v>0</v>
      </c>
      <c r="N1380" s="56">
        <f>SUMIFS(График[Возврат начисленных %],График[Дата с учетом нерабочих дней],$A1380)</f>
        <v>0</v>
      </c>
      <c r="O1380" s="101">
        <v>0</v>
      </c>
      <c r="P1380" s="100" cm="1">
        <f t="array" aca="1" ref="P1380" ca="1">MAX(IF(AA1379="Да",0,SUM(INDIRECT("M"&amp;(MAX(("Да"=AA$12:AA1379)*ROW(AA$12:AA1379)+1,ROW($P$12))&amp;":M"&amp;(ROW()))))-SUM(INDIRECT("W"&amp;(MAX(("Да"=AA$12:AA1379)*ROW(AA$12:AA1379)+1,ROW($P$12))&amp;":W"&amp;(ROW()))))),0)</f>
        <v>25084.419999999995</v>
      </c>
      <c r="Q1380" s="99">
        <f ca="1">MAX(SUM($N$13:N1380)-SUM($T$13:T1380),0)</f>
        <v>96576.28065573769</v>
      </c>
      <c r="R1380" s="99">
        <f ca="1">Первоначальный[[#This Row],[Просроченный платеж по ОД]]+Первоначальный[[#This Row],[Просроченный платеж по процентам]]</f>
        <v>121660.70065573769</v>
      </c>
      <c r="S1380" s="120">
        <f ca="1">IF(Первоначальный[[#This Row],[Просроченный платеж]]&lt;1,0,S1379+1)</f>
        <v>1276</v>
      </c>
      <c r="T1380" s="100" cm="1">
        <f t="array" aca="1" ref="T1380" ca="1">IF(Первоначальный[[#This Row],[Итого остаток на начало периода]]&lt;1,0,
IF(
AND(TYPE(VLOOKUP(1,$Z$12:Z1380,1,0))=16,Первоначальный[[#This Row],[Досрочное погашение (да/"")]]=""),0,
_xlfn.IFS(AND(S1379=0,Первоначальный[[#This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платеж]]&lt;&gt;0),MIN(LOOKUP(,-1/($Z$12:Z1380=1),$C$12:C1380)+LOOKUP(,-1/($Z$12:Z1380=1),$H$12:H1380),Первоначальный[[#This Row],[Полученный платеж]]+Y1379),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платеж]]+Y1379,SUM(Первоначальный[[#This Row],[Остаток процентов на начало периода]],Первоначальный[[#This Row],[Проценты за период]])),
AND(S1379=0,Первоначальный[[#This Row],[Дата платежа из графика]]=""),0,
AND(S1379=0,Первоначальный[[#This Row],[Дата платежа из графика]]=1,MAX((0&lt;&gt;S$12:S1379)*ROW(S$12:S1379),ROW($S$12))&gt;=MAX((1=Z$12:Z1379)*ROW(Z$12:Z1379),ROW($T$12)),TYPE(VLOOKUP("Да",(INDIRECT("AA"&amp;(MAX((1=Z$12:Z1379)*ROW(Z$12:Z1379),ROW($T$12))&amp;":AA"&amp;(ROW()-1)))),1,0))=16),MIN(LOOKUP(,-1/($Z$12:Z1380=1),$C$12:C1380)+LOOKUP(,-1/($Z$12:Z1380=1),$H$12:H1380),Первоначальный[[#This Row],[Полученный платеж]]+Y1379),
AND(S1379=0,TYPE(VLOOKUP("Да",(INDIRECT("AA"&amp;(MAX((1=Z$12:Z1379)*ROW(Z$12:Z1379),ROW($T$12))&amp;":AA"&amp;(ROW()-1)))),1,0))&lt;&gt;16),MIN(LOOKUP(,-1/($Z$12:Z1380=1),$C$12:C1380)+LOOKUP(,-1/($Z$12:Z1380=1),$H$12:H1380)-IF(AA1379="Да",0,SUM(INDIRECT("T"&amp;(MAX(("Да"=AA$12:AA1379)*ROW(AA$12:AA1379)+1,ROW($T$12))&amp;":T"&amp;(ROW()-1))))),Первоначальный[[#This Row],[Полученный платеж]]+Y1379),
AND(S1379=0,MAX((0&lt;&gt;N$12:N1379)*ROW(N$12:N1379),ROW($S$12))&gt;=MAX((1=Z$12:Z1379)*ROW(Z$12:Z1379),ROW($T$12))),MIN(LOOKUP(,-1/($Z$12:Z1380=1),$C$12:C1380)+LOOKUP(,-1/($Z$12:Z1380=1),$H$12:H1380)-IF(N1379&lt;&gt;0,0,SUM(INDIRECT("T"&amp;(MAX((0&lt;&gt;N$12:N1379)*ROW(N$12:N1379)+1,ROW($T$12))&amp;":T"&amp;(ROW()-1))))),Первоначальный[[#This Row],[Полученный платеж]]+Y1379),
AND(S1379=0,Первоначальный[[#This Row],[Дата платежа из графика]]=1),MIN(LOOKUP(,-1/($Z$12:Z1380=1),$C$12:C1380)+LOOKUP(,-1/($Z$12:Z1380=1),$H$12:H1380)-IF(Z1379=1,0,SUM(INDIRECT("T"&amp;(MAX((1=Z$12:Z1379)*ROW(Z$12:Z1379)+1,ROW($T$12))&amp;":T"&amp;(ROW()-1))))),Первоначальный[[#This Row],[Полученный платеж]]+Y1379),
AND(Z1379&gt;0,Первоначальный[[#This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платеж]]+Y1379),
AND(S1379&gt;0,MAX((0&lt;&gt;S$12:S1379)*ROW(S$12:S1379),ROW($S$12))&gt;=MAX((1=Z$12:Z1379)*ROW(Z$12:Z1379),ROW($T$12)),TYPE(VLOOKUP("Да",(INDIRECT("AA"&amp;(MAX((1=Z$12:Z1379)*ROW(Z$12:Z1379),ROW($T$12))&amp;":AA"&amp;(ROW()-1)))),1,0))=16),MIN(LOOKUP(,-1/($Z$12:Z1380=1),$C$12:C1380)+LOOKUP(,-1/($Z$12:Z1380=1),$H$12:H1380)-SUM(INDIRECT("T"&amp;(MAX((1=Z$12:Z1379)*ROW(Z$12:Z1379),ROW($T$12))&amp;":T"&amp;(ROW()-1)))),Первоначальный[[#This Row],[Полученный платеж]]+Y1379),
S1379&gt;0,MIN(LOOKUP(,-1/($Z$12:Z1380=1),$C$12:C1380)+LOOKUP(,-1/($Z$12:Z1380=1),$H$12:H1380)-IF(Z1379=1,0,SUM(INDIRECT("T"&amp;(MAX((1=Z$12:Z1379)*ROW(Z$12:Z1379)+1,ROW($T$12))&amp;":T"&amp;(ROW()-1))))),Первоначальный[[#This Row],[Полученный платеж]]+Y1379)
)
)
)</f>
        <v>0</v>
      </c>
      <c r="U138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платеж]]+Y1379-Первоначальный[[#This Row],[Полученный платёж по процентам]])</f>
        <v>0</v>
      </c>
      <c r="V1380" s="55">
        <f t="shared" ca="1" si="255"/>
        <v>0</v>
      </c>
      <c r="W1380" s="55" cm="1">
        <f t="array" aca="1" ref="W1380" ca="1">IF(Первоначальный[[#This Row],[Итого остаток на начало периода]]&lt;1,0,
_xlfn.IFS(
AND(TYPE(VLOOKUP(1,$Z$12:Z1380,1,0))=16,Первоначальный[[#This Row],[Досрочное погашение (да/"")]]=""),0,
AND(S1379=0,Первоначальный[[#This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платеж]]+Y1379-SUM(Первоначальный[[#This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комиссиям]]),VLOOKUP(LOOKUP(,-1/($Z$12:Z1380=1),$A$12:A1380),График[[Срок конец]:[Возврат основной суммы долга]],3,0)),
AND(S1379=0,Первоначальный[[#This Row],[Дата платежа из графика]]="",Первоначальный[[#This Row],[Досрочное погашение (да/"")]]&lt;&gt;"Да"),0,
AND(S1379=0,Первоначальный[[#This Row],[Досрочное погашение (да/"")]]=""),MIN(Первоначальный[[#This Row],[Полученный платеж]]+Y1379-SUM(Первоначальный[[#This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комиссиям]]),VLOOKUP(LOOKUP(,-1/($Z$12:Z1380=1),$A$12:A1380),График[[Срок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платеж]]+Y1379-SUM(Первоначальный[[#This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S1379&gt;0,MIN(Первоначальный[[#This Row],[Полученный платеж]]+Y1379-SUM(Первоначальный[[#This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комиссиям]]),SUM(INDIRECT("M"&amp;(MAX((1=S$12:S1379)*ROW(S$12:S1379),ROW($W$12))&amp;":M"&amp;(ROW()))))-SUM(INDIRECT("W"&amp;(MAX((1=S$12:S1379)*ROW(S$12:S1379),ROW($W$12))&amp;":W"&amp;(ROW()-1)))))
)
)</f>
        <v>0</v>
      </c>
      <c r="X1380" s="55">
        <f t="shared" ca="1" si="256"/>
        <v>0</v>
      </c>
      <c r="Y1380" s="101">
        <f t="shared" ca="1" si="263"/>
        <v>0</v>
      </c>
      <c r="Z1380" s="133" t="str">
        <f>IF(TYPE((VLOOKUP(Первоначальный[[#This Row],[Дата платежа]],График[Срок конец],1,0)))=16,"",1)</f>
        <v/>
      </c>
      <c r="AA1380" s="57"/>
      <c r="AB1380" s="134"/>
      <c r="AC138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8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98545.720000000249</v>
      </c>
      <c r="AE138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7936.5400000000182</v>
      </c>
      <c r="AF138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8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397383.5501836068</v>
      </c>
      <c r="AH1380" s="55"/>
      <c r="AI1380" s="55"/>
      <c r="AJ1380" s="55"/>
      <c r="AK1380" s="101">
        <f t="shared" ca="1" si="264"/>
        <v>653499.15018360701</v>
      </c>
      <c r="AL1380" s="129">
        <f t="array" ref="AL1380">MAX((УслРестрактов[Характеристика]="Дата реструктуризации")*(УслРестрактов[Значение]=Первоначальный!$A1380),0)</f>
        <v>0</v>
      </c>
    </row>
    <row r="1381" spans="1:38" x14ac:dyDescent="0.25">
      <c r="A1381" s="97">
        <f t="shared" si="257"/>
        <v>45512</v>
      </c>
      <c r="B1381" s="100">
        <f t="shared" ca="1" si="258"/>
        <v>149633.34</v>
      </c>
      <c r="C1381" s="55">
        <f t="shared" ca="1" si="254"/>
        <v>98545.720000000249</v>
      </c>
      <c r="D1381" s="55">
        <f t="shared" ca="1" si="254"/>
        <v>7936.5400000000182</v>
      </c>
      <c r="E1381" s="55">
        <f t="shared" ca="1" si="259"/>
        <v>0</v>
      </c>
      <c r="F1381" s="55">
        <f t="shared" ca="1" si="260"/>
        <v>397383.5501836068</v>
      </c>
      <c r="G1381" s="101">
        <f t="shared" ca="1" si="261"/>
        <v>653499.15018360701</v>
      </c>
      <c r="H1381" s="100">
        <f ca="1">ROUND($B1381*VLOOKUP($A1381,$A$1:$B$10,2,1)/(365+IF(MOD(YEAR($A1381),4),0,1)*($A1381-$A1380)),2)-Первоначальный[[#This Row],[Проценты на просроченный платеж по ОД за период]]</f>
        <v>67.72</v>
      </c>
      <c r="I1381" s="55">
        <f t="shared" ca="1" si="262"/>
        <v>13.64</v>
      </c>
      <c r="J1381" s="55">
        <v>0</v>
      </c>
      <c r="K1381" s="55">
        <f t="shared" ca="1" si="265"/>
        <v>608.30350327868848</v>
      </c>
      <c r="L1381" s="55">
        <v>0</v>
      </c>
      <c r="M1381" s="113">
        <f>SUMIFS(График[Возврат основной суммы долга],График[Дата с учетом нерабочих дней],$A1381)</f>
        <v>0</v>
      </c>
      <c r="N1381" s="56">
        <f>SUMIFS(График[Возврат начисленных %],График[Дата с учетом нерабочих дней],$A1381)</f>
        <v>0</v>
      </c>
      <c r="O1381" s="101">
        <v>0</v>
      </c>
      <c r="P1381" s="100" cm="1">
        <f t="array" aca="1" ref="P1381" ca="1">MAX(IF(AA1380="Да",0,SUM(INDIRECT("M"&amp;(MAX(("Да"=AA$12:AA1380)*ROW(AA$12:AA1380)+1,ROW($P$12))&amp;":M"&amp;(ROW()))))-SUM(INDIRECT("W"&amp;(MAX(("Да"=AA$12:AA1380)*ROW(AA$12:AA1380)+1,ROW($P$12))&amp;":W"&amp;(ROW()))))),0)</f>
        <v>25084.419999999995</v>
      </c>
      <c r="Q1381" s="99">
        <f ca="1">MAX(SUM($N$13:N1381)-SUM($T$13:T1381),0)</f>
        <v>96576.28065573769</v>
      </c>
      <c r="R1381" s="99">
        <f ca="1">Первоначальный[[#This Row],[Просроченный платеж по ОД]]+Первоначальный[[#This Row],[Просроченный платеж по процентам]]</f>
        <v>121660.70065573769</v>
      </c>
      <c r="S1381" s="120">
        <f ca="1">IF(Первоначальный[[#This Row],[Просроченный платеж]]&lt;1,0,S1380+1)</f>
        <v>1277</v>
      </c>
      <c r="T1381" s="100" cm="1">
        <f t="array" aca="1" ref="T1381" ca="1">IF(Первоначальный[[#This Row],[Итого остаток на начало периода]]&lt;1,0,
IF(
AND(TYPE(VLOOKUP(1,$Z$12:Z1381,1,0))=16,Первоначальный[[#This Row],[Досрочное погашение (да/"")]]=""),0,
_xlfn.IFS(AND(S1380=0,Первоначальный[[#This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платеж]]&lt;&gt;0),MIN(LOOKUP(,-1/($Z$12:Z1381=1),$C$12:C1381)+LOOKUP(,-1/($Z$12:Z1381=1),$H$12:H1381),Первоначальный[[#This Row],[Полученный платеж]]+Y1380),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платеж]]+Y1380,SUM(Первоначальный[[#This Row],[Остаток процентов на начало периода]],Первоначальный[[#This Row],[Проценты за период]])),
AND(S1380=0,Первоначальный[[#This Row],[Дата платежа из графика]]=""),0,
AND(S1380=0,Первоначальный[[#This Row],[Дата платежа из графика]]=1,MAX((0&lt;&gt;S$12:S1380)*ROW(S$12:S1380),ROW($S$12))&gt;=MAX((1=Z$12:Z1380)*ROW(Z$12:Z1380),ROW($T$12)),TYPE(VLOOKUP("Да",(INDIRECT("AA"&amp;(MAX((1=Z$12:Z1380)*ROW(Z$12:Z1380),ROW($T$12))&amp;":AA"&amp;(ROW()-1)))),1,0))=16),MIN(LOOKUP(,-1/($Z$12:Z1381=1),$C$12:C1381)+LOOKUP(,-1/($Z$12:Z1381=1),$H$12:H1381),Первоначальный[[#This Row],[Полученный платеж]]+Y1380),
AND(S1380=0,TYPE(VLOOKUP("Да",(INDIRECT("AA"&amp;(MAX((1=Z$12:Z1380)*ROW(Z$12:Z1380),ROW($T$12))&amp;":AA"&amp;(ROW()-1)))),1,0))&lt;&gt;16),MIN(LOOKUP(,-1/($Z$12:Z1381=1),$C$12:C1381)+LOOKUP(,-1/($Z$12:Z1381=1),$H$12:H1381)-IF(AA1380="Да",0,SUM(INDIRECT("T"&amp;(MAX(("Да"=AA$12:AA1380)*ROW(AA$12:AA1380)+1,ROW($T$12))&amp;":T"&amp;(ROW()-1))))),Первоначальный[[#This Row],[Полученный платеж]]+Y1380),
AND(S1380=0,MAX((0&lt;&gt;N$12:N1380)*ROW(N$12:N1380),ROW($S$12))&gt;=MAX((1=Z$12:Z1380)*ROW(Z$12:Z1380),ROW($T$12))),MIN(LOOKUP(,-1/($Z$12:Z1381=1),$C$12:C1381)+LOOKUP(,-1/($Z$12:Z1381=1),$H$12:H1381)-IF(N1380&lt;&gt;0,0,SUM(INDIRECT("T"&amp;(MAX((0&lt;&gt;N$12:N1380)*ROW(N$12:N1380)+1,ROW($T$12))&amp;":T"&amp;(ROW()-1))))),Первоначальный[[#This Row],[Полученный платеж]]+Y1380),
AND(S1380=0,Первоначальный[[#This Row],[Дата платежа из графика]]=1),MIN(LOOKUP(,-1/($Z$12:Z1381=1),$C$12:C1381)+LOOKUP(,-1/($Z$12:Z1381=1),$H$12:H1381)-IF(Z1380=1,0,SUM(INDIRECT("T"&amp;(MAX((1=Z$12:Z1380)*ROW(Z$12:Z1380)+1,ROW($T$12))&amp;":T"&amp;(ROW()-1))))),Первоначальный[[#This Row],[Полученный платеж]]+Y1380),
AND(Z1380&gt;0,Первоначальный[[#This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платеж]]+Y1380),
AND(S1380&gt;0,MAX((0&lt;&gt;S$12:S1380)*ROW(S$12:S1380),ROW($S$12))&gt;=MAX((1=Z$12:Z1380)*ROW(Z$12:Z1380),ROW($T$12)),TYPE(VLOOKUP("Да",(INDIRECT("AA"&amp;(MAX((1=Z$12:Z1380)*ROW(Z$12:Z1380),ROW($T$12))&amp;":AA"&amp;(ROW()-1)))),1,0))=16),MIN(LOOKUP(,-1/($Z$12:Z1381=1),$C$12:C1381)+LOOKUP(,-1/($Z$12:Z1381=1),$H$12:H1381)-SUM(INDIRECT("T"&amp;(MAX((1=Z$12:Z1380)*ROW(Z$12:Z1380),ROW($T$12))&amp;":T"&amp;(ROW()-1)))),Первоначальный[[#This Row],[Полученный платеж]]+Y1380),
S1380&gt;0,MIN(LOOKUP(,-1/($Z$12:Z1381=1),$C$12:C1381)+LOOKUP(,-1/($Z$12:Z1381=1),$H$12:H1381)-IF(Z1380=1,0,SUM(INDIRECT("T"&amp;(MAX((1=Z$12:Z1380)*ROW(Z$12:Z1380)+1,ROW($T$12))&amp;":T"&amp;(ROW()-1))))),Первоначальный[[#This Row],[Полученный платеж]]+Y1380)
)
)
)</f>
        <v>0</v>
      </c>
      <c r="U138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платеж]]+Y1380-Первоначальный[[#This Row],[Полученный платёж по процентам]])</f>
        <v>0</v>
      </c>
      <c r="V1381" s="55">
        <f t="shared" ca="1" si="255"/>
        <v>0</v>
      </c>
      <c r="W1381" s="55" cm="1">
        <f t="array" aca="1" ref="W1381" ca="1">IF(Первоначальный[[#This Row],[Итого остаток на начало периода]]&lt;1,0,
_xlfn.IFS(
AND(TYPE(VLOOKUP(1,$Z$12:Z1381,1,0))=16,Первоначальный[[#This Row],[Досрочное погашение (да/"")]]=""),0,
AND(S1380=0,Первоначальный[[#This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платеж]]+Y1380-SUM(Первоначальный[[#This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комиссиям]]),VLOOKUP(LOOKUP(,-1/($Z$12:Z1381=1),$A$12:A1381),График[[Срок конец]:[Возврат основной суммы долга]],3,0)),
AND(S1380=0,Первоначальный[[#This Row],[Дата платежа из графика]]="",Первоначальный[[#This Row],[Досрочное погашение (да/"")]]&lt;&gt;"Да"),0,
AND(S1380=0,Первоначальный[[#This Row],[Досрочное погашение (да/"")]]=""),MIN(Первоначальный[[#This Row],[Полученный платеж]]+Y1380-SUM(Первоначальный[[#This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комиссиям]]),VLOOKUP(LOOKUP(,-1/($Z$12:Z1381=1),$A$12:A1381),График[[Срок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платеж]]+Y1380-SUM(Первоначальный[[#This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S1380&gt;0,MIN(Первоначальный[[#This Row],[Полученный платеж]]+Y1380-SUM(Первоначальный[[#This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комиссиям]]),SUM(INDIRECT("M"&amp;(MAX((1=S$12:S1380)*ROW(S$12:S1380),ROW($W$12))&amp;":M"&amp;(ROW()))))-SUM(INDIRECT("W"&amp;(MAX((1=S$12:S1380)*ROW(S$12:S1380),ROW($W$12))&amp;":W"&amp;(ROW()-1)))))
)
)</f>
        <v>0</v>
      </c>
      <c r="X1381" s="55">
        <f t="shared" ca="1" si="256"/>
        <v>0</v>
      </c>
      <c r="Y1381" s="101">
        <f t="shared" ca="1" si="263"/>
        <v>0</v>
      </c>
      <c r="Z1381" s="133" t="str">
        <f>IF(TYPE((VLOOKUP(Первоначальный[[#This Row],[Дата платежа]],График[Срок конец],1,0)))=16,"",1)</f>
        <v/>
      </c>
      <c r="AA1381" s="57"/>
      <c r="AB1381" s="134"/>
      <c r="AC138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8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98613.44000000025</v>
      </c>
      <c r="AE138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7950.1800000000185</v>
      </c>
      <c r="AF138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8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397991.8536868855</v>
      </c>
      <c r="AH1381" s="55"/>
      <c r="AI1381" s="55"/>
      <c r="AJ1381" s="55"/>
      <c r="AK1381" s="101">
        <f t="shared" ca="1" si="264"/>
        <v>654188.81368688575</v>
      </c>
      <c r="AL1381" s="129">
        <f t="array" ref="AL1381">MAX((УслРестрактов[Характеристика]="Дата реструктуризации")*(УслРестрактов[Значение]=Первоначальный!$A1381),0)</f>
        <v>0</v>
      </c>
    </row>
    <row r="1382" spans="1:38" x14ac:dyDescent="0.25">
      <c r="A1382" s="97">
        <f t="shared" si="257"/>
        <v>45513</v>
      </c>
      <c r="B1382" s="100">
        <f t="shared" ca="1" si="258"/>
        <v>149633.34</v>
      </c>
      <c r="C1382" s="55">
        <f t="shared" ca="1" si="254"/>
        <v>98613.44000000025</v>
      </c>
      <c r="D1382" s="55">
        <f t="shared" ca="1" si="254"/>
        <v>7950.1800000000185</v>
      </c>
      <c r="E1382" s="55">
        <f t="shared" ca="1" si="259"/>
        <v>0</v>
      </c>
      <c r="F1382" s="55">
        <f t="shared" ca="1" si="260"/>
        <v>397991.8536868855</v>
      </c>
      <c r="G1382" s="101">
        <f t="shared" ca="1" si="261"/>
        <v>654188.81368688575</v>
      </c>
      <c r="H1382" s="100">
        <f ca="1">ROUND($B1382*VLOOKUP($A1382,$A$1:$B$10,2,1)/(365+IF(MOD(YEAR($A1382),4),0,1)*($A1382-$A1381)),2)-Первоначальный[[#This Row],[Проценты на просроченный платеж по ОД за период]]</f>
        <v>67.72</v>
      </c>
      <c r="I1382" s="55">
        <f t="shared" ca="1" si="262"/>
        <v>13.64</v>
      </c>
      <c r="J1382" s="55">
        <v>0</v>
      </c>
      <c r="K1382" s="55">
        <f t="shared" ca="1" si="265"/>
        <v>622.78850327868849</v>
      </c>
      <c r="L1382" s="55">
        <v>0</v>
      </c>
      <c r="M1382" s="113">
        <f>SUMIFS(График[Возврат основной суммы долга],График[Дата с учетом нерабочих дней],$A1382)</f>
        <v>797.69999999999982</v>
      </c>
      <c r="N1382" s="56">
        <f>SUMIFS(График[Возврат начисленных %],График[Дата с учетом нерабочих дней],$A1382)</f>
        <v>2099.3000000000002</v>
      </c>
      <c r="O1382" s="101">
        <v>0</v>
      </c>
      <c r="P1382" s="100" cm="1">
        <f t="array" aca="1" ref="P1382" ca="1">MAX(IF(AA1381="Да",0,SUM(INDIRECT("M"&amp;(MAX(("Да"=AA$12:AA1381)*ROW(AA$12:AA1381)+1,ROW($P$12))&amp;":M"&amp;(ROW()))))-SUM(INDIRECT("W"&amp;(MAX(("Да"=AA$12:AA1381)*ROW(AA$12:AA1381)+1,ROW($P$12))&amp;":W"&amp;(ROW()))))),0)</f>
        <v>25882.119999999995</v>
      </c>
      <c r="Q1382" s="99">
        <f ca="1">MAX(SUM($N$13:N1382)-SUM($T$13:T1382),0)</f>
        <v>98675.580655737693</v>
      </c>
      <c r="R1382" s="99">
        <f ca="1">Первоначальный[[#This Row],[Просроченный платеж по ОД]]+Первоначальный[[#This Row],[Просроченный платеж по процентам]]</f>
        <v>124557.70065573769</v>
      </c>
      <c r="S1382" s="120">
        <f ca="1">IF(Первоначальный[[#This Row],[Просроченный платеж]]&lt;1,0,S1381+1)</f>
        <v>1278</v>
      </c>
      <c r="T1382" s="100" cm="1">
        <f t="array" aca="1" ref="T1382" ca="1">IF(Первоначальный[[#This Row],[Итого остаток на начало периода]]&lt;1,0,
IF(
AND(TYPE(VLOOKUP(1,$Z$12:Z1382,1,0))=16,Первоначальный[[#This Row],[Досрочное погашение (да/"")]]=""),0,
_xlfn.IFS(AND(S1381=0,Первоначальный[[#This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платеж]]&lt;&gt;0),MIN(LOOKUP(,-1/($Z$12:Z1382=1),$C$12:C1382)+LOOKUP(,-1/($Z$12:Z1382=1),$H$12:H1382),Первоначальный[[#This Row],[Полученный платеж]]+Y1381),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платеж]]+Y1381,SUM(Первоначальный[[#This Row],[Остаток процентов на начало периода]],Первоначальный[[#This Row],[Проценты за период]])),
AND(S1381=0,Первоначальный[[#This Row],[Дата платежа из графика]]=""),0,
AND(S1381=0,Первоначальный[[#This Row],[Дата платежа из графика]]=1,MAX((0&lt;&gt;S$12:S1381)*ROW(S$12:S1381),ROW($S$12))&gt;=MAX((1=Z$12:Z1381)*ROW(Z$12:Z1381),ROW($T$12)),TYPE(VLOOKUP("Да",(INDIRECT("AA"&amp;(MAX((1=Z$12:Z1381)*ROW(Z$12:Z1381),ROW($T$12))&amp;":AA"&amp;(ROW()-1)))),1,0))=16),MIN(LOOKUP(,-1/($Z$12:Z1382=1),$C$12:C1382)+LOOKUP(,-1/($Z$12:Z1382=1),$H$12:H1382),Первоначальный[[#This Row],[Полученный платеж]]+Y1381),
AND(S1381=0,TYPE(VLOOKUP("Да",(INDIRECT("AA"&amp;(MAX((1=Z$12:Z1381)*ROW(Z$12:Z1381),ROW($T$12))&amp;":AA"&amp;(ROW()-1)))),1,0))&lt;&gt;16),MIN(LOOKUP(,-1/($Z$12:Z1382=1),$C$12:C1382)+LOOKUP(,-1/($Z$12:Z1382=1),$H$12:H1382)-IF(AA1381="Да",0,SUM(INDIRECT("T"&amp;(MAX(("Да"=AA$12:AA1381)*ROW(AA$12:AA1381)+1,ROW($T$12))&amp;":T"&amp;(ROW()-1))))),Первоначальный[[#This Row],[Полученный платеж]]+Y1381),
AND(S1381=0,MAX((0&lt;&gt;N$12:N1381)*ROW(N$12:N1381),ROW($S$12))&gt;=MAX((1=Z$12:Z1381)*ROW(Z$12:Z1381),ROW($T$12))),MIN(LOOKUP(,-1/($Z$12:Z1382=1),$C$12:C1382)+LOOKUP(,-1/($Z$12:Z1382=1),$H$12:H1382)-IF(N1381&lt;&gt;0,0,SUM(INDIRECT("T"&amp;(MAX((0&lt;&gt;N$12:N1381)*ROW(N$12:N1381)+1,ROW($T$12))&amp;":T"&amp;(ROW()-1))))),Первоначальный[[#This Row],[Полученный платеж]]+Y1381),
AND(S1381=0,Первоначальный[[#This Row],[Дата платежа из графика]]=1),MIN(LOOKUP(,-1/($Z$12:Z1382=1),$C$12:C1382)+LOOKUP(,-1/($Z$12:Z1382=1),$H$12:H1382)-IF(Z1381=1,0,SUM(INDIRECT("T"&amp;(MAX((1=Z$12:Z1381)*ROW(Z$12:Z1381)+1,ROW($T$12))&amp;":T"&amp;(ROW()-1))))),Первоначальный[[#This Row],[Полученный платеж]]+Y1381),
AND(Z1381&gt;0,Первоначальный[[#This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платеж]]+Y1381),
AND(S1381&gt;0,MAX((0&lt;&gt;S$12:S1381)*ROW(S$12:S1381),ROW($S$12))&gt;=MAX((1=Z$12:Z1381)*ROW(Z$12:Z1381),ROW($T$12)),TYPE(VLOOKUP("Да",(INDIRECT("AA"&amp;(MAX((1=Z$12:Z1381)*ROW(Z$12:Z1381),ROW($T$12))&amp;":AA"&amp;(ROW()-1)))),1,0))=16),MIN(LOOKUP(,-1/($Z$12:Z1382=1),$C$12:C1382)+LOOKUP(,-1/($Z$12:Z1382=1),$H$12:H1382)-SUM(INDIRECT("T"&amp;(MAX((1=Z$12:Z1381)*ROW(Z$12:Z1381),ROW($T$12))&amp;":T"&amp;(ROW()-1)))),Первоначальный[[#This Row],[Полученный платеж]]+Y1381),
S1381&gt;0,MIN(LOOKUP(,-1/($Z$12:Z1382=1),$C$12:C1382)+LOOKUP(,-1/($Z$12:Z1382=1),$H$12:H1382)-IF(Z1381=1,0,SUM(INDIRECT("T"&amp;(MAX((1=Z$12:Z1381)*ROW(Z$12:Z1381)+1,ROW($T$12))&amp;":T"&amp;(ROW()-1))))),Первоначальный[[#This Row],[Полученный платеж]]+Y1381)
)
)
)</f>
        <v>0</v>
      </c>
      <c r="U138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платеж]]+Y1381-Первоначальный[[#This Row],[Полученный платёж по процентам]])</f>
        <v>0</v>
      </c>
      <c r="V1382" s="55">
        <f t="shared" ca="1" si="255"/>
        <v>0</v>
      </c>
      <c r="W1382" s="55" cm="1">
        <f t="array" aca="1" ref="W1382" ca="1">IF(Первоначальный[[#This Row],[Итого остаток на начало периода]]&lt;1,0,
_xlfn.IFS(
AND(TYPE(VLOOKUP(1,$Z$12:Z1382,1,0))=16,Первоначальный[[#This Row],[Досрочное погашение (да/"")]]=""),0,
AND(S1381=0,Первоначальный[[#This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платеж]]+Y1381-SUM(Первоначальный[[#This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комиссиям]]),VLOOKUP(LOOKUP(,-1/($Z$12:Z1382=1),$A$12:A1382),График[[Срок конец]:[Возврат основной суммы долга]],3,0)),
AND(S1381=0,Первоначальный[[#This Row],[Дата платежа из графика]]="",Первоначальный[[#This Row],[Досрочное погашение (да/"")]]&lt;&gt;"Да"),0,
AND(S1381=0,Первоначальный[[#This Row],[Досрочное погашение (да/"")]]=""),MIN(Первоначальный[[#This Row],[Полученный платеж]]+Y1381-SUM(Первоначальный[[#This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комиссиям]]),VLOOKUP(LOOKUP(,-1/($Z$12:Z1382=1),$A$12:A1382),График[[Срок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платеж]]+Y1381-SUM(Первоначальный[[#This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S1381&gt;0,MIN(Первоначальный[[#This Row],[Полученный платеж]]+Y1381-SUM(Первоначальный[[#This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комиссиям]]),SUM(INDIRECT("M"&amp;(MAX((1=S$12:S1381)*ROW(S$12:S1381),ROW($W$12))&amp;":M"&amp;(ROW()))))-SUM(INDIRECT("W"&amp;(MAX((1=S$12:S1381)*ROW(S$12:S1381),ROW($W$12))&amp;":W"&amp;(ROW()-1)))))
)
)</f>
        <v>0</v>
      </c>
      <c r="X1382" s="55">
        <f t="shared" ca="1" si="256"/>
        <v>0</v>
      </c>
      <c r="Y1382" s="101">
        <f t="shared" ca="1" si="263"/>
        <v>0</v>
      </c>
      <c r="Z1382" s="133">
        <f>IF(TYPE((VLOOKUP(Первоначальный[[#This Row],[Дата платежа]],График[Срок конец],1,0)))=16,"",1)</f>
        <v>1</v>
      </c>
      <c r="AA1382" s="57"/>
      <c r="AB1382" s="134"/>
      <c r="AC138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8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98681.160000000251</v>
      </c>
      <c r="AE138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7963.8200000000188</v>
      </c>
      <c r="AF138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8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398614.64219016419</v>
      </c>
      <c r="AH1382" s="55"/>
      <c r="AI1382" s="55"/>
      <c r="AJ1382" s="55"/>
      <c r="AK1382" s="101">
        <f t="shared" ca="1" si="264"/>
        <v>654892.96219016449</v>
      </c>
      <c r="AL1382" s="129">
        <f t="array" ref="AL1382">MAX((УслРестрактов[Характеристика]="Дата реструктуризации")*(УслРестрактов[Значение]=Первоначальный!$A1382),0)</f>
        <v>0</v>
      </c>
    </row>
    <row r="1383" spans="1:38" x14ac:dyDescent="0.25">
      <c r="A1383" s="97">
        <f t="shared" si="257"/>
        <v>45514</v>
      </c>
      <c r="B1383" s="100">
        <f t="shared" ca="1" si="258"/>
        <v>149633.34</v>
      </c>
      <c r="C1383" s="55">
        <f t="shared" ca="1" si="254"/>
        <v>98681.160000000251</v>
      </c>
      <c r="D1383" s="55">
        <f t="shared" ca="1" si="254"/>
        <v>7963.8200000000188</v>
      </c>
      <c r="E1383" s="55">
        <f t="shared" ca="1" si="259"/>
        <v>0</v>
      </c>
      <c r="F1383" s="55">
        <f t="shared" ca="1" si="260"/>
        <v>398614.64219016419</v>
      </c>
      <c r="G1383" s="101">
        <f t="shared" ca="1" si="261"/>
        <v>654892.96219016449</v>
      </c>
      <c r="H1383" s="100">
        <f ca="1">ROUND($B1383*VLOOKUP($A1383,$A$1:$B$10,2,1)/(365+IF(MOD(YEAR($A1383),4),0,1)*($A1383-$A1382)),2)-Первоначальный[[#This Row],[Проценты на просроченный платеж по ОД за период]]</f>
        <v>67.289999999999992</v>
      </c>
      <c r="I1383" s="55">
        <f t="shared" ca="1" si="262"/>
        <v>14.07</v>
      </c>
      <c r="J1383" s="55">
        <v>0</v>
      </c>
      <c r="K1383" s="55">
        <f t="shared" ca="1" si="265"/>
        <v>622.78850327868849</v>
      </c>
      <c r="L1383" s="55">
        <v>0</v>
      </c>
      <c r="M1383" s="113">
        <f>SUMIFS(График[Возврат основной суммы долга],График[Дата с учетом нерабочих дней],$A1383)</f>
        <v>0</v>
      </c>
      <c r="N1383" s="56">
        <f>SUMIFS(График[Возврат начисленных %],График[Дата с учетом нерабочих дней],$A1383)</f>
        <v>0</v>
      </c>
      <c r="O1383" s="101">
        <v>0</v>
      </c>
      <c r="P1383" s="100" cm="1">
        <f t="array" aca="1" ref="P1383" ca="1">MAX(IF(AA1382="Да",0,SUM(INDIRECT("M"&amp;(MAX(("Да"=AA$12:AA1382)*ROW(AA$12:AA1382)+1,ROW($P$12))&amp;":M"&amp;(ROW()))))-SUM(INDIRECT("W"&amp;(MAX(("Да"=AA$12:AA1382)*ROW(AA$12:AA1382)+1,ROW($P$12))&amp;":W"&amp;(ROW()))))),0)</f>
        <v>25882.119999999995</v>
      </c>
      <c r="Q1383" s="99">
        <f ca="1">MAX(SUM($N$13:N1383)-SUM($T$13:T1383),0)</f>
        <v>98675.580655737693</v>
      </c>
      <c r="R1383" s="99">
        <f ca="1">Первоначальный[[#This Row],[Просроченный платеж по ОД]]+Первоначальный[[#This Row],[Просроченный платеж по процентам]]</f>
        <v>124557.70065573769</v>
      </c>
      <c r="S1383" s="120">
        <f ca="1">IF(Первоначальный[[#This Row],[Просроченный платеж]]&lt;1,0,S1382+1)</f>
        <v>1279</v>
      </c>
      <c r="T1383" s="100" cm="1">
        <f t="array" aca="1" ref="T1383" ca="1">IF(Первоначальный[[#This Row],[Итого остаток на начало периода]]&lt;1,0,
IF(
AND(TYPE(VLOOKUP(1,$Z$12:Z1383,1,0))=16,Первоначальный[[#This Row],[Досрочное погашение (да/"")]]=""),0,
_xlfn.IFS(AND(S1382=0,Первоначальный[[#This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платеж]]&lt;&gt;0),MIN(LOOKUP(,-1/($Z$12:Z1383=1),$C$12:C1383)+LOOKUP(,-1/($Z$12:Z1383=1),$H$12:H1383),Первоначальный[[#This Row],[Полученный платеж]]+Y1382),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платеж]]+Y1382,SUM(Первоначальный[[#This Row],[Остаток процентов на начало периода]],Первоначальный[[#This Row],[Проценты за период]])),
AND(S1382=0,Первоначальный[[#This Row],[Дата платежа из графика]]=""),0,
AND(S1382=0,Первоначальный[[#This Row],[Дата платежа из графика]]=1,MAX((0&lt;&gt;S$12:S1382)*ROW(S$12:S1382),ROW($S$12))&gt;=MAX((1=Z$12:Z1382)*ROW(Z$12:Z1382),ROW($T$12)),TYPE(VLOOKUP("Да",(INDIRECT("AA"&amp;(MAX((1=Z$12:Z1382)*ROW(Z$12:Z1382),ROW($T$12))&amp;":AA"&amp;(ROW()-1)))),1,0))=16),MIN(LOOKUP(,-1/($Z$12:Z1383=1),$C$12:C1383)+LOOKUP(,-1/($Z$12:Z1383=1),$H$12:H1383),Первоначальный[[#This Row],[Полученный платеж]]+Y1382),
AND(S1382=0,TYPE(VLOOKUP("Да",(INDIRECT("AA"&amp;(MAX((1=Z$12:Z1382)*ROW(Z$12:Z1382),ROW($T$12))&amp;":AA"&amp;(ROW()-1)))),1,0))&lt;&gt;16),MIN(LOOKUP(,-1/($Z$12:Z1383=1),$C$12:C1383)+LOOKUP(,-1/($Z$12:Z1383=1),$H$12:H1383)-IF(AA1382="Да",0,SUM(INDIRECT("T"&amp;(MAX(("Да"=AA$12:AA1382)*ROW(AA$12:AA1382)+1,ROW($T$12))&amp;":T"&amp;(ROW()-1))))),Первоначальный[[#This Row],[Полученный платеж]]+Y1382),
AND(S1382=0,MAX((0&lt;&gt;N$12:N1382)*ROW(N$12:N1382),ROW($S$12))&gt;=MAX((1=Z$12:Z1382)*ROW(Z$12:Z1382),ROW($T$12))),MIN(LOOKUP(,-1/($Z$12:Z1383=1),$C$12:C1383)+LOOKUP(,-1/($Z$12:Z1383=1),$H$12:H1383)-IF(N1382&lt;&gt;0,0,SUM(INDIRECT("T"&amp;(MAX((0&lt;&gt;N$12:N1382)*ROW(N$12:N1382)+1,ROW($T$12))&amp;":T"&amp;(ROW()-1))))),Первоначальный[[#This Row],[Полученный платеж]]+Y1382),
AND(S1382=0,Первоначальный[[#This Row],[Дата платежа из графика]]=1),MIN(LOOKUP(,-1/($Z$12:Z1383=1),$C$12:C1383)+LOOKUP(,-1/($Z$12:Z1383=1),$H$12:H1383)-IF(Z1382=1,0,SUM(INDIRECT("T"&amp;(MAX((1=Z$12:Z1382)*ROW(Z$12:Z1382)+1,ROW($T$12))&amp;":T"&amp;(ROW()-1))))),Первоначальный[[#This Row],[Полученный платеж]]+Y1382),
AND(Z1382&gt;0,Первоначальный[[#This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платеж]]+Y1382),
AND(S1382&gt;0,MAX((0&lt;&gt;S$12:S1382)*ROW(S$12:S1382),ROW($S$12))&gt;=MAX((1=Z$12:Z1382)*ROW(Z$12:Z1382),ROW($T$12)),TYPE(VLOOKUP("Да",(INDIRECT("AA"&amp;(MAX((1=Z$12:Z1382)*ROW(Z$12:Z1382),ROW($T$12))&amp;":AA"&amp;(ROW()-1)))),1,0))=16),MIN(LOOKUP(,-1/($Z$12:Z1383=1),$C$12:C1383)+LOOKUP(,-1/($Z$12:Z1383=1),$H$12:H1383)-SUM(INDIRECT("T"&amp;(MAX((1=Z$12:Z1382)*ROW(Z$12:Z1382),ROW($T$12))&amp;":T"&amp;(ROW()-1)))),Первоначальный[[#This Row],[Полученный платеж]]+Y1382),
S1382&gt;0,MIN(LOOKUP(,-1/($Z$12:Z1383=1),$C$12:C1383)+LOOKUP(,-1/($Z$12:Z1383=1),$H$12:H1383)-IF(Z1382=1,0,SUM(INDIRECT("T"&amp;(MAX((1=Z$12:Z1382)*ROW(Z$12:Z1382)+1,ROW($T$12))&amp;":T"&amp;(ROW()-1))))),Первоначальный[[#This Row],[Полученный платеж]]+Y1382)
)
)
)</f>
        <v>0</v>
      </c>
      <c r="U138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платеж]]+Y1382-Первоначальный[[#This Row],[Полученный платёж по процентам]])</f>
        <v>0</v>
      </c>
      <c r="V1383" s="55">
        <f t="shared" ca="1" si="255"/>
        <v>0</v>
      </c>
      <c r="W1383" s="55" cm="1">
        <f t="array" aca="1" ref="W1383" ca="1">IF(Первоначальный[[#This Row],[Итого остаток на начало периода]]&lt;1,0,
_xlfn.IFS(
AND(TYPE(VLOOKUP(1,$Z$12:Z1383,1,0))=16,Первоначальный[[#This Row],[Досрочное погашение (да/"")]]=""),0,
AND(S1382=0,Первоначальный[[#This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платеж]]+Y1382-SUM(Первоначальный[[#This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комиссиям]]),VLOOKUP(LOOKUP(,-1/($Z$12:Z1383=1),$A$12:A1383),График[[Срок конец]:[Возврат основной суммы долга]],3,0)),
AND(S1382=0,Первоначальный[[#This Row],[Дата платежа из графика]]="",Первоначальный[[#This Row],[Досрочное погашение (да/"")]]&lt;&gt;"Да"),0,
AND(S1382=0,Первоначальный[[#This Row],[Досрочное погашение (да/"")]]=""),MIN(Первоначальный[[#This Row],[Полученный платеж]]+Y1382-SUM(Первоначальный[[#This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комиссиям]]),VLOOKUP(LOOKUP(,-1/($Z$12:Z1383=1),$A$12:A1383),График[[Срок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платеж]]+Y1382-SUM(Первоначальный[[#This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S1382&gt;0,MIN(Первоначальный[[#This Row],[Полученный платеж]]+Y1382-SUM(Первоначальный[[#This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комиссиям]]),SUM(INDIRECT("M"&amp;(MAX((1=S$12:S1382)*ROW(S$12:S1382),ROW($W$12))&amp;":M"&amp;(ROW()))))-SUM(INDIRECT("W"&amp;(MAX((1=S$12:S1382)*ROW(S$12:S1382),ROW($W$12))&amp;":W"&amp;(ROW()-1)))))
)
)</f>
        <v>0</v>
      </c>
      <c r="X1383" s="55">
        <f t="shared" ca="1" si="256"/>
        <v>0</v>
      </c>
      <c r="Y1383" s="101">
        <f t="shared" ca="1" si="263"/>
        <v>0</v>
      </c>
      <c r="Z1383" s="133" t="str">
        <f>IF(TYPE((VLOOKUP(Первоначальный[[#This Row],[Дата платежа]],График[Срок конец],1,0)))=16,"",1)</f>
        <v/>
      </c>
      <c r="AA1383" s="57"/>
      <c r="AB1383" s="134"/>
      <c r="AC138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8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98748.450000000244</v>
      </c>
      <c r="AE138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7977.8900000000185</v>
      </c>
      <c r="AF138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8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399237.43069344288</v>
      </c>
      <c r="AH1383" s="55"/>
      <c r="AI1383" s="55"/>
      <c r="AJ1383" s="55"/>
      <c r="AK1383" s="101">
        <f t="shared" ca="1" si="264"/>
        <v>655597.1106934431</v>
      </c>
      <c r="AL1383" s="129">
        <f t="array" ref="AL1383">MAX((УслРестрактов[Характеристика]="Дата реструктуризации")*(УслРестрактов[Значение]=Первоначальный!$A1383),0)</f>
        <v>0</v>
      </c>
    </row>
    <row r="1384" spans="1:38" x14ac:dyDescent="0.25">
      <c r="A1384" s="97">
        <f t="shared" si="257"/>
        <v>45515</v>
      </c>
      <c r="B1384" s="100">
        <f t="shared" ca="1" si="258"/>
        <v>149633.34</v>
      </c>
      <c r="C1384" s="55">
        <f t="shared" ca="1" si="254"/>
        <v>98748.450000000244</v>
      </c>
      <c r="D1384" s="55">
        <f t="shared" ca="1" si="254"/>
        <v>7977.8900000000185</v>
      </c>
      <c r="E1384" s="55">
        <f t="shared" ca="1" si="259"/>
        <v>0</v>
      </c>
      <c r="F1384" s="55">
        <f t="shared" ca="1" si="260"/>
        <v>399237.43069344288</v>
      </c>
      <c r="G1384" s="101">
        <f t="shared" ca="1" si="261"/>
        <v>655597.1106934431</v>
      </c>
      <c r="H1384" s="100">
        <f ca="1">ROUND($B1384*VLOOKUP($A1384,$A$1:$B$10,2,1)/(365+IF(MOD(YEAR($A1384),4),0,1)*($A1384-$A1383)),2)-Первоначальный[[#This Row],[Проценты на просроченный платеж по ОД за период]]</f>
        <v>67.289999999999992</v>
      </c>
      <c r="I1384" s="55">
        <f t="shared" ca="1" si="262"/>
        <v>14.07</v>
      </c>
      <c r="J1384" s="55">
        <v>0</v>
      </c>
      <c r="K1384" s="55">
        <f t="shared" ca="1" si="265"/>
        <v>622.78850327868849</v>
      </c>
      <c r="L1384" s="55">
        <v>0</v>
      </c>
      <c r="M1384" s="113">
        <f>SUMIFS(График[Возврат основной суммы долга],График[Дата с учетом нерабочих дней],$A1384)</f>
        <v>0</v>
      </c>
      <c r="N1384" s="56">
        <f>SUMIFS(График[Возврат начисленных %],График[Дата с учетом нерабочих дней],$A1384)</f>
        <v>0</v>
      </c>
      <c r="O1384" s="101">
        <v>0</v>
      </c>
      <c r="P1384" s="100" cm="1">
        <f t="array" aca="1" ref="P1384" ca="1">MAX(IF(AA1383="Да",0,SUM(INDIRECT("M"&amp;(MAX(("Да"=AA$12:AA1383)*ROW(AA$12:AA1383)+1,ROW($P$12))&amp;":M"&amp;(ROW()))))-SUM(INDIRECT("W"&amp;(MAX(("Да"=AA$12:AA1383)*ROW(AA$12:AA1383)+1,ROW($P$12))&amp;":W"&amp;(ROW()))))),0)</f>
        <v>25882.119999999995</v>
      </c>
      <c r="Q1384" s="99">
        <f ca="1">MAX(SUM($N$13:N1384)-SUM($T$13:T1384),0)</f>
        <v>98675.580655737693</v>
      </c>
      <c r="R1384" s="99">
        <f ca="1">Первоначальный[[#This Row],[Просроченный платеж по ОД]]+Первоначальный[[#This Row],[Просроченный платеж по процентам]]</f>
        <v>124557.70065573769</v>
      </c>
      <c r="S1384" s="120">
        <f ca="1">IF(Первоначальный[[#This Row],[Просроченный платеж]]&lt;1,0,S1383+1)</f>
        <v>1280</v>
      </c>
      <c r="T1384" s="100" cm="1">
        <f t="array" aca="1" ref="T1384" ca="1">IF(Первоначальный[[#This Row],[Итого остаток на начало периода]]&lt;1,0,
IF(
AND(TYPE(VLOOKUP(1,$Z$12:Z1384,1,0))=16,Первоначальный[[#This Row],[Досрочное погашение (да/"")]]=""),0,
_xlfn.IFS(AND(S1383=0,Первоначальный[[#This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платеж]]&lt;&gt;0),MIN(LOOKUP(,-1/($Z$12:Z1384=1),$C$12:C1384)+LOOKUP(,-1/($Z$12:Z1384=1),$H$12:H1384),Первоначальный[[#This Row],[Полученный платеж]]+Y1383),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платеж]]+Y1383,SUM(Первоначальный[[#This Row],[Остаток процентов на начало периода]],Первоначальный[[#This Row],[Проценты за период]])),
AND(S1383=0,Первоначальный[[#This Row],[Дата платежа из графика]]=""),0,
AND(S1383=0,Первоначальный[[#This Row],[Дата платежа из графика]]=1,MAX((0&lt;&gt;S$12:S1383)*ROW(S$12:S1383),ROW($S$12))&gt;=MAX((1=Z$12:Z1383)*ROW(Z$12:Z1383),ROW($T$12)),TYPE(VLOOKUP("Да",(INDIRECT("AA"&amp;(MAX((1=Z$12:Z1383)*ROW(Z$12:Z1383),ROW($T$12))&amp;":AA"&amp;(ROW()-1)))),1,0))=16),MIN(LOOKUP(,-1/($Z$12:Z1384=1),$C$12:C1384)+LOOKUP(,-1/($Z$12:Z1384=1),$H$12:H1384),Первоначальный[[#This Row],[Полученный платеж]]+Y1383),
AND(S1383=0,TYPE(VLOOKUP("Да",(INDIRECT("AA"&amp;(MAX((1=Z$12:Z1383)*ROW(Z$12:Z1383),ROW($T$12))&amp;":AA"&amp;(ROW()-1)))),1,0))&lt;&gt;16),MIN(LOOKUP(,-1/($Z$12:Z1384=1),$C$12:C1384)+LOOKUP(,-1/($Z$12:Z1384=1),$H$12:H1384)-IF(AA1383="Да",0,SUM(INDIRECT("T"&amp;(MAX(("Да"=AA$12:AA1383)*ROW(AA$12:AA1383)+1,ROW($T$12))&amp;":T"&amp;(ROW()-1))))),Первоначальный[[#This Row],[Полученный платеж]]+Y1383),
AND(S1383=0,MAX((0&lt;&gt;N$12:N1383)*ROW(N$12:N1383),ROW($S$12))&gt;=MAX((1=Z$12:Z1383)*ROW(Z$12:Z1383),ROW($T$12))),MIN(LOOKUP(,-1/($Z$12:Z1384=1),$C$12:C1384)+LOOKUP(,-1/($Z$12:Z1384=1),$H$12:H1384)-IF(N1383&lt;&gt;0,0,SUM(INDIRECT("T"&amp;(MAX((0&lt;&gt;N$12:N1383)*ROW(N$12:N1383)+1,ROW($T$12))&amp;":T"&amp;(ROW()-1))))),Первоначальный[[#This Row],[Полученный платеж]]+Y1383),
AND(S1383=0,Первоначальный[[#This Row],[Дата платежа из графика]]=1),MIN(LOOKUP(,-1/($Z$12:Z1384=1),$C$12:C1384)+LOOKUP(,-1/($Z$12:Z1384=1),$H$12:H1384)-IF(Z1383=1,0,SUM(INDIRECT("T"&amp;(MAX((1=Z$12:Z1383)*ROW(Z$12:Z1383)+1,ROW($T$12))&amp;":T"&amp;(ROW()-1))))),Первоначальный[[#This Row],[Полученный платеж]]+Y1383),
AND(Z1383&gt;0,Первоначальный[[#This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платеж]]+Y1383),
AND(S1383&gt;0,MAX((0&lt;&gt;S$12:S1383)*ROW(S$12:S1383),ROW($S$12))&gt;=MAX((1=Z$12:Z1383)*ROW(Z$12:Z1383),ROW($T$12)),TYPE(VLOOKUP("Да",(INDIRECT("AA"&amp;(MAX((1=Z$12:Z1383)*ROW(Z$12:Z1383),ROW($T$12))&amp;":AA"&amp;(ROW()-1)))),1,0))=16),MIN(LOOKUP(,-1/($Z$12:Z1384=1),$C$12:C1384)+LOOKUP(,-1/($Z$12:Z1384=1),$H$12:H1384)-SUM(INDIRECT("T"&amp;(MAX((1=Z$12:Z1383)*ROW(Z$12:Z1383),ROW($T$12))&amp;":T"&amp;(ROW()-1)))),Первоначальный[[#This Row],[Полученный платеж]]+Y1383),
S1383&gt;0,MIN(LOOKUP(,-1/($Z$12:Z1384=1),$C$12:C1384)+LOOKUP(,-1/($Z$12:Z1384=1),$H$12:H1384)-IF(Z1383=1,0,SUM(INDIRECT("T"&amp;(MAX((1=Z$12:Z1383)*ROW(Z$12:Z1383)+1,ROW($T$12))&amp;":T"&amp;(ROW()-1))))),Первоначальный[[#This Row],[Полученный платеж]]+Y1383)
)
)
)</f>
        <v>0</v>
      </c>
      <c r="U138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платеж]]+Y1383-Первоначальный[[#This Row],[Полученный платёж по процентам]])</f>
        <v>0</v>
      </c>
      <c r="V1384" s="55">
        <f t="shared" ca="1" si="255"/>
        <v>0</v>
      </c>
      <c r="W1384" s="55" cm="1">
        <f t="array" aca="1" ref="W1384" ca="1">IF(Первоначальный[[#This Row],[Итого остаток на начало периода]]&lt;1,0,
_xlfn.IFS(
AND(TYPE(VLOOKUP(1,$Z$12:Z1384,1,0))=16,Первоначальный[[#This Row],[Досрочное погашение (да/"")]]=""),0,
AND(S1383=0,Первоначальный[[#This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платеж]]+Y1383-SUM(Первоначальный[[#This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комиссиям]]),VLOOKUP(LOOKUP(,-1/($Z$12:Z1384=1),$A$12:A1384),График[[Срок конец]:[Возврат основной суммы долга]],3,0)),
AND(S1383=0,Первоначальный[[#This Row],[Дата платежа из графика]]="",Первоначальный[[#This Row],[Досрочное погашение (да/"")]]&lt;&gt;"Да"),0,
AND(S1383=0,Первоначальный[[#This Row],[Досрочное погашение (да/"")]]=""),MIN(Первоначальный[[#This Row],[Полученный платеж]]+Y1383-SUM(Первоначальный[[#This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комиссиям]]),VLOOKUP(LOOKUP(,-1/($Z$12:Z1384=1),$A$12:A1384),График[[Срок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платеж]]+Y1383-SUM(Первоначальный[[#This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S1383&gt;0,MIN(Первоначальный[[#This Row],[Полученный платеж]]+Y1383-SUM(Первоначальный[[#This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комиссиям]]),SUM(INDIRECT("M"&amp;(MAX((1=S$12:S1383)*ROW(S$12:S1383),ROW($W$12))&amp;":M"&amp;(ROW()))))-SUM(INDIRECT("W"&amp;(MAX((1=S$12:S1383)*ROW(S$12:S1383),ROW($W$12))&amp;":W"&amp;(ROW()-1)))))
)
)</f>
        <v>0</v>
      </c>
      <c r="X1384" s="55">
        <f t="shared" ca="1" si="256"/>
        <v>0</v>
      </c>
      <c r="Y1384" s="101">
        <f t="shared" ca="1" si="263"/>
        <v>0</v>
      </c>
      <c r="Z1384" s="133" t="str">
        <f>IF(TYPE((VLOOKUP(Первоначальный[[#This Row],[Дата платежа]],График[Срок конец],1,0)))=16,"",1)</f>
        <v/>
      </c>
      <c r="AA1384" s="57"/>
      <c r="AB1384" s="134"/>
      <c r="AC138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8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98815.740000000238</v>
      </c>
      <c r="AE138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7991.9600000000182</v>
      </c>
      <c r="AF138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8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399860.21919672156</v>
      </c>
      <c r="AH1384" s="55"/>
      <c r="AI1384" s="55"/>
      <c r="AJ1384" s="55"/>
      <c r="AK1384" s="101">
        <f t="shared" ca="1" si="264"/>
        <v>656301.25919672183</v>
      </c>
      <c r="AL1384" s="129">
        <f t="array" ref="AL1384">MAX((УслРестрактов[Характеристика]="Дата реструктуризации")*(УслРестрактов[Значение]=Первоначальный!$A1384),0)</f>
        <v>0</v>
      </c>
    </row>
    <row r="1385" spans="1:38" x14ac:dyDescent="0.25">
      <c r="A1385" s="97">
        <f t="shared" si="257"/>
        <v>45516</v>
      </c>
      <c r="B1385" s="100">
        <f t="shared" ca="1" si="258"/>
        <v>149633.34</v>
      </c>
      <c r="C1385" s="55">
        <f t="shared" ca="1" si="254"/>
        <v>98815.740000000238</v>
      </c>
      <c r="D1385" s="55">
        <f t="shared" ca="1" si="254"/>
        <v>7991.9600000000182</v>
      </c>
      <c r="E1385" s="55">
        <f t="shared" ca="1" si="259"/>
        <v>0</v>
      </c>
      <c r="F1385" s="55">
        <f t="shared" ca="1" si="260"/>
        <v>399860.21919672156</v>
      </c>
      <c r="G1385" s="101">
        <f t="shared" ca="1" si="261"/>
        <v>656301.25919672183</v>
      </c>
      <c r="H1385" s="100">
        <f ca="1">ROUND($B1385*VLOOKUP($A1385,$A$1:$B$10,2,1)/(365+IF(MOD(YEAR($A1385),4),0,1)*($A1385-$A1384)),2)-Первоначальный[[#This Row],[Проценты на просроченный платеж по ОД за период]]</f>
        <v>67.289999999999992</v>
      </c>
      <c r="I1385" s="55">
        <f t="shared" ca="1" si="262"/>
        <v>14.07</v>
      </c>
      <c r="J1385" s="55">
        <v>0</v>
      </c>
      <c r="K1385" s="55">
        <f t="shared" ca="1" si="265"/>
        <v>622.78850327868849</v>
      </c>
      <c r="L1385" s="55">
        <v>0</v>
      </c>
      <c r="M1385" s="113">
        <f>SUMIFS(График[Возврат основной суммы долга],График[Дата с учетом нерабочих дней],$A1385)</f>
        <v>0</v>
      </c>
      <c r="N1385" s="56">
        <f>SUMIFS(График[Возврат начисленных %],График[Дата с учетом нерабочих дней],$A1385)</f>
        <v>0</v>
      </c>
      <c r="O1385" s="101">
        <v>0</v>
      </c>
      <c r="P1385" s="100" cm="1">
        <f t="array" aca="1" ref="P1385" ca="1">MAX(IF(AA1384="Да",0,SUM(INDIRECT("M"&amp;(MAX(("Да"=AA$12:AA1384)*ROW(AA$12:AA1384)+1,ROW($P$12))&amp;":M"&amp;(ROW()))))-SUM(INDIRECT("W"&amp;(MAX(("Да"=AA$12:AA1384)*ROW(AA$12:AA1384)+1,ROW($P$12))&amp;":W"&amp;(ROW()))))),0)</f>
        <v>25882.119999999995</v>
      </c>
      <c r="Q1385" s="99">
        <f ca="1">MAX(SUM($N$13:N1385)-SUM($T$13:T1385),0)</f>
        <v>98675.580655737693</v>
      </c>
      <c r="R1385" s="99">
        <f ca="1">Первоначальный[[#This Row],[Просроченный платеж по ОД]]+Первоначальный[[#This Row],[Просроченный платеж по процентам]]</f>
        <v>124557.70065573769</v>
      </c>
      <c r="S1385" s="120">
        <f ca="1">IF(Первоначальный[[#This Row],[Просроченный платеж]]&lt;1,0,S1384+1)</f>
        <v>1281</v>
      </c>
      <c r="T1385" s="100" cm="1">
        <f t="array" aca="1" ref="T1385" ca="1">IF(Первоначальный[[#This Row],[Итого остаток на начало периода]]&lt;1,0,
IF(
AND(TYPE(VLOOKUP(1,$Z$12:Z1385,1,0))=16,Первоначальный[[#This Row],[Досрочное погашение (да/"")]]=""),0,
_xlfn.IFS(AND(S1384=0,Первоначальный[[#This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платеж]]&lt;&gt;0),MIN(LOOKUP(,-1/($Z$12:Z1385=1),$C$12:C1385)+LOOKUP(,-1/($Z$12:Z1385=1),$H$12:H1385),Первоначальный[[#This Row],[Полученный платеж]]+Y1384),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платеж]]+Y1384,SUM(Первоначальный[[#This Row],[Остаток процентов на начало периода]],Первоначальный[[#This Row],[Проценты за период]])),
AND(S1384=0,Первоначальный[[#This Row],[Дата платежа из графика]]=""),0,
AND(S1384=0,Первоначальный[[#This Row],[Дата платежа из графика]]=1,MAX((0&lt;&gt;S$12:S1384)*ROW(S$12:S1384),ROW($S$12))&gt;=MAX((1=Z$12:Z1384)*ROW(Z$12:Z1384),ROW($T$12)),TYPE(VLOOKUP("Да",(INDIRECT("AA"&amp;(MAX((1=Z$12:Z1384)*ROW(Z$12:Z1384),ROW($T$12))&amp;":AA"&amp;(ROW()-1)))),1,0))=16),MIN(LOOKUP(,-1/($Z$12:Z1385=1),$C$12:C1385)+LOOKUP(,-1/($Z$12:Z1385=1),$H$12:H1385),Первоначальный[[#This Row],[Полученный платеж]]+Y1384),
AND(S1384=0,TYPE(VLOOKUP("Да",(INDIRECT("AA"&amp;(MAX((1=Z$12:Z1384)*ROW(Z$12:Z1384),ROW($T$12))&amp;":AA"&amp;(ROW()-1)))),1,0))&lt;&gt;16),MIN(LOOKUP(,-1/($Z$12:Z1385=1),$C$12:C1385)+LOOKUP(,-1/($Z$12:Z1385=1),$H$12:H1385)-IF(AA1384="Да",0,SUM(INDIRECT("T"&amp;(MAX(("Да"=AA$12:AA1384)*ROW(AA$12:AA1384)+1,ROW($T$12))&amp;":T"&amp;(ROW()-1))))),Первоначальный[[#This Row],[Полученный платеж]]+Y1384),
AND(S1384=0,MAX((0&lt;&gt;N$12:N1384)*ROW(N$12:N1384),ROW($S$12))&gt;=MAX((1=Z$12:Z1384)*ROW(Z$12:Z1384),ROW($T$12))),MIN(LOOKUP(,-1/($Z$12:Z1385=1),$C$12:C1385)+LOOKUP(,-1/($Z$12:Z1385=1),$H$12:H1385)-IF(N1384&lt;&gt;0,0,SUM(INDIRECT("T"&amp;(MAX((0&lt;&gt;N$12:N1384)*ROW(N$12:N1384)+1,ROW($T$12))&amp;":T"&amp;(ROW()-1))))),Первоначальный[[#This Row],[Полученный платеж]]+Y1384),
AND(S1384=0,Первоначальный[[#This Row],[Дата платежа из графика]]=1),MIN(LOOKUP(,-1/($Z$12:Z1385=1),$C$12:C1385)+LOOKUP(,-1/($Z$12:Z1385=1),$H$12:H1385)-IF(Z1384=1,0,SUM(INDIRECT("T"&amp;(MAX((1=Z$12:Z1384)*ROW(Z$12:Z1384)+1,ROW($T$12))&amp;":T"&amp;(ROW()-1))))),Первоначальный[[#This Row],[Полученный платеж]]+Y1384),
AND(Z1384&gt;0,Первоначальный[[#This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платеж]]+Y1384),
AND(S1384&gt;0,MAX((0&lt;&gt;S$12:S1384)*ROW(S$12:S1384),ROW($S$12))&gt;=MAX((1=Z$12:Z1384)*ROW(Z$12:Z1384),ROW($T$12)),TYPE(VLOOKUP("Да",(INDIRECT("AA"&amp;(MAX((1=Z$12:Z1384)*ROW(Z$12:Z1384),ROW($T$12))&amp;":AA"&amp;(ROW()-1)))),1,0))=16),MIN(LOOKUP(,-1/($Z$12:Z1385=1),$C$12:C1385)+LOOKUP(,-1/($Z$12:Z1385=1),$H$12:H1385)-SUM(INDIRECT("T"&amp;(MAX((1=Z$12:Z1384)*ROW(Z$12:Z1384),ROW($T$12))&amp;":T"&amp;(ROW()-1)))),Первоначальный[[#This Row],[Полученный платеж]]+Y1384),
S1384&gt;0,MIN(LOOKUP(,-1/($Z$12:Z1385=1),$C$12:C1385)+LOOKUP(,-1/($Z$12:Z1385=1),$H$12:H1385)-IF(Z1384=1,0,SUM(INDIRECT("T"&amp;(MAX((1=Z$12:Z1384)*ROW(Z$12:Z1384)+1,ROW($T$12))&amp;":T"&amp;(ROW()-1))))),Первоначальный[[#This Row],[Полученный платеж]]+Y1384)
)
)
)</f>
        <v>0</v>
      </c>
      <c r="U138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платеж]]+Y1384-Первоначальный[[#This Row],[Полученный платёж по процентам]])</f>
        <v>0</v>
      </c>
      <c r="V1385" s="55">
        <f t="shared" ca="1" si="255"/>
        <v>0</v>
      </c>
      <c r="W1385" s="55" cm="1">
        <f t="array" aca="1" ref="W1385" ca="1">IF(Первоначальный[[#This Row],[Итого остаток на начало периода]]&lt;1,0,
_xlfn.IFS(
AND(TYPE(VLOOKUP(1,$Z$12:Z1385,1,0))=16,Первоначальный[[#This Row],[Досрочное погашение (да/"")]]=""),0,
AND(S1384=0,Первоначальный[[#This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платеж]]+Y1384-SUM(Первоначальный[[#This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комиссиям]]),VLOOKUP(LOOKUP(,-1/($Z$12:Z1385=1),$A$12:A1385),График[[Срок конец]:[Возврат основной суммы долга]],3,0)),
AND(S1384=0,Первоначальный[[#This Row],[Дата платежа из графика]]="",Первоначальный[[#This Row],[Досрочное погашение (да/"")]]&lt;&gt;"Да"),0,
AND(S1384=0,Первоначальный[[#This Row],[Досрочное погашение (да/"")]]=""),MIN(Первоначальный[[#This Row],[Полученный платеж]]+Y1384-SUM(Первоначальный[[#This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комиссиям]]),VLOOKUP(LOOKUP(,-1/($Z$12:Z1385=1),$A$12:A1385),График[[Срок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платеж]]+Y1384-SUM(Первоначальный[[#This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S1384&gt;0,MIN(Первоначальный[[#This Row],[Полученный платеж]]+Y1384-SUM(Первоначальный[[#This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комиссиям]]),SUM(INDIRECT("M"&amp;(MAX((1=S$12:S1384)*ROW(S$12:S1384),ROW($W$12))&amp;":M"&amp;(ROW()))))-SUM(INDIRECT("W"&amp;(MAX((1=S$12:S1384)*ROW(S$12:S1384),ROW($W$12))&amp;":W"&amp;(ROW()-1)))))
)
)</f>
        <v>0</v>
      </c>
      <c r="X1385" s="55">
        <f t="shared" ca="1" si="256"/>
        <v>0</v>
      </c>
      <c r="Y1385" s="101">
        <f t="shared" ca="1" si="263"/>
        <v>0</v>
      </c>
      <c r="Z1385" s="133" t="str">
        <f>IF(TYPE((VLOOKUP(Первоначальный[[#This Row],[Дата платежа]],График[Срок конец],1,0)))=16,"",1)</f>
        <v/>
      </c>
      <c r="AA1385" s="57"/>
      <c r="AB1385" s="134"/>
      <c r="AC138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8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98883.030000000232</v>
      </c>
      <c r="AE138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8006.0300000000179</v>
      </c>
      <c r="AF138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8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400483.00770000025</v>
      </c>
      <c r="AH1385" s="55"/>
      <c r="AI1385" s="55"/>
      <c r="AJ1385" s="55"/>
      <c r="AK1385" s="101">
        <f t="shared" ca="1" si="264"/>
        <v>657005.40770000056</v>
      </c>
      <c r="AL1385" s="129">
        <f t="array" ref="AL1385">MAX((УслРестрактов[Характеристика]="Дата реструктуризации")*(УслРестрактов[Значение]=Первоначальный!$A1385),0)</f>
        <v>0</v>
      </c>
    </row>
    <row r="1386" spans="1:38" x14ac:dyDescent="0.25">
      <c r="A1386" s="97">
        <f t="shared" si="257"/>
        <v>45517</v>
      </c>
      <c r="B1386" s="100">
        <f t="shared" ca="1" si="258"/>
        <v>149633.34</v>
      </c>
      <c r="C1386" s="55">
        <f t="shared" ca="1" si="254"/>
        <v>98883.030000000232</v>
      </c>
      <c r="D1386" s="55">
        <f t="shared" ca="1" si="254"/>
        <v>8006.0300000000179</v>
      </c>
      <c r="E1386" s="55">
        <f t="shared" ca="1" si="259"/>
        <v>0</v>
      </c>
      <c r="F1386" s="55">
        <f t="shared" ca="1" si="260"/>
        <v>400483.00770000025</v>
      </c>
      <c r="G1386" s="101">
        <f t="shared" ca="1" si="261"/>
        <v>657005.40770000056</v>
      </c>
      <c r="H1386" s="100">
        <f ca="1">ROUND($B1386*VLOOKUP($A1386,$A$1:$B$10,2,1)/(365+IF(MOD(YEAR($A1386),4),0,1)*($A1386-$A1385)),2)-Первоначальный[[#This Row],[Проценты на просроченный платеж по ОД за период]]</f>
        <v>67.289999999999992</v>
      </c>
      <c r="I1386" s="55">
        <f t="shared" ca="1" si="262"/>
        <v>14.07</v>
      </c>
      <c r="J1386" s="55">
        <v>0</v>
      </c>
      <c r="K1386" s="55">
        <f t="shared" ca="1" si="265"/>
        <v>622.78850327868849</v>
      </c>
      <c r="L1386" s="55">
        <v>0</v>
      </c>
      <c r="M1386" s="113">
        <f>SUMIFS(График[Возврат основной суммы долга],График[Дата с учетом нерабочих дней],$A1386)</f>
        <v>0</v>
      </c>
      <c r="N1386" s="56">
        <f>SUMIFS(График[Возврат начисленных %],График[Дата с учетом нерабочих дней],$A1386)</f>
        <v>0</v>
      </c>
      <c r="O1386" s="101">
        <v>0</v>
      </c>
      <c r="P1386" s="100" cm="1">
        <f t="array" aca="1" ref="P1386" ca="1">MAX(IF(AA1385="Да",0,SUM(INDIRECT("M"&amp;(MAX(("Да"=AA$12:AA1385)*ROW(AA$12:AA1385)+1,ROW($P$12))&amp;":M"&amp;(ROW()))))-SUM(INDIRECT("W"&amp;(MAX(("Да"=AA$12:AA1385)*ROW(AA$12:AA1385)+1,ROW($P$12))&amp;":W"&amp;(ROW()))))),0)</f>
        <v>25882.119999999995</v>
      </c>
      <c r="Q1386" s="99">
        <f ca="1">MAX(SUM($N$13:N1386)-SUM($T$13:T1386),0)</f>
        <v>98675.580655737693</v>
      </c>
      <c r="R1386" s="99">
        <f ca="1">Первоначальный[[#This Row],[Просроченный платеж по ОД]]+Первоначальный[[#This Row],[Просроченный платеж по процентам]]</f>
        <v>124557.70065573769</v>
      </c>
      <c r="S1386" s="120">
        <f ca="1">IF(Первоначальный[[#This Row],[Просроченный платеж]]&lt;1,0,S1385+1)</f>
        <v>1282</v>
      </c>
      <c r="T1386" s="100" cm="1">
        <f t="array" aca="1" ref="T1386" ca="1">IF(Первоначальный[[#This Row],[Итого остаток на начало периода]]&lt;1,0,
IF(
AND(TYPE(VLOOKUP(1,$Z$12:Z1386,1,0))=16,Первоначальный[[#This Row],[Досрочное погашение (да/"")]]=""),0,
_xlfn.IFS(AND(S1385=0,Первоначальный[[#This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платеж]]&lt;&gt;0),MIN(LOOKUP(,-1/($Z$12:Z1386=1),$C$12:C1386)+LOOKUP(,-1/($Z$12:Z1386=1),$H$12:H1386),Первоначальный[[#This Row],[Полученный платеж]]+Y1385),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платеж]]+Y1385,SUM(Первоначальный[[#This Row],[Остаток процентов на начало периода]],Первоначальный[[#This Row],[Проценты за период]])),
AND(S1385=0,Первоначальный[[#This Row],[Дата платежа из графика]]=""),0,
AND(S1385=0,Первоначальный[[#This Row],[Дата платежа из графика]]=1,MAX((0&lt;&gt;S$12:S1385)*ROW(S$12:S1385),ROW($S$12))&gt;=MAX((1=Z$12:Z1385)*ROW(Z$12:Z1385),ROW($T$12)),TYPE(VLOOKUP("Да",(INDIRECT("AA"&amp;(MAX((1=Z$12:Z1385)*ROW(Z$12:Z1385),ROW($T$12))&amp;":AA"&amp;(ROW()-1)))),1,0))=16),MIN(LOOKUP(,-1/($Z$12:Z1386=1),$C$12:C1386)+LOOKUP(,-1/($Z$12:Z1386=1),$H$12:H1386),Первоначальный[[#This Row],[Полученный платеж]]+Y1385),
AND(S1385=0,TYPE(VLOOKUP("Да",(INDIRECT("AA"&amp;(MAX((1=Z$12:Z1385)*ROW(Z$12:Z1385),ROW($T$12))&amp;":AA"&amp;(ROW()-1)))),1,0))&lt;&gt;16),MIN(LOOKUP(,-1/($Z$12:Z1386=1),$C$12:C1386)+LOOKUP(,-1/($Z$12:Z1386=1),$H$12:H1386)-IF(AA1385="Да",0,SUM(INDIRECT("T"&amp;(MAX(("Да"=AA$12:AA1385)*ROW(AA$12:AA1385)+1,ROW($T$12))&amp;":T"&amp;(ROW()-1))))),Первоначальный[[#This Row],[Полученный платеж]]+Y1385),
AND(S1385=0,MAX((0&lt;&gt;N$12:N1385)*ROW(N$12:N1385),ROW($S$12))&gt;=MAX((1=Z$12:Z1385)*ROW(Z$12:Z1385),ROW($T$12))),MIN(LOOKUP(,-1/($Z$12:Z1386=1),$C$12:C1386)+LOOKUP(,-1/($Z$12:Z1386=1),$H$12:H1386)-IF(N1385&lt;&gt;0,0,SUM(INDIRECT("T"&amp;(MAX((0&lt;&gt;N$12:N1385)*ROW(N$12:N1385)+1,ROW($T$12))&amp;":T"&amp;(ROW()-1))))),Первоначальный[[#This Row],[Полученный платеж]]+Y1385),
AND(S1385=0,Первоначальный[[#This Row],[Дата платежа из графика]]=1),MIN(LOOKUP(,-1/($Z$12:Z1386=1),$C$12:C1386)+LOOKUP(,-1/($Z$12:Z1386=1),$H$12:H1386)-IF(Z1385=1,0,SUM(INDIRECT("T"&amp;(MAX((1=Z$12:Z1385)*ROW(Z$12:Z1385)+1,ROW($T$12))&amp;":T"&amp;(ROW()-1))))),Первоначальный[[#This Row],[Полученный платеж]]+Y1385),
AND(Z1385&gt;0,Первоначальный[[#This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платеж]]+Y1385),
AND(S1385&gt;0,MAX((0&lt;&gt;S$12:S1385)*ROW(S$12:S1385),ROW($S$12))&gt;=MAX((1=Z$12:Z1385)*ROW(Z$12:Z1385),ROW($T$12)),TYPE(VLOOKUP("Да",(INDIRECT("AA"&amp;(MAX((1=Z$12:Z1385)*ROW(Z$12:Z1385),ROW($T$12))&amp;":AA"&amp;(ROW()-1)))),1,0))=16),MIN(LOOKUP(,-1/($Z$12:Z1386=1),$C$12:C1386)+LOOKUP(,-1/($Z$12:Z1386=1),$H$12:H1386)-SUM(INDIRECT("T"&amp;(MAX((1=Z$12:Z1385)*ROW(Z$12:Z1385),ROW($T$12))&amp;":T"&amp;(ROW()-1)))),Первоначальный[[#This Row],[Полученный платеж]]+Y1385),
S1385&gt;0,MIN(LOOKUP(,-1/($Z$12:Z1386=1),$C$12:C1386)+LOOKUP(,-1/($Z$12:Z1386=1),$H$12:H1386)-IF(Z1385=1,0,SUM(INDIRECT("T"&amp;(MAX((1=Z$12:Z1385)*ROW(Z$12:Z1385)+1,ROW($T$12))&amp;":T"&amp;(ROW()-1))))),Первоначальный[[#This Row],[Полученный платеж]]+Y1385)
)
)
)</f>
        <v>0</v>
      </c>
      <c r="U138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платеж]]+Y1385-Первоначальный[[#This Row],[Полученный платёж по процентам]])</f>
        <v>0</v>
      </c>
      <c r="V1386" s="55">
        <f t="shared" ca="1" si="255"/>
        <v>0</v>
      </c>
      <c r="W1386" s="55" cm="1">
        <f t="array" aca="1" ref="W1386" ca="1">IF(Первоначальный[[#This Row],[Итого остаток на начало периода]]&lt;1,0,
_xlfn.IFS(
AND(TYPE(VLOOKUP(1,$Z$12:Z1386,1,0))=16,Первоначальный[[#This Row],[Досрочное погашение (да/"")]]=""),0,
AND(S1385=0,Первоначальный[[#This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платеж]]+Y1385-SUM(Первоначальный[[#This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комиссиям]]),VLOOKUP(LOOKUP(,-1/($Z$12:Z1386=1),$A$12:A1386),График[[Срок конец]:[Возврат основной суммы долга]],3,0)),
AND(S1385=0,Первоначальный[[#This Row],[Дата платежа из графика]]="",Первоначальный[[#This Row],[Досрочное погашение (да/"")]]&lt;&gt;"Да"),0,
AND(S1385=0,Первоначальный[[#This Row],[Досрочное погашение (да/"")]]=""),MIN(Первоначальный[[#This Row],[Полученный платеж]]+Y1385-SUM(Первоначальный[[#This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комиссиям]]),VLOOKUP(LOOKUP(,-1/($Z$12:Z1386=1),$A$12:A1386),График[[Срок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платеж]]+Y1385-SUM(Первоначальный[[#This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S1385&gt;0,MIN(Первоначальный[[#This Row],[Полученный платеж]]+Y1385-SUM(Первоначальный[[#This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комиссиям]]),SUM(INDIRECT("M"&amp;(MAX((1=S$12:S1385)*ROW(S$12:S1385),ROW($W$12))&amp;":M"&amp;(ROW()))))-SUM(INDIRECT("W"&amp;(MAX((1=S$12:S1385)*ROW(S$12:S1385),ROW($W$12))&amp;":W"&amp;(ROW()-1)))))
)
)</f>
        <v>0</v>
      </c>
      <c r="X1386" s="55">
        <f t="shared" ca="1" si="256"/>
        <v>0</v>
      </c>
      <c r="Y1386" s="101">
        <f t="shared" ca="1" si="263"/>
        <v>0</v>
      </c>
      <c r="Z1386" s="133" t="str">
        <f>IF(TYPE((VLOOKUP(Первоначальный[[#This Row],[Дата платежа]],График[Срок конец],1,0)))=16,"",1)</f>
        <v/>
      </c>
      <c r="AA1386" s="57"/>
      <c r="AB1386" s="134"/>
      <c r="AC138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8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98950.320000000225</v>
      </c>
      <c r="AE138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8020.1000000000176</v>
      </c>
      <c r="AF138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8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401105.79620327894</v>
      </c>
      <c r="AH1386" s="55"/>
      <c r="AI1386" s="55"/>
      <c r="AJ1386" s="55"/>
      <c r="AK1386" s="101">
        <f t="shared" ca="1" si="264"/>
        <v>657709.55620327918</v>
      </c>
      <c r="AL1386" s="129">
        <f t="array" ref="AL1386">MAX((УслРестрактов[Характеристика]="Дата реструктуризации")*(УслРестрактов[Значение]=Первоначальный!$A1386),0)</f>
        <v>0</v>
      </c>
    </row>
    <row r="1387" spans="1:38" x14ac:dyDescent="0.25">
      <c r="A1387" s="97">
        <f t="shared" si="257"/>
        <v>45518</v>
      </c>
      <c r="B1387" s="100">
        <f t="shared" ca="1" si="258"/>
        <v>149633.34</v>
      </c>
      <c r="C1387" s="55">
        <f t="shared" ca="1" si="254"/>
        <v>98950.320000000225</v>
      </c>
      <c r="D1387" s="55">
        <f t="shared" ca="1" si="254"/>
        <v>8020.1000000000176</v>
      </c>
      <c r="E1387" s="55">
        <f t="shared" ca="1" si="259"/>
        <v>0</v>
      </c>
      <c r="F1387" s="55">
        <f t="shared" ca="1" si="260"/>
        <v>401105.79620327894</v>
      </c>
      <c r="G1387" s="101">
        <f t="shared" ca="1" si="261"/>
        <v>657709.55620327918</v>
      </c>
      <c r="H1387" s="100">
        <f ca="1">ROUND($B1387*VLOOKUP($A1387,$A$1:$B$10,2,1)/(365+IF(MOD(YEAR($A1387),4),0,1)*($A1387-$A1386)),2)-Первоначальный[[#This Row],[Проценты на просроченный платеж по ОД за период]]</f>
        <v>67.289999999999992</v>
      </c>
      <c r="I1387" s="55">
        <f t="shared" ca="1" si="262"/>
        <v>14.07</v>
      </c>
      <c r="J1387" s="55">
        <v>0</v>
      </c>
      <c r="K1387" s="55">
        <f t="shared" ca="1" si="265"/>
        <v>622.78850327868849</v>
      </c>
      <c r="L1387" s="55">
        <v>0</v>
      </c>
      <c r="M1387" s="113">
        <f>SUMIFS(График[Возврат основной суммы долга],График[Дата с учетом нерабочих дней],$A1387)</f>
        <v>0</v>
      </c>
      <c r="N1387" s="56">
        <f>SUMIFS(График[Возврат начисленных %],График[Дата с учетом нерабочих дней],$A1387)</f>
        <v>0</v>
      </c>
      <c r="O1387" s="101">
        <v>0</v>
      </c>
      <c r="P1387" s="100" cm="1">
        <f t="array" aca="1" ref="P1387" ca="1">MAX(IF(AA1386="Да",0,SUM(INDIRECT("M"&amp;(MAX(("Да"=AA$12:AA1386)*ROW(AA$12:AA1386)+1,ROW($P$12))&amp;":M"&amp;(ROW()))))-SUM(INDIRECT("W"&amp;(MAX(("Да"=AA$12:AA1386)*ROW(AA$12:AA1386)+1,ROW($P$12))&amp;":W"&amp;(ROW()))))),0)</f>
        <v>25882.119999999995</v>
      </c>
      <c r="Q1387" s="99">
        <f ca="1">MAX(SUM($N$13:N1387)-SUM($T$13:T1387),0)</f>
        <v>98675.580655737693</v>
      </c>
      <c r="R1387" s="99">
        <f ca="1">Первоначальный[[#This Row],[Просроченный платеж по ОД]]+Первоначальный[[#This Row],[Просроченный платеж по процентам]]</f>
        <v>124557.70065573769</v>
      </c>
      <c r="S1387" s="120">
        <f ca="1">IF(Первоначальный[[#This Row],[Просроченный платеж]]&lt;1,0,S1386+1)</f>
        <v>1283</v>
      </c>
      <c r="T1387" s="100" cm="1">
        <f t="array" aca="1" ref="T1387" ca="1">IF(Первоначальный[[#This Row],[Итого остаток на начало периода]]&lt;1,0,
IF(
AND(TYPE(VLOOKUP(1,$Z$12:Z1387,1,0))=16,Первоначальный[[#This Row],[Досрочное погашение (да/"")]]=""),0,
_xlfn.IFS(AND(S1386=0,Первоначальный[[#This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платеж]]&lt;&gt;0),MIN(LOOKUP(,-1/($Z$12:Z1387=1),$C$12:C1387)+LOOKUP(,-1/($Z$12:Z1387=1),$H$12:H1387),Первоначальный[[#This Row],[Полученный платеж]]+Y1386),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платеж]]+Y1386,SUM(Первоначальный[[#This Row],[Остаток процентов на начало периода]],Первоначальный[[#This Row],[Проценты за период]])),
AND(S1386=0,Первоначальный[[#This Row],[Дата платежа из графика]]=""),0,
AND(S1386=0,Первоначальный[[#This Row],[Дата платежа из графика]]=1,MAX((0&lt;&gt;S$12:S1386)*ROW(S$12:S1386),ROW($S$12))&gt;=MAX((1=Z$12:Z1386)*ROW(Z$12:Z1386),ROW($T$12)),TYPE(VLOOKUP("Да",(INDIRECT("AA"&amp;(MAX((1=Z$12:Z1386)*ROW(Z$12:Z1386),ROW($T$12))&amp;":AA"&amp;(ROW()-1)))),1,0))=16),MIN(LOOKUP(,-1/($Z$12:Z1387=1),$C$12:C1387)+LOOKUP(,-1/($Z$12:Z1387=1),$H$12:H1387),Первоначальный[[#This Row],[Полученный платеж]]+Y1386),
AND(S1386=0,TYPE(VLOOKUP("Да",(INDIRECT("AA"&amp;(MAX((1=Z$12:Z1386)*ROW(Z$12:Z1386),ROW($T$12))&amp;":AA"&amp;(ROW()-1)))),1,0))&lt;&gt;16),MIN(LOOKUP(,-1/($Z$12:Z1387=1),$C$12:C1387)+LOOKUP(,-1/($Z$12:Z1387=1),$H$12:H1387)-IF(AA1386="Да",0,SUM(INDIRECT("T"&amp;(MAX(("Да"=AA$12:AA1386)*ROW(AA$12:AA1386)+1,ROW($T$12))&amp;":T"&amp;(ROW()-1))))),Первоначальный[[#This Row],[Полученный платеж]]+Y1386),
AND(S1386=0,MAX((0&lt;&gt;N$12:N1386)*ROW(N$12:N1386),ROW($S$12))&gt;=MAX((1=Z$12:Z1386)*ROW(Z$12:Z1386),ROW($T$12))),MIN(LOOKUP(,-1/($Z$12:Z1387=1),$C$12:C1387)+LOOKUP(,-1/($Z$12:Z1387=1),$H$12:H1387)-IF(N1386&lt;&gt;0,0,SUM(INDIRECT("T"&amp;(MAX((0&lt;&gt;N$12:N1386)*ROW(N$12:N1386)+1,ROW($T$12))&amp;":T"&amp;(ROW()-1))))),Первоначальный[[#This Row],[Полученный платеж]]+Y1386),
AND(S1386=0,Первоначальный[[#This Row],[Дата платежа из графика]]=1),MIN(LOOKUP(,-1/($Z$12:Z1387=1),$C$12:C1387)+LOOKUP(,-1/($Z$12:Z1387=1),$H$12:H1387)-IF(Z1386=1,0,SUM(INDIRECT("T"&amp;(MAX((1=Z$12:Z1386)*ROW(Z$12:Z1386)+1,ROW($T$12))&amp;":T"&amp;(ROW()-1))))),Первоначальный[[#This Row],[Полученный платеж]]+Y1386),
AND(Z1386&gt;0,Первоначальный[[#This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платеж]]+Y1386),
AND(S1386&gt;0,MAX((0&lt;&gt;S$12:S1386)*ROW(S$12:S1386),ROW($S$12))&gt;=MAX((1=Z$12:Z1386)*ROW(Z$12:Z1386),ROW($T$12)),TYPE(VLOOKUP("Да",(INDIRECT("AA"&amp;(MAX((1=Z$12:Z1386)*ROW(Z$12:Z1386),ROW($T$12))&amp;":AA"&amp;(ROW()-1)))),1,0))=16),MIN(LOOKUP(,-1/($Z$12:Z1387=1),$C$12:C1387)+LOOKUP(,-1/($Z$12:Z1387=1),$H$12:H1387)-SUM(INDIRECT("T"&amp;(MAX((1=Z$12:Z1386)*ROW(Z$12:Z1386),ROW($T$12))&amp;":T"&amp;(ROW()-1)))),Первоначальный[[#This Row],[Полученный платеж]]+Y1386),
S1386&gt;0,MIN(LOOKUP(,-1/($Z$12:Z1387=1),$C$12:C1387)+LOOKUP(,-1/($Z$12:Z1387=1),$H$12:H1387)-IF(Z1386=1,0,SUM(INDIRECT("T"&amp;(MAX((1=Z$12:Z1386)*ROW(Z$12:Z1386)+1,ROW($T$12))&amp;":T"&amp;(ROW()-1))))),Первоначальный[[#This Row],[Полученный платеж]]+Y1386)
)
)
)</f>
        <v>0</v>
      </c>
      <c r="U138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платеж]]+Y1386-Первоначальный[[#This Row],[Полученный платёж по процентам]])</f>
        <v>0</v>
      </c>
      <c r="V1387" s="55">
        <f t="shared" ca="1" si="255"/>
        <v>0</v>
      </c>
      <c r="W1387" s="55" cm="1">
        <f t="array" aca="1" ref="W1387" ca="1">IF(Первоначальный[[#This Row],[Итого остаток на начало периода]]&lt;1,0,
_xlfn.IFS(
AND(TYPE(VLOOKUP(1,$Z$12:Z1387,1,0))=16,Первоначальный[[#This Row],[Досрочное погашение (да/"")]]=""),0,
AND(S1386=0,Первоначальный[[#This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платеж]]+Y1386-SUM(Первоначальный[[#This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комиссиям]]),VLOOKUP(LOOKUP(,-1/($Z$12:Z1387=1),$A$12:A1387),График[[Срок конец]:[Возврат основной суммы долга]],3,0)),
AND(S1386=0,Первоначальный[[#This Row],[Дата платежа из графика]]="",Первоначальный[[#This Row],[Досрочное погашение (да/"")]]&lt;&gt;"Да"),0,
AND(S1386=0,Первоначальный[[#This Row],[Досрочное погашение (да/"")]]=""),MIN(Первоначальный[[#This Row],[Полученный платеж]]+Y1386-SUM(Первоначальный[[#This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комиссиям]]),VLOOKUP(LOOKUP(,-1/($Z$12:Z1387=1),$A$12:A1387),График[[Срок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платеж]]+Y1386-SUM(Первоначальный[[#This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S1386&gt;0,MIN(Первоначальный[[#This Row],[Полученный платеж]]+Y1386-SUM(Первоначальный[[#This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комиссиям]]),SUM(INDIRECT("M"&amp;(MAX((1=S$12:S1386)*ROW(S$12:S1386),ROW($W$12))&amp;":M"&amp;(ROW()))))-SUM(INDIRECT("W"&amp;(MAX((1=S$12:S1386)*ROW(S$12:S1386),ROW($W$12))&amp;":W"&amp;(ROW()-1)))))
)
)</f>
        <v>0</v>
      </c>
      <c r="X1387" s="55">
        <f t="shared" ca="1" si="256"/>
        <v>0</v>
      </c>
      <c r="Y1387" s="101">
        <f t="shared" ca="1" si="263"/>
        <v>0</v>
      </c>
      <c r="Z1387" s="133" t="str">
        <f>IF(TYPE((VLOOKUP(Первоначальный[[#This Row],[Дата платежа]],График[Срок конец],1,0)))=16,"",1)</f>
        <v/>
      </c>
      <c r="AA1387" s="57"/>
      <c r="AB1387" s="134"/>
      <c r="AC138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8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99017.610000000219</v>
      </c>
      <c r="AE138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8034.1700000000174</v>
      </c>
      <c r="AF138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8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401728.58470655762</v>
      </c>
      <c r="AH1387" s="55"/>
      <c r="AI1387" s="55"/>
      <c r="AJ1387" s="55"/>
      <c r="AK1387" s="101">
        <f t="shared" ca="1" si="264"/>
        <v>658413.70470655779</v>
      </c>
      <c r="AL1387" s="129">
        <f t="array" ref="AL1387">MAX((УслРестрактов[Характеристика]="Дата реструктуризации")*(УслРестрактов[Значение]=Первоначальный!$A1387),0)</f>
        <v>0</v>
      </c>
    </row>
    <row r="1388" spans="1:38" x14ac:dyDescent="0.25">
      <c r="A1388" s="97">
        <f t="shared" si="257"/>
        <v>45519</v>
      </c>
      <c r="B1388" s="100">
        <f t="shared" ca="1" si="258"/>
        <v>149633.34</v>
      </c>
      <c r="C1388" s="55">
        <f t="shared" ca="1" si="254"/>
        <v>99017.610000000219</v>
      </c>
      <c r="D1388" s="55">
        <f t="shared" ca="1" si="254"/>
        <v>8034.1700000000174</v>
      </c>
      <c r="E1388" s="55">
        <f t="shared" ca="1" si="259"/>
        <v>0</v>
      </c>
      <c r="F1388" s="55">
        <f t="shared" ca="1" si="260"/>
        <v>401728.58470655762</v>
      </c>
      <c r="G1388" s="101">
        <f t="shared" ca="1" si="261"/>
        <v>658413.70470655779</v>
      </c>
      <c r="H1388" s="100">
        <f ca="1">ROUND($B1388*VLOOKUP($A1388,$A$1:$B$10,2,1)/(365+IF(MOD(YEAR($A1388),4),0,1)*($A1388-$A1387)),2)-Первоначальный[[#This Row],[Проценты на просроченный платеж по ОД за период]]</f>
        <v>67.289999999999992</v>
      </c>
      <c r="I1388" s="55">
        <f t="shared" ca="1" si="262"/>
        <v>14.07</v>
      </c>
      <c r="J1388" s="55">
        <v>0</v>
      </c>
      <c r="K1388" s="55">
        <f t="shared" ca="1" si="265"/>
        <v>622.78850327868849</v>
      </c>
      <c r="L1388" s="55">
        <v>0</v>
      </c>
      <c r="M1388" s="113">
        <f>SUMIFS(График[Возврат основной суммы долга],График[Дата с учетом нерабочих дней],$A1388)</f>
        <v>0</v>
      </c>
      <c r="N1388" s="56">
        <f>SUMIFS(График[Возврат начисленных %],График[Дата с учетом нерабочих дней],$A1388)</f>
        <v>0</v>
      </c>
      <c r="O1388" s="101">
        <v>0</v>
      </c>
      <c r="P1388" s="100" cm="1">
        <f t="array" aca="1" ref="P1388" ca="1">MAX(IF(AA1387="Да",0,SUM(INDIRECT("M"&amp;(MAX(("Да"=AA$12:AA1387)*ROW(AA$12:AA1387)+1,ROW($P$12))&amp;":M"&amp;(ROW()))))-SUM(INDIRECT("W"&amp;(MAX(("Да"=AA$12:AA1387)*ROW(AA$12:AA1387)+1,ROW($P$12))&amp;":W"&amp;(ROW()))))),0)</f>
        <v>25882.119999999995</v>
      </c>
      <c r="Q1388" s="99">
        <f ca="1">MAX(SUM($N$13:N1388)-SUM($T$13:T1388),0)</f>
        <v>98675.580655737693</v>
      </c>
      <c r="R1388" s="99">
        <f ca="1">Первоначальный[[#This Row],[Просроченный платеж по ОД]]+Первоначальный[[#This Row],[Просроченный платеж по процентам]]</f>
        <v>124557.70065573769</v>
      </c>
      <c r="S1388" s="120">
        <f ca="1">IF(Первоначальный[[#This Row],[Просроченный платеж]]&lt;1,0,S1387+1)</f>
        <v>1284</v>
      </c>
      <c r="T1388" s="100" cm="1">
        <f t="array" aca="1" ref="T1388" ca="1">IF(Первоначальный[[#This Row],[Итого остаток на начало периода]]&lt;1,0,
IF(
AND(TYPE(VLOOKUP(1,$Z$12:Z1388,1,0))=16,Первоначальный[[#This Row],[Досрочное погашение (да/"")]]=""),0,
_xlfn.IFS(AND(S1387=0,Первоначальный[[#This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платеж]]&lt;&gt;0),MIN(LOOKUP(,-1/($Z$12:Z1388=1),$C$12:C1388)+LOOKUP(,-1/($Z$12:Z1388=1),$H$12:H1388),Первоначальный[[#This Row],[Полученный платеж]]+Y1387),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платеж]]+Y1387,SUM(Первоначальный[[#This Row],[Остаток процентов на начало периода]],Первоначальный[[#This Row],[Проценты за период]])),
AND(S1387=0,Первоначальный[[#This Row],[Дата платежа из графика]]=""),0,
AND(S1387=0,Первоначальный[[#This Row],[Дата платежа из графика]]=1,MAX((0&lt;&gt;S$12:S1387)*ROW(S$12:S1387),ROW($S$12))&gt;=MAX((1=Z$12:Z1387)*ROW(Z$12:Z1387),ROW($T$12)),TYPE(VLOOKUP("Да",(INDIRECT("AA"&amp;(MAX((1=Z$12:Z1387)*ROW(Z$12:Z1387),ROW($T$12))&amp;":AA"&amp;(ROW()-1)))),1,0))=16),MIN(LOOKUP(,-1/($Z$12:Z1388=1),$C$12:C1388)+LOOKUP(,-1/($Z$12:Z1388=1),$H$12:H1388),Первоначальный[[#This Row],[Полученный платеж]]+Y1387),
AND(S1387=0,TYPE(VLOOKUP("Да",(INDIRECT("AA"&amp;(MAX((1=Z$12:Z1387)*ROW(Z$12:Z1387),ROW($T$12))&amp;":AA"&amp;(ROW()-1)))),1,0))&lt;&gt;16),MIN(LOOKUP(,-1/($Z$12:Z1388=1),$C$12:C1388)+LOOKUP(,-1/($Z$12:Z1388=1),$H$12:H1388)-IF(AA1387="Да",0,SUM(INDIRECT("T"&amp;(MAX(("Да"=AA$12:AA1387)*ROW(AA$12:AA1387)+1,ROW($T$12))&amp;":T"&amp;(ROW()-1))))),Первоначальный[[#This Row],[Полученный платеж]]+Y1387),
AND(S1387=0,MAX((0&lt;&gt;N$12:N1387)*ROW(N$12:N1387),ROW($S$12))&gt;=MAX((1=Z$12:Z1387)*ROW(Z$12:Z1387),ROW($T$12))),MIN(LOOKUP(,-1/($Z$12:Z1388=1),$C$12:C1388)+LOOKUP(,-1/($Z$12:Z1388=1),$H$12:H1388)-IF(N1387&lt;&gt;0,0,SUM(INDIRECT("T"&amp;(MAX((0&lt;&gt;N$12:N1387)*ROW(N$12:N1387)+1,ROW($T$12))&amp;":T"&amp;(ROW()-1))))),Первоначальный[[#This Row],[Полученный платеж]]+Y1387),
AND(S1387=0,Первоначальный[[#This Row],[Дата платежа из графика]]=1),MIN(LOOKUP(,-1/($Z$12:Z1388=1),$C$12:C1388)+LOOKUP(,-1/($Z$12:Z1388=1),$H$12:H1388)-IF(Z1387=1,0,SUM(INDIRECT("T"&amp;(MAX((1=Z$12:Z1387)*ROW(Z$12:Z1387)+1,ROW($T$12))&amp;":T"&amp;(ROW()-1))))),Первоначальный[[#This Row],[Полученный платеж]]+Y1387),
AND(Z1387&gt;0,Первоначальный[[#This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платеж]]+Y1387),
AND(S1387&gt;0,MAX((0&lt;&gt;S$12:S1387)*ROW(S$12:S1387),ROW($S$12))&gt;=MAX((1=Z$12:Z1387)*ROW(Z$12:Z1387),ROW($T$12)),TYPE(VLOOKUP("Да",(INDIRECT("AA"&amp;(MAX((1=Z$12:Z1387)*ROW(Z$12:Z1387),ROW($T$12))&amp;":AA"&amp;(ROW()-1)))),1,0))=16),MIN(LOOKUP(,-1/($Z$12:Z1388=1),$C$12:C1388)+LOOKUP(,-1/($Z$12:Z1388=1),$H$12:H1388)-SUM(INDIRECT("T"&amp;(MAX((1=Z$12:Z1387)*ROW(Z$12:Z1387),ROW($T$12))&amp;":T"&amp;(ROW()-1)))),Первоначальный[[#This Row],[Полученный платеж]]+Y1387),
S1387&gt;0,MIN(LOOKUP(,-1/($Z$12:Z1388=1),$C$12:C1388)+LOOKUP(,-1/($Z$12:Z1388=1),$H$12:H1388)-IF(Z1387=1,0,SUM(INDIRECT("T"&amp;(MAX((1=Z$12:Z1387)*ROW(Z$12:Z1387)+1,ROW($T$12))&amp;":T"&amp;(ROW()-1))))),Первоначальный[[#This Row],[Полученный платеж]]+Y1387)
)
)
)</f>
        <v>0</v>
      </c>
      <c r="U138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платеж]]+Y1387-Первоначальный[[#This Row],[Полученный платёж по процентам]])</f>
        <v>0</v>
      </c>
      <c r="V1388" s="55">
        <f t="shared" ca="1" si="255"/>
        <v>0</v>
      </c>
      <c r="W1388" s="55" cm="1">
        <f t="array" aca="1" ref="W1388" ca="1">IF(Первоначальный[[#This Row],[Итого остаток на начало периода]]&lt;1,0,
_xlfn.IFS(
AND(TYPE(VLOOKUP(1,$Z$12:Z1388,1,0))=16,Первоначальный[[#This Row],[Досрочное погашение (да/"")]]=""),0,
AND(S1387=0,Первоначальный[[#This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платеж]]+Y1387-SUM(Первоначальный[[#This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комиссиям]]),VLOOKUP(LOOKUP(,-1/($Z$12:Z1388=1),$A$12:A1388),График[[Срок конец]:[Возврат основной суммы долга]],3,0)),
AND(S1387=0,Первоначальный[[#This Row],[Дата платежа из графика]]="",Первоначальный[[#This Row],[Досрочное погашение (да/"")]]&lt;&gt;"Да"),0,
AND(S1387=0,Первоначальный[[#This Row],[Досрочное погашение (да/"")]]=""),MIN(Первоначальный[[#This Row],[Полученный платеж]]+Y1387-SUM(Первоначальный[[#This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комиссиям]]),VLOOKUP(LOOKUP(,-1/($Z$12:Z1388=1),$A$12:A1388),График[[Срок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платеж]]+Y1387-SUM(Первоначальный[[#This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S1387&gt;0,MIN(Первоначальный[[#This Row],[Полученный платеж]]+Y1387-SUM(Первоначальный[[#This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комиссиям]]),SUM(INDIRECT("M"&amp;(MAX((1=S$12:S1387)*ROW(S$12:S1387),ROW($W$12))&amp;":M"&amp;(ROW()))))-SUM(INDIRECT("W"&amp;(MAX((1=S$12:S1387)*ROW(S$12:S1387),ROW($W$12))&amp;":W"&amp;(ROW()-1)))))
)
)</f>
        <v>0</v>
      </c>
      <c r="X1388" s="55">
        <f t="shared" ca="1" si="256"/>
        <v>0</v>
      </c>
      <c r="Y1388" s="101">
        <f t="shared" ca="1" si="263"/>
        <v>0</v>
      </c>
      <c r="Z1388" s="133" t="str">
        <f>IF(TYPE((VLOOKUP(Первоначальный[[#This Row],[Дата платежа]],График[Срок конец],1,0)))=16,"",1)</f>
        <v/>
      </c>
      <c r="AA1388" s="57"/>
      <c r="AB1388" s="134"/>
      <c r="AC138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8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99084.900000000212</v>
      </c>
      <c r="AE138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8048.2400000000171</v>
      </c>
      <c r="AF138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8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402351.37320983631</v>
      </c>
      <c r="AH1388" s="55"/>
      <c r="AI1388" s="55"/>
      <c r="AJ1388" s="55"/>
      <c r="AK1388" s="101">
        <f t="shared" ca="1" si="264"/>
        <v>659117.85320983652</v>
      </c>
      <c r="AL1388" s="129">
        <f t="array" ref="AL1388">MAX((УслРестрактов[Характеристика]="Дата реструктуризации")*(УслРестрактов[Значение]=Первоначальный!$A1388),0)</f>
        <v>0</v>
      </c>
    </row>
    <row r="1389" spans="1:38" x14ac:dyDescent="0.25">
      <c r="A1389" s="97">
        <f t="shared" si="257"/>
        <v>45520</v>
      </c>
      <c r="B1389" s="100">
        <f t="shared" ca="1" si="258"/>
        <v>149633.34</v>
      </c>
      <c r="C1389" s="55">
        <f t="shared" ca="1" si="254"/>
        <v>99084.900000000212</v>
      </c>
      <c r="D1389" s="55">
        <f t="shared" ca="1" si="254"/>
        <v>8048.2400000000171</v>
      </c>
      <c r="E1389" s="55">
        <f t="shared" ca="1" si="259"/>
        <v>0</v>
      </c>
      <c r="F1389" s="55">
        <f t="shared" ca="1" si="260"/>
        <v>402351.37320983631</v>
      </c>
      <c r="G1389" s="101">
        <f t="shared" ca="1" si="261"/>
        <v>659117.85320983652</v>
      </c>
      <c r="H1389" s="100">
        <f ca="1">ROUND($B1389*VLOOKUP($A1389,$A$1:$B$10,2,1)/(365+IF(MOD(YEAR($A1389),4),0,1)*($A1389-$A1388)),2)-Первоначальный[[#This Row],[Проценты на просроченный платеж по ОД за период]]</f>
        <v>67.289999999999992</v>
      </c>
      <c r="I1389" s="55">
        <f t="shared" ca="1" si="262"/>
        <v>14.07</v>
      </c>
      <c r="J1389" s="55">
        <v>0</v>
      </c>
      <c r="K1389" s="55">
        <f t="shared" ca="1" si="265"/>
        <v>622.78850327868849</v>
      </c>
      <c r="L1389" s="55">
        <v>0</v>
      </c>
      <c r="M1389" s="113">
        <f>SUMIFS(График[Возврат основной суммы долга],График[Дата с учетом нерабочих дней],$A1389)</f>
        <v>0</v>
      </c>
      <c r="N1389" s="56">
        <f>SUMIFS(График[Возврат начисленных %],График[Дата с учетом нерабочих дней],$A1389)</f>
        <v>0</v>
      </c>
      <c r="O1389" s="101">
        <v>0</v>
      </c>
      <c r="P1389" s="100" cm="1">
        <f t="array" aca="1" ref="P1389" ca="1">MAX(IF(AA1388="Да",0,SUM(INDIRECT("M"&amp;(MAX(("Да"=AA$12:AA1388)*ROW(AA$12:AA1388)+1,ROW($P$12))&amp;":M"&amp;(ROW()))))-SUM(INDIRECT("W"&amp;(MAX(("Да"=AA$12:AA1388)*ROW(AA$12:AA1388)+1,ROW($P$12))&amp;":W"&amp;(ROW()))))),0)</f>
        <v>25882.119999999995</v>
      </c>
      <c r="Q1389" s="99">
        <f ca="1">MAX(SUM($N$13:N1389)-SUM($T$13:T1389),0)</f>
        <v>98675.580655737693</v>
      </c>
      <c r="R1389" s="99">
        <f ca="1">Первоначальный[[#This Row],[Просроченный платеж по ОД]]+Первоначальный[[#This Row],[Просроченный платеж по процентам]]</f>
        <v>124557.70065573769</v>
      </c>
      <c r="S1389" s="120">
        <f ca="1">IF(Первоначальный[[#This Row],[Просроченный платеж]]&lt;1,0,S1388+1)</f>
        <v>1285</v>
      </c>
      <c r="T1389" s="100" cm="1">
        <f t="array" aca="1" ref="T1389" ca="1">IF(Первоначальный[[#This Row],[Итого остаток на начало периода]]&lt;1,0,
IF(
AND(TYPE(VLOOKUP(1,$Z$12:Z1389,1,0))=16,Первоначальный[[#This Row],[Досрочное погашение (да/"")]]=""),0,
_xlfn.IFS(AND(S1388=0,Первоначальный[[#This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платеж]]&lt;&gt;0),MIN(LOOKUP(,-1/($Z$12:Z1389=1),$C$12:C1389)+LOOKUP(,-1/($Z$12:Z1389=1),$H$12:H1389),Первоначальный[[#This Row],[Полученный платеж]]+Y1388),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платеж]]+Y1388,SUM(Первоначальный[[#This Row],[Остаток процентов на начало периода]],Первоначальный[[#This Row],[Проценты за период]])),
AND(S1388=0,Первоначальный[[#This Row],[Дата платежа из графика]]=""),0,
AND(S1388=0,Первоначальный[[#This Row],[Дата платежа из графика]]=1,MAX((0&lt;&gt;S$12:S1388)*ROW(S$12:S1388),ROW($S$12))&gt;=MAX((1=Z$12:Z1388)*ROW(Z$12:Z1388),ROW($T$12)),TYPE(VLOOKUP("Да",(INDIRECT("AA"&amp;(MAX((1=Z$12:Z1388)*ROW(Z$12:Z1388),ROW($T$12))&amp;":AA"&amp;(ROW()-1)))),1,0))=16),MIN(LOOKUP(,-1/($Z$12:Z1389=1),$C$12:C1389)+LOOKUP(,-1/($Z$12:Z1389=1),$H$12:H1389),Первоначальный[[#This Row],[Полученный платеж]]+Y1388),
AND(S1388=0,TYPE(VLOOKUP("Да",(INDIRECT("AA"&amp;(MAX((1=Z$12:Z1388)*ROW(Z$12:Z1388),ROW($T$12))&amp;":AA"&amp;(ROW()-1)))),1,0))&lt;&gt;16),MIN(LOOKUP(,-1/($Z$12:Z1389=1),$C$12:C1389)+LOOKUP(,-1/($Z$12:Z1389=1),$H$12:H1389)-IF(AA1388="Да",0,SUM(INDIRECT("T"&amp;(MAX(("Да"=AA$12:AA1388)*ROW(AA$12:AA1388)+1,ROW($T$12))&amp;":T"&amp;(ROW()-1))))),Первоначальный[[#This Row],[Полученный платеж]]+Y1388),
AND(S1388=0,MAX((0&lt;&gt;N$12:N1388)*ROW(N$12:N1388),ROW($S$12))&gt;=MAX((1=Z$12:Z1388)*ROW(Z$12:Z1388),ROW($T$12))),MIN(LOOKUP(,-1/($Z$12:Z1389=1),$C$12:C1389)+LOOKUP(,-1/($Z$12:Z1389=1),$H$12:H1389)-IF(N1388&lt;&gt;0,0,SUM(INDIRECT("T"&amp;(MAX((0&lt;&gt;N$12:N1388)*ROW(N$12:N1388)+1,ROW($T$12))&amp;":T"&amp;(ROW()-1))))),Первоначальный[[#This Row],[Полученный платеж]]+Y1388),
AND(S1388=0,Первоначальный[[#This Row],[Дата платежа из графика]]=1),MIN(LOOKUP(,-1/($Z$12:Z1389=1),$C$12:C1389)+LOOKUP(,-1/($Z$12:Z1389=1),$H$12:H1389)-IF(Z1388=1,0,SUM(INDIRECT("T"&amp;(MAX((1=Z$12:Z1388)*ROW(Z$12:Z1388)+1,ROW($T$12))&amp;":T"&amp;(ROW()-1))))),Первоначальный[[#This Row],[Полученный платеж]]+Y1388),
AND(Z1388&gt;0,Первоначальный[[#This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платеж]]+Y1388),
AND(S1388&gt;0,MAX((0&lt;&gt;S$12:S1388)*ROW(S$12:S1388),ROW($S$12))&gt;=MAX((1=Z$12:Z1388)*ROW(Z$12:Z1388),ROW($T$12)),TYPE(VLOOKUP("Да",(INDIRECT("AA"&amp;(MAX((1=Z$12:Z1388)*ROW(Z$12:Z1388),ROW($T$12))&amp;":AA"&amp;(ROW()-1)))),1,0))=16),MIN(LOOKUP(,-1/($Z$12:Z1389=1),$C$12:C1389)+LOOKUP(,-1/($Z$12:Z1389=1),$H$12:H1389)-SUM(INDIRECT("T"&amp;(MAX((1=Z$12:Z1388)*ROW(Z$12:Z1388),ROW($T$12))&amp;":T"&amp;(ROW()-1)))),Первоначальный[[#This Row],[Полученный платеж]]+Y1388),
S1388&gt;0,MIN(LOOKUP(,-1/($Z$12:Z1389=1),$C$12:C1389)+LOOKUP(,-1/($Z$12:Z1389=1),$H$12:H1389)-IF(Z1388=1,0,SUM(INDIRECT("T"&amp;(MAX((1=Z$12:Z1388)*ROW(Z$12:Z1388)+1,ROW($T$12))&amp;":T"&amp;(ROW()-1))))),Первоначальный[[#This Row],[Полученный платеж]]+Y1388)
)
)
)</f>
        <v>0</v>
      </c>
      <c r="U138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платеж]]+Y1388-Первоначальный[[#This Row],[Полученный платёж по процентам]])</f>
        <v>0</v>
      </c>
      <c r="V1389" s="55">
        <f t="shared" ca="1" si="255"/>
        <v>0</v>
      </c>
      <c r="W1389" s="55" cm="1">
        <f t="array" aca="1" ref="W1389" ca="1">IF(Первоначальный[[#This Row],[Итого остаток на начало периода]]&lt;1,0,
_xlfn.IFS(
AND(TYPE(VLOOKUP(1,$Z$12:Z1389,1,0))=16,Первоначальный[[#This Row],[Досрочное погашение (да/"")]]=""),0,
AND(S1388=0,Первоначальный[[#This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платеж]]+Y1388-SUM(Первоначальный[[#This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комиссиям]]),VLOOKUP(LOOKUP(,-1/($Z$12:Z1389=1),$A$12:A1389),График[[Срок конец]:[Возврат основной суммы долга]],3,0)),
AND(S1388=0,Первоначальный[[#This Row],[Дата платежа из графика]]="",Первоначальный[[#This Row],[Досрочное погашение (да/"")]]&lt;&gt;"Да"),0,
AND(S1388=0,Первоначальный[[#This Row],[Досрочное погашение (да/"")]]=""),MIN(Первоначальный[[#This Row],[Полученный платеж]]+Y1388-SUM(Первоначальный[[#This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комиссиям]]),VLOOKUP(LOOKUP(,-1/($Z$12:Z1389=1),$A$12:A1389),График[[Срок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платеж]]+Y1388-SUM(Первоначальный[[#This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S1388&gt;0,MIN(Первоначальный[[#This Row],[Полученный платеж]]+Y1388-SUM(Первоначальный[[#This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комиссиям]]),SUM(INDIRECT("M"&amp;(MAX((1=S$12:S1388)*ROW(S$12:S1388),ROW($W$12))&amp;":M"&amp;(ROW()))))-SUM(INDIRECT("W"&amp;(MAX((1=S$12:S1388)*ROW(S$12:S1388),ROW($W$12))&amp;":W"&amp;(ROW()-1)))))
)
)</f>
        <v>0</v>
      </c>
      <c r="X1389" s="55">
        <f t="shared" ca="1" si="256"/>
        <v>0</v>
      </c>
      <c r="Y1389" s="101">
        <f t="shared" ca="1" si="263"/>
        <v>0</v>
      </c>
      <c r="Z1389" s="133" t="str">
        <f>IF(TYPE((VLOOKUP(Первоначальный[[#This Row],[Дата платежа]],График[Срок конец],1,0)))=16,"",1)</f>
        <v/>
      </c>
      <c r="AA1389" s="57"/>
      <c r="AB1389" s="134"/>
      <c r="AC138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8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99152.190000000206</v>
      </c>
      <c r="AE138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8062.3100000000168</v>
      </c>
      <c r="AF138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8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402974.161713115</v>
      </c>
      <c r="AH1389" s="55"/>
      <c r="AI1389" s="55"/>
      <c r="AJ1389" s="55"/>
      <c r="AK1389" s="101">
        <f t="shared" ca="1" si="264"/>
        <v>659822.00171311526</v>
      </c>
      <c r="AL1389" s="129">
        <f t="array" ref="AL1389">MAX((УслРестрактов[Характеристика]="Дата реструктуризации")*(УслРестрактов[Значение]=Первоначальный!$A1389),0)</f>
        <v>0</v>
      </c>
    </row>
    <row r="1390" spans="1:38" x14ac:dyDescent="0.25">
      <c r="A1390" s="97">
        <f t="shared" si="257"/>
        <v>45521</v>
      </c>
      <c r="B1390" s="100">
        <f t="shared" ca="1" si="258"/>
        <v>149633.34</v>
      </c>
      <c r="C1390" s="55">
        <f t="shared" ca="1" si="254"/>
        <v>99152.190000000206</v>
      </c>
      <c r="D1390" s="55">
        <f t="shared" ca="1" si="254"/>
        <v>8062.3100000000168</v>
      </c>
      <c r="E1390" s="55">
        <f t="shared" ca="1" si="259"/>
        <v>0</v>
      </c>
      <c r="F1390" s="55">
        <f t="shared" ca="1" si="260"/>
        <v>402974.161713115</v>
      </c>
      <c r="G1390" s="101">
        <f t="shared" ca="1" si="261"/>
        <v>659822.00171311526</v>
      </c>
      <c r="H1390" s="100">
        <f ca="1">ROUND($B1390*VLOOKUP($A1390,$A$1:$B$10,2,1)/(365+IF(MOD(YEAR($A1390),4),0,1)*($A1390-$A1389)),2)-Первоначальный[[#This Row],[Проценты на просроченный платеж по ОД за период]]</f>
        <v>67.289999999999992</v>
      </c>
      <c r="I1390" s="55">
        <f t="shared" ca="1" si="262"/>
        <v>14.07</v>
      </c>
      <c r="J1390" s="55">
        <v>0</v>
      </c>
      <c r="K1390" s="55">
        <f t="shared" ca="1" si="265"/>
        <v>622.78850327868849</v>
      </c>
      <c r="L1390" s="55">
        <v>0</v>
      </c>
      <c r="M1390" s="113">
        <f>SUMIFS(График[Возврат основной суммы долга],График[Дата с учетом нерабочих дней],$A1390)</f>
        <v>0</v>
      </c>
      <c r="N1390" s="56">
        <f>SUMIFS(График[Возврат начисленных %],График[Дата с учетом нерабочих дней],$A1390)</f>
        <v>0</v>
      </c>
      <c r="O1390" s="101">
        <v>0</v>
      </c>
      <c r="P1390" s="100" cm="1">
        <f t="array" aca="1" ref="P1390" ca="1">MAX(IF(AA1389="Да",0,SUM(INDIRECT("M"&amp;(MAX(("Да"=AA$12:AA1389)*ROW(AA$12:AA1389)+1,ROW($P$12))&amp;":M"&amp;(ROW()))))-SUM(INDIRECT("W"&amp;(MAX(("Да"=AA$12:AA1389)*ROW(AA$12:AA1389)+1,ROW($P$12))&amp;":W"&amp;(ROW()))))),0)</f>
        <v>25882.119999999995</v>
      </c>
      <c r="Q1390" s="99">
        <f ca="1">MAX(SUM($N$13:N1390)-SUM($T$13:T1390),0)</f>
        <v>98675.580655737693</v>
      </c>
      <c r="R1390" s="99">
        <f ca="1">Первоначальный[[#This Row],[Просроченный платеж по ОД]]+Первоначальный[[#This Row],[Просроченный платеж по процентам]]</f>
        <v>124557.70065573769</v>
      </c>
      <c r="S1390" s="120">
        <f ca="1">IF(Первоначальный[[#This Row],[Просроченный платеж]]&lt;1,0,S1389+1)</f>
        <v>1286</v>
      </c>
      <c r="T1390" s="100" cm="1">
        <f t="array" aca="1" ref="T1390" ca="1">IF(Первоначальный[[#This Row],[Итого остаток на начало периода]]&lt;1,0,
IF(
AND(TYPE(VLOOKUP(1,$Z$12:Z1390,1,0))=16,Первоначальный[[#This Row],[Досрочное погашение (да/"")]]=""),0,
_xlfn.IFS(AND(S1389=0,Первоначальный[[#This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платеж]]&lt;&gt;0),MIN(LOOKUP(,-1/($Z$12:Z1390=1),$C$12:C1390)+LOOKUP(,-1/($Z$12:Z1390=1),$H$12:H1390),Первоначальный[[#This Row],[Полученный платеж]]+Y1389),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платеж]]+Y1389,SUM(Первоначальный[[#This Row],[Остаток процентов на начало периода]],Первоначальный[[#This Row],[Проценты за период]])),
AND(S1389=0,Первоначальный[[#This Row],[Дата платежа из графика]]=""),0,
AND(S1389=0,Первоначальный[[#This Row],[Дата платежа из графика]]=1,MAX((0&lt;&gt;S$12:S1389)*ROW(S$12:S1389),ROW($S$12))&gt;=MAX((1=Z$12:Z1389)*ROW(Z$12:Z1389),ROW($T$12)),TYPE(VLOOKUP("Да",(INDIRECT("AA"&amp;(MAX((1=Z$12:Z1389)*ROW(Z$12:Z1389),ROW($T$12))&amp;":AA"&amp;(ROW()-1)))),1,0))=16),MIN(LOOKUP(,-1/($Z$12:Z1390=1),$C$12:C1390)+LOOKUP(,-1/($Z$12:Z1390=1),$H$12:H1390),Первоначальный[[#This Row],[Полученный платеж]]+Y1389),
AND(S1389=0,TYPE(VLOOKUP("Да",(INDIRECT("AA"&amp;(MAX((1=Z$12:Z1389)*ROW(Z$12:Z1389),ROW($T$12))&amp;":AA"&amp;(ROW()-1)))),1,0))&lt;&gt;16),MIN(LOOKUP(,-1/($Z$12:Z1390=1),$C$12:C1390)+LOOKUP(,-1/($Z$12:Z1390=1),$H$12:H1390)-IF(AA1389="Да",0,SUM(INDIRECT("T"&amp;(MAX(("Да"=AA$12:AA1389)*ROW(AA$12:AA1389)+1,ROW($T$12))&amp;":T"&amp;(ROW()-1))))),Первоначальный[[#This Row],[Полученный платеж]]+Y1389),
AND(S1389=0,MAX((0&lt;&gt;N$12:N1389)*ROW(N$12:N1389),ROW($S$12))&gt;=MAX((1=Z$12:Z1389)*ROW(Z$12:Z1389),ROW($T$12))),MIN(LOOKUP(,-1/($Z$12:Z1390=1),$C$12:C1390)+LOOKUP(,-1/($Z$12:Z1390=1),$H$12:H1390)-IF(N1389&lt;&gt;0,0,SUM(INDIRECT("T"&amp;(MAX((0&lt;&gt;N$12:N1389)*ROW(N$12:N1389)+1,ROW($T$12))&amp;":T"&amp;(ROW()-1))))),Первоначальный[[#This Row],[Полученный платеж]]+Y1389),
AND(S1389=0,Первоначальный[[#This Row],[Дата платежа из графика]]=1),MIN(LOOKUP(,-1/($Z$12:Z1390=1),$C$12:C1390)+LOOKUP(,-1/($Z$12:Z1390=1),$H$12:H1390)-IF(Z1389=1,0,SUM(INDIRECT("T"&amp;(MAX((1=Z$12:Z1389)*ROW(Z$12:Z1389)+1,ROW($T$12))&amp;":T"&amp;(ROW()-1))))),Первоначальный[[#This Row],[Полученный платеж]]+Y1389),
AND(Z1389&gt;0,Первоначальный[[#This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платеж]]+Y1389),
AND(S1389&gt;0,MAX((0&lt;&gt;S$12:S1389)*ROW(S$12:S1389),ROW($S$12))&gt;=MAX((1=Z$12:Z1389)*ROW(Z$12:Z1389),ROW($T$12)),TYPE(VLOOKUP("Да",(INDIRECT("AA"&amp;(MAX((1=Z$12:Z1389)*ROW(Z$12:Z1389),ROW($T$12))&amp;":AA"&amp;(ROW()-1)))),1,0))=16),MIN(LOOKUP(,-1/($Z$12:Z1390=1),$C$12:C1390)+LOOKUP(,-1/($Z$12:Z1390=1),$H$12:H1390)-SUM(INDIRECT("T"&amp;(MAX((1=Z$12:Z1389)*ROW(Z$12:Z1389),ROW($T$12))&amp;":T"&amp;(ROW()-1)))),Первоначальный[[#This Row],[Полученный платеж]]+Y1389),
S1389&gt;0,MIN(LOOKUP(,-1/($Z$12:Z1390=1),$C$12:C1390)+LOOKUP(,-1/($Z$12:Z1390=1),$H$12:H1390)-IF(Z1389=1,0,SUM(INDIRECT("T"&amp;(MAX((1=Z$12:Z1389)*ROW(Z$12:Z1389)+1,ROW($T$12))&amp;":T"&amp;(ROW()-1))))),Первоначальный[[#This Row],[Полученный платеж]]+Y1389)
)
)
)</f>
        <v>0</v>
      </c>
      <c r="U139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платеж]]+Y1389-Первоначальный[[#This Row],[Полученный платёж по процентам]])</f>
        <v>0</v>
      </c>
      <c r="V1390" s="55">
        <f t="shared" ca="1" si="255"/>
        <v>0</v>
      </c>
      <c r="W1390" s="55" cm="1">
        <f t="array" aca="1" ref="W1390" ca="1">IF(Первоначальный[[#This Row],[Итого остаток на начало периода]]&lt;1,0,
_xlfn.IFS(
AND(TYPE(VLOOKUP(1,$Z$12:Z1390,1,0))=16,Первоначальный[[#This Row],[Досрочное погашение (да/"")]]=""),0,
AND(S1389=0,Первоначальный[[#This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платеж]]+Y1389-SUM(Первоначальный[[#This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комиссиям]]),VLOOKUP(LOOKUP(,-1/($Z$12:Z1390=1),$A$12:A1390),График[[Срок конец]:[Возврат основной суммы долга]],3,0)),
AND(S1389=0,Первоначальный[[#This Row],[Дата платежа из графика]]="",Первоначальный[[#This Row],[Досрочное погашение (да/"")]]&lt;&gt;"Да"),0,
AND(S1389=0,Первоначальный[[#This Row],[Досрочное погашение (да/"")]]=""),MIN(Первоначальный[[#This Row],[Полученный платеж]]+Y1389-SUM(Первоначальный[[#This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комиссиям]]),VLOOKUP(LOOKUP(,-1/($Z$12:Z1390=1),$A$12:A1390),График[[Срок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платеж]]+Y1389-SUM(Первоначальный[[#This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S1389&gt;0,MIN(Первоначальный[[#This Row],[Полученный платеж]]+Y1389-SUM(Первоначальный[[#This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комиссиям]]),SUM(INDIRECT("M"&amp;(MAX((1=S$12:S1389)*ROW(S$12:S1389),ROW($W$12))&amp;":M"&amp;(ROW()))))-SUM(INDIRECT("W"&amp;(MAX((1=S$12:S1389)*ROW(S$12:S1389),ROW($W$12))&amp;":W"&amp;(ROW()-1)))))
)
)</f>
        <v>0</v>
      </c>
      <c r="X1390" s="55">
        <f t="shared" ca="1" si="256"/>
        <v>0</v>
      </c>
      <c r="Y1390" s="101">
        <f t="shared" ca="1" si="263"/>
        <v>0</v>
      </c>
      <c r="Z1390" s="133" t="str">
        <f>IF(TYPE((VLOOKUP(Первоначальный[[#This Row],[Дата платежа]],График[Срок конец],1,0)))=16,"",1)</f>
        <v/>
      </c>
      <c r="AA1390" s="57"/>
      <c r="AB1390" s="134"/>
      <c r="AC139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9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99219.4800000002</v>
      </c>
      <c r="AE139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8076.3800000000165</v>
      </c>
      <c r="AF139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9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403596.95021639368</v>
      </c>
      <c r="AH1390" s="55"/>
      <c r="AI1390" s="55"/>
      <c r="AJ1390" s="55"/>
      <c r="AK1390" s="101">
        <f t="shared" ca="1" si="264"/>
        <v>660526.15021639387</v>
      </c>
      <c r="AL1390" s="129">
        <f t="array" ref="AL1390">MAX((УслРестрактов[Характеристика]="Дата реструктуризации")*(УслРестрактов[Значение]=Первоначальный!$A1390),0)</f>
        <v>0</v>
      </c>
    </row>
    <row r="1391" spans="1:38" x14ac:dyDescent="0.25">
      <c r="A1391" s="97">
        <f t="shared" si="257"/>
        <v>45522</v>
      </c>
      <c r="B1391" s="100">
        <f t="shared" ca="1" si="258"/>
        <v>149633.34</v>
      </c>
      <c r="C1391" s="55">
        <f t="shared" ca="1" si="254"/>
        <v>99219.4800000002</v>
      </c>
      <c r="D1391" s="55">
        <f t="shared" ca="1" si="254"/>
        <v>8076.3800000000165</v>
      </c>
      <c r="E1391" s="55">
        <f t="shared" ca="1" si="259"/>
        <v>0</v>
      </c>
      <c r="F1391" s="55">
        <f t="shared" ca="1" si="260"/>
        <v>403596.95021639368</v>
      </c>
      <c r="G1391" s="101">
        <f t="shared" ca="1" si="261"/>
        <v>660526.15021639387</v>
      </c>
      <c r="H1391" s="100">
        <f ca="1">ROUND($B1391*VLOOKUP($A1391,$A$1:$B$10,2,1)/(365+IF(MOD(YEAR($A1391),4),0,1)*($A1391-$A1390)),2)-Первоначальный[[#This Row],[Проценты на просроченный платеж по ОД за период]]</f>
        <v>67.289999999999992</v>
      </c>
      <c r="I1391" s="55">
        <f t="shared" ca="1" si="262"/>
        <v>14.07</v>
      </c>
      <c r="J1391" s="55">
        <v>0</v>
      </c>
      <c r="K1391" s="55">
        <f t="shared" ca="1" si="265"/>
        <v>622.78850327868849</v>
      </c>
      <c r="L1391" s="55">
        <v>0</v>
      </c>
      <c r="M1391" s="113">
        <f>SUMIFS(График[Возврат основной суммы долга],График[Дата с учетом нерабочих дней],$A1391)</f>
        <v>0</v>
      </c>
      <c r="N1391" s="56">
        <f>SUMIFS(График[Возврат начисленных %],График[Дата с учетом нерабочих дней],$A1391)</f>
        <v>0</v>
      </c>
      <c r="O1391" s="101">
        <v>0</v>
      </c>
      <c r="P1391" s="100" cm="1">
        <f t="array" aca="1" ref="P1391" ca="1">MAX(IF(AA1390="Да",0,SUM(INDIRECT("M"&amp;(MAX(("Да"=AA$12:AA1390)*ROW(AA$12:AA1390)+1,ROW($P$12))&amp;":M"&amp;(ROW()))))-SUM(INDIRECT("W"&amp;(MAX(("Да"=AA$12:AA1390)*ROW(AA$12:AA1390)+1,ROW($P$12))&amp;":W"&amp;(ROW()))))),0)</f>
        <v>25882.119999999995</v>
      </c>
      <c r="Q1391" s="99">
        <f ca="1">MAX(SUM($N$13:N1391)-SUM($T$13:T1391),0)</f>
        <v>98675.580655737693</v>
      </c>
      <c r="R1391" s="99">
        <f ca="1">Первоначальный[[#This Row],[Просроченный платеж по ОД]]+Первоначальный[[#This Row],[Просроченный платеж по процентам]]</f>
        <v>124557.70065573769</v>
      </c>
      <c r="S1391" s="120">
        <f ca="1">IF(Первоначальный[[#This Row],[Просроченный платеж]]&lt;1,0,S1390+1)</f>
        <v>1287</v>
      </c>
      <c r="T1391" s="100" cm="1">
        <f t="array" aca="1" ref="T1391" ca="1">IF(Первоначальный[[#This Row],[Итого остаток на начало периода]]&lt;1,0,
IF(
AND(TYPE(VLOOKUP(1,$Z$12:Z1391,1,0))=16,Первоначальный[[#This Row],[Досрочное погашение (да/"")]]=""),0,
_xlfn.IFS(AND(S1390=0,Первоначальный[[#This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платеж]]&lt;&gt;0),MIN(LOOKUP(,-1/($Z$12:Z1391=1),$C$12:C1391)+LOOKUP(,-1/($Z$12:Z1391=1),$H$12:H1391),Первоначальный[[#This Row],[Полученный платеж]]+Y1390),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платеж]]+Y1390,SUM(Первоначальный[[#This Row],[Остаток процентов на начало периода]],Первоначальный[[#This Row],[Проценты за период]])),
AND(S1390=0,Первоначальный[[#This Row],[Дата платежа из графика]]=""),0,
AND(S1390=0,Первоначальный[[#This Row],[Дата платежа из графика]]=1,MAX((0&lt;&gt;S$12:S1390)*ROW(S$12:S1390),ROW($S$12))&gt;=MAX((1=Z$12:Z1390)*ROW(Z$12:Z1390),ROW($T$12)),TYPE(VLOOKUP("Да",(INDIRECT("AA"&amp;(MAX((1=Z$12:Z1390)*ROW(Z$12:Z1390),ROW($T$12))&amp;":AA"&amp;(ROW()-1)))),1,0))=16),MIN(LOOKUP(,-1/($Z$12:Z1391=1),$C$12:C1391)+LOOKUP(,-1/($Z$12:Z1391=1),$H$12:H1391),Первоначальный[[#This Row],[Полученный платеж]]+Y1390),
AND(S1390=0,TYPE(VLOOKUP("Да",(INDIRECT("AA"&amp;(MAX((1=Z$12:Z1390)*ROW(Z$12:Z1390),ROW($T$12))&amp;":AA"&amp;(ROW()-1)))),1,0))&lt;&gt;16),MIN(LOOKUP(,-1/($Z$12:Z1391=1),$C$12:C1391)+LOOKUP(,-1/($Z$12:Z1391=1),$H$12:H1391)-IF(AA1390="Да",0,SUM(INDIRECT("T"&amp;(MAX(("Да"=AA$12:AA1390)*ROW(AA$12:AA1390)+1,ROW($T$12))&amp;":T"&amp;(ROW()-1))))),Первоначальный[[#This Row],[Полученный платеж]]+Y1390),
AND(S1390=0,MAX((0&lt;&gt;N$12:N1390)*ROW(N$12:N1390),ROW($S$12))&gt;=MAX((1=Z$12:Z1390)*ROW(Z$12:Z1390),ROW($T$12))),MIN(LOOKUP(,-1/($Z$12:Z1391=1),$C$12:C1391)+LOOKUP(,-1/($Z$12:Z1391=1),$H$12:H1391)-IF(N1390&lt;&gt;0,0,SUM(INDIRECT("T"&amp;(MAX((0&lt;&gt;N$12:N1390)*ROW(N$12:N1390)+1,ROW($T$12))&amp;":T"&amp;(ROW()-1))))),Первоначальный[[#This Row],[Полученный платеж]]+Y1390),
AND(S1390=0,Первоначальный[[#This Row],[Дата платежа из графика]]=1),MIN(LOOKUP(,-1/($Z$12:Z1391=1),$C$12:C1391)+LOOKUP(,-1/($Z$12:Z1391=1),$H$12:H1391)-IF(Z1390=1,0,SUM(INDIRECT("T"&amp;(MAX((1=Z$12:Z1390)*ROW(Z$12:Z1390)+1,ROW($T$12))&amp;":T"&amp;(ROW()-1))))),Первоначальный[[#This Row],[Полученный платеж]]+Y1390),
AND(Z1390&gt;0,Первоначальный[[#This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платеж]]+Y1390),
AND(S1390&gt;0,MAX((0&lt;&gt;S$12:S1390)*ROW(S$12:S1390),ROW($S$12))&gt;=MAX((1=Z$12:Z1390)*ROW(Z$12:Z1390),ROW($T$12)),TYPE(VLOOKUP("Да",(INDIRECT("AA"&amp;(MAX((1=Z$12:Z1390)*ROW(Z$12:Z1390),ROW($T$12))&amp;":AA"&amp;(ROW()-1)))),1,0))=16),MIN(LOOKUP(,-1/($Z$12:Z1391=1),$C$12:C1391)+LOOKUP(,-1/($Z$12:Z1391=1),$H$12:H1391)-SUM(INDIRECT("T"&amp;(MAX((1=Z$12:Z1390)*ROW(Z$12:Z1390),ROW($T$12))&amp;":T"&amp;(ROW()-1)))),Первоначальный[[#This Row],[Полученный платеж]]+Y1390),
S1390&gt;0,MIN(LOOKUP(,-1/($Z$12:Z1391=1),$C$12:C1391)+LOOKUP(,-1/($Z$12:Z1391=1),$H$12:H1391)-IF(Z1390=1,0,SUM(INDIRECT("T"&amp;(MAX((1=Z$12:Z1390)*ROW(Z$12:Z1390)+1,ROW($T$12))&amp;":T"&amp;(ROW()-1))))),Первоначальный[[#This Row],[Полученный платеж]]+Y1390)
)
)
)</f>
        <v>0</v>
      </c>
      <c r="U139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платеж]]+Y1390-Первоначальный[[#This Row],[Полученный платёж по процентам]])</f>
        <v>0</v>
      </c>
      <c r="V1391" s="55">
        <f t="shared" ca="1" si="255"/>
        <v>0</v>
      </c>
      <c r="W1391" s="55" cm="1">
        <f t="array" aca="1" ref="W1391" ca="1">IF(Первоначальный[[#This Row],[Итого остаток на начало периода]]&lt;1,0,
_xlfn.IFS(
AND(TYPE(VLOOKUP(1,$Z$12:Z1391,1,0))=16,Первоначальный[[#This Row],[Досрочное погашение (да/"")]]=""),0,
AND(S1390=0,Первоначальный[[#This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платеж]]+Y1390-SUM(Первоначальный[[#This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комиссиям]]),VLOOKUP(LOOKUP(,-1/($Z$12:Z1391=1),$A$12:A1391),График[[Срок конец]:[Возврат основной суммы долга]],3,0)),
AND(S1390=0,Первоначальный[[#This Row],[Дата платежа из графика]]="",Первоначальный[[#This Row],[Досрочное погашение (да/"")]]&lt;&gt;"Да"),0,
AND(S1390=0,Первоначальный[[#This Row],[Досрочное погашение (да/"")]]=""),MIN(Первоначальный[[#This Row],[Полученный платеж]]+Y1390-SUM(Первоначальный[[#This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комиссиям]]),VLOOKUP(LOOKUP(,-1/($Z$12:Z1391=1),$A$12:A1391),График[[Срок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платеж]]+Y1390-SUM(Первоначальный[[#This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S1390&gt;0,MIN(Первоначальный[[#This Row],[Полученный платеж]]+Y1390-SUM(Первоначальный[[#This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комиссиям]]),SUM(INDIRECT("M"&amp;(MAX((1=S$12:S1390)*ROW(S$12:S1390),ROW($W$12))&amp;":M"&amp;(ROW()))))-SUM(INDIRECT("W"&amp;(MAX((1=S$12:S1390)*ROW(S$12:S1390),ROW($W$12))&amp;":W"&amp;(ROW()-1)))))
)
)</f>
        <v>0</v>
      </c>
      <c r="X1391" s="55">
        <f t="shared" ca="1" si="256"/>
        <v>0</v>
      </c>
      <c r="Y1391" s="101">
        <f t="shared" ca="1" si="263"/>
        <v>0</v>
      </c>
      <c r="Z1391" s="133" t="str">
        <f>IF(TYPE((VLOOKUP(Первоначальный[[#This Row],[Дата платежа]],График[Срок конец],1,0)))=16,"",1)</f>
        <v/>
      </c>
      <c r="AA1391" s="57"/>
      <c r="AB1391" s="134"/>
      <c r="AC139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9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99286.770000000193</v>
      </c>
      <c r="AE139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8090.4500000000162</v>
      </c>
      <c r="AF139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9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404219.73871967237</v>
      </c>
      <c r="AH1391" s="55"/>
      <c r="AI1391" s="55"/>
      <c r="AJ1391" s="55"/>
      <c r="AK1391" s="101">
        <f t="shared" ca="1" si="264"/>
        <v>661230.2987196726</v>
      </c>
      <c r="AL1391" s="129">
        <f t="array" ref="AL1391">MAX((УслРестрактов[Характеристика]="Дата реструктуризации")*(УслРестрактов[Значение]=Первоначальный!$A1391),0)</f>
        <v>0</v>
      </c>
    </row>
    <row r="1392" spans="1:38" x14ac:dyDescent="0.25">
      <c r="A1392" s="97">
        <f t="shared" si="257"/>
        <v>45523</v>
      </c>
      <c r="B1392" s="100">
        <f t="shared" ca="1" si="258"/>
        <v>149633.34</v>
      </c>
      <c r="C1392" s="55">
        <f t="shared" ca="1" si="254"/>
        <v>99286.770000000193</v>
      </c>
      <c r="D1392" s="55">
        <f t="shared" ca="1" si="254"/>
        <v>8090.4500000000162</v>
      </c>
      <c r="E1392" s="55">
        <f t="shared" ca="1" si="259"/>
        <v>0</v>
      </c>
      <c r="F1392" s="55">
        <f t="shared" ca="1" si="260"/>
        <v>404219.73871967237</v>
      </c>
      <c r="G1392" s="101">
        <f t="shared" ca="1" si="261"/>
        <v>661230.2987196726</v>
      </c>
      <c r="H1392" s="100">
        <f ca="1">ROUND($B1392*VLOOKUP($A1392,$A$1:$B$10,2,1)/(365+IF(MOD(YEAR($A1392),4),0,1)*($A1392-$A1391)),2)-Первоначальный[[#This Row],[Проценты на просроченный платеж по ОД за период]]</f>
        <v>67.289999999999992</v>
      </c>
      <c r="I1392" s="55">
        <f t="shared" ca="1" si="262"/>
        <v>14.07</v>
      </c>
      <c r="J1392" s="55">
        <v>0</v>
      </c>
      <c r="K1392" s="55">
        <f t="shared" ca="1" si="265"/>
        <v>622.78850327868849</v>
      </c>
      <c r="L1392" s="55">
        <v>0</v>
      </c>
      <c r="M1392" s="113">
        <f>SUMIFS(График[Возврат основной суммы долга],График[Дата с учетом нерабочих дней],$A1392)</f>
        <v>0</v>
      </c>
      <c r="N1392" s="56">
        <f>SUMIFS(График[Возврат начисленных %],График[Дата с учетом нерабочих дней],$A1392)</f>
        <v>0</v>
      </c>
      <c r="O1392" s="101">
        <v>0</v>
      </c>
      <c r="P1392" s="100" cm="1">
        <f t="array" aca="1" ref="P1392" ca="1">MAX(IF(AA1391="Да",0,SUM(INDIRECT("M"&amp;(MAX(("Да"=AA$12:AA1391)*ROW(AA$12:AA1391)+1,ROW($P$12))&amp;":M"&amp;(ROW()))))-SUM(INDIRECT("W"&amp;(MAX(("Да"=AA$12:AA1391)*ROW(AA$12:AA1391)+1,ROW($P$12))&amp;":W"&amp;(ROW()))))),0)</f>
        <v>25882.119999999995</v>
      </c>
      <c r="Q1392" s="99">
        <f ca="1">MAX(SUM($N$13:N1392)-SUM($T$13:T1392),0)</f>
        <v>98675.580655737693</v>
      </c>
      <c r="R1392" s="99">
        <f ca="1">Первоначальный[[#This Row],[Просроченный платеж по ОД]]+Первоначальный[[#This Row],[Просроченный платеж по процентам]]</f>
        <v>124557.70065573769</v>
      </c>
      <c r="S1392" s="120">
        <f ca="1">IF(Первоначальный[[#This Row],[Просроченный платеж]]&lt;1,0,S1391+1)</f>
        <v>1288</v>
      </c>
      <c r="T1392" s="100" cm="1">
        <f t="array" aca="1" ref="T1392" ca="1">IF(Первоначальный[[#This Row],[Итого остаток на начало периода]]&lt;1,0,
IF(
AND(TYPE(VLOOKUP(1,$Z$12:Z1392,1,0))=16,Первоначальный[[#This Row],[Досрочное погашение (да/"")]]=""),0,
_xlfn.IFS(AND(S1391=0,Первоначальный[[#This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платеж]]&lt;&gt;0),MIN(LOOKUP(,-1/($Z$12:Z1392=1),$C$12:C1392)+LOOKUP(,-1/($Z$12:Z1392=1),$H$12:H1392),Первоначальный[[#This Row],[Полученный платеж]]+Y1391),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платеж]]+Y1391,SUM(Первоначальный[[#This Row],[Остаток процентов на начало периода]],Первоначальный[[#This Row],[Проценты за период]])),
AND(S1391=0,Первоначальный[[#This Row],[Дата платежа из графика]]=""),0,
AND(S1391=0,Первоначальный[[#This Row],[Дата платежа из графика]]=1,MAX((0&lt;&gt;S$12:S1391)*ROW(S$12:S1391),ROW($S$12))&gt;=MAX((1=Z$12:Z1391)*ROW(Z$12:Z1391),ROW($T$12)),TYPE(VLOOKUP("Да",(INDIRECT("AA"&amp;(MAX((1=Z$12:Z1391)*ROW(Z$12:Z1391),ROW($T$12))&amp;":AA"&amp;(ROW()-1)))),1,0))=16),MIN(LOOKUP(,-1/($Z$12:Z1392=1),$C$12:C1392)+LOOKUP(,-1/($Z$12:Z1392=1),$H$12:H1392),Первоначальный[[#This Row],[Полученный платеж]]+Y1391),
AND(S1391=0,TYPE(VLOOKUP("Да",(INDIRECT("AA"&amp;(MAX((1=Z$12:Z1391)*ROW(Z$12:Z1391),ROW($T$12))&amp;":AA"&amp;(ROW()-1)))),1,0))&lt;&gt;16),MIN(LOOKUP(,-1/($Z$12:Z1392=1),$C$12:C1392)+LOOKUP(,-1/($Z$12:Z1392=1),$H$12:H1392)-IF(AA1391="Да",0,SUM(INDIRECT("T"&amp;(MAX(("Да"=AA$12:AA1391)*ROW(AA$12:AA1391)+1,ROW($T$12))&amp;":T"&amp;(ROW()-1))))),Первоначальный[[#This Row],[Полученный платеж]]+Y1391),
AND(S1391=0,MAX((0&lt;&gt;N$12:N1391)*ROW(N$12:N1391),ROW($S$12))&gt;=MAX((1=Z$12:Z1391)*ROW(Z$12:Z1391),ROW($T$12))),MIN(LOOKUP(,-1/($Z$12:Z1392=1),$C$12:C1392)+LOOKUP(,-1/($Z$12:Z1392=1),$H$12:H1392)-IF(N1391&lt;&gt;0,0,SUM(INDIRECT("T"&amp;(MAX((0&lt;&gt;N$12:N1391)*ROW(N$12:N1391)+1,ROW($T$12))&amp;":T"&amp;(ROW()-1))))),Первоначальный[[#This Row],[Полученный платеж]]+Y1391),
AND(S1391=0,Первоначальный[[#This Row],[Дата платежа из графика]]=1),MIN(LOOKUP(,-1/($Z$12:Z1392=1),$C$12:C1392)+LOOKUP(,-1/($Z$12:Z1392=1),$H$12:H1392)-IF(Z1391=1,0,SUM(INDIRECT("T"&amp;(MAX((1=Z$12:Z1391)*ROW(Z$12:Z1391)+1,ROW($T$12))&amp;":T"&amp;(ROW()-1))))),Первоначальный[[#This Row],[Полученный платеж]]+Y1391),
AND(Z1391&gt;0,Первоначальный[[#This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платеж]]+Y1391),
AND(S1391&gt;0,MAX((0&lt;&gt;S$12:S1391)*ROW(S$12:S1391),ROW($S$12))&gt;=MAX((1=Z$12:Z1391)*ROW(Z$12:Z1391),ROW($T$12)),TYPE(VLOOKUP("Да",(INDIRECT("AA"&amp;(MAX((1=Z$12:Z1391)*ROW(Z$12:Z1391),ROW($T$12))&amp;":AA"&amp;(ROW()-1)))),1,0))=16),MIN(LOOKUP(,-1/($Z$12:Z1392=1),$C$12:C1392)+LOOKUP(,-1/($Z$12:Z1392=1),$H$12:H1392)-SUM(INDIRECT("T"&amp;(MAX((1=Z$12:Z1391)*ROW(Z$12:Z1391),ROW($T$12))&amp;":T"&amp;(ROW()-1)))),Первоначальный[[#This Row],[Полученный платеж]]+Y1391),
S1391&gt;0,MIN(LOOKUP(,-1/($Z$12:Z1392=1),$C$12:C1392)+LOOKUP(,-1/($Z$12:Z1392=1),$H$12:H1392)-IF(Z1391=1,0,SUM(INDIRECT("T"&amp;(MAX((1=Z$12:Z1391)*ROW(Z$12:Z1391)+1,ROW($T$12))&amp;":T"&amp;(ROW()-1))))),Первоначальный[[#This Row],[Полученный платеж]]+Y1391)
)
)
)</f>
        <v>0</v>
      </c>
      <c r="U139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платеж]]+Y1391-Первоначальный[[#This Row],[Полученный платёж по процентам]])</f>
        <v>0</v>
      </c>
      <c r="V1392" s="55">
        <f t="shared" ca="1" si="255"/>
        <v>0</v>
      </c>
      <c r="W1392" s="55" cm="1">
        <f t="array" aca="1" ref="W1392" ca="1">IF(Первоначальный[[#This Row],[Итого остаток на начало периода]]&lt;1,0,
_xlfn.IFS(
AND(TYPE(VLOOKUP(1,$Z$12:Z1392,1,0))=16,Первоначальный[[#This Row],[Досрочное погашение (да/"")]]=""),0,
AND(S1391=0,Первоначальный[[#This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платеж]]+Y1391-SUM(Первоначальный[[#This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комиссиям]]),VLOOKUP(LOOKUP(,-1/($Z$12:Z1392=1),$A$12:A1392),График[[Срок конец]:[Возврат основной суммы долга]],3,0)),
AND(S1391=0,Первоначальный[[#This Row],[Дата платежа из графика]]="",Первоначальный[[#This Row],[Досрочное погашение (да/"")]]&lt;&gt;"Да"),0,
AND(S1391=0,Первоначальный[[#This Row],[Досрочное погашение (да/"")]]=""),MIN(Первоначальный[[#This Row],[Полученный платеж]]+Y1391-SUM(Первоначальный[[#This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комиссиям]]),VLOOKUP(LOOKUP(,-1/($Z$12:Z1392=1),$A$12:A1392),График[[Срок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платеж]]+Y1391-SUM(Первоначальный[[#This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S1391&gt;0,MIN(Первоначальный[[#This Row],[Полученный платеж]]+Y1391-SUM(Первоначальный[[#This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комиссиям]]),SUM(INDIRECT("M"&amp;(MAX((1=S$12:S1391)*ROW(S$12:S1391),ROW($W$12))&amp;":M"&amp;(ROW()))))-SUM(INDIRECT("W"&amp;(MAX((1=S$12:S1391)*ROW(S$12:S1391),ROW($W$12))&amp;":W"&amp;(ROW()-1)))))
)
)</f>
        <v>0</v>
      </c>
      <c r="X1392" s="55">
        <f t="shared" ca="1" si="256"/>
        <v>0</v>
      </c>
      <c r="Y1392" s="101">
        <f t="shared" ca="1" si="263"/>
        <v>0</v>
      </c>
      <c r="Z1392" s="133" t="str">
        <f>IF(TYPE((VLOOKUP(Первоначальный[[#This Row],[Дата платежа]],График[Срок конец],1,0)))=16,"",1)</f>
        <v/>
      </c>
      <c r="AA1392" s="57"/>
      <c r="AB1392" s="134"/>
      <c r="AC139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9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99354.060000000187</v>
      </c>
      <c r="AE139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8104.5200000000159</v>
      </c>
      <c r="AF139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9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404842.52722295106</v>
      </c>
      <c r="AH1392" s="55"/>
      <c r="AI1392" s="55"/>
      <c r="AJ1392" s="55"/>
      <c r="AK1392" s="101">
        <f t="shared" ca="1" si="264"/>
        <v>661934.44722295133</v>
      </c>
      <c r="AL1392" s="129">
        <f t="array" ref="AL1392">MAX((УслРестрактов[Характеристика]="Дата реструктуризации")*(УслРестрактов[Значение]=Первоначальный!$A1392),0)</f>
        <v>0</v>
      </c>
    </row>
    <row r="1393" spans="1:38" x14ac:dyDescent="0.25">
      <c r="A1393" s="97">
        <f t="shared" si="257"/>
        <v>45524</v>
      </c>
      <c r="B1393" s="100">
        <f t="shared" ca="1" si="258"/>
        <v>149633.34</v>
      </c>
      <c r="C1393" s="55">
        <f t="shared" ca="1" si="254"/>
        <v>99354.060000000187</v>
      </c>
      <c r="D1393" s="55">
        <f t="shared" ca="1" si="254"/>
        <v>8104.5200000000159</v>
      </c>
      <c r="E1393" s="55">
        <f t="shared" ca="1" si="259"/>
        <v>0</v>
      </c>
      <c r="F1393" s="55">
        <f t="shared" ca="1" si="260"/>
        <v>404842.52722295106</v>
      </c>
      <c r="G1393" s="101">
        <f t="shared" ca="1" si="261"/>
        <v>661934.44722295133</v>
      </c>
      <c r="H1393" s="100">
        <f ca="1">ROUND($B1393*VLOOKUP($A1393,$A$1:$B$10,2,1)/(365+IF(MOD(YEAR($A1393),4),0,1)*($A1393-$A1392)),2)-Первоначальный[[#This Row],[Проценты на просроченный платеж по ОД за период]]</f>
        <v>67.289999999999992</v>
      </c>
      <c r="I1393" s="55">
        <f t="shared" ca="1" si="262"/>
        <v>14.07</v>
      </c>
      <c r="J1393" s="55">
        <v>0</v>
      </c>
      <c r="K1393" s="55">
        <f t="shared" ca="1" si="265"/>
        <v>622.78850327868849</v>
      </c>
      <c r="L1393" s="55">
        <v>0</v>
      </c>
      <c r="M1393" s="113">
        <f>SUMIFS(График[Возврат основной суммы долга],График[Дата с учетом нерабочих дней],$A1393)</f>
        <v>0</v>
      </c>
      <c r="N1393" s="56">
        <f>SUMIFS(График[Возврат начисленных %],График[Дата с учетом нерабочих дней],$A1393)</f>
        <v>0</v>
      </c>
      <c r="O1393" s="101">
        <v>0</v>
      </c>
      <c r="P1393" s="100" cm="1">
        <f t="array" aca="1" ref="P1393" ca="1">MAX(IF(AA1392="Да",0,SUM(INDIRECT("M"&amp;(MAX(("Да"=AA$12:AA1392)*ROW(AA$12:AA1392)+1,ROW($P$12))&amp;":M"&amp;(ROW()))))-SUM(INDIRECT("W"&amp;(MAX(("Да"=AA$12:AA1392)*ROW(AA$12:AA1392)+1,ROW($P$12))&amp;":W"&amp;(ROW()))))),0)</f>
        <v>25882.119999999995</v>
      </c>
      <c r="Q1393" s="99">
        <f ca="1">MAX(SUM($N$13:N1393)-SUM($T$13:T1393),0)</f>
        <v>98675.580655737693</v>
      </c>
      <c r="R1393" s="99">
        <f ca="1">Первоначальный[[#This Row],[Просроченный платеж по ОД]]+Первоначальный[[#This Row],[Просроченный платеж по процентам]]</f>
        <v>124557.70065573769</v>
      </c>
      <c r="S1393" s="120">
        <f ca="1">IF(Первоначальный[[#This Row],[Просроченный платеж]]&lt;1,0,S1392+1)</f>
        <v>1289</v>
      </c>
      <c r="T1393" s="100" cm="1">
        <f t="array" aca="1" ref="T1393" ca="1">IF(Первоначальный[[#This Row],[Итого остаток на начало периода]]&lt;1,0,
IF(
AND(TYPE(VLOOKUP(1,$Z$12:Z1393,1,0))=16,Первоначальный[[#This Row],[Досрочное погашение (да/"")]]=""),0,
_xlfn.IFS(AND(S1392=0,Первоначальный[[#This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платеж]]&lt;&gt;0),MIN(LOOKUP(,-1/($Z$12:Z1393=1),$C$12:C1393)+LOOKUP(,-1/($Z$12:Z1393=1),$H$12:H1393),Первоначальный[[#This Row],[Полученный платеж]]+Y1392),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платеж]]+Y1392,SUM(Первоначальный[[#This Row],[Остаток процентов на начало периода]],Первоначальный[[#This Row],[Проценты за период]])),
AND(S1392=0,Первоначальный[[#This Row],[Дата платежа из графика]]=""),0,
AND(S1392=0,Первоначальный[[#This Row],[Дата платежа из графика]]=1,MAX((0&lt;&gt;S$12:S1392)*ROW(S$12:S1392),ROW($S$12))&gt;=MAX((1=Z$12:Z1392)*ROW(Z$12:Z1392),ROW($T$12)),TYPE(VLOOKUP("Да",(INDIRECT("AA"&amp;(MAX((1=Z$12:Z1392)*ROW(Z$12:Z1392),ROW($T$12))&amp;":AA"&amp;(ROW()-1)))),1,0))=16),MIN(LOOKUP(,-1/($Z$12:Z1393=1),$C$12:C1393)+LOOKUP(,-1/($Z$12:Z1393=1),$H$12:H1393),Первоначальный[[#This Row],[Полученный платеж]]+Y1392),
AND(S1392=0,TYPE(VLOOKUP("Да",(INDIRECT("AA"&amp;(MAX((1=Z$12:Z1392)*ROW(Z$12:Z1392),ROW($T$12))&amp;":AA"&amp;(ROW()-1)))),1,0))&lt;&gt;16),MIN(LOOKUP(,-1/($Z$12:Z1393=1),$C$12:C1393)+LOOKUP(,-1/($Z$12:Z1393=1),$H$12:H1393)-IF(AA1392="Да",0,SUM(INDIRECT("T"&amp;(MAX(("Да"=AA$12:AA1392)*ROW(AA$12:AA1392)+1,ROW($T$12))&amp;":T"&amp;(ROW()-1))))),Первоначальный[[#This Row],[Полученный платеж]]+Y1392),
AND(S1392=0,MAX((0&lt;&gt;N$12:N1392)*ROW(N$12:N1392),ROW($S$12))&gt;=MAX((1=Z$12:Z1392)*ROW(Z$12:Z1392),ROW($T$12))),MIN(LOOKUP(,-1/($Z$12:Z1393=1),$C$12:C1393)+LOOKUP(,-1/($Z$12:Z1393=1),$H$12:H1393)-IF(N1392&lt;&gt;0,0,SUM(INDIRECT("T"&amp;(MAX((0&lt;&gt;N$12:N1392)*ROW(N$12:N1392)+1,ROW($T$12))&amp;":T"&amp;(ROW()-1))))),Первоначальный[[#This Row],[Полученный платеж]]+Y1392),
AND(S1392=0,Первоначальный[[#This Row],[Дата платежа из графика]]=1),MIN(LOOKUP(,-1/($Z$12:Z1393=1),$C$12:C1393)+LOOKUP(,-1/($Z$12:Z1393=1),$H$12:H1393)-IF(Z1392=1,0,SUM(INDIRECT("T"&amp;(MAX((1=Z$12:Z1392)*ROW(Z$12:Z1392)+1,ROW($T$12))&amp;":T"&amp;(ROW()-1))))),Первоначальный[[#This Row],[Полученный платеж]]+Y1392),
AND(Z1392&gt;0,Первоначальный[[#This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платеж]]+Y1392),
AND(S1392&gt;0,MAX((0&lt;&gt;S$12:S1392)*ROW(S$12:S1392),ROW($S$12))&gt;=MAX((1=Z$12:Z1392)*ROW(Z$12:Z1392),ROW($T$12)),TYPE(VLOOKUP("Да",(INDIRECT("AA"&amp;(MAX((1=Z$12:Z1392)*ROW(Z$12:Z1392),ROW($T$12))&amp;":AA"&amp;(ROW()-1)))),1,0))=16),MIN(LOOKUP(,-1/($Z$12:Z1393=1),$C$12:C1393)+LOOKUP(,-1/($Z$12:Z1393=1),$H$12:H1393)-SUM(INDIRECT("T"&amp;(MAX((1=Z$12:Z1392)*ROW(Z$12:Z1392),ROW($T$12))&amp;":T"&amp;(ROW()-1)))),Первоначальный[[#This Row],[Полученный платеж]]+Y1392),
S1392&gt;0,MIN(LOOKUP(,-1/($Z$12:Z1393=1),$C$12:C1393)+LOOKUP(,-1/($Z$12:Z1393=1),$H$12:H1393)-IF(Z1392=1,0,SUM(INDIRECT("T"&amp;(MAX((1=Z$12:Z1392)*ROW(Z$12:Z1392)+1,ROW($T$12))&amp;":T"&amp;(ROW()-1))))),Первоначальный[[#This Row],[Полученный платеж]]+Y1392)
)
)
)</f>
        <v>0</v>
      </c>
      <c r="U139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платеж]]+Y1392-Первоначальный[[#This Row],[Полученный платёж по процентам]])</f>
        <v>0</v>
      </c>
      <c r="V1393" s="55">
        <f t="shared" ca="1" si="255"/>
        <v>0</v>
      </c>
      <c r="W1393" s="55" cm="1">
        <f t="array" aca="1" ref="W1393" ca="1">IF(Первоначальный[[#This Row],[Итого остаток на начало периода]]&lt;1,0,
_xlfn.IFS(
AND(TYPE(VLOOKUP(1,$Z$12:Z1393,1,0))=16,Первоначальный[[#This Row],[Досрочное погашение (да/"")]]=""),0,
AND(S1392=0,Первоначальный[[#This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платеж]]+Y1392-SUM(Первоначальный[[#This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комиссиям]]),VLOOKUP(LOOKUP(,-1/($Z$12:Z1393=1),$A$12:A1393),График[[Срок конец]:[Возврат основной суммы долга]],3,0)),
AND(S1392=0,Первоначальный[[#This Row],[Дата платежа из графика]]="",Первоначальный[[#This Row],[Досрочное погашение (да/"")]]&lt;&gt;"Да"),0,
AND(S1392=0,Первоначальный[[#This Row],[Досрочное погашение (да/"")]]=""),MIN(Первоначальный[[#This Row],[Полученный платеж]]+Y1392-SUM(Первоначальный[[#This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комиссиям]]),VLOOKUP(LOOKUP(,-1/($Z$12:Z1393=1),$A$12:A1393),График[[Срок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платеж]]+Y1392-SUM(Первоначальный[[#This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S1392&gt;0,MIN(Первоначальный[[#This Row],[Полученный платеж]]+Y1392-SUM(Первоначальный[[#This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комиссиям]]),SUM(INDIRECT("M"&amp;(MAX((1=S$12:S1392)*ROW(S$12:S1392),ROW($W$12))&amp;":M"&amp;(ROW()))))-SUM(INDIRECT("W"&amp;(MAX((1=S$12:S1392)*ROW(S$12:S1392),ROW($W$12))&amp;":W"&amp;(ROW()-1)))))
)
)</f>
        <v>0</v>
      </c>
      <c r="X1393" s="55">
        <f t="shared" ca="1" si="256"/>
        <v>0</v>
      </c>
      <c r="Y1393" s="101">
        <f t="shared" ca="1" si="263"/>
        <v>0</v>
      </c>
      <c r="Z1393" s="133" t="str">
        <f>IF(TYPE((VLOOKUP(Первоначальный[[#This Row],[Дата платежа]],График[Срок конец],1,0)))=16,"",1)</f>
        <v/>
      </c>
      <c r="AA1393" s="57"/>
      <c r="AB1393" s="134"/>
      <c r="AC139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9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99421.35000000018</v>
      </c>
      <c r="AE139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8118.5900000000156</v>
      </c>
      <c r="AF139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9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405465.31572622975</v>
      </c>
      <c r="AH1393" s="55"/>
      <c r="AI1393" s="55"/>
      <c r="AJ1393" s="55"/>
      <c r="AK1393" s="101">
        <f t="shared" ca="1" si="264"/>
        <v>662638.59572622995</v>
      </c>
      <c r="AL1393" s="129">
        <f t="array" ref="AL1393">MAX((УслРестрактов[Характеристика]="Дата реструктуризации")*(УслРестрактов[Значение]=Первоначальный!$A1393),0)</f>
        <v>0</v>
      </c>
    </row>
    <row r="1394" spans="1:38" x14ac:dyDescent="0.25">
      <c r="A1394" s="97">
        <f t="shared" si="257"/>
        <v>45525</v>
      </c>
      <c r="B1394" s="100">
        <f t="shared" ca="1" si="258"/>
        <v>149633.34</v>
      </c>
      <c r="C1394" s="55">
        <f t="shared" ca="1" si="254"/>
        <v>99421.35000000018</v>
      </c>
      <c r="D1394" s="55">
        <f t="shared" ca="1" si="254"/>
        <v>8118.5900000000156</v>
      </c>
      <c r="E1394" s="55">
        <f t="shared" ca="1" si="259"/>
        <v>0</v>
      </c>
      <c r="F1394" s="55">
        <f t="shared" ca="1" si="260"/>
        <v>405465.31572622975</v>
      </c>
      <c r="G1394" s="101">
        <f t="shared" ca="1" si="261"/>
        <v>662638.59572622995</v>
      </c>
      <c r="H1394" s="100">
        <f ca="1">ROUND($B1394*VLOOKUP($A1394,$A$1:$B$10,2,1)/(365+IF(MOD(YEAR($A1394),4),0,1)*($A1394-$A1393)),2)-Первоначальный[[#This Row],[Проценты на просроченный платеж по ОД за период]]</f>
        <v>67.289999999999992</v>
      </c>
      <c r="I1394" s="55">
        <f t="shared" ca="1" si="262"/>
        <v>14.07</v>
      </c>
      <c r="J1394" s="55">
        <v>0</v>
      </c>
      <c r="K1394" s="55">
        <f t="shared" ca="1" si="265"/>
        <v>622.78850327868849</v>
      </c>
      <c r="L1394" s="55">
        <v>0</v>
      </c>
      <c r="M1394" s="113">
        <f>SUMIFS(График[Возврат основной суммы долга],График[Дата с учетом нерабочих дней],$A1394)</f>
        <v>0</v>
      </c>
      <c r="N1394" s="56">
        <f>SUMIFS(График[Возврат начисленных %],График[Дата с учетом нерабочих дней],$A1394)</f>
        <v>0</v>
      </c>
      <c r="O1394" s="101">
        <v>0</v>
      </c>
      <c r="P1394" s="100" cm="1">
        <f t="array" aca="1" ref="P1394" ca="1">MAX(IF(AA1393="Да",0,SUM(INDIRECT("M"&amp;(MAX(("Да"=AA$12:AA1393)*ROW(AA$12:AA1393)+1,ROW($P$12))&amp;":M"&amp;(ROW()))))-SUM(INDIRECT("W"&amp;(MAX(("Да"=AA$12:AA1393)*ROW(AA$12:AA1393)+1,ROW($P$12))&amp;":W"&amp;(ROW()))))),0)</f>
        <v>25882.119999999995</v>
      </c>
      <c r="Q1394" s="99">
        <f ca="1">MAX(SUM($N$13:N1394)-SUM($T$13:T1394),0)</f>
        <v>98675.580655737693</v>
      </c>
      <c r="R1394" s="99">
        <f ca="1">Первоначальный[[#This Row],[Просроченный платеж по ОД]]+Первоначальный[[#This Row],[Просроченный платеж по процентам]]</f>
        <v>124557.70065573769</v>
      </c>
      <c r="S1394" s="120">
        <f ca="1">IF(Первоначальный[[#This Row],[Просроченный платеж]]&lt;1,0,S1393+1)</f>
        <v>1290</v>
      </c>
      <c r="T1394" s="100" cm="1">
        <f t="array" aca="1" ref="T1394" ca="1">IF(Первоначальный[[#This Row],[Итого остаток на начало периода]]&lt;1,0,
IF(
AND(TYPE(VLOOKUP(1,$Z$12:Z1394,1,0))=16,Первоначальный[[#This Row],[Досрочное погашение (да/"")]]=""),0,
_xlfn.IFS(AND(S1393=0,Первоначальный[[#This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платеж]]&lt;&gt;0),MIN(LOOKUP(,-1/($Z$12:Z1394=1),$C$12:C1394)+LOOKUP(,-1/($Z$12:Z1394=1),$H$12:H1394),Первоначальный[[#This Row],[Полученный платеж]]+Y1393),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платеж]]+Y1393,SUM(Первоначальный[[#This Row],[Остаток процентов на начало периода]],Первоначальный[[#This Row],[Проценты за период]])),
AND(S1393=0,Первоначальный[[#This Row],[Дата платежа из графика]]=""),0,
AND(S1393=0,Первоначальный[[#This Row],[Дата платежа из графика]]=1,MAX((0&lt;&gt;S$12:S1393)*ROW(S$12:S1393),ROW($S$12))&gt;=MAX((1=Z$12:Z1393)*ROW(Z$12:Z1393),ROW($T$12)),TYPE(VLOOKUP("Да",(INDIRECT("AA"&amp;(MAX((1=Z$12:Z1393)*ROW(Z$12:Z1393),ROW($T$12))&amp;":AA"&amp;(ROW()-1)))),1,0))=16),MIN(LOOKUP(,-1/($Z$12:Z1394=1),$C$12:C1394)+LOOKUP(,-1/($Z$12:Z1394=1),$H$12:H1394),Первоначальный[[#This Row],[Полученный платеж]]+Y1393),
AND(S1393=0,TYPE(VLOOKUP("Да",(INDIRECT("AA"&amp;(MAX((1=Z$12:Z1393)*ROW(Z$12:Z1393),ROW($T$12))&amp;":AA"&amp;(ROW()-1)))),1,0))&lt;&gt;16),MIN(LOOKUP(,-1/($Z$12:Z1394=1),$C$12:C1394)+LOOKUP(,-1/($Z$12:Z1394=1),$H$12:H1394)-IF(AA1393="Да",0,SUM(INDIRECT("T"&amp;(MAX(("Да"=AA$12:AA1393)*ROW(AA$12:AA1393)+1,ROW($T$12))&amp;":T"&amp;(ROW()-1))))),Первоначальный[[#This Row],[Полученный платеж]]+Y1393),
AND(S1393=0,MAX((0&lt;&gt;N$12:N1393)*ROW(N$12:N1393),ROW($S$12))&gt;=MAX((1=Z$12:Z1393)*ROW(Z$12:Z1393),ROW($T$12))),MIN(LOOKUP(,-1/($Z$12:Z1394=1),$C$12:C1394)+LOOKUP(,-1/($Z$12:Z1394=1),$H$12:H1394)-IF(N1393&lt;&gt;0,0,SUM(INDIRECT("T"&amp;(MAX((0&lt;&gt;N$12:N1393)*ROW(N$12:N1393)+1,ROW($T$12))&amp;":T"&amp;(ROW()-1))))),Первоначальный[[#This Row],[Полученный платеж]]+Y1393),
AND(S1393=0,Первоначальный[[#This Row],[Дата платежа из графика]]=1),MIN(LOOKUP(,-1/($Z$12:Z1394=1),$C$12:C1394)+LOOKUP(,-1/($Z$12:Z1394=1),$H$12:H1394)-IF(Z1393=1,0,SUM(INDIRECT("T"&amp;(MAX((1=Z$12:Z1393)*ROW(Z$12:Z1393)+1,ROW($T$12))&amp;":T"&amp;(ROW()-1))))),Первоначальный[[#This Row],[Полученный платеж]]+Y1393),
AND(Z1393&gt;0,Первоначальный[[#This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платеж]]+Y1393),
AND(S1393&gt;0,MAX((0&lt;&gt;S$12:S1393)*ROW(S$12:S1393),ROW($S$12))&gt;=MAX((1=Z$12:Z1393)*ROW(Z$12:Z1393),ROW($T$12)),TYPE(VLOOKUP("Да",(INDIRECT("AA"&amp;(MAX((1=Z$12:Z1393)*ROW(Z$12:Z1393),ROW($T$12))&amp;":AA"&amp;(ROW()-1)))),1,0))=16),MIN(LOOKUP(,-1/($Z$12:Z1394=1),$C$12:C1394)+LOOKUP(,-1/($Z$12:Z1394=1),$H$12:H1394)-SUM(INDIRECT("T"&amp;(MAX((1=Z$12:Z1393)*ROW(Z$12:Z1393),ROW($T$12))&amp;":T"&amp;(ROW()-1)))),Первоначальный[[#This Row],[Полученный платеж]]+Y1393),
S1393&gt;0,MIN(LOOKUP(,-1/($Z$12:Z1394=1),$C$12:C1394)+LOOKUP(,-1/($Z$12:Z1394=1),$H$12:H1394)-IF(Z1393=1,0,SUM(INDIRECT("T"&amp;(MAX((1=Z$12:Z1393)*ROW(Z$12:Z1393)+1,ROW($T$12))&amp;":T"&amp;(ROW()-1))))),Первоначальный[[#This Row],[Полученный платеж]]+Y1393)
)
)
)</f>
        <v>0</v>
      </c>
      <c r="U139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платеж]]+Y1393-Первоначальный[[#This Row],[Полученный платёж по процентам]])</f>
        <v>0</v>
      </c>
      <c r="V1394" s="55">
        <f t="shared" ca="1" si="255"/>
        <v>0</v>
      </c>
      <c r="W1394" s="55" cm="1">
        <f t="array" aca="1" ref="W1394" ca="1">IF(Первоначальный[[#This Row],[Итого остаток на начало периода]]&lt;1,0,
_xlfn.IFS(
AND(TYPE(VLOOKUP(1,$Z$12:Z1394,1,0))=16,Первоначальный[[#This Row],[Досрочное погашение (да/"")]]=""),0,
AND(S1393=0,Первоначальный[[#This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платеж]]+Y1393-SUM(Первоначальный[[#This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комиссиям]]),VLOOKUP(LOOKUP(,-1/($Z$12:Z1394=1),$A$12:A1394),График[[Срок конец]:[Возврат основной суммы долга]],3,0)),
AND(S1393=0,Первоначальный[[#This Row],[Дата платежа из графика]]="",Первоначальный[[#This Row],[Досрочное погашение (да/"")]]&lt;&gt;"Да"),0,
AND(S1393=0,Первоначальный[[#This Row],[Досрочное погашение (да/"")]]=""),MIN(Первоначальный[[#This Row],[Полученный платеж]]+Y1393-SUM(Первоначальный[[#This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комиссиям]]),VLOOKUP(LOOKUP(,-1/($Z$12:Z1394=1),$A$12:A1394),График[[Срок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платеж]]+Y1393-SUM(Первоначальный[[#This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S1393&gt;0,MIN(Первоначальный[[#This Row],[Полученный платеж]]+Y1393-SUM(Первоначальный[[#This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комиссиям]]),SUM(INDIRECT("M"&amp;(MAX((1=S$12:S1393)*ROW(S$12:S1393),ROW($W$12))&amp;":M"&amp;(ROW()))))-SUM(INDIRECT("W"&amp;(MAX((1=S$12:S1393)*ROW(S$12:S1393),ROW($W$12))&amp;":W"&amp;(ROW()-1)))))
)
)</f>
        <v>0</v>
      </c>
      <c r="X1394" s="55">
        <f t="shared" ca="1" si="256"/>
        <v>0</v>
      </c>
      <c r="Y1394" s="101">
        <f t="shared" ca="1" si="263"/>
        <v>0</v>
      </c>
      <c r="Z1394" s="133" t="str">
        <f>IF(TYPE((VLOOKUP(Первоначальный[[#This Row],[Дата платежа]],График[Срок конец],1,0)))=16,"",1)</f>
        <v/>
      </c>
      <c r="AA1394" s="57"/>
      <c r="AB1394" s="134"/>
      <c r="AC139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9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99488.640000000174</v>
      </c>
      <c r="AE139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8132.6600000000153</v>
      </c>
      <c r="AF139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9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406088.10422950843</v>
      </c>
      <c r="AH1394" s="55"/>
      <c r="AI1394" s="55"/>
      <c r="AJ1394" s="55"/>
      <c r="AK1394" s="101">
        <f t="shared" ca="1" si="264"/>
        <v>663342.74422950856</v>
      </c>
      <c r="AL1394" s="129">
        <f t="array" ref="AL1394">MAX((УслРестрактов[Характеристика]="Дата реструктуризации")*(УслРестрактов[Значение]=Первоначальный!$A1394),0)</f>
        <v>0</v>
      </c>
    </row>
    <row r="1395" spans="1:38" x14ac:dyDescent="0.25">
      <c r="A1395" s="97">
        <f t="shared" si="257"/>
        <v>45526</v>
      </c>
      <c r="B1395" s="100">
        <f t="shared" ca="1" si="258"/>
        <v>149633.34</v>
      </c>
      <c r="C1395" s="55">
        <f t="shared" ca="1" si="254"/>
        <v>99488.640000000174</v>
      </c>
      <c r="D1395" s="55">
        <f t="shared" ca="1" si="254"/>
        <v>8132.6600000000153</v>
      </c>
      <c r="E1395" s="55">
        <f t="shared" ca="1" si="259"/>
        <v>0</v>
      </c>
      <c r="F1395" s="55">
        <f t="shared" ca="1" si="260"/>
        <v>406088.10422950843</v>
      </c>
      <c r="G1395" s="101">
        <f t="shared" ca="1" si="261"/>
        <v>663342.74422950856</v>
      </c>
      <c r="H1395" s="100">
        <f ca="1">ROUND($B1395*VLOOKUP($A1395,$A$1:$B$10,2,1)/(365+IF(MOD(YEAR($A1395),4),0,1)*($A1395-$A1394)),2)-Первоначальный[[#This Row],[Проценты на просроченный платеж по ОД за период]]</f>
        <v>67.289999999999992</v>
      </c>
      <c r="I1395" s="55">
        <f t="shared" ca="1" si="262"/>
        <v>14.07</v>
      </c>
      <c r="J1395" s="55">
        <v>0</v>
      </c>
      <c r="K1395" s="55">
        <f t="shared" ca="1" si="265"/>
        <v>622.78850327868849</v>
      </c>
      <c r="L1395" s="55">
        <v>0</v>
      </c>
      <c r="M1395" s="113">
        <f>SUMIFS(График[Возврат основной суммы долга],График[Дата с учетом нерабочих дней],$A1395)</f>
        <v>0</v>
      </c>
      <c r="N1395" s="56">
        <f>SUMIFS(График[Возврат начисленных %],График[Дата с учетом нерабочих дней],$A1395)</f>
        <v>0</v>
      </c>
      <c r="O1395" s="101">
        <v>0</v>
      </c>
      <c r="P1395" s="100" cm="1">
        <f t="array" aca="1" ref="P1395" ca="1">MAX(IF(AA1394="Да",0,SUM(INDIRECT("M"&amp;(MAX(("Да"=AA$12:AA1394)*ROW(AA$12:AA1394)+1,ROW($P$12))&amp;":M"&amp;(ROW()))))-SUM(INDIRECT("W"&amp;(MAX(("Да"=AA$12:AA1394)*ROW(AA$12:AA1394)+1,ROW($P$12))&amp;":W"&amp;(ROW()))))),0)</f>
        <v>25882.119999999995</v>
      </c>
      <c r="Q1395" s="99">
        <f ca="1">MAX(SUM($N$13:N1395)-SUM($T$13:T1395),0)</f>
        <v>98675.580655737693</v>
      </c>
      <c r="R1395" s="99">
        <f ca="1">Первоначальный[[#This Row],[Просроченный платеж по ОД]]+Первоначальный[[#This Row],[Просроченный платеж по процентам]]</f>
        <v>124557.70065573769</v>
      </c>
      <c r="S1395" s="120">
        <f ca="1">IF(Первоначальный[[#This Row],[Просроченный платеж]]&lt;1,0,S1394+1)</f>
        <v>1291</v>
      </c>
      <c r="T1395" s="100" cm="1">
        <f t="array" aca="1" ref="T1395" ca="1">IF(Первоначальный[[#This Row],[Итого остаток на начало периода]]&lt;1,0,
IF(
AND(TYPE(VLOOKUP(1,$Z$12:Z1395,1,0))=16,Первоначальный[[#This Row],[Досрочное погашение (да/"")]]=""),0,
_xlfn.IFS(AND(S1394=0,Первоначальный[[#This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платеж]]&lt;&gt;0),MIN(LOOKUP(,-1/($Z$12:Z1395=1),$C$12:C1395)+LOOKUP(,-1/($Z$12:Z1395=1),$H$12:H1395),Первоначальный[[#This Row],[Полученный платеж]]+Y1394),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платеж]]+Y1394,SUM(Первоначальный[[#This Row],[Остаток процентов на начало периода]],Первоначальный[[#This Row],[Проценты за период]])),
AND(S1394=0,Первоначальный[[#This Row],[Дата платежа из графика]]=""),0,
AND(S1394=0,Первоначальный[[#This Row],[Дата платежа из графика]]=1,MAX((0&lt;&gt;S$12:S1394)*ROW(S$12:S1394),ROW($S$12))&gt;=MAX((1=Z$12:Z1394)*ROW(Z$12:Z1394),ROW($T$12)),TYPE(VLOOKUP("Да",(INDIRECT("AA"&amp;(MAX((1=Z$12:Z1394)*ROW(Z$12:Z1394),ROW($T$12))&amp;":AA"&amp;(ROW()-1)))),1,0))=16),MIN(LOOKUP(,-1/($Z$12:Z1395=1),$C$12:C1395)+LOOKUP(,-1/($Z$12:Z1395=1),$H$12:H1395),Первоначальный[[#This Row],[Полученный платеж]]+Y1394),
AND(S1394=0,TYPE(VLOOKUP("Да",(INDIRECT("AA"&amp;(MAX((1=Z$12:Z1394)*ROW(Z$12:Z1394),ROW($T$12))&amp;":AA"&amp;(ROW()-1)))),1,0))&lt;&gt;16),MIN(LOOKUP(,-1/($Z$12:Z1395=1),$C$12:C1395)+LOOKUP(,-1/($Z$12:Z1395=1),$H$12:H1395)-IF(AA1394="Да",0,SUM(INDIRECT("T"&amp;(MAX(("Да"=AA$12:AA1394)*ROW(AA$12:AA1394)+1,ROW($T$12))&amp;":T"&amp;(ROW()-1))))),Первоначальный[[#This Row],[Полученный платеж]]+Y1394),
AND(S1394=0,MAX((0&lt;&gt;N$12:N1394)*ROW(N$12:N1394),ROW($S$12))&gt;=MAX((1=Z$12:Z1394)*ROW(Z$12:Z1394),ROW($T$12))),MIN(LOOKUP(,-1/($Z$12:Z1395=1),$C$12:C1395)+LOOKUP(,-1/($Z$12:Z1395=1),$H$12:H1395)-IF(N1394&lt;&gt;0,0,SUM(INDIRECT("T"&amp;(MAX((0&lt;&gt;N$12:N1394)*ROW(N$12:N1394)+1,ROW($T$12))&amp;":T"&amp;(ROW()-1))))),Первоначальный[[#This Row],[Полученный платеж]]+Y1394),
AND(S1394=0,Первоначальный[[#This Row],[Дата платежа из графика]]=1),MIN(LOOKUP(,-1/($Z$12:Z1395=1),$C$12:C1395)+LOOKUP(,-1/($Z$12:Z1395=1),$H$12:H1395)-IF(Z1394=1,0,SUM(INDIRECT("T"&amp;(MAX((1=Z$12:Z1394)*ROW(Z$12:Z1394)+1,ROW($T$12))&amp;":T"&amp;(ROW()-1))))),Первоначальный[[#This Row],[Полученный платеж]]+Y1394),
AND(Z1394&gt;0,Первоначальный[[#This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платеж]]+Y1394),
AND(S1394&gt;0,MAX((0&lt;&gt;S$12:S1394)*ROW(S$12:S1394),ROW($S$12))&gt;=MAX((1=Z$12:Z1394)*ROW(Z$12:Z1394),ROW($T$12)),TYPE(VLOOKUP("Да",(INDIRECT("AA"&amp;(MAX((1=Z$12:Z1394)*ROW(Z$12:Z1394),ROW($T$12))&amp;":AA"&amp;(ROW()-1)))),1,0))=16),MIN(LOOKUP(,-1/($Z$12:Z1395=1),$C$12:C1395)+LOOKUP(,-1/($Z$12:Z1395=1),$H$12:H1395)-SUM(INDIRECT("T"&amp;(MAX((1=Z$12:Z1394)*ROW(Z$12:Z1394),ROW($T$12))&amp;":T"&amp;(ROW()-1)))),Первоначальный[[#This Row],[Полученный платеж]]+Y1394),
S1394&gt;0,MIN(LOOKUP(,-1/($Z$12:Z1395=1),$C$12:C1395)+LOOKUP(,-1/($Z$12:Z1395=1),$H$12:H1395)-IF(Z1394=1,0,SUM(INDIRECT("T"&amp;(MAX((1=Z$12:Z1394)*ROW(Z$12:Z1394)+1,ROW($T$12))&amp;":T"&amp;(ROW()-1))))),Первоначальный[[#This Row],[Полученный платеж]]+Y1394)
)
)
)</f>
        <v>0</v>
      </c>
      <c r="U139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платеж]]+Y1394-Первоначальный[[#This Row],[Полученный платёж по процентам]])</f>
        <v>0</v>
      </c>
      <c r="V1395" s="55">
        <f t="shared" ca="1" si="255"/>
        <v>0</v>
      </c>
      <c r="W1395" s="55" cm="1">
        <f t="array" aca="1" ref="W1395" ca="1">IF(Первоначальный[[#This Row],[Итого остаток на начало периода]]&lt;1,0,
_xlfn.IFS(
AND(TYPE(VLOOKUP(1,$Z$12:Z1395,1,0))=16,Первоначальный[[#This Row],[Досрочное погашение (да/"")]]=""),0,
AND(S1394=0,Первоначальный[[#This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платеж]]+Y1394-SUM(Первоначальный[[#This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комиссиям]]),VLOOKUP(LOOKUP(,-1/($Z$12:Z1395=1),$A$12:A1395),График[[Срок конец]:[Возврат основной суммы долга]],3,0)),
AND(S1394=0,Первоначальный[[#This Row],[Дата платежа из графика]]="",Первоначальный[[#This Row],[Досрочное погашение (да/"")]]&lt;&gt;"Да"),0,
AND(S1394=0,Первоначальный[[#This Row],[Досрочное погашение (да/"")]]=""),MIN(Первоначальный[[#This Row],[Полученный платеж]]+Y1394-SUM(Первоначальный[[#This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комиссиям]]),VLOOKUP(LOOKUP(,-1/($Z$12:Z1395=1),$A$12:A1395),График[[Срок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платеж]]+Y1394-SUM(Первоначальный[[#This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S1394&gt;0,MIN(Первоначальный[[#This Row],[Полученный платеж]]+Y1394-SUM(Первоначальный[[#This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комиссиям]]),SUM(INDIRECT("M"&amp;(MAX((1=S$12:S1394)*ROW(S$12:S1394),ROW($W$12))&amp;":M"&amp;(ROW()))))-SUM(INDIRECT("W"&amp;(MAX((1=S$12:S1394)*ROW(S$12:S1394),ROW($W$12))&amp;":W"&amp;(ROW()-1)))))
)
)</f>
        <v>0</v>
      </c>
      <c r="X1395" s="55">
        <f t="shared" ca="1" si="256"/>
        <v>0</v>
      </c>
      <c r="Y1395" s="101">
        <f t="shared" ca="1" si="263"/>
        <v>0</v>
      </c>
      <c r="Z1395" s="133" t="str">
        <f>IF(TYPE((VLOOKUP(Первоначальный[[#This Row],[Дата платежа]],График[Срок конец],1,0)))=16,"",1)</f>
        <v/>
      </c>
      <c r="AA1395" s="57"/>
      <c r="AB1395" s="134"/>
      <c r="AC139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9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99555.930000000168</v>
      </c>
      <c r="AE139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8146.730000000015</v>
      </c>
      <c r="AF139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9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406710.89273278712</v>
      </c>
      <c r="AH1395" s="55"/>
      <c r="AI1395" s="55"/>
      <c r="AJ1395" s="55"/>
      <c r="AK1395" s="101">
        <f t="shared" ca="1" si="264"/>
        <v>664046.8927327873</v>
      </c>
      <c r="AL1395" s="129">
        <f t="array" ref="AL1395">MAX((УслРестрактов[Характеристика]="Дата реструктуризации")*(УслРестрактов[Значение]=Первоначальный!$A1395),0)</f>
        <v>0</v>
      </c>
    </row>
    <row r="1396" spans="1:38" x14ac:dyDescent="0.25">
      <c r="A1396" s="97">
        <f t="shared" si="257"/>
        <v>45527</v>
      </c>
      <c r="B1396" s="100">
        <f t="shared" ca="1" si="258"/>
        <v>149633.34</v>
      </c>
      <c r="C1396" s="55">
        <f t="shared" ca="1" si="254"/>
        <v>99555.930000000168</v>
      </c>
      <c r="D1396" s="55">
        <f t="shared" ca="1" si="254"/>
        <v>8146.730000000015</v>
      </c>
      <c r="E1396" s="55">
        <f t="shared" ca="1" si="259"/>
        <v>0</v>
      </c>
      <c r="F1396" s="55">
        <f t="shared" ca="1" si="260"/>
        <v>406710.89273278712</v>
      </c>
      <c r="G1396" s="101">
        <f t="shared" ca="1" si="261"/>
        <v>664046.8927327873</v>
      </c>
      <c r="H1396" s="100">
        <f ca="1">ROUND($B1396*VLOOKUP($A1396,$A$1:$B$10,2,1)/(365+IF(MOD(YEAR($A1396),4),0,1)*($A1396-$A1395)),2)-Первоначальный[[#This Row],[Проценты на просроченный платеж по ОД за период]]</f>
        <v>67.289999999999992</v>
      </c>
      <c r="I1396" s="55">
        <f t="shared" ca="1" si="262"/>
        <v>14.07</v>
      </c>
      <c r="J1396" s="55">
        <v>0</v>
      </c>
      <c r="K1396" s="55">
        <f t="shared" ca="1" si="265"/>
        <v>622.78850327868849</v>
      </c>
      <c r="L1396" s="55">
        <v>0</v>
      </c>
      <c r="M1396" s="113">
        <f>SUMIFS(График[Возврат основной суммы долга],График[Дата с учетом нерабочих дней],$A1396)</f>
        <v>0</v>
      </c>
      <c r="N1396" s="56">
        <f>SUMIFS(График[Возврат начисленных %],График[Дата с учетом нерабочих дней],$A1396)</f>
        <v>0</v>
      </c>
      <c r="O1396" s="101">
        <v>0</v>
      </c>
      <c r="P1396" s="100" cm="1">
        <f t="array" aca="1" ref="P1396" ca="1">MAX(IF(AA1395="Да",0,SUM(INDIRECT("M"&amp;(MAX(("Да"=AA$12:AA1395)*ROW(AA$12:AA1395)+1,ROW($P$12))&amp;":M"&amp;(ROW()))))-SUM(INDIRECT("W"&amp;(MAX(("Да"=AA$12:AA1395)*ROW(AA$12:AA1395)+1,ROW($P$12))&amp;":W"&amp;(ROW()))))),0)</f>
        <v>25882.119999999995</v>
      </c>
      <c r="Q1396" s="99">
        <f ca="1">MAX(SUM($N$13:N1396)-SUM($T$13:T1396),0)</f>
        <v>98675.580655737693</v>
      </c>
      <c r="R1396" s="99">
        <f ca="1">Первоначальный[[#This Row],[Просроченный платеж по ОД]]+Первоначальный[[#This Row],[Просроченный платеж по процентам]]</f>
        <v>124557.70065573769</v>
      </c>
      <c r="S1396" s="120">
        <f ca="1">IF(Первоначальный[[#This Row],[Просроченный платеж]]&lt;1,0,S1395+1)</f>
        <v>1292</v>
      </c>
      <c r="T1396" s="100" cm="1">
        <f t="array" aca="1" ref="T1396" ca="1">IF(Первоначальный[[#This Row],[Итого остаток на начало периода]]&lt;1,0,
IF(
AND(TYPE(VLOOKUP(1,$Z$12:Z1396,1,0))=16,Первоначальный[[#This Row],[Досрочное погашение (да/"")]]=""),0,
_xlfn.IFS(AND(S1395=0,Первоначальный[[#This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платеж]]&lt;&gt;0),MIN(LOOKUP(,-1/($Z$12:Z1396=1),$C$12:C1396)+LOOKUP(,-1/($Z$12:Z1396=1),$H$12:H1396),Первоначальный[[#This Row],[Полученный платеж]]+Y1395),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платеж]]+Y1395,SUM(Первоначальный[[#This Row],[Остаток процентов на начало периода]],Первоначальный[[#This Row],[Проценты за период]])),
AND(S1395=0,Первоначальный[[#This Row],[Дата платежа из графика]]=""),0,
AND(S1395=0,Первоначальный[[#This Row],[Дата платежа из графика]]=1,MAX((0&lt;&gt;S$12:S1395)*ROW(S$12:S1395),ROW($S$12))&gt;=MAX((1=Z$12:Z1395)*ROW(Z$12:Z1395),ROW($T$12)),TYPE(VLOOKUP("Да",(INDIRECT("AA"&amp;(MAX((1=Z$12:Z1395)*ROW(Z$12:Z1395),ROW($T$12))&amp;":AA"&amp;(ROW()-1)))),1,0))=16),MIN(LOOKUP(,-1/($Z$12:Z1396=1),$C$12:C1396)+LOOKUP(,-1/($Z$12:Z1396=1),$H$12:H1396),Первоначальный[[#This Row],[Полученный платеж]]+Y1395),
AND(S1395=0,TYPE(VLOOKUP("Да",(INDIRECT("AA"&amp;(MAX((1=Z$12:Z1395)*ROW(Z$12:Z1395),ROW($T$12))&amp;":AA"&amp;(ROW()-1)))),1,0))&lt;&gt;16),MIN(LOOKUP(,-1/($Z$12:Z1396=1),$C$12:C1396)+LOOKUP(,-1/($Z$12:Z1396=1),$H$12:H1396)-IF(AA1395="Да",0,SUM(INDIRECT("T"&amp;(MAX(("Да"=AA$12:AA1395)*ROW(AA$12:AA1395)+1,ROW($T$12))&amp;":T"&amp;(ROW()-1))))),Первоначальный[[#This Row],[Полученный платеж]]+Y1395),
AND(S1395=0,MAX((0&lt;&gt;N$12:N1395)*ROW(N$12:N1395),ROW($S$12))&gt;=MAX((1=Z$12:Z1395)*ROW(Z$12:Z1395),ROW($T$12))),MIN(LOOKUP(,-1/($Z$12:Z1396=1),$C$12:C1396)+LOOKUP(,-1/($Z$12:Z1396=1),$H$12:H1396)-IF(N1395&lt;&gt;0,0,SUM(INDIRECT("T"&amp;(MAX((0&lt;&gt;N$12:N1395)*ROW(N$12:N1395)+1,ROW($T$12))&amp;":T"&amp;(ROW()-1))))),Первоначальный[[#This Row],[Полученный платеж]]+Y1395),
AND(S1395=0,Первоначальный[[#This Row],[Дата платежа из графика]]=1),MIN(LOOKUP(,-1/($Z$12:Z1396=1),$C$12:C1396)+LOOKUP(,-1/($Z$12:Z1396=1),$H$12:H1396)-IF(Z1395=1,0,SUM(INDIRECT("T"&amp;(MAX((1=Z$12:Z1395)*ROW(Z$12:Z1395)+1,ROW($T$12))&amp;":T"&amp;(ROW()-1))))),Первоначальный[[#This Row],[Полученный платеж]]+Y1395),
AND(Z1395&gt;0,Первоначальный[[#This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платеж]]+Y1395),
AND(S1395&gt;0,MAX((0&lt;&gt;S$12:S1395)*ROW(S$12:S1395),ROW($S$12))&gt;=MAX((1=Z$12:Z1395)*ROW(Z$12:Z1395),ROW($T$12)),TYPE(VLOOKUP("Да",(INDIRECT("AA"&amp;(MAX((1=Z$12:Z1395)*ROW(Z$12:Z1395),ROW($T$12))&amp;":AA"&amp;(ROW()-1)))),1,0))=16),MIN(LOOKUP(,-1/($Z$12:Z1396=1),$C$12:C1396)+LOOKUP(,-1/($Z$12:Z1396=1),$H$12:H1396)-SUM(INDIRECT("T"&amp;(MAX((1=Z$12:Z1395)*ROW(Z$12:Z1395),ROW($T$12))&amp;":T"&amp;(ROW()-1)))),Первоначальный[[#This Row],[Полученный платеж]]+Y1395),
S1395&gt;0,MIN(LOOKUP(,-1/($Z$12:Z1396=1),$C$12:C1396)+LOOKUP(,-1/($Z$12:Z1396=1),$H$12:H1396)-IF(Z1395=1,0,SUM(INDIRECT("T"&amp;(MAX((1=Z$12:Z1395)*ROW(Z$12:Z1395)+1,ROW($T$12))&amp;":T"&amp;(ROW()-1))))),Первоначальный[[#This Row],[Полученный платеж]]+Y1395)
)
)
)</f>
        <v>0</v>
      </c>
      <c r="U139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платеж]]+Y1395-Первоначальный[[#This Row],[Полученный платёж по процентам]])</f>
        <v>0</v>
      </c>
      <c r="V1396" s="55">
        <f t="shared" ca="1" si="255"/>
        <v>0</v>
      </c>
      <c r="W1396" s="55" cm="1">
        <f t="array" aca="1" ref="W1396" ca="1">IF(Первоначальный[[#This Row],[Итого остаток на начало периода]]&lt;1,0,
_xlfn.IFS(
AND(TYPE(VLOOKUP(1,$Z$12:Z1396,1,0))=16,Первоначальный[[#This Row],[Досрочное погашение (да/"")]]=""),0,
AND(S1395=0,Первоначальный[[#This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платеж]]+Y1395-SUM(Первоначальный[[#This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комиссиям]]),VLOOKUP(LOOKUP(,-1/($Z$12:Z1396=1),$A$12:A1396),График[[Срок конец]:[Возврат основной суммы долга]],3,0)),
AND(S1395=0,Первоначальный[[#This Row],[Дата платежа из графика]]="",Первоначальный[[#This Row],[Досрочное погашение (да/"")]]&lt;&gt;"Да"),0,
AND(S1395=0,Первоначальный[[#This Row],[Досрочное погашение (да/"")]]=""),MIN(Первоначальный[[#This Row],[Полученный платеж]]+Y1395-SUM(Первоначальный[[#This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комиссиям]]),VLOOKUP(LOOKUP(,-1/($Z$12:Z1396=1),$A$12:A1396),График[[Срок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платеж]]+Y1395-SUM(Первоначальный[[#This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S1395&gt;0,MIN(Первоначальный[[#This Row],[Полученный платеж]]+Y1395-SUM(Первоначальный[[#This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комиссиям]]),SUM(INDIRECT("M"&amp;(MAX((1=S$12:S1395)*ROW(S$12:S1395),ROW($W$12))&amp;":M"&amp;(ROW()))))-SUM(INDIRECT("W"&amp;(MAX((1=S$12:S1395)*ROW(S$12:S1395),ROW($W$12))&amp;":W"&amp;(ROW()-1)))))
)
)</f>
        <v>0</v>
      </c>
      <c r="X1396" s="55">
        <f t="shared" ca="1" si="256"/>
        <v>0</v>
      </c>
      <c r="Y1396" s="101">
        <f t="shared" ca="1" si="263"/>
        <v>0</v>
      </c>
      <c r="Z1396" s="133" t="str">
        <f>IF(TYPE((VLOOKUP(Первоначальный[[#This Row],[Дата платежа]],График[Срок конец],1,0)))=16,"",1)</f>
        <v/>
      </c>
      <c r="AA1396" s="57"/>
      <c r="AB1396" s="134"/>
      <c r="AC139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9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99623.220000000161</v>
      </c>
      <c r="AE139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8160.8000000000147</v>
      </c>
      <c r="AF139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9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407333.68123606581</v>
      </c>
      <c r="AH1396" s="55"/>
      <c r="AI1396" s="55"/>
      <c r="AJ1396" s="55"/>
      <c r="AK1396" s="101">
        <f t="shared" ca="1" si="264"/>
        <v>664751.04123606603</v>
      </c>
      <c r="AL1396" s="129">
        <f t="array" ref="AL1396">MAX((УслРестрактов[Характеристика]="Дата реструктуризации")*(УслРестрактов[Значение]=Первоначальный!$A1396),0)</f>
        <v>0</v>
      </c>
    </row>
    <row r="1397" spans="1:38" x14ac:dyDescent="0.25">
      <c r="A1397" s="97">
        <f t="shared" si="257"/>
        <v>45528</v>
      </c>
      <c r="B1397" s="100">
        <f t="shared" ca="1" si="258"/>
        <v>149633.34</v>
      </c>
      <c r="C1397" s="55">
        <f t="shared" ca="1" si="254"/>
        <v>99623.220000000161</v>
      </c>
      <c r="D1397" s="55">
        <f t="shared" ca="1" si="254"/>
        <v>8160.8000000000147</v>
      </c>
      <c r="E1397" s="55">
        <f t="shared" ca="1" si="259"/>
        <v>0</v>
      </c>
      <c r="F1397" s="55">
        <f t="shared" ca="1" si="260"/>
        <v>407333.68123606581</v>
      </c>
      <c r="G1397" s="101">
        <f t="shared" ca="1" si="261"/>
        <v>664751.04123606603</v>
      </c>
      <c r="H1397" s="100">
        <f ca="1">ROUND($B1397*VLOOKUP($A1397,$A$1:$B$10,2,1)/(365+IF(MOD(YEAR($A1397),4),0,1)*($A1397-$A1396)),2)-Первоначальный[[#This Row],[Проценты на просроченный платеж по ОД за период]]</f>
        <v>67.289999999999992</v>
      </c>
      <c r="I1397" s="55">
        <f t="shared" ca="1" si="262"/>
        <v>14.07</v>
      </c>
      <c r="J1397" s="55">
        <v>0</v>
      </c>
      <c r="K1397" s="55">
        <f t="shared" ca="1" si="265"/>
        <v>622.78850327868849</v>
      </c>
      <c r="L1397" s="55">
        <v>0</v>
      </c>
      <c r="M1397" s="113">
        <f>SUMIFS(График[Возврат основной суммы долга],График[Дата с учетом нерабочих дней],$A1397)</f>
        <v>0</v>
      </c>
      <c r="N1397" s="56">
        <f>SUMIFS(График[Возврат начисленных %],График[Дата с учетом нерабочих дней],$A1397)</f>
        <v>0</v>
      </c>
      <c r="O1397" s="101">
        <v>0</v>
      </c>
      <c r="P1397" s="100" cm="1">
        <f t="array" aca="1" ref="P1397" ca="1">MAX(IF(AA1396="Да",0,SUM(INDIRECT("M"&amp;(MAX(("Да"=AA$12:AA1396)*ROW(AA$12:AA1396)+1,ROW($P$12))&amp;":M"&amp;(ROW()))))-SUM(INDIRECT("W"&amp;(MAX(("Да"=AA$12:AA1396)*ROW(AA$12:AA1396)+1,ROW($P$12))&amp;":W"&amp;(ROW()))))),0)</f>
        <v>25882.119999999995</v>
      </c>
      <c r="Q1397" s="99">
        <f ca="1">MAX(SUM($N$13:N1397)-SUM($T$13:T1397),0)</f>
        <v>98675.580655737693</v>
      </c>
      <c r="R1397" s="99">
        <f ca="1">Первоначальный[[#This Row],[Просроченный платеж по ОД]]+Первоначальный[[#This Row],[Просроченный платеж по процентам]]</f>
        <v>124557.70065573769</v>
      </c>
      <c r="S1397" s="120">
        <f ca="1">IF(Первоначальный[[#This Row],[Просроченный платеж]]&lt;1,0,S1396+1)</f>
        <v>1293</v>
      </c>
      <c r="T1397" s="100" cm="1">
        <f t="array" aca="1" ref="T1397" ca="1">IF(Первоначальный[[#This Row],[Итого остаток на начало периода]]&lt;1,0,
IF(
AND(TYPE(VLOOKUP(1,$Z$12:Z1397,1,0))=16,Первоначальный[[#This Row],[Досрочное погашение (да/"")]]=""),0,
_xlfn.IFS(AND(S1396=0,Первоначальный[[#This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платеж]]&lt;&gt;0),MIN(LOOKUP(,-1/($Z$12:Z1397=1),$C$12:C1397)+LOOKUP(,-1/($Z$12:Z1397=1),$H$12:H1397),Первоначальный[[#This Row],[Полученный платеж]]+Y1396),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платеж]]+Y1396,SUM(Первоначальный[[#This Row],[Остаток процентов на начало периода]],Первоначальный[[#This Row],[Проценты за период]])),
AND(S1396=0,Первоначальный[[#This Row],[Дата платежа из графика]]=""),0,
AND(S1396=0,Первоначальный[[#This Row],[Дата платежа из графика]]=1,MAX((0&lt;&gt;S$12:S1396)*ROW(S$12:S1396),ROW($S$12))&gt;=MAX((1=Z$12:Z1396)*ROW(Z$12:Z1396),ROW($T$12)),TYPE(VLOOKUP("Да",(INDIRECT("AA"&amp;(MAX((1=Z$12:Z1396)*ROW(Z$12:Z1396),ROW($T$12))&amp;":AA"&amp;(ROW()-1)))),1,0))=16),MIN(LOOKUP(,-1/($Z$12:Z1397=1),$C$12:C1397)+LOOKUP(,-1/($Z$12:Z1397=1),$H$12:H1397),Первоначальный[[#This Row],[Полученный платеж]]+Y1396),
AND(S1396=0,TYPE(VLOOKUP("Да",(INDIRECT("AA"&amp;(MAX((1=Z$12:Z1396)*ROW(Z$12:Z1396),ROW($T$12))&amp;":AA"&amp;(ROW()-1)))),1,0))&lt;&gt;16),MIN(LOOKUP(,-1/($Z$12:Z1397=1),$C$12:C1397)+LOOKUP(,-1/($Z$12:Z1397=1),$H$12:H1397)-IF(AA1396="Да",0,SUM(INDIRECT("T"&amp;(MAX(("Да"=AA$12:AA1396)*ROW(AA$12:AA1396)+1,ROW($T$12))&amp;":T"&amp;(ROW()-1))))),Первоначальный[[#This Row],[Полученный платеж]]+Y1396),
AND(S1396=0,MAX((0&lt;&gt;N$12:N1396)*ROW(N$12:N1396),ROW($S$12))&gt;=MAX((1=Z$12:Z1396)*ROW(Z$12:Z1396),ROW($T$12))),MIN(LOOKUP(,-1/($Z$12:Z1397=1),$C$12:C1397)+LOOKUP(,-1/($Z$12:Z1397=1),$H$12:H1397)-IF(N1396&lt;&gt;0,0,SUM(INDIRECT("T"&amp;(MAX((0&lt;&gt;N$12:N1396)*ROW(N$12:N1396)+1,ROW($T$12))&amp;":T"&amp;(ROW()-1))))),Первоначальный[[#This Row],[Полученный платеж]]+Y1396),
AND(S1396=0,Первоначальный[[#This Row],[Дата платежа из графика]]=1),MIN(LOOKUP(,-1/($Z$12:Z1397=1),$C$12:C1397)+LOOKUP(,-1/($Z$12:Z1397=1),$H$12:H1397)-IF(Z1396=1,0,SUM(INDIRECT("T"&amp;(MAX((1=Z$12:Z1396)*ROW(Z$12:Z1396)+1,ROW($T$12))&amp;":T"&amp;(ROW()-1))))),Первоначальный[[#This Row],[Полученный платеж]]+Y1396),
AND(Z1396&gt;0,Первоначальный[[#This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платеж]]+Y1396),
AND(S1396&gt;0,MAX((0&lt;&gt;S$12:S1396)*ROW(S$12:S1396),ROW($S$12))&gt;=MAX((1=Z$12:Z1396)*ROW(Z$12:Z1396),ROW($T$12)),TYPE(VLOOKUP("Да",(INDIRECT("AA"&amp;(MAX((1=Z$12:Z1396)*ROW(Z$12:Z1396),ROW($T$12))&amp;":AA"&amp;(ROW()-1)))),1,0))=16),MIN(LOOKUP(,-1/($Z$12:Z1397=1),$C$12:C1397)+LOOKUP(,-1/($Z$12:Z1397=1),$H$12:H1397)-SUM(INDIRECT("T"&amp;(MAX((1=Z$12:Z1396)*ROW(Z$12:Z1396),ROW($T$12))&amp;":T"&amp;(ROW()-1)))),Первоначальный[[#This Row],[Полученный платеж]]+Y1396),
S1396&gt;0,MIN(LOOKUP(,-1/($Z$12:Z1397=1),$C$12:C1397)+LOOKUP(,-1/($Z$12:Z1397=1),$H$12:H1397)-IF(Z1396=1,0,SUM(INDIRECT("T"&amp;(MAX((1=Z$12:Z1396)*ROW(Z$12:Z1396)+1,ROW($T$12))&amp;":T"&amp;(ROW()-1))))),Первоначальный[[#This Row],[Полученный платеж]]+Y1396)
)
)
)</f>
        <v>0</v>
      </c>
      <c r="U139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платеж]]+Y1396-Первоначальный[[#This Row],[Полученный платёж по процентам]])</f>
        <v>0</v>
      </c>
      <c r="V1397" s="55">
        <f t="shared" ca="1" si="255"/>
        <v>0</v>
      </c>
      <c r="W1397" s="55" cm="1">
        <f t="array" aca="1" ref="W1397" ca="1">IF(Первоначальный[[#This Row],[Итого остаток на начало периода]]&lt;1,0,
_xlfn.IFS(
AND(TYPE(VLOOKUP(1,$Z$12:Z1397,1,0))=16,Первоначальный[[#This Row],[Досрочное погашение (да/"")]]=""),0,
AND(S1396=0,Первоначальный[[#This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платеж]]+Y1396-SUM(Первоначальный[[#This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комиссиям]]),VLOOKUP(LOOKUP(,-1/($Z$12:Z1397=1),$A$12:A1397),График[[Срок конец]:[Возврат основной суммы долга]],3,0)),
AND(S1396=0,Первоначальный[[#This Row],[Дата платежа из графика]]="",Первоначальный[[#This Row],[Досрочное погашение (да/"")]]&lt;&gt;"Да"),0,
AND(S1396=0,Первоначальный[[#This Row],[Досрочное погашение (да/"")]]=""),MIN(Первоначальный[[#This Row],[Полученный платеж]]+Y1396-SUM(Первоначальный[[#This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комиссиям]]),VLOOKUP(LOOKUP(,-1/($Z$12:Z1397=1),$A$12:A1397),График[[Срок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платеж]]+Y1396-SUM(Первоначальный[[#This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S1396&gt;0,MIN(Первоначальный[[#This Row],[Полученный платеж]]+Y1396-SUM(Первоначальный[[#This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комиссиям]]),SUM(INDIRECT("M"&amp;(MAX((1=S$12:S1396)*ROW(S$12:S1396),ROW($W$12))&amp;":M"&amp;(ROW()))))-SUM(INDIRECT("W"&amp;(MAX((1=S$12:S1396)*ROW(S$12:S1396),ROW($W$12))&amp;":W"&amp;(ROW()-1)))))
)
)</f>
        <v>0</v>
      </c>
      <c r="X1397" s="55">
        <f t="shared" ca="1" si="256"/>
        <v>0</v>
      </c>
      <c r="Y1397" s="101">
        <f t="shared" ca="1" si="263"/>
        <v>0</v>
      </c>
      <c r="Z1397" s="133" t="str">
        <f>IF(TYPE((VLOOKUP(Первоначальный[[#This Row],[Дата платежа]],График[Срок конец],1,0)))=16,"",1)</f>
        <v/>
      </c>
      <c r="AA1397" s="57"/>
      <c r="AB1397" s="134"/>
      <c r="AC139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9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99690.510000000155</v>
      </c>
      <c r="AE139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8174.8700000000144</v>
      </c>
      <c r="AF139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9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407956.46973934449</v>
      </c>
      <c r="AH1397" s="55"/>
      <c r="AI1397" s="55"/>
      <c r="AJ1397" s="55"/>
      <c r="AK1397" s="101">
        <f t="shared" ca="1" si="264"/>
        <v>665455.18973934464</v>
      </c>
      <c r="AL1397" s="129">
        <f t="array" ref="AL1397">MAX((УслРестрактов[Характеристика]="Дата реструктуризации")*(УслРестрактов[Значение]=Первоначальный!$A1397),0)</f>
        <v>0</v>
      </c>
    </row>
    <row r="1398" spans="1:38" x14ac:dyDescent="0.25">
      <c r="A1398" s="97">
        <f t="shared" si="257"/>
        <v>45529</v>
      </c>
      <c r="B1398" s="100">
        <f t="shared" ca="1" si="258"/>
        <v>149633.34</v>
      </c>
      <c r="C1398" s="55">
        <f t="shared" ca="1" si="254"/>
        <v>99690.510000000155</v>
      </c>
      <c r="D1398" s="55">
        <f t="shared" ca="1" si="254"/>
        <v>8174.8700000000144</v>
      </c>
      <c r="E1398" s="55">
        <f t="shared" ca="1" si="259"/>
        <v>0</v>
      </c>
      <c r="F1398" s="55">
        <f t="shared" ca="1" si="260"/>
        <v>407956.46973934449</v>
      </c>
      <c r="G1398" s="101">
        <f t="shared" ca="1" si="261"/>
        <v>665455.18973934464</v>
      </c>
      <c r="H1398" s="100">
        <f ca="1">ROUND($B1398*VLOOKUP($A1398,$A$1:$B$10,2,1)/(365+IF(MOD(YEAR($A1398),4),0,1)*($A1398-$A1397)),2)-Первоначальный[[#This Row],[Проценты на просроченный платеж по ОД за период]]</f>
        <v>67.289999999999992</v>
      </c>
      <c r="I1398" s="55">
        <f t="shared" ca="1" si="262"/>
        <v>14.07</v>
      </c>
      <c r="J1398" s="55">
        <v>0</v>
      </c>
      <c r="K1398" s="55">
        <f t="shared" ca="1" si="265"/>
        <v>622.78850327868849</v>
      </c>
      <c r="L1398" s="55">
        <v>0</v>
      </c>
      <c r="M1398" s="113">
        <f>SUMIFS(График[Возврат основной суммы долга],График[Дата с учетом нерабочих дней],$A1398)</f>
        <v>0</v>
      </c>
      <c r="N1398" s="56">
        <f>SUMIFS(График[Возврат начисленных %],График[Дата с учетом нерабочих дней],$A1398)</f>
        <v>0</v>
      </c>
      <c r="O1398" s="101">
        <v>0</v>
      </c>
      <c r="P1398" s="100" cm="1">
        <f t="array" aca="1" ref="P1398" ca="1">MAX(IF(AA1397="Да",0,SUM(INDIRECT("M"&amp;(MAX(("Да"=AA$12:AA1397)*ROW(AA$12:AA1397)+1,ROW($P$12))&amp;":M"&amp;(ROW()))))-SUM(INDIRECT("W"&amp;(MAX(("Да"=AA$12:AA1397)*ROW(AA$12:AA1397)+1,ROW($P$12))&amp;":W"&amp;(ROW()))))),0)</f>
        <v>25882.119999999995</v>
      </c>
      <c r="Q1398" s="99">
        <f ca="1">MAX(SUM($N$13:N1398)-SUM($T$13:T1398),0)</f>
        <v>98675.580655737693</v>
      </c>
      <c r="R1398" s="99">
        <f ca="1">Первоначальный[[#This Row],[Просроченный платеж по ОД]]+Первоначальный[[#This Row],[Просроченный платеж по процентам]]</f>
        <v>124557.70065573769</v>
      </c>
      <c r="S1398" s="120">
        <f ca="1">IF(Первоначальный[[#This Row],[Просроченный платеж]]&lt;1,0,S1397+1)</f>
        <v>1294</v>
      </c>
      <c r="T1398" s="100" cm="1">
        <f t="array" aca="1" ref="T1398" ca="1">IF(Первоначальный[[#This Row],[Итого остаток на начало периода]]&lt;1,0,
IF(
AND(TYPE(VLOOKUP(1,$Z$12:Z1398,1,0))=16,Первоначальный[[#This Row],[Досрочное погашение (да/"")]]=""),0,
_xlfn.IFS(AND(S1397=0,Первоначальный[[#This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платеж]]&lt;&gt;0),MIN(LOOKUP(,-1/($Z$12:Z1398=1),$C$12:C1398)+LOOKUP(,-1/($Z$12:Z1398=1),$H$12:H1398),Первоначальный[[#This Row],[Полученный платеж]]+Y1397),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платеж]]+Y1397,SUM(Первоначальный[[#This Row],[Остаток процентов на начало периода]],Первоначальный[[#This Row],[Проценты за период]])),
AND(S1397=0,Первоначальный[[#This Row],[Дата платежа из графика]]=""),0,
AND(S1397=0,Первоначальный[[#This Row],[Дата платежа из графика]]=1,MAX((0&lt;&gt;S$12:S1397)*ROW(S$12:S1397),ROW($S$12))&gt;=MAX((1=Z$12:Z1397)*ROW(Z$12:Z1397),ROW($T$12)),TYPE(VLOOKUP("Да",(INDIRECT("AA"&amp;(MAX((1=Z$12:Z1397)*ROW(Z$12:Z1397),ROW($T$12))&amp;":AA"&amp;(ROW()-1)))),1,0))=16),MIN(LOOKUP(,-1/($Z$12:Z1398=1),$C$12:C1398)+LOOKUP(,-1/($Z$12:Z1398=1),$H$12:H1398),Первоначальный[[#This Row],[Полученный платеж]]+Y1397),
AND(S1397=0,TYPE(VLOOKUP("Да",(INDIRECT("AA"&amp;(MAX((1=Z$12:Z1397)*ROW(Z$12:Z1397),ROW($T$12))&amp;":AA"&amp;(ROW()-1)))),1,0))&lt;&gt;16),MIN(LOOKUP(,-1/($Z$12:Z1398=1),$C$12:C1398)+LOOKUP(,-1/($Z$12:Z1398=1),$H$12:H1398)-IF(AA1397="Да",0,SUM(INDIRECT("T"&amp;(MAX(("Да"=AA$12:AA1397)*ROW(AA$12:AA1397)+1,ROW($T$12))&amp;":T"&amp;(ROW()-1))))),Первоначальный[[#This Row],[Полученный платеж]]+Y1397),
AND(S1397=0,MAX((0&lt;&gt;N$12:N1397)*ROW(N$12:N1397),ROW($S$12))&gt;=MAX((1=Z$12:Z1397)*ROW(Z$12:Z1397),ROW($T$12))),MIN(LOOKUP(,-1/($Z$12:Z1398=1),$C$12:C1398)+LOOKUP(,-1/($Z$12:Z1398=1),$H$12:H1398)-IF(N1397&lt;&gt;0,0,SUM(INDIRECT("T"&amp;(MAX((0&lt;&gt;N$12:N1397)*ROW(N$12:N1397)+1,ROW($T$12))&amp;":T"&amp;(ROW()-1))))),Первоначальный[[#This Row],[Полученный платеж]]+Y1397),
AND(S1397=0,Первоначальный[[#This Row],[Дата платежа из графика]]=1),MIN(LOOKUP(,-1/($Z$12:Z1398=1),$C$12:C1398)+LOOKUP(,-1/($Z$12:Z1398=1),$H$12:H1398)-IF(Z1397=1,0,SUM(INDIRECT("T"&amp;(MAX((1=Z$12:Z1397)*ROW(Z$12:Z1397)+1,ROW($T$12))&amp;":T"&amp;(ROW()-1))))),Первоначальный[[#This Row],[Полученный платеж]]+Y1397),
AND(Z1397&gt;0,Первоначальный[[#This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платеж]]+Y1397),
AND(S1397&gt;0,MAX((0&lt;&gt;S$12:S1397)*ROW(S$12:S1397),ROW($S$12))&gt;=MAX((1=Z$12:Z1397)*ROW(Z$12:Z1397),ROW($T$12)),TYPE(VLOOKUP("Да",(INDIRECT("AA"&amp;(MAX((1=Z$12:Z1397)*ROW(Z$12:Z1397),ROW($T$12))&amp;":AA"&amp;(ROW()-1)))),1,0))=16),MIN(LOOKUP(,-1/($Z$12:Z1398=1),$C$12:C1398)+LOOKUP(,-1/($Z$12:Z1398=1),$H$12:H1398)-SUM(INDIRECT("T"&amp;(MAX((1=Z$12:Z1397)*ROW(Z$12:Z1397),ROW($T$12))&amp;":T"&amp;(ROW()-1)))),Первоначальный[[#This Row],[Полученный платеж]]+Y1397),
S1397&gt;0,MIN(LOOKUP(,-1/($Z$12:Z1398=1),$C$12:C1398)+LOOKUP(,-1/($Z$12:Z1398=1),$H$12:H1398)-IF(Z1397=1,0,SUM(INDIRECT("T"&amp;(MAX((1=Z$12:Z1397)*ROW(Z$12:Z1397)+1,ROW($T$12))&amp;":T"&amp;(ROW()-1))))),Первоначальный[[#This Row],[Полученный платеж]]+Y1397)
)
)
)</f>
        <v>0</v>
      </c>
      <c r="U139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платеж]]+Y1397-Первоначальный[[#This Row],[Полученный платёж по процентам]])</f>
        <v>0</v>
      </c>
      <c r="V1398" s="55">
        <f t="shared" ca="1" si="255"/>
        <v>0</v>
      </c>
      <c r="W1398" s="55" cm="1">
        <f t="array" aca="1" ref="W1398" ca="1">IF(Первоначальный[[#This Row],[Итого остаток на начало периода]]&lt;1,0,
_xlfn.IFS(
AND(TYPE(VLOOKUP(1,$Z$12:Z1398,1,0))=16,Первоначальный[[#This Row],[Досрочное погашение (да/"")]]=""),0,
AND(S1397=0,Первоначальный[[#This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платеж]]+Y1397-SUM(Первоначальный[[#This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комиссиям]]),VLOOKUP(LOOKUP(,-1/($Z$12:Z1398=1),$A$12:A1398),График[[Срок конец]:[Возврат основной суммы долга]],3,0)),
AND(S1397=0,Первоначальный[[#This Row],[Дата платежа из графика]]="",Первоначальный[[#This Row],[Досрочное погашение (да/"")]]&lt;&gt;"Да"),0,
AND(S1397=0,Первоначальный[[#This Row],[Досрочное погашение (да/"")]]=""),MIN(Первоначальный[[#This Row],[Полученный платеж]]+Y1397-SUM(Первоначальный[[#This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комиссиям]]),VLOOKUP(LOOKUP(,-1/($Z$12:Z1398=1),$A$12:A1398),График[[Срок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платеж]]+Y1397-SUM(Первоначальный[[#This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S1397&gt;0,MIN(Первоначальный[[#This Row],[Полученный платеж]]+Y1397-SUM(Первоначальный[[#This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комиссиям]]),SUM(INDIRECT("M"&amp;(MAX((1=S$12:S1397)*ROW(S$12:S1397),ROW($W$12))&amp;":M"&amp;(ROW()))))-SUM(INDIRECT("W"&amp;(MAX((1=S$12:S1397)*ROW(S$12:S1397),ROW($W$12))&amp;":W"&amp;(ROW()-1)))))
)
)</f>
        <v>0</v>
      </c>
      <c r="X1398" s="55">
        <f t="shared" ca="1" si="256"/>
        <v>0</v>
      </c>
      <c r="Y1398" s="101">
        <f t="shared" ca="1" si="263"/>
        <v>0</v>
      </c>
      <c r="Z1398" s="133" t="str">
        <f>IF(TYPE((VLOOKUP(Первоначальный[[#This Row],[Дата платежа]],График[Срок конец],1,0)))=16,"",1)</f>
        <v/>
      </c>
      <c r="AA1398" s="57"/>
      <c r="AB1398" s="134"/>
      <c r="AC139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9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99757.800000000148</v>
      </c>
      <c r="AE139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8188.9400000000142</v>
      </c>
      <c r="AF139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9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408579.25824262318</v>
      </c>
      <c r="AH1398" s="55"/>
      <c r="AI1398" s="55"/>
      <c r="AJ1398" s="55"/>
      <c r="AK1398" s="101">
        <f t="shared" ca="1" si="264"/>
        <v>666159.33824262326</v>
      </c>
      <c r="AL1398" s="129">
        <f t="array" ref="AL1398">MAX((УслРестрактов[Характеристика]="Дата реструктуризации")*(УслРестрактов[Значение]=Первоначальный!$A1398),0)</f>
        <v>0</v>
      </c>
    </row>
    <row r="1399" spans="1:38" x14ac:dyDescent="0.25">
      <c r="A1399" s="97">
        <f t="shared" si="257"/>
        <v>45530</v>
      </c>
      <c r="B1399" s="100">
        <f t="shared" ca="1" si="258"/>
        <v>149633.34</v>
      </c>
      <c r="C1399" s="55">
        <f t="shared" ca="1" si="254"/>
        <v>99757.800000000148</v>
      </c>
      <c r="D1399" s="55">
        <f t="shared" ca="1" si="254"/>
        <v>8188.9400000000142</v>
      </c>
      <c r="E1399" s="55">
        <f t="shared" ca="1" si="259"/>
        <v>0</v>
      </c>
      <c r="F1399" s="55">
        <f t="shared" ca="1" si="260"/>
        <v>408579.25824262318</v>
      </c>
      <c r="G1399" s="101">
        <f t="shared" ca="1" si="261"/>
        <v>666159.33824262326</v>
      </c>
      <c r="H1399" s="100">
        <f ca="1">ROUND($B1399*VLOOKUP($A1399,$A$1:$B$10,2,1)/(365+IF(MOD(YEAR($A1399),4),0,1)*($A1399-$A1398)),2)-Первоначальный[[#This Row],[Проценты на просроченный платеж по ОД за период]]</f>
        <v>67.289999999999992</v>
      </c>
      <c r="I1399" s="55">
        <f t="shared" ca="1" si="262"/>
        <v>14.07</v>
      </c>
      <c r="J1399" s="55">
        <v>0</v>
      </c>
      <c r="K1399" s="55">
        <f t="shared" ca="1" si="265"/>
        <v>622.78850327868849</v>
      </c>
      <c r="L1399" s="55">
        <v>0</v>
      </c>
      <c r="M1399" s="113">
        <f>SUMIFS(График[Возврат основной суммы долга],График[Дата с учетом нерабочих дней],$A1399)</f>
        <v>0</v>
      </c>
      <c r="N1399" s="56">
        <f>SUMIFS(График[Возврат начисленных %],График[Дата с учетом нерабочих дней],$A1399)</f>
        <v>0</v>
      </c>
      <c r="O1399" s="101">
        <v>0</v>
      </c>
      <c r="P1399" s="100" cm="1">
        <f t="array" aca="1" ref="P1399" ca="1">MAX(IF(AA1398="Да",0,SUM(INDIRECT("M"&amp;(MAX(("Да"=AA$12:AA1398)*ROW(AA$12:AA1398)+1,ROW($P$12))&amp;":M"&amp;(ROW()))))-SUM(INDIRECT("W"&amp;(MAX(("Да"=AA$12:AA1398)*ROW(AA$12:AA1398)+1,ROW($P$12))&amp;":W"&amp;(ROW()))))),0)</f>
        <v>25882.119999999995</v>
      </c>
      <c r="Q1399" s="99">
        <f ca="1">MAX(SUM($N$13:N1399)-SUM($T$13:T1399),0)</f>
        <v>98675.580655737693</v>
      </c>
      <c r="R1399" s="99">
        <f ca="1">Первоначальный[[#This Row],[Просроченный платеж по ОД]]+Первоначальный[[#This Row],[Просроченный платеж по процентам]]</f>
        <v>124557.70065573769</v>
      </c>
      <c r="S1399" s="120">
        <f ca="1">IF(Первоначальный[[#This Row],[Просроченный платеж]]&lt;1,0,S1398+1)</f>
        <v>1295</v>
      </c>
      <c r="T1399" s="100" cm="1">
        <f t="array" aca="1" ref="T1399" ca="1">IF(Первоначальный[[#This Row],[Итого остаток на начало периода]]&lt;1,0,
IF(
AND(TYPE(VLOOKUP(1,$Z$12:Z1399,1,0))=16,Первоначальный[[#This Row],[Досрочное погашение (да/"")]]=""),0,
_xlfn.IFS(AND(S1398=0,Первоначальный[[#This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платеж]]&lt;&gt;0),MIN(LOOKUP(,-1/($Z$12:Z1399=1),$C$12:C1399)+LOOKUP(,-1/($Z$12:Z1399=1),$H$12:H1399),Первоначальный[[#This Row],[Полученный платеж]]+Y1398),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платеж]]+Y1398,SUM(Первоначальный[[#This Row],[Остаток процентов на начало периода]],Первоначальный[[#This Row],[Проценты за период]])),
AND(S1398=0,Первоначальный[[#This Row],[Дата платежа из графика]]=""),0,
AND(S1398=0,Первоначальный[[#This Row],[Дата платежа из графика]]=1,MAX((0&lt;&gt;S$12:S1398)*ROW(S$12:S1398),ROW($S$12))&gt;=MAX((1=Z$12:Z1398)*ROW(Z$12:Z1398),ROW($T$12)),TYPE(VLOOKUP("Да",(INDIRECT("AA"&amp;(MAX((1=Z$12:Z1398)*ROW(Z$12:Z1398),ROW($T$12))&amp;":AA"&amp;(ROW()-1)))),1,0))=16),MIN(LOOKUP(,-1/($Z$12:Z1399=1),$C$12:C1399)+LOOKUP(,-1/($Z$12:Z1399=1),$H$12:H1399),Первоначальный[[#This Row],[Полученный платеж]]+Y1398),
AND(S1398=0,TYPE(VLOOKUP("Да",(INDIRECT("AA"&amp;(MAX((1=Z$12:Z1398)*ROW(Z$12:Z1398),ROW($T$12))&amp;":AA"&amp;(ROW()-1)))),1,0))&lt;&gt;16),MIN(LOOKUP(,-1/($Z$12:Z1399=1),$C$12:C1399)+LOOKUP(,-1/($Z$12:Z1399=1),$H$12:H1399)-IF(AA1398="Да",0,SUM(INDIRECT("T"&amp;(MAX(("Да"=AA$12:AA1398)*ROW(AA$12:AA1398)+1,ROW($T$12))&amp;":T"&amp;(ROW()-1))))),Первоначальный[[#This Row],[Полученный платеж]]+Y1398),
AND(S1398=0,MAX((0&lt;&gt;N$12:N1398)*ROW(N$12:N1398),ROW($S$12))&gt;=MAX((1=Z$12:Z1398)*ROW(Z$12:Z1398),ROW($T$12))),MIN(LOOKUP(,-1/($Z$12:Z1399=1),$C$12:C1399)+LOOKUP(,-1/($Z$12:Z1399=1),$H$12:H1399)-IF(N1398&lt;&gt;0,0,SUM(INDIRECT("T"&amp;(MAX((0&lt;&gt;N$12:N1398)*ROW(N$12:N1398)+1,ROW($T$12))&amp;":T"&amp;(ROW()-1))))),Первоначальный[[#This Row],[Полученный платеж]]+Y1398),
AND(S1398=0,Первоначальный[[#This Row],[Дата платежа из графика]]=1),MIN(LOOKUP(,-1/($Z$12:Z1399=1),$C$12:C1399)+LOOKUP(,-1/($Z$12:Z1399=1),$H$12:H1399)-IF(Z1398=1,0,SUM(INDIRECT("T"&amp;(MAX((1=Z$12:Z1398)*ROW(Z$12:Z1398)+1,ROW($T$12))&amp;":T"&amp;(ROW()-1))))),Первоначальный[[#This Row],[Полученный платеж]]+Y1398),
AND(Z1398&gt;0,Первоначальный[[#This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платеж]]+Y1398),
AND(S1398&gt;0,MAX((0&lt;&gt;S$12:S1398)*ROW(S$12:S1398),ROW($S$12))&gt;=MAX((1=Z$12:Z1398)*ROW(Z$12:Z1398),ROW($T$12)),TYPE(VLOOKUP("Да",(INDIRECT("AA"&amp;(MAX((1=Z$12:Z1398)*ROW(Z$12:Z1398),ROW($T$12))&amp;":AA"&amp;(ROW()-1)))),1,0))=16),MIN(LOOKUP(,-1/($Z$12:Z1399=1),$C$12:C1399)+LOOKUP(,-1/($Z$12:Z1399=1),$H$12:H1399)-SUM(INDIRECT("T"&amp;(MAX((1=Z$12:Z1398)*ROW(Z$12:Z1398),ROW($T$12))&amp;":T"&amp;(ROW()-1)))),Первоначальный[[#This Row],[Полученный платеж]]+Y1398),
S1398&gt;0,MIN(LOOKUP(,-1/($Z$12:Z1399=1),$C$12:C1399)+LOOKUP(,-1/($Z$12:Z1399=1),$H$12:H1399)-IF(Z1398=1,0,SUM(INDIRECT("T"&amp;(MAX((1=Z$12:Z1398)*ROW(Z$12:Z1398)+1,ROW($T$12))&amp;":T"&amp;(ROW()-1))))),Первоначальный[[#This Row],[Полученный платеж]]+Y1398)
)
)
)</f>
        <v>0</v>
      </c>
      <c r="U139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платеж]]+Y1398-Первоначальный[[#This Row],[Полученный платёж по процентам]])</f>
        <v>0</v>
      </c>
      <c r="V1399" s="55">
        <f t="shared" ca="1" si="255"/>
        <v>0</v>
      </c>
      <c r="W1399" s="55" cm="1">
        <f t="array" aca="1" ref="W1399" ca="1">IF(Первоначальный[[#This Row],[Итого остаток на начало периода]]&lt;1,0,
_xlfn.IFS(
AND(TYPE(VLOOKUP(1,$Z$12:Z1399,1,0))=16,Первоначальный[[#This Row],[Досрочное погашение (да/"")]]=""),0,
AND(S1398=0,Первоначальный[[#This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платеж]]+Y1398-SUM(Первоначальный[[#This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комиссиям]]),VLOOKUP(LOOKUP(,-1/($Z$12:Z1399=1),$A$12:A1399),График[[Срок конец]:[Возврат основной суммы долга]],3,0)),
AND(S1398=0,Первоначальный[[#This Row],[Дата платежа из графика]]="",Первоначальный[[#This Row],[Досрочное погашение (да/"")]]&lt;&gt;"Да"),0,
AND(S1398=0,Первоначальный[[#This Row],[Досрочное погашение (да/"")]]=""),MIN(Первоначальный[[#This Row],[Полученный платеж]]+Y1398-SUM(Первоначальный[[#This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комиссиям]]),VLOOKUP(LOOKUP(,-1/($Z$12:Z1399=1),$A$12:A1399),График[[Срок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платеж]]+Y1398-SUM(Первоначальный[[#This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S1398&gt;0,MIN(Первоначальный[[#This Row],[Полученный платеж]]+Y1398-SUM(Первоначальный[[#This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комиссиям]]),SUM(INDIRECT("M"&amp;(MAX((1=S$12:S1398)*ROW(S$12:S1398),ROW($W$12))&amp;":M"&amp;(ROW()))))-SUM(INDIRECT("W"&amp;(MAX((1=S$12:S1398)*ROW(S$12:S1398),ROW($W$12))&amp;":W"&amp;(ROW()-1)))))
)
)</f>
        <v>0</v>
      </c>
      <c r="X1399" s="55">
        <f t="shared" ca="1" si="256"/>
        <v>0</v>
      </c>
      <c r="Y1399" s="101">
        <f t="shared" ca="1" si="263"/>
        <v>0</v>
      </c>
      <c r="Z1399" s="133" t="str">
        <f>IF(TYPE((VLOOKUP(Первоначальный[[#This Row],[Дата платежа]],График[Срок конец],1,0)))=16,"",1)</f>
        <v/>
      </c>
      <c r="AA1399" s="57"/>
      <c r="AB1399" s="134"/>
      <c r="AC139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39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99825.090000000142</v>
      </c>
      <c r="AE139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8203.0100000000148</v>
      </c>
      <c r="AF139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39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409202.04674590187</v>
      </c>
      <c r="AH1399" s="55"/>
      <c r="AI1399" s="55"/>
      <c r="AJ1399" s="55"/>
      <c r="AK1399" s="101">
        <f t="shared" ca="1" si="264"/>
        <v>666863.48674590199</v>
      </c>
      <c r="AL1399" s="129">
        <f t="array" ref="AL1399">MAX((УслРестрактов[Характеристика]="Дата реструктуризации")*(УслРестрактов[Значение]=Первоначальный!$A1399),0)</f>
        <v>0</v>
      </c>
    </row>
    <row r="1400" spans="1:38" x14ac:dyDescent="0.25">
      <c r="A1400" s="97">
        <f t="shared" si="257"/>
        <v>45531</v>
      </c>
      <c r="B1400" s="100">
        <f t="shared" ca="1" si="258"/>
        <v>149633.34</v>
      </c>
      <c r="C1400" s="55">
        <f t="shared" ca="1" si="254"/>
        <v>99825.090000000142</v>
      </c>
      <c r="D1400" s="55">
        <f t="shared" ca="1" si="254"/>
        <v>8203.0100000000148</v>
      </c>
      <c r="E1400" s="55">
        <f t="shared" ca="1" si="259"/>
        <v>0</v>
      </c>
      <c r="F1400" s="55">
        <f t="shared" ca="1" si="260"/>
        <v>409202.04674590187</v>
      </c>
      <c r="G1400" s="101">
        <f t="shared" ca="1" si="261"/>
        <v>666863.48674590199</v>
      </c>
      <c r="H1400" s="100">
        <f ca="1">ROUND($B1400*VLOOKUP($A1400,$A$1:$B$10,2,1)/(365+IF(MOD(YEAR($A1400),4),0,1)*($A1400-$A1399)),2)-Первоначальный[[#This Row],[Проценты на просроченный платеж по ОД за период]]</f>
        <v>67.289999999999992</v>
      </c>
      <c r="I1400" s="55">
        <f t="shared" ca="1" si="262"/>
        <v>14.07</v>
      </c>
      <c r="J1400" s="55">
        <v>0</v>
      </c>
      <c r="K1400" s="55">
        <f t="shared" ca="1" si="265"/>
        <v>622.78850327868849</v>
      </c>
      <c r="L1400" s="55">
        <v>0</v>
      </c>
      <c r="M1400" s="113">
        <f>SUMIFS(График[Возврат основной суммы долга],График[Дата с учетом нерабочих дней],$A1400)</f>
        <v>0</v>
      </c>
      <c r="N1400" s="56">
        <f>SUMIFS(График[Возврат начисленных %],График[Дата с учетом нерабочих дней],$A1400)</f>
        <v>0</v>
      </c>
      <c r="O1400" s="101">
        <v>0</v>
      </c>
      <c r="P1400" s="100" cm="1">
        <f t="array" aca="1" ref="P1400" ca="1">MAX(IF(AA1399="Да",0,SUM(INDIRECT("M"&amp;(MAX(("Да"=AA$12:AA1399)*ROW(AA$12:AA1399)+1,ROW($P$12))&amp;":M"&amp;(ROW()))))-SUM(INDIRECT("W"&amp;(MAX(("Да"=AA$12:AA1399)*ROW(AA$12:AA1399)+1,ROW($P$12))&amp;":W"&amp;(ROW()))))),0)</f>
        <v>25882.119999999995</v>
      </c>
      <c r="Q1400" s="99">
        <f ca="1">MAX(SUM($N$13:N1400)-SUM($T$13:T1400),0)</f>
        <v>98675.580655737693</v>
      </c>
      <c r="R1400" s="99">
        <f ca="1">Первоначальный[[#This Row],[Просроченный платеж по ОД]]+Первоначальный[[#This Row],[Просроченный платеж по процентам]]</f>
        <v>124557.70065573769</v>
      </c>
      <c r="S1400" s="120">
        <f ca="1">IF(Первоначальный[[#This Row],[Просроченный платеж]]&lt;1,0,S1399+1)</f>
        <v>1296</v>
      </c>
      <c r="T1400" s="100" cm="1">
        <f t="array" aca="1" ref="T1400" ca="1">IF(Первоначальный[[#This Row],[Итого остаток на начало периода]]&lt;1,0,
IF(
AND(TYPE(VLOOKUP(1,$Z$12:Z1400,1,0))=16,Первоначальный[[#This Row],[Досрочное погашение (да/"")]]=""),0,
_xlfn.IFS(AND(S1399=0,Первоначальный[[#This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платеж]]&lt;&gt;0),MIN(LOOKUP(,-1/($Z$12:Z1400=1),$C$12:C1400)+LOOKUP(,-1/($Z$12:Z1400=1),$H$12:H1400),Первоначальный[[#This Row],[Полученный платеж]]+Y1399),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платеж]]+Y1399,SUM(Первоначальный[[#This Row],[Остаток процентов на начало периода]],Первоначальный[[#This Row],[Проценты за период]])),
AND(S1399=0,Первоначальный[[#This Row],[Дата платежа из графика]]=""),0,
AND(S1399=0,Первоначальный[[#This Row],[Дата платежа из графика]]=1,MAX((0&lt;&gt;S$12:S1399)*ROW(S$12:S1399),ROW($S$12))&gt;=MAX((1=Z$12:Z1399)*ROW(Z$12:Z1399),ROW($T$12)),TYPE(VLOOKUP("Да",(INDIRECT("AA"&amp;(MAX((1=Z$12:Z1399)*ROW(Z$12:Z1399),ROW($T$12))&amp;":AA"&amp;(ROW()-1)))),1,0))=16),MIN(LOOKUP(,-1/($Z$12:Z1400=1),$C$12:C1400)+LOOKUP(,-1/($Z$12:Z1400=1),$H$12:H1400),Первоначальный[[#This Row],[Полученный платеж]]+Y1399),
AND(S1399=0,TYPE(VLOOKUP("Да",(INDIRECT("AA"&amp;(MAX((1=Z$12:Z1399)*ROW(Z$12:Z1399),ROW($T$12))&amp;":AA"&amp;(ROW()-1)))),1,0))&lt;&gt;16),MIN(LOOKUP(,-1/($Z$12:Z1400=1),$C$12:C1400)+LOOKUP(,-1/($Z$12:Z1400=1),$H$12:H1400)-IF(AA1399="Да",0,SUM(INDIRECT("T"&amp;(MAX(("Да"=AA$12:AA1399)*ROW(AA$12:AA1399)+1,ROW($T$12))&amp;":T"&amp;(ROW()-1))))),Первоначальный[[#This Row],[Полученный платеж]]+Y1399),
AND(S1399=0,MAX((0&lt;&gt;N$12:N1399)*ROW(N$12:N1399),ROW($S$12))&gt;=MAX((1=Z$12:Z1399)*ROW(Z$12:Z1399),ROW($T$12))),MIN(LOOKUP(,-1/($Z$12:Z1400=1),$C$12:C1400)+LOOKUP(,-1/($Z$12:Z1400=1),$H$12:H1400)-IF(N1399&lt;&gt;0,0,SUM(INDIRECT("T"&amp;(MAX((0&lt;&gt;N$12:N1399)*ROW(N$12:N1399)+1,ROW($T$12))&amp;":T"&amp;(ROW()-1))))),Первоначальный[[#This Row],[Полученный платеж]]+Y1399),
AND(S1399=0,Первоначальный[[#This Row],[Дата платежа из графика]]=1),MIN(LOOKUP(,-1/($Z$12:Z1400=1),$C$12:C1400)+LOOKUP(,-1/($Z$12:Z1400=1),$H$12:H1400)-IF(Z1399=1,0,SUM(INDIRECT("T"&amp;(MAX((1=Z$12:Z1399)*ROW(Z$12:Z1399)+1,ROW($T$12))&amp;":T"&amp;(ROW()-1))))),Первоначальный[[#This Row],[Полученный платеж]]+Y1399),
AND(Z1399&gt;0,Первоначальный[[#This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платеж]]+Y1399),
AND(S1399&gt;0,MAX((0&lt;&gt;S$12:S1399)*ROW(S$12:S1399),ROW($S$12))&gt;=MAX((1=Z$12:Z1399)*ROW(Z$12:Z1399),ROW($T$12)),TYPE(VLOOKUP("Да",(INDIRECT("AA"&amp;(MAX((1=Z$12:Z1399)*ROW(Z$12:Z1399),ROW($T$12))&amp;":AA"&amp;(ROW()-1)))),1,0))=16),MIN(LOOKUP(,-1/($Z$12:Z1400=1),$C$12:C1400)+LOOKUP(,-1/($Z$12:Z1400=1),$H$12:H1400)-SUM(INDIRECT("T"&amp;(MAX((1=Z$12:Z1399)*ROW(Z$12:Z1399),ROW($T$12))&amp;":T"&amp;(ROW()-1)))),Первоначальный[[#This Row],[Полученный платеж]]+Y1399),
S1399&gt;0,MIN(LOOKUP(,-1/($Z$12:Z1400=1),$C$12:C1400)+LOOKUP(,-1/($Z$12:Z1400=1),$H$12:H1400)-IF(Z1399=1,0,SUM(INDIRECT("T"&amp;(MAX((1=Z$12:Z1399)*ROW(Z$12:Z1399)+1,ROW($T$12))&amp;":T"&amp;(ROW()-1))))),Первоначальный[[#This Row],[Полученный платеж]]+Y1399)
)
)
)</f>
        <v>0</v>
      </c>
      <c r="U140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платеж]]+Y1399-Первоначальный[[#This Row],[Полученный платёж по процентам]])</f>
        <v>0</v>
      </c>
      <c r="V1400" s="55">
        <f t="shared" ca="1" si="255"/>
        <v>0</v>
      </c>
      <c r="W1400" s="55" cm="1">
        <f t="array" aca="1" ref="W1400" ca="1">IF(Первоначальный[[#This Row],[Итого остаток на начало периода]]&lt;1,0,
_xlfn.IFS(
AND(TYPE(VLOOKUP(1,$Z$12:Z1400,1,0))=16,Первоначальный[[#This Row],[Досрочное погашение (да/"")]]=""),0,
AND(S1399=0,Первоначальный[[#This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платеж]]+Y1399-SUM(Первоначальный[[#This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комиссиям]]),VLOOKUP(LOOKUP(,-1/($Z$12:Z1400=1),$A$12:A1400),График[[Срок конец]:[Возврат основной суммы долга]],3,0)),
AND(S1399=0,Первоначальный[[#This Row],[Дата платежа из графика]]="",Первоначальный[[#This Row],[Досрочное погашение (да/"")]]&lt;&gt;"Да"),0,
AND(S1399=0,Первоначальный[[#This Row],[Досрочное погашение (да/"")]]=""),MIN(Первоначальный[[#This Row],[Полученный платеж]]+Y1399-SUM(Первоначальный[[#This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комиссиям]]),VLOOKUP(LOOKUP(,-1/($Z$12:Z1400=1),$A$12:A1400),График[[Срок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платеж]]+Y1399-SUM(Первоначальный[[#This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S1399&gt;0,MIN(Первоначальный[[#This Row],[Полученный платеж]]+Y1399-SUM(Первоначальный[[#This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комиссиям]]),SUM(INDIRECT("M"&amp;(MAX((1=S$12:S1399)*ROW(S$12:S1399),ROW($W$12))&amp;":M"&amp;(ROW()))))-SUM(INDIRECT("W"&amp;(MAX((1=S$12:S1399)*ROW(S$12:S1399),ROW($W$12))&amp;":W"&amp;(ROW()-1)))))
)
)</f>
        <v>0</v>
      </c>
      <c r="X1400" s="55">
        <f t="shared" ca="1" si="256"/>
        <v>0</v>
      </c>
      <c r="Y1400" s="101">
        <f t="shared" ca="1" si="263"/>
        <v>0</v>
      </c>
      <c r="Z1400" s="133" t="str">
        <f>IF(TYPE((VLOOKUP(Первоначальный[[#This Row],[Дата платежа]],График[Срок конец],1,0)))=16,"",1)</f>
        <v/>
      </c>
      <c r="AA1400" s="57"/>
      <c r="AB1400" s="134"/>
      <c r="AC140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0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99892.380000000136</v>
      </c>
      <c r="AE140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8217.0800000000145</v>
      </c>
      <c r="AF140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0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409824.83524918056</v>
      </c>
      <c r="AH1400" s="55"/>
      <c r="AI1400" s="55"/>
      <c r="AJ1400" s="55"/>
      <c r="AK1400" s="101">
        <f t="shared" ca="1" si="264"/>
        <v>667567.63524918072</v>
      </c>
      <c r="AL1400" s="129">
        <f t="array" ref="AL1400">MAX((УслРестрактов[Характеристика]="Дата реструктуризации")*(УслРестрактов[Значение]=Первоначальный!$A1400),0)</f>
        <v>0</v>
      </c>
    </row>
    <row r="1401" spans="1:38" x14ac:dyDescent="0.25">
      <c r="A1401" s="97">
        <f t="shared" si="257"/>
        <v>45532</v>
      </c>
      <c r="B1401" s="100">
        <f t="shared" ca="1" si="258"/>
        <v>149633.34</v>
      </c>
      <c r="C1401" s="55">
        <f t="shared" ca="1" si="254"/>
        <v>99892.380000000136</v>
      </c>
      <c r="D1401" s="55">
        <f t="shared" ca="1" si="254"/>
        <v>8217.0800000000145</v>
      </c>
      <c r="E1401" s="55">
        <f t="shared" ca="1" si="259"/>
        <v>0</v>
      </c>
      <c r="F1401" s="55">
        <f t="shared" ca="1" si="260"/>
        <v>409824.83524918056</v>
      </c>
      <c r="G1401" s="101">
        <f t="shared" ca="1" si="261"/>
        <v>667567.63524918072</v>
      </c>
      <c r="H1401" s="100">
        <f ca="1">ROUND($B1401*VLOOKUP($A1401,$A$1:$B$10,2,1)/(365+IF(MOD(YEAR($A1401),4),0,1)*($A1401-$A1400)),2)-Первоначальный[[#This Row],[Проценты на просроченный платеж по ОД за период]]</f>
        <v>67.289999999999992</v>
      </c>
      <c r="I1401" s="55">
        <f t="shared" ca="1" si="262"/>
        <v>14.07</v>
      </c>
      <c r="J1401" s="55">
        <v>0</v>
      </c>
      <c r="K1401" s="55">
        <f t="shared" ca="1" si="265"/>
        <v>622.78850327868849</v>
      </c>
      <c r="L1401" s="55">
        <v>0</v>
      </c>
      <c r="M1401" s="113">
        <f>SUMIFS(График[Возврат основной суммы долга],График[Дата с учетом нерабочих дней],$A1401)</f>
        <v>0</v>
      </c>
      <c r="N1401" s="56">
        <f>SUMIFS(График[Возврат начисленных %],График[Дата с учетом нерабочих дней],$A1401)</f>
        <v>0</v>
      </c>
      <c r="O1401" s="101">
        <v>0</v>
      </c>
      <c r="P1401" s="100" cm="1">
        <f t="array" aca="1" ref="P1401" ca="1">MAX(IF(AA1400="Да",0,SUM(INDIRECT("M"&amp;(MAX(("Да"=AA$12:AA1400)*ROW(AA$12:AA1400)+1,ROW($P$12))&amp;":M"&amp;(ROW()))))-SUM(INDIRECT("W"&amp;(MAX(("Да"=AA$12:AA1400)*ROW(AA$12:AA1400)+1,ROW($P$12))&amp;":W"&amp;(ROW()))))),0)</f>
        <v>25882.119999999995</v>
      </c>
      <c r="Q1401" s="99">
        <f ca="1">MAX(SUM($N$13:N1401)-SUM($T$13:T1401),0)</f>
        <v>98675.580655737693</v>
      </c>
      <c r="R1401" s="99">
        <f ca="1">Первоначальный[[#This Row],[Просроченный платеж по ОД]]+Первоначальный[[#This Row],[Просроченный платеж по процентам]]</f>
        <v>124557.70065573769</v>
      </c>
      <c r="S1401" s="120">
        <f ca="1">IF(Первоначальный[[#This Row],[Просроченный платеж]]&lt;1,0,S1400+1)</f>
        <v>1297</v>
      </c>
      <c r="T1401" s="100" cm="1">
        <f t="array" aca="1" ref="T1401" ca="1">IF(Первоначальный[[#This Row],[Итого остаток на начало периода]]&lt;1,0,
IF(
AND(TYPE(VLOOKUP(1,$Z$12:Z1401,1,0))=16,Первоначальный[[#This Row],[Досрочное погашение (да/"")]]=""),0,
_xlfn.IFS(AND(S1400=0,Первоначальный[[#This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платеж]]&lt;&gt;0),MIN(LOOKUP(,-1/($Z$12:Z1401=1),$C$12:C1401)+LOOKUP(,-1/($Z$12:Z1401=1),$H$12:H1401),Первоначальный[[#This Row],[Полученный платеж]]+Y1400),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платеж]]+Y1400,SUM(Первоначальный[[#This Row],[Остаток процентов на начало периода]],Первоначальный[[#This Row],[Проценты за период]])),
AND(S1400=0,Первоначальный[[#This Row],[Дата платежа из графика]]=""),0,
AND(S1400=0,Первоначальный[[#This Row],[Дата платежа из графика]]=1,MAX((0&lt;&gt;S$12:S1400)*ROW(S$12:S1400),ROW($S$12))&gt;=MAX((1=Z$12:Z1400)*ROW(Z$12:Z1400),ROW($T$12)),TYPE(VLOOKUP("Да",(INDIRECT("AA"&amp;(MAX((1=Z$12:Z1400)*ROW(Z$12:Z1400),ROW($T$12))&amp;":AA"&amp;(ROW()-1)))),1,0))=16),MIN(LOOKUP(,-1/($Z$12:Z1401=1),$C$12:C1401)+LOOKUP(,-1/($Z$12:Z1401=1),$H$12:H1401),Первоначальный[[#This Row],[Полученный платеж]]+Y1400),
AND(S1400=0,TYPE(VLOOKUP("Да",(INDIRECT("AA"&amp;(MAX((1=Z$12:Z1400)*ROW(Z$12:Z1400),ROW($T$12))&amp;":AA"&amp;(ROW()-1)))),1,0))&lt;&gt;16),MIN(LOOKUP(,-1/($Z$12:Z1401=1),$C$12:C1401)+LOOKUP(,-1/($Z$12:Z1401=1),$H$12:H1401)-IF(AA1400="Да",0,SUM(INDIRECT("T"&amp;(MAX(("Да"=AA$12:AA1400)*ROW(AA$12:AA1400)+1,ROW($T$12))&amp;":T"&amp;(ROW()-1))))),Первоначальный[[#This Row],[Полученный платеж]]+Y1400),
AND(S1400=0,MAX((0&lt;&gt;N$12:N1400)*ROW(N$12:N1400),ROW($S$12))&gt;=MAX((1=Z$12:Z1400)*ROW(Z$12:Z1400),ROW($T$12))),MIN(LOOKUP(,-1/($Z$12:Z1401=1),$C$12:C1401)+LOOKUP(,-1/($Z$12:Z1401=1),$H$12:H1401)-IF(N1400&lt;&gt;0,0,SUM(INDIRECT("T"&amp;(MAX((0&lt;&gt;N$12:N1400)*ROW(N$12:N1400)+1,ROW($T$12))&amp;":T"&amp;(ROW()-1))))),Первоначальный[[#This Row],[Полученный платеж]]+Y1400),
AND(S1400=0,Первоначальный[[#This Row],[Дата платежа из графика]]=1),MIN(LOOKUP(,-1/($Z$12:Z1401=1),$C$12:C1401)+LOOKUP(,-1/($Z$12:Z1401=1),$H$12:H1401)-IF(Z1400=1,0,SUM(INDIRECT("T"&amp;(MAX((1=Z$12:Z1400)*ROW(Z$12:Z1400)+1,ROW($T$12))&amp;":T"&amp;(ROW()-1))))),Первоначальный[[#This Row],[Полученный платеж]]+Y1400),
AND(Z1400&gt;0,Первоначальный[[#This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платеж]]+Y1400),
AND(S1400&gt;0,MAX((0&lt;&gt;S$12:S1400)*ROW(S$12:S1400),ROW($S$12))&gt;=MAX((1=Z$12:Z1400)*ROW(Z$12:Z1400),ROW($T$12)),TYPE(VLOOKUP("Да",(INDIRECT("AA"&amp;(MAX((1=Z$12:Z1400)*ROW(Z$12:Z1400),ROW($T$12))&amp;":AA"&amp;(ROW()-1)))),1,0))=16),MIN(LOOKUP(,-1/($Z$12:Z1401=1),$C$12:C1401)+LOOKUP(,-1/($Z$12:Z1401=1),$H$12:H1401)-SUM(INDIRECT("T"&amp;(MAX((1=Z$12:Z1400)*ROW(Z$12:Z1400),ROW($T$12))&amp;":T"&amp;(ROW()-1)))),Первоначальный[[#This Row],[Полученный платеж]]+Y1400),
S1400&gt;0,MIN(LOOKUP(,-1/($Z$12:Z1401=1),$C$12:C1401)+LOOKUP(,-1/($Z$12:Z1401=1),$H$12:H1401)-IF(Z1400=1,0,SUM(INDIRECT("T"&amp;(MAX((1=Z$12:Z1400)*ROW(Z$12:Z1400)+1,ROW($T$12))&amp;":T"&amp;(ROW()-1))))),Первоначальный[[#This Row],[Полученный платеж]]+Y1400)
)
)
)</f>
        <v>0</v>
      </c>
      <c r="U140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платеж]]+Y1400-Первоначальный[[#This Row],[Полученный платёж по процентам]])</f>
        <v>0</v>
      </c>
      <c r="V1401" s="55">
        <f t="shared" ca="1" si="255"/>
        <v>0</v>
      </c>
      <c r="W1401" s="55" cm="1">
        <f t="array" aca="1" ref="W1401" ca="1">IF(Первоначальный[[#This Row],[Итого остаток на начало периода]]&lt;1,0,
_xlfn.IFS(
AND(TYPE(VLOOKUP(1,$Z$12:Z1401,1,0))=16,Первоначальный[[#This Row],[Досрочное погашение (да/"")]]=""),0,
AND(S1400=0,Первоначальный[[#This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платеж]]+Y1400-SUM(Первоначальный[[#This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комиссиям]]),VLOOKUP(LOOKUP(,-1/($Z$12:Z1401=1),$A$12:A1401),График[[Срок конец]:[Возврат основной суммы долга]],3,0)),
AND(S1400=0,Первоначальный[[#This Row],[Дата платежа из графика]]="",Первоначальный[[#This Row],[Досрочное погашение (да/"")]]&lt;&gt;"Да"),0,
AND(S1400=0,Первоначальный[[#This Row],[Досрочное погашение (да/"")]]=""),MIN(Первоначальный[[#This Row],[Полученный платеж]]+Y1400-SUM(Первоначальный[[#This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комиссиям]]),VLOOKUP(LOOKUP(,-1/($Z$12:Z1401=1),$A$12:A1401),График[[Срок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платеж]]+Y1400-SUM(Первоначальный[[#This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S1400&gt;0,MIN(Первоначальный[[#This Row],[Полученный платеж]]+Y1400-SUM(Первоначальный[[#This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комиссиям]]),SUM(INDIRECT("M"&amp;(MAX((1=S$12:S1400)*ROW(S$12:S1400),ROW($W$12))&amp;":M"&amp;(ROW()))))-SUM(INDIRECT("W"&amp;(MAX((1=S$12:S1400)*ROW(S$12:S1400),ROW($W$12))&amp;":W"&amp;(ROW()-1)))))
)
)</f>
        <v>0</v>
      </c>
      <c r="X1401" s="55">
        <f t="shared" ca="1" si="256"/>
        <v>0</v>
      </c>
      <c r="Y1401" s="101">
        <f t="shared" ca="1" si="263"/>
        <v>0</v>
      </c>
      <c r="Z1401" s="133" t="str">
        <f>IF(TYPE((VLOOKUP(Первоначальный[[#This Row],[Дата платежа]],График[Срок конец],1,0)))=16,"",1)</f>
        <v/>
      </c>
      <c r="AA1401" s="57"/>
      <c r="AB1401" s="134"/>
      <c r="AC140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0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99959.670000000129</v>
      </c>
      <c r="AE140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8231.1500000000142</v>
      </c>
      <c r="AF140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0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410447.62375245924</v>
      </c>
      <c r="AH1401" s="55"/>
      <c r="AI1401" s="55"/>
      <c r="AJ1401" s="55"/>
      <c r="AK1401" s="101">
        <f t="shared" ca="1" si="264"/>
        <v>668271.78375245933</v>
      </c>
      <c r="AL1401" s="129">
        <f t="array" ref="AL1401">MAX((УслРестрактов[Характеристика]="Дата реструктуризации")*(УслРестрактов[Значение]=Первоначальный!$A1401),0)</f>
        <v>0</v>
      </c>
    </row>
    <row r="1402" spans="1:38" x14ac:dyDescent="0.25">
      <c r="A1402" s="97">
        <f t="shared" si="257"/>
        <v>45533</v>
      </c>
      <c r="B1402" s="100">
        <f t="shared" ca="1" si="258"/>
        <v>149633.34</v>
      </c>
      <c r="C1402" s="55">
        <f t="shared" ca="1" si="254"/>
        <v>99959.670000000129</v>
      </c>
      <c r="D1402" s="55">
        <f t="shared" ca="1" si="254"/>
        <v>8231.1500000000142</v>
      </c>
      <c r="E1402" s="55">
        <f t="shared" ca="1" si="259"/>
        <v>0</v>
      </c>
      <c r="F1402" s="55">
        <f t="shared" ca="1" si="260"/>
        <v>410447.62375245924</v>
      </c>
      <c r="G1402" s="101">
        <f t="shared" ca="1" si="261"/>
        <v>668271.78375245933</v>
      </c>
      <c r="H1402" s="100">
        <f ca="1">ROUND($B1402*VLOOKUP($A1402,$A$1:$B$10,2,1)/(365+IF(MOD(YEAR($A1402),4),0,1)*($A1402-$A1401)),2)-Первоначальный[[#This Row],[Проценты на просроченный платеж по ОД за период]]</f>
        <v>67.289999999999992</v>
      </c>
      <c r="I1402" s="55">
        <f t="shared" ca="1" si="262"/>
        <v>14.07</v>
      </c>
      <c r="J1402" s="55">
        <v>0</v>
      </c>
      <c r="K1402" s="55">
        <f t="shared" ca="1" si="265"/>
        <v>622.78850327868849</v>
      </c>
      <c r="L1402" s="55">
        <v>0</v>
      </c>
      <c r="M1402" s="113">
        <f>SUMIFS(График[Возврат основной суммы долга],График[Дата с учетом нерабочих дней],$A1402)</f>
        <v>0</v>
      </c>
      <c r="N1402" s="56">
        <f>SUMIFS(График[Возврат начисленных %],График[Дата с учетом нерабочих дней],$A1402)</f>
        <v>0</v>
      </c>
      <c r="O1402" s="101">
        <v>0</v>
      </c>
      <c r="P1402" s="100" cm="1">
        <f t="array" aca="1" ref="P1402" ca="1">MAX(IF(AA1401="Да",0,SUM(INDIRECT("M"&amp;(MAX(("Да"=AA$12:AA1401)*ROW(AA$12:AA1401)+1,ROW($P$12))&amp;":M"&amp;(ROW()))))-SUM(INDIRECT("W"&amp;(MAX(("Да"=AA$12:AA1401)*ROW(AA$12:AA1401)+1,ROW($P$12))&amp;":W"&amp;(ROW()))))),0)</f>
        <v>25882.119999999995</v>
      </c>
      <c r="Q1402" s="99">
        <f ca="1">MAX(SUM($N$13:N1402)-SUM($T$13:T1402),0)</f>
        <v>98675.580655737693</v>
      </c>
      <c r="R1402" s="99">
        <f ca="1">Первоначальный[[#This Row],[Просроченный платеж по ОД]]+Первоначальный[[#This Row],[Просроченный платеж по процентам]]</f>
        <v>124557.70065573769</v>
      </c>
      <c r="S1402" s="120">
        <f ca="1">IF(Первоначальный[[#This Row],[Просроченный платеж]]&lt;1,0,S1401+1)</f>
        <v>1298</v>
      </c>
      <c r="T1402" s="100" cm="1">
        <f t="array" aca="1" ref="T1402" ca="1">IF(Первоначальный[[#This Row],[Итого остаток на начало периода]]&lt;1,0,
IF(
AND(TYPE(VLOOKUP(1,$Z$12:Z1402,1,0))=16,Первоначальный[[#This Row],[Досрочное погашение (да/"")]]=""),0,
_xlfn.IFS(AND(S1401=0,Первоначальный[[#This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платеж]]&lt;&gt;0),MIN(LOOKUP(,-1/($Z$12:Z1402=1),$C$12:C1402)+LOOKUP(,-1/($Z$12:Z1402=1),$H$12:H1402),Первоначальный[[#This Row],[Полученный платеж]]+Y1401),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платеж]]+Y1401,SUM(Первоначальный[[#This Row],[Остаток процентов на начало периода]],Первоначальный[[#This Row],[Проценты за период]])),
AND(S1401=0,Первоначальный[[#This Row],[Дата платежа из графика]]=""),0,
AND(S1401=0,Первоначальный[[#This Row],[Дата платежа из графика]]=1,MAX((0&lt;&gt;S$12:S1401)*ROW(S$12:S1401),ROW($S$12))&gt;=MAX((1=Z$12:Z1401)*ROW(Z$12:Z1401),ROW($T$12)),TYPE(VLOOKUP("Да",(INDIRECT("AA"&amp;(MAX((1=Z$12:Z1401)*ROW(Z$12:Z1401),ROW($T$12))&amp;":AA"&amp;(ROW()-1)))),1,0))=16),MIN(LOOKUP(,-1/($Z$12:Z1402=1),$C$12:C1402)+LOOKUP(,-1/($Z$12:Z1402=1),$H$12:H1402),Первоначальный[[#This Row],[Полученный платеж]]+Y1401),
AND(S1401=0,TYPE(VLOOKUP("Да",(INDIRECT("AA"&amp;(MAX((1=Z$12:Z1401)*ROW(Z$12:Z1401),ROW($T$12))&amp;":AA"&amp;(ROW()-1)))),1,0))&lt;&gt;16),MIN(LOOKUP(,-1/($Z$12:Z1402=1),$C$12:C1402)+LOOKUP(,-1/($Z$12:Z1402=1),$H$12:H1402)-IF(AA1401="Да",0,SUM(INDIRECT("T"&amp;(MAX(("Да"=AA$12:AA1401)*ROW(AA$12:AA1401)+1,ROW($T$12))&amp;":T"&amp;(ROW()-1))))),Первоначальный[[#This Row],[Полученный платеж]]+Y1401),
AND(S1401=0,MAX((0&lt;&gt;N$12:N1401)*ROW(N$12:N1401),ROW($S$12))&gt;=MAX((1=Z$12:Z1401)*ROW(Z$12:Z1401),ROW($T$12))),MIN(LOOKUP(,-1/($Z$12:Z1402=1),$C$12:C1402)+LOOKUP(,-1/($Z$12:Z1402=1),$H$12:H1402)-IF(N1401&lt;&gt;0,0,SUM(INDIRECT("T"&amp;(MAX((0&lt;&gt;N$12:N1401)*ROW(N$12:N1401)+1,ROW($T$12))&amp;":T"&amp;(ROW()-1))))),Первоначальный[[#This Row],[Полученный платеж]]+Y1401),
AND(S1401=0,Первоначальный[[#This Row],[Дата платежа из графика]]=1),MIN(LOOKUP(,-1/($Z$12:Z1402=1),$C$12:C1402)+LOOKUP(,-1/($Z$12:Z1402=1),$H$12:H1402)-IF(Z1401=1,0,SUM(INDIRECT("T"&amp;(MAX((1=Z$12:Z1401)*ROW(Z$12:Z1401)+1,ROW($T$12))&amp;":T"&amp;(ROW()-1))))),Первоначальный[[#This Row],[Полученный платеж]]+Y1401),
AND(Z1401&gt;0,Первоначальный[[#This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платеж]]+Y1401),
AND(S1401&gt;0,MAX((0&lt;&gt;S$12:S1401)*ROW(S$12:S1401),ROW($S$12))&gt;=MAX((1=Z$12:Z1401)*ROW(Z$12:Z1401),ROW($T$12)),TYPE(VLOOKUP("Да",(INDIRECT("AA"&amp;(MAX((1=Z$12:Z1401)*ROW(Z$12:Z1401),ROW($T$12))&amp;":AA"&amp;(ROW()-1)))),1,0))=16),MIN(LOOKUP(,-1/($Z$12:Z1402=1),$C$12:C1402)+LOOKUP(,-1/($Z$12:Z1402=1),$H$12:H1402)-SUM(INDIRECT("T"&amp;(MAX((1=Z$12:Z1401)*ROW(Z$12:Z1401),ROW($T$12))&amp;":T"&amp;(ROW()-1)))),Первоначальный[[#This Row],[Полученный платеж]]+Y1401),
S1401&gt;0,MIN(LOOKUP(,-1/($Z$12:Z1402=1),$C$12:C1402)+LOOKUP(,-1/($Z$12:Z1402=1),$H$12:H1402)-IF(Z1401=1,0,SUM(INDIRECT("T"&amp;(MAX((1=Z$12:Z1401)*ROW(Z$12:Z1401)+1,ROW($T$12))&amp;":T"&amp;(ROW()-1))))),Первоначальный[[#This Row],[Полученный платеж]]+Y1401)
)
)
)</f>
        <v>0</v>
      </c>
      <c r="U140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платеж]]+Y1401-Первоначальный[[#This Row],[Полученный платёж по процентам]])</f>
        <v>0</v>
      </c>
      <c r="V1402" s="55">
        <f t="shared" ca="1" si="255"/>
        <v>0</v>
      </c>
      <c r="W1402" s="55" cm="1">
        <f t="array" aca="1" ref="W1402" ca="1">IF(Первоначальный[[#This Row],[Итого остаток на начало периода]]&lt;1,0,
_xlfn.IFS(
AND(TYPE(VLOOKUP(1,$Z$12:Z1402,1,0))=16,Первоначальный[[#This Row],[Досрочное погашение (да/"")]]=""),0,
AND(S1401=0,Первоначальный[[#This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платеж]]+Y1401-SUM(Первоначальный[[#This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комиссиям]]),VLOOKUP(LOOKUP(,-1/($Z$12:Z1402=1),$A$12:A1402),График[[Срок конец]:[Возврат основной суммы долга]],3,0)),
AND(S1401=0,Первоначальный[[#This Row],[Дата платежа из графика]]="",Первоначальный[[#This Row],[Досрочное погашение (да/"")]]&lt;&gt;"Да"),0,
AND(S1401=0,Первоначальный[[#This Row],[Досрочное погашение (да/"")]]=""),MIN(Первоначальный[[#This Row],[Полученный платеж]]+Y1401-SUM(Первоначальный[[#This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комиссиям]]),VLOOKUP(LOOKUP(,-1/($Z$12:Z1402=1),$A$12:A1402),График[[Срок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платеж]]+Y1401-SUM(Первоначальный[[#This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S1401&gt;0,MIN(Первоначальный[[#This Row],[Полученный платеж]]+Y1401-SUM(Первоначальный[[#This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комиссиям]]),SUM(INDIRECT("M"&amp;(MAX((1=S$12:S1401)*ROW(S$12:S1401),ROW($W$12))&amp;":M"&amp;(ROW()))))-SUM(INDIRECT("W"&amp;(MAX((1=S$12:S1401)*ROW(S$12:S1401),ROW($W$12))&amp;":W"&amp;(ROW()-1)))))
)
)</f>
        <v>0</v>
      </c>
      <c r="X1402" s="55">
        <f t="shared" ca="1" si="256"/>
        <v>0</v>
      </c>
      <c r="Y1402" s="101">
        <f t="shared" ca="1" si="263"/>
        <v>0</v>
      </c>
      <c r="Z1402" s="133" t="str">
        <f>IF(TYPE((VLOOKUP(Первоначальный[[#This Row],[Дата платежа]],График[Срок конец],1,0)))=16,"",1)</f>
        <v/>
      </c>
      <c r="AA1402" s="57"/>
      <c r="AB1402" s="134"/>
      <c r="AC140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0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100026.96000000012</v>
      </c>
      <c r="AE140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8245.2200000000139</v>
      </c>
      <c r="AF140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0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411070.41225573793</v>
      </c>
      <c r="AH1402" s="55"/>
      <c r="AI1402" s="55"/>
      <c r="AJ1402" s="55"/>
      <c r="AK1402" s="101">
        <f t="shared" ca="1" si="264"/>
        <v>668975.93225573807</v>
      </c>
      <c r="AL1402" s="129">
        <f t="array" ref="AL1402">MAX((УслРестрактов[Характеристика]="Дата реструктуризации")*(УслРестрактов[Значение]=Первоначальный!$A1402),0)</f>
        <v>0</v>
      </c>
    </row>
    <row r="1403" spans="1:38" x14ac:dyDescent="0.25">
      <c r="A1403" s="97">
        <f t="shared" si="257"/>
        <v>45534</v>
      </c>
      <c r="B1403" s="100">
        <f t="shared" ca="1" si="258"/>
        <v>149633.34</v>
      </c>
      <c r="C1403" s="55">
        <f t="shared" ca="1" si="254"/>
        <v>100026.96000000012</v>
      </c>
      <c r="D1403" s="55">
        <f t="shared" ca="1" si="254"/>
        <v>8245.2200000000139</v>
      </c>
      <c r="E1403" s="55">
        <f t="shared" ca="1" si="259"/>
        <v>0</v>
      </c>
      <c r="F1403" s="55">
        <f t="shared" ca="1" si="260"/>
        <v>411070.41225573793</v>
      </c>
      <c r="G1403" s="101">
        <f t="shared" ca="1" si="261"/>
        <v>668975.93225573807</v>
      </c>
      <c r="H1403" s="100">
        <f ca="1">ROUND($B1403*VLOOKUP($A1403,$A$1:$B$10,2,1)/(365+IF(MOD(YEAR($A1403),4),0,1)*($A1403-$A1402)),2)-Первоначальный[[#This Row],[Проценты на просроченный платеж по ОД за период]]</f>
        <v>67.289999999999992</v>
      </c>
      <c r="I1403" s="55">
        <f t="shared" ca="1" si="262"/>
        <v>14.07</v>
      </c>
      <c r="J1403" s="55">
        <v>0</v>
      </c>
      <c r="K1403" s="55">
        <f t="shared" ca="1" si="265"/>
        <v>622.78850327868849</v>
      </c>
      <c r="L1403" s="55">
        <v>0</v>
      </c>
      <c r="M1403" s="113">
        <f>SUMIFS(График[Возврат основной суммы долга],График[Дата с учетом нерабочих дней],$A1403)</f>
        <v>0</v>
      </c>
      <c r="N1403" s="56">
        <f>SUMIFS(График[Возврат начисленных %],График[Дата с учетом нерабочих дней],$A1403)</f>
        <v>0</v>
      </c>
      <c r="O1403" s="101">
        <v>0</v>
      </c>
      <c r="P1403" s="100" cm="1">
        <f t="array" aca="1" ref="P1403" ca="1">MAX(IF(AA1402="Да",0,SUM(INDIRECT("M"&amp;(MAX(("Да"=AA$12:AA1402)*ROW(AA$12:AA1402)+1,ROW($P$12))&amp;":M"&amp;(ROW()))))-SUM(INDIRECT("W"&amp;(MAX(("Да"=AA$12:AA1402)*ROW(AA$12:AA1402)+1,ROW($P$12))&amp;":W"&amp;(ROW()))))),0)</f>
        <v>25882.119999999995</v>
      </c>
      <c r="Q1403" s="99">
        <f ca="1">MAX(SUM($N$13:N1403)-SUM($T$13:T1403),0)</f>
        <v>98675.580655737693</v>
      </c>
      <c r="R1403" s="99">
        <f ca="1">Первоначальный[[#This Row],[Просроченный платеж по ОД]]+Первоначальный[[#This Row],[Просроченный платеж по процентам]]</f>
        <v>124557.70065573769</v>
      </c>
      <c r="S1403" s="120">
        <f ca="1">IF(Первоначальный[[#This Row],[Просроченный платеж]]&lt;1,0,S1402+1)</f>
        <v>1299</v>
      </c>
      <c r="T1403" s="100" cm="1">
        <f t="array" aca="1" ref="T1403" ca="1">IF(Первоначальный[[#This Row],[Итого остаток на начало периода]]&lt;1,0,
IF(
AND(TYPE(VLOOKUP(1,$Z$12:Z1403,1,0))=16,Первоначальный[[#This Row],[Досрочное погашение (да/"")]]=""),0,
_xlfn.IFS(AND(S1402=0,Первоначальный[[#This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платеж]]&lt;&gt;0),MIN(LOOKUP(,-1/($Z$12:Z1403=1),$C$12:C1403)+LOOKUP(,-1/($Z$12:Z1403=1),$H$12:H1403),Первоначальный[[#This Row],[Полученный платеж]]+Y1402),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платеж]]+Y1402,SUM(Первоначальный[[#This Row],[Остаток процентов на начало периода]],Первоначальный[[#This Row],[Проценты за период]])),
AND(S1402=0,Первоначальный[[#This Row],[Дата платежа из графика]]=""),0,
AND(S1402=0,Первоначальный[[#This Row],[Дата платежа из графика]]=1,MAX((0&lt;&gt;S$12:S1402)*ROW(S$12:S1402),ROW($S$12))&gt;=MAX((1=Z$12:Z1402)*ROW(Z$12:Z1402),ROW($T$12)),TYPE(VLOOKUP("Да",(INDIRECT("AA"&amp;(MAX((1=Z$12:Z1402)*ROW(Z$12:Z1402),ROW($T$12))&amp;":AA"&amp;(ROW()-1)))),1,0))=16),MIN(LOOKUP(,-1/($Z$12:Z1403=1),$C$12:C1403)+LOOKUP(,-1/($Z$12:Z1403=1),$H$12:H1403),Первоначальный[[#This Row],[Полученный платеж]]+Y1402),
AND(S1402=0,TYPE(VLOOKUP("Да",(INDIRECT("AA"&amp;(MAX((1=Z$12:Z1402)*ROW(Z$12:Z1402),ROW($T$12))&amp;":AA"&amp;(ROW()-1)))),1,0))&lt;&gt;16),MIN(LOOKUP(,-1/($Z$12:Z1403=1),$C$12:C1403)+LOOKUP(,-1/($Z$12:Z1403=1),$H$12:H1403)-IF(AA1402="Да",0,SUM(INDIRECT("T"&amp;(MAX(("Да"=AA$12:AA1402)*ROW(AA$12:AA1402)+1,ROW($T$12))&amp;":T"&amp;(ROW()-1))))),Первоначальный[[#This Row],[Полученный платеж]]+Y1402),
AND(S1402=0,MAX((0&lt;&gt;N$12:N1402)*ROW(N$12:N1402),ROW($S$12))&gt;=MAX((1=Z$12:Z1402)*ROW(Z$12:Z1402),ROW($T$12))),MIN(LOOKUP(,-1/($Z$12:Z1403=1),$C$12:C1403)+LOOKUP(,-1/($Z$12:Z1403=1),$H$12:H1403)-IF(N1402&lt;&gt;0,0,SUM(INDIRECT("T"&amp;(MAX((0&lt;&gt;N$12:N1402)*ROW(N$12:N1402)+1,ROW($T$12))&amp;":T"&amp;(ROW()-1))))),Первоначальный[[#This Row],[Полученный платеж]]+Y1402),
AND(S1402=0,Первоначальный[[#This Row],[Дата платежа из графика]]=1),MIN(LOOKUP(,-1/($Z$12:Z1403=1),$C$12:C1403)+LOOKUP(,-1/($Z$12:Z1403=1),$H$12:H1403)-IF(Z1402=1,0,SUM(INDIRECT("T"&amp;(MAX((1=Z$12:Z1402)*ROW(Z$12:Z1402)+1,ROW($T$12))&amp;":T"&amp;(ROW()-1))))),Первоначальный[[#This Row],[Полученный платеж]]+Y1402),
AND(Z1402&gt;0,Первоначальный[[#This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платеж]]+Y1402),
AND(S1402&gt;0,MAX((0&lt;&gt;S$12:S1402)*ROW(S$12:S1402),ROW($S$12))&gt;=MAX((1=Z$12:Z1402)*ROW(Z$12:Z1402),ROW($T$12)),TYPE(VLOOKUP("Да",(INDIRECT("AA"&amp;(MAX((1=Z$12:Z1402)*ROW(Z$12:Z1402),ROW($T$12))&amp;":AA"&amp;(ROW()-1)))),1,0))=16),MIN(LOOKUP(,-1/($Z$12:Z1403=1),$C$12:C1403)+LOOKUP(,-1/($Z$12:Z1403=1),$H$12:H1403)-SUM(INDIRECT("T"&amp;(MAX((1=Z$12:Z1402)*ROW(Z$12:Z1402),ROW($T$12))&amp;":T"&amp;(ROW()-1)))),Первоначальный[[#This Row],[Полученный платеж]]+Y1402),
S1402&gt;0,MIN(LOOKUP(,-1/($Z$12:Z1403=1),$C$12:C1403)+LOOKUP(,-1/($Z$12:Z1403=1),$H$12:H1403)-IF(Z1402=1,0,SUM(INDIRECT("T"&amp;(MAX((1=Z$12:Z1402)*ROW(Z$12:Z1402)+1,ROW($T$12))&amp;":T"&amp;(ROW()-1))))),Первоначальный[[#This Row],[Полученный платеж]]+Y1402)
)
)
)</f>
        <v>0</v>
      </c>
      <c r="U140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платеж]]+Y1402-Первоначальный[[#This Row],[Полученный платёж по процентам]])</f>
        <v>0</v>
      </c>
      <c r="V1403" s="55">
        <f t="shared" ca="1" si="255"/>
        <v>0</v>
      </c>
      <c r="W1403" s="55" cm="1">
        <f t="array" aca="1" ref="W1403" ca="1">IF(Первоначальный[[#This Row],[Итого остаток на начало периода]]&lt;1,0,
_xlfn.IFS(
AND(TYPE(VLOOKUP(1,$Z$12:Z1403,1,0))=16,Первоначальный[[#This Row],[Досрочное погашение (да/"")]]=""),0,
AND(S1402=0,Первоначальный[[#This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платеж]]+Y1402-SUM(Первоначальный[[#This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комиссиям]]),VLOOKUP(LOOKUP(,-1/($Z$12:Z1403=1),$A$12:A1403),График[[Срок конец]:[Возврат основной суммы долга]],3,0)),
AND(S1402=0,Первоначальный[[#This Row],[Дата платежа из графика]]="",Первоначальный[[#This Row],[Досрочное погашение (да/"")]]&lt;&gt;"Да"),0,
AND(S1402=0,Первоначальный[[#This Row],[Досрочное погашение (да/"")]]=""),MIN(Первоначальный[[#This Row],[Полученный платеж]]+Y1402-SUM(Первоначальный[[#This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комиссиям]]),VLOOKUP(LOOKUP(,-1/($Z$12:Z1403=1),$A$12:A1403),График[[Срок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платеж]]+Y1402-SUM(Первоначальный[[#This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S1402&gt;0,MIN(Первоначальный[[#This Row],[Полученный платеж]]+Y1402-SUM(Первоначальный[[#This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комиссиям]]),SUM(INDIRECT("M"&amp;(MAX((1=S$12:S1402)*ROW(S$12:S1402),ROW($W$12))&amp;":M"&amp;(ROW()))))-SUM(INDIRECT("W"&amp;(MAX((1=S$12:S1402)*ROW(S$12:S1402),ROW($W$12))&amp;":W"&amp;(ROW()-1)))))
)
)</f>
        <v>0</v>
      </c>
      <c r="X1403" s="55">
        <f t="shared" ca="1" si="256"/>
        <v>0</v>
      </c>
      <c r="Y1403" s="101">
        <f t="shared" ca="1" si="263"/>
        <v>0</v>
      </c>
      <c r="Z1403" s="133" t="str">
        <f>IF(TYPE((VLOOKUP(Первоначальный[[#This Row],[Дата платежа]],График[Срок конец],1,0)))=16,"",1)</f>
        <v/>
      </c>
      <c r="AA1403" s="57"/>
      <c r="AB1403" s="134"/>
      <c r="AC140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0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100094.25000000012</v>
      </c>
      <c r="AE140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8259.2900000000136</v>
      </c>
      <c r="AF140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0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411693.20075901662</v>
      </c>
      <c r="AH1403" s="55"/>
      <c r="AI1403" s="55"/>
      <c r="AJ1403" s="55"/>
      <c r="AK1403" s="101">
        <f t="shared" ca="1" si="264"/>
        <v>669680.0807590168</v>
      </c>
      <c r="AL1403" s="129">
        <f t="array" ref="AL1403">MAX((УслРестрактов[Характеристика]="Дата реструктуризации")*(УслРестрактов[Значение]=Первоначальный!$A1403),0)</f>
        <v>0</v>
      </c>
    </row>
    <row r="1404" spans="1:38" x14ac:dyDescent="0.25">
      <c r="A1404" s="97">
        <f t="shared" si="257"/>
        <v>45535</v>
      </c>
      <c r="B1404" s="100">
        <f t="shared" ca="1" si="258"/>
        <v>149633.34</v>
      </c>
      <c r="C1404" s="55">
        <f t="shared" ca="1" si="254"/>
        <v>100094.25000000012</v>
      </c>
      <c r="D1404" s="55">
        <f t="shared" ca="1" si="254"/>
        <v>8259.2900000000136</v>
      </c>
      <c r="E1404" s="55">
        <f t="shared" ca="1" si="259"/>
        <v>0</v>
      </c>
      <c r="F1404" s="55">
        <f t="shared" ca="1" si="260"/>
        <v>411693.20075901662</v>
      </c>
      <c r="G1404" s="101">
        <f t="shared" ca="1" si="261"/>
        <v>669680.0807590168</v>
      </c>
      <c r="H1404" s="100">
        <f ca="1">ROUND($B1404*VLOOKUP($A1404,$A$1:$B$10,2,1)/(365+IF(MOD(YEAR($A1404),4),0,1)*($A1404-$A1403)),2)-Первоначальный[[#This Row],[Проценты на просроченный платеж по ОД за период]]</f>
        <v>67.289999999999992</v>
      </c>
      <c r="I1404" s="55">
        <f t="shared" ca="1" si="262"/>
        <v>14.07</v>
      </c>
      <c r="J1404" s="55">
        <v>0</v>
      </c>
      <c r="K1404" s="55">
        <f t="shared" ca="1" si="265"/>
        <v>622.78850327868849</v>
      </c>
      <c r="L1404" s="55">
        <v>0</v>
      </c>
      <c r="M1404" s="113">
        <f>SUMIFS(График[Возврат основной суммы долга],График[Дата с учетом нерабочих дней],$A1404)</f>
        <v>0</v>
      </c>
      <c r="N1404" s="56">
        <f>SUMIFS(График[Возврат начисленных %],График[Дата с учетом нерабочих дней],$A1404)</f>
        <v>0</v>
      </c>
      <c r="O1404" s="101">
        <v>0</v>
      </c>
      <c r="P1404" s="100" cm="1">
        <f t="array" aca="1" ref="P1404" ca="1">MAX(IF(AA1403="Да",0,SUM(INDIRECT("M"&amp;(MAX(("Да"=AA$12:AA1403)*ROW(AA$12:AA1403)+1,ROW($P$12))&amp;":M"&amp;(ROW()))))-SUM(INDIRECT("W"&amp;(MAX(("Да"=AA$12:AA1403)*ROW(AA$12:AA1403)+1,ROW($P$12))&amp;":W"&amp;(ROW()))))),0)</f>
        <v>25882.119999999995</v>
      </c>
      <c r="Q1404" s="99">
        <f ca="1">MAX(SUM($N$13:N1404)-SUM($T$13:T1404),0)</f>
        <v>98675.580655737693</v>
      </c>
      <c r="R1404" s="99">
        <f ca="1">Первоначальный[[#This Row],[Просроченный платеж по ОД]]+Первоначальный[[#This Row],[Просроченный платеж по процентам]]</f>
        <v>124557.70065573769</v>
      </c>
      <c r="S1404" s="120">
        <f ca="1">IF(Первоначальный[[#This Row],[Просроченный платеж]]&lt;1,0,S1403+1)</f>
        <v>1300</v>
      </c>
      <c r="T1404" s="100" cm="1">
        <f t="array" aca="1" ref="T1404" ca="1">IF(Первоначальный[[#This Row],[Итого остаток на начало периода]]&lt;1,0,
IF(
AND(TYPE(VLOOKUP(1,$Z$12:Z1404,1,0))=16,Первоначальный[[#This Row],[Досрочное погашение (да/"")]]=""),0,
_xlfn.IFS(AND(S1403=0,Первоначальный[[#This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платеж]]&lt;&gt;0),MIN(LOOKUP(,-1/($Z$12:Z1404=1),$C$12:C1404)+LOOKUP(,-1/($Z$12:Z1404=1),$H$12:H1404),Первоначальный[[#This Row],[Полученный платеж]]+Y1403),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платеж]]+Y1403,SUM(Первоначальный[[#This Row],[Остаток процентов на начало периода]],Первоначальный[[#This Row],[Проценты за период]])),
AND(S1403=0,Первоначальный[[#This Row],[Дата платежа из графика]]=""),0,
AND(S1403=0,Первоначальный[[#This Row],[Дата платежа из графика]]=1,MAX((0&lt;&gt;S$12:S1403)*ROW(S$12:S1403),ROW($S$12))&gt;=MAX((1=Z$12:Z1403)*ROW(Z$12:Z1403),ROW($T$12)),TYPE(VLOOKUP("Да",(INDIRECT("AA"&amp;(MAX((1=Z$12:Z1403)*ROW(Z$12:Z1403),ROW($T$12))&amp;":AA"&amp;(ROW()-1)))),1,0))=16),MIN(LOOKUP(,-1/($Z$12:Z1404=1),$C$12:C1404)+LOOKUP(,-1/($Z$12:Z1404=1),$H$12:H1404),Первоначальный[[#This Row],[Полученный платеж]]+Y1403),
AND(S1403=0,TYPE(VLOOKUP("Да",(INDIRECT("AA"&amp;(MAX((1=Z$12:Z1403)*ROW(Z$12:Z1403),ROW($T$12))&amp;":AA"&amp;(ROW()-1)))),1,0))&lt;&gt;16),MIN(LOOKUP(,-1/($Z$12:Z1404=1),$C$12:C1404)+LOOKUP(,-1/($Z$12:Z1404=1),$H$12:H1404)-IF(AA1403="Да",0,SUM(INDIRECT("T"&amp;(MAX(("Да"=AA$12:AA1403)*ROW(AA$12:AA1403)+1,ROW($T$12))&amp;":T"&amp;(ROW()-1))))),Первоначальный[[#This Row],[Полученный платеж]]+Y1403),
AND(S1403=0,MAX((0&lt;&gt;N$12:N1403)*ROW(N$12:N1403),ROW($S$12))&gt;=MAX((1=Z$12:Z1403)*ROW(Z$12:Z1403),ROW($T$12))),MIN(LOOKUP(,-1/($Z$12:Z1404=1),$C$12:C1404)+LOOKUP(,-1/($Z$12:Z1404=1),$H$12:H1404)-IF(N1403&lt;&gt;0,0,SUM(INDIRECT("T"&amp;(MAX((0&lt;&gt;N$12:N1403)*ROW(N$12:N1403)+1,ROW($T$12))&amp;":T"&amp;(ROW()-1))))),Первоначальный[[#This Row],[Полученный платеж]]+Y1403),
AND(S1403=0,Первоначальный[[#This Row],[Дата платежа из графика]]=1),MIN(LOOKUP(,-1/($Z$12:Z1404=1),$C$12:C1404)+LOOKUP(,-1/($Z$12:Z1404=1),$H$12:H1404)-IF(Z1403=1,0,SUM(INDIRECT("T"&amp;(MAX((1=Z$12:Z1403)*ROW(Z$12:Z1403)+1,ROW($T$12))&amp;":T"&amp;(ROW()-1))))),Первоначальный[[#This Row],[Полученный платеж]]+Y1403),
AND(Z1403&gt;0,Первоначальный[[#This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платеж]]+Y1403),
AND(S1403&gt;0,MAX((0&lt;&gt;S$12:S1403)*ROW(S$12:S1403),ROW($S$12))&gt;=MAX((1=Z$12:Z1403)*ROW(Z$12:Z1403),ROW($T$12)),TYPE(VLOOKUP("Да",(INDIRECT("AA"&amp;(MAX((1=Z$12:Z1403)*ROW(Z$12:Z1403),ROW($T$12))&amp;":AA"&amp;(ROW()-1)))),1,0))=16),MIN(LOOKUP(,-1/($Z$12:Z1404=1),$C$12:C1404)+LOOKUP(,-1/($Z$12:Z1404=1),$H$12:H1404)-SUM(INDIRECT("T"&amp;(MAX((1=Z$12:Z1403)*ROW(Z$12:Z1403),ROW($T$12))&amp;":T"&amp;(ROW()-1)))),Первоначальный[[#This Row],[Полученный платеж]]+Y1403),
S1403&gt;0,MIN(LOOKUP(,-1/($Z$12:Z1404=1),$C$12:C1404)+LOOKUP(,-1/($Z$12:Z1404=1),$H$12:H1404)-IF(Z1403=1,0,SUM(INDIRECT("T"&amp;(MAX((1=Z$12:Z1403)*ROW(Z$12:Z1403)+1,ROW($T$12))&amp;":T"&amp;(ROW()-1))))),Первоначальный[[#This Row],[Полученный платеж]]+Y1403)
)
)
)</f>
        <v>0</v>
      </c>
      <c r="U140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платеж]]+Y1403-Первоначальный[[#This Row],[Полученный платёж по процентам]])</f>
        <v>0</v>
      </c>
      <c r="V1404" s="55">
        <f t="shared" ca="1" si="255"/>
        <v>0</v>
      </c>
      <c r="W1404" s="55" cm="1">
        <f t="array" aca="1" ref="W1404" ca="1">IF(Первоначальный[[#This Row],[Итого остаток на начало периода]]&lt;1,0,
_xlfn.IFS(
AND(TYPE(VLOOKUP(1,$Z$12:Z1404,1,0))=16,Первоначальный[[#This Row],[Досрочное погашение (да/"")]]=""),0,
AND(S1403=0,Первоначальный[[#This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платеж]]+Y1403-SUM(Первоначальный[[#This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комиссиям]]),VLOOKUP(LOOKUP(,-1/($Z$12:Z1404=1),$A$12:A1404),График[[Срок конец]:[Возврат основной суммы долга]],3,0)),
AND(S1403=0,Первоначальный[[#This Row],[Дата платежа из графика]]="",Первоначальный[[#This Row],[Досрочное погашение (да/"")]]&lt;&gt;"Да"),0,
AND(S1403=0,Первоначальный[[#This Row],[Досрочное погашение (да/"")]]=""),MIN(Первоначальный[[#This Row],[Полученный платеж]]+Y1403-SUM(Первоначальный[[#This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комиссиям]]),VLOOKUP(LOOKUP(,-1/($Z$12:Z1404=1),$A$12:A1404),График[[Срок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платеж]]+Y1403-SUM(Первоначальный[[#This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S1403&gt;0,MIN(Первоначальный[[#This Row],[Полученный платеж]]+Y1403-SUM(Первоначальный[[#This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комиссиям]]),SUM(INDIRECT("M"&amp;(MAX((1=S$12:S1403)*ROW(S$12:S1403),ROW($W$12))&amp;":M"&amp;(ROW()))))-SUM(INDIRECT("W"&amp;(MAX((1=S$12:S1403)*ROW(S$12:S1403),ROW($W$12))&amp;":W"&amp;(ROW()-1)))))
)
)</f>
        <v>0</v>
      </c>
      <c r="X1404" s="55">
        <f t="shared" ca="1" si="256"/>
        <v>0</v>
      </c>
      <c r="Y1404" s="101">
        <f t="shared" ca="1" si="263"/>
        <v>0</v>
      </c>
      <c r="Z1404" s="133" t="str">
        <f>IF(TYPE((VLOOKUP(Первоначальный[[#This Row],[Дата платежа]],График[Срок конец],1,0)))=16,"",1)</f>
        <v/>
      </c>
      <c r="AA1404" s="57"/>
      <c r="AB1404" s="134"/>
      <c r="AC140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0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100161.54000000011</v>
      </c>
      <c r="AE140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8273.3600000000133</v>
      </c>
      <c r="AF140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0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412315.9892622953</v>
      </c>
      <c r="AH1404" s="55"/>
      <c r="AI1404" s="55"/>
      <c r="AJ1404" s="55"/>
      <c r="AK1404" s="101">
        <f t="shared" ca="1" si="264"/>
        <v>670384.22926229541</v>
      </c>
      <c r="AL1404" s="129">
        <f t="array" ref="AL1404">MAX((УслРестрактов[Характеристика]="Дата реструктуризации")*(УслРестрактов[Значение]=Первоначальный!$A1404),0)</f>
        <v>0</v>
      </c>
    </row>
    <row r="1405" spans="1:38" x14ac:dyDescent="0.25">
      <c r="A1405" s="97">
        <f t="shared" si="257"/>
        <v>45536</v>
      </c>
      <c r="B1405" s="100">
        <f t="shared" ca="1" si="258"/>
        <v>149633.34</v>
      </c>
      <c r="C1405" s="55">
        <f t="shared" ca="1" si="254"/>
        <v>100161.54000000011</v>
      </c>
      <c r="D1405" s="55">
        <f t="shared" ca="1" si="254"/>
        <v>8273.3600000000133</v>
      </c>
      <c r="E1405" s="55">
        <f t="shared" ca="1" si="259"/>
        <v>0</v>
      </c>
      <c r="F1405" s="55">
        <f t="shared" ca="1" si="260"/>
        <v>412315.9892622953</v>
      </c>
      <c r="G1405" s="101">
        <f t="shared" ca="1" si="261"/>
        <v>670384.22926229541</v>
      </c>
      <c r="H1405" s="100">
        <f ca="1">ROUND($B1405*VLOOKUP($A1405,$A$1:$B$10,2,1)/(365+IF(MOD(YEAR($A1405),4),0,1)*($A1405-$A1404)),2)-Первоначальный[[#This Row],[Проценты на просроченный платеж по ОД за период]]</f>
        <v>67.289999999999992</v>
      </c>
      <c r="I1405" s="55">
        <f t="shared" ca="1" si="262"/>
        <v>14.07</v>
      </c>
      <c r="J1405" s="55">
        <v>0</v>
      </c>
      <c r="K1405" s="55">
        <f t="shared" ca="1" si="265"/>
        <v>622.78850327868849</v>
      </c>
      <c r="L1405" s="55">
        <v>0</v>
      </c>
      <c r="M1405" s="113">
        <f>SUMIFS(График[Возврат основной суммы долга],График[Дата с учетом нерабочих дней],$A1405)</f>
        <v>0</v>
      </c>
      <c r="N1405" s="56">
        <f>SUMIFS(График[Возврат начисленных %],График[Дата с учетом нерабочих дней],$A1405)</f>
        <v>0</v>
      </c>
      <c r="O1405" s="101">
        <v>0</v>
      </c>
      <c r="P1405" s="100" cm="1">
        <f t="array" aca="1" ref="P1405" ca="1">MAX(IF(AA1404="Да",0,SUM(INDIRECT("M"&amp;(MAX(("Да"=AA$12:AA1404)*ROW(AA$12:AA1404)+1,ROW($P$12))&amp;":M"&amp;(ROW()))))-SUM(INDIRECT("W"&amp;(MAX(("Да"=AA$12:AA1404)*ROW(AA$12:AA1404)+1,ROW($P$12))&amp;":W"&amp;(ROW()))))),0)</f>
        <v>25882.119999999995</v>
      </c>
      <c r="Q1405" s="99">
        <f ca="1">MAX(SUM($N$13:N1405)-SUM($T$13:T1405),0)</f>
        <v>98675.580655737693</v>
      </c>
      <c r="R1405" s="99">
        <f ca="1">Первоначальный[[#This Row],[Просроченный платеж по ОД]]+Первоначальный[[#This Row],[Просроченный платеж по процентам]]</f>
        <v>124557.70065573769</v>
      </c>
      <c r="S1405" s="120">
        <f ca="1">IF(Первоначальный[[#This Row],[Просроченный платеж]]&lt;1,0,S1404+1)</f>
        <v>1301</v>
      </c>
      <c r="T1405" s="100" cm="1">
        <f t="array" aca="1" ref="T1405" ca="1">IF(Первоначальный[[#This Row],[Итого остаток на начало периода]]&lt;1,0,
IF(
AND(TYPE(VLOOKUP(1,$Z$12:Z1405,1,0))=16,Первоначальный[[#This Row],[Досрочное погашение (да/"")]]=""),0,
_xlfn.IFS(AND(S1404=0,Первоначальный[[#This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платеж]]&lt;&gt;0),MIN(LOOKUP(,-1/($Z$12:Z1405=1),$C$12:C1405)+LOOKUP(,-1/($Z$12:Z1405=1),$H$12:H1405),Первоначальный[[#This Row],[Полученный платеж]]+Y1404),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платеж]]+Y1404,SUM(Первоначальный[[#This Row],[Остаток процентов на начало периода]],Первоначальный[[#This Row],[Проценты за период]])),
AND(S1404=0,Первоначальный[[#This Row],[Дата платежа из графика]]=""),0,
AND(S1404=0,Первоначальный[[#This Row],[Дата платежа из графика]]=1,MAX((0&lt;&gt;S$12:S1404)*ROW(S$12:S1404),ROW($S$12))&gt;=MAX((1=Z$12:Z1404)*ROW(Z$12:Z1404),ROW($T$12)),TYPE(VLOOKUP("Да",(INDIRECT("AA"&amp;(MAX((1=Z$12:Z1404)*ROW(Z$12:Z1404),ROW($T$12))&amp;":AA"&amp;(ROW()-1)))),1,0))=16),MIN(LOOKUP(,-1/($Z$12:Z1405=1),$C$12:C1405)+LOOKUP(,-1/($Z$12:Z1405=1),$H$12:H1405),Первоначальный[[#This Row],[Полученный платеж]]+Y1404),
AND(S1404=0,TYPE(VLOOKUP("Да",(INDIRECT("AA"&amp;(MAX((1=Z$12:Z1404)*ROW(Z$12:Z1404),ROW($T$12))&amp;":AA"&amp;(ROW()-1)))),1,0))&lt;&gt;16),MIN(LOOKUP(,-1/($Z$12:Z1405=1),$C$12:C1405)+LOOKUP(,-1/($Z$12:Z1405=1),$H$12:H1405)-IF(AA1404="Да",0,SUM(INDIRECT("T"&amp;(MAX(("Да"=AA$12:AA1404)*ROW(AA$12:AA1404)+1,ROW($T$12))&amp;":T"&amp;(ROW()-1))))),Первоначальный[[#This Row],[Полученный платеж]]+Y1404),
AND(S1404=0,MAX((0&lt;&gt;N$12:N1404)*ROW(N$12:N1404),ROW($S$12))&gt;=MAX((1=Z$12:Z1404)*ROW(Z$12:Z1404),ROW($T$12))),MIN(LOOKUP(,-1/($Z$12:Z1405=1),$C$12:C1405)+LOOKUP(,-1/($Z$12:Z1405=1),$H$12:H1405)-IF(N1404&lt;&gt;0,0,SUM(INDIRECT("T"&amp;(MAX((0&lt;&gt;N$12:N1404)*ROW(N$12:N1404)+1,ROW($T$12))&amp;":T"&amp;(ROW()-1))))),Первоначальный[[#This Row],[Полученный платеж]]+Y1404),
AND(S1404=0,Первоначальный[[#This Row],[Дата платежа из графика]]=1),MIN(LOOKUP(,-1/($Z$12:Z1405=1),$C$12:C1405)+LOOKUP(,-1/($Z$12:Z1405=1),$H$12:H1405)-IF(Z1404=1,0,SUM(INDIRECT("T"&amp;(MAX((1=Z$12:Z1404)*ROW(Z$12:Z1404)+1,ROW($T$12))&amp;":T"&amp;(ROW()-1))))),Первоначальный[[#This Row],[Полученный платеж]]+Y1404),
AND(Z1404&gt;0,Первоначальный[[#This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платеж]]+Y1404),
AND(S1404&gt;0,MAX((0&lt;&gt;S$12:S1404)*ROW(S$12:S1404),ROW($S$12))&gt;=MAX((1=Z$12:Z1404)*ROW(Z$12:Z1404),ROW($T$12)),TYPE(VLOOKUP("Да",(INDIRECT("AA"&amp;(MAX((1=Z$12:Z1404)*ROW(Z$12:Z1404),ROW($T$12))&amp;":AA"&amp;(ROW()-1)))),1,0))=16),MIN(LOOKUP(,-1/($Z$12:Z1405=1),$C$12:C1405)+LOOKUP(,-1/($Z$12:Z1405=1),$H$12:H1405)-SUM(INDIRECT("T"&amp;(MAX((1=Z$12:Z1404)*ROW(Z$12:Z1404),ROW($T$12))&amp;":T"&amp;(ROW()-1)))),Первоначальный[[#This Row],[Полученный платеж]]+Y1404),
S1404&gt;0,MIN(LOOKUP(,-1/($Z$12:Z1405=1),$C$12:C1405)+LOOKUP(,-1/($Z$12:Z1405=1),$H$12:H1405)-IF(Z1404=1,0,SUM(INDIRECT("T"&amp;(MAX((1=Z$12:Z1404)*ROW(Z$12:Z1404)+1,ROW($T$12))&amp;":T"&amp;(ROW()-1))))),Первоначальный[[#This Row],[Полученный платеж]]+Y1404)
)
)
)</f>
        <v>0</v>
      </c>
      <c r="U140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платеж]]+Y1404-Первоначальный[[#This Row],[Полученный платёж по процентам]])</f>
        <v>0</v>
      </c>
      <c r="V1405" s="55">
        <f t="shared" ca="1" si="255"/>
        <v>0</v>
      </c>
      <c r="W1405" s="55" cm="1">
        <f t="array" aca="1" ref="W1405" ca="1">IF(Первоначальный[[#This Row],[Итого остаток на начало периода]]&lt;1,0,
_xlfn.IFS(
AND(TYPE(VLOOKUP(1,$Z$12:Z1405,1,0))=16,Первоначальный[[#This Row],[Досрочное погашение (да/"")]]=""),0,
AND(S1404=0,Первоначальный[[#This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платеж]]+Y1404-SUM(Первоначальный[[#This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комиссиям]]),VLOOKUP(LOOKUP(,-1/($Z$12:Z1405=1),$A$12:A1405),График[[Срок конец]:[Возврат основной суммы долга]],3,0)),
AND(S1404=0,Первоначальный[[#This Row],[Дата платежа из графика]]="",Первоначальный[[#This Row],[Досрочное погашение (да/"")]]&lt;&gt;"Да"),0,
AND(S1404=0,Первоначальный[[#This Row],[Досрочное погашение (да/"")]]=""),MIN(Первоначальный[[#This Row],[Полученный платеж]]+Y1404-SUM(Первоначальный[[#This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комиссиям]]),VLOOKUP(LOOKUP(,-1/($Z$12:Z1405=1),$A$12:A1405),График[[Срок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платеж]]+Y1404-SUM(Первоначальный[[#This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S1404&gt;0,MIN(Первоначальный[[#This Row],[Полученный платеж]]+Y1404-SUM(Первоначальный[[#This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комиссиям]]),SUM(INDIRECT("M"&amp;(MAX((1=S$12:S1404)*ROW(S$12:S1404),ROW($W$12))&amp;":M"&amp;(ROW()))))-SUM(INDIRECT("W"&amp;(MAX((1=S$12:S1404)*ROW(S$12:S1404),ROW($W$12))&amp;":W"&amp;(ROW()-1)))))
)
)</f>
        <v>0</v>
      </c>
      <c r="X1405" s="55">
        <f t="shared" ca="1" si="256"/>
        <v>0</v>
      </c>
      <c r="Y1405" s="101">
        <f t="shared" ca="1" si="263"/>
        <v>0</v>
      </c>
      <c r="Z1405" s="133" t="str">
        <f>IF(TYPE((VLOOKUP(Первоначальный[[#This Row],[Дата платежа]],График[Срок конец],1,0)))=16,"",1)</f>
        <v/>
      </c>
      <c r="AA1405" s="57"/>
      <c r="AB1405" s="134"/>
      <c r="AC140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0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100228.8300000001</v>
      </c>
      <c r="AE140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8287.430000000013</v>
      </c>
      <c r="AF140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0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412938.77776557399</v>
      </c>
      <c r="AH1405" s="55"/>
      <c r="AI1405" s="55"/>
      <c r="AJ1405" s="55"/>
      <c r="AK1405" s="101">
        <f t="shared" ca="1" si="264"/>
        <v>671088.37776557414</v>
      </c>
      <c r="AL1405" s="129">
        <f t="array" ref="AL1405">MAX((УслРестрактов[Характеристика]="Дата реструктуризации")*(УслРестрактов[Значение]=Первоначальный!$A1405),0)</f>
        <v>0</v>
      </c>
    </row>
    <row r="1406" spans="1:38" x14ac:dyDescent="0.25">
      <c r="A1406" s="97">
        <f t="shared" si="257"/>
        <v>45537</v>
      </c>
      <c r="B1406" s="100">
        <f t="shared" ca="1" si="258"/>
        <v>149633.34</v>
      </c>
      <c r="C1406" s="55">
        <f t="shared" ca="1" si="254"/>
        <v>100228.8300000001</v>
      </c>
      <c r="D1406" s="55">
        <f t="shared" ca="1" si="254"/>
        <v>8287.430000000013</v>
      </c>
      <c r="E1406" s="55">
        <f t="shared" ca="1" si="259"/>
        <v>0</v>
      </c>
      <c r="F1406" s="55">
        <f t="shared" ca="1" si="260"/>
        <v>412938.77776557399</v>
      </c>
      <c r="G1406" s="101">
        <f t="shared" ca="1" si="261"/>
        <v>671088.37776557414</v>
      </c>
      <c r="H1406" s="100">
        <f ca="1">ROUND($B1406*VLOOKUP($A1406,$A$1:$B$10,2,1)/(365+IF(MOD(YEAR($A1406),4),0,1)*($A1406-$A1405)),2)-Первоначальный[[#This Row],[Проценты на просроченный платеж по ОД за период]]</f>
        <v>67.289999999999992</v>
      </c>
      <c r="I1406" s="55">
        <f t="shared" ca="1" si="262"/>
        <v>14.07</v>
      </c>
      <c r="J1406" s="55">
        <v>0</v>
      </c>
      <c r="K1406" s="55">
        <f t="shared" ca="1" si="265"/>
        <v>622.78850327868849</v>
      </c>
      <c r="L1406" s="55">
        <v>0</v>
      </c>
      <c r="M1406" s="113">
        <f>SUMIFS(График[Возврат основной суммы долга],График[Дата с учетом нерабочих дней],$A1406)</f>
        <v>0</v>
      </c>
      <c r="N1406" s="56">
        <f>SUMIFS(График[Возврат начисленных %],График[Дата с учетом нерабочих дней],$A1406)</f>
        <v>0</v>
      </c>
      <c r="O1406" s="101">
        <v>0</v>
      </c>
      <c r="P1406" s="100" cm="1">
        <f t="array" aca="1" ref="P1406" ca="1">MAX(IF(AA1405="Да",0,SUM(INDIRECT("M"&amp;(MAX(("Да"=AA$12:AA1405)*ROW(AA$12:AA1405)+1,ROW($P$12))&amp;":M"&amp;(ROW()))))-SUM(INDIRECT("W"&amp;(MAX(("Да"=AA$12:AA1405)*ROW(AA$12:AA1405)+1,ROW($P$12))&amp;":W"&amp;(ROW()))))),0)</f>
        <v>25882.119999999995</v>
      </c>
      <c r="Q1406" s="99">
        <f ca="1">MAX(SUM($N$13:N1406)-SUM($T$13:T1406),0)</f>
        <v>98675.580655737693</v>
      </c>
      <c r="R1406" s="99">
        <f ca="1">Первоначальный[[#This Row],[Просроченный платеж по ОД]]+Первоначальный[[#This Row],[Просроченный платеж по процентам]]</f>
        <v>124557.70065573769</v>
      </c>
      <c r="S1406" s="120">
        <f ca="1">IF(Первоначальный[[#This Row],[Просроченный платеж]]&lt;1,0,S1405+1)</f>
        <v>1302</v>
      </c>
      <c r="T1406" s="100" cm="1">
        <f t="array" aca="1" ref="T1406" ca="1">IF(Первоначальный[[#This Row],[Итого остаток на начало периода]]&lt;1,0,
IF(
AND(TYPE(VLOOKUP(1,$Z$12:Z1406,1,0))=16,Первоначальный[[#This Row],[Досрочное погашение (да/"")]]=""),0,
_xlfn.IFS(AND(S1405=0,Первоначальный[[#This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платеж]]&lt;&gt;0),MIN(LOOKUP(,-1/($Z$12:Z1406=1),$C$12:C1406)+LOOKUP(,-1/($Z$12:Z1406=1),$H$12:H1406),Первоначальный[[#This Row],[Полученный платеж]]+Y1405),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платеж]]+Y1405,SUM(Первоначальный[[#This Row],[Остаток процентов на начало периода]],Первоначальный[[#This Row],[Проценты за период]])),
AND(S1405=0,Первоначальный[[#This Row],[Дата платежа из графика]]=""),0,
AND(S1405=0,Первоначальный[[#This Row],[Дата платежа из графика]]=1,MAX((0&lt;&gt;S$12:S1405)*ROW(S$12:S1405),ROW($S$12))&gt;=MAX((1=Z$12:Z1405)*ROW(Z$12:Z1405),ROW($T$12)),TYPE(VLOOKUP("Да",(INDIRECT("AA"&amp;(MAX((1=Z$12:Z1405)*ROW(Z$12:Z1405),ROW($T$12))&amp;":AA"&amp;(ROW()-1)))),1,0))=16),MIN(LOOKUP(,-1/($Z$12:Z1406=1),$C$12:C1406)+LOOKUP(,-1/($Z$12:Z1406=1),$H$12:H1406),Первоначальный[[#This Row],[Полученный платеж]]+Y1405),
AND(S1405=0,TYPE(VLOOKUP("Да",(INDIRECT("AA"&amp;(MAX((1=Z$12:Z1405)*ROW(Z$12:Z1405),ROW($T$12))&amp;":AA"&amp;(ROW()-1)))),1,0))&lt;&gt;16),MIN(LOOKUP(,-1/($Z$12:Z1406=1),$C$12:C1406)+LOOKUP(,-1/($Z$12:Z1406=1),$H$12:H1406)-IF(AA1405="Да",0,SUM(INDIRECT("T"&amp;(MAX(("Да"=AA$12:AA1405)*ROW(AA$12:AA1405)+1,ROW($T$12))&amp;":T"&amp;(ROW()-1))))),Первоначальный[[#This Row],[Полученный платеж]]+Y1405),
AND(S1405=0,MAX((0&lt;&gt;N$12:N1405)*ROW(N$12:N1405),ROW($S$12))&gt;=MAX((1=Z$12:Z1405)*ROW(Z$12:Z1405),ROW($T$12))),MIN(LOOKUP(,-1/($Z$12:Z1406=1),$C$12:C1406)+LOOKUP(,-1/($Z$12:Z1406=1),$H$12:H1406)-IF(N1405&lt;&gt;0,0,SUM(INDIRECT("T"&amp;(MAX((0&lt;&gt;N$12:N1405)*ROW(N$12:N1405)+1,ROW($T$12))&amp;":T"&amp;(ROW()-1))))),Первоначальный[[#This Row],[Полученный платеж]]+Y1405),
AND(S1405=0,Первоначальный[[#This Row],[Дата платежа из графика]]=1),MIN(LOOKUP(,-1/($Z$12:Z1406=1),$C$12:C1406)+LOOKUP(,-1/($Z$12:Z1406=1),$H$12:H1406)-IF(Z1405=1,0,SUM(INDIRECT("T"&amp;(MAX((1=Z$12:Z1405)*ROW(Z$12:Z1405)+1,ROW($T$12))&amp;":T"&amp;(ROW()-1))))),Первоначальный[[#This Row],[Полученный платеж]]+Y1405),
AND(Z1405&gt;0,Первоначальный[[#This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платеж]]+Y1405),
AND(S1405&gt;0,MAX((0&lt;&gt;S$12:S1405)*ROW(S$12:S1405),ROW($S$12))&gt;=MAX((1=Z$12:Z1405)*ROW(Z$12:Z1405),ROW($T$12)),TYPE(VLOOKUP("Да",(INDIRECT("AA"&amp;(MAX((1=Z$12:Z1405)*ROW(Z$12:Z1405),ROW($T$12))&amp;":AA"&amp;(ROW()-1)))),1,0))=16),MIN(LOOKUP(,-1/($Z$12:Z1406=1),$C$12:C1406)+LOOKUP(,-1/($Z$12:Z1406=1),$H$12:H1406)-SUM(INDIRECT("T"&amp;(MAX((1=Z$12:Z1405)*ROW(Z$12:Z1405),ROW($T$12))&amp;":T"&amp;(ROW()-1)))),Первоначальный[[#This Row],[Полученный платеж]]+Y1405),
S1405&gt;0,MIN(LOOKUP(,-1/($Z$12:Z1406=1),$C$12:C1406)+LOOKUP(,-1/($Z$12:Z1406=1),$H$12:H1406)-IF(Z1405=1,0,SUM(INDIRECT("T"&amp;(MAX((1=Z$12:Z1405)*ROW(Z$12:Z1405)+1,ROW($T$12))&amp;":T"&amp;(ROW()-1))))),Первоначальный[[#This Row],[Полученный платеж]]+Y1405)
)
)
)</f>
        <v>0</v>
      </c>
      <c r="U140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платеж]]+Y1405-Первоначальный[[#This Row],[Полученный платёж по процентам]])</f>
        <v>0</v>
      </c>
      <c r="V1406" s="55">
        <f t="shared" ca="1" si="255"/>
        <v>0</v>
      </c>
      <c r="W1406" s="55" cm="1">
        <f t="array" aca="1" ref="W1406" ca="1">IF(Первоначальный[[#This Row],[Итого остаток на начало периода]]&lt;1,0,
_xlfn.IFS(
AND(TYPE(VLOOKUP(1,$Z$12:Z1406,1,0))=16,Первоначальный[[#This Row],[Досрочное погашение (да/"")]]=""),0,
AND(S1405=0,Первоначальный[[#This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платеж]]+Y1405-SUM(Первоначальный[[#This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комиссиям]]),VLOOKUP(LOOKUP(,-1/($Z$12:Z1406=1),$A$12:A1406),График[[Срок конец]:[Возврат основной суммы долга]],3,0)),
AND(S1405=0,Первоначальный[[#This Row],[Дата платежа из графика]]="",Первоначальный[[#This Row],[Досрочное погашение (да/"")]]&lt;&gt;"Да"),0,
AND(S1405=0,Первоначальный[[#This Row],[Досрочное погашение (да/"")]]=""),MIN(Первоначальный[[#This Row],[Полученный платеж]]+Y1405-SUM(Первоначальный[[#This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комиссиям]]),VLOOKUP(LOOKUP(,-1/($Z$12:Z1406=1),$A$12:A1406),График[[Срок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платеж]]+Y1405-SUM(Первоначальный[[#This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S1405&gt;0,MIN(Первоначальный[[#This Row],[Полученный платеж]]+Y1405-SUM(Первоначальный[[#This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комиссиям]]),SUM(INDIRECT("M"&amp;(MAX((1=S$12:S1405)*ROW(S$12:S1405),ROW($W$12))&amp;":M"&amp;(ROW()))))-SUM(INDIRECT("W"&amp;(MAX((1=S$12:S1405)*ROW(S$12:S1405),ROW($W$12))&amp;":W"&amp;(ROW()-1)))))
)
)</f>
        <v>0</v>
      </c>
      <c r="X1406" s="55">
        <f t="shared" ca="1" si="256"/>
        <v>0</v>
      </c>
      <c r="Y1406" s="101">
        <f t="shared" ca="1" si="263"/>
        <v>0</v>
      </c>
      <c r="Z1406" s="133" t="str">
        <f>IF(TYPE((VLOOKUP(Первоначальный[[#This Row],[Дата платежа]],График[Срок конец],1,0)))=16,"",1)</f>
        <v/>
      </c>
      <c r="AA1406" s="57"/>
      <c r="AB1406" s="134"/>
      <c r="AC140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0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100296.1200000001</v>
      </c>
      <c r="AE140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8301.5000000000127</v>
      </c>
      <c r="AF140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0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413561.56626885268</v>
      </c>
      <c r="AH1406" s="55"/>
      <c r="AI1406" s="55"/>
      <c r="AJ1406" s="55"/>
      <c r="AK1406" s="101">
        <f t="shared" ca="1" si="264"/>
        <v>671792.52626885276</v>
      </c>
      <c r="AL1406" s="129">
        <f t="array" ref="AL1406">MAX((УслРестрактов[Характеристика]="Дата реструктуризации")*(УслРестрактов[Значение]=Первоначальный!$A1406),0)</f>
        <v>0</v>
      </c>
    </row>
    <row r="1407" spans="1:38" x14ac:dyDescent="0.25">
      <c r="A1407" s="97">
        <f t="shared" si="257"/>
        <v>45538</v>
      </c>
      <c r="B1407" s="100">
        <f t="shared" ca="1" si="258"/>
        <v>149633.34</v>
      </c>
      <c r="C1407" s="55">
        <f t="shared" ca="1" si="254"/>
        <v>100296.1200000001</v>
      </c>
      <c r="D1407" s="55">
        <f t="shared" ca="1" si="254"/>
        <v>8301.5000000000127</v>
      </c>
      <c r="E1407" s="55">
        <f t="shared" ca="1" si="259"/>
        <v>0</v>
      </c>
      <c r="F1407" s="55">
        <f t="shared" ca="1" si="260"/>
        <v>413561.56626885268</v>
      </c>
      <c r="G1407" s="101">
        <f t="shared" ca="1" si="261"/>
        <v>671792.52626885276</v>
      </c>
      <c r="H1407" s="100">
        <f ca="1">ROUND($B1407*VLOOKUP($A1407,$A$1:$B$10,2,1)/(365+IF(MOD(YEAR($A1407),4),0,1)*($A1407-$A1406)),2)-Первоначальный[[#This Row],[Проценты на просроченный платеж по ОД за период]]</f>
        <v>67.289999999999992</v>
      </c>
      <c r="I1407" s="55">
        <f t="shared" ca="1" si="262"/>
        <v>14.07</v>
      </c>
      <c r="J1407" s="55">
        <v>0</v>
      </c>
      <c r="K1407" s="55">
        <f t="shared" ca="1" si="265"/>
        <v>622.78850327868849</v>
      </c>
      <c r="L1407" s="55">
        <v>0</v>
      </c>
      <c r="M1407" s="113">
        <f>SUMIFS(График[Возврат основной суммы долга],График[Дата с учетом нерабочих дней],$A1407)</f>
        <v>0</v>
      </c>
      <c r="N1407" s="56">
        <f>SUMIFS(График[Возврат начисленных %],График[Дата с учетом нерабочих дней],$A1407)</f>
        <v>0</v>
      </c>
      <c r="O1407" s="101">
        <v>0</v>
      </c>
      <c r="P1407" s="100" cm="1">
        <f t="array" aca="1" ref="P1407" ca="1">MAX(IF(AA1406="Да",0,SUM(INDIRECT("M"&amp;(MAX(("Да"=AA$12:AA1406)*ROW(AA$12:AA1406)+1,ROW($P$12))&amp;":M"&amp;(ROW()))))-SUM(INDIRECT("W"&amp;(MAX(("Да"=AA$12:AA1406)*ROW(AA$12:AA1406)+1,ROW($P$12))&amp;":W"&amp;(ROW()))))),0)</f>
        <v>25882.119999999995</v>
      </c>
      <c r="Q1407" s="99">
        <f ca="1">MAX(SUM($N$13:N1407)-SUM($T$13:T1407),0)</f>
        <v>98675.580655737693</v>
      </c>
      <c r="R1407" s="99">
        <f ca="1">Первоначальный[[#This Row],[Просроченный платеж по ОД]]+Первоначальный[[#This Row],[Просроченный платеж по процентам]]</f>
        <v>124557.70065573769</v>
      </c>
      <c r="S1407" s="120">
        <f ca="1">IF(Первоначальный[[#This Row],[Просроченный платеж]]&lt;1,0,S1406+1)</f>
        <v>1303</v>
      </c>
      <c r="T1407" s="100" cm="1">
        <f t="array" aca="1" ref="T1407" ca="1">IF(Первоначальный[[#This Row],[Итого остаток на начало периода]]&lt;1,0,
IF(
AND(TYPE(VLOOKUP(1,$Z$12:Z1407,1,0))=16,Первоначальный[[#This Row],[Досрочное погашение (да/"")]]=""),0,
_xlfn.IFS(AND(S1406=0,Первоначальный[[#This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платеж]]&lt;&gt;0),MIN(LOOKUP(,-1/($Z$12:Z1407=1),$C$12:C1407)+LOOKUP(,-1/($Z$12:Z1407=1),$H$12:H1407),Первоначальный[[#This Row],[Полученный платеж]]+Y1406),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платеж]]+Y1406,SUM(Первоначальный[[#This Row],[Остаток процентов на начало периода]],Первоначальный[[#This Row],[Проценты за период]])),
AND(S1406=0,Первоначальный[[#This Row],[Дата платежа из графика]]=""),0,
AND(S1406=0,Первоначальный[[#This Row],[Дата платежа из графика]]=1,MAX((0&lt;&gt;S$12:S1406)*ROW(S$12:S1406),ROW($S$12))&gt;=MAX((1=Z$12:Z1406)*ROW(Z$12:Z1406),ROW($T$12)),TYPE(VLOOKUP("Да",(INDIRECT("AA"&amp;(MAX((1=Z$12:Z1406)*ROW(Z$12:Z1406),ROW($T$12))&amp;":AA"&amp;(ROW()-1)))),1,0))=16),MIN(LOOKUP(,-1/($Z$12:Z1407=1),$C$12:C1407)+LOOKUP(,-1/($Z$12:Z1407=1),$H$12:H1407),Первоначальный[[#This Row],[Полученный платеж]]+Y1406),
AND(S1406=0,TYPE(VLOOKUP("Да",(INDIRECT("AA"&amp;(MAX((1=Z$12:Z1406)*ROW(Z$12:Z1406),ROW($T$12))&amp;":AA"&amp;(ROW()-1)))),1,0))&lt;&gt;16),MIN(LOOKUP(,-1/($Z$12:Z1407=1),$C$12:C1407)+LOOKUP(,-1/($Z$12:Z1407=1),$H$12:H1407)-IF(AA1406="Да",0,SUM(INDIRECT("T"&amp;(MAX(("Да"=AA$12:AA1406)*ROW(AA$12:AA1406)+1,ROW($T$12))&amp;":T"&amp;(ROW()-1))))),Первоначальный[[#This Row],[Полученный платеж]]+Y1406),
AND(S1406=0,MAX((0&lt;&gt;N$12:N1406)*ROW(N$12:N1406),ROW($S$12))&gt;=MAX((1=Z$12:Z1406)*ROW(Z$12:Z1406),ROW($T$12))),MIN(LOOKUP(,-1/($Z$12:Z1407=1),$C$12:C1407)+LOOKUP(,-1/($Z$12:Z1407=1),$H$12:H1407)-IF(N1406&lt;&gt;0,0,SUM(INDIRECT("T"&amp;(MAX((0&lt;&gt;N$12:N1406)*ROW(N$12:N1406)+1,ROW($T$12))&amp;":T"&amp;(ROW()-1))))),Первоначальный[[#This Row],[Полученный платеж]]+Y1406),
AND(S1406=0,Первоначальный[[#This Row],[Дата платежа из графика]]=1),MIN(LOOKUP(,-1/($Z$12:Z1407=1),$C$12:C1407)+LOOKUP(,-1/($Z$12:Z1407=1),$H$12:H1407)-IF(Z1406=1,0,SUM(INDIRECT("T"&amp;(MAX((1=Z$12:Z1406)*ROW(Z$12:Z1406)+1,ROW($T$12))&amp;":T"&amp;(ROW()-1))))),Первоначальный[[#This Row],[Полученный платеж]]+Y1406),
AND(Z1406&gt;0,Первоначальный[[#This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платеж]]+Y1406),
AND(S1406&gt;0,MAX((0&lt;&gt;S$12:S1406)*ROW(S$12:S1406),ROW($S$12))&gt;=MAX((1=Z$12:Z1406)*ROW(Z$12:Z1406),ROW($T$12)),TYPE(VLOOKUP("Да",(INDIRECT("AA"&amp;(MAX((1=Z$12:Z1406)*ROW(Z$12:Z1406),ROW($T$12))&amp;":AA"&amp;(ROW()-1)))),1,0))=16),MIN(LOOKUP(,-1/($Z$12:Z1407=1),$C$12:C1407)+LOOKUP(,-1/($Z$12:Z1407=1),$H$12:H1407)-SUM(INDIRECT("T"&amp;(MAX((1=Z$12:Z1406)*ROW(Z$12:Z1406),ROW($T$12))&amp;":T"&amp;(ROW()-1)))),Первоначальный[[#This Row],[Полученный платеж]]+Y1406),
S1406&gt;0,MIN(LOOKUP(,-1/($Z$12:Z1407=1),$C$12:C1407)+LOOKUP(,-1/($Z$12:Z1407=1),$H$12:H1407)-IF(Z1406=1,0,SUM(INDIRECT("T"&amp;(MAX((1=Z$12:Z1406)*ROW(Z$12:Z1406)+1,ROW($T$12))&amp;":T"&amp;(ROW()-1))))),Первоначальный[[#This Row],[Полученный платеж]]+Y1406)
)
)
)</f>
        <v>0</v>
      </c>
      <c r="U140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платеж]]+Y1406-Первоначальный[[#This Row],[Полученный платёж по процентам]])</f>
        <v>0</v>
      </c>
      <c r="V1407" s="55">
        <f t="shared" ca="1" si="255"/>
        <v>0</v>
      </c>
      <c r="W1407" s="55" cm="1">
        <f t="array" aca="1" ref="W1407" ca="1">IF(Первоначальный[[#This Row],[Итого остаток на начало периода]]&lt;1,0,
_xlfn.IFS(
AND(TYPE(VLOOKUP(1,$Z$12:Z1407,1,0))=16,Первоначальный[[#This Row],[Досрочное погашение (да/"")]]=""),0,
AND(S1406=0,Первоначальный[[#This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платеж]]+Y1406-SUM(Первоначальный[[#This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комиссиям]]),VLOOKUP(LOOKUP(,-1/($Z$12:Z1407=1),$A$12:A1407),График[[Срок конец]:[Возврат основной суммы долга]],3,0)),
AND(S1406=0,Первоначальный[[#This Row],[Дата платежа из графика]]="",Первоначальный[[#This Row],[Досрочное погашение (да/"")]]&lt;&gt;"Да"),0,
AND(S1406=0,Первоначальный[[#This Row],[Досрочное погашение (да/"")]]=""),MIN(Первоначальный[[#This Row],[Полученный платеж]]+Y1406-SUM(Первоначальный[[#This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комиссиям]]),VLOOKUP(LOOKUP(,-1/($Z$12:Z1407=1),$A$12:A1407),График[[Срок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платеж]]+Y1406-SUM(Первоначальный[[#This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S1406&gt;0,MIN(Первоначальный[[#This Row],[Полученный платеж]]+Y1406-SUM(Первоначальный[[#This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комиссиям]]),SUM(INDIRECT("M"&amp;(MAX((1=S$12:S1406)*ROW(S$12:S1406),ROW($W$12))&amp;":M"&amp;(ROW()))))-SUM(INDIRECT("W"&amp;(MAX((1=S$12:S1406)*ROW(S$12:S1406),ROW($W$12))&amp;":W"&amp;(ROW()-1)))))
)
)</f>
        <v>0</v>
      </c>
      <c r="X1407" s="55">
        <f t="shared" ca="1" si="256"/>
        <v>0</v>
      </c>
      <c r="Y1407" s="101">
        <f t="shared" ca="1" si="263"/>
        <v>0</v>
      </c>
      <c r="Z1407" s="133" t="str">
        <f>IF(TYPE((VLOOKUP(Первоначальный[[#This Row],[Дата платежа]],График[Срок конец],1,0)))=16,"",1)</f>
        <v/>
      </c>
      <c r="AA1407" s="57"/>
      <c r="AB1407" s="134"/>
      <c r="AC140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0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100363.41000000009</v>
      </c>
      <c r="AE140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8315.5700000000124</v>
      </c>
      <c r="AF140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0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414184.35477213137</v>
      </c>
      <c r="AH1407" s="55"/>
      <c r="AI1407" s="55"/>
      <c r="AJ1407" s="55"/>
      <c r="AK1407" s="101">
        <f t="shared" ca="1" si="264"/>
        <v>672496.67477213149</v>
      </c>
      <c r="AL1407" s="129">
        <f t="array" ref="AL1407">MAX((УслРестрактов[Характеристика]="Дата реструктуризации")*(УслРестрактов[Значение]=Первоначальный!$A1407),0)</f>
        <v>0</v>
      </c>
    </row>
    <row r="1408" spans="1:38" x14ac:dyDescent="0.25">
      <c r="A1408" s="97">
        <f t="shared" si="257"/>
        <v>45539</v>
      </c>
      <c r="B1408" s="100">
        <f t="shared" ca="1" si="258"/>
        <v>149633.34</v>
      </c>
      <c r="C1408" s="55">
        <f t="shared" ca="1" si="254"/>
        <v>100363.41000000009</v>
      </c>
      <c r="D1408" s="55">
        <f t="shared" ca="1" si="254"/>
        <v>8315.5700000000124</v>
      </c>
      <c r="E1408" s="55">
        <f t="shared" ca="1" si="259"/>
        <v>0</v>
      </c>
      <c r="F1408" s="55">
        <f t="shared" ca="1" si="260"/>
        <v>414184.35477213137</v>
      </c>
      <c r="G1408" s="101">
        <f t="shared" ca="1" si="261"/>
        <v>672496.67477213149</v>
      </c>
      <c r="H1408" s="100">
        <f ca="1">ROUND($B1408*VLOOKUP($A1408,$A$1:$B$10,2,1)/(365+IF(MOD(YEAR($A1408),4),0,1)*($A1408-$A1407)),2)-Первоначальный[[#This Row],[Проценты на просроченный платеж по ОД за период]]</f>
        <v>67.289999999999992</v>
      </c>
      <c r="I1408" s="55">
        <f t="shared" ca="1" si="262"/>
        <v>14.07</v>
      </c>
      <c r="J1408" s="55">
        <v>0</v>
      </c>
      <c r="K1408" s="55">
        <f t="shared" ca="1" si="265"/>
        <v>622.78850327868849</v>
      </c>
      <c r="L1408" s="55">
        <v>0</v>
      </c>
      <c r="M1408" s="113">
        <f>SUMIFS(График[Возврат основной суммы долга],График[Дата с учетом нерабочих дней],$A1408)</f>
        <v>0</v>
      </c>
      <c r="N1408" s="56">
        <f>SUMIFS(График[Возврат начисленных %],График[Дата с учетом нерабочих дней],$A1408)</f>
        <v>0</v>
      </c>
      <c r="O1408" s="101">
        <v>0</v>
      </c>
      <c r="P1408" s="100" cm="1">
        <f t="array" aca="1" ref="P1408" ca="1">MAX(IF(AA1407="Да",0,SUM(INDIRECT("M"&amp;(MAX(("Да"=AA$12:AA1407)*ROW(AA$12:AA1407)+1,ROW($P$12))&amp;":M"&amp;(ROW()))))-SUM(INDIRECT("W"&amp;(MAX(("Да"=AA$12:AA1407)*ROW(AA$12:AA1407)+1,ROW($P$12))&amp;":W"&amp;(ROW()))))),0)</f>
        <v>25882.119999999995</v>
      </c>
      <c r="Q1408" s="99">
        <f ca="1">MAX(SUM($N$13:N1408)-SUM($T$13:T1408),0)</f>
        <v>98675.580655737693</v>
      </c>
      <c r="R1408" s="99">
        <f ca="1">Первоначальный[[#This Row],[Просроченный платеж по ОД]]+Первоначальный[[#This Row],[Просроченный платеж по процентам]]</f>
        <v>124557.70065573769</v>
      </c>
      <c r="S1408" s="120">
        <f ca="1">IF(Первоначальный[[#This Row],[Просроченный платеж]]&lt;1,0,S1407+1)</f>
        <v>1304</v>
      </c>
      <c r="T1408" s="100" cm="1">
        <f t="array" aca="1" ref="T1408" ca="1">IF(Первоначальный[[#This Row],[Итого остаток на начало периода]]&lt;1,0,
IF(
AND(TYPE(VLOOKUP(1,$Z$12:Z1408,1,0))=16,Первоначальный[[#This Row],[Досрочное погашение (да/"")]]=""),0,
_xlfn.IFS(AND(S1407=0,Первоначальный[[#This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платеж]]&lt;&gt;0),MIN(LOOKUP(,-1/($Z$12:Z1408=1),$C$12:C1408)+LOOKUP(,-1/($Z$12:Z1408=1),$H$12:H1408),Первоначальный[[#This Row],[Полученный платеж]]+Y1407),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платеж]]+Y1407,SUM(Первоначальный[[#This Row],[Остаток процентов на начало периода]],Первоначальный[[#This Row],[Проценты за период]])),
AND(S1407=0,Первоначальный[[#This Row],[Дата платежа из графика]]=""),0,
AND(S1407=0,Первоначальный[[#This Row],[Дата платежа из графика]]=1,MAX((0&lt;&gt;S$12:S1407)*ROW(S$12:S1407),ROW($S$12))&gt;=MAX((1=Z$12:Z1407)*ROW(Z$12:Z1407),ROW($T$12)),TYPE(VLOOKUP("Да",(INDIRECT("AA"&amp;(MAX((1=Z$12:Z1407)*ROW(Z$12:Z1407),ROW($T$12))&amp;":AA"&amp;(ROW()-1)))),1,0))=16),MIN(LOOKUP(,-1/($Z$12:Z1408=1),$C$12:C1408)+LOOKUP(,-1/($Z$12:Z1408=1),$H$12:H1408),Первоначальный[[#This Row],[Полученный платеж]]+Y1407),
AND(S1407=0,TYPE(VLOOKUP("Да",(INDIRECT("AA"&amp;(MAX((1=Z$12:Z1407)*ROW(Z$12:Z1407),ROW($T$12))&amp;":AA"&amp;(ROW()-1)))),1,0))&lt;&gt;16),MIN(LOOKUP(,-1/($Z$12:Z1408=1),$C$12:C1408)+LOOKUP(,-1/($Z$12:Z1408=1),$H$12:H1408)-IF(AA1407="Да",0,SUM(INDIRECT("T"&amp;(MAX(("Да"=AA$12:AA1407)*ROW(AA$12:AA1407)+1,ROW($T$12))&amp;":T"&amp;(ROW()-1))))),Первоначальный[[#This Row],[Полученный платеж]]+Y1407),
AND(S1407=0,MAX((0&lt;&gt;N$12:N1407)*ROW(N$12:N1407),ROW($S$12))&gt;=MAX((1=Z$12:Z1407)*ROW(Z$12:Z1407),ROW($T$12))),MIN(LOOKUP(,-1/($Z$12:Z1408=1),$C$12:C1408)+LOOKUP(,-1/($Z$12:Z1408=1),$H$12:H1408)-IF(N1407&lt;&gt;0,0,SUM(INDIRECT("T"&amp;(MAX((0&lt;&gt;N$12:N1407)*ROW(N$12:N1407)+1,ROW($T$12))&amp;":T"&amp;(ROW()-1))))),Первоначальный[[#This Row],[Полученный платеж]]+Y1407),
AND(S1407=0,Первоначальный[[#This Row],[Дата платежа из графика]]=1),MIN(LOOKUP(,-1/($Z$12:Z1408=1),$C$12:C1408)+LOOKUP(,-1/($Z$12:Z1408=1),$H$12:H1408)-IF(Z1407=1,0,SUM(INDIRECT("T"&amp;(MAX((1=Z$12:Z1407)*ROW(Z$12:Z1407)+1,ROW($T$12))&amp;":T"&amp;(ROW()-1))))),Первоначальный[[#This Row],[Полученный платеж]]+Y1407),
AND(Z1407&gt;0,Первоначальный[[#This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платеж]]+Y1407),
AND(S1407&gt;0,MAX((0&lt;&gt;S$12:S1407)*ROW(S$12:S1407),ROW($S$12))&gt;=MAX((1=Z$12:Z1407)*ROW(Z$12:Z1407),ROW($T$12)),TYPE(VLOOKUP("Да",(INDIRECT("AA"&amp;(MAX((1=Z$12:Z1407)*ROW(Z$12:Z1407),ROW($T$12))&amp;":AA"&amp;(ROW()-1)))),1,0))=16),MIN(LOOKUP(,-1/($Z$12:Z1408=1),$C$12:C1408)+LOOKUP(,-1/($Z$12:Z1408=1),$H$12:H1408)-SUM(INDIRECT("T"&amp;(MAX((1=Z$12:Z1407)*ROW(Z$12:Z1407),ROW($T$12))&amp;":T"&amp;(ROW()-1)))),Первоначальный[[#This Row],[Полученный платеж]]+Y1407),
S1407&gt;0,MIN(LOOKUP(,-1/($Z$12:Z1408=1),$C$12:C1408)+LOOKUP(,-1/($Z$12:Z1408=1),$H$12:H1408)-IF(Z1407=1,0,SUM(INDIRECT("T"&amp;(MAX((1=Z$12:Z1407)*ROW(Z$12:Z1407)+1,ROW($T$12))&amp;":T"&amp;(ROW()-1))))),Первоначальный[[#This Row],[Полученный платеж]]+Y1407)
)
)
)</f>
        <v>0</v>
      </c>
      <c r="U140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платеж]]+Y1407-Первоначальный[[#This Row],[Полученный платёж по процентам]])</f>
        <v>0</v>
      </c>
      <c r="V1408" s="55">
        <f t="shared" ca="1" si="255"/>
        <v>0</v>
      </c>
      <c r="W1408" s="55" cm="1">
        <f t="array" aca="1" ref="W1408" ca="1">IF(Первоначальный[[#This Row],[Итого остаток на начало периода]]&lt;1,0,
_xlfn.IFS(
AND(TYPE(VLOOKUP(1,$Z$12:Z1408,1,0))=16,Первоначальный[[#This Row],[Досрочное погашение (да/"")]]=""),0,
AND(S1407=0,Первоначальный[[#This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платеж]]+Y1407-SUM(Первоначальный[[#This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комиссиям]]),VLOOKUP(LOOKUP(,-1/($Z$12:Z1408=1),$A$12:A1408),График[[Срок конец]:[Возврат основной суммы долга]],3,0)),
AND(S1407=0,Первоначальный[[#This Row],[Дата платежа из графика]]="",Первоначальный[[#This Row],[Досрочное погашение (да/"")]]&lt;&gt;"Да"),0,
AND(S1407=0,Первоначальный[[#This Row],[Досрочное погашение (да/"")]]=""),MIN(Первоначальный[[#This Row],[Полученный платеж]]+Y1407-SUM(Первоначальный[[#This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комиссиям]]),VLOOKUP(LOOKUP(,-1/($Z$12:Z1408=1),$A$12:A1408),График[[Срок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платеж]]+Y1407-SUM(Первоначальный[[#This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S1407&gt;0,MIN(Первоначальный[[#This Row],[Полученный платеж]]+Y1407-SUM(Первоначальный[[#This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комиссиям]]),SUM(INDIRECT("M"&amp;(MAX((1=S$12:S1407)*ROW(S$12:S1407),ROW($W$12))&amp;":M"&amp;(ROW()))))-SUM(INDIRECT("W"&amp;(MAX((1=S$12:S1407)*ROW(S$12:S1407),ROW($W$12))&amp;":W"&amp;(ROW()-1)))))
)
)</f>
        <v>0</v>
      </c>
      <c r="X1408" s="55">
        <f t="shared" ca="1" si="256"/>
        <v>0</v>
      </c>
      <c r="Y1408" s="101">
        <f t="shared" ca="1" si="263"/>
        <v>0</v>
      </c>
      <c r="Z1408" s="133" t="str">
        <f>IF(TYPE((VLOOKUP(Первоначальный[[#This Row],[Дата платежа]],График[Срок конец],1,0)))=16,"",1)</f>
        <v/>
      </c>
      <c r="AA1408" s="57"/>
      <c r="AB1408" s="134"/>
      <c r="AC140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0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100430.70000000008</v>
      </c>
      <c r="AE140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8329.6400000000122</v>
      </c>
      <c r="AF140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0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414807.14327541005</v>
      </c>
      <c r="AH1408" s="55"/>
      <c r="AI1408" s="55"/>
      <c r="AJ1408" s="55"/>
      <c r="AK1408" s="101">
        <f t="shared" ca="1" si="264"/>
        <v>673200.8232754101</v>
      </c>
      <c r="AL1408" s="129">
        <f t="array" ref="AL1408">MAX((УслРестрактов[Характеристика]="Дата реструктуризации")*(УслРестрактов[Значение]=Первоначальный!$A1408),0)</f>
        <v>0</v>
      </c>
    </row>
    <row r="1409" spans="1:38" x14ac:dyDescent="0.25">
      <c r="A1409" s="97">
        <f t="shared" si="257"/>
        <v>45540</v>
      </c>
      <c r="B1409" s="100">
        <f t="shared" ca="1" si="258"/>
        <v>149633.34</v>
      </c>
      <c r="C1409" s="55">
        <f t="shared" ref="C1409:D1472" ca="1" si="266">AD1408+AI1408</f>
        <v>100430.70000000008</v>
      </c>
      <c r="D1409" s="55">
        <f t="shared" ca="1" si="266"/>
        <v>8329.6400000000122</v>
      </c>
      <c r="E1409" s="55">
        <f t="shared" ca="1" si="259"/>
        <v>0</v>
      </c>
      <c r="F1409" s="55">
        <f t="shared" ca="1" si="260"/>
        <v>414807.14327541005</v>
      </c>
      <c r="G1409" s="101">
        <f t="shared" ca="1" si="261"/>
        <v>673200.8232754101</v>
      </c>
      <c r="H1409" s="100">
        <f ca="1">ROUND($B1409*VLOOKUP($A1409,$A$1:$B$10,2,1)/(365+IF(MOD(YEAR($A1409),4),0,1)*($A1409-$A1408)),2)-Первоначальный[[#This Row],[Проценты на просроченный платеж по ОД за период]]</f>
        <v>67.289999999999992</v>
      </c>
      <c r="I1409" s="55">
        <f t="shared" ca="1" si="262"/>
        <v>14.07</v>
      </c>
      <c r="J1409" s="55">
        <v>0</v>
      </c>
      <c r="K1409" s="55">
        <f t="shared" ca="1" si="265"/>
        <v>622.78850327868849</v>
      </c>
      <c r="L1409" s="55">
        <v>0</v>
      </c>
      <c r="M1409" s="113">
        <f>SUMIFS(График[Возврат основной суммы долга],График[Дата с учетом нерабочих дней],$A1409)</f>
        <v>0</v>
      </c>
      <c r="N1409" s="56">
        <f>SUMIFS(График[Возврат начисленных %],График[Дата с учетом нерабочих дней],$A1409)</f>
        <v>0</v>
      </c>
      <c r="O1409" s="101">
        <v>0</v>
      </c>
      <c r="P1409" s="100" cm="1">
        <f t="array" aca="1" ref="P1409" ca="1">MAX(IF(AA1408="Да",0,SUM(INDIRECT("M"&amp;(MAX(("Да"=AA$12:AA1408)*ROW(AA$12:AA1408)+1,ROW($P$12))&amp;":M"&amp;(ROW()))))-SUM(INDIRECT("W"&amp;(MAX(("Да"=AA$12:AA1408)*ROW(AA$12:AA1408)+1,ROW($P$12))&amp;":W"&amp;(ROW()))))),0)</f>
        <v>25882.119999999995</v>
      </c>
      <c r="Q1409" s="99">
        <f ca="1">MAX(SUM($N$13:N1409)-SUM($T$13:T1409),0)</f>
        <v>98675.580655737693</v>
      </c>
      <c r="R1409" s="99">
        <f ca="1">Первоначальный[[#This Row],[Просроченный платеж по ОД]]+Первоначальный[[#This Row],[Просроченный платеж по процентам]]</f>
        <v>124557.70065573769</v>
      </c>
      <c r="S1409" s="120">
        <f ca="1">IF(Первоначальный[[#This Row],[Просроченный платеж]]&lt;1,0,S1408+1)</f>
        <v>1305</v>
      </c>
      <c r="T1409" s="100" cm="1">
        <f t="array" aca="1" ref="T1409" ca="1">IF(Первоначальный[[#This Row],[Итого остаток на начало периода]]&lt;1,0,
IF(
AND(TYPE(VLOOKUP(1,$Z$12:Z1409,1,0))=16,Первоначальный[[#This Row],[Досрочное погашение (да/"")]]=""),0,
_xlfn.IFS(AND(S1408=0,Первоначальный[[#This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платеж]]&lt;&gt;0),MIN(LOOKUP(,-1/($Z$12:Z1409=1),$C$12:C1409)+LOOKUP(,-1/($Z$12:Z1409=1),$H$12:H1409),Первоначальный[[#This Row],[Полученный платеж]]+Y1408),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платеж]]+Y1408,SUM(Первоначальный[[#This Row],[Остаток процентов на начало периода]],Первоначальный[[#This Row],[Проценты за период]])),
AND(S1408=0,Первоначальный[[#This Row],[Дата платежа из графика]]=""),0,
AND(S1408=0,Первоначальный[[#This Row],[Дата платежа из графика]]=1,MAX((0&lt;&gt;S$12:S1408)*ROW(S$12:S1408),ROW($S$12))&gt;=MAX((1=Z$12:Z1408)*ROW(Z$12:Z1408),ROW($T$12)),TYPE(VLOOKUP("Да",(INDIRECT("AA"&amp;(MAX((1=Z$12:Z1408)*ROW(Z$12:Z1408),ROW($T$12))&amp;":AA"&amp;(ROW()-1)))),1,0))=16),MIN(LOOKUP(,-1/($Z$12:Z1409=1),$C$12:C1409)+LOOKUP(,-1/($Z$12:Z1409=1),$H$12:H1409),Первоначальный[[#This Row],[Полученный платеж]]+Y1408),
AND(S1408=0,TYPE(VLOOKUP("Да",(INDIRECT("AA"&amp;(MAX((1=Z$12:Z1408)*ROW(Z$12:Z1408),ROW($T$12))&amp;":AA"&amp;(ROW()-1)))),1,0))&lt;&gt;16),MIN(LOOKUP(,-1/($Z$12:Z1409=1),$C$12:C1409)+LOOKUP(,-1/($Z$12:Z1409=1),$H$12:H1409)-IF(AA1408="Да",0,SUM(INDIRECT("T"&amp;(MAX(("Да"=AA$12:AA1408)*ROW(AA$12:AA1408)+1,ROW($T$12))&amp;":T"&amp;(ROW()-1))))),Первоначальный[[#This Row],[Полученный платеж]]+Y1408),
AND(S1408=0,MAX((0&lt;&gt;N$12:N1408)*ROW(N$12:N1408),ROW($S$12))&gt;=MAX((1=Z$12:Z1408)*ROW(Z$12:Z1408),ROW($T$12))),MIN(LOOKUP(,-1/($Z$12:Z1409=1),$C$12:C1409)+LOOKUP(,-1/($Z$12:Z1409=1),$H$12:H1409)-IF(N1408&lt;&gt;0,0,SUM(INDIRECT("T"&amp;(MAX((0&lt;&gt;N$12:N1408)*ROW(N$12:N1408)+1,ROW($T$12))&amp;":T"&amp;(ROW()-1))))),Первоначальный[[#This Row],[Полученный платеж]]+Y1408),
AND(S1408=0,Первоначальный[[#This Row],[Дата платежа из графика]]=1),MIN(LOOKUP(,-1/($Z$12:Z1409=1),$C$12:C1409)+LOOKUP(,-1/($Z$12:Z1409=1),$H$12:H1409)-IF(Z1408=1,0,SUM(INDIRECT("T"&amp;(MAX((1=Z$12:Z1408)*ROW(Z$12:Z1408)+1,ROW($T$12))&amp;":T"&amp;(ROW()-1))))),Первоначальный[[#This Row],[Полученный платеж]]+Y1408),
AND(Z1408&gt;0,Первоначальный[[#This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платеж]]+Y1408),
AND(S1408&gt;0,MAX((0&lt;&gt;S$12:S1408)*ROW(S$12:S1408),ROW($S$12))&gt;=MAX((1=Z$12:Z1408)*ROW(Z$12:Z1408),ROW($T$12)),TYPE(VLOOKUP("Да",(INDIRECT("AA"&amp;(MAX((1=Z$12:Z1408)*ROW(Z$12:Z1408),ROW($T$12))&amp;":AA"&amp;(ROW()-1)))),1,0))=16),MIN(LOOKUP(,-1/($Z$12:Z1409=1),$C$12:C1409)+LOOKUP(,-1/($Z$12:Z1409=1),$H$12:H1409)-SUM(INDIRECT("T"&amp;(MAX((1=Z$12:Z1408)*ROW(Z$12:Z1408),ROW($T$12))&amp;":T"&amp;(ROW()-1)))),Первоначальный[[#This Row],[Полученный платеж]]+Y1408),
S1408&gt;0,MIN(LOOKUP(,-1/($Z$12:Z1409=1),$C$12:C1409)+LOOKUP(,-1/($Z$12:Z1409=1),$H$12:H1409)-IF(Z1408=1,0,SUM(INDIRECT("T"&amp;(MAX((1=Z$12:Z1408)*ROW(Z$12:Z1408)+1,ROW($T$12))&amp;":T"&amp;(ROW()-1))))),Первоначальный[[#This Row],[Полученный платеж]]+Y1408)
)
)
)</f>
        <v>0</v>
      </c>
      <c r="U140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платеж]]+Y1408-Первоначальный[[#This Row],[Полученный платёж по процентам]])</f>
        <v>0</v>
      </c>
      <c r="V1409" s="55">
        <f t="shared" ca="1" si="255"/>
        <v>0</v>
      </c>
      <c r="W1409" s="55" cm="1">
        <f t="array" aca="1" ref="W1409" ca="1">IF(Первоначальный[[#This Row],[Итого остаток на начало периода]]&lt;1,0,
_xlfn.IFS(
AND(TYPE(VLOOKUP(1,$Z$12:Z1409,1,0))=16,Первоначальный[[#This Row],[Досрочное погашение (да/"")]]=""),0,
AND(S1408=0,Первоначальный[[#This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платеж]]+Y1408-SUM(Первоначальный[[#This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комиссиям]]),VLOOKUP(LOOKUP(,-1/($Z$12:Z1409=1),$A$12:A1409),График[[Срок конец]:[Возврат основной суммы долга]],3,0)),
AND(S1408=0,Первоначальный[[#This Row],[Дата платежа из графика]]="",Первоначальный[[#This Row],[Досрочное погашение (да/"")]]&lt;&gt;"Да"),0,
AND(S1408=0,Первоначальный[[#This Row],[Досрочное погашение (да/"")]]=""),MIN(Первоначальный[[#This Row],[Полученный платеж]]+Y1408-SUM(Первоначальный[[#This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комиссиям]]),VLOOKUP(LOOKUP(,-1/($Z$12:Z1409=1),$A$12:A1409),График[[Срок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платеж]]+Y1408-SUM(Первоначальный[[#This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S1408&gt;0,MIN(Первоначальный[[#This Row],[Полученный платеж]]+Y1408-SUM(Первоначальный[[#This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комиссиям]]),SUM(INDIRECT("M"&amp;(MAX((1=S$12:S1408)*ROW(S$12:S1408),ROW($W$12))&amp;":M"&amp;(ROW()))))-SUM(INDIRECT("W"&amp;(MAX((1=S$12:S1408)*ROW(S$12:S1408),ROW($W$12))&amp;":W"&amp;(ROW()-1)))))
)
)</f>
        <v>0</v>
      </c>
      <c r="X1409" s="55">
        <f t="shared" ca="1" si="256"/>
        <v>0</v>
      </c>
      <c r="Y1409" s="101">
        <f t="shared" ca="1" si="263"/>
        <v>0</v>
      </c>
      <c r="Z1409" s="133" t="str">
        <f>IF(TYPE((VLOOKUP(Первоначальный[[#This Row],[Дата платежа]],График[Срок конец],1,0)))=16,"",1)</f>
        <v/>
      </c>
      <c r="AA1409" s="57"/>
      <c r="AB1409" s="134"/>
      <c r="AC140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0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100497.99000000008</v>
      </c>
      <c r="AE140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8343.7100000000119</v>
      </c>
      <c r="AF140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0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415429.93177868874</v>
      </c>
      <c r="AH1409" s="55"/>
      <c r="AI1409" s="55"/>
      <c r="AJ1409" s="55"/>
      <c r="AK1409" s="101">
        <f t="shared" ca="1" si="264"/>
        <v>673904.97177868884</v>
      </c>
      <c r="AL1409" s="129">
        <f t="array" ref="AL1409">MAX((УслРестрактов[Характеристика]="Дата реструктуризации")*(УслРестрактов[Значение]=Первоначальный!$A1409),0)</f>
        <v>0</v>
      </c>
    </row>
    <row r="1410" spans="1:38" x14ac:dyDescent="0.25">
      <c r="A1410" s="97">
        <f t="shared" si="257"/>
        <v>45541</v>
      </c>
      <c r="B1410" s="100">
        <f t="shared" ca="1" si="258"/>
        <v>149633.34</v>
      </c>
      <c r="C1410" s="55">
        <f t="shared" ca="1" si="266"/>
        <v>100497.99000000008</v>
      </c>
      <c r="D1410" s="55">
        <f t="shared" ca="1" si="266"/>
        <v>8343.7100000000119</v>
      </c>
      <c r="E1410" s="55">
        <f t="shared" ca="1" si="259"/>
        <v>0</v>
      </c>
      <c r="F1410" s="55">
        <f t="shared" ca="1" si="260"/>
        <v>415429.93177868874</v>
      </c>
      <c r="G1410" s="101">
        <f t="shared" ca="1" si="261"/>
        <v>673904.97177868884</v>
      </c>
      <c r="H1410" s="100">
        <f ca="1">ROUND($B1410*VLOOKUP($A1410,$A$1:$B$10,2,1)/(365+IF(MOD(YEAR($A1410),4),0,1)*($A1410-$A1409)),2)-Первоначальный[[#This Row],[Проценты на просроченный платеж по ОД за период]]</f>
        <v>67.289999999999992</v>
      </c>
      <c r="I1410" s="55">
        <f t="shared" ca="1" si="262"/>
        <v>14.07</v>
      </c>
      <c r="J1410" s="55">
        <v>0</v>
      </c>
      <c r="K1410" s="55">
        <f t="shared" ca="1" si="265"/>
        <v>622.78850327868849</v>
      </c>
      <c r="L1410" s="55">
        <v>0</v>
      </c>
      <c r="M1410" s="113">
        <f>SUMIFS(График[Возврат основной суммы долга],График[Дата с учетом нерабочих дней],$A1410)</f>
        <v>0</v>
      </c>
      <c r="N1410" s="56">
        <f>SUMIFS(График[Возврат начисленных %],График[Дата с учетом нерабочих дней],$A1410)</f>
        <v>0</v>
      </c>
      <c r="O1410" s="101">
        <v>0</v>
      </c>
      <c r="P1410" s="100" cm="1">
        <f t="array" aca="1" ref="P1410" ca="1">MAX(IF(AA1409="Да",0,SUM(INDIRECT("M"&amp;(MAX(("Да"=AA$12:AA1409)*ROW(AA$12:AA1409)+1,ROW($P$12))&amp;":M"&amp;(ROW()))))-SUM(INDIRECT("W"&amp;(MAX(("Да"=AA$12:AA1409)*ROW(AA$12:AA1409)+1,ROW($P$12))&amp;":W"&amp;(ROW()))))),0)</f>
        <v>25882.119999999995</v>
      </c>
      <c r="Q1410" s="99">
        <f ca="1">MAX(SUM($N$13:N1410)-SUM($T$13:T1410),0)</f>
        <v>98675.580655737693</v>
      </c>
      <c r="R1410" s="99">
        <f ca="1">Первоначальный[[#This Row],[Просроченный платеж по ОД]]+Первоначальный[[#This Row],[Просроченный платеж по процентам]]</f>
        <v>124557.70065573769</v>
      </c>
      <c r="S1410" s="120">
        <f ca="1">IF(Первоначальный[[#This Row],[Просроченный платеж]]&lt;1,0,S1409+1)</f>
        <v>1306</v>
      </c>
      <c r="T1410" s="100" cm="1">
        <f t="array" aca="1" ref="T1410" ca="1">IF(Первоначальный[[#This Row],[Итого остаток на начало периода]]&lt;1,0,
IF(
AND(TYPE(VLOOKUP(1,$Z$12:Z1410,1,0))=16,Первоначальный[[#This Row],[Досрочное погашение (да/"")]]=""),0,
_xlfn.IFS(AND(S1409=0,Первоначальный[[#This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платеж]]&lt;&gt;0),MIN(LOOKUP(,-1/($Z$12:Z1410=1),$C$12:C1410)+LOOKUP(,-1/($Z$12:Z1410=1),$H$12:H1410),Первоначальный[[#This Row],[Полученный платеж]]+Y1409),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платеж]]+Y1409,SUM(Первоначальный[[#This Row],[Остаток процентов на начало периода]],Первоначальный[[#This Row],[Проценты за период]])),
AND(S1409=0,Первоначальный[[#This Row],[Дата платежа из графика]]=""),0,
AND(S1409=0,Первоначальный[[#This Row],[Дата платежа из графика]]=1,MAX((0&lt;&gt;S$12:S1409)*ROW(S$12:S1409),ROW($S$12))&gt;=MAX((1=Z$12:Z1409)*ROW(Z$12:Z1409),ROW($T$12)),TYPE(VLOOKUP("Да",(INDIRECT("AA"&amp;(MAX((1=Z$12:Z1409)*ROW(Z$12:Z1409),ROW($T$12))&amp;":AA"&amp;(ROW()-1)))),1,0))=16),MIN(LOOKUP(,-1/($Z$12:Z1410=1),$C$12:C1410)+LOOKUP(,-1/($Z$12:Z1410=1),$H$12:H1410),Первоначальный[[#This Row],[Полученный платеж]]+Y1409),
AND(S1409=0,TYPE(VLOOKUP("Да",(INDIRECT("AA"&amp;(MAX((1=Z$12:Z1409)*ROW(Z$12:Z1409),ROW($T$12))&amp;":AA"&amp;(ROW()-1)))),1,0))&lt;&gt;16),MIN(LOOKUP(,-1/($Z$12:Z1410=1),$C$12:C1410)+LOOKUP(,-1/($Z$12:Z1410=1),$H$12:H1410)-IF(AA1409="Да",0,SUM(INDIRECT("T"&amp;(MAX(("Да"=AA$12:AA1409)*ROW(AA$12:AA1409)+1,ROW($T$12))&amp;":T"&amp;(ROW()-1))))),Первоначальный[[#This Row],[Полученный платеж]]+Y1409),
AND(S1409=0,MAX((0&lt;&gt;N$12:N1409)*ROW(N$12:N1409),ROW($S$12))&gt;=MAX((1=Z$12:Z1409)*ROW(Z$12:Z1409),ROW($T$12))),MIN(LOOKUP(,-1/($Z$12:Z1410=1),$C$12:C1410)+LOOKUP(,-1/($Z$12:Z1410=1),$H$12:H1410)-IF(N1409&lt;&gt;0,0,SUM(INDIRECT("T"&amp;(MAX((0&lt;&gt;N$12:N1409)*ROW(N$12:N1409)+1,ROW($T$12))&amp;":T"&amp;(ROW()-1))))),Первоначальный[[#This Row],[Полученный платеж]]+Y1409),
AND(S1409=0,Первоначальный[[#This Row],[Дата платежа из графика]]=1),MIN(LOOKUP(,-1/($Z$12:Z1410=1),$C$12:C1410)+LOOKUP(,-1/($Z$12:Z1410=1),$H$12:H1410)-IF(Z1409=1,0,SUM(INDIRECT("T"&amp;(MAX((1=Z$12:Z1409)*ROW(Z$12:Z1409)+1,ROW($T$12))&amp;":T"&amp;(ROW()-1))))),Первоначальный[[#This Row],[Полученный платеж]]+Y1409),
AND(Z1409&gt;0,Первоначальный[[#This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платеж]]+Y1409),
AND(S1409&gt;0,MAX((0&lt;&gt;S$12:S1409)*ROW(S$12:S1409),ROW($S$12))&gt;=MAX((1=Z$12:Z1409)*ROW(Z$12:Z1409),ROW($T$12)),TYPE(VLOOKUP("Да",(INDIRECT("AA"&amp;(MAX((1=Z$12:Z1409)*ROW(Z$12:Z1409),ROW($T$12))&amp;":AA"&amp;(ROW()-1)))),1,0))=16),MIN(LOOKUP(,-1/($Z$12:Z1410=1),$C$12:C1410)+LOOKUP(,-1/($Z$12:Z1410=1),$H$12:H1410)-SUM(INDIRECT("T"&amp;(MAX((1=Z$12:Z1409)*ROW(Z$12:Z1409),ROW($T$12))&amp;":T"&amp;(ROW()-1)))),Первоначальный[[#This Row],[Полученный платеж]]+Y1409),
S1409&gt;0,MIN(LOOKUP(,-1/($Z$12:Z1410=1),$C$12:C1410)+LOOKUP(,-1/($Z$12:Z1410=1),$H$12:H1410)-IF(Z1409=1,0,SUM(INDIRECT("T"&amp;(MAX((1=Z$12:Z1409)*ROW(Z$12:Z1409)+1,ROW($T$12))&amp;":T"&amp;(ROW()-1))))),Первоначальный[[#This Row],[Полученный платеж]]+Y1409)
)
)
)</f>
        <v>0</v>
      </c>
      <c r="U141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платеж]]+Y1409-Первоначальный[[#This Row],[Полученный платёж по процентам]])</f>
        <v>0</v>
      </c>
      <c r="V1410" s="55">
        <f t="shared" ca="1" si="255"/>
        <v>0</v>
      </c>
      <c r="W1410" s="55" cm="1">
        <f t="array" aca="1" ref="W1410" ca="1">IF(Первоначальный[[#This Row],[Итого остаток на начало периода]]&lt;1,0,
_xlfn.IFS(
AND(TYPE(VLOOKUP(1,$Z$12:Z1410,1,0))=16,Первоначальный[[#This Row],[Досрочное погашение (да/"")]]=""),0,
AND(S1409=0,Первоначальный[[#This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платеж]]+Y1409-SUM(Первоначальный[[#This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комиссиям]]),VLOOKUP(LOOKUP(,-1/($Z$12:Z1410=1),$A$12:A1410),График[[Срок конец]:[Возврат основной суммы долга]],3,0)),
AND(S1409=0,Первоначальный[[#This Row],[Дата платежа из графика]]="",Первоначальный[[#This Row],[Досрочное погашение (да/"")]]&lt;&gt;"Да"),0,
AND(S1409=0,Первоначальный[[#This Row],[Досрочное погашение (да/"")]]=""),MIN(Первоначальный[[#This Row],[Полученный платеж]]+Y1409-SUM(Первоначальный[[#This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комиссиям]]),VLOOKUP(LOOKUP(,-1/($Z$12:Z1410=1),$A$12:A1410),График[[Срок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платеж]]+Y1409-SUM(Первоначальный[[#This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S1409&gt;0,MIN(Первоначальный[[#This Row],[Полученный платеж]]+Y1409-SUM(Первоначальный[[#This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комиссиям]]),SUM(INDIRECT("M"&amp;(MAX((1=S$12:S1409)*ROW(S$12:S1409),ROW($W$12))&amp;":M"&amp;(ROW()))))-SUM(INDIRECT("W"&amp;(MAX((1=S$12:S1409)*ROW(S$12:S1409),ROW($W$12))&amp;":W"&amp;(ROW()-1)))))
)
)</f>
        <v>0</v>
      </c>
      <c r="X1410" s="55">
        <f t="shared" ca="1" si="256"/>
        <v>0</v>
      </c>
      <c r="Y1410" s="101">
        <f t="shared" ca="1" si="263"/>
        <v>0</v>
      </c>
      <c r="Z1410" s="133" t="str">
        <f>IF(TYPE((VLOOKUP(Первоначальный[[#This Row],[Дата платежа]],График[Срок конец],1,0)))=16,"",1)</f>
        <v/>
      </c>
      <c r="AA1410" s="57"/>
      <c r="AB1410" s="134"/>
      <c r="AC141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1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100565.28000000007</v>
      </c>
      <c r="AE141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8357.7800000000116</v>
      </c>
      <c r="AF141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1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416052.72028196743</v>
      </c>
      <c r="AH1410" s="55"/>
      <c r="AI1410" s="55"/>
      <c r="AJ1410" s="55"/>
      <c r="AK1410" s="101">
        <f t="shared" ca="1" si="264"/>
        <v>674609.12028196745</v>
      </c>
      <c r="AL1410" s="129">
        <f t="array" ref="AL1410">MAX((УслРестрактов[Характеристика]="Дата реструктуризации")*(УслРестрактов[Значение]=Первоначальный!$A1410),0)</f>
        <v>0</v>
      </c>
    </row>
    <row r="1411" spans="1:38" x14ac:dyDescent="0.25">
      <c r="A1411" s="97">
        <f t="shared" si="257"/>
        <v>45542</v>
      </c>
      <c r="B1411" s="100">
        <f t="shared" ca="1" si="258"/>
        <v>149633.34</v>
      </c>
      <c r="C1411" s="55">
        <f t="shared" ca="1" si="266"/>
        <v>100565.28000000007</v>
      </c>
      <c r="D1411" s="55">
        <f t="shared" ca="1" si="266"/>
        <v>8357.7800000000116</v>
      </c>
      <c r="E1411" s="55">
        <f t="shared" ca="1" si="259"/>
        <v>0</v>
      </c>
      <c r="F1411" s="55">
        <f t="shared" ca="1" si="260"/>
        <v>416052.72028196743</v>
      </c>
      <c r="G1411" s="101">
        <f t="shared" ca="1" si="261"/>
        <v>674609.12028196745</v>
      </c>
      <c r="H1411" s="100">
        <f ca="1">ROUND($B1411*VLOOKUP($A1411,$A$1:$B$10,2,1)/(365+IF(MOD(YEAR($A1411),4),0,1)*($A1411-$A1410)),2)-Первоначальный[[#This Row],[Проценты на просроченный платеж по ОД за период]]</f>
        <v>67.289999999999992</v>
      </c>
      <c r="I1411" s="55">
        <f t="shared" ca="1" si="262"/>
        <v>14.07</v>
      </c>
      <c r="J1411" s="55">
        <v>0</v>
      </c>
      <c r="K1411" s="55">
        <f t="shared" ca="1" si="265"/>
        <v>622.78850327868849</v>
      </c>
      <c r="L1411" s="55">
        <v>0</v>
      </c>
      <c r="M1411" s="113">
        <f>SUMIFS(График[Возврат основной суммы долга],График[Дата с учетом нерабочих дней],$A1411)</f>
        <v>0</v>
      </c>
      <c r="N1411" s="56">
        <f>SUMIFS(График[Возврат начисленных %],График[Дата с учетом нерабочих дней],$A1411)</f>
        <v>0</v>
      </c>
      <c r="O1411" s="101">
        <v>0</v>
      </c>
      <c r="P1411" s="100" cm="1">
        <f t="array" aca="1" ref="P1411" ca="1">MAX(IF(AA1410="Да",0,SUM(INDIRECT("M"&amp;(MAX(("Да"=AA$12:AA1410)*ROW(AA$12:AA1410)+1,ROW($P$12))&amp;":M"&amp;(ROW()))))-SUM(INDIRECT("W"&amp;(MAX(("Да"=AA$12:AA1410)*ROW(AA$12:AA1410)+1,ROW($P$12))&amp;":W"&amp;(ROW()))))),0)</f>
        <v>25882.119999999995</v>
      </c>
      <c r="Q1411" s="99">
        <f ca="1">MAX(SUM($N$13:N1411)-SUM($T$13:T1411),0)</f>
        <v>98675.580655737693</v>
      </c>
      <c r="R1411" s="99">
        <f ca="1">Первоначальный[[#This Row],[Просроченный платеж по ОД]]+Первоначальный[[#This Row],[Просроченный платеж по процентам]]</f>
        <v>124557.70065573769</v>
      </c>
      <c r="S1411" s="120">
        <f ca="1">IF(Первоначальный[[#This Row],[Просроченный платеж]]&lt;1,0,S1410+1)</f>
        <v>1307</v>
      </c>
      <c r="T1411" s="100" cm="1">
        <f t="array" aca="1" ref="T1411" ca="1">IF(Первоначальный[[#This Row],[Итого остаток на начало периода]]&lt;1,0,
IF(
AND(TYPE(VLOOKUP(1,$Z$12:Z1411,1,0))=16,Первоначальный[[#This Row],[Досрочное погашение (да/"")]]=""),0,
_xlfn.IFS(AND(S1410=0,Первоначальный[[#This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платеж]]&lt;&gt;0),MIN(LOOKUP(,-1/($Z$12:Z1411=1),$C$12:C1411)+LOOKUP(,-1/($Z$12:Z1411=1),$H$12:H1411),Первоначальный[[#This Row],[Полученный платеж]]+Y1410),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платеж]]+Y1410,SUM(Первоначальный[[#This Row],[Остаток процентов на начало периода]],Первоначальный[[#This Row],[Проценты за период]])),
AND(S1410=0,Первоначальный[[#This Row],[Дата платежа из графика]]=""),0,
AND(S1410=0,Первоначальный[[#This Row],[Дата платежа из графика]]=1,MAX((0&lt;&gt;S$12:S1410)*ROW(S$12:S1410),ROW($S$12))&gt;=MAX((1=Z$12:Z1410)*ROW(Z$12:Z1410),ROW($T$12)),TYPE(VLOOKUP("Да",(INDIRECT("AA"&amp;(MAX((1=Z$12:Z1410)*ROW(Z$12:Z1410),ROW($T$12))&amp;":AA"&amp;(ROW()-1)))),1,0))=16),MIN(LOOKUP(,-1/($Z$12:Z1411=1),$C$12:C1411)+LOOKUP(,-1/($Z$12:Z1411=1),$H$12:H1411),Первоначальный[[#This Row],[Полученный платеж]]+Y1410),
AND(S1410=0,TYPE(VLOOKUP("Да",(INDIRECT("AA"&amp;(MAX((1=Z$12:Z1410)*ROW(Z$12:Z1410),ROW($T$12))&amp;":AA"&amp;(ROW()-1)))),1,0))&lt;&gt;16),MIN(LOOKUP(,-1/($Z$12:Z1411=1),$C$12:C1411)+LOOKUP(,-1/($Z$12:Z1411=1),$H$12:H1411)-IF(AA1410="Да",0,SUM(INDIRECT("T"&amp;(MAX(("Да"=AA$12:AA1410)*ROW(AA$12:AA1410)+1,ROW($T$12))&amp;":T"&amp;(ROW()-1))))),Первоначальный[[#This Row],[Полученный платеж]]+Y1410),
AND(S1410=0,MAX((0&lt;&gt;N$12:N1410)*ROW(N$12:N1410),ROW($S$12))&gt;=MAX((1=Z$12:Z1410)*ROW(Z$12:Z1410),ROW($T$12))),MIN(LOOKUP(,-1/($Z$12:Z1411=1),$C$12:C1411)+LOOKUP(,-1/($Z$12:Z1411=1),$H$12:H1411)-IF(N1410&lt;&gt;0,0,SUM(INDIRECT("T"&amp;(MAX((0&lt;&gt;N$12:N1410)*ROW(N$12:N1410)+1,ROW($T$12))&amp;":T"&amp;(ROW()-1))))),Первоначальный[[#This Row],[Полученный платеж]]+Y1410),
AND(S1410=0,Первоначальный[[#This Row],[Дата платежа из графика]]=1),MIN(LOOKUP(,-1/($Z$12:Z1411=1),$C$12:C1411)+LOOKUP(,-1/($Z$12:Z1411=1),$H$12:H1411)-IF(Z1410=1,0,SUM(INDIRECT("T"&amp;(MAX((1=Z$12:Z1410)*ROW(Z$12:Z1410)+1,ROW($T$12))&amp;":T"&amp;(ROW()-1))))),Первоначальный[[#This Row],[Полученный платеж]]+Y1410),
AND(Z1410&gt;0,Первоначальный[[#This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платеж]]+Y1410),
AND(S1410&gt;0,MAX((0&lt;&gt;S$12:S1410)*ROW(S$12:S1410),ROW($S$12))&gt;=MAX((1=Z$12:Z1410)*ROW(Z$12:Z1410),ROW($T$12)),TYPE(VLOOKUP("Да",(INDIRECT("AA"&amp;(MAX((1=Z$12:Z1410)*ROW(Z$12:Z1410),ROW($T$12))&amp;":AA"&amp;(ROW()-1)))),1,0))=16),MIN(LOOKUP(,-1/($Z$12:Z1411=1),$C$12:C1411)+LOOKUP(,-1/($Z$12:Z1411=1),$H$12:H1411)-SUM(INDIRECT("T"&amp;(MAX((1=Z$12:Z1410)*ROW(Z$12:Z1410),ROW($T$12))&amp;":T"&amp;(ROW()-1)))),Первоначальный[[#This Row],[Полученный платеж]]+Y1410),
S1410&gt;0,MIN(LOOKUP(,-1/($Z$12:Z1411=1),$C$12:C1411)+LOOKUP(,-1/($Z$12:Z1411=1),$H$12:H1411)-IF(Z1410=1,0,SUM(INDIRECT("T"&amp;(MAX((1=Z$12:Z1410)*ROW(Z$12:Z1410)+1,ROW($T$12))&amp;":T"&amp;(ROW()-1))))),Первоначальный[[#This Row],[Полученный платеж]]+Y1410)
)
)
)</f>
        <v>0</v>
      </c>
      <c r="U141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платеж]]+Y1410-Первоначальный[[#This Row],[Полученный платёж по процентам]])</f>
        <v>0</v>
      </c>
      <c r="V1411" s="55">
        <f t="shared" ca="1" si="255"/>
        <v>0</v>
      </c>
      <c r="W1411" s="55" cm="1">
        <f t="array" aca="1" ref="W1411" ca="1">IF(Первоначальный[[#This Row],[Итого остаток на начало периода]]&lt;1,0,
_xlfn.IFS(
AND(TYPE(VLOOKUP(1,$Z$12:Z1411,1,0))=16,Первоначальный[[#This Row],[Досрочное погашение (да/"")]]=""),0,
AND(S1410=0,Первоначальный[[#This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платеж]]+Y1410-SUM(Первоначальный[[#This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комиссиям]]),VLOOKUP(LOOKUP(,-1/($Z$12:Z1411=1),$A$12:A1411),График[[Срок конец]:[Возврат основной суммы долга]],3,0)),
AND(S1410=0,Первоначальный[[#This Row],[Дата платежа из графика]]="",Первоначальный[[#This Row],[Досрочное погашение (да/"")]]&lt;&gt;"Да"),0,
AND(S1410=0,Первоначальный[[#This Row],[Досрочное погашение (да/"")]]=""),MIN(Первоначальный[[#This Row],[Полученный платеж]]+Y1410-SUM(Первоначальный[[#This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комиссиям]]),VLOOKUP(LOOKUP(,-1/($Z$12:Z1411=1),$A$12:A1411),График[[Срок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платеж]]+Y1410-SUM(Первоначальный[[#This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S1410&gt;0,MIN(Первоначальный[[#This Row],[Полученный платеж]]+Y1410-SUM(Первоначальный[[#This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комиссиям]]),SUM(INDIRECT("M"&amp;(MAX((1=S$12:S1410)*ROW(S$12:S1410),ROW($W$12))&amp;":M"&amp;(ROW()))))-SUM(INDIRECT("W"&amp;(MAX((1=S$12:S1410)*ROW(S$12:S1410),ROW($W$12))&amp;":W"&amp;(ROW()-1)))))
)
)</f>
        <v>0</v>
      </c>
      <c r="X1411" s="55">
        <f t="shared" ca="1" si="256"/>
        <v>0</v>
      </c>
      <c r="Y1411" s="101">
        <f t="shared" ca="1" si="263"/>
        <v>0</v>
      </c>
      <c r="Z1411" s="133" t="str">
        <f>IF(TYPE((VLOOKUP(Первоначальный[[#This Row],[Дата платежа]],График[Срок конец],1,0)))=16,"",1)</f>
        <v/>
      </c>
      <c r="AA1411" s="57"/>
      <c r="AB1411" s="134"/>
      <c r="AC141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1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100632.57000000007</v>
      </c>
      <c r="AE141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8371.8500000000113</v>
      </c>
      <c r="AF141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1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416675.50878524611</v>
      </c>
      <c r="AH1411" s="55"/>
      <c r="AI1411" s="55"/>
      <c r="AJ1411" s="55"/>
      <c r="AK1411" s="101">
        <f t="shared" ca="1" si="264"/>
        <v>675313.26878524618</v>
      </c>
      <c r="AL1411" s="129">
        <f t="array" ref="AL1411">MAX((УслРестрактов[Характеристика]="Дата реструктуризации")*(УслРестрактов[Значение]=Первоначальный!$A1411),0)</f>
        <v>0</v>
      </c>
    </row>
    <row r="1412" spans="1:38" x14ac:dyDescent="0.25">
      <c r="A1412" s="97">
        <f t="shared" si="257"/>
        <v>45543</v>
      </c>
      <c r="B1412" s="100">
        <f t="shared" ca="1" si="258"/>
        <v>149633.34</v>
      </c>
      <c r="C1412" s="55">
        <f t="shared" ca="1" si="266"/>
        <v>100632.57000000007</v>
      </c>
      <c r="D1412" s="55">
        <f t="shared" ca="1" si="266"/>
        <v>8371.8500000000113</v>
      </c>
      <c r="E1412" s="55">
        <f t="shared" ca="1" si="259"/>
        <v>0</v>
      </c>
      <c r="F1412" s="55">
        <f t="shared" ca="1" si="260"/>
        <v>416675.50878524611</v>
      </c>
      <c r="G1412" s="101">
        <f t="shared" ca="1" si="261"/>
        <v>675313.26878524618</v>
      </c>
      <c r="H1412" s="100">
        <f ca="1">ROUND($B1412*VLOOKUP($A1412,$A$1:$B$10,2,1)/(365+IF(MOD(YEAR($A1412),4),0,1)*($A1412-$A1411)),2)-Первоначальный[[#This Row],[Проценты на просроченный платеж по ОД за период]]</f>
        <v>67.289999999999992</v>
      </c>
      <c r="I1412" s="55">
        <f t="shared" ca="1" si="262"/>
        <v>14.07</v>
      </c>
      <c r="J1412" s="55">
        <v>0</v>
      </c>
      <c r="K1412" s="55">
        <f t="shared" ca="1" si="265"/>
        <v>622.78850327868849</v>
      </c>
      <c r="L1412" s="55">
        <v>0</v>
      </c>
      <c r="M1412" s="113">
        <f>SUMIFS(График[Возврат основной суммы долга],График[Дата с учетом нерабочих дней],$A1412)</f>
        <v>0</v>
      </c>
      <c r="N1412" s="56">
        <f>SUMIFS(График[Возврат начисленных %],График[Дата с учетом нерабочих дней],$A1412)</f>
        <v>0</v>
      </c>
      <c r="O1412" s="101">
        <v>0</v>
      </c>
      <c r="P1412" s="100" cm="1">
        <f t="array" aca="1" ref="P1412" ca="1">MAX(IF(AA1411="Да",0,SUM(INDIRECT("M"&amp;(MAX(("Да"=AA$12:AA1411)*ROW(AA$12:AA1411)+1,ROW($P$12))&amp;":M"&amp;(ROW()))))-SUM(INDIRECT("W"&amp;(MAX(("Да"=AA$12:AA1411)*ROW(AA$12:AA1411)+1,ROW($P$12))&amp;":W"&amp;(ROW()))))),0)</f>
        <v>25882.119999999995</v>
      </c>
      <c r="Q1412" s="99">
        <f ca="1">MAX(SUM($N$13:N1412)-SUM($T$13:T1412),0)</f>
        <v>98675.580655737693</v>
      </c>
      <c r="R1412" s="99">
        <f ca="1">Первоначальный[[#This Row],[Просроченный платеж по ОД]]+Первоначальный[[#This Row],[Просроченный платеж по процентам]]</f>
        <v>124557.70065573769</v>
      </c>
      <c r="S1412" s="120">
        <f ca="1">IF(Первоначальный[[#This Row],[Просроченный платеж]]&lt;1,0,S1411+1)</f>
        <v>1308</v>
      </c>
      <c r="T1412" s="100" cm="1">
        <f t="array" aca="1" ref="T1412" ca="1">IF(Первоначальный[[#This Row],[Итого остаток на начало периода]]&lt;1,0,
IF(
AND(TYPE(VLOOKUP(1,$Z$12:Z1412,1,0))=16,Первоначальный[[#This Row],[Досрочное погашение (да/"")]]=""),0,
_xlfn.IFS(AND(S1411=0,Первоначальный[[#This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платеж]]&lt;&gt;0),MIN(LOOKUP(,-1/($Z$12:Z1412=1),$C$12:C1412)+LOOKUP(,-1/($Z$12:Z1412=1),$H$12:H1412),Первоначальный[[#This Row],[Полученный платеж]]+Y1411),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платеж]]+Y1411,SUM(Первоначальный[[#This Row],[Остаток процентов на начало периода]],Первоначальный[[#This Row],[Проценты за период]])),
AND(S1411=0,Первоначальный[[#This Row],[Дата платежа из графика]]=""),0,
AND(S1411=0,Первоначальный[[#This Row],[Дата платежа из графика]]=1,MAX((0&lt;&gt;S$12:S1411)*ROW(S$12:S1411),ROW($S$12))&gt;=MAX((1=Z$12:Z1411)*ROW(Z$12:Z1411),ROW($T$12)),TYPE(VLOOKUP("Да",(INDIRECT("AA"&amp;(MAX((1=Z$12:Z1411)*ROW(Z$12:Z1411),ROW($T$12))&amp;":AA"&amp;(ROW()-1)))),1,0))=16),MIN(LOOKUP(,-1/($Z$12:Z1412=1),$C$12:C1412)+LOOKUP(,-1/($Z$12:Z1412=1),$H$12:H1412),Первоначальный[[#This Row],[Полученный платеж]]+Y1411),
AND(S1411=0,TYPE(VLOOKUP("Да",(INDIRECT("AA"&amp;(MAX((1=Z$12:Z1411)*ROW(Z$12:Z1411),ROW($T$12))&amp;":AA"&amp;(ROW()-1)))),1,0))&lt;&gt;16),MIN(LOOKUP(,-1/($Z$12:Z1412=1),$C$12:C1412)+LOOKUP(,-1/($Z$12:Z1412=1),$H$12:H1412)-IF(AA1411="Да",0,SUM(INDIRECT("T"&amp;(MAX(("Да"=AA$12:AA1411)*ROW(AA$12:AA1411)+1,ROW($T$12))&amp;":T"&amp;(ROW()-1))))),Первоначальный[[#This Row],[Полученный платеж]]+Y1411),
AND(S1411=0,MAX((0&lt;&gt;N$12:N1411)*ROW(N$12:N1411),ROW($S$12))&gt;=MAX((1=Z$12:Z1411)*ROW(Z$12:Z1411),ROW($T$12))),MIN(LOOKUP(,-1/($Z$12:Z1412=1),$C$12:C1412)+LOOKUP(,-1/($Z$12:Z1412=1),$H$12:H1412)-IF(N1411&lt;&gt;0,0,SUM(INDIRECT("T"&amp;(MAX((0&lt;&gt;N$12:N1411)*ROW(N$12:N1411)+1,ROW($T$12))&amp;":T"&amp;(ROW()-1))))),Первоначальный[[#This Row],[Полученный платеж]]+Y1411),
AND(S1411=0,Первоначальный[[#This Row],[Дата платежа из графика]]=1),MIN(LOOKUP(,-1/($Z$12:Z1412=1),$C$12:C1412)+LOOKUP(,-1/($Z$12:Z1412=1),$H$12:H1412)-IF(Z1411=1,0,SUM(INDIRECT("T"&amp;(MAX((1=Z$12:Z1411)*ROW(Z$12:Z1411)+1,ROW($T$12))&amp;":T"&amp;(ROW()-1))))),Первоначальный[[#This Row],[Полученный платеж]]+Y1411),
AND(Z1411&gt;0,Первоначальный[[#This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платеж]]+Y1411),
AND(S1411&gt;0,MAX((0&lt;&gt;S$12:S1411)*ROW(S$12:S1411),ROW($S$12))&gt;=MAX((1=Z$12:Z1411)*ROW(Z$12:Z1411),ROW($T$12)),TYPE(VLOOKUP("Да",(INDIRECT("AA"&amp;(MAX((1=Z$12:Z1411)*ROW(Z$12:Z1411),ROW($T$12))&amp;":AA"&amp;(ROW()-1)))),1,0))=16),MIN(LOOKUP(,-1/($Z$12:Z1412=1),$C$12:C1412)+LOOKUP(,-1/($Z$12:Z1412=1),$H$12:H1412)-SUM(INDIRECT("T"&amp;(MAX((1=Z$12:Z1411)*ROW(Z$12:Z1411),ROW($T$12))&amp;":T"&amp;(ROW()-1)))),Первоначальный[[#This Row],[Полученный платеж]]+Y1411),
S1411&gt;0,MIN(LOOKUP(,-1/($Z$12:Z1412=1),$C$12:C1412)+LOOKUP(,-1/($Z$12:Z1412=1),$H$12:H1412)-IF(Z1411=1,0,SUM(INDIRECT("T"&amp;(MAX((1=Z$12:Z1411)*ROW(Z$12:Z1411)+1,ROW($T$12))&amp;":T"&amp;(ROW()-1))))),Первоначальный[[#This Row],[Полученный платеж]]+Y1411)
)
)
)</f>
        <v>0</v>
      </c>
      <c r="U141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платеж]]+Y1411-Первоначальный[[#This Row],[Полученный платёж по процентам]])</f>
        <v>0</v>
      </c>
      <c r="V1412" s="55">
        <f t="shared" ca="1" si="255"/>
        <v>0</v>
      </c>
      <c r="W1412" s="55" cm="1">
        <f t="array" aca="1" ref="W1412" ca="1">IF(Первоначальный[[#This Row],[Итого остаток на начало периода]]&lt;1,0,
_xlfn.IFS(
AND(TYPE(VLOOKUP(1,$Z$12:Z1412,1,0))=16,Первоначальный[[#This Row],[Досрочное погашение (да/"")]]=""),0,
AND(S1411=0,Первоначальный[[#This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платеж]]+Y1411-SUM(Первоначальный[[#This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комиссиям]]),VLOOKUP(LOOKUP(,-1/($Z$12:Z1412=1),$A$12:A1412),График[[Срок конец]:[Возврат основной суммы долга]],3,0)),
AND(S1411=0,Первоначальный[[#This Row],[Дата платежа из графика]]="",Первоначальный[[#This Row],[Досрочное погашение (да/"")]]&lt;&gt;"Да"),0,
AND(S1411=0,Первоначальный[[#This Row],[Досрочное погашение (да/"")]]=""),MIN(Первоначальный[[#This Row],[Полученный платеж]]+Y1411-SUM(Первоначальный[[#This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комиссиям]]),VLOOKUP(LOOKUP(,-1/($Z$12:Z1412=1),$A$12:A1412),График[[Срок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платеж]]+Y1411-SUM(Первоначальный[[#This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S1411&gt;0,MIN(Первоначальный[[#This Row],[Полученный платеж]]+Y1411-SUM(Первоначальный[[#This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комиссиям]]),SUM(INDIRECT("M"&amp;(MAX((1=S$12:S1411)*ROW(S$12:S1411),ROW($W$12))&amp;":M"&amp;(ROW()))))-SUM(INDIRECT("W"&amp;(MAX((1=S$12:S1411)*ROW(S$12:S1411),ROW($W$12))&amp;":W"&amp;(ROW()-1)))))
)
)</f>
        <v>0</v>
      </c>
      <c r="X1412" s="55">
        <f t="shared" ca="1" si="256"/>
        <v>0</v>
      </c>
      <c r="Y1412" s="101">
        <f t="shared" ca="1" si="263"/>
        <v>0</v>
      </c>
      <c r="Z1412" s="133" t="str">
        <f>IF(TYPE((VLOOKUP(Первоначальный[[#This Row],[Дата платежа]],График[Срок конец],1,0)))=16,"",1)</f>
        <v/>
      </c>
      <c r="AA1412" s="57"/>
      <c r="AB1412" s="134"/>
      <c r="AC141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1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100699.86000000006</v>
      </c>
      <c r="AE141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8385.920000000011</v>
      </c>
      <c r="AF141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1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417298.2972885248</v>
      </c>
      <c r="AH1412" s="55"/>
      <c r="AI1412" s="55"/>
      <c r="AJ1412" s="55"/>
      <c r="AK1412" s="101">
        <f t="shared" ca="1" si="264"/>
        <v>676017.41728852491</v>
      </c>
      <c r="AL1412" s="129">
        <f t="array" ref="AL1412">MAX((УслРестрактов[Характеристика]="Дата реструктуризации")*(УслРестрактов[Значение]=Первоначальный!$A1412),0)</f>
        <v>0</v>
      </c>
    </row>
    <row r="1413" spans="1:38" x14ac:dyDescent="0.25">
      <c r="A1413" s="97">
        <f t="shared" si="257"/>
        <v>45544</v>
      </c>
      <c r="B1413" s="100">
        <f t="shared" ca="1" si="258"/>
        <v>149633.34</v>
      </c>
      <c r="C1413" s="55">
        <f t="shared" ca="1" si="266"/>
        <v>100699.86000000006</v>
      </c>
      <c r="D1413" s="55">
        <f t="shared" ca="1" si="266"/>
        <v>8385.920000000011</v>
      </c>
      <c r="E1413" s="55">
        <f t="shared" ca="1" si="259"/>
        <v>0</v>
      </c>
      <c r="F1413" s="55">
        <f t="shared" ca="1" si="260"/>
        <v>417298.2972885248</v>
      </c>
      <c r="G1413" s="101">
        <f t="shared" ca="1" si="261"/>
        <v>676017.41728852491</v>
      </c>
      <c r="H1413" s="100">
        <f ca="1">ROUND($B1413*VLOOKUP($A1413,$A$1:$B$10,2,1)/(365+IF(MOD(YEAR($A1413),4),0,1)*($A1413-$A1412)),2)-Первоначальный[[#This Row],[Проценты на просроченный платеж по ОД за период]]</f>
        <v>67.289999999999992</v>
      </c>
      <c r="I1413" s="55">
        <f t="shared" ca="1" si="262"/>
        <v>14.07</v>
      </c>
      <c r="J1413" s="55">
        <v>0</v>
      </c>
      <c r="K1413" s="55">
        <f t="shared" ca="1" si="265"/>
        <v>637.27350327868851</v>
      </c>
      <c r="L1413" s="55">
        <v>0</v>
      </c>
      <c r="M1413" s="113">
        <f>SUMIFS(График[Возврат основной суммы долга],График[Дата с учетом нерабочих дней],$A1413)</f>
        <v>811.15000000000009</v>
      </c>
      <c r="N1413" s="56">
        <f>SUMIFS(График[Возврат начисленных %],График[Дата с учетом нерабочих дней],$A1413)</f>
        <v>2085.85</v>
      </c>
      <c r="O1413" s="101">
        <v>0</v>
      </c>
      <c r="P1413" s="100" cm="1">
        <f t="array" aca="1" ref="P1413" ca="1">MAX(IF(AA1412="Да",0,SUM(INDIRECT("M"&amp;(MAX(("Да"=AA$12:AA1412)*ROW(AA$12:AA1412)+1,ROW($P$12))&amp;":M"&amp;(ROW()))))-SUM(INDIRECT("W"&amp;(MAX(("Да"=AA$12:AA1412)*ROW(AA$12:AA1412)+1,ROW($P$12))&amp;":W"&amp;(ROW()))))),0)</f>
        <v>26693.269999999997</v>
      </c>
      <c r="Q1413" s="99">
        <f ca="1">MAX(SUM($N$13:N1413)-SUM($T$13:T1413),0)</f>
        <v>100761.4306557377</v>
      </c>
      <c r="R1413" s="99">
        <f ca="1">Первоначальный[[#This Row],[Просроченный платеж по ОД]]+Первоначальный[[#This Row],[Просроченный платеж по процентам]]</f>
        <v>127454.70065573769</v>
      </c>
      <c r="S1413" s="120">
        <f ca="1">IF(Первоначальный[[#This Row],[Просроченный платеж]]&lt;1,0,S1412+1)</f>
        <v>1309</v>
      </c>
      <c r="T1413" s="100" cm="1">
        <f t="array" aca="1" ref="T1413" ca="1">IF(Первоначальный[[#This Row],[Итого остаток на начало периода]]&lt;1,0,
IF(
AND(TYPE(VLOOKUP(1,$Z$12:Z1413,1,0))=16,Первоначальный[[#This Row],[Досрочное погашение (да/"")]]=""),0,
_xlfn.IFS(AND(S1412=0,Первоначальный[[#This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платеж]]&lt;&gt;0),MIN(LOOKUP(,-1/($Z$12:Z1413=1),$C$12:C1413)+LOOKUP(,-1/($Z$12:Z1413=1),$H$12:H1413),Первоначальный[[#This Row],[Полученный платеж]]+Y1412),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платеж]]+Y1412,SUM(Первоначальный[[#This Row],[Остаток процентов на начало периода]],Первоначальный[[#This Row],[Проценты за период]])),
AND(S1412=0,Первоначальный[[#This Row],[Дата платежа из графика]]=""),0,
AND(S1412=0,Первоначальный[[#This Row],[Дата платежа из графика]]=1,MAX((0&lt;&gt;S$12:S1412)*ROW(S$12:S1412),ROW($S$12))&gt;=MAX((1=Z$12:Z1412)*ROW(Z$12:Z1412),ROW($T$12)),TYPE(VLOOKUP("Да",(INDIRECT("AA"&amp;(MAX((1=Z$12:Z1412)*ROW(Z$12:Z1412),ROW($T$12))&amp;":AA"&amp;(ROW()-1)))),1,0))=16),MIN(LOOKUP(,-1/($Z$12:Z1413=1),$C$12:C1413)+LOOKUP(,-1/($Z$12:Z1413=1),$H$12:H1413),Первоначальный[[#This Row],[Полученный платеж]]+Y1412),
AND(S1412=0,TYPE(VLOOKUP("Да",(INDIRECT("AA"&amp;(MAX((1=Z$12:Z1412)*ROW(Z$12:Z1412),ROW($T$12))&amp;":AA"&amp;(ROW()-1)))),1,0))&lt;&gt;16),MIN(LOOKUP(,-1/($Z$12:Z1413=1),$C$12:C1413)+LOOKUP(,-1/($Z$12:Z1413=1),$H$12:H1413)-IF(AA1412="Да",0,SUM(INDIRECT("T"&amp;(MAX(("Да"=AA$12:AA1412)*ROW(AA$12:AA1412)+1,ROW($T$12))&amp;":T"&amp;(ROW()-1))))),Первоначальный[[#This Row],[Полученный платеж]]+Y1412),
AND(S1412=0,MAX((0&lt;&gt;N$12:N1412)*ROW(N$12:N1412),ROW($S$12))&gt;=MAX((1=Z$12:Z1412)*ROW(Z$12:Z1412),ROW($T$12))),MIN(LOOKUP(,-1/($Z$12:Z1413=1),$C$12:C1413)+LOOKUP(,-1/($Z$12:Z1413=1),$H$12:H1413)-IF(N1412&lt;&gt;0,0,SUM(INDIRECT("T"&amp;(MAX((0&lt;&gt;N$12:N1412)*ROW(N$12:N1412)+1,ROW($T$12))&amp;":T"&amp;(ROW()-1))))),Первоначальный[[#This Row],[Полученный платеж]]+Y1412),
AND(S1412=0,Первоначальный[[#This Row],[Дата платежа из графика]]=1),MIN(LOOKUP(,-1/($Z$12:Z1413=1),$C$12:C1413)+LOOKUP(,-1/($Z$12:Z1413=1),$H$12:H1413)-IF(Z1412=1,0,SUM(INDIRECT("T"&amp;(MAX((1=Z$12:Z1412)*ROW(Z$12:Z1412)+1,ROW($T$12))&amp;":T"&amp;(ROW()-1))))),Первоначальный[[#This Row],[Полученный платеж]]+Y1412),
AND(Z1412&gt;0,Первоначальный[[#This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платеж]]+Y1412),
AND(S1412&gt;0,MAX((0&lt;&gt;S$12:S1412)*ROW(S$12:S1412),ROW($S$12))&gt;=MAX((1=Z$12:Z1412)*ROW(Z$12:Z1412),ROW($T$12)),TYPE(VLOOKUP("Да",(INDIRECT("AA"&amp;(MAX((1=Z$12:Z1412)*ROW(Z$12:Z1412),ROW($T$12))&amp;":AA"&amp;(ROW()-1)))),1,0))=16),MIN(LOOKUP(,-1/($Z$12:Z1413=1),$C$12:C1413)+LOOKUP(,-1/($Z$12:Z1413=1),$H$12:H1413)-SUM(INDIRECT("T"&amp;(MAX((1=Z$12:Z1412)*ROW(Z$12:Z1412),ROW($T$12))&amp;":T"&amp;(ROW()-1)))),Первоначальный[[#This Row],[Полученный платеж]]+Y1412),
S1412&gt;0,MIN(LOOKUP(,-1/($Z$12:Z1413=1),$C$12:C1413)+LOOKUP(,-1/($Z$12:Z1413=1),$H$12:H1413)-IF(Z1412=1,0,SUM(INDIRECT("T"&amp;(MAX((1=Z$12:Z1412)*ROW(Z$12:Z1412)+1,ROW($T$12))&amp;":T"&amp;(ROW()-1))))),Первоначальный[[#This Row],[Полученный платеж]]+Y1412)
)
)
)</f>
        <v>0</v>
      </c>
      <c r="U141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платеж]]+Y1412-Первоначальный[[#This Row],[Полученный платёж по процентам]])</f>
        <v>0</v>
      </c>
      <c r="V1413" s="55">
        <f t="shared" ca="1" si="255"/>
        <v>0</v>
      </c>
      <c r="W1413" s="55" cm="1">
        <f t="array" aca="1" ref="W1413" ca="1">IF(Первоначальный[[#This Row],[Итого остаток на начало периода]]&lt;1,0,
_xlfn.IFS(
AND(TYPE(VLOOKUP(1,$Z$12:Z1413,1,0))=16,Первоначальный[[#This Row],[Досрочное погашение (да/"")]]=""),0,
AND(S1412=0,Первоначальный[[#This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платеж]]+Y1412-SUM(Первоначальный[[#This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комиссиям]]),VLOOKUP(LOOKUP(,-1/($Z$12:Z1413=1),$A$12:A1413),График[[Срок конец]:[Возврат основной суммы долга]],3,0)),
AND(S1412=0,Первоначальный[[#This Row],[Дата платежа из графика]]="",Первоначальный[[#This Row],[Досрочное погашение (да/"")]]&lt;&gt;"Да"),0,
AND(S1412=0,Первоначальный[[#This Row],[Досрочное погашение (да/"")]]=""),MIN(Первоначальный[[#This Row],[Полученный платеж]]+Y1412-SUM(Первоначальный[[#This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комиссиям]]),VLOOKUP(LOOKUP(,-1/($Z$12:Z1413=1),$A$12:A1413),График[[Срок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платеж]]+Y1412-SUM(Первоначальный[[#This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S1412&gt;0,MIN(Первоначальный[[#This Row],[Полученный платеж]]+Y1412-SUM(Первоначальный[[#This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комиссиям]]),SUM(INDIRECT("M"&amp;(MAX((1=S$12:S1412)*ROW(S$12:S1412),ROW($W$12))&amp;":M"&amp;(ROW()))))-SUM(INDIRECT("W"&amp;(MAX((1=S$12:S1412)*ROW(S$12:S1412),ROW($W$12))&amp;":W"&amp;(ROW()-1)))))
)
)</f>
        <v>0</v>
      </c>
      <c r="X1413" s="55">
        <f t="shared" ca="1" si="256"/>
        <v>0</v>
      </c>
      <c r="Y1413" s="101">
        <f t="shared" ca="1" si="263"/>
        <v>0</v>
      </c>
      <c r="Z1413" s="133">
        <f>IF(TYPE((VLOOKUP(Первоначальный[[#This Row],[Дата платежа]],График[Срок конец],1,0)))=16,"",1)</f>
        <v>1</v>
      </c>
      <c r="AA1413" s="57"/>
      <c r="AB1413" s="134"/>
      <c r="AC141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1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100767.15000000005</v>
      </c>
      <c r="AE141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8399.9900000000107</v>
      </c>
      <c r="AF141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1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417935.57079180348</v>
      </c>
      <c r="AH1413" s="55"/>
      <c r="AI1413" s="55"/>
      <c r="AJ1413" s="55"/>
      <c r="AK1413" s="101">
        <f t="shared" ca="1" si="264"/>
        <v>676736.05079180351</v>
      </c>
      <c r="AL1413" s="129">
        <f t="array" ref="AL1413">MAX((УслРестрактов[Характеристика]="Дата реструктуризации")*(УслРестрактов[Значение]=Первоначальный!$A1413),0)</f>
        <v>0</v>
      </c>
    </row>
    <row r="1414" spans="1:38" x14ac:dyDescent="0.25">
      <c r="A1414" s="97">
        <f t="shared" si="257"/>
        <v>45545</v>
      </c>
      <c r="B1414" s="100">
        <f t="shared" ca="1" si="258"/>
        <v>149633.34</v>
      </c>
      <c r="C1414" s="55">
        <f t="shared" ca="1" si="266"/>
        <v>100767.15000000005</v>
      </c>
      <c r="D1414" s="55">
        <f t="shared" ca="1" si="266"/>
        <v>8399.9900000000107</v>
      </c>
      <c r="E1414" s="55">
        <f t="shared" ca="1" si="259"/>
        <v>0</v>
      </c>
      <c r="F1414" s="55">
        <f t="shared" ca="1" si="260"/>
        <v>417935.57079180348</v>
      </c>
      <c r="G1414" s="101">
        <f t="shared" ca="1" si="261"/>
        <v>676736.05079180351</v>
      </c>
      <c r="H1414" s="100">
        <f ca="1">ROUND($B1414*VLOOKUP($A1414,$A$1:$B$10,2,1)/(365+IF(MOD(YEAR($A1414),4),0,1)*($A1414-$A1413)),2)-Первоначальный[[#This Row],[Проценты на просроченный платеж по ОД за период]]</f>
        <v>66.849999999999994</v>
      </c>
      <c r="I1414" s="55">
        <f t="shared" ca="1" si="262"/>
        <v>14.51</v>
      </c>
      <c r="J1414" s="55">
        <v>0</v>
      </c>
      <c r="K1414" s="55">
        <f t="shared" ca="1" si="265"/>
        <v>637.27350327868851</v>
      </c>
      <c r="L1414" s="55">
        <v>0</v>
      </c>
      <c r="M1414" s="113">
        <f>SUMIFS(График[Возврат основной суммы долга],График[Дата с учетом нерабочих дней],$A1414)</f>
        <v>0</v>
      </c>
      <c r="N1414" s="56">
        <f>SUMIFS(График[Возврат начисленных %],График[Дата с учетом нерабочих дней],$A1414)</f>
        <v>0</v>
      </c>
      <c r="O1414" s="101">
        <v>0</v>
      </c>
      <c r="P1414" s="100" cm="1">
        <f t="array" aca="1" ref="P1414" ca="1">MAX(IF(AA1413="Да",0,SUM(INDIRECT("M"&amp;(MAX(("Да"=AA$12:AA1413)*ROW(AA$12:AA1413)+1,ROW($P$12))&amp;":M"&amp;(ROW()))))-SUM(INDIRECT("W"&amp;(MAX(("Да"=AA$12:AA1413)*ROW(AA$12:AA1413)+1,ROW($P$12))&amp;":W"&amp;(ROW()))))),0)</f>
        <v>26693.269999999997</v>
      </c>
      <c r="Q1414" s="99">
        <f ca="1">MAX(SUM($N$13:N1414)-SUM($T$13:T1414),0)</f>
        <v>100761.4306557377</v>
      </c>
      <c r="R1414" s="99">
        <f ca="1">Первоначальный[[#This Row],[Просроченный платеж по ОД]]+Первоначальный[[#This Row],[Просроченный платеж по процентам]]</f>
        <v>127454.70065573769</v>
      </c>
      <c r="S1414" s="120">
        <f ca="1">IF(Первоначальный[[#This Row],[Просроченный платеж]]&lt;1,0,S1413+1)</f>
        <v>1310</v>
      </c>
      <c r="T1414" s="100" cm="1">
        <f t="array" aca="1" ref="T1414" ca="1">IF(Первоначальный[[#This Row],[Итого остаток на начало периода]]&lt;1,0,
IF(
AND(TYPE(VLOOKUP(1,$Z$12:Z1414,1,0))=16,Первоначальный[[#This Row],[Досрочное погашение (да/"")]]=""),0,
_xlfn.IFS(AND(S1413=0,Первоначальный[[#This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платеж]]&lt;&gt;0),MIN(LOOKUP(,-1/($Z$12:Z1414=1),$C$12:C1414)+LOOKUP(,-1/($Z$12:Z1414=1),$H$12:H1414),Первоначальный[[#This Row],[Полученный платеж]]+Y1413),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платеж]]+Y1413,SUM(Первоначальный[[#This Row],[Остаток процентов на начало периода]],Первоначальный[[#This Row],[Проценты за период]])),
AND(S1413=0,Первоначальный[[#This Row],[Дата платежа из графика]]=""),0,
AND(S1413=0,Первоначальный[[#This Row],[Дата платежа из графика]]=1,MAX((0&lt;&gt;S$12:S1413)*ROW(S$12:S1413),ROW($S$12))&gt;=MAX((1=Z$12:Z1413)*ROW(Z$12:Z1413),ROW($T$12)),TYPE(VLOOKUP("Да",(INDIRECT("AA"&amp;(MAX((1=Z$12:Z1413)*ROW(Z$12:Z1413),ROW($T$12))&amp;":AA"&amp;(ROW()-1)))),1,0))=16),MIN(LOOKUP(,-1/($Z$12:Z1414=1),$C$12:C1414)+LOOKUP(,-1/($Z$12:Z1414=1),$H$12:H1414),Первоначальный[[#This Row],[Полученный платеж]]+Y1413),
AND(S1413=0,TYPE(VLOOKUP("Да",(INDIRECT("AA"&amp;(MAX((1=Z$12:Z1413)*ROW(Z$12:Z1413),ROW($T$12))&amp;":AA"&amp;(ROW()-1)))),1,0))&lt;&gt;16),MIN(LOOKUP(,-1/($Z$12:Z1414=1),$C$12:C1414)+LOOKUP(,-1/($Z$12:Z1414=1),$H$12:H1414)-IF(AA1413="Да",0,SUM(INDIRECT("T"&amp;(MAX(("Да"=AA$12:AA1413)*ROW(AA$12:AA1413)+1,ROW($T$12))&amp;":T"&amp;(ROW()-1))))),Первоначальный[[#This Row],[Полученный платеж]]+Y1413),
AND(S1413=0,MAX((0&lt;&gt;N$12:N1413)*ROW(N$12:N1413),ROW($S$12))&gt;=MAX((1=Z$12:Z1413)*ROW(Z$12:Z1413),ROW($T$12))),MIN(LOOKUP(,-1/($Z$12:Z1414=1),$C$12:C1414)+LOOKUP(,-1/($Z$12:Z1414=1),$H$12:H1414)-IF(N1413&lt;&gt;0,0,SUM(INDIRECT("T"&amp;(MAX((0&lt;&gt;N$12:N1413)*ROW(N$12:N1413)+1,ROW($T$12))&amp;":T"&amp;(ROW()-1))))),Первоначальный[[#This Row],[Полученный платеж]]+Y1413),
AND(S1413=0,Первоначальный[[#This Row],[Дата платежа из графика]]=1),MIN(LOOKUP(,-1/($Z$12:Z1414=1),$C$12:C1414)+LOOKUP(,-1/($Z$12:Z1414=1),$H$12:H1414)-IF(Z1413=1,0,SUM(INDIRECT("T"&amp;(MAX((1=Z$12:Z1413)*ROW(Z$12:Z1413)+1,ROW($T$12))&amp;":T"&amp;(ROW()-1))))),Первоначальный[[#This Row],[Полученный платеж]]+Y1413),
AND(Z1413&gt;0,Первоначальный[[#This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платеж]]+Y1413),
AND(S1413&gt;0,MAX((0&lt;&gt;S$12:S1413)*ROW(S$12:S1413),ROW($S$12))&gt;=MAX((1=Z$12:Z1413)*ROW(Z$12:Z1413),ROW($T$12)),TYPE(VLOOKUP("Да",(INDIRECT("AA"&amp;(MAX((1=Z$12:Z1413)*ROW(Z$12:Z1413),ROW($T$12))&amp;":AA"&amp;(ROW()-1)))),1,0))=16),MIN(LOOKUP(,-1/($Z$12:Z1414=1),$C$12:C1414)+LOOKUP(,-1/($Z$12:Z1414=1),$H$12:H1414)-SUM(INDIRECT("T"&amp;(MAX((1=Z$12:Z1413)*ROW(Z$12:Z1413),ROW($T$12))&amp;":T"&amp;(ROW()-1)))),Первоначальный[[#This Row],[Полученный платеж]]+Y1413),
S1413&gt;0,MIN(LOOKUP(,-1/($Z$12:Z1414=1),$C$12:C1414)+LOOKUP(,-1/($Z$12:Z1414=1),$H$12:H1414)-IF(Z1413=1,0,SUM(INDIRECT("T"&amp;(MAX((1=Z$12:Z1413)*ROW(Z$12:Z1413)+1,ROW($T$12))&amp;":T"&amp;(ROW()-1))))),Первоначальный[[#This Row],[Полученный платеж]]+Y1413)
)
)
)</f>
        <v>0</v>
      </c>
      <c r="U141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платеж]]+Y1413-Первоначальный[[#This Row],[Полученный платёж по процентам]])</f>
        <v>0</v>
      </c>
      <c r="V1414" s="55">
        <f t="shared" ca="1" si="255"/>
        <v>0</v>
      </c>
      <c r="W1414" s="55" cm="1">
        <f t="array" aca="1" ref="W1414" ca="1">IF(Первоначальный[[#This Row],[Итого остаток на начало периода]]&lt;1,0,
_xlfn.IFS(
AND(TYPE(VLOOKUP(1,$Z$12:Z1414,1,0))=16,Первоначальный[[#This Row],[Досрочное погашение (да/"")]]=""),0,
AND(S1413=0,Первоначальный[[#This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платеж]]+Y1413-SUM(Первоначальный[[#This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комиссиям]]),VLOOKUP(LOOKUP(,-1/($Z$12:Z1414=1),$A$12:A1414),График[[Срок конец]:[Возврат основной суммы долга]],3,0)),
AND(S1413=0,Первоначальный[[#This Row],[Дата платежа из графика]]="",Первоначальный[[#This Row],[Досрочное погашение (да/"")]]&lt;&gt;"Да"),0,
AND(S1413=0,Первоначальный[[#This Row],[Досрочное погашение (да/"")]]=""),MIN(Первоначальный[[#This Row],[Полученный платеж]]+Y1413-SUM(Первоначальный[[#This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комиссиям]]),VLOOKUP(LOOKUP(,-1/($Z$12:Z1414=1),$A$12:A1414),График[[Срок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платеж]]+Y1413-SUM(Первоначальный[[#This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S1413&gt;0,MIN(Первоначальный[[#This Row],[Полученный платеж]]+Y1413-SUM(Первоначальный[[#This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комиссиям]]),SUM(INDIRECT("M"&amp;(MAX((1=S$12:S1413)*ROW(S$12:S1413),ROW($W$12))&amp;":M"&amp;(ROW()))))-SUM(INDIRECT("W"&amp;(MAX((1=S$12:S1413)*ROW(S$12:S1413),ROW($W$12))&amp;":W"&amp;(ROW()-1)))))
)
)</f>
        <v>0</v>
      </c>
      <c r="X1414" s="55">
        <f t="shared" ca="1" si="256"/>
        <v>0</v>
      </c>
      <c r="Y1414" s="101">
        <f t="shared" ca="1" si="263"/>
        <v>0</v>
      </c>
      <c r="Z1414" s="133" t="str">
        <f>IF(TYPE((VLOOKUP(Первоначальный[[#This Row],[Дата платежа]],График[Срок конец],1,0)))=16,"",1)</f>
        <v/>
      </c>
      <c r="AA1414" s="57"/>
      <c r="AB1414" s="134"/>
      <c r="AC141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1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100834.00000000006</v>
      </c>
      <c r="AE141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8414.5000000000109</v>
      </c>
      <c r="AF141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1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418572.84429508215</v>
      </c>
      <c r="AH1414" s="55"/>
      <c r="AI1414" s="55"/>
      <c r="AJ1414" s="55"/>
      <c r="AK1414" s="101">
        <f t="shared" ca="1" si="264"/>
        <v>677454.68429508223</v>
      </c>
      <c r="AL1414" s="129">
        <f t="array" ref="AL1414">MAX((УслРестрактов[Характеристика]="Дата реструктуризации")*(УслРестрактов[Значение]=Первоначальный!$A1414),0)</f>
        <v>0</v>
      </c>
    </row>
    <row r="1415" spans="1:38" x14ac:dyDescent="0.25">
      <c r="A1415" s="97">
        <f t="shared" si="257"/>
        <v>45546</v>
      </c>
      <c r="B1415" s="100">
        <f t="shared" ca="1" si="258"/>
        <v>149633.34</v>
      </c>
      <c r="C1415" s="55">
        <f t="shared" ca="1" si="266"/>
        <v>100834.00000000006</v>
      </c>
      <c r="D1415" s="55">
        <f t="shared" ca="1" si="266"/>
        <v>8414.5000000000109</v>
      </c>
      <c r="E1415" s="55">
        <f t="shared" ca="1" si="259"/>
        <v>0</v>
      </c>
      <c r="F1415" s="55">
        <f t="shared" ca="1" si="260"/>
        <v>418572.84429508215</v>
      </c>
      <c r="G1415" s="101">
        <f t="shared" ca="1" si="261"/>
        <v>677454.68429508223</v>
      </c>
      <c r="H1415" s="100">
        <f ca="1">ROUND($B1415*VLOOKUP($A1415,$A$1:$B$10,2,1)/(365+IF(MOD(YEAR($A1415),4),0,1)*($A1415-$A1414)),2)-Первоначальный[[#This Row],[Проценты на просроченный платеж по ОД за период]]</f>
        <v>66.849999999999994</v>
      </c>
      <c r="I1415" s="55">
        <f t="shared" ca="1" si="262"/>
        <v>14.51</v>
      </c>
      <c r="J1415" s="55">
        <v>0</v>
      </c>
      <c r="K1415" s="55">
        <f t="shared" ca="1" si="265"/>
        <v>637.27350327868851</v>
      </c>
      <c r="L1415" s="55">
        <v>0</v>
      </c>
      <c r="M1415" s="113">
        <f>SUMIFS(График[Возврат основной суммы долга],График[Дата с учетом нерабочих дней],$A1415)</f>
        <v>0</v>
      </c>
      <c r="N1415" s="56">
        <f>SUMIFS(График[Возврат начисленных %],График[Дата с учетом нерабочих дней],$A1415)</f>
        <v>0</v>
      </c>
      <c r="O1415" s="101">
        <v>0</v>
      </c>
      <c r="P1415" s="100" cm="1">
        <f t="array" aca="1" ref="P1415" ca="1">MAX(IF(AA1414="Да",0,SUM(INDIRECT("M"&amp;(MAX(("Да"=AA$12:AA1414)*ROW(AA$12:AA1414)+1,ROW($P$12))&amp;":M"&amp;(ROW()))))-SUM(INDIRECT("W"&amp;(MAX(("Да"=AA$12:AA1414)*ROW(AA$12:AA1414)+1,ROW($P$12))&amp;":W"&amp;(ROW()))))),0)</f>
        <v>26693.269999999997</v>
      </c>
      <c r="Q1415" s="99">
        <f ca="1">MAX(SUM($N$13:N1415)-SUM($T$13:T1415),0)</f>
        <v>100761.4306557377</v>
      </c>
      <c r="R1415" s="99">
        <f ca="1">Первоначальный[[#This Row],[Просроченный платеж по ОД]]+Первоначальный[[#This Row],[Просроченный платеж по процентам]]</f>
        <v>127454.70065573769</v>
      </c>
      <c r="S1415" s="120">
        <f ca="1">IF(Первоначальный[[#This Row],[Просроченный платеж]]&lt;1,0,S1414+1)</f>
        <v>1311</v>
      </c>
      <c r="T1415" s="100" cm="1">
        <f t="array" aca="1" ref="T1415" ca="1">IF(Первоначальный[[#This Row],[Итого остаток на начало периода]]&lt;1,0,
IF(
AND(TYPE(VLOOKUP(1,$Z$12:Z1415,1,0))=16,Первоначальный[[#This Row],[Досрочное погашение (да/"")]]=""),0,
_xlfn.IFS(AND(S1414=0,Первоначальный[[#This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платеж]]&lt;&gt;0),MIN(LOOKUP(,-1/($Z$12:Z1415=1),$C$12:C1415)+LOOKUP(,-1/($Z$12:Z1415=1),$H$12:H1415),Первоначальный[[#This Row],[Полученный платеж]]+Y1414),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платеж]]+Y1414,SUM(Первоначальный[[#This Row],[Остаток процентов на начало периода]],Первоначальный[[#This Row],[Проценты за период]])),
AND(S1414=0,Первоначальный[[#This Row],[Дата платежа из графика]]=""),0,
AND(S1414=0,Первоначальный[[#This Row],[Дата платежа из графика]]=1,MAX((0&lt;&gt;S$12:S1414)*ROW(S$12:S1414),ROW($S$12))&gt;=MAX((1=Z$12:Z1414)*ROW(Z$12:Z1414),ROW($T$12)),TYPE(VLOOKUP("Да",(INDIRECT("AA"&amp;(MAX((1=Z$12:Z1414)*ROW(Z$12:Z1414),ROW($T$12))&amp;":AA"&amp;(ROW()-1)))),1,0))=16),MIN(LOOKUP(,-1/($Z$12:Z1415=1),$C$12:C1415)+LOOKUP(,-1/($Z$12:Z1415=1),$H$12:H1415),Первоначальный[[#This Row],[Полученный платеж]]+Y1414),
AND(S1414=0,TYPE(VLOOKUP("Да",(INDIRECT("AA"&amp;(MAX((1=Z$12:Z1414)*ROW(Z$12:Z1414),ROW($T$12))&amp;":AA"&amp;(ROW()-1)))),1,0))&lt;&gt;16),MIN(LOOKUP(,-1/($Z$12:Z1415=1),$C$12:C1415)+LOOKUP(,-1/($Z$12:Z1415=1),$H$12:H1415)-IF(AA1414="Да",0,SUM(INDIRECT("T"&amp;(MAX(("Да"=AA$12:AA1414)*ROW(AA$12:AA1414)+1,ROW($T$12))&amp;":T"&amp;(ROW()-1))))),Первоначальный[[#This Row],[Полученный платеж]]+Y1414),
AND(S1414=0,MAX((0&lt;&gt;N$12:N1414)*ROW(N$12:N1414),ROW($S$12))&gt;=MAX((1=Z$12:Z1414)*ROW(Z$12:Z1414),ROW($T$12))),MIN(LOOKUP(,-1/($Z$12:Z1415=1),$C$12:C1415)+LOOKUP(,-1/($Z$12:Z1415=1),$H$12:H1415)-IF(N1414&lt;&gt;0,0,SUM(INDIRECT("T"&amp;(MAX((0&lt;&gt;N$12:N1414)*ROW(N$12:N1414)+1,ROW($T$12))&amp;":T"&amp;(ROW()-1))))),Первоначальный[[#This Row],[Полученный платеж]]+Y1414),
AND(S1414=0,Первоначальный[[#This Row],[Дата платежа из графика]]=1),MIN(LOOKUP(,-1/($Z$12:Z1415=1),$C$12:C1415)+LOOKUP(,-1/($Z$12:Z1415=1),$H$12:H1415)-IF(Z1414=1,0,SUM(INDIRECT("T"&amp;(MAX((1=Z$12:Z1414)*ROW(Z$12:Z1414)+1,ROW($T$12))&amp;":T"&amp;(ROW()-1))))),Первоначальный[[#This Row],[Полученный платеж]]+Y1414),
AND(Z1414&gt;0,Первоначальный[[#This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платеж]]+Y1414),
AND(S1414&gt;0,MAX((0&lt;&gt;S$12:S1414)*ROW(S$12:S1414),ROW($S$12))&gt;=MAX((1=Z$12:Z1414)*ROW(Z$12:Z1414),ROW($T$12)),TYPE(VLOOKUP("Да",(INDIRECT("AA"&amp;(MAX((1=Z$12:Z1414)*ROW(Z$12:Z1414),ROW($T$12))&amp;":AA"&amp;(ROW()-1)))),1,0))=16),MIN(LOOKUP(,-1/($Z$12:Z1415=1),$C$12:C1415)+LOOKUP(,-1/($Z$12:Z1415=1),$H$12:H1415)-SUM(INDIRECT("T"&amp;(MAX((1=Z$12:Z1414)*ROW(Z$12:Z1414),ROW($T$12))&amp;":T"&amp;(ROW()-1)))),Первоначальный[[#This Row],[Полученный платеж]]+Y1414),
S1414&gt;0,MIN(LOOKUP(,-1/($Z$12:Z1415=1),$C$12:C1415)+LOOKUP(,-1/($Z$12:Z1415=1),$H$12:H1415)-IF(Z1414=1,0,SUM(INDIRECT("T"&amp;(MAX((1=Z$12:Z1414)*ROW(Z$12:Z1414)+1,ROW($T$12))&amp;":T"&amp;(ROW()-1))))),Первоначальный[[#This Row],[Полученный платеж]]+Y1414)
)
)
)</f>
        <v>0</v>
      </c>
      <c r="U141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платеж]]+Y1414-Первоначальный[[#This Row],[Полученный платёж по процентам]])</f>
        <v>0</v>
      </c>
      <c r="V1415" s="55">
        <f t="shared" ca="1" si="255"/>
        <v>0</v>
      </c>
      <c r="W1415" s="55" cm="1">
        <f t="array" aca="1" ref="W1415" ca="1">IF(Первоначальный[[#This Row],[Итого остаток на начало периода]]&lt;1,0,
_xlfn.IFS(
AND(TYPE(VLOOKUP(1,$Z$12:Z1415,1,0))=16,Первоначальный[[#This Row],[Досрочное погашение (да/"")]]=""),0,
AND(S1414=0,Первоначальный[[#This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платеж]]+Y1414-SUM(Первоначальный[[#This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комиссиям]]),VLOOKUP(LOOKUP(,-1/($Z$12:Z1415=1),$A$12:A1415),График[[Срок конец]:[Возврат основной суммы долга]],3,0)),
AND(S1414=0,Первоначальный[[#This Row],[Дата платежа из графика]]="",Первоначальный[[#This Row],[Досрочное погашение (да/"")]]&lt;&gt;"Да"),0,
AND(S1414=0,Первоначальный[[#This Row],[Досрочное погашение (да/"")]]=""),MIN(Первоначальный[[#This Row],[Полученный платеж]]+Y1414-SUM(Первоначальный[[#This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комиссиям]]),VLOOKUP(LOOKUP(,-1/($Z$12:Z1415=1),$A$12:A1415),График[[Срок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платеж]]+Y1414-SUM(Первоначальный[[#This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S1414&gt;0,MIN(Первоначальный[[#This Row],[Полученный платеж]]+Y1414-SUM(Первоначальный[[#This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комиссиям]]),SUM(INDIRECT("M"&amp;(MAX((1=S$12:S1414)*ROW(S$12:S1414),ROW($W$12))&amp;":M"&amp;(ROW()))))-SUM(INDIRECT("W"&amp;(MAX((1=S$12:S1414)*ROW(S$12:S1414),ROW($W$12))&amp;":W"&amp;(ROW()-1)))))
)
)</f>
        <v>0</v>
      </c>
      <c r="X1415" s="55">
        <f t="shared" ca="1" si="256"/>
        <v>0</v>
      </c>
      <c r="Y1415" s="101">
        <f t="shared" ca="1" si="263"/>
        <v>0</v>
      </c>
      <c r="Z1415" s="133" t="str">
        <f>IF(TYPE((VLOOKUP(Первоначальный[[#This Row],[Дата платежа]],График[Срок конец],1,0)))=16,"",1)</f>
        <v/>
      </c>
      <c r="AA1415" s="57"/>
      <c r="AB1415" s="134"/>
      <c r="AC141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1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100900.85000000006</v>
      </c>
      <c r="AE141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8429.0100000000111</v>
      </c>
      <c r="AF141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1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419210.11779836082</v>
      </c>
      <c r="AH1415" s="55"/>
      <c r="AI1415" s="55"/>
      <c r="AJ1415" s="55"/>
      <c r="AK1415" s="101">
        <f t="shared" ca="1" si="264"/>
        <v>678173.31779836095</v>
      </c>
      <c r="AL1415" s="129">
        <f t="array" ref="AL1415">MAX((УслРестрактов[Характеристика]="Дата реструктуризации")*(УслРестрактов[Значение]=Первоначальный!$A1415),0)</f>
        <v>0</v>
      </c>
    </row>
    <row r="1416" spans="1:38" x14ac:dyDescent="0.25">
      <c r="A1416" s="97">
        <f t="shared" si="257"/>
        <v>45547</v>
      </c>
      <c r="B1416" s="100">
        <f t="shared" ca="1" si="258"/>
        <v>149633.34</v>
      </c>
      <c r="C1416" s="55">
        <f t="shared" ca="1" si="266"/>
        <v>100900.85000000006</v>
      </c>
      <c r="D1416" s="55">
        <f t="shared" ca="1" si="266"/>
        <v>8429.0100000000111</v>
      </c>
      <c r="E1416" s="55">
        <f t="shared" ca="1" si="259"/>
        <v>0</v>
      </c>
      <c r="F1416" s="55">
        <f t="shared" ca="1" si="260"/>
        <v>419210.11779836082</v>
      </c>
      <c r="G1416" s="101">
        <f t="shared" ca="1" si="261"/>
        <v>678173.31779836095</v>
      </c>
      <c r="H1416" s="100">
        <f ca="1">ROUND($B1416*VLOOKUP($A1416,$A$1:$B$10,2,1)/(365+IF(MOD(YEAR($A1416),4),0,1)*($A1416-$A1415)),2)-Первоначальный[[#This Row],[Проценты на просроченный платеж по ОД за период]]</f>
        <v>66.849999999999994</v>
      </c>
      <c r="I1416" s="55">
        <f t="shared" ca="1" si="262"/>
        <v>14.51</v>
      </c>
      <c r="J1416" s="55">
        <v>0</v>
      </c>
      <c r="K1416" s="55">
        <f t="shared" ca="1" si="265"/>
        <v>637.27350327868851</v>
      </c>
      <c r="L1416" s="55">
        <v>0</v>
      </c>
      <c r="M1416" s="113">
        <f>SUMIFS(График[Возврат основной суммы долга],График[Дата с учетом нерабочих дней],$A1416)</f>
        <v>0</v>
      </c>
      <c r="N1416" s="56">
        <f>SUMIFS(График[Возврат начисленных %],График[Дата с учетом нерабочих дней],$A1416)</f>
        <v>0</v>
      </c>
      <c r="O1416" s="101">
        <v>0</v>
      </c>
      <c r="P1416" s="100" cm="1">
        <f t="array" aca="1" ref="P1416" ca="1">MAX(IF(AA1415="Да",0,SUM(INDIRECT("M"&amp;(MAX(("Да"=AA$12:AA1415)*ROW(AA$12:AA1415)+1,ROW($P$12))&amp;":M"&amp;(ROW()))))-SUM(INDIRECT("W"&amp;(MAX(("Да"=AA$12:AA1415)*ROW(AA$12:AA1415)+1,ROW($P$12))&amp;":W"&amp;(ROW()))))),0)</f>
        <v>26693.269999999997</v>
      </c>
      <c r="Q1416" s="99">
        <f ca="1">MAX(SUM($N$13:N1416)-SUM($T$13:T1416),0)</f>
        <v>100761.4306557377</v>
      </c>
      <c r="R1416" s="99">
        <f ca="1">Первоначальный[[#This Row],[Просроченный платеж по ОД]]+Первоначальный[[#This Row],[Просроченный платеж по процентам]]</f>
        <v>127454.70065573769</v>
      </c>
      <c r="S1416" s="120">
        <f ca="1">IF(Первоначальный[[#This Row],[Просроченный платеж]]&lt;1,0,S1415+1)</f>
        <v>1312</v>
      </c>
      <c r="T1416" s="100" cm="1">
        <f t="array" aca="1" ref="T1416" ca="1">IF(Первоначальный[[#This Row],[Итого остаток на начало периода]]&lt;1,0,
IF(
AND(TYPE(VLOOKUP(1,$Z$12:Z1416,1,0))=16,Первоначальный[[#This Row],[Досрочное погашение (да/"")]]=""),0,
_xlfn.IFS(AND(S1415=0,Первоначальный[[#This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платеж]]&lt;&gt;0),MIN(LOOKUP(,-1/($Z$12:Z1416=1),$C$12:C1416)+LOOKUP(,-1/($Z$12:Z1416=1),$H$12:H1416),Первоначальный[[#This Row],[Полученный платеж]]+Y1415),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платеж]]+Y1415,SUM(Первоначальный[[#This Row],[Остаток процентов на начало периода]],Первоначальный[[#This Row],[Проценты за период]])),
AND(S1415=0,Первоначальный[[#This Row],[Дата платежа из графика]]=""),0,
AND(S1415=0,Первоначальный[[#This Row],[Дата платежа из графика]]=1,MAX((0&lt;&gt;S$12:S1415)*ROW(S$12:S1415),ROW($S$12))&gt;=MAX((1=Z$12:Z1415)*ROW(Z$12:Z1415),ROW($T$12)),TYPE(VLOOKUP("Да",(INDIRECT("AA"&amp;(MAX((1=Z$12:Z1415)*ROW(Z$12:Z1415),ROW($T$12))&amp;":AA"&amp;(ROW()-1)))),1,0))=16),MIN(LOOKUP(,-1/($Z$12:Z1416=1),$C$12:C1416)+LOOKUP(,-1/($Z$12:Z1416=1),$H$12:H1416),Первоначальный[[#This Row],[Полученный платеж]]+Y1415),
AND(S1415=0,TYPE(VLOOKUP("Да",(INDIRECT("AA"&amp;(MAX((1=Z$12:Z1415)*ROW(Z$12:Z1415),ROW($T$12))&amp;":AA"&amp;(ROW()-1)))),1,0))&lt;&gt;16),MIN(LOOKUP(,-1/($Z$12:Z1416=1),$C$12:C1416)+LOOKUP(,-1/($Z$12:Z1416=1),$H$12:H1416)-IF(AA1415="Да",0,SUM(INDIRECT("T"&amp;(MAX(("Да"=AA$12:AA1415)*ROW(AA$12:AA1415)+1,ROW($T$12))&amp;":T"&amp;(ROW()-1))))),Первоначальный[[#This Row],[Полученный платеж]]+Y1415),
AND(S1415=0,MAX((0&lt;&gt;N$12:N1415)*ROW(N$12:N1415),ROW($S$12))&gt;=MAX((1=Z$12:Z1415)*ROW(Z$12:Z1415),ROW($T$12))),MIN(LOOKUP(,-1/($Z$12:Z1416=1),$C$12:C1416)+LOOKUP(,-1/($Z$12:Z1416=1),$H$12:H1416)-IF(N1415&lt;&gt;0,0,SUM(INDIRECT("T"&amp;(MAX((0&lt;&gt;N$12:N1415)*ROW(N$12:N1415)+1,ROW($T$12))&amp;":T"&amp;(ROW()-1))))),Первоначальный[[#This Row],[Полученный платеж]]+Y1415),
AND(S1415=0,Первоначальный[[#This Row],[Дата платежа из графика]]=1),MIN(LOOKUP(,-1/($Z$12:Z1416=1),$C$12:C1416)+LOOKUP(,-1/($Z$12:Z1416=1),$H$12:H1416)-IF(Z1415=1,0,SUM(INDIRECT("T"&amp;(MAX((1=Z$12:Z1415)*ROW(Z$12:Z1415)+1,ROW($T$12))&amp;":T"&amp;(ROW()-1))))),Первоначальный[[#This Row],[Полученный платеж]]+Y1415),
AND(Z1415&gt;0,Первоначальный[[#This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платеж]]+Y1415),
AND(S1415&gt;0,MAX((0&lt;&gt;S$12:S1415)*ROW(S$12:S1415),ROW($S$12))&gt;=MAX((1=Z$12:Z1415)*ROW(Z$12:Z1415),ROW($T$12)),TYPE(VLOOKUP("Да",(INDIRECT("AA"&amp;(MAX((1=Z$12:Z1415)*ROW(Z$12:Z1415),ROW($T$12))&amp;":AA"&amp;(ROW()-1)))),1,0))=16),MIN(LOOKUP(,-1/($Z$12:Z1416=1),$C$12:C1416)+LOOKUP(,-1/($Z$12:Z1416=1),$H$12:H1416)-SUM(INDIRECT("T"&amp;(MAX((1=Z$12:Z1415)*ROW(Z$12:Z1415),ROW($T$12))&amp;":T"&amp;(ROW()-1)))),Первоначальный[[#This Row],[Полученный платеж]]+Y1415),
S1415&gt;0,MIN(LOOKUP(,-1/($Z$12:Z1416=1),$C$12:C1416)+LOOKUP(,-1/($Z$12:Z1416=1),$H$12:H1416)-IF(Z1415=1,0,SUM(INDIRECT("T"&amp;(MAX((1=Z$12:Z1415)*ROW(Z$12:Z1415)+1,ROW($T$12))&amp;":T"&amp;(ROW()-1))))),Первоначальный[[#This Row],[Полученный платеж]]+Y1415)
)
)
)</f>
        <v>0</v>
      </c>
      <c r="U141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платеж]]+Y1415-Первоначальный[[#This Row],[Полученный платёж по процентам]])</f>
        <v>0</v>
      </c>
      <c r="V1416" s="55">
        <f t="shared" ca="1" si="255"/>
        <v>0</v>
      </c>
      <c r="W1416" s="55" cm="1">
        <f t="array" aca="1" ref="W1416" ca="1">IF(Первоначальный[[#This Row],[Итого остаток на начало периода]]&lt;1,0,
_xlfn.IFS(
AND(TYPE(VLOOKUP(1,$Z$12:Z1416,1,0))=16,Первоначальный[[#This Row],[Досрочное погашение (да/"")]]=""),0,
AND(S1415=0,Первоначальный[[#This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платеж]]+Y1415-SUM(Первоначальный[[#This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комиссиям]]),VLOOKUP(LOOKUP(,-1/($Z$12:Z1416=1),$A$12:A1416),График[[Срок конец]:[Возврат основной суммы долга]],3,0)),
AND(S1415=0,Первоначальный[[#This Row],[Дата платежа из графика]]="",Первоначальный[[#This Row],[Досрочное погашение (да/"")]]&lt;&gt;"Да"),0,
AND(S1415=0,Первоначальный[[#This Row],[Досрочное погашение (да/"")]]=""),MIN(Первоначальный[[#This Row],[Полученный платеж]]+Y1415-SUM(Первоначальный[[#This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комиссиям]]),VLOOKUP(LOOKUP(,-1/($Z$12:Z1416=1),$A$12:A1416),График[[Срок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платеж]]+Y1415-SUM(Первоначальный[[#This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S1415&gt;0,MIN(Первоначальный[[#This Row],[Полученный платеж]]+Y1415-SUM(Первоначальный[[#This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комиссиям]]),SUM(INDIRECT("M"&amp;(MAX((1=S$12:S1415)*ROW(S$12:S1415),ROW($W$12))&amp;":M"&amp;(ROW()))))-SUM(INDIRECT("W"&amp;(MAX((1=S$12:S1415)*ROW(S$12:S1415),ROW($W$12))&amp;":W"&amp;(ROW()-1)))))
)
)</f>
        <v>0</v>
      </c>
      <c r="X1416" s="55">
        <f t="shared" ca="1" si="256"/>
        <v>0</v>
      </c>
      <c r="Y1416" s="101">
        <f t="shared" ca="1" si="263"/>
        <v>0</v>
      </c>
      <c r="Z1416" s="133" t="str">
        <f>IF(TYPE((VLOOKUP(Первоначальный[[#This Row],[Дата платежа]],График[Срок конец],1,0)))=16,"",1)</f>
        <v/>
      </c>
      <c r="AA1416" s="57"/>
      <c r="AB1416" s="134"/>
      <c r="AC141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1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100967.70000000007</v>
      </c>
      <c r="AE141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8443.5200000000114</v>
      </c>
      <c r="AF141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1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419847.39130163949</v>
      </c>
      <c r="AH1416" s="55"/>
      <c r="AI1416" s="55"/>
      <c r="AJ1416" s="55"/>
      <c r="AK1416" s="101">
        <f t="shared" ca="1" si="264"/>
        <v>678891.95130163955</v>
      </c>
      <c r="AL1416" s="129">
        <f t="array" ref="AL1416">MAX((УслРестрактов[Характеристика]="Дата реструктуризации")*(УслРестрактов[Значение]=Первоначальный!$A1416),0)</f>
        <v>0</v>
      </c>
    </row>
    <row r="1417" spans="1:38" x14ac:dyDescent="0.25">
      <c r="A1417" s="97">
        <f t="shared" si="257"/>
        <v>45548</v>
      </c>
      <c r="B1417" s="100">
        <f t="shared" ca="1" si="258"/>
        <v>149633.34</v>
      </c>
      <c r="C1417" s="55">
        <f t="shared" ca="1" si="266"/>
        <v>100967.70000000007</v>
      </c>
      <c r="D1417" s="55">
        <f t="shared" ca="1" si="266"/>
        <v>8443.5200000000114</v>
      </c>
      <c r="E1417" s="55">
        <f t="shared" ca="1" si="259"/>
        <v>0</v>
      </c>
      <c r="F1417" s="55">
        <f t="shared" ca="1" si="260"/>
        <v>419847.39130163949</v>
      </c>
      <c r="G1417" s="101">
        <f t="shared" ca="1" si="261"/>
        <v>678891.95130163955</v>
      </c>
      <c r="H1417" s="100">
        <f ca="1">ROUND($B1417*VLOOKUP($A1417,$A$1:$B$10,2,1)/(365+IF(MOD(YEAR($A1417),4),0,1)*($A1417-$A1416)),2)-Первоначальный[[#This Row],[Проценты на просроченный платеж по ОД за период]]</f>
        <v>66.849999999999994</v>
      </c>
      <c r="I1417" s="55">
        <f t="shared" ca="1" si="262"/>
        <v>14.51</v>
      </c>
      <c r="J1417" s="55">
        <v>0</v>
      </c>
      <c r="K1417" s="55">
        <f t="shared" ca="1" si="265"/>
        <v>637.27350327868851</v>
      </c>
      <c r="L1417" s="55">
        <v>0</v>
      </c>
      <c r="M1417" s="113">
        <f>SUMIFS(График[Возврат основной суммы долга],График[Дата с учетом нерабочих дней],$A1417)</f>
        <v>0</v>
      </c>
      <c r="N1417" s="56">
        <f>SUMIFS(График[Возврат начисленных %],График[Дата с учетом нерабочих дней],$A1417)</f>
        <v>0</v>
      </c>
      <c r="O1417" s="101">
        <v>0</v>
      </c>
      <c r="P1417" s="100" cm="1">
        <f t="array" aca="1" ref="P1417" ca="1">MAX(IF(AA1416="Да",0,SUM(INDIRECT("M"&amp;(MAX(("Да"=AA$12:AA1416)*ROW(AA$12:AA1416)+1,ROW($P$12))&amp;":M"&amp;(ROW()))))-SUM(INDIRECT("W"&amp;(MAX(("Да"=AA$12:AA1416)*ROW(AA$12:AA1416)+1,ROW($P$12))&amp;":W"&amp;(ROW()))))),0)</f>
        <v>26693.269999999997</v>
      </c>
      <c r="Q1417" s="99">
        <f ca="1">MAX(SUM($N$13:N1417)-SUM($T$13:T1417),0)</f>
        <v>100761.4306557377</v>
      </c>
      <c r="R1417" s="99">
        <f ca="1">Первоначальный[[#This Row],[Просроченный платеж по ОД]]+Первоначальный[[#This Row],[Просроченный платеж по процентам]]</f>
        <v>127454.70065573769</v>
      </c>
      <c r="S1417" s="120">
        <f ca="1">IF(Первоначальный[[#This Row],[Просроченный платеж]]&lt;1,0,S1416+1)</f>
        <v>1313</v>
      </c>
      <c r="T1417" s="100" cm="1">
        <f t="array" aca="1" ref="T1417" ca="1">IF(Первоначальный[[#This Row],[Итого остаток на начало периода]]&lt;1,0,
IF(
AND(TYPE(VLOOKUP(1,$Z$12:Z1417,1,0))=16,Первоначальный[[#This Row],[Досрочное погашение (да/"")]]=""),0,
_xlfn.IFS(AND(S1416=0,Первоначальный[[#This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платеж]]&lt;&gt;0),MIN(LOOKUP(,-1/($Z$12:Z1417=1),$C$12:C1417)+LOOKUP(,-1/($Z$12:Z1417=1),$H$12:H1417),Первоначальный[[#This Row],[Полученный платеж]]+Y1416),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платеж]]+Y1416,SUM(Первоначальный[[#This Row],[Остаток процентов на начало периода]],Первоначальный[[#This Row],[Проценты за период]])),
AND(S1416=0,Первоначальный[[#This Row],[Дата платежа из графика]]=""),0,
AND(S1416=0,Первоначальный[[#This Row],[Дата платежа из графика]]=1,MAX((0&lt;&gt;S$12:S1416)*ROW(S$12:S1416),ROW($S$12))&gt;=MAX((1=Z$12:Z1416)*ROW(Z$12:Z1416),ROW($T$12)),TYPE(VLOOKUP("Да",(INDIRECT("AA"&amp;(MAX((1=Z$12:Z1416)*ROW(Z$12:Z1416),ROW($T$12))&amp;":AA"&amp;(ROW()-1)))),1,0))=16),MIN(LOOKUP(,-1/($Z$12:Z1417=1),$C$12:C1417)+LOOKUP(,-1/($Z$12:Z1417=1),$H$12:H1417),Первоначальный[[#This Row],[Полученный платеж]]+Y1416),
AND(S1416=0,TYPE(VLOOKUP("Да",(INDIRECT("AA"&amp;(MAX((1=Z$12:Z1416)*ROW(Z$12:Z1416),ROW($T$12))&amp;":AA"&amp;(ROW()-1)))),1,0))&lt;&gt;16),MIN(LOOKUP(,-1/($Z$12:Z1417=1),$C$12:C1417)+LOOKUP(,-1/($Z$12:Z1417=1),$H$12:H1417)-IF(AA1416="Да",0,SUM(INDIRECT("T"&amp;(MAX(("Да"=AA$12:AA1416)*ROW(AA$12:AA1416)+1,ROW($T$12))&amp;":T"&amp;(ROW()-1))))),Первоначальный[[#This Row],[Полученный платеж]]+Y1416),
AND(S1416=0,MAX((0&lt;&gt;N$12:N1416)*ROW(N$12:N1416),ROW($S$12))&gt;=MAX((1=Z$12:Z1416)*ROW(Z$12:Z1416),ROW($T$12))),MIN(LOOKUP(,-1/($Z$12:Z1417=1),$C$12:C1417)+LOOKUP(,-1/($Z$12:Z1417=1),$H$12:H1417)-IF(N1416&lt;&gt;0,0,SUM(INDIRECT("T"&amp;(MAX((0&lt;&gt;N$12:N1416)*ROW(N$12:N1416)+1,ROW($T$12))&amp;":T"&amp;(ROW()-1))))),Первоначальный[[#This Row],[Полученный платеж]]+Y1416),
AND(S1416=0,Первоначальный[[#This Row],[Дата платежа из графика]]=1),MIN(LOOKUP(,-1/($Z$12:Z1417=1),$C$12:C1417)+LOOKUP(,-1/($Z$12:Z1417=1),$H$12:H1417)-IF(Z1416=1,0,SUM(INDIRECT("T"&amp;(MAX((1=Z$12:Z1416)*ROW(Z$12:Z1416)+1,ROW($T$12))&amp;":T"&amp;(ROW()-1))))),Первоначальный[[#This Row],[Полученный платеж]]+Y1416),
AND(Z1416&gt;0,Первоначальный[[#This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платеж]]+Y1416),
AND(S1416&gt;0,MAX((0&lt;&gt;S$12:S1416)*ROW(S$12:S1416),ROW($S$12))&gt;=MAX((1=Z$12:Z1416)*ROW(Z$12:Z1416),ROW($T$12)),TYPE(VLOOKUP("Да",(INDIRECT("AA"&amp;(MAX((1=Z$12:Z1416)*ROW(Z$12:Z1416),ROW($T$12))&amp;":AA"&amp;(ROW()-1)))),1,0))=16),MIN(LOOKUP(,-1/($Z$12:Z1417=1),$C$12:C1417)+LOOKUP(,-1/($Z$12:Z1417=1),$H$12:H1417)-SUM(INDIRECT("T"&amp;(MAX((1=Z$12:Z1416)*ROW(Z$12:Z1416),ROW($T$12))&amp;":T"&amp;(ROW()-1)))),Первоначальный[[#This Row],[Полученный платеж]]+Y1416),
S1416&gt;0,MIN(LOOKUP(,-1/($Z$12:Z1417=1),$C$12:C1417)+LOOKUP(,-1/($Z$12:Z1417=1),$H$12:H1417)-IF(Z1416=1,0,SUM(INDIRECT("T"&amp;(MAX((1=Z$12:Z1416)*ROW(Z$12:Z1416)+1,ROW($T$12))&amp;":T"&amp;(ROW()-1))))),Первоначальный[[#This Row],[Полученный платеж]]+Y1416)
)
)
)</f>
        <v>0</v>
      </c>
      <c r="U141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платеж]]+Y1416-Первоначальный[[#This Row],[Полученный платёж по процентам]])</f>
        <v>0</v>
      </c>
      <c r="V1417" s="55">
        <f t="shared" ca="1" si="255"/>
        <v>0</v>
      </c>
      <c r="W1417" s="55" cm="1">
        <f t="array" aca="1" ref="W1417" ca="1">IF(Первоначальный[[#This Row],[Итого остаток на начало периода]]&lt;1,0,
_xlfn.IFS(
AND(TYPE(VLOOKUP(1,$Z$12:Z1417,1,0))=16,Первоначальный[[#This Row],[Досрочное погашение (да/"")]]=""),0,
AND(S1416=0,Первоначальный[[#This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платеж]]+Y1416-SUM(Первоначальный[[#This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комиссиям]]),VLOOKUP(LOOKUP(,-1/($Z$12:Z1417=1),$A$12:A1417),График[[Срок конец]:[Возврат основной суммы долга]],3,0)),
AND(S1416=0,Первоначальный[[#This Row],[Дата платежа из графика]]="",Первоначальный[[#This Row],[Досрочное погашение (да/"")]]&lt;&gt;"Да"),0,
AND(S1416=0,Первоначальный[[#This Row],[Досрочное погашение (да/"")]]=""),MIN(Первоначальный[[#This Row],[Полученный платеж]]+Y1416-SUM(Первоначальный[[#This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комиссиям]]),VLOOKUP(LOOKUP(,-1/($Z$12:Z1417=1),$A$12:A1417),График[[Срок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платеж]]+Y1416-SUM(Первоначальный[[#This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S1416&gt;0,MIN(Первоначальный[[#This Row],[Полученный платеж]]+Y1416-SUM(Первоначальный[[#This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комиссиям]]),SUM(INDIRECT("M"&amp;(MAX((1=S$12:S1416)*ROW(S$12:S1416),ROW($W$12))&amp;":M"&amp;(ROW()))))-SUM(INDIRECT("W"&amp;(MAX((1=S$12:S1416)*ROW(S$12:S1416),ROW($W$12))&amp;":W"&amp;(ROW()-1)))))
)
)</f>
        <v>0</v>
      </c>
      <c r="X1417" s="55">
        <f t="shared" ca="1" si="256"/>
        <v>0</v>
      </c>
      <c r="Y1417" s="101">
        <f t="shared" ca="1" si="263"/>
        <v>0</v>
      </c>
      <c r="Z1417" s="133" t="str">
        <f>IF(TYPE((VLOOKUP(Первоначальный[[#This Row],[Дата платежа]],График[Срок конец],1,0)))=16,"",1)</f>
        <v/>
      </c>
      <c r="AA1417" s="57"/>
      <c r="AB1417" s="134"/>
      <c r="AC141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1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101034.55000000008</v>
      </c>
      <c r="AE141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8458.0300000000116</v>
      </c>
      <c r="AF141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1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420484.66480491817</v>
      </c>
      <c r="AH1417" s="55"/>
      <c r="AI1417" s="55"/>
      <c r="AJ1417" s="55"/>
      <c r="AK1417" s="101">
        <f t="shared" ca="1" si="264"/>
        <v>679610.58480491827</v>
      </c>
      <c r="AL1417" s="129">
        <f t="array" ref="AL1417">MAX((УслРестрактов[Характеристика]="Дата реструктуризации")*(УслРестрактов[Значение]=Первоначальный!$A1417),0)</f>
        <v>0</v>
      </c>
    </row>
    <row r="1418" spans="1:38" x14ac:dyDescent="0.25">
      <c r="A1418" s="97">
        <f t="shared" si="257"/>
        <v>45549</v>
      </c>
      <c r="B1418" s="100">
        <f t="shared" ca="1" si="258"/>
        <v>149633.34</v>
      </c>
      <c r="C1418" s="55">
        <f t="shared" ca="1" si="266"/>
        <v>101034.55000000008</v>
      </c>
      <c r="D1418" s="55">
        <f t="shared" ca="1" si="266"/>
        <v>8458.0300000000116</v>
      </c>
      <c r="E1418" s="55">
        <f t="shared" ca="1" si="259"/>
        <v>0</v>
      </c>
      <c r="F1418" s="55">
        <f t="shared" ca="1" si="260"/>
        <v>420484.66480491817</v>
      </c>
      <c r="G1418" s="101">
        <f t="shared" ca="1" si="261"/>
        <v>679610.58480491827</v>
      </c>
      <c r="H1418" s="100">
        <f ca="1">ROUND($B1418*VLOOKUP($A1418,$A$1:$B$10,2,1)/(365+IF(MOD(YEAR($A1418),4),0,1)*($A1418-$A1417)),2)-Первоначальный[[#This Row],[Проценты на просроченный платеж по ОД за период]]</f>
        <v>66.849999999999994</v>
      </c>
      <c r="I1418" s="55">
        <f t="shared" ca="1" si="262"/>
        <v>14.51</v>
      </c>
      <c r="J1418" s="55">
        <v>0</v>
      </c>
      <c r="K1418" s="55">
        <f t="shared" ca="1" si="265"/>
        <v>637.27350327868851</v>
      </c>
      <c r="L1418" s="55">
        <v>0</v>
      </c>
      <c r="M1418" s="113">
        <f>SUMIFS(График[Возврат основной суммы долга],График[Дата с учетом нерабочих дней],$A1418)</f>
        <v>0</v>
      </c>
      <c r="N1418" s="56">
        <f>SUMIFS(График[Возврат начисленных %],График[Дата с учетом нерабочих дней],$A1418)</f>
        <v>0</v>
      </c>
      <c r="O1418" s="101">
        <v>0</v>
      </c>
      <c r="P1418" s="100" cm="1">
        <f t="array" aca="1" ref="P1418" ca="1">MAX(IF(AA1417="Да",0,SUM(INDIRECT("M"&amp;(MAX(("Да"=AA$12:AA1417)*ROW(AA$12:AA1417)+1,ROW($P$12))&amp;":M"&amp;(ROW()))))-SUM(INDIRECT("W"&amp;(MAX(("Да"=AA$12:AA1417)*ROW(AA$12:AA1417)+1,ROW($P$12))&amp;":W"&amp;(ROW()))))),0)</f>
        <v>26693.269999999997</v>
      </c>
      <c r="Q1418" s="99">
        <f ca="1">MAX(SUM($N$13:N1418)-SUM($T$13:T1418),0)</f>
        <v>100761.4306557377</v>
      </c>
      <c r="R1418" s="99">
        <f ca="1">Первоначальный[[#This Row],[Просроченный платеж по ОД]]+Первоначальный[[#This Row],[Просроченный платеж по процентам]]</f>
        <v>127454.70065573769</v>
      </c>
      <c r="S1418" s="120">
        <f ca="1">IF(Первоначальный[[#This Row],[Просроченный платеж]]&lt;1,0,S1417+1)</f>
        <v>1314</v>
      </c>
      <c r="T1418" s="100" cm="1">
        <f t="array" aca="1" ref="T1418" ca="1">IF(Первоначальный[[#This Row],[Итого остаток на начало периода]]&lt;1,0,
IF(
AND(TYPE(VLOOKUP(1,$Z$12:Z1418,1,0))=16,Первоначальный[[#This Row],[Досрочное погашение (да/"")]]=""),0,
_xlfn.IFS(AND(S1417=0,Первоначальный[[#This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платеж]]&lt;&gt;0),MIN(LOOKUP(,-1/($Z$12:Z1418=1),$C$12:C1418)+LOOKUP(,-1/($Z$12:Z1418=1),$H$12:H1418),Первоначальный[[#This Row],[Полученный платеж]]+Y1417),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платеж]]+Y1417,SUM(Первоначальный[[#This Row],[Остаток процентов на начало периода]],Первоначальный[[#This Row],[Проценты за период]])),
AND(S1417=0,Первоначальный[[#This Row],[Дата платежа из графика]]=""),0,
AND(S1417=0,Первоначальный[[#This Row],[Дата платежа из графика]]=1,MAX((0&lt;&gt;S$12:S1417)*ROW(S$12:S1417),ROW($S$12))&gt;=MAX((1=Z$12:Z1417)*ROW(Z$12:Z1417),ROW($T$12)),TYPE(VLOOKUP("Да",(INDIRECT("AA"&amp;(MAX((1=Z$12:Z1417)*ROW(Z$12:Z1417),ROW($T$12))&amp;":AA"&amp;(ROW()-1)))),1,0))=16),MIN(LOOKUP(,-1/($Z$12:Z1418=1),$C$12:C1418)+LOOKUP(,-1/($Z$12:Z1418=1),$H$12:H1418),Первоначальный[[#This Row],[Полученный платеж]]+Y1417),
AND(S1417=0,TYPE(VLOOKUP("Да",(INDIRECT("AA"&amp;(MAX((1=Z$12:Z1417)*ROW(Z$12:Z1417),ROW($T$12))&amp;":AA"&amp;(ROW()-1)))),1,0))&lt;&gt;16),MIN(LOOKUP(,-1/($Z$12:Z1418=1),$C$12:C1418)+LOOKUP(,-1/($Z$12:Z1418=1),$H$12:H1418)-IF(AA1417="Да",0,SUM(INDIRECT("T"&amp;(MAX(("Да"=AA$12:AA1417)*ROW(AA$12:AA1417)+1,ROW($T$12))&amp;":T"&amp;(ROW()-1))))),Первоначальный[[#This Row],[Полученный платеж]]+Y1417),
AND(S1417=0,MAX((0&lt;&gt;N$12:N1417)*ROW(N$12:N1417),ROW($S$12))&gt;=MAX((1=Z$12:Z1417)*ROW(Z$12:Z1417),ROW($T$12))),MIN(LOOKUP(,-1/($Z$12:Z1418=1),$C$12:C1418)+LOOKUP(,-1/($Z$12:Z1418=1),$H$12:H1418)-IF(N1417&lt;&gt;0,0,SUM(INDIRECT("T"&amp;(MAX((0&lt;&gt;N$12:N1417)*ROW(N$12:N1417)+1,ROW($T$12))&amp;":T"&amp;(ROW()-1))))),Первоначальный[[#This Row],[Полученный платеж]]+Y1417),
AND(S1417=0,Первоначальный[[#This Row],[Дата платежа из графика]]=1),MIN(LOOKUP(,-1/($Z$12:Z1418=1),$C$12:C1418)+LOOKUP(,-1/($Z$12:Z1418=1),$H$12:H1418)-IF(Z1417=1,0,SUM(INDIRECT("T"&amp;(MAX((1=Z$12:Z1417)*ROW(Z$12:Z1417)+1,ROW($T$12))&amp;":T"&amp;(ROW()-1))))),Первоначальный[[#This Row],[Полученный платеж]]+Y1417),
AND(Z1417&gt;0,Первоначальный[[#This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платеж]]+Y1417),
AND(S1417&gt;0,MAX((0&lt;&gt;S$12:S1417)*ROW(S$12:S1417),ROW($S$12))&gt;=MAX((1=Z$12:Z1417)*ROW(Z$12:Z1417),ROW($T$12)),TYPE(VLOOKUP("Да",(INDIRECT("AA"&amp;(MAX((1=Z$12:Z1417)*ROW(Z$12:Z1417),ROW($T$12))&amp;":AA"&amp;(ROW()-1)))),1,0))=16),MIN(LOOKUP(,-1/($Z$12:Z1418=1),$C$12:C1418)+LOOKUP(,-1/($Z$12:Z1418=1),$H$12:H1418)-SUM(INDIRECT("T"&amp;(MAX((1=Z$12:Z1417)*ROW(Z$12:Z1417),ROW($T$12))&amp;":T"&amp;(ROW()-1)))),Первоначальный[[#This Row],[Полученный платеж]]+Y1417),
S1417&gt;0,MIN(LOOKUP(,-1/($Z$12:Z1418=1),$C$12:C1418)+LOOKUP(,-1/($Z$12:Z1418=1),$H$12:H1418)-IF(Z1417=1,0,SUM(INDIRECT("T"&amp;(MAX((1=Z$12:Z1417)*ROW(Z$12:Z1417)+1,ROW($T$12))&amp;":T"&amp;(ROW()-1))))),Первоначальный[[#This Row],[Полученный платеж]]+Y1417)
)
)
)</f>
        <v>0</v>
      </c>
      <c r="U141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платеж]]+Y1417-Первоначальный[[#This Row],[Полученный платёж по процентам]])</f>
        <v>0</v>
      </c>
      <c r="V1418" s="55">
        <f t="shared" ca="1" si="255"/>
        <v>0</v>
      </c>
      <c r="W1418" s="55" cm="1">
        <f t="array" aca="1" ref="W1418" ca="1">IF(Первоначальный[[#This Row],[Итого остаток на начало периода]]&lt;1,0,
_xlfn.IFS(
AND(TYPE(VLOOKUP(1,$Z$12:Z1418,1,0))=16,Первоначальный[[#This Row],[Досрочное погашение (да/"")]]=""),0,
AND(S1417=0,Первоначальный[[#This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платеж]]+Y1417-SUM(Первоначальный[[#This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комиссиям]]),VLOOKUP(LOOKUP(,-1/($Z$12:Z1418=1),$A$12:A1418),График[[Срок конец]:[Возврат основной суммы долга]],3,0)),
AND(S1417=0,Первоначальный[[#This Row],[Дата платежа из графика]]="",Первоначальный[[#This Row],[Досрочное погашение (да/"")]]&lt;&gt;"Да"),0,
AND(S1417=0,Первоначальный[[#This Row],[Досрочное погашение (да/"")]]=""),MIN(Первоначальный[[#This Row],[Полученный платеж]]+Y1417-SUM(Первоначальный[[#This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комиссиям]]),VLOOKUP(LOOKUP(,-1/($Z$12:Z1418=1),$A$12:A1418),График[[Срок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платеж]]+Y1417-SUM(Первоначальный[[#This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S1417&gt;0,MIN(Первоначальный[[#This Row],[Полученный платеж]]+Y1417-SUM(Первоначальный[[#This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комиссиям]]),SUM(INDIRECT("M"&amp;(MAX((1=S$12:S1417)*ROW(S$12:S1417),ROW($W$12))&amp;":M"&amp;(ROW()))))-SUM(INDIRECT("W"&amp;(MAX((1=S$12:S1417)*ROW(S$12:S1417),ROW($W$12))&amp;":W"&amp;(ROW()-1)))))
)
)</f>
        <v>0</v>
      </c>
      <c r="X1418" s="55">
        <f t="shared" ca="1" si="256"/>
        <v>0</v>
      </c>
      <c r="Y1418" s="101">
        <f t="shared" ca="1" si="263"/>
        <v>0</v>
      </c>
      <c r="Z1418" s="133" t="str">
        <f>IF(TYPE((VLOOKUP(Первоначальный[[#This Row],[Дата платежа]],График[Срок конец],1,0)))=16,"",1)</f>
        <v/>
      </c>
      <c r="AA1418" s="57"/>
      <c r="AB1418" s="134"/>
      <c r="AC141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1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101101.40000000008</v>
      </c>
      <c r="AE141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8472.5400000000118</v>
      </c>
      <c r="AF141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1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421121.93830819684</v>
      </c>
      <c r="AH1418" s="55"/>
      <c r="AI1418" s="55"/>
      <c r="AJ1418" s="55"/>
      <c r="AK1418" s="101">
        <f t="shared" ca="1" si="264"/>
        <v>680329.21830819687</v>
      </c>
      <c r="AL1418" s="129">
        <f t="array" ref="AL1418">MAX((УслРестрактов[Характеристика]="Дата реструктуризации")*(УслРестрактов[Значение]=Первоначальный!$A1418),0)</f>
        <v>0</v>
      </c>
    </row>
    <row r="1419" spans="1:38" x14ac:dyDescent="0.25">
      <c r="A1419" s="97">
        <f t="shared" si="257"/>
        <v>45550</v>
      </c>
      <c r="B1419" s="100">
        <f t="shared" ca="1" si="258"/>
        <v>149633.34</v>
      </c>
      <c r="C1419" s="55">
        <f t="shared" ca="1" si="266"/>
        <v>101101.40000000008</v>
      </c>
      <c r="D1419" s="55">
        <f t="shared" ca="1" si="266"/>
        <v>8472.5400000000118</v>
      </c>
      <c r="E1419" s="55">
        <f t="shared" ca="1" si="259"/>
        <v>0</v>
      </c>
      <c r="F1419" s="55">
        <f t="shared" ca="1" si="260"/>
        <v>421121.93830819684</v>
      </c>
      <c r="G1419" s="101">
        <f t="shared" ca="1" si="261"/>
        <v>680329.21830819687</v>
      </c>
      <c r="H1419" s="100">
        <f ca="1">ROUND($B1419*VLOOKUP($A1419,$A$1:$B$10,2,1)/(365+IF(MOD(YEAR($A1419),4),0,1)*($A1419-$A1418)),2)-Первоначальный[[#This Row],[Проценты на просроченный платеж по ОД за период]]</f>
        <v>66.849999999999994</v>
      </c>
      <c r="I1419" s="55">
        <f t="shared" ca="1" si="262"/>
        <v>14.51</v>
      </c>
      <c r="J1419" s="55">
        <v>0</v>
      </c>
      <c r="K1419" s="55">
        <f t="shared" ca="1" si="265"/>
        <v>637.27350327868851</v>
      </c>
      <c r="L1419" s="55">
        <v>0</v>
      </c>
      <c r="M1419" s="113">
        <f>SUMIFS(График[Возврат основной суммы долга],График[Дата с учетом нерабочих дней],$A1419)</f>
        <v>0</v>
      </c>
      <c r="N1419" s="56">
        <f>SUMIFS(График[Возврат начисленных %],График[Дата с учетом нерабочих дней],$A1419)</f>
        <v>0</v>
      </c>
      <c r="O1419" s="101">
        <v>0</v>
      </c>
      <c r="P1419" s="100" cm="1">
        <f t="array" aca="1" ref="P1419" ca="1">MAX(IF(AA1418="Да",0,SUM(INDIRECT("M"&amp;(MAX(("Да"=AA$12:AA1418)*ROW(AA$12:AA1418)+1,ROW($P$12))&amp;":M"&amp;(ROW()))))-SUM(INDIRECT("W"&amp;(MAX(("Да"=AA$12:AA1418)*ROW(AA$12:AA1418)+1,ROW($P$12))&amp;":W"&amp;(ROW()))))),0)</f>
        <v>26693.269999999997</v>
      </c>
      <c r="Q1419" s="99">
        <f ca="1">MAX(SUM($N$13:N1419)-SUM($T$13:T1419),0)</f>
        <v>100761.4306557377</v>
      </c>
      <c r="R1419" s="99">
        <f ca="1">Первоначальный[[#This Row],[Просроченный платеж по ОД]]+Первоначальный[[#This Row],[Просроченный платеж по процентам]]</f>
        <v>127454.70065573769</v>
      </c>
      <c r="S1419" s="120">
        <f ca="1">IF(Первоначальный[[#This Row],[Просроченный платеж]]&lt;1,0,S1418+1)</f>
        <v>1315</v>
      </c>
      <c r="T1419" s="100" cm="1">
        <f t="array" aca="1" ref="T1419" ca="1">IF(Первоначальный[[#This Row],[Итого остаток на начало периода]]&lt;1,0,
IF(
AND(TYPE(VLOOKUP(1,$Z$12:Z1419,1,0))=16,Первоначальный[[#This Row],[Досрочное погашение (да/"")]]=""),0,
_xlfn.IFS(AND(S1418=0,Первоначальный[[#This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платеж]]&lt;&gt;0),MIN(LOOKUP(,-1/($Z$12:Z1419=1),$C$12:C1419)+LOOKUP(,-1/($Z$12:Z1419=1),$H$12:H1419),Первоначальный[[#This Row],[Полученный платеж]]+Y1418),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платеж]]+Y1418,SUM(Первоначальный[[#This Row],[Остаток процентов на начало периода]],Первоначальный[[#This Row],[Проценты за период]])),
AND(S1418=0,Первоначальный[[#This Row],[Дата платежа из графика]]=""),0,
AND(S1418=0,Первоначальный[[#This Row],[Дата платежа из графика]]=1,MAX((0&lt;&gt;S$12:S1418)*ROW(S$12:S1418),ROW($S$12))&gt;=MAX((1=Z$12:Z1418)*ROW(Z$12:Z1418),ROW($T$12)),TYPE(VLOOKUP("Да",(INDIRECT("AA"&amp;(MAX((1=Z$12:Z1418)*ROW(Z$12:Z1418),ROW($T$12))&amp;":AA"&amp;(ROW()-1)))),1,0))=16),MIN(LOOKUP(,-1/($Z$12:Z1419=1),$C$12:C1419)+LOOKUP(,-1/($Z$12:Z1419=1),$H$12:H1419),Первоначальный[[#This Row],[Полученный платеж]]+Y1418),
AND(S1418=0,TYPE(VLOOKUP("Да",(INDIRECT("AA"&amp;(MAX((1=Z$12:Z1418)*ROW(Z$12:Z1418),ROW($T$12))&amp;":AA"&amp;(ROW()-1)))),1,0))&lt;&gt;16),MIN(LOOKUP(,-1/($Z$12:Z1419=1),$C$12:C1419)+LOOKUP(,-1/($Z$12:Z1419=1),$H$12:H1419)-IF(AA1418="Да",0,SUM(INDIRECT("T"&amp;(MAX(("Да"=AA$12:AA1418)*ROW(AA$12:AA1418)+1,ROW($T$12))&amp;":T"&amp;(ROW()-1))))),Первоначальный[[#This Row],[Полученный платеж]]+Y1418),
AND(S1418=0,MAX((0&lt;&gt;N$12:N1418)*ROW(N$12:N1418),ROW($S$12))&gt;=MAX((1=Z$12:Z1418)*ROW(Z$12:Z1418),ROW($T$12))),MIN(LOOKUP(,-1/($Z$12:Z1419=1),$C$12:C1419)+LOOKUP(,-1/($Z$12:Z1419=1),$H$12:H1419)-IF(N1418&lt;&gt;0,0,SUM(INDIRECT("T"&amp;(MAX((0&lt;&gt;N$12:N1418)*ROW(N$12:N1418)+1,ROW($T$12))&amp;":T"&amp;(ROW()-1))))),Первоначальный[[#This Row],[Полученный платеж]]+Y1418),
AND(S1418=0,Первоначальный[[#This Row],[Дата платежа из графика]]=1),MIN(LOOKUP(,-1/($Z$12:Z1419=1),$C$12:C1419)+LOOKUP(,-1/($Z$12:Z1419=1),$H$12:H1419)-IF(Z1418=1,0,SUM(INDIRECT("T"&amp;(MAX((1=Z$12:Z1418)*ROW(Z$12:Z1418)+1,ROW($T$12))&amp;":T"&amp;(ROW()-1))))),Первоначальный[[#This Row],[Полученный платеж]]+Y1418),
AND(Z1418&gt;0,Первоначальный[[#This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платеж]]+Y1418),
AND(S1418&gt;0,MAX((0&lt;&gt;S$12:S1418)*ROW(S$12:S1418),ROW($S$12))&gt;=MAX((1=Z$12:Z1418)*ROW(Z$12:Z1418),ROW($T$12)),TYPE(VLOOKUP("Да",(INDIRECT("AA"&amp;(MAX((1=Z$12:Z1418)*ROW(Z$12:Z1418),ROW($T$12))&amp;":AA"&amp;(ROW()-1)))),1,0))=16),MIN(LOOKUP(,-1/($Z$12:Z1419=1),$C$12:C1419)+LOOKUP(,-1/($Z$12:Z1419=1),$H$12:H1419)-SUM(INDIRECT("T"&amp;(MAX((1=Z$12:Z1418)*ROW(Z$12:Z1418),ROW($T$12))&amp;":T"&amp;(ROW()-1)))),Первоначальный[[#This Row],[Полученный платеж]]+Y1418),
S1418&gt;0,MIN(LOOKUP(,-1/($Z$12:Z1419=1),$C$12:C1419)+LOOKUP(,-1/($Z$12:Z1419=1),$H$12:H1419)-IF(Z1418=1,0,SUM(INDIRECT("T"&amp;(MAX((1=Z$12:Z1418)*ROW(Z$12:Z1418)+1,ROW($T$12))&amp;":T"&amp;(ROW()-1))))),Первоначальный[[#This Row],[Полученный платеж]]+Y1418)
)
)
)</f>
        <v>0</v>
      </c>
      <c r="U141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платеж]]+Y1418-Первоначальный[[#This Row],[Полученный платёж по процентам]])</f>
        <v>0</v>
      </c>
      <c r="V1419" s="55">
        <f t="shared" ca="1" si="255"/>
        <v>0</v>
      </c>
      <c r="W1419" s="55" cm="1">
        <f t="array" aca="1" ref="W1419" ca="1">IF(Первоначальный[[#This Row],[Итого остаток на начало периода]]&lt;1,0,
_xlfn.IFS(
AND(TYPE(VLOOKUP(1,$Z$12:Z1419,1,0))=16,Первоначальный[[#This Row],[Досрочное погашение (да/"")]]=""),0,
AND(S1418=0,Первоначальный[[#This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платеж]]+Y1418-SUM(Первоначальный[[#This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комиссиям]]),VLOOKUP(LOOKUP(,-1/($Z$12:Z1419=1),$A$12:A1419),График[[Срок конец]:[Возврат основной суммы долга]],3,0)),
AND(S1418=0,Первоначальный[[#This Row],[Дата платежа из графика]]="",Первоначальный[[#This Row],[Досрочное погашение (да/"")]]&lt;&gt;"Да"),0,
AND(S1418=0,Первоначальный[[#This Row],[Досрочное погашение (да/"")]]=""),MIN(Первоначальный[[#This Row],[Полученный платеж]]+Y1418-SUM(Первоначальный[[#This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комиссиям]]),VLOOKUP(LOOKUP(,-1/($Z$12:Z1419=1),$A$12:A1419),График[[Срок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платеж]]+Y1418-SUM(Первоначальный[[#This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S1418&gt;0,MIN(Первоначальный[[#This Row],[Полученный платеж]]+Y1418-SUM(Первоначальный[[#This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комиссиям]]),SUM(INDIRECT("M"&amp;(MAX((1=S$12:S1418)*ROW(S$12:S1418),ROW($W$12))&amp;":M"&amp;(ROW()))))-SUM(INDIRECT("W"&amp;(MAX((1=S$12:S1418)*ROW(S$12:S1418),ROW($W$12))&amp;":W"&amp;(ROW()-1)))))
)
)</f>
        <v>0</v>
      </c>
      <c r="X1419" s="55">
        <f t="shared" ca="1" si="256"/>
        <v>0</v>
      </c>
      <c r="Y1419" s="101">
        <f t="shared" ca="1" si="263"/>
        <v>0</v>
      </c>
      <c r="Z1419" s="133" t="str">
        <f>IF(TYPE((VLOOKUP(Первоначальный[[#This Row],[Дата платежа]],График[Срок конец],1,0)))=16,"",1)</f>
        <v/>
      </c>
      <c r="AA1419" s="57"/>
      <c r="AB1419" s="134"/>
      <c r="AC141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1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101168.25000000009</v>
      </c>
      <c r="AE141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8487.050000000012</v>
      </c>
      <c r="AF141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1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421759.21181147551</v>
      </c>
      <c r="AH1419" s="55"/>
      <c r="AI1419" s="55"/>
      <c r="AJ1419" s="55"/>
      <c r="AK1419" s="101">
        <f t="shared" ca="1" si="264"/>
        <v>681047.85181147559</v>
      </c>
      <c r="AL1419" s="129">
        <f t="array" ref="AL1419">MAX((УслРестрактов[Характеристика]="Дата реструктуризации")*(УслРестрактов[Значение]=Первоначальный!$A1419),0)</f>
        <v>0</v>
      </c>
    </row>
    <row r="1420" spans="1:38" x14ac:dyDescent="0.25">
      <c r="A1420" s="97">
        <f t="shared" si="257"/>
        <v>45551</v>
      </c>
      <c r="B1420" s="100">
        <f t="shared" ca="1" si="258"/>
        <v>149633.34</v>
      </c>
      <c r="C1420" s="55">
        <f t="shared" ca="1" si="266"/>
        <v>101168.25000000009</v>
      </c>
      <c r="D1420" s="55">
        <f t="shared" ca="1" si="266"/>
        <v>8487.050000000012</v>
      </c>
      <c r="E1420" s="55">
        <f t="shared" ca="1" si="259"/>
        <v>0</v>
      </c>
      <c r="F1420" s="55">
        <f t="shared" ca="1" si="260"/>
        <v>421759.21181147551</v>
      </c>
      <c r="G1420" s="101">
        <f t="shared" ca="1" si="261"/>
        <v>681047.85181147559</v>
      </c>
      <c r="H1420" s="100">
        <f ca="1">ROUND($B1420*VLOOKUP($A1420,$A$1:$B$10,2,1)/(365+IF(MOD(YEAR($A1420),4),0,1)*($A1420-$A1419)),2)-Первоначальный[[#This Row],[Проценты на просроченный платеж по ОД за период]]</f>
        <v>66.849999999999994</v>
      </c>
      <c r="I1420" s="55">
        <f t="shared" ca="1" si="262"/>
        <v>14.51</v>
      </c>
      <c r="J1420" s="55">
        <v>0</v>
      </c>
      <c r="K1420" s="55">
        <f t="shared" ca="1" si="265"/>
        <v>637.27350327868851</v>
      </c>
      <c r="L1420" s="55">
        <v>0</v>
      </c>
      <c r="M1420" s="113">
        <f>SUMIFS(График[Возврат основной суммы долга],График[Дата с учетом нерабочих дней],$A1420)</f>
        <v>0</v>
      </c>
      <c r="N1420" s="56">
        <f>SUMIFS(График[Возврат начисленных %],График[Дата с учетом нерабочих дней],$A1420)</f>
        <v>0</v>
      </c>
      <c r="O1420" s="101">
        <v>0</v>
      </c>
      <c r="P1420" s="100" cm="1">
        <f t="array" aca="1" ref="P1420" ca="1">MAX(IF(AA1419="Да",0,SUM(INDIRECT("M"&amp;(MAX(("Да"=AA$12:AA1419)*ROW(AA$12:AA1419)+1,ROW($P$12))&amp;":M"&amp;(ROW()))))-SUM(INDIRECT("W"&amp;(MAX(("Да"=AA$12:AA1419)*ROW(AA$12:AA1419)+1,ROW($P$12))&amp;":W"&amp;(ROW()))))),0)</f>
        <v>26693.269999999997</v>
      </c>
      <c r="Q1420" s="99">
        <f ca="1">MAX(SUM($N$13:N1420)-SUM($T$13:T1420),0)</f>
        <v>100761.4306557377</v>
      </c>
      <c r="R1420" s="99">
        <f ca="1">Первоначальный[[#This Row],[Просроченный платеж по ОД]]+Первоначальный[[#This Row],[Просроченный платеж по процентам]]</f>
        <v>127454.70065573769</v>
      </c>
      <c r="S1420" s="120">
        <f ca="1">IF(Первоначальный[[#This Row],[Просроченный платеж]]&lt;1,0,S1419+1)</f>
        <v>1316</v>
      </c>
      <c r="T1420" s="100" cm="1">
        <f t="array" aca="1" ref="T1420" ca="1">IF(Первоначальный[[#This Row],[Итого остаток на начало периода]]&lt;1,0,
IF(
AND(TYPE(VLOOKUP(1,$Z$12:Z1420,1,0))=16,Первоначальный[[#This Row],[Досрочное погашение (да/"")]]=""),0,
_xlfn.IFS(AND(S1419=0,Первоначальный[[#This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платеж]]&lt;&gt;0),MIN(LOOKUP(,-1/($Z$12:Z1420=1),$C$12:C1420)+LOOKUP(,-1/($Z$12:Z1420=1),$H$12:H1420),Первоначальный[[#This Row],[Полученный платеж]]+Y1419),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платеж]]+Y1419,SUM(Первоначальный[[#This Row],[Остаток процентов на начало периода]],Первоначальный[[#This Row],[Проценты за период]])),
AND(S1419=0,Первоначальный[[#This Row],[Дата платежа из графика]]=""),0,
AND(S1419=0,Первоначальный[[#This Row],[Дата платежа из графика]]=1,MAX((0&lt;&gt;S$12:S1419)*ROW(S$12:S1419),ROW($S$12))&gt;=MAX((1=Z$12:Z1419)*ROW(Z$12:Z1419),ROW($T$12)),TYPE(VLOOKUP("Да",(INDIRECT("AA"&amp;(MAX((1=Z$12:Z1419)*ROW(Z$12:Z1419),ROW($T$12))&amp;":AA"&amp;(ROW()-1)))),1,0))=16),MIN(LOOKUP(,-1/($Z$12:Z1420=1),$C$12:C1420)+LOOKUP(,-1/($Z$12:Z1420=1),$H$12:H1420),Первоначальный[[#This Row],[Полученный платеж]]+Y1419),
AND(S1419=0,TYPE(VLOOKUP("Да",(INDIRECT("AA"&amp;(MAX((1=Z$12:Z1419)*ROW(Z$12:Z1419),ROW($T$12))&amp;":AA"&amp;(ROW()-1)))),1,0))&lt;&gt;16),MIN(LOOKUP(,-1/($Z$12:Z1420=1),$C$12:C1420)+LOOKUP(,-1/($Z$12:Z1420=1),$H$12:H1420)-IF(AA1419="Да",0,SUM(INDIRECT("T"&amp;(MAX(("Да"=AA$12:AA1419)*ROW(AA$12:AA1419)+1,ROW($T$12))&amp;":T"&amp;(ROW()-1))))),Первоначальный[[#This Row],[Полученный платеж]]+Y1419),
AND(S1419=0,MAX((0&lt;&gt;N$12:N1419)*ROW(N$12:N1419),ROW($S$12))&gt;=MAX((1=Z$12:Z1419)*ROW(Z$12:Z1419),ROW($T$12))),MIN(LOOKUP(,-1/($Z$12:Z1420=1),$C$12:C1420)+LOOKUP(,-1/($Z$12:Z1420=1),$H$12:H1420)-IF(N1419&lt;&gt;0,0,SUM(INDIRECT("T"&amp;(MAX((0&lt;&gt;N$12:N1419)*ROW(N$12:N1419)+1,ROW($T$12))&amp;":T"&amp;(ROW()-1))))),Первоначальный[[#This Row],[Полученный платеж]]+Y1419),
AND(S1419=0,Первоначальный[[#This Row],[Дата платежа из графика]]=1),MIN(LOOKUP(,-1/($Z$12:Z1420=1),$C$12:C1420)+LOOKUP(,-1/($Z$12:Z1420=1),$H$12:H1420)-IF(Z1419=1,0,SUM(INDIRECT("T"&amp;(MAX((1=Z$12:Z1419)*ROW(Z$12:Z1419)+1,ROW($T$12))&amp;":T"&amp;(ROW()-1))))),Первоначальный[[#This Row],[Полученный платеж]]+Y1419),
AND(Z1419&gt;0,Первоначальный[[#This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платеж]]+Y1419),
AND(S1419&gt;0,MAX((0&lt;&gt;S$12:S1419)*ROW(S$12:S1419),ROW($S$12))&gt;=MAX((1=Z$12:Z1419)*ROW(Z$12:Z1419),ROW($T$12)),TYPE(VLOOKUP("Да",(INDIRECT("AA"&amp;(MAX((1=Z$12:Z1419)*ROW(Z$12:Z1419),ROW($T$12))&amp;":AA"&amp;(ROW()-1)))),1,0))=16),MIN(LOOKUP(,-1/($Z$12:Z1420=1),$C$12:C1420)+LOOKUP(,-1/($Z$12:Z1420=1),$H$12:H1420)-SUM(INDIRECT("T"&amp;(MAX((1=Z$12:Z1419)*ROW(Z$12:Z1419),ROW($T$12))&amp;":T"&amp;(ROW()-1)))),Первоначальный[[#This Row],[Полученный платеж]]+Y1419),
S1419&gt;0,MIN(LOOKUP(,-1/($Z$12:Z1420=1),$C$12:C1420)+LOOKUP(,-1/($Z$12:Z1420=1),$H$12:H1420)-IF(Z1419=1,0,SUM(INDIRECT("T"&amp;(MAX((1=Z$12:Z1419)*ROW(Z$12:Z1419)+1,ROW($T$12))&amp;":T"&amp;(ROW()-1))))),Первоначальный[[#This Row],[Полученный платеж]]+Y1419)
)
)
)</f>
        <v>0</v>
      </c>
      <c r="U142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платеж]]+Y1419-Первоначальный[[#This Row],[Полученный платёж по процентам]])</f>
        <v>0</v>
      </c>
      <c r="V1420" s="55">
        <f t="shared" ca="1" si="255"/>
        <v>0</v>
      </c>
      <c r="W1420" s="55" cm="1">
        <f t="array" aca="1" ref="W1420" ca="1">IF(Первоначальный[[#This Row],[Итого остаток на начало периода]]&lt;1,0,
_xlfn.IFS(
AND(TYPE(VLOOKUP(1,$Z$12:Z1420,1,0))=16,Первоначальный[[#This Row],[Досрочное погашение (да/"")]]=""),0,
AND(S1419=0,Первоначальный[[#This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платеж]]+Y1419-SUM(Первоначальный[[#This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комиссиям]]),VLOOKUP(LOOKUP(,-1/($Z$12:Z1420=1),$A$12:A1420),График[[Срок конец]:[Возврат основной суммы долга]],3,0)),
AND(S1419=0,Первоначальный[[#This Row],[Дата платежа из графика]]="",Первоначальный[[#This Row],[Досрочное погашение (да/"")]]&lt;&gt;"Да"),0,
AND(S1419=0,Первоначальный[[#This Row],[Досрочное погашение (да/"")]]=""),MIN(Первоначальный[[#This Row],[Полученный платеж]]+Y1419-SUM(Первоначальный[[#This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комиссиям]]),VLOOKUP(LOOKUP(,-1/($Z$12:Z1420=1),$A$12:A1420),График[[Срок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платеж]]+Y1419-SUM(Первоначальный[[#This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S1419&gt;0,MIN(Первоначальный[[#This Row],[Полученный платеж]]+Y1419-SUM(Первоначальный[[#This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комиссиям]]),SUM(INDIRECT("M"&amp;(MAX((1=S$12:S1419)*ROW(S$12:S1419),ROW($W$12))&amp;":M"&amp;(ROW()))))-SUM(INDIRECT("W"&amp;(MAX((1=S$12:S1419)*ROW(S$12:S1419),ROW($W$12))&amp;":W"&amp;(ROW()-1)))))
)
)</f>
        <v>0</v>
      </c>
      <c r="X1420" s="55">
        <f t="shared" ca="1" si="256"/>
        <v>0</v>
      </c>
      <c r="Y1420" s="101">
        <f t="shared" ca="1" si="263"/>
        <v>0</v>
      </c>
      <c r="Z1420" s="133" t="str">
        <f>IF(TYPE((VLOOKUP(Первоначальный[[#This Row],[Дата платежа]],График[Срок конец],1,0)))=16,"",1)</f>
        <v/>
      </c>
      <c r="AA1420" s="57"/>
      <c r="AB1420" s="134"/>
      <c r="AC142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2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101235.10000000009</v>
      </c>
      <c r="AE142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8501.5600000000122</v>
      </c>
      <c r="AF142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2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422396.48531475419</v>
      </c>
      <c r="AH1420" s="55"/>
      <c r="AI1420" s="55"/>
      <c r="AJ1420" s="55"/>
      <c r="AK1420" s="101">
        <f t="shared" ca="1" si="264"/>
        <v>681766.4853147543</v>
      </c>
      <c r="AL1420" s="129">
        <f t="array" ref="AL1420">MAX((УслРестрактов[Характеристика]="Дата реструктуризации")*(УслРестрактов[Значение]=Первоначальный!$A1420),0)</f>
        <v>0</v>
      </c>
    </row>
    <row r="1421" spans="1:38" x14ac:dyDescent="0.25">
      <c r="A1421" s="97">
        <f t="shared" si="257"/>
        <v>45552</v>
      </c>
      <c r="B1421" s="100">
        <f t="shared" ca="1" si="258"/>
        <v>149633.34</v>
      </c>
      <c r="C1421" s="55">
        <f t="shared" ca="1" si="266"/>
        <v>101235.10000000009</v>
      </c>
      <c r="D1421" s="55">
        <f t="shared" ca="1" si="266"/>
        <v>8501.5600000000122</v>
      </c>
      <c r="E1421" s="55">
        <f t="shared" ca="1" si="259"/>
        <v>0</v>
      </c>
      <c r="F1421" s="55">
        <f t="shared" ca="1" si="260"/>
        <v>422396.48531475419</v>
      </c>
      <c r="G1421" s="101">
        <f t="shared" ca="1" si="261"/>
        <v>681766.4853147543</v>
      </c>
      <c r="H1421" s="100">
        <f ca="1">ROUND($B1421*VLOOKUP($A1421,$A$1:$B$10,2,1)/(365+IF(MOD(YEAR($A1421),4),0,1)*($A1421-$A1420)),2)-Первоначальный[[#This Row],[Проценты на просроченный платеж по ОД за период]]</f>
        <v>66.849999999999994</v>
      </c>
      <c r="I1421" s="55">
        <f t="shared" ca="1" si="262"/>
        <v>14.51</v>
      </c>
      <c r="J1421" s="55">
        <v>0</v>
      </c>
      <c r="K1421" s="55">
        <f t="shared" ca="1" si="265"/>
        <v>637.27350327868851</v>
      </c>
      <c r="L1421" s="55">
        <v>0</v>
      </c>
      <c r="M1421" s="113">
        <f>SUMIFS(График[Возврат основной суммы долга],График[Дата с учетом нерабочих дней],$A1421)</f>
        <v>0</v>
      </c>
      <c r="N1421" s="56">
        <f>SUMIFS(График[Возврат начисленных %],График[Дата с учетом нерабочих дней],$A1421)</f>
        <v>0</v>
      </c>
      <c r="O1421" s="101">
        <v>0</v>
      </c>
      <c r="P1421" s="100" cm="1">
        <f t="array" aca="1" ref="P1421" ca="1">MAX(IF(AA1420="Да",0,SUM(INDIRECT("M"&amp;(MAX(("Да"=AA$12:AA1420)*ROW(AA$12:AA1420)+1,ROW($P$12))&amp;":M"&amp;(ROW()))))-SUM(INDIRECT("W"&amp;(MAX(("Да"=AA$12:AA1420)*ROW(AA$12:AA1420)+1,ROW($P$12))&amp;":W"&amp;(ROW()))))),0)</f>
        <v>26693.269999999997</v>
      </c>
      <c r="Q1421" s="99">
        <f ca="1">MAX(SUM($N$13:N1421)-SUM($T$13:T1421),0)</f>
        <v>100761.4306557377</v>
      </c>
      <c r="R1421" s="99">
        <f ca="1">Первоначальный[[#This Row],[Просроченный платеж по ОД]]+Первоначальный[[#This Row],[Просроченный платеж по процентам]]</f>
        <v>127454.70065573769</v>
      </c>
      <c r="S1421" s="120">
        <f ca="1">IF(Первоначальный[[#This Row],[Просроченный платеж]]&lt;1,0,S1420+1)</f>
        <v>1317</v>
      </c>
      <c r="T1421" s="100" cm="1">
        <f t="array" aca="1" ref="T1421" ca="1">IF(Первоначальный[[#This Row],[Итого остаток на начало периода]]&lt;1,0,
IF(
AND(TYPE(VLOOKUP(1,$Z$12:Z1421,1,0))=16,Первоначальный[[#This Row],[Досрочное погашение (да/"")]]=""),0,
_xlfn.IFS(AND(S1420=0,Первоначальный[[#This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платеж]]&lt;&gt;0),MIN(LOOKUP(,-1/($Z$12:Z1421=1),$C$12:C1421)+LOOKUP(,-1/($Z$12:Z1421=1),$H$12:H1421),Первоначальный[[#This Row],[Полученный платеж]]+Y1420),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платеж]]+Y1420,SUM(Первоначальный[[#This Row],[Остаток процентов на начало периода]],Первоначальный[[#This Row],[Проценты за период]])),
AND(S1420=0,Первоначальный[[#This Row],[Дата платежа из графика]]=""),0,
AND(S1420=0,Первоначальный[[#This Row],[Дата платежа из графика]]=1,MAX((0&lt;&gt;S$12:S1420)*ROW(S$12:S1420),ROW($S$12))&gt;=MAX((1=Z$12:Z1420)*ROW(Z$12:Z1420),ROW($T$12)),TYPE(VLOOKUP("Да",(INDIRECT("AA"&amp;(MAX((1=Z$12:Z1420)*ROW(Z$12:Z1420),ROW($T$12))&amp;":AA"&amp;(ROW()-1)))),1,0))=16),MIN(LOOKUP(,-1/($Z$12:Z1421=1),$C$12:C1421)+LOOKUP(,-1/($Z$12:Z1421=1),$H$12:H1421),Первоначальный[[#This Row],[Полученный платеж]]+Y1420),
AND(S1420=0,TYPE(VLOOKUP("Да",(INDIRECT("AA"&amp;(MAX((1=Z$12:Z1420)*ROW(Z$12:Z1420),ROW($T$12))&amp;":AA"&amp;(ROW()-1)))),1,0))&lt;&gt;16),MIN(LOOKUP(,-1/($Z$12:Z1421=1),$C$12:C1421)+LOOKUP(,-1/($Z$12:Z1421=1),$H$12:H1421)-IF(AA1420="Да",0,SUM(INDIRECT("T"&amp;(MAX(("Да"=AA$12:AA1420)*ROW(AA$12:AA1420)+1,ROW($T$12))&amp;":T"&amp;(ROW()-1))))),Первоначальный[[#This Row],[Полученный платеж]]+Y1420),
AND(S1420=0,MAX((0&lt;&gt;N$12:N1420)*ROW(N$12:N1420),ROW($S$12))&gt;=MAX((1=Z$12:Z1420)*ROW(Z$12:Z1420),ROW($T$12))),MIN(LOOKUP(,-1/($Z$12:Z1421=1),$C$12:C1421)+LOOKUP(,-1/($Z$12:Z1421=1),$H$12:H1421)-IF(N1420&lt;&gt;0,0,SUM(INDIRECT("T"&amp;(MAX((0&lt;&gt;N$12:N1420)*ROW(N$12:N1420)+1,ROW($T$12))&amp;":T"&amp;(ROW()-1))))),Первоначальный[[#This Row],[Полученный платеж]]+Y1420),
AND(S1420=0,Первоначальный[[#This Row],[Дата платежа из графика]]=1),MIN(LOOKUP(,-1/($Z$12:Z1421=1),$C$12:C1421)+LOOKUP(,-1/($Z$12:Z1421=1),$H$12:H1421)-IF(Z1420=1,0,SUM(INDIRECT("T"&amp;(MAX((1=Z$12:Z1420)*ROW(Z$12:Z1420)+1,ROW($T$12))&amp;":T"&amp;(ROW()-1))))),Первоначальный[[#This Row],[Полученный платеж]]+Y1420),
AND(Z1420&gt;0,Первоначальный[[#This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платеж]]+Y1420),
AND(S1420&gt;0,MAX((0&lt;&gt;S$12:S1420)*ROW(S$12:S1420),ROW($S$12))&gt;=MAX((1=Z$12:Z1420)*ROW(Z$12:Z1420),ROW($T$12)),TYPE(VLOOKUP("Да",(INDIRECT("AA"&amp;(MAX((1=Z$12:Z1420)*ROW(Z$12:Z1420),ROW($T$12))&amp;":AA"&amp;(ROW()-1)))),1,0))=16),MIN(LOOKUP(,-1/($Z$12:Z1421=1),$C$12:C1421)+LOOKUP(,-1/($Z$12:Z1421=1),$H$12:H1421)-SUM(INDIRECT("T"&amp;(MAX((1=Z$12:Z1420)*ROW(Z$12:Z1420),ROW($T$12))&amp;":T"&amp;(ROW()-1)))),Первоначальный[[#This Row],[Полученный платеж]]+Y1420),
S1420&gt;0,MIN(LOOKUP(,-1/($Z$12:Z1421=1),$C$12:C1421)+LOOKUP(,-1/($Z$12:Z1421=1),$H$12:H1421)-IF(Z1420=1,0,SUM(INDIRECT("T"&amp;(MAX((1=Z$12:Z1420)*ROW(Z$12:Z1420)+1,ROW($T$12))&amp;":T"&amp;(ROW()-1))))),Первоначальный[[#This Row],[Полученный платеж]]+Y1420)
)
)
)</f>
        <v>0</v>
      </c>
      <c r="U142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платеж]]+Y1420-Первоначальный[[#This Row],[Полученный платёж по процентам]])</f>
        <v>0</v>
      </c>
      <c r="V1421" s="55">
        <f t="shared" ref="V1421:V1484" ca="1" si="267">MAX(MIN(SUM(O1421,Y1420)-SUM(T1421:T1421),SUM(E1421,J1421)),0)</f>
        <v>0</v>
      </c>
      <c r="W1421" s="55" cm="1">
        <f t="array" aca="1" ref="W1421" ca="1">IF(Первоначальный[[#This Row],[Итого остаток на начало периода]]&lt;1,0,
_xlfn.IFS(
AND(TYPE(VLOOKUP(1,$Z$12:Z1421,1,0))=16,Первоначальный[[#This Row],[Досрочное погашение (да/"")]]=""),0,
AND(S1420=0,Первоначальный[[#This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платеж]]+Y1420-SUM(Первоначальный[[#This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комиссиям]]),VLOOKUP(LOOKUP(,-1/($Z$12:Z1421=1),$A$12:A1421),График[[Срок конец]:[Возврат основной суммы долга]],3,0)),
AND(S1420=0,Первоначальный[[#This Row],[Дата платежа из графика]]="",Первоначальный[[#This Row],[Досрочное погашение (да/"")]]&lt;&gt;"Да"),0,
AND(S1420=0,Первоначальный[[#This Row],[Досрочное погашение (да/"")]]=""),MIN(Первоначальный[[#This Row],[Полученный платеж]]+Y1420-SUM(Первоначальный[[#This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комиссиям]]),VLOOKUP(LOOKUP(,-1/($Z$12:Z1421=1),$A$12:A1421),График[[Срок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платеж]]+Y1420-SUM(Первоначальный[[#This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S1420&gt;0,MIN(Первоначальный[[#This Row],[Полученный платеж]]+Y1420-SUM(Первоначальный[[#This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комиссиям]]),SUM(INDIRECT("M"&amp;(MAX((1=S$12:S1420)*ROW(S$12:S1420),ROW($W$12))&amp;":M"&amp;(ROW()))))-SUM(INDIRECT("W"&amp;(MAX((1=S$12:S1420)*ROW(S$12:S1420),ROW($W$12))&amp;":W"&amp;(ROW()-1)))))
)
)</f>
        <v>0</v>
      </c>
      <c r="X1421" s="55">
        <f t="shared" ref="X1421:X1484" ca="1" si="268">MAX(MIN(SUM(O1421,Y1420)-SUM(T1421:W1421),SUM(F1421,K1421)),0)</f>
        <v>0</v>
      </c>
      <c r="Y1421" s="101">
        <f t="shared" ca="1" si="263"/>
        <v>0</v>
      </c>
      <c r="Z1421" s="133" t="str">
        <f>IF(TYPE((VLOOKUP(Первоначальный[[#This Row],[Дата платежа]],График[Срок конец],1,0)))=16,"",1)</f>
        <v/>
      </c>
      <c r="AA1421" s="57"/>
      <c r="AB1421" s="134"/>
      <c r="AC142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2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101301.9500000001</v>
      </c>
      <c r="AE142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8516.0700000000124</v>
      </c>
      <c r="AF142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2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423033.75881803286</v>
      </c>
      <c r="AH1421" s="55"/>
      <c r="AI1421" s="55"/>
      <c r="AJ1421" s="55"/>
      <c r="AK1421" s="101">
        <f t="shared" ca="1" si="264"/>
        <v>682485.11881803302</v>
      </c>
      <c r="AL1421" s="129">
        <f t="array" ref="AL1421">MAX((УслРестрактов[Характеристика]="Дата реструктуризации")*(УслРестрактов[Значение]=Первоначальный!$A1421),0)</f>
        <v>0</v>
      </c>
    </row>
    <row r="1422" spans="1:38" x14ac:dyDescent="0.25">
      <c r="A1422" s="97">
        <f t="shared" ref="A1422:A1485" si="269">A1421+1</f>
        <v>45553</v>
      </c>
      <c r="B1422" s="100">
        <f t="shared" ref="B1422:B1485" ca="1" si="270">AC1421</f>
        <v>149633.34</v>
      </c>
      <c r="C1422" s="55">
        <f t="shared" ca="1" si="266"/>
        <v>101301.9500000001</v>
      </c>
      <c r="D1422" s="55">
        <f t="shared" ca="1" si="266"/>
        <v>8516.0700000000124</v>
      </c>
      <c r="E1422" s="55">
        <f t="shared" ref="E1422:E1485" ca="1" si="271">AF1421</f>
        <v>0</v>
      </c>
      <c r="F1422" s="55">
        <f t="shared" ref="F1422:F1485" ca="1" si="272">AG1421+AH1421</f>
        <v>423033.75881803286</v>
      </c>
      <c r="G1422" s="101">
        <f t="shared" ref="G1422:G1485" ca="1" si="273">AK1421</f>
        <v>682485.11881803302</v>
      </c>
      <c r="H1422" s="100">
        <f ca="1">ROUND($B1422*VLOOKUP($A1422,$A$1:$B$10,2,1)/(365+IF(MOD(YEAR($A1422),4),0,1)*($A1422-$A1421)),2)-Первоначальный[[#This Row],[Проценты на просроченный платеж по ОД за период]]</f>
        <v>66.849999999999994</v>
      </c>
      <c r="I1422" s="55">
        <f t="shared" ref="I1422:I1485" ca="1" si="274">ROUND(P1421*VLOOKUP($A1422,$A$1:$B$10,2,1)/(365+IF(MOD(YEAR($A1422),4),0,1)*($A1422-$A1421)),2)</f>
        <v>14.51</v>
      </c>
      <c r="J1422" s="55">
        <v>0</v>
      </c>
      <c r="K1422" s="55">
        <f t="shared" ca="1" si="265"/>
        <v>637.27350327868851</v>
      </c>
      <c r="L1422" s="55">
        <v>0</v>
      </c>
      <c r="M1422" s="113">
        <f>SUMIFS(График[Возврат основной суммы долга],График[Дата с учетом нерабочих дней],$A1422)</f>
        <v>0</v>
      </c>
      <c r="N1422" s="56">
        <f>SUMIFS(График[Возврат начисленных %],График[Дата с учетом нерабочих дней],$A1422)</f>
        <v>0</v>
      </c>
      <c r="O1422" s="101">
        <v>0</v>
      </c>
      <c r="P1422" s="100" cm="1">
        <f t="array" aca="1" ref="P1422" ca="1">MAX(IF(AA1421="Да",0,SUM(INDIRECT("M"&amp;(MAX(("Да"=AA$12:AA1421)*ROW(AA$12:AA1421)+1,ROW($P$12))&amp;":M"&amp;(ROW()))))-SUM(INDIRECT("W"&amp;(MAX(("Да"=AA$12:AA1421)*ROW(AA$12:AA1421)+1,ROW($P$12))&amp;":W"&amp;(ROW()))))),0)</f>
        <v>26693.269999999997</v>
      </c>
      <c r="Q1422" s="99">
        <f ca="1">MAX(SUM($N$13:N1422)-SUM($T$13:T1422),0)</f>
        <v>100761.4306557377</v>
      </c>
      <c r="R1422" s="99">
        <f ca="1">Первоначальный[[#This Row],[Просроченный платеж по ОД]]+Первоначальный[[#This Row],[Просроченный платеж по процентам]]</f>
        <v>127454.70065573769</v>
      </c>
      <c r="S1422" s="120">
        <f ca="1">IF(Первоначальный[[#This Row],[Просроченный платеж]]&lt;1,0,S1421+1)</f>
        <v>1318</v>
      </c>
      <c r="T1422" s="100" cm="1">
        <f t="array" aca="1" ref="T1422" ca="1">IF(Первоначальный[[#This Row],[Итого остаток на начало периода]]&lt;1,0,
IF(
AND(TYPE(VLOOKUP(1,$Z$12:Z1422,1,0))=16,Первоначальный[[#This Row],[Досрочное погашение (да/"")]]=""),0,
_xlfn.IFS(AND(S1421=0,Первоначальный[[#This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платеж]]&lt;&gt;0),MIN(LOOKUP(,-1/($Z$12:Z1422=1),$C$12:C1422)+LOOKUP(,-1/($Z$12:Z1422=1),$H$12:H1422),Первоначальный[[#This Row],[Полученный платеж]]+Y1421),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платеж]]+Y1421,SUM(Первоначальный[[#This Row],[Остаток процентов на начало периода]],Первоначальный[[#This Row],[Проценты за период]])),
AND(S1421=0,Первоначальный[[#This Row],[Дата платежа из графика]]=""),0,
AND(S1421=0,Первоначальный[[#This Row],[Дата платежа из графика]]=1,MAX((0&lt;&gt;S$12:S1421)*ROW(S$12:S1421),ROW($S$12))&gt;=MAX((1=Z$12:Z1421)*ROW(Z$12:Z1421),ROW($T$12)),TYPE(VLOOKUP("Да",(INDIRECT("AA"&amp;(MAX((1=Z$12:Z1421)*ROW(Z$12:Z1421),ROW($T$12))&amp;":AA"&amp;(ROW()-1)))),1,0))=16),MIN(LOOKUP(,-1/($Z$12:Z1422=1),$C$12:C1422)+LOOKUP(,-1/($Z$12:Z1422=1),$H$12:H1422),Первоначальный[[#This Row],[Полученный платеж]]+Y1421),
AND(S1421=0,TYPE(VLOOKUP("Да",(INDIRECT("AA"&amp;(MAX((1=Z$12:Z1421)*ROW(Z$12:Z1421),ROW($T$12))&amp;":AA"&amp;(ROW()-1)))),1,0))&lt;&gt;16),MIN(LOOKUP(,-1/($Z$12:Z1422=1),$C$12:C1422)+LOOKUP(,-1/($Z$12:Z1422=1),$H$12:H1422)-IF(AA1421="Да",0,SUM(INDIRECT("T"&amp;(MAX(("Да"=AA$12:AA1421)*ROW(AA$12:AA1421)+1,ROW($T$12))&amp;":T"&amp;(ROW()-1))))),Первоначальный[[#This Row],[Полученный платеж]]+Y1421),
AND(S1421=0,MAX((0&lt;&gt;N$12:N1421)*ROW(N$12:N1421),ROW($S$12))&gt;=MAX((1=Z$12:Z1421)*ROW(Z$12:Z1421),ROW($T$12))),MIN(LOOKUP(,-1/($Z$12:Z1422=1),$C$12:C1422)+LOOKUP(,-1/($Z$12:Z1422=1),$H$12:H1422)-IF(N1421&lt;&gt;0,0,SUM(INDIRECT("T"&amp;(MAX((0&lt;&gt;N$12:N1421)*ROW(N$12:N1421)+1,ROW($T$12))&amp;":T"&amp;(ROW()-1))))),Первоначальный[[#This Row],[Полученный платеж]]+Y1421),
AND(S1421=0,Первоначальный[[#This Row],[Дата платежа из графика]]=1),MIN(LOOKUP(,-1/($Z$12:Z1422=1),$C$12:C1422)+LOOKUP(,-1/($Z$12:Z1422=1),$H$12:H1422)-IF(Z1421=1,0,SUM(INDIRECT("T"&amp;(MAX((1=Z$12:Z1421)*ROW(Z$12:Z1421)+1,ROW($T$12))&amp;":T"&amp;(ROW()-1))))),Первоначальный[[#This Row],[Полученный платеж]]+Y1421),
AND(Z1421&gt;0,Первоначальный[[#This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платеж]]+Y1421),
AND(S1421&gt;0,MAX((0&lt;&gt;S$12:S1421)*ROW(S$12:S1421),ROW($S$12))&gt;=MAX((1=Z$12:Z1421)*ROW(Z$12:Z1421),ROW($T$12)),TYPE(VLOOKUP("Да",(INDIRECT("AA"&amp;(MAX((1=Z$12:Z1421)*ROW(Z$12:Z1421),ROW($T$12))&amp;":AA"&amp;(ROW()-1)))),1,0))=16),MIN(LOOKUP(,-1/($Z$12:Z1422=1),$C$12:C1422)+LOOKUP(,-1/($Z$12:Z1422=1),$H$12:H1422)-SUM(INDIRECT("T"&amp;(MAX((1=Z$12:Z1421)*ROW(Z$12:Z1421),ROW($T$12))&amp;":T"&amp;(ROW()-1)))),Первоначальный[[#This Row],[Полученный платеж]]+Y1421),
S1421&gt;0,MIN(LOOKUP(,-1/($Z$12:Z1422=1),$C$12:C1422)+LOOKUP(,-1/($Z$12:Z1422=1),$H$12:H1422)-IF(Z1421=1,0,SUM(INDIRECT("T"&amp;(MAX((1=Z$12:Z1421)*ROW(Z$12:Z1421)+1,ROW($T$12))&amp;":T"&amp;(ROW()-1))))),Первоначальный[[#This Row],[Полученный платеж]]+Y1421)
)
)
)</f>
        <v>0</v>
      </c>
      <c r="U142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платеж]]+Y1421-Первоначальный[[#This Row],[Полученный платёж по процентам]])</f>
        <v>0</v>
      </c>
      <c r="V1422" s="55">
        <f t="shared" ca="1" si="267"/>
        <v>0</v>
      </c>
      <c r="W1422" s="55" cm="1">
        <f t="array" aca="1" ref="W1422" ca="1">IF(Первоначальный[[#This Row],[Итого остаток на начало периода]]&lt;1,0,
_xlfn.IFS(
AND(TYPE(VLOOKUP(1,$Z$12:Z1422,1,0))=16,Первоначальный[[#This Row],[Досрочное погашение (да/"")]]=""),0,
AND(S1421=0,Первоначальный[[#This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платеж]]+Y1421-SUM(Первоначальный[[#This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комиссиям]]),VLOOKUP(LOOKUP(,-1/($Z$12:Z1422=1),$A$12:A1422),График[[Срок конец]:[Возврат основной суммы долга]],3,0)),
AND(S1421=0,Первоначальный[[#This Row],[Дата платежа из графика]]="",Первоначальный[[#This Row],[Досрочное погашение (да/"")]]&lt;&gt;"Да"),0,
AND(S1421=0,Первоначальный[[#This Row],[Досрочное погашение (да/"")]]=""),MIN(Первоначальный[[#This Row],[Полученный платеж]]+Y1421-SUM(Первоначальный[[#This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комиссиям]]),VLOOKUP(LOOKUP(,-1/($Z$12:Z1422=1),$A$12:A1422),График[[Срок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платеж]]+Y1421-SUM(Первоначальный[[#This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S1421&gt;0,MIN(Первоначальный[[#This Row],[Полученный платеж]]+Y1421-SUM(Первоначальный[[#This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комиссиям]]),SUM(INDIRECT("M"&amp;(MAX((1=S$12:S1421)*ROW(S$12:S1421),ROW($W$12))&amp;":M"&amp;(ROW()))))-SUM(INDIRECT("W"&amp;(MAX((1=S$12:S1421)*ROW(S$12:S1421),ROW($W$12))&amp;":W"&amp;(ROW()-1)))))
)
)</f>
        <v>0</v>
      </c>
      <c r="X1422" s="55">
        <f t="shared" ca="1" si="268"/>
        <v>0</v>
      </c>
      <c r="Y1422" s="101">
        <f t="shared" ref="Y1422:Y1485" ca="1" si="275">ROUND(Y1421+O1422-SUM(T1422:X1422),2)</f>
        <v>0</v>
      </c>
      <c r="Z1422" s="133" t="str">
        <f>IF(TYPE((VLOOKUP(Первоначальный[[#This Row],[Дата платежа]],График[Срок конец],1,0)))=16,"",1)</f>
        <v/>
      </c>
      <c r="AA1422" s="57"/>
      <c r="AB1422" s="134"/>
      <c r="AC142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2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101368.8000000001</v>
      </c>
      <c r="AE142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8530.5800000000127</v>
      </c>
      <c r="AF142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2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423671.03232131153</v>
      </c>
      <c r="AH1422" s="55"/>
      <c r="AI1422" s="55"/>
      <c r="AJ1422" s="55"/>
      <c r="AK1422" s="101">
        <f t="shared" ref="AK1422:AK1485" ca="1" si="276">SUM(AC1422:AJ1422)</f>
        <v>683203.75232131162</v>
      </c>
      <c r="AL1422" s="129">
        <f t="array" ref="AL1422">MAX((УслРестрактов[Характеристика]="Дата реструктуризации")*(УслРестрактов[Значение]=Первоначальный!$A1422),0)</f>
        <v>0</v>
      </c>
    </row>
    <row r="1423" spans="1:38" x14ac:dyDescent="0.25">
      <c r="A1423" s="97">
        <f t="shared" si="269"/>
        <v>45554</v>
      </c>
      <c r="B1423" s="100">
        <f t="shared" ca="1" si="270"/>
        <v>149633.34</v>
      </c>
      <c r="C1423" s="55">
        <f t="shared" ca="1" si="266"/>
        <v>101368.8000000001</v>
      </c>
      <c r="D1423" s="55">
        <f t="shared" ca="1" si="266"/>
        <v>8530.5800000000127</v>
      </c>
      <c r="E1423" s="55">
        <f t="shared" ca="1" si="271"/>
        <v>0</v>
      </c>
      <c r="F1423" s="55">
        <f t="shared" ca="1" si="272"/>
        <v>423671.03232131153</v>
      </c>
      <c r="G1423" s="101">
        <f t="shared" ca="1" si="273"/>
        <v>683203.75232131162</v>
      </c>
      <c r="H1423" s="100">
        <f ca="1">ROUND($B1423*VLOOKUP($A1423,$A$1:$B$10,2,1)/(365+IF(MOD(YEAR($A1423),4),0,1)*($A1423-$A1422)),2)-Первоначальный[[#This Row],[Проценты на просроченный платеж по ОД за период]]</f>
        <v>66.849999999999994</v>
      </c>
      <c r="I1423" s="55">
        <f t="shared" ca="1" si="274"/>
        <v>14.51</v>
      </c>
      <c r="J1423" s="55">
        <v>0</v>
      </c>
      <c r="K1423" s="55">
        <f t="shared" ref="K1423:K1486" ca="1" si="277">IF(S1423&lt;&gt;0,R1423*$B$7,0)</f>
        <v>637.27350327868851</v>
      </c>
      <c r="L1423" s="55">
        <v>0</v>
      </c>
      <c r="M1423" s="113">
        <f>SUMIFS(График[Возврат основной суммы долга],График[Дата с учетом нерабочих дней],$A1423)</f>
        <v>0</v>
      </c>
      <c r="N1423" s="56">
        <f>SUMIFS(График[Возврат начисленных %],График[Дата с учетом нерабочих дней],$A1423)</f>
        <v>0</v>
      </c>
      <c r="O1423" s="101">
        <v>0</v>
      </c>
      <c r="P1423" s="100" cm="1">
        <f t="array" aca="1" ref="P1423" ca="1">MAX(IF(AA1422="Да",0,SUM(INDIRECT("M"&amp;(MAX(("Да"=AA$12:AA1422)*ROW(AA$12:AA1422)+1,ROW($P$12))&amp;":M"&amp;(ROW()))))-SUM(INDIRECT("W"&amp;(MAX(("Да"=AA$12:AA1422)*ROW(AA$12:AA1422)+1,ROW($P$12))&amp;":W"&amp;(ROW()))))),0)</f>
        <v>26693.269999999997</v>
      </c>
      <c r="Q1423" s="99">
        <f ca="1">MAX(SUM($N$13:N1423)-SUM($T$13:T1423),0)</f>
        <v>100761.4306557377</v>
      </c>
      <c r="R1423" s="99">
        <f ca="1">Первоначальный[[#This Row],[Просроченный платеж по ОД]]+Первоначальный[[#This Row],[Просроченный платеж по процентам]]</f>
        <v>127454.70065573769</v>
      </c>
      <c r="S1423" s="120">
        <f ca="1">IF(Первоначальный[[#This Row],[Просроченный платеж]]&lt;1,0,S1422+1)</f>
        <v>1319</v>
      </c>
      <c r="T1423" s="100" cm="1">
        <f t="array" aca="1" ref="T1423" ca="1">IF(Первоначальный[[#This Row],[Итого остаток на начало периода]]&lt;1,0,
IF(
AND(TYPE(VLOOKUP(1,$Z$12:Z1423,1,0))=16,Первоначальный[[#This Row],[Досрочное погашение (да/"")]]=""),0,
_xlfn.IFS(AND(S1422=0,Первоначальный[[#This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платеж]]&lt;&gt;0),MIN(LOOKUP(,-1/($Z$12:Z1423=1),$C$12:C1423)+LOOKUP(,-1/($Z$12:Z1423=1),$H$12:H1423),Первоначальный[[#This Row],[Полученный платеж]]+Y1422),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платеж]]+Y1422,SUM(Первоначальный[[#This Row],[Остаток процентов на начало периода]],Первоначальный[[#This Row],[Проценты за период]])),
AND(S1422=0,Первоначальный[[#This Row],[Дата платежа из графика]]=""),0,
AND(S1422=0,Первоначальный[[#This Row],[Дата платежа из графика]]=1,MAX((0&lt;&gt;S$12:S1422)*ROW(S$12:S1422),ROW($S$12))&gt;=MAX((1=Z$12:Z1422)*ROW(Z$12:Z1422),ROW($T$12)),TYPE(VLOOKUP("Да",(INDIRECT("AA"&amp;(MAX((1=Z$12:Z1422)*ROW(Z$12:Z1422),ROW($T$12))&amp;":AA"&amp;(ROW()-1)))),1,0))=16),MIN(LOOKUP(,-1/($Z$12:Z1423=1),$C$12:C1423)+LOOKUP(,-1/($Z$12:Z1423=1),$H$12:H1423),Первоначальный[[#This Row],[Полученный платеж]]+Y1422),
AND(S1422=0,TYPE(VLOOKUP("Да",(INDIRECT("AA"&amp;(MAX((1=Z$12:Z1422)*ROW(Z$12:Z1422),ROW($T$12))&amp;":AA"&amp;(ROW()-1)))),1,0))&lt;&gt;16),MIN(LOOKUP(,-1/($Z$12:Z1423=1),$C$12:C1423)+LOOKUP(,-1/($Z$12:Z1423=1),$H$12:H1423)-IF(AA1422="Да",0,SUM(INDIRECT("T"&amp;(MAX(("Да"=AA$12:AA1422)*ROW(AA$12:AA1422)+1,ROW($T$12))&amp;":T"&amp;(ROW()-1))))),Первоначальный[[#This Row],[Полученный платеж]]+Y1422),
AND(S1422=0,MAX((0&lt;&gt;N$12:N1422)*ROW(N$12:N1422),ROW($S$12))&gt;=MAX((1=Z$12:Z1422)*ROW(Z$12:Z1422),ROW($T$12))),MIN(LOOKUP(,-1/($Z$12:Z1423=1),$C$12:C1423)+LOOKUP(,-1/($Z$12:Z1423=1),$H$12:H1423)-IF(N1422&lt;&gt;0,0,SUM(INDIRECT("T"&amp;(MAX((0&lt;&gt;N$12:N1422)*ROW(N$12:N1422)+1,ROW($T$12))&amp;":T"&amp;(ROW()-1))))),Первоначальный[[#This Row],[Полученный платеж]]+Y1422),
AND(S1422=0,Первоначальный[[#This Row],[Дата платежа из графика]]=1),MIN(LOOKUP(,-1/($Z$12:Z1423=1),$C$12:C1423)+LOOKUP(,-1/($Z$12:Z1423=1),$H$12:H1423)-IF(Z1422=1,0,SUM(INDIRECT("T"&amp;(MAX((1=Z$12:Z1422)*ROW(Z$12:Z1422)+1,ROW($T$12))&amp;":T"&amp;(ROW()-1))))),Первоначальный[[#This Row],[Полученный платеж]]+Y1422),
AND(Z1422&gt;0,Первоначальный[[#This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платеж]]+Y1422),
AND(S1422&gt;0,MAX((0&lt;&gt;S$12:S1422)*ROW(S$12:S1422),ROW($S$12))&gt;=MAX((1=Z$12:Z1422)*ROW(Z$12:Z1422),ROW($T$12)),TYPE(VLOOKUP("Да",(INDIRECT("AA"&amp;(MAX((1=Z$12:Z1422)*ROW(Z$12:Z1422),ROW($T$12))&amp;":AA"&amp;(ROW()-1)))),1,0))=16),MIN(LOOKUP(,-1/($Z$12:Z1423=1),$C$12:C1423)+LOOKUP(,-1/($Z$12:Z1423=1),$H$12:H1423)-SUM(INDIRECT("T"&amp;(MAX((1=Z$12:Z1422)*ROW(Z$12:Z1422),ROW($T$12))&amp;":T"&amp;(ROW()-1)))),Первоначальный[[#This Row],[Полученный платеж]]+Y1422),
S1422&gt;0,MIN(LOOKUP(,-1/($Z$12:Z1423=1),$C$12:C1423)+LOOKUP(,-1/($Z$12:Z1423=1),$H$12:H1423)-IF(Z1422=1,0,SUM(INDIRECT("T"&amp;(MAX((1=Z$12:Z1422)*ROW(Z$12:Z1422)+1,ROW($T$12))&amp;":T"&amp;(ROW()-1))))),Первоначальный[[#This Row],[Полученный платеж]]+Y1422)
)
)
)</f>
        <v>0</v>
      </c>
      <c r="U142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платеж]]+Y1422-Первоначальный[[#This Row],[Полученный платёж по процентам]])</f>
        <v>0</v>
      </c>
      <c r="V1423" s="55">
        <f t="shared" ca="1" si="267"/>
        <v>0</v>
      </c>
      <c r="W1423" s="55" cm="1">
        <f t="array" aca="1" ref="W1423" ca="1">IF(Первоначальный[[#This Row],[Итого остаток на начало периода]]&lt;1,0,
_xlfn.IFS(
AND(TYPE(VLOOKUP(1,$Z$12:Z1423,1,0))=16,Первоначальный[[#This Row],[Досрочное погашение (да/"")]]=""),0,
AND(S1422=0,Первоначальный[[#This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платеж]]+Y1422-SUM(Первоначальный[[#This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комиссиям]]),VLOOKUP(LOOKUP(,-1/($Z$12:Z1423=1),$A$12:A1423),График[[Срок конец]:[Возврат основной суммы долга]],3,0)),
AND(S1422=0,Первоначальный[[#This Row],[Дата платежа из графика]]="",Первоначальный[[#This Row],[Досрочное погашение (да/"")]]&lt;&gt;"Да"),0,
AND(S1422=0,Первоначальный[[#This Row],[Досрочное погашение (да/"")]]=""),MIN(Первоначальный[[#This Row],[Полученный платеж]]+Y1422-SUM(Первоначальный[[#This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комиссиям]]),VLOOKUP(LOOKUP(,-1/($Z$12:Z1423=1),$A$12:A1423),График[[Срок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платеж]]+Y1422-SUM(Первоначальный[[#This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S1422&gt;0,MIN(Первоначальный[[#This Row],[Полученный платеж]]+Y1422-SUM(Первоначальный[[#This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комиссиям]]),SUM(INDIRECT("M"&amp;(MAX((1=S$12:S1422)*ROW(S$12:S1422),ROW($W$12))&amp;":M"&amp;(ROW()))))-SUM(INDIRECT("W"&amp;(MAX((1=S$12:S1422)*ROW(S$12:S1422),ROW($W$12))&amp;":W"&amp;(ROW()-1)))))
)
)</f>
        <v>0</v>
      </c>
      <c r="X1423" s="55">
        <f t="shared" ca="1" si="268"/>
        <v>0</v>
      </c>
      <c r="Y1423" s="101">
        <f t="shared" ca="1" si="275"/>
        <v>0</v>
      </c>
      <c r="Z1423" s="133" t="str">
        <f>IF(TYPE((VLOOKUP(Первоначальный[[#This Row],[Дата платежа]],График[Срок конец],1,0)))=16,"",1)</f>
        <v/>
      </c>
      <c r="AA1423" s="57"/>
      <c r="AB1423" s="134"/>
      <c r="AC142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2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101435.65000000011</v>
      </c>
      <c r="AE142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8545.0900000000129</v>
      </c>
      <c r="AF142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2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424308.30582459021</v>
      </c>
      <c r="AH1423" s="55"/>
      <c r="AI1423" s="55"/>
      <c r="AJ1423" s="55"/>
      <c r="AK1423" s="101">
        <f t="shared" ca="1" si="276"/>
        <v>683922.38582459034</v>
      </c>
      <c r="AL1423" s="129">
        <f t="array" ref="AL1423">MAX((УслРестрактов[Характеристика]="Дата реструктуризации")*(УслРестрактов[Значение]=Первоначальный!$A1423),0)</f>
        <v>0</v>
      </c>
    </row>
    <row r="1424" spans="1:38" x14ac:dyDescent="0.25">
      <c r="A1424" s="97">
        <f t="shared" si="269"/>
        <v>45555</v>
      </c>
      <c r="B1424" s="100">
        <f t="shared" ca="1" si="270"/>
        <v>149633.34</v>
      </c>
      <c r="C1424" s="55">
        <f t="shared" ca="1" si="266"/>
        <v>101435.65000000011</v>
      </c>
      <c r="D1424" s="55">
        <f t="shared" ca="1" si="266"/>
        <v>8545.0900000000129</v>
      </c>
      <c r="E1424" s="55">
        <f t="shared" ca="1" si="271"/>
        <v>0</v>
      </c>
      <c r="F1424" s="55">
        <f t="shared" ca="1" si="272"/>
        <v>424308.30582459021</v>
      </c>
      <c r="G1424" s="101">
        <f t="shared" ca="1" si="273"/>
        <v>683922.38582459034</v>
      </c>
      <c r="H1424" s="100">
        <f ca="1">ROUND($B1424*VLOOKUP($A1424,$A$1:$B$10,2,1)/(365+IF(MOD(YEAR($A1424),4),0,1)*($A1424-$A1423)),2)-Первоначальный[[#This Row],[Проценты на просроченный платеж по ОД за период]]</f>
        <v>66.849999999999994</v>
      </c>
      <c r="I1424" s="55">
        <f t="shared" ca="1" si="274"/>
        <v>14.51</v>
      </c>
      <c r="J1424" s="55">
        <v>0</v>
      </c>
      <c r="K1424" s="55">
        <f t="shared" ca="1" si="277"/>
        <v>637.27350327868851</v>
      </c>
      <c r="L1424" s="55">
        <v>0</v>
      </c>
      <c r="M1424" s="113">
        <f>SUMIFS(График[Возврат основной суммы долга],График[Дата с учетом нерабочих дней],$A1424)</f>
        <v>0</v>
      </c>
      <c r="N1424" s="56">
        <f>SUMIFS(График[Возврат начисленных %],График[Дата с учетом нерабочих дней],$A1424)</f>
        <v>0</v>
      </c>
      <c r="O1424" s="101">
        <v>0</v>
      </c>
      <c r="P1424" s="100" cm="1">
        <f t="array" aca="1" ref="P1424" ca="1">MAX(IF(AA1423="Да",0,SUM(INDIRECT("M"&amp;(MAX(("Да"=AA$12:AA1423)*ROW(AA$12:AA1423)+1,ROW($P$12))&amp;":M"&amp;(ROW()))))-SUM(INDIRECT("W"&amp;(MAX(("Да"=AA$12:AA1423)*ROW(AA$12:AA1423)+1,ROW($P$12))&amp;":W"&amp;(ROW()))))),0)</f>
        <v>26693.269999999997</v>
      </c>
      <c r="Q1424" s="99">
        <f ca="1">MAX(SUM($N$13:N1424)-SUM($T$13:T1424),0)</f>
        <v>100761.4306557377</v>
      </c>
      <c r="R1424" s="99">
        <f ca="1">Первоначальный[[#This Row],[Просроченный платеж по ОД]]+Первоначальный[[#This Row],[Просроченный платеж по процентам]]</f>
        <v>127454.70065573769</v>
      </c>
      <c r="S1424" s="120">
        <f ca="1">IF(Первоначальный[[#This Row],[Просроченный платеж]]&lt;1,0,S1423+1)</f>
        <v>1320</v>
      </c>
      <c r="T1424" s="100" cm="1">
        <f t="array" aca="1" ref="T1424" ca="1">IF(Первоначальный[[#This Row],[Итого остаток на начало периода]]&lt;1,0,
IF(
AND(TYPE(VLOOKUP(1,$Z$12:Z1424,1,0))=16,Первоначальный[[#This Row],[Досрочное погашение (да/"")]]=""),0,
_xlfn.IFS(AND(S1423=0,Первоначальный[[#This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платеж]]&lt;&gt;0),MIN(LOOKUP(,-1/($Z$12:Z1424=1),$C$12:C1424)+LOOKUP(,-1/($Z$12:Z1424=1),$H$12:H1424),Первоначальный[[#This Row],[Полученный платеж]]+Y1423),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платеж]]+Y1423,SUM(Первоначальный[[#This Row],[Остаток процентов на начало периода]],Первоначальный[[#This Row],[Проценты за период]])),
AND(S1423=0,Первоначальный[[#This Row],[Дата платежа из графика]]=""),0,
AND(S1423=0,Первоначальный[[#This Row],[Дата платежа из графика]]=1,MAX((0&lt;&gt;S$12:S1423)*ROW(S$12:S1423),ROW($S$12))&gt;=MAX((1=Z$12:Z1423)*ROW(Z$12:Z1423),ROW($T$12)),TYPE(VLOOKUP("Да",(INDIRECT("AA"&amp;(MAX((1=Z$12:Z1423)*ROW(Z$12:Z1423),ROW($T$12))&amp;":AA"&amp;(ROW()-1)))),1,0))=16),MIN(LOOKUP(,-1/($Z$12:Z1424=1),$C$12:C1424)+LOOKUP(,-1/($Z$12:Z1424=1),$H$12:H1424),Первоначальный[[#This Row],[Полученный платеж]]+Y1423),
AND(S1423=0,TYPE(VLOOKUP("Да",(INDIRECT("AA"&amp;(MAX((1=Z$12:Z1423)*ROW(Z$12:Z1423),ROW($T$12))&amp;":AA"&amp;(ROW()-1)))),1,0))&lt;&gt;16),MIN(LOOKUP(,-1/($Z$12:Z1424=1),$C$12:C1424)+LOOKUP(,-1/($Z$12:Z1424=1),$H$12:H1424)-IF(AA1423="Да",0,SUM(INDIRECT("T"&amp;(MAX(("Да"=AA$12:AA1423)*ROW(AA$12:AA1423)+1,ROW($T$12))&amp;":T"&amp;(ROW()-1))))),Первоначальный[[#This Row],[Полученный платеж]]+Y1423),
AND(S1423=0,MAX((0&lt;&gt;N$12:N1423)*ROW(N$12:N1423),ROW($S$12))&gt;=MAX((1=Z$12:Z1423)*ROW(Z$12:Z1423),ROW($T$12))),MIN(LOOKUP(,-1/($Z$12:Z1424=1),$C$12:C1424)+LOOKUP(,-1/($Z$12:Z1424=1),$H$12:H1424)-IF(N1423&lt;&gt;0,0,SUM(INDIRECT("T"&amp;(MAX((0&lt;&gt;N$12:N1423)*ROW(N$12:N1423)+1,ROW($T$12))&amp;":T"&amp;(ROW()-1))))),Первоначальный[[#This Row],[Полученный платеж]]+Y1423),
AND(S1423=0,Первоначальный[[#This Row],[Дата платежа из графика]]=1),MIN(LOOKUP(,-1/($Z$12:Z1424=1),$C$12:C1424)+LOOKUP(,-1/($Z$12:Z1424=1),$H$12:H1424)-IF(Z1423=1,0,SUM(INDIRECT("T"&amp;(MAX((1=Z$12:Z1423)*ROW(Z$12:Z1423)+1,ROW($T$12))&amp;":T"&amp;(ROW()-1))))),Первоначальный[[#This Row],[Полученный платеж]]+Y1423),
AND(Z1423&gt;0,Первоначальный[[#This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платеж]]+Y1423),
AND(S1423&gt;0,MAX((0&lt;&gt;S$12:S1423)*ROW(S$12:S1423),ROW($S$12))&gt;=MAX((1=Z$12:Z1423)*ROW(Z$12:Z1423),ROW($T$12)),TYPE(VLOOKUP("Да",(INDIRECT("AA"&amp;(MAX((1=Z$12:Z1423)*ROW(Z$12:Z1423),ROW($T$12))&amp;":AA"&amp;(ROW()-1)))),1,0))=16),MIN(LOOKUP(,-1/($Z$12:Z1424=1),$C$12:C1424)+LOOKUP(,-1/($Z$12:Z1424=1),$H$12:H1424)-SUM(INDIRECT("T"&amp;(MAX((1=Z$12:Z1423)*ROW(Z$12:Z1423),ROW($T$12))&amp;":T"&amp;(ROW()-1)))),Первоначальный[[#This Row],[Полученный платеж]]+Y1423),
S1423&gt;0,MIN(LOOKUP(,-1/($Z$12:Z1424=1),$C$12:C1424)+LOOKUP(,-1/($Z$12:Z1424=1),$H$12:H1424)-IF(Z1423=1,0,SUM(INDIRECT("T"&amp;(MAX((1=Z$12:Z1423)*ROW(Z$12:Z1423)+1,ROW($T$12))&amp;":T"&amp;(ROW()-1))))),Первоначальный[[#This Row],[Полученный платеж]]+Y1423)
)
)
)</f>
        <v>0</v>
      </c>
      <c r="U142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платеж]]+Y1423-Первоначальный[[#This Row],[Полученный платёж по процентам]])</f>
        <v>0</v>
      </c>
      <c r="V1424" s="55">
        <f t="shared" ca="1" si="267"/>
        <v>0</v>
      </c>
      <c r="W1424" s="55" cm="1">
        <f t="array" aca="1" ref="W1424" ca="1">IF(Первоначальный[[#This Row],[Итого остаток на начало периода]]&lt;1,0,
_xlfn.IFS(
AND(TYPE(VLOOKUP(1,$Z$12:Z1424,1,0))=16,Первоначальный[[#This Row],[Досрочное погашение (да/"")]]=""),0,
AND(S1423=0,Первоначальный[[#This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платеж]]+Y1423-SUM(Первоначальный[[#This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комиссиям]]),VLOOKUP(LOOKUP(,-1/($Z$12:Z1424=1),$A$12:A1424),График[[Срок конец]:[Возврат основной суммы долга]],3,0)),
AND(S1423=0,Первоначальный[[#This Row],[Дата платежа из графика]]="",Первоначальный[[#This Row],[Досрочное погашение (да/"")]]&lt;&gt;"Да"),0,
AND(S1423=0,Первоначальный[[#This Row],[Досрочное погашение (да/"")]]=""),MIN(Первоначальный[[#This Row],[Полученный платеж]]+Y1423-SUM(Первоначальный[[#This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комиссиям]]),VLOOKUP(LOOKUP(,-1/($Z$12:Z1424=1),$A$12:A1424),График[[Срок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платеж]]+Y1423-SUM(Первоначальный[[#This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S1423&gt;0,MIN(Первоначальный[[#This Row],[Полученный платеж]]+Y1423-SUM(Первоначальный[[#This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комиссиям]]),SUM(INDIRECT("M"&amp;(MAX((1=S$12:S1423)*ROW(S$12:S1423),ROW($W$12))&amp;":M"&amp;(ROW()))))-SUM(INDIRECT("W"&amp;(MAX((1=S$12:S1423)*ROW(S$12:S1423),ROW($W$12))&amp;":W"&amp;(ROW()-1)))))
)
)</f>
        <v>0</v>
      </c>
      <c r="X1424" s="55">
        <f t="shared" ca="1" si="268"/>
        <v>0</v>
      </c>
      <c r="Y1424" s="101">
        <f t="shared" ca="1" si="275"/>
        <v>0</v>
      </c>
      <c r="Z1424" s="133" t="str">
        <f>IF(TYPE((VLOOKUP(Первоначальный[[#This Row],[Дата платежа]],График[Срок конец],1,0)))=16,"",1)</f>
        <v/>
      </c>
      <c r="AA1424" s="57"/>
      <c r="AB1424" s="134"/>
      <c r="AC142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2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101502.50000000012</v>
      </c>
      <c r="AE142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8559.6000000000131</v>
      </c>
      <c r="AF142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2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424945.57932786888</v>
      </c>
      <c r="AH1424" s="55"/>
      <c r="AI1424" s="55"/>
      <c r="AJ1424" s="55"/>
      <c r="AK1424" s="101">
        <f t="shared" ca="1" si="276"/>
        <v>684641.01932786894</v>
      </c>
      <c r="AL1424" s="129">
        <f t="array" ref="AL1424">MAX((УслРестрактов[Характеристика]="Дата реструктуризации")*(УслРестрактов[Значение]=Первоначальный!$A1424),0)</f>
        <v>0</v>
      </c>
    </row>
    <row r="1425" spans="1:38" x14ac:dyDescent="0.25">
      <c r="A1425" s="97">
        <f t="shared" si="269"/>
        <v>45556</v>
      </c>
      <c r="B1425" s="100">
        <f t="shared" ca="1" si="270"/>
        <v>149633.34</v>
      </c>
      <c r="C1425" s="55">
        <f t="shared" ca="1" si="266"/>
        <v>101502.50000000012</v>
      </c>
      <c r="D1425" s="55">
        <f t="shared" ca="1" si="266"/>
        <v>8559.6000000000131</v>
      </c>
      <c r="E1425" s="55">
        <f t="shared" ca="1" si="271"/>
        <v>0</v>
      </c>
      <c r="F1425" s="55">
        <f t="shared" ca="1" si="272"/>
        <v>424945.57932786888</v>
      </c>
      <c r="G1425" s="101">
        <f t="shared" ca="1" si="273"/>
        <v>684641.01932786894</v>
      </c>
      <c r="H1425" s="100">
        <f ca="1">ROUND($B1425*VLOOKUP($A1425,$A$1:$B$10,2,1)/(365+IF(MOD(YEAR($A1425),4),0,1)*($A1425-$A1424)),2)-Первоначальный[[#This Row],[Проценты на просроченный платеж по ОД за период]]</f>
        <v>66.849999999999994</v>
      </c>
      <c r="I1425" s="55">
        <f t="shared" ca="1" si="274"/>
        <v>14.51</v>
      </c>
      <c r="J1425" s="55">
        <v>0</v>
      </c>
      <c r="K1425" s="55">
        <f t="shared" ca="1" si="277"/>
        <v>637.27350327868851</v>
      </c>
      <c r="L1425" s="55">
        <v>0</v>
      </c>
      <c r="M1425" s="113">
        <f>SUMIFS(График[Возврат основной суммы долга],График[Дата с учетом нерабочих дней],$A1425)</f>
        <v>0</v>
      </c>
      <c r="N1425" s="56">
        <f>SUMIFS(График[Возврат начисленных %],График[Дата с учетом нерабочих дней],$A1425)</f>
        <v>0</v>
      </c>
      <c r="O1425" s="101">
        <v>0</v>
      </c>
      <c r="P1425" s="100" cm="1">
        <f t="array" aca="1" ref="P1425" ca="1">MAX(IF(AA1424="Да",0,SUM(INDIRECT("M"&amp;(MAX(("Да"=AA$12:AA1424)*ROW(AA$12:AA1424)+1,ROW($P$12))&amp;":M"&amp;(ROW()))))-SUM(INDIRECT("W"&amp;(MAX(("Да"=AA$12:AA1424)*ROW(AA$12:AA1424)+1,ROW($P$12))&amp;":W"&amp;(ROW()))))),0)</f>
        <v>26693.269999999997</v>
      </c>
      <c r="Q1425" s="99">
        <f ca="1">MAX(SUM($N$13:N1425)-SUM($T$13:T1425),0)</f>
        <v>100761.4306557377</v>
      </c>
      <c r="R1425" s="99">
        <f ca="1">Первоначальный[[#This Row],[Просроченный платеж по ОД]]+Первоначальный[[#This Row],[Просроченный платеж по процентам]]</f>
        <v>127454.70065573769</v>
      </c>
      <c r="S1425" s="120">
        <f ca="1">IF(Первоначальный[[#This Row],[Просроченный платеж]]&lt;1,0,S1424+1)</f>
        <v>1321</v>
      </c>
      <c r="T1425" s="100" cm="1">
        <f t="array" aca="1" ref="T1425" ca="1">IF(Первоначальный[[#This Row],[Итого остаток на начало периода]]&lt;1,0,
IF(
AND(TYPE(VLOOKUP(1,$Z$12:Z1425,1,0))=16,Первоначальный[[#This Row],[Досрочное погашение (да/"")]]=""),0,
_xlfn.IFS(AND(S1424=0,Первоначальный[[#This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платеж]]&lt;&gt;0),MIN(LOOKUP(,-1/($Z$12:Z1425=1),$C$12:C1425)+LOOKUP(,-1/($Z$12:Z1425=1),$H$12:H1425),Первоначальный[[#This Row],[Полученный платеж]]+Y1424),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платеж]]+Y1424,SUM(Первоначальный[[#This Row],[Остаток процентов на начало периода]],Первоначальный[[#This Row],[Проценты за период]])),
AND(S1424=0,Первоначальный[[#This Row],[Дата платежа из графика]]=""),0,
AND(S1424=0,Первоначальный[[#This Row],[Дата платежа из графика]]=1,MAX((0&lt;&gt;S$12:S1424)*ROW(S$12:S1424),ROW($S$12))&gt;=MAX((1=Z$12:Z1424)*ROW(Z$12:Z1424),ROW($T$12)),TYPE(VLOOKUP("Да",(INDIRECT("AA"&amp;(MAX((1=Z$12:Z1424)*ROW(Z$12:Z1424),ROW($T$12))&amp;":AA"&amp;(ROW()-1)))),1,0))=16),MIN(LOOKUP(,-1/($Z$12:Z1425=1),$C$12:C1425)+LOOKUP(,-1/($Z$12:Z1425=1),$H$12:H1425),Первоначальный[[#This Row],[Полученный платеж]]+Y1424),
AND(S1424=0,TYPE(VLOOKUP("Да",(INDIRECT("AA"&amp;(MAX((1=Z$12:Z1424)*ROW(Z$12:Z1424),ROW($T$12))&amp;":AA"&amp;(ROW()-1)))),1,0))&lt;&gt;16),MIN(LOOKUP(,-1/($Z$12:Z1425=1),$C$12:C1425)+LOOKUP(,-1/($Z$12:Z1425=1),$H$12:H1425)-IF(AA1424="Да",0,SUM(INDIRECT("T"&amp;(MAX(("Да"=AA$12:AA1424)*ROW(AA$12:AA1424)+1,ROW($T$12))&amp;":T"&amp;(ROW()-1))))),Первоначальный[[#This Row],[Полученный платеж]]+Y1424),
AND(S1424=0,MAX((0&lt;&gt;N$12:N1424)*ROW(N$12:N1424),ROW($S$12))&gt;=MAX((1=Z$12:Z1424)*ROW(Z$12:Z1424),ROW($T$12))),MIN(LOOKUP(,-1/($Z$12:Z1425=1),$C$12:C1425)+LOOKUP(,-1/($Z$12:Z1425=1),$H$12:H1425)-IF(N1424&lt;&gt;0,0,SUM(INDIRECT("T"&amp;(MAX((0&lt;&gt;N$12:N1424)*ROW(N$12:N1424)+1,ROW($T$12))&amp;":T"&amp;(ROW()-1))))),Первоначальный[[#This Row],[Полученный платеж]]+Y1424),
AND(S1424=0,Первоначальный[[#This Row],[Дата платежа из графика]]=1),MIN(LOOKUP(,-1/($Z$12:Z1425=1),$C$12:C1425)+LOOKUP(,-1/($Z$12:Z1425=1),$H$12:H1425)-IF(Z1424=1,0,SUM(INDIRECT("T"&amp;(MAX((1=Z$12:Z1424)*ROW(Z$12:Z1424)+1,ROW($T$12))&amp;":T"&amp;(ROW()-1))))),Первоначальный[[#This Row],[Полученный платеж]]+Y1424),
AND(Z1424&gt;0,Первоначальный[[#This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платеж]]+Y1424),
AND(S1424&gt;0,MAX((0&lt;&gt;S$12:S1424)*ROW(S$12:S1424),ROW($S$12))&gt;=MAX((1=Z$12:Z1424)*ROW(Z$12:Z1424),ROW($T$12)),TYPE(VLOOKUP("Да",(INDIRECT("AA"&amp;(MAX((1=Z$12:Z1424)*ROW(Z$12:Z1424),ROW($T$12))&amp;":AA"&amp;(ROW()-1)))),1,0))=16),MIN(LOOKUP(,-1/($Z$12:Z1425=1),$C$12:C1425)+LOOKUP(,-1/($Z$12:Z1425=1),$H$12:H1425)-SUM(INDIRECT("T"&amp;(MAX((1=Z$12:Z1424)*ROW(Z$12:Z1424),ROW($T$12))&amp;":T"&amp;(ROW()-1)))),Первоначальный[[#This Row],[Полученный платеж]]+Y1424),
S1424&gt;0,MIN(LOOKUP(,-1/($Z$12:Z1425=1),$C$12:C1425)+LOOKUP(,-1/($Z$12:Z1425=1),$H$12:H1425)-IF(Z1424=1,0,SUM(INDIRECT("T"&amp;(MAX((1=Z$12:Z1424)*ROW(Z$12:Z1424)+1,ROW($T$12))&amp;":T"&amp;(ROW()-1))))),Первоначальный[[#This Row],[Полученный платеж]]+Y1424)
)
)
)</f>
        <v>0</v>
      </c>
      <c r="U142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платеж]]+Y1424-Первоначальный[[#This Row],[Полученный платёж по процентам]])</f>
        <v>0</v>
      </c>
      <c r="V1425" s="55">
        <f t="shared" ca="1" si="267"/>
        <v>0</v>
      </c>
      <c r="W1425" s="55" cm="1">
        <f t="array" aca="1" ref="W1425" ca="1">IF(Первоначальный[[#This Row],[Итого остаток на начало периода]]&lt;1,0,
_xlfn.IFS(
AND(TYPE(VLOOKUP(1,$Z$12:Z1425,1,0))=16,Первоначальный[[#This Row],[Досрочное погашение (да/"")]]=""),0,
AND(S1424=0,Первоначальный[[#This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платеж]]+Y1424-SUM(Первоначальный[[#This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комиссиям]]),VLOOKUP(LOOKUP(,-1/($Z$12:Z1425=1),$A$12:A1425),График[[Срок конец]:[Возврат основной суммы долга]],3,0)),
AND(S1424=0,Первоначальный[[#This Row],[Дата платежа из графика]]="",Первоначальный[[#This Row],[Досрочное погашение (да/"")]]&lt;&gt;"Да"),0,
AND(S1424=0,Первоначальный[[#This Row],[Досрочное погашение (да/"")]]=""),MIN(Первоначальный[[#This Row],[Полученный платеж]]+Y1424-SUM(Первоначальный[[#This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комиссиям]]),VLOOKUP(LOOKUP(,-1/($Z$12:Z1425=1),$A$12:A1425),График[[Срок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платеж]]+Y1424-SUM(Первоначальный[[#This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S1424&gt;0,MIN(Первоначальный[[#This Row],[Полученный платеж]]+Y1424-SUM(Первоначальный[[#This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комиссиям]]),SUM(INDIRECT("M"&amp;(MAX((1=S$12:S1424)*ROW(S$12:S1424),ROW($W$12))&amp;":M"&amp;(ROW()))))-SUM(INDIRECT("W"&amp;(MAX((1=S$12:S1424)*ROW(S$12:S1424),ROW($W$12))&amp;":W"&amp;(ROW()-1)))))
)
)</f>
        <v>0</v>
      </c>
      <c r="X1425" s="55">
        <f t="shared" ca="1" si="268"/>
        <v>0</v>
      </c>
      <c r="Y1425" s="101">
        <f t="shared" ca="1" si="275"/>
        <v>0</v>
      </c>
      <c r="Z1425" s="133" t="str">
        <f>IF(TYPE((VLOOKUP(Первоначальный[[#This Row],[Дата платежа]],График[Срок конец],1,0)))=16,"",1)</f>
        <v/>
      </c>
      <c r="AA1425" s="57"/>
      <c r="AB1425" s="134"/>
      <c r="AC142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2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101569.35000000012</v>
      </c>
      <c r="AE142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8574.1100000000133</v>
      </c>
      <c r="AF142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2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425582.85283114755</v>
      </c>
      <c r="AH1425" s="55"/>
      <c r="AI1425" s="55"/>
      <c r="AJ1425" s="55"/>
      <c r="AK1425" s="101">
        <f t="shared" ca="1" si="276"/>
        <v>685359.65283114766</v>
      </c>
      <c r="AL1425" s="129">
        <f t="array" ref="AL1425">MAX((УслРестрактов[Характеристика]="Дата реструктуризации")*(УслРестрактов[Значение]=Первоначальный!$A1425),0)</f>
        <v>0</v>
      </c>
    </row>
    <row r="1426" spans="1:38" x14ac:dyDescent="0.25">
      <c r="A1426" s="97">
        <f t="shared" si="269"/>
        <v>45557</v>
      </c>
      <c r="B1426" s="100">
        <f t="shared" ca="1" si="270"/>
        <v>149633.34</v>
      </c>
      <c r="C1426" s="55">
        <f t="shared" ca="1" si="266"/>
        <v>101569.35000000012</v>
      </c>
      <c r="D1426" s="55">
        <f t="shared" ca="1" si="266"/>
        <v>8574.1100000000133</v>
      </c>
      <c r="E1426" s="55">
        <f t="shared" ca="1" si="271"/>
        <v>0</v>
      </c>
      <c r="F1426" s="55">
        <f t="shared" ca="1" si="272"/>
        <v>425582.85283114755</v>
      </c>
      <c r="G1426" s="101">
        <f t="shared" ca="1" si="273"/>
        <v>685359.65283114766</v>
      </c>
      <c r="H1426" s="100">
        <f ca="1">ROUND($B1426*VLOOKUP($A1426,$A$1:$B$10,2,1)/(365+IF(MOD(YEAR($A1426),4),0,1)*($A1426-$A1425)),2)-Первоначальный[[#This Row],[Проценты на просроченный платеж по ОД за период]]</f>
        <v>66.849999999999994</v>
      </c>
      <c r="I1426" s="55">
        <f t="shared" ca="1" si="274"/>
        <v>14.51</v>
      </c>
      <c r="J1426" s="55">
        <v>0</v>
      </c>
      <c r="K1426" s="55">
        <f t="shared" ca="1" si="277"/>
        <v>637.27350327868851</v>
      </c>
      <c r="L1426" s="55">
        <v>0</v>
      </c>
      <c r="M1426" s="113">
        <f>SUMIFS(График[Возврат основной суммы долга],График[Дата с учетом нерабочих дней],$A1426)</f>
        <v>0</v>
      </c>
      <c r="N1426" s="56">
        <f>SUMIFS(График[Возврат начисленных %],График[Дата с учетом нерабочих дней],$A1426)</f>
        <v>0</v>
      </c>
      <c r="O1426" s="101">
        <v>0</v>
      </c>
      <c r="P1426" s="100" cm="1">
        <f t="array" aca="1" ref="P1426" ca="1">MAX(IF(AA1425="Да",0,SUM(INDIRECT("M"&amp;(MAX(("Да"=AA$12:AA1425)*ROW(AA$12:AA1425)+1,ROW($P$12))&amp;":M"&amp;(ROW()))))-SUM(INDIRECT("W"&amp;(MAX(("Да"=AA$12:AA1425)*ROW(AA$12:AA1425)+1,ROW($P$12))&amp;":W"&amp;(ROW()))))),0)</f>
        <v>26693.269999999997</v>
      </c>
      <c r="Q1426" s="99">
        <f ca="1">MAX(SUM($N$13:N1426)-SUM($T$13:T1426),0)</f>
        <v>100761.4306557377</v>
      </c>
      <c r="R1426" s="99">
        <f ca="1">Первоначальный[[#This Row],[Просроченный платеж по ОД]]+Первоначальный[[#This Row],[Просроченный платеж по процентам]]</f>
        <v>127454.70065573769</v>
      </c>
      <c r="S1426" s="120">
        <f ca="1">IF(Первоначальный[[#This Row],[Просроченный платеж]]&lt;1,0,S1425+1)</f>
        <v>1322</v>
      </c>
      <c r="T1426" s="100" cm="1">
        <f t="array" aca="1" ref="T1426" ca="1">IF(Первоначальный[[#This Row],[Итого остаток на начало периода]]&lt;1,0,
IF(
AND(TYPE(VLOOKUP(1,$Z$12:Z1426,1,0))=16,Первоначальный[[#This Row],[Досрочное погашение (да/"")]]=""),0,
_xlfn.IFS(AND(S1425=0,Первоначальный[[#This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платеж]]&lt;&gt;0),MIN(LOOKUP(,-1/($Z$12:Z1426=1),$C$12:C1426)+LOOKUP(,-1/($Z$12:Z1426=1),$H$12:H1426),Первоначальный[[#This Row],[Полученный платеж]]+Y1425),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платеж]]+Y1425,SUM(Первоначальный[[#This Row],[Остаток процентов на начало периода]],Первоначальный[[#This Row],[Проценты за период]])),
AND(S1425=0,Первоначальный[[#This Row],[Дата платежа из графика]]=""),0,
AND(S1425=0,Первоначальный[[#This Row],[Дата платежа из графика]]=1,MAX((0&lt;&gt;S$12:S1425)*ROW(S$12:S1425),ROW($S$12))&gt;=MAX((1=Z$12:Z1425)*ROW(Z$12:Z1425),ROW($T$12)),TYPE(VLOOKUP("Да",(INDIRECT("AA"&amp;(MAX((1=Z$12:Z1425)*ROW(Z$12:Z1425),ROW($T$12))&amp;":AA"&amp;(ROW()-1)))),1,0))=16),MIN(LOOKUP(,-1/($Z$12:Z1426=1),$C$12:C1426)+LOOKUP(,-1/($Z$12:Z1426=1),$H$12:H1426),Первоначальный[[#This Row],[Полученный платеж]]+Y1425),
AND(S1425=0,TYPE(VLOOKUP("Да",(INDIRECT("AA"&amp;(MAX((1=Z$12:Z1425)*ROW(Z$12:Z1425),ROW($T$12))&amp;":AA"&amp;(ROW()-1)))),1,0))&lt;&gt;16),MIN(LOOKUP(,-1/($Z$12:Z1426=1),$C$12:C1426)+LOOKUP(,-1/($Z$12:Z1426=1),$H$12:H1426)-IF(AA1425="Да",0,SUM(INDIRECT("T"&amp;(MAX(("Да"=AA$12:AA1425)*ROW(AA$12:AA1425)+1,ROW($T$12))&amp;":T"&amp;(ROW()-1))))),Первоначальный[[#This Row],[Полученный платеж]]+Y1425),
AND(S1425=0,MAX((0&lt;&gt;N$12:N1425)*ROW(N$12:N1425),ROW($S$12))&gt;=MAX((1=Z$12:Z1425)*ROW(Z$12:Z1425),ROW($T$12))),MIN(LOOKUP(,-1/($Z$12:Z1426=1),$C$12:C1426)+LOOKUP(,-1/($Z$12:Z1426=1),$H$12:H1426)-IF(N1425&lt;&gt;0,0,SUM(INDIRECT("T"&amp;(MAX((0&lt;&gt;N$12:N1425)*ROW(N$12:N1425)+1,ROW($T$12))&amp;":T"&amp;(ROW()-1))))),Первоначальный[[#This Row],[Полученный платеж]]+Y1425),
AND(S1425=0,Первоначальный[[#This Row],[Дата платежа из графика]]=1),MIN(LOOKUP(,-1/($Z$12:Z1426=1),$C$12:C1426)+LOOKUP(,-1/($Z$12:Z1426=1),$H$12:H1426)-IF(Z1425=1,0,SUM(INDIRECT("T"&amp;(MAX((1=Z$12:Z1425)*ROW(Z$12:Z1425)+1,ROW($T$12))&amp;":T"&amp;(ROW()-1))))),Первоначальный[[#This Row],[Полученный платеж]]+Y1425),
AND(Z1425&gt;0,Первоначальный[[#This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платеж]]+Y1425),
AND(S1425&gt;0,MAX((0&lt;&gt;S$12:S1425)*ROW(S$12:S1425),ROW($S$12))&gt;=MAX((1=Z$12:Z1425)*ROW(Z$12:Z1425),ROW($T$12)),TYPE(VLOOKUP("Да",(INDIRECT("AA"&amp;(MAX((1=Z$12:Z1425)*ROW(Z$12:Z1425),ROW($T$12))&amp;":AA"&amp;(ROW()-1)))),1,0))=16),MIN(LOOKUP(,-1/($Z$12:Z1426=1),$C$12:C1426)+LOOKUP(,-1/($Z$12:Z1426=1),$H$12:H1426)-SUM(INDIRECT("T"&amp;(MAX((1=Z$12:Z1425)*ROW(Z$12:Z1425),ROW($T$12))&amp;":T"&amp;(ROW()-1)))),Первоначальный[[#This Row],[Полученный платеж]]+Y1425),
S1425&gt;0,MIN(LOOKUP(,-1/($Z$12:Z1426=1),$C$12:C1426)+LOOKUP(,-1/($Z$12:Z1426=1),$H$12:H1426)-IF(Z1425=1,0,SUM(INDIRECT("T"&amp;(MAX((1=Z$12:Z1425)*ROW(Z$12:Z1425)+1,ROW($T$12))&amp;":T"&amp;(ROW()-1))))),Первоначальный[[#This Row],[Полученный платеж]]+Y1425)
)
)
)</f>
        <v>0</v>
      </c>
      <c r="U142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платеж]]+Y1425-Первоначальный[[#This Row],[Полученный платёж по процентам]])</f>
        <v>0</v>
      </c>
      <c r="V1426" s="55">
        <f t="shared" ca="1" si="267"/>
        <v>0</v>
      </c>
      <c r="W1426" s="55" cm="1">
        <f t="array" aca="1" ref="W1426" ca="1">IF(Первоначальный[[#This Row],[Итого остаток на начало периода]]&lt;1,0,
_xlfn.IFS(
AND(TYPE(VLOOKUP(1,$Z$12:Z1426,1,0))=16,Первоначальный[[#This Row],[Досрочное погашение (да/"")]]=""),0,
AND(S1425=0,Первоначальный[[#This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платеж]]+Y1425-SUM(Первоначальный[[#This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комиссиям]]),VLOOKUP(LOOKUP(,-1/($Z$12:Z1426=1),$A$12:A1426),График[[Срок конец]:[Возврат основной суммы долга]],3,0)),
AND(S1425=0,Первоначальный[[#This Row],[Дата платежа из графика]]="",Первоначальный[[#This Row],[Досрочное погашение (да/"")]]&lt;&gt;"Да"),0,
AND(S1425=0,Первоначальный[[#This Row],[Досрочное погашение (да/"")]]=""),MIN(Первоначальный[[#This Row],[Полученный платеж]]+Y1425-SUM(Первоначальный[[#This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комиссиям]]),VLOOKUP(LOOKUP(,-1/($Z$12:Z1426=1),$A$12:A1426),График[[Срок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платеж]]+Y1425-SUM(Первоначальный[[#This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S1425&gt;0,MIN(Первоначальный[[#This Row],[Полученный платеж]]+Y1425-SUM(Первоначальный[[#This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комиссиям]]),SUM(INDIRECT("M"&amp;(MAX((1=S$12:S1425)*ROW(S$12:S1425),ROW($W$12))&amp;":M"&amp;(ROW()))))-SUM(INDIRECT("W"&amp;(MAX((1=S$12:S1425)*ROW(S$12:S1425),ROW($W$12))&amp;":W"&amp;(ROW()-1)))))
)
)</f>
        <v>0</v>
      </c>
      <c r="X1426" s="55">
        <f t="shared" ca="1" si="268"/>
        <v>0</v>
      </c>
      <c r="Y1426" s="101">
        <f t="shared" ca="1" si="275"/>
        <v>0</v>
      </c>
      <c r="Z1426" s="133" t="str">
        <f>IF(TYPE((VLOOKUP(Первоначальный[[#This Row],[Дата платежа]],График[Срок конец],1,0)))=16,"",1)</f>
        <v/>
      </c>
      <c r="AA1426" s="57"/>
      <c r="AB1426" s="134"/>
      <c r="AC142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2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101636.20000000013</v>
      </c>
      <c r="AE142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8588.6200000000135</v>
      </c>
      <c r="AF142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2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426220.12633442623</v>
      </c>
      <c r="AH1426" s="55"/>
      <c r="AI1426" s="55"/>
      <c r="AJ1426" s="55"/>
      <c r="AK1426" s="101">
        <f t="shared" ca="1" si="276"/>
        <v>686078.28633442638</v>
      </c>
      <c r="AL1426" s="129">
        <f t="array" ref="AL1426">MAX((УслРестрактов[Характеристика]="Дата реструктуризации")*(УслРестрактов[Значение]=Первоначальный!$A1426),0)</f>
        <v>0</v>
      </c>
    </row>
    <row r="1427" spans="1:38" x14ac:dyDescent="0.25">
      <c r="A1427" s="97">
        <f t="shared" si="269"/>
        <v>45558</v>
      </c>
      <c r="B1427" s="100">
        <f t="shared" ca="1" si="270"/>
        <v>149633.34</v>
      </c>
      <c r="C1427" s="55">
        <f t="shared" ca="1" si="266"/>
        <v>101636.20000000013</v>
      </c>
      <c r="D1427" s="55">
        <f t="shared" ca="1" si="266"/>
        <v>8588.6200000000135</v>
      </c>
      <c r="E1427" s="55">
        <f t="shared" ca="1" si="271"/>
        <v>0</v>
      </c>
      <c r="F1427" s="55">
        <f t="shared" ca="1" si="272"/>
        <v>426220.12633442623</v>
      </c>
      <c r="G1427" s="101">
        <f t="shared" ca="1" si="273"/>
        <v>686078.28633442638</v>
      </c>
      <c r="H1427" s="100">
        <f ca="1">ROUND($B1427*VLOOKUP($A1427,$A$1:$B$10,2,1)/(365+IF(MOD(YEAR($A1427),4),0,1)*($A1427-$A1426)),2)-Первоначальный[[#This Row],[Проценты на просроченный платеж по ОД за период]]</f>
        <v>66.849999999999994</v>
      </c>
      <c r="I1427" s="55">
        <f t="shared" ca="1" si="274"/>
        <v>14.51</v>
      </c>
      <c r="J1427" s="55">
        <v>0</v>
      </c>
      <c r="K1427" s="55">
        <f t="shared" ca="1" si="277"/>
        <v>637.27350327868851</v>
      </c>
      <c r="L1427" s="55">
        <v>0</v>
      </c>
      <c r="M1427" s="113">
        <f>SUMIFS(График[Возврат основной суммы долга],График[Дата с учетом нерабочих дней],$A1427)</f>
        <v>0</v>
      </c>
      <c r="N1427" s="56">
        <f>SUMIFS(График[Возврат начисленных %],График[Дата с учетом нерабочих дней],$A1427)</f>
        <v>0</v>
      </c>
      <c r="O1427" s="101">
        <v>0</v>
      </c>
      <c r="P1427" s="100" cm="1">
        <f t="array" aca="1" ref="P1427" ca="1">MAX(IF(AA1426="Да",0,SUM(INDIRECT("M"&amp;(MAX(("Да"=AA$12:AA1426)*ROW(AA$12:AA1426)+1,ROW($P$12))&amp;":M"&amp;(ROW()))))-SUM(INDIRECT("W"&amp;(MAX(("Да"=AA$12:AA1426)*ROW(AA$12:AA1426)+1,ROW($P$12))&amp;":W"&amp;(ROW()))))),0)</f>
        <v>26693.269999999997</v>
      </c>
      <c r="Q1427" s="99">
        <f ca="1">MAX(SUM($N$13:N1427)-SUM($T$13:T1427),0)</f>
        <v>100761.4306557377</v>
      </c>
      <c r="R1427" s="99">
        <f ca="1">Первоначальный[[#This Row],[Просроченный платеж по ОД]]+Первоначальный[[#This Row],[Просроченный платеж по процентам]]</f>
        <v>127454.70065573769</v>
      </c>
      <c r="S1427" s="120">
        <f ca="1">IF(Первоначальный[[#This Row],[Просроченный платеж]]&lt;1,0,S1426+1)</f>
        <v>1323</v>
      </c>
      <c r="T1427" s="100" cm="1">
        <f t="array" aca="1" ref="T1427" ca="1">IF(Первоначальный[[#This Row],[Итого остаток на начало периода]]&lt;1,0,
IF(
AND(TYPE(VLOOKUP(1,$Z$12:Z1427,1,0))=16,Первоначальный[[#This Row],[Досрочное погашение (да/"")]]=""),0,
_xlfn.IFS(AND(S1426=0,Первоначальный[[#This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платеж]]&lt;&gt;0),MIN(LOOKUP(,-1/($Z$12:Z1427=1),$C$12:C1427)+LOOKUP(,-1/($Z$12:Z1427=1),$H$12:H1427),Первоначальный[[#This Row],[Полученный платеж]]+Y1426),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платеж]]+Y1426,SUM(Первоначальный[[#This Row],[Остаток процентов на начало периода]],Первоначальный[[#This Row],[Проценты за период]])),
AND(S1426=0,Первоначальный[[#This Row],[Дата платежа из графика]]=""),0,
AND(S1426=0,Первоначальный[[#This Row],[Дата платежа из графика]]=1,MAX((0&lt;&gt;S$12:S1426)*ROW(S$12:S1426),ROW($S$12))&gt;=MAX((1=Z$12:Z1426)*ROW(Z$12:Z1426),ROW($T$12)),TYPE(VLOOKUP("Да",(INDIRECT("AA"&amp;(MAX((1=Z$12:Z1426)*ROW(Z$12:Z1426),ROW($T$12))&amp;":AA"&amp;(ROW()-1)))),1,0))=16),MIN(LOOKUP(,-1/($Z$12:Z1427=1),$C$12:C1427)+LOOKUP(,-1/($Z$12:Z1427=1),$H$12:H1427),Первоначальный[[#This Row],[Полученный платеж]]+Y1426),
AND(S1426=0,TYPE(VLOOKUP("Да",(INDIRECT("AA"&amp;(MAX((1=Z$12:Z1426)*ROW(Z$12:Z1426),ROW($T$12))&amp;":AA"&amp;(ROW()-1)))),1,0))&lt;&gt;16),MIN(LOOKUP(,-1/($Z$12:Z1427=1),$C$12:C1427)+LOOKUP(,-1/($Z$12:Z1427=1),$H$12:H1427)-IF(AA1426="Да",0,SUM(INDIRECT("T"&amp;(MAX(("Да"=AA$12:AA1426)*ROW(AA$12:AA1426)+1,ROW($T$12))&amp;":T"&amp;(ROW()-1))))),Первоначальный[[#This Row],[Полученный платеж]]+Y1426),
AND(S1426=0,MAX((0&lt;&gt;N$12:N1426)*ROW(N$12:N1426),ROW($S$12))&gt;=MAX((1=Z$12:Z1426)*ROW(Z$12:Z1426),ROW($T$12))),MIN(LOOKUP(,-1/($Z$12:Z1427=1),$C$12:C1427)+LOOKUP(,-1/($Z$12:Z1427=1),$H$12:H1427)-IF(N1426&lt;&gt;0,0,SUM(INDIRECT("T"&amp;(MAX((0&lt;&gt;N$12:N1426)*ROW(N$12:N1426)+1,ROW($T$12))&amp;":T"&amp;(ROW()-1))))),Первоначальный[[#This Row],[Полученный платеж]]+Y1426),
AND(S1426=0,Первоначальный[[#This Row],[Дата платежа из графика]]=1),MIN(LOOKUP(,-1/($Z$12:Z1427=1),$C$12:C1427)+LOOKUP(,-1/($Z$12:Z1427=1),$H$12:H1427)-IF(Z1426=1,0,SUM(INDIRECT("T"&amp;(MAX((1=Z$12:Z1426)*ROW(Z$12:Z1426)+1,ROW($T$12))&amp;":T"&amp;(ROW()-1))))),Первоначальный[[#This Row],[Полученный платеж]]+Y1426),
AND(Z1426&gt;0,Первоначальный[[#This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платеж]]+Y1426),
AND(S1426&gt;0,MAX((0&lt;&gt;S$12:S1426)*ROW(S$12:S1426),ROW($S$12))&gt;=MAX((1=Z$12:Z1426)*ROW(Z$12:Z1426),ROW($T$12)),TYPE(VLOOKUP("Да",(INDIRECT("AA"&amp;(MAX((1=Z$12:Z1426)*ROW(Z$12:Z1426),ROW($T$12))&amp;":AA"&amp;(ROW()-1)))),1,0))=16),MIN(LOOKUP(,-1/($Z$12:Z1427=1),$C$12:C1427)+LOOKUP(,-1/($Z$12:Z1427=1),$H$12:H1427)-SUM(INDIRECT("T"&amp;(MAX((1=Z$12:Z1426)*ROW(Z$12:Z1426),ROW($T$12))&amp;":T"&amp;(ROW()-1)))),Первоначальный[[#This Row],[Полученный платеж]]+Y1426),
S1426&gt;0,MIN(LOOKUP(,-1/($Z$12:Z1427=1),$C$12:C1427)+LOOKUP(,-1/($Z$12:Z1427=1),$H$12:H1427)-IF(Z1426=1,0,SUM(INDIRECT("T"&amp;(MAX((1=Z$12:Z1426)*ROW(Z$12:Z1426)+1,ROW($T$12))&amp;":T"&amp;(ROW()-1))))),Первоначальный[[#This Row],[Полученный платеж]]+Y1426)
)
)
)</f>
        <v>0</v>
      </c>
      <c r="U142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платеж]]+Y1426-Первоначальный[[#This Row],[Полученный платёж по процентам]])</f>
        <v>0</v>
      </c>
      <c r="V1427" s="55">
        <f t="shared" ca="1" si="267"/>
        <v>0</v>
      </c>
      <c r="W1427" s="55" cm="1">
        <f t="array" aca="1" ref="W1427" ca="1">IF(Первоначальный[[#This Row],[Итого остаток на начало периода]]&lt;1,0,
_xlfn.IFS(
AND(TYPE(VLOOKUP(1,$Z$12:Z1427,1,0))=16,Первоначальный[[#This Row],[Досрочное погашение (да/"")]]=""),0,
AND(S1426=0,Первоначальный[[#This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платеж]]+Y1426-SUM(Первоначальный[[#This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комиссиям]]),VLOOKUP(LOOKUP(,-1/($Z$12:Z1427=1),$A$12:A1427),График[[Срок конец]:[Возврат основной суммы долга]],3,0)),
AND(S1426=0,Первоначальный[[#This Row],[Дата платежа из графика]]="",Первоначальный[[#This Row],[Досрочное погашение (да/"")]]&lt;&gt;"Да"),0,
AND(S1426=0,Первоначальный[[#This Row],[Досрочное погашение (да/"")]]=""),MIN(Первоначальный[[#This Row],[Полученный платеж]]+Y1426-SUM(Первоначальный[[#This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комиссиям]]),VLOOKUP(LOOKUP(,-1/($Z$12:Z1427=1),$A$12:A1427),График[[Срок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платеж]]+Y1426-SUM(Первоначальный[[#This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S1426&gt;0,MIN(Первоначальный[[#This Row],[Полученный платеж]]+Y1426-SUM(Первоначальный[[#This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комиссиям]]),SUM(INDIRECT("M"&amp;(MAX((1=S$12:S1426)*ROW(S$12:S1426),ROW($W$12))&amp;":M"&amp;(ROW()))))-SUM(INDIRECT("W"&amp;(MAX((1=S$12:S1426)*ROW(S$12:S1426),ROW($W$12))&amp;":W"&amp;(ROW()-1)))))
)
)</f>
        <v>0</v>
      </c>
      <c r="X1427" s="55">
        <f t="shared" ca="1" si="268"/>
        <v>0</v>
      </c>
      <c r="Y1427" s="101">
        <f t="shared" ca="1" si="275"/>
        <v>0</v>
      </c>
      <c r="Z1427" s="133" t="str">
        <f>IF(TYPE((VLOOKUP(Первоначальный[[#This Row],[Дата платежа]],График[Срок конец],1,0)))=16,"",1)</f>
        <v/>
      </c>
      <c r="AA1427" s="57"/>
      <c r="AB1427" s="134"/>
      <c r="AC142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2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101703.05000000013</v>
      </c>
      <c r="AE142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8603.1300000000138</v>
      </c>
      <c r="AF142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2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426857.3998377049</v>
      </c>
      <c r="AH1427" s="55"/>
      <c r="AI1427" s="55"/>
      <c r="AJ1427" s="55"/>
      <c r="AK1427" s="101">
        <f t="shared" ca="1" si="276"/>
        <v>686796.91983770509</v>
      </c>
      <c r="AL1427" s="129">
        <f t="array" ref="AL1427">MAX((УслРестрактов[Характеристика]="Дата реструктуризации")*(УслРестрактов[Значение]=Первоначальный!$A1427),0)</f>
        <v>0</v>
      </c>
    </row>
    <row r="1428" spans="1:38" x14ac:dyDescent="0.25">
      <c r="A1428" s="97">
        <f t="shared" si="269"/>
        <v>45559</v>
      </c>
      <c r="B1428" s="100">
        <f t="shared" ca="1" si="270"/>
        <v>149633.34</v>
      </c>
      <c r="C1428" s="55">
        <f t="shared" ca="1" si="266"/>
        <v>101703.05000000013</v>
      </c>
      <c r="D1428" s="55">
        <f t="shared" ca="1" si="266"/>
        <v>8603.1300000000138</v>
      </c>
      <c r="E1428" s="55">
        <f t="shared" ca="1" si="271"/>
        <v>0</v>
      </c>
      <c r="F1428" s="55">
        <f t="shared" ca="1" si="272"/>
        <v>426857.3998377049</v>
      </c>
      <c r="G1428" s="101">
        <f t="shared" ca="1" si="273"/>
        <v>686796.91983770509</v>
      </c>
      <c r="H1428" s="100">
        <f ca="1">ROUND($B1428*VLOOKUP($A1428,$A$1:$B$10,2,1)/(365+IF(MOD(YEAR($A1428),4),0,1)*($A1428-$A1427)),2)-Первоначальный[[#This Row],[Проценты на просроченный платеж по ОД за период]]</f>
        <v>66.849999999999994</v>
      </c>
      <c r="I1428" s="55">
        <f t="shared" ca="1" si="274"/>
        <v>14.51</v>
      </c>
      <c r="J1428" s="55">
        <v>0</v>
      </c>
      <c r="K1428" s="55">
        <f t="shared" ca="1" si="277"/>
        <v>637.27350327868851</v>
      </c>
      <c r="L1428" s="55">
        <v>0</v>
      </c>
      <c r="M1428" s="113">
        <f>SUMIFS(График[Возврат основной суммы долга],График[Дата с учетом нерабочих дней],$A1428)</f>
        <v>0</v>
      </c>
      <c r="N1428" s="56">
        <f>SUMIFS(График[Возврат начисленных %],График[Дата с учетом нерабочих дней],$A1428)</f>
        <v>0</v>
      </c>
      <c r="O1428" s="101">
        <v>0</v>
      </c>
      <c r="P1428" s="100" cm="1">
        <f t="array" aca="1" ref="P1428" ca="1">MAX(IF(AA1427="Да",0,SUM(INDIRECT("M"&amp;(MAX(("Да"=AA$12:AA1427)*ROW(AA$12:AA1427)+1,ROW($P$12))&amp;":M"&amp;(ROW()))))-SUM(INDIRECT("W"&amp;(MAX(("Да"=AA$12:AA1427)*ROW(AA$12:AA1427)+1,ROW($P$12))&amp;":W"&amp;(ROW()))))),0)</f>
        <v>26693.269999999997</v>
      </c>
      <c r="Q1428" s="99">
        <f ca="1">MAX(SUM($N$13:N1428)-SUM($T$13:T1428),0)</f>
        <v>100761.4306557377</v>
      </c>
      <c r="R1428" s="99">
        <f ca="1">Первоначальный[[#This Row],[Просроченный платеж по ОД]]+Первоначальный[[#This Row],[Просроченный платеж по процентам]]</f>
        <v>127454.70065573769</v>
      </c>
      <c r="S1428" s="120">
        <f ca="1">IF(Первоначальный[[#This Row],[Просроченный платеж]]&lt;1,0,S1427+1)</f>
        <v>1324</v>
      </c>
      <c r="T1428" s="100" cm="1">
        <f t="array" aca="1" ref="T1428" ca="1">IF(Первоначальный[[#This Row],[Итого остаток на начало периода]]&lt;1,0,
IF(
AND(TYPE(VLOOKUP(1,$Z$12:Z1428,1,0))=16,Первоначальный[[#This Row],[Досрочное погашение (да/"")]]=""),0,
_xlfn.IFS(AND(S1427=0,Первоначальный[[#This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платеж]]&lt;&gt;0),MIN(LOOKUP(,-1/($Z$12:Z1428=1),$C$12:C1428)+LOOKUP(,-1/($Z$12:Z1428=1),$H$12:H1428),Первоначальный[[#This Row],[Полученный платеж]]+Y1427),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платеж]]+Y1427,SUM(Первоначальный[[#This Row],[Остаток процентов на начало периода]],Первоначальный[[#This Row],[Проценты за период]])),
AND(S1427=0,Первоначальный[[#This Row],[Дата платежа из графика]]=""),0,
AND(S1427=0,Первоначальный[[#This Row],[Дата платежа из графика]]=1,MAX((0&lt;&gt;S$12:S1427)*ROW(S$12:S1427),ROW($S$12))&gt;=MAX((1=Z$12:Z1427)*ROW(Z$12:Z1427),ROW($T$12)),TYPE(VLOOKUP("Да",(INDIRECT("AA"&amp;(MAX((1=Z$12:Z1427)*ROW(Z$12:Z1427),ROW($T$12))&amp;":AA"&amp;(ROW()-1)))),1,0))=16),MIN(LOOKUP(,-1/($Z$12:Z1428=1),$C$12:C1428)+LOOKUP(,-1/($Z$12:Z1428=1),$H$12:H1428),Первоначальный[[#This Row],[Полученный платеж]]+Y1427),
AND(S1427=0,TYPE(VLOOKUP("Да",(INDIRECT("AA"&amp;(MAX((1=Z$12:Z1427)*ROW(Z$12:Z1427),ROW($T$12))&amp;":AA"&amp;(ROW()-1)))),1,0))&lt;&gt;16),MIN(LOOKUP(,-1/($Z$12:Z1428=1),$C$12:C1428)+LOOKUP(,-1/($Z$12:Z1428=1),$H$12:H1428)-IF(AA1427="Да",0,SUM(INDIRECT("T"&amp;(MAX(("Да"=AA$12:AA1427)*ROW(AA$12:AA1427)+1,ROW($T$12))&amp;":T"&amp;(ROW()-1))))),Первоначальный[[#This Row],[Полученный платеж]]+Y1427),
AND(S1427=0,MAX((0&lt;&gt;N$12:N1427)*ROW(N$12:N1427),ROW($S$12))&gt;=MAX((1=Z$12:Z1427)*ROW(Z$12:Z1427),ROW($T$12))),MIN(LOOKUP(,-1/($Z$12:Z1428=1),$C$12:C1428)+LOOKUP(,-1/($Z$12:Z1428=1),$H$12:H1428)-IF(N1427&lt;&gt;0,0,SUM(INDIRECT("T"&amp;(MAX((0&lt;&gt;N$12:N1427)*ROW(N$12:N1427)+1,ROW($T$12))&amp;":T"&amp;(ROW()-1))))),Первоначальный[[#This Row],[Полученный платеж]]+Y1427),
AND(S1427=0,Первоначальный[[#This Row],[Дата платежа из графика]]=1),MIN(LOOKUP(,-1/($Z$12:Z1428=1),$C$12:C1428)+LOOKUP(,-1/($Z$12:Z1428=1),$H$12:H1428)-IF(Z1427=1,0,SUM(INDIRECT("T"&amp;(MAX((1=Z$12:Z1427)*ROW(Z$12:Z1427)+1,ROW($T$12))&amp;":T"&amp;(ROW()-1))))),Первоначальный[[#This Row],[Полученный платеж]]+Y1427),
AND(Z1427&gt;0,Первоначальный[[#This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платеж]]+Y1427),
AND(S1427&gt;0,MAX((0&lt;&gt;S$12:S1427)*ROW(S$12:S1427),ROW($S$12))&gt;=MAX((1=Z$12:Z1427)*ROW(Z$12:Z1427),ROW($T$12)),TYPE(VLOOKUP("Да",(INDIRECT("AA"&amp;(MAX((1=Z$12:Z1427)*ROW(Z$12:Z1427),ROW($T$12))&amp;":AA"&amp;(ROW()-1)))),1,0))=16),MIN(LOOKUP(,-1/($Z$12:Z1428=1),$C$12:C1428)+LOOKUP(,-1/($Z$12:Z1428=1),$H$12:H1428)-SUM(INDIRECT("T"&amp;(MAX((1=Z$12:Z1427)*ROW(Z$12:Z1427),ROW($T$12))&amp;":T"&amp;(ROW()-1)))),Первоначальный[[#This Row],[Полученный платеж]]+Y1427),
S1427&gt;0,MIN(LOOKUP(,-1/($Z$12:Z1428=1),$C$12:C1428)+LOOKUP(,-1/($Z$12:Z1428=1),$H$12:H1428)-IF(Z1427=1,0,SUM(INDIRECT("T"&amp;(MAX((1=Z$12:Z1427)*ROW(Z$12:Z1427)+1,ROW($T$12))&amp;":T"&amp;(ROW()-1))))),Первоначальный[[#This Row],[Полученный платеж]]+Y1427)
)
)
)</f>
        <v>0</v>
      </c>
      <c r="U142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платеж]]+Y1427-Первоначальный[[#This Row],[Полученный платёж по процентам]])</f>
        <v>0</v>
      </c>
      <c r="V1428" s="55">
        <f t="shared" ca="1" si="267"/>
        <v>0</v>
      </c>
      <c r="W1428" s="55" cm="1">
        <f t="array" aca="1" ref="W1428" ca="1">IF(Первоначальный[[#This Row],[Итого остаток на начало периода]]&lt;1,0,
_xlfn.IFS(
AND(TYPE(VLOOKUP(1,$Z$12:Z1428,1,0))=16,Первоначальный[[#This Row],[Досрочное погашение (да/"")]]=""),0,
AND(S1427=0,Первоначальный[[#This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платеж]]+Y1427-SUM(Первоначальный[[#This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комиссиям]]),VLOOKUP(LOOKUP(,-1/($Z$12:Z1428=1),$A$12:A1428),График[[Срок конец]:[Возврат основной суммы долга]],3,0)),
AND(S1427=0,Первоначальный[[#This Row],[Дата платежа из графика]]="",Первоначальный[[#This Row],[Досрочное погашение (да/"")]]&lt;&gt;"Да"),0,
AND(S1427=0,Первоначальный[[#This Row],[Досрочное погашение (да/"")]]=""),MIN(Первоначальный[[#This Row],[Полученный платеж]]+Y1427-SUM(Первоначальный[[#This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комиссиям]]),VLOOKUP(LOOKUP(,-1/($Z$12:Z1428=1),$A$12:A1428),График[[Срок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платеж]]+Y1427-SUM(Первоначальный[[#This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S1427&gt;0,MIN(Первоначальный[[#This Row],[Полученный платеж]]+Y1427-SUM(Первоначальный[[#This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комиссиям]]),SUM(INDIRECT("M"&amp;(MAX((1=S$12:S1427)*ROW(S$12:S1427),ROW($W$12))&amp;":M"&amp;(ROW()))))-SUM(INDIRECT("W"&amp;(MAX((1=S$12:S1427)*ROW(S$12:S1427),ROW($W$12))&amp;":W"&amp;(ROW()-1)))))
)
)</f>
        <v>0</v>
      </c>
      <c r="X1428" s="55">
        <f t="shared" ca="1" si="268"/>
        <v>0</v>
      </c>
      <c r="Y1428" s="101">
        <f t="shared" ca="1" si="275"/>
        <v>0</v>
      </c>
      <c r="Z1428" s="133" t="str">
        <f>IF(TYPE((VLOOKUP(Первоначальный[[#This Row],[Дата платежа]],График[Срок конец],1,0)))=16,"",1)</f>
        <v/>
      </c>
      <c r="AA1428" s="57"/>
      <c r="AB1428" s="134"/>
      <c r="AC142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2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101769.90000000014</v>
      </c>
      <c r="AE142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8617.640000000014</v>
      </c>
      <c r="AF142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2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427494.67334098357</v>
      </c>
      <c r="AH1428" s="55"/>
      <c r="AI1428" s="55"/>
      <c r="AJ1428" s="55"/>
      <c r="AK1428" s="101">
        <f t="shared" ca="1" si="276"/>
        <v>687515.55334098369</v>
      </c>
      <c r="AL1428" s="129">
        <f t="array" ref="AL1428">MAX((УслРестрактов[Характеристика]="Дата реструктуризации")*(УслРестрактов[Значение]=Первоначальный!$A1428),0)</f>
        <v>0</v>
      </c>
    </row>
    <row r="1429" spans="1:38" x14ac:dyDescent="0.25">
      <c r="A1429" s="97">
        <f t="shared" si="269"/>
        <v>45560</v>
      </c>
      <c r="B1429" s="100">
        <f t="shared" ca="1" si="270"/>
        <v>149633.34</v>
      </c>
      <c r="C1429" s="55">
        <f t="shared" ca="1" si="266"/>
        <v>101769.90000000014</v>
      </c>
      <c r="D1429" s="55">
        <f t="shared" ca="1" si="266"/>
        <v>8617.640000000014</v>
      </c>
      <c r="E1429" s="55">
        <f t="shared" ca="1" si="271"/>
        <v>0</v>
      </c>
      <c r="F1429" s="55">
        <f t="shared" ca="1" si="272"/>
        <v>427494.67334098357</v>
      </c>
      <c r="G1429" s="101">
        <f t="shared" ca="1" si="273"/>
        <v>687515.55334098369</v>
      </c>
      <c r="H1429" s="100">
        <f ca="1">ROUND($B1429*VLOOKUP($A1429,$A$1:$B$10,2,1)/(365+IF(MOD(YEAR($A1429),4),0,1)*($A1429-$A1428)),2)-Первоначальный[[#This Row],[Проценты на просроченный платеж по ОД за период]]</f>
        <v>66.849999999999994</v>
      </c>
      <c r="I1429" s="55">
        <f t="shared" ca="1" si="274"/>
        <v>14.51</v>
      </c>
      <c r="J1429" s="55">
        <v>0</v>
      </c>
      <c r="K1429" s="55">
        <f t="shared" ca="1" si="277"/>
        <v>637.27350327868851</v>
      </c>
      <c r="L1429" s="55">
        <v>0</v>
      </c>
      <c r="M1429" s="113">
        <f>SUMIFS(График[Возврат основной суммы долга],График[Дата с учетом нерабочих дней],$A1429)</f>
        <v>0</v>
      </c>
      <c r="N1429" s="56">
        <f>SUMIFS(График[Возврат начисленных %],График[Дата с учетом нерабочих дней],$A1429)</f>
        <v>0</v>
      </c>
      <c r="O1429" s="101">
        <v>0</v>
      </c>
      <c r="P1429" s="100" cm="1">
        <f t="array" aca="1" ref="P1429" ca="1">MAX(IF(AA1428="Да",0,SUM(INDIRECT("M"&amp;(MAX(("Да"=AA$12:AA1428)*ROW(AA$12:AA1428)+1,ROW($P$12))&amp;":M"&amp;(ROW()))))-SUM(INDIRECT("W"&amp;(MAX(("Да"=AA$12:AA1428)*ROW(AA$12:AA1428)+1,ROW($P$12))&amp;":W"&amp;(ROW()))))),0)</f>
        <v>26693.269999999997</v>
      </c>
      <c r="Q1429" s="99">
        <f ca="1">MAX(SUM($N$13:N1429)-SUM($T$13:T1429),0)</f>
        <v>100761.4306557377</v>
      </c>
      <c r="R1429" s="99">
        <f ca="1">Первоначальный[[#This Row],[Просроченный платеж по ОД]]+Первоначальный[[#This Row],[Просроченный платеж по процентам]]</f>
        <v>127454.70065573769</v>
      </c>
      <c r="S1429" s="120">
        <f ca="1">IF(Первоначальный[[#This Row],[Просроченный платеж]]&lt;1,0,S1428+1)</f>
        <v>1325</v>
      </c>
      <c r="T1429" s="100" cm="1">
        <f t="array" aca="1" ref="T1429" ca="1">IF(Первоначальный[[#This Row],[Итого остаток на начало периода]]&lt;1,0,
IF(
AND(TYPE(VLOOKUP(1,$Z$12:Z1429,1,0))=16,Первоначальный[[#This Row],[Досрочное погашение (да/"")]]=""),0,
_xlfn.IFS(AND(S1428=0,Первоначальный[[#This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платеж]]&lt;&gt;0),MIN(LOOKUP(,-1/($Z$12:Z1429=1),$C$12:C1429)+LOOKUP(,-1/($Z$12:Z1429=1),$H$12:H1429),Первоначальный[[#This Row],[Полученный платеж]]+Y1428),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платеж]]+Y1428,SUM(Первоначальный[[#This Row],[Остаток процентов на начало периода]],Первоначальный[[#This Row],[Проценты за период]])),
AND(S1428=0,Первоначальный[[#This Row],[Дата платежа из графика]]=""),0,
AND(S1428=0,Первоначальный[[#This Row],[Дата платежа из графика]]=1,MAX((0&lt;&gt;S$12:S1428)*ROW(S$12:S1428),ROW($S$12))&gt;=MAX((1=Z$12:Z1428)*ROW(Z$12:Z1428),ROW($T$12)),TYPE(VLOOKUP("Да",(INDIRECT("AA"&amp;(MAX((1=Z$12:Z1428)*ROW(Z$12:Z1428),ROW($T$12))&amp;":AA"&amp;(ROW()-1)))),1,0))=16),MIN(LOOKUP(,-1/($Z$12:Z1429=1),$C$12:C1429)+LOOKUP(,-1/($Z$12:Z1429=1),$H$12:H1429),Первоначальный[[#This Row],[Полученный платеж]]+Y1428),
AND(S1428=0,TYPE(VLOOKUP("Да",(INDIRECT("AA"&amp;(MAX((1=Z$12:Z1428)*ROW(Z$12:Z1428),ROW($T$12))&amp;":AA"&amp;(ROW()-1)))),1,0))&lt;&gt;16),MIN(LOOKUP(,-1/($Z$12:Z1429=1),$C$12:C1429)+LOOKUP(,-1/($Z$12:Z1429=1),$H$12:H1429)-IF(AA1428="Да",0,SUM(INDIRECT("T"&amp;(MAX(("Да"=AA$12:AA1428)*ROW(AA$12:AA1428)+1,ROW($T$12))&amp;":T"&amp;(ROW()-1))))),Первоначальный[[#This Row],[Полученный платеж]]+Y1428),
AND(S1428=0,MAX((0&lt;&gt;N$12:N1428)*ROW(N$12:N1428),ROW($S$12))&gt;=MAX((1=Z$12:Z1428)*ROW(Z$12:Z1428),ROW($T$12))),MIN(LOOKUP(,-1/($Z$12:Z1429=1),$C$12:C1429)+LOOKUP(,-1/($Z$12:Z1429=1),$H$12:H1429)-IF(N1428&lt;&gt;0,0,SUM(INDIRECT("T"&amp;(MAX((0&lt;&gt;N$12:N1428)*ROW(N$12:N1428)+1,ROW($T$12))&amp;":T"&amp;(ROW()-1))))),Первоначальный[[#This Row],[Полученный платеж]]+Y1428),
AND(S1428=0,Первоначальный[[#This Row],[Дата платежа из графика]]=1),MIN(LOOKUP(,-1/($Z$12:Z1429=1),$C$12:C1429)+LOOKUP(,-1/($Z$12:Z1429=1),$H$12:H1429)-IF(Z1428=1,0,SUM(INDIRECT("T"&amp;(MAX((1=Z$12:Z1428)*ROW(Z$12:Z1428)+1,ROW($T$12))&amp;":T"&amp;(ROW()-1))))),Первоначальный[[#This Row],[Полученный платеж]]+Y1428),
AND(Z1428&gt;0,Первоначальный[[#This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платеж]]+Y1428),
AND(S1428&gt;0,MAX((0&lt;&gt;S$12:S1428)*ROW(S$12:S1428),ROW($S$12))&gt;=MAX((1=Z$12:Z1428)*ROW(Z$12:Z1428),ROW($T$12)),TYPE(VLOOKUP("Да",(INDIRECT("AA"&amp;(MAX((1=Z$12:Z1428)*ROW(Z$12:Z1428),ROW($T$12))&amp;":AA"&amp;(ROW()-1)))),1,0))=16),MIN(LOOKUP(,-1/($Z$12:Z1429=1),$C$12:C1429)+LOOKUP(,-1/($Z$12:Z1429=1),$H$12:H1429)-SUM(INDIRECT("T"&amp;(MAX((1=Z$12:Z1428)*ROW(Z$12:Z1428),ROW($T$12))&amp;":T"&amp;(ROW()-1)))),Первоначальный[[#This Row],[Полученный платеж]]+Y1428),
S1428&gt;0,MIN(LOOKUP(,-1/($Z$12:Z1429=1),$C$12:C1429)+LOOKUP(,-1/($Z$12:Z1429=1),$H$12:H1429)-IF(Z1428=1,0,SUM(INDIRECT("T"&amp;(MAX((1=Z$12:Z1428)*ROW(Z$12:Z1428)+1,ROW($T$12))&amp;":T"&amp;(ROW()-1))))),Первоначальный[[#This Row],[Полученный платеж]]+Y1428)
)
)
)</f>
        <v>0</v>
      </c>
      <c r="U142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платеж]]+Y1428-Первоначальный[[#This Row],[Полученный платёж по процентам]])</f>
        <v>0</v>
      </c>
      <c r="V1429" s="55">
        <f t="shared" ca="1" si="267"/>
        <v>0</v>
      </c>
      <c r="W1429" s="55" cm="1">
        <f t="array" aca="1" ref="W1429" ca="1">IF(Первоначальный[[#This Row],[Итого остаток на начало периода]]&lt;1,0,
_xlfn.IFS(
AND(TYPE(VLOOKUP(1,$Z$12:Z1429,1,0))=16,Первоначальный[[#This Row],[Досрочное погашение (да/"")]]=""),0,
AND(S1428=0,Первоначальный[[#This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платеж]]+Y1428-SUM(Первоначальный[[#This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комиссиям]]),VLOOKUP(LOOKUP(,-1/($Z$12:Z1429=1),$A$12:A1429),График[[Срок конец]:[Возврат основной суммы долга]],3,0)),
AND(S1428=0,Первоначальный[[#This Row],[Дата платежа из графика]]="",Первоначальный[[#This Row],[Досрочное погашение (да/"")]]&lt;&gt;"Да"),0,
AND(S1428=0,Первоначальный[[#This Row],[Досрочное погашение (да/"")]]=""),MIN(Первоначальный[[#This Row],[Полученный платеж]]+Y1428-SUM(Первоначальный[[#This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комиссиям]]),VLOOKUP(LOOKUP(,-1/($Z$12:Z1429=1),$A$12:A1429),График[[Срок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платеж]]+Y1428-SUM(Первоначальный[[#This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S1428&gt;0,MIN(Первоначальный[[#This Row],[Полученный платеж]]+Y1428-SUM(Первоначальный[[#This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комиссиям]]),SUM(INDIRECT("M"&amp;(MAX((1=S$12:S1428)*ROW(S$12:S1428),ROW($W$12))&amp;":M"&amp;(ROW()))))-SUM(INDIRECT("W"&amp;(MAX((1=S$12:S1428)*ROW(S$12:S1428),ROW($W$12))&amp;":W"&amp;(ROW()-1)))))
)
)</f>
        <v>0</v>
      </c>
      <c r="X1429" s="55">
        <f t="shared" ca="1" si="268"/>
        <v>0</v>
      </c>
      <c r="Y1429" s="101">
        <f t="shared" ca="1" si="275"/>
        <v>0</v>
      </c>
      <c r="Z1429" s="133" t="str">
        <f>IF(TYPE((VLOOKUP(Первоначальный[[#This Row],[Дата платежа]],График[Срок конец],1,0)))=16,"",1)</f>
        <v/>
      </c>
      <c r="AA1429" s="57"/>
      <c r="AB1429" s="134"/>
      <c r="AC142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2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101836.75000000015</v>
      </c>
      <c r="AE142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8632.1500000000142</v>
      </c>
      <c r="AF142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2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428131.94684426225</v>
      </c>
      <c r="AH1429" s="55"/>
      <c r="AI1429" s="55"/>
      <c r="AJ1429" s="55"/>
      <c r="AK1429" s="101">
        <f t="shared" ca="1" si="276"/>
        <v>688234.18684426241</v>
      </c>
      <c r="AL1429" s="129">
        <f t="array" ref="AL1429">MAX((УслРестрактов[Характеристика]="Дата реструктуризации")*(УслРестрактов[Значение]=Первоначальный!$A1429),0)</f>
        <v>0</v>
      </c>
    </row>
    <row r="1430" spans="1:38" x14ac:dyDescent="0.25">
      <c r="A1430" s="97">
        <f t="shared" si="269"/>
        <v>45561</v>
      </c>
      <c r="B1430" s="100">
        <f t="shared" ca="1" si="270"/>
        <v>149633.34</v>
      </c>
      <c r="C1430" s="55">
        <f t="shared" ca="1" si="266"/>
        <v>101836.75000000015</v>
      </c>
      <c r="D1430" s="55">
        <f t="shared" ca="1" si="266"/>
        <v>8632.1500000000142</v>
      </c>
      <c r="E1430" s="55">
        <f t="shared" ca="1" si="271"/>
        <v>0</v>
      </c>
      <c r="F1430" s="55">
        <f t="shared" ca="1" si="272"/>
        <v>428131.94684426225</v>
      </c>
      <c r="G1430" s="101">
        <f t="shared" ca="1" si="273"/>
        <v>688234.18684426241</v>
      </c>
      <c r="H1430" s="100">
        <f ca="1">ROUND($B1430*VLOOKUP($A1430,$A$1:$B$10,2,1)/(365+IF(MOD(YEAR($A1430),4),0,1)*($A1430-$A1429)),2)-Первоначальный[[#This Row],[Проценты на просроченный платеж по ОД за период]]</f>
        <v>66.849999999999994</v>
      </c>
      <c r="I1430" s="55">
        <f t="shared" ca="1" si="274"/>
        <v>14.51</v>
      </c>
      <c r="J1430" s="55">
        <v>0</v>
      </c>
      <c r="K1430" s="55">
        <f t="shared" ca="1" si="277"/>
        <v>637.27350327868851</v>
      </c>
      <c r="L1430" s="55">
        <v>0</v>
      </c>
      <c r="M1430" s="113">
        <f>SUMIFS(График[Возврат основной суммы долга],График[Дата с учетом нерабочих дней],$A1430)</f>
        <v>0</v>
      </c>
      <c r="N1430" s="56">
        <f>SUMIFS(График[Возврат начисленных %],График[Дата с учетом нерабочих дней],$A1430)</f>
        <v>0</v>
      </c>
      <c r="O1430" s="101">
        <v>0</v>
      </c>
      <c r="P1430" s="100" cm="1">
        <f t="array" aca="1" ref="P1430" ca="1">MAX(IF(AA1429="Да",0,SUM(INDIRECT("M"&amp;(MAX(("Да"=AA$12:AA1429)*ROW(AA$12:AA1429)+1,ROW($P$12))&amp;":M"&amp;(ROW()))))-SUM(INDIRECT("W"&amp;(MAX(("Да"=AA$12:AA1429)*ROW(AA$12:AA1429)+1,ROW($P$12))&amp;":W"&amp;(ROW()))))),0)</f>
        <v>26693.269999999997</v>
      </c>
      <c r="Q1430" s="99">
        <f ca="1">MAX(SUM($N$13:N1430)-SUM($T$13:T1430),0)</f>
        <v>100761.4306557377</v>
      </c>
      <c r="R1430" s="99">
        <f ca="1">Первоначальный[[#This Row],[Просроченный платеж по ОД]]+Первоначальный[[#This Row],[Просроченный платеж по процентам]]</f>
        <v>127454.70065573769</v>
      </c>
      <c r="S1430" s="120">
        <f ca="1">IF(Первоначальный[[#This Row],[Просроченный платеж]]&lt;1,0,S1429+1)</f>
        <v>1326</v>
      </c>
      <c r="T1430" s="100" cm="1">
        <f t="array" aca="1" ref="T1430" ca="1">IF(Первоначальный[[#This Row],[Итого остаток на начало периода]]&lt;1,0,
IF(
AND(TYPE(VLOOKUP(1,$Z$12:Z1430,1,0))=16,Первоначальный[[#This Row],[Досрочное погашение (да/"")]]=""),0,
_xlfn.IFS(AND(S1429=0,Первоначальный[[#This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платеж]]&lt;&gt;0),MIN(LOOKUP(,-1/($Z$12:Z1430=1),$C$12:C1430)+LOOKUP(,-1/($Z$12:Z1430=1),$H$12:H1430),Первоначальный[[#This Row],[Полученный платеж]]+Y1429),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платеж]]+Y1429,SUM(Первоначальный[[#This Row],[Остаток процентов на начало периода]],Первоначальный[[#This Row],[Проценты за период]])),
AND(S1429=0,Первоначальный[[#This Row],[Дата платежа из графика]]=""),0,
AND(S1429=0,Первоначальный[[#This Row],[Дата платежа из графика]]=1,MAX((0&lt;&gt;S$12:S1429)*ROW(S$12:S1429),ROW($S$12))&gt;=MAX((1=Z$12:Z1429)*ROW(Z$12:Z1429),ROW($T$12)),TYPE(VLOOKUP("Да",(INDIRECT("AA"&amp;(MAX((1=Z$12:Z1429)*ROW(Z$12:Z1429),ROW($T$12))&amp;":AA"&amp;(ROW()-1)))),1,0))=16),MIN(LOOKUP(,-1/($Z$12:Z1430=1),$C$12:C1430)+LOOKUP(,-1/($Z$12:Z1430=1),$H$12:H1430),Первоначальный[[#This Row],[Полученный платеж]]+Y1429),
AND(S1429=0,TYPE(VLOOKUP("Да",(INDIRECT("AA"&amp;(MAX((1=Z$12:Z1429)*ROW(Z$12:Z1429),ROW($T$12))&amp;":AA"&amp;(ROW()-1)))),1,0))&lt;&gt;16),MIN(LOOKUP(,-1/($Z$12:Z1430=1),$C$12:C1430)+LOOKUP(,-1/($Z$12:Z1430=1),$H$12:H1430)-IF(AA1429="Да",0,SUM(INDIRECT("T"&amp;(MAX(("Да"=AA$12:AA1429)*ROW(AA$12:AA1429)+1,ROW($T$12))&amp;":T"&amp;(ROW()-1))))),Первоначальный[[#This Row],[Полученный платеж]]+Y1429),
AND(S1429=0,MAX((0&lt;&gt;N$12:N1429)*ROW(N$12:N1429),ROW($S$12))&gt;=MAX((1=Z$12:Z1429)*ROW(Z$12:Z1429),ROW($T$12))),MIN(LOOKUP(,-1/($Z$12:Z1430=1),$C$12:C1430)+LOOKUP(,-1/($Z$12:Z1430=1),$H$12:H1430)-IF(N1429&lt;&gt;0,0,SUM(INDIRECT("T"&amp;(MAX((0&lt;&gt;N$12:N1429)*ROW(N$12:N1429)+1,ROW($T$12))&amp;":T"&amp;(ROW()-1))))),Первоначальный[[#This Row],[Полученный платеж]]+Y1429),
AND(S1429=0,Первоначальный[[#This Row],[Дата платежа из графика]]=1),MIN(LOOKUP(,-1/($Z$12:Z1430=1),$C$12:C1430)+LOOKUP(,-1/($Z$12:Z1430=1),$H$12:H1430)-IF(Z1429=1,0,SUM(INDIRECT("T"&amp;(MAX((1=Z$12:Z1429)*ROW(Z$12:Z1429)+1,ROW($T$12))&amp;":T"&amp;(ROW()-1))))),Первоначальный[[#This Row],[Полученный платеж]]+Y1429),
AND(Z1429&gt;0,Первоначальный[[#This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платеж]]+Y1429),
AND(S1429&gt;0,MAX((0&lt;&gt;S$12:S1429)*ROW(S$12:S1429),ROW($S$12))&gt;=MAX((1=Z$12:Z1429)*ROW(Z$12:Z1429),ROW($T$12)),TYPE(VLOOKUP("Да",(INDIRECT("AA"&amp;(MAX((1=Z$12:Z1429)*ROW(Z$12:Z1429),ROW($T$12))&amp;":AA"&amp;(ROW()-1)))),1,0))=16),MIN(LOOKUP(,-1/($Z$12:Z1430=1),$C$12:C1430)+LOOKUP(,-1/($Z$12:Z1430=1),$H$12:H1430)-SUM(INDIRECT("T"&amp;(MAX((1=Z$12:Z1429)*ROW(Z$12:Z1429),ROW($T$12))&amp;":T"&amp;(ROW()-1)))),Первоначальный[[#This Row],[Полученный платеж]]+Y1429),
S1429&gt;0,MIN(LOOKUP(,-1/($Z$12:Z1430=1),$C$12:C1430)+LOOKUP(,-1/($Z$12:Z1430=1),$H$12:H1430)-IF(Z1429=1,0,SUM(INDIRECT("T"&amp;(MAX((1=Z$12:Z1429)*ROW(Z$12:Z1429)+1,ROW($T$12))&amp;":T"&amp;(ROW()-1))))),Первоначальный[[#This Row],[Полученный платеж]]+Y1429)
)
)
)</f>
        <v>0</v>
      </c>
      <c r="U143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платеж]]+Y1429-Первоначальный[[#This Row],[Полученный платёж по процентам]])</f>
        <v>0</v>
      </c>
      <c r="V1430" s="55">
        <f t="shared" ca="1" si="267"/>
        <v>0</v>
      </c>
      <c r="W1430" s="55" cm="1">
        <f t="array" aca="1" ref="W1430" ca="1">IF(Первоначальный[[#This Row],[Итого остаток на начало периода]]&lt;1,0,
_xlfn.IFS(
AND(TYPE(VLOOKUP(1,$Z$12:Z1430,1,0))=16,Первоначальный[[#This Row],[Досрочное погашение (да/"")]]=""),0,
AND(S1429=0,Первоначальный[[#This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платеж]]+Y1429-SUM(Первоначальный[[#This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комиссиям]]),VLOOKUP(LOOKUP(,-1/($Z$12:Z1430=1),$A$12:A1430),График[[Срок конец]:[Возврат основной суммы долга]],3,0)),
AND(S1429=0,Первоначальный[[#This Row],[Дата платежа из графика]]="",Первоначальный[[#This Row],[Досрочное погашение (да/"")]]&lt;&gt;"Да"),0,
AND(S1429=0,Первоначальный[[#This Row],[Досрочное погашение (да/"")]]=""),MIN(Первоначальный[[#This Row],[Полученный платеж]]+Y1429-SUM(Первоначальный[[#This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комиссиям]]),VLOOKUP(LOOKUP(,-1/($Z$12:Z1430=1),$A$12:A1430),График[[Срок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платеж]]+Y1429-SUM(Первоначальный[[#This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S1429&gt;0,MIN(Первоначальный[[#This Row],[Полученный платеж]]+Y1429-SUM(Первоначальный[[#This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комиссиям]]),SUM(INDIRECT("M"&amp;(MAX((1=S$12:S1429)*ROW(S$12:S1429),ROW($W$12))&amp;":M"&amp;(ROW()))))-SUM(INDIRECT("W"&amp;(MAX((1=S$12:S1429)*ROW(S$12:S1429),ROW($W$12))&amp;":W"&amp;(ROW()-1)))))
)
)</f>
        <v>0</v>
      </c>
      <c r="X1430" s="55">
        <f t="shared" ca="1" si="268"/>
        <v>0</v>
      </c>
      <c r="Y1430" s="101">
        <f t="shared" ca="1" si="275"/>
        <v>0</v>
      </c>
      <c r="Z1430" s="133" t="str">
        <f>IF(TYPE((VLOOKUP(Первоначальный[[#This Row],[Дата платежа]],График[Срок конец],1,0)))=16,"",1)</f>
        <v/>
      </c>
      <c r="AA1430" s="57"/>
      <c r="AB1430" s="134"/>
      <c r="AC143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3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101903.60000000015</v>
      </c>
      <c r="AE143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8646.6600000000144</v>
      </c>
      <c r="AF143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3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428769.22034754092</v>
      </c>
      <c r="AH1430" s="55"/>
      <c r="AI1430" s="55"/>
      <c r="AJ1430" s="55"/>
      <c r="AK1430" s="101">
        <f t="shared" ca="1" si="276"/>
        <v>688952.82034754101</v>
      </c>
      <c r="AL1430" s="129">
        <f t="array" ref="AL1430">MAX((УслРестрактов[Характеристика]="Дата реструктуризации")*(УслРестрактов[Значение]=Первоначальный!$A1430),0)</f>
        <v>0</v>
      </c>
    </row>
    <row r="1431" spans="1:38" x14ac:dyDescent="0.25">
      <c r="A1431" s="97">
        <f t="shared" si="269"/>
        <v>45562</v>
      </c>
      <c r="B1431" s="100">
        <f t="shared" ca="1" si="270"/>
        <v>149633.34</v>
      </c>
      <c r="C1431" s="55">
        <f t="shared" ca="1" si="266"/>
        <v>101903.60000000015</v>
      </c>
      <c r="D1431" s="55">
        <f t="shared" ca="1" si="266"/>
        <v>8646.6600000000144</v>
      </c>
      <c r="E1431" s="55">
        <f t="shared" ca="1" si="271"/>
        <v>0</v>
      </c>
      <c r="F1431" s="55">
        <f t="shared" ca="1" si="272"/>
        <v>428769.22034754092</v>
      </c>
      <c r="G1431" s="101">
        <f t="shared" ca="1" si="273"/>
        <v>688952.82034754101</v>
      </c>
      <c r="H1431" s="100">
        <f ca="1">ROUND($B1431*VLOOKUP($A1431,$A$1:$B$10,2,1)/(365+IF(MOD(YEAR($A1431),4),0,1)*($A1431-$A1430)),2)-Первоначальный[[#This Row],[Проценты на просроченный платеж по ОД за период]]</f>
        <v>66.849999999999994</v>
      </c>
      <c r="I1431" s="55">
        <f t="shared" ca="1" si="274"/>
        <v>14.51</v>
      </c>
      <c r="J1431" s="55">
        <v>0</v>
      </c>
      <c r="K1431" s="55">
        <f t="shared" ca="1" si="277"/>
        <v>637.27350327868851</v>
      </c>
      <c r="L1431" s="55">
        <v>0</v>
      </c>
      <c r="M1431" s="113">
        <f>SUMIFS(График[Возврат основной суммы долга],График[Дата с учетом нерабочих дней],$A1431)</f>
        <v>0</v>
      </c>
      <c r="N1431" s="56">
        <f>SUMIFS(График[Возврат начисленных %],График[Дата с учетом нерабочих дней],$A1431)</f>
        <v>0</v>
      </c>
      <c r="O1431" s="101">
        <v>0</v>
      </c>
      <c r="P1431" s="100" cm="1">
        <f t="array" aca="1" ref="P1431" ca="1">MAX(IF(AA1430="Да",0,SUM(INDIRECT("M"&amp;(MAX(("Да"=AA$12:AA1430)*ROW(AA$12:AA1430)+1,ROW($P$12))&amp;":M"&amp;(ROW()))))-SUM(INDIRECT("W"&amp;(MAX(("Да"=AA$12:AA1430)*ROW(AA$12:AA1430)+1,ROW($P$12))&amp;":W"&amp;(ROW()))))),0)</f>
        <v>26693.269999999997</v>
      </c>
      <c r="Q1431" s="99">
        <f ca="1">MAX(SUM($N$13:N1431)-SUM($T$13:T1431),0)</f>
        <v>100761.4306557377</v>
      </c>
      <c r="R1431" s="99">
        <f ca="1">Первоначальный[[#This Row],[Просроченный платеж по ОД]]+Первоначальный[[#This Row],[Просроченный платеж по процентам]]</f>
        <v>127454.70065573769</v>
      </c>
      <c r="S1431" s="120">
        <f ca="1">IF(Первоначальный[[#This Row],[Просроченный платеж]]&lt;1,0,S1430+1)</f>
        <v>1327</v>
      </c>
      <c r="T1431" s="100" cm="1">
        <f t="array" aca="1" ref="T1431" ca="1">IF(Первоначальный[[#This Row],[Итого остаток на начало периода]]&lt;1,0,
IF(
AND(TYPE(VLOOKUP(1,$Z$12:Z1431,1,0))=16,Первоначальный[[#This Row],[Досрочное погашение (да/"")]]=""),0,
_xlfn.IFS(AND(S1430=0,Первоначальный[[#This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платеж]]&lt;&gt;0),MIN(LOOKUP(,-1/($Z$12:Z1431=1),$C$12:C1431)+LOOKUP(,-1/($Z$12:Z1431=1),$H$12:H1431),Первоначальный[[#This Row],[Полученный платеж]]+Y1430),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платеж]]+Y1430,SUM(Первоначальный[[#This Row],[Остаток процентов на начало периода]],Первоначальный[[#This Row],[Проценты за период]])),
AND(S1430=0,Первоначальный[[#This Row],[Дата платежа из графика]]=""),0,
AND(S1430=0,Первоначальный[[#This Row],[Дата платежа из графика]]=1,MAX((0&lt;&gt;S$12:S1430)*ROW(S$12:S1430),ROW($S$12))&gt;=MAX((1=Z$12:Z1430)*ROW(Z$12:Z1430),ROW($T$12)),TYPE(VLOOKUP("Да",(INDIRECT("AA"&amp;(MAX((1=Z$12:Z1430)*ROW(Z$12:Z1430),ROW($T$12))&amp;":AA"&amp;(ROW()-1)))),1,0))=16),MIN(LOOKUP(,-1/($Z$12:Z1431=1),$C$12:C1431)+LOOKUP(,-1/($Z$12:Z1431=1),$H$12:H1431),Первоначальный[[#This Row],[Полученный платеж]]+Y1430),
AND(S1430=0,TYPE(VLOOKUP("Да",(INDIRECT("AA"&amp;(MAX((1=Z$12:Z1430)*ROW(Z$12:Z1430),ROW($T$12))&amp;":AA"&amp;(ROW()-1)))),1,0))&lt;&gt;16),MIN(LOOKUP(,-1/($Z$12:Z1431=1),$C$12:C1431)+LOOKUP(,-1/($Z$12:Z1431=1),$H$12:H1431)-IF(AA1430="Да",0,SUM(INDIRECT("T"&amp;(MAX(("Да"=AA$12:AA1430)*ROW(AA$12:AA1430)+1,ROW($T$12))&amp;":T"&amp;(ROW()-1))))),Первоначальный[[#This Row],[Полученный платеж]]+Y1430),
AND(S1430=0,MAX((0&lt;&gt;N$12:N1430)*ROW(N$12:N1430),ROW($S$12))&gt;=MAX((1=Z$12:Z1430)*ROW(Z$12:Z1430),ROW($T$12))),MIN(LOOKUP(,-1/($Z$12:Z1431=1),$C$12:C1431)+LOOKUP(,-1/($Z$12:Z1431=1),$H$12:H1431)-IF(N1430&lt;&gt;0,0,SUM(INDIRECT("T"&amp;(MAX((0&lt;&gt;N$12:N1430)*ROW(N$12:N1430)+1,ROW($T$12))&amp;":T"&amp;(ROW()-1))))),Первоначальный[[#This Row],[Полученный платеж]]+Y1430),
AND(S1430=0,Первоначальный[[#This Row],[Дата платежа из графика]]=1),MIN(LOOKUP(,-1/($Z$12:Z1431=1),$C$12:C1431)+LOOKUP(,-1/($Z$12:Z1431=1),$H$12:H1431)-IF(Z1430=1,0,SUM(INDIRECT("T"&amp;(MAX((1=Z$12:Z1430)*ROW(Z$12:Z1430)+1,ROW($T$12))&amp;":T"&amp;(ROW()-1))))),Первоначальный[[#This Row],[Полученный платеж]]+Y1430),
AND(Z1430&gt;0,Первоначальный[[#This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платеж]]+Y1430),
AND(S1430&gt;0,MAX((0&lt;&gt;S$12:S1430)*ROW(S$12:S1430),ROW($S$12))&gt;=MAX((1=Z$12:Z1430)*ROW(Z$12:Z1430),ROW($T$12)),TYPE(VLOOKUP("Да",(INDIRECT("AA"&amp;(MAX((1=Z$12:Z1430)*ROW(Z$12:Z1430),ROW($T$12))&amp;":AA"&amp;(ROW()-1)))),1,0))=16),MIN(LOOKUP(,-1/($Z$12:Z1431=1),$C$12:C1431)+LOOKUP(,-1/($Z$12:Z1431=1),$H$12:H1431)-SUM(INDIRECT("T"&amp;(MAX((1=Z$12:Z1430)*ROW(Z$12:Z1430),ROW($T$12))&amp;":T"&amp;(ROW()-1)))),Первоначальный[[#This Row],[Полученный платеж]]+Y1430),
S1430&gt;0,MIN(LOOKUP(,-1/($Z$12:Z1431=1),$C$12:C1431)+LOOKUP(,-1/($Z$12:Z1431=1),$H$12:H1431)-IF(Z1430=1,0,SUM(INDIRECT("T"&amp;(MAX((1=Z$12:Z1430)*ROW(Z$12:Z1430)+1,ROW($T$12))&amp;":T"&amp;(ROW()-1))))),Первоначальный[[#This Row],[Полученный платеж]]+Y1430)
)
)
)</f>
        <v>0</v>
      </c>
      <c r="U143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платеж]]+Y1430-Первоначальный[[#This Row],[Полученный платёж по процентам]])</f>
        <v>0</v>
      </c>
      <c r="V1431" s="55">
        <f t="shared" ca="1" si="267"/>
        <v>0</v>
      </c>
      <c r="W1431" s="55" cm="1">
        <f t="array" aca="1" ref="W1431" ca="1">IF(Первоначальный[[#This Row],[Итого остаток на начало периода]]&lt;1,0,
_xlfn.IFS(
AND(TYPE(VLOOKUP(1,$Z$12:Z1431,1,0))=16,Первоначальный[[#This Row],[Досрочное погашение (да/"")]]=""),0,
AND(S1430=0,Первоначальный[[#This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платеж]]+Y1430-SUM(Первоначальный[[#This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комиссиям]]),VLOOKUP(LOOKUP(,-1/($Z$12:Z1431=1),$A$12:A1431),График[[Срок конец]:[Возврат основной суммы долга]],3,0)),
AND(S1430=0,Первоначальный[[#This Row],[Дата платежа из графика]]="",Первоначальный[[#This Row],[Досрочное погашение (да/"")]]&lt;&gt;"Да"),0,
AND(S1430=0,Первоначальный[[#This Row],[Досрочное погашение (да/"")]]=""),MIN(Первоначальный[[#This Row],[Полученный платеж]]+Y1430-SUM(Первоначальный[[#This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комиссиям]]),VLOOKUP(LOOKUP(,-1/($Z$12:Z1431=1),$A$12:A1431),График[[Срок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платеж]]+Y1430-SUM(Первоначальный[[#This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S1430&gt;0,MIN(Первоначальный[[#This Row],[Полученный платеж]]+Y1430-SUM(Первоначальный[[#This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комиссиям]]),SUM(INDIRECT("M"&amp;(MAX((1=S$12:S1430)*ROW(S$12:S1430),ROW($W$12))&amp;":M"&amp;(ROW()))))-SUM(INDIRECT("W"&amp;(MAX((1=S$12:S1430)*ROW(S$12:S1430),ROW($W$12))&amp;":W"&amp;(ROW()-1)))))
)
)</f>
        <v>0</v>
      </c>
      <c r="X1431" s="55">
        <f t="shared" ca="1" si="268"/>
        <v>0</v>
      </c>
      <c r="Y1431" s="101">
        <f t="shared" ca="1" si="275"/>
        <v>0</v>
      </c>
      <c r="Z1431" s="133" t="str">
        <f>IF(TYPE((VLOOKUP(Первоначальный[[#This Row],[Дата платежа]],График[Срок конец],1,0)))=16,"",1)</f>
        <v/>
      </c>
      <c r="AA1431" s="57"/>
      <c r="AB1431" s="134"/>
      <c r="AC143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3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101970.45000000016</v>
      </c>
      <c r="AE143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8661.1700000000146</v>
      </c>
      <c r="AF143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3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429406.49385081959</v>
      </c>
      <c r="AH1431" s="55"/>
      <c r="AI1431" s="55"/>
      <c r="AJ1431" s="55"/>
      <c r="AK1431" s="101">
        <f t="shared" ca="1" si="276"/>
        <v>689671.45385081973</v>
      </c>
      <c r="AL1431" s="129">
        <f t="array" ref="AL1431">MAX((УслРестрактов[Характеристика]="Дата реструктуризации")*(УслРестрактов[Значение]=Первоначальный!$A1431),0)</f>
        <v>0</v>
      </c>
    </row>
    <row r="1432" spans="1:38" x14ac:dyDescent="0.25">
      <c r="A1432" s="97">
        <f t="shared" si="269"/>
        <v>45563</v>
      </c>
      <c r="B1432" s="100">
        <f t="shared" ca="1" si="270"/>
        <v>149633.34</v>
      </c>
      <c r="C1432" s="55">
        <f t="shared" ca="1" si="266"/>
        <v>101970.45000000016</v>
      </c>
      <c r="D1432" s="55">
        <f t="shared" ca="1" si="266"/>
        <v>8661.1700000000146</v>
      </c>
      <c r="E1432" s="55">
        <f t="shared" ca="1" si="271"/>
        <v>0</v>
      </c>
      <c r="F1432" s="55">
        <f t="shared" ca="1" si="272"/>
        <v>429406.49385081959</v>
      </c>
      <c r="G1432" s="101">
        <f t="shared" ca="1" si="273"/>
        <v>689671.45385081973</v>
      </c>
      <c r="H1432" s="100">
        <f ca="1">ROUND($B1432*VLOOKUP($A1432,$A$1:$B$10,2,1)/(365+IF(MOD(YEAR($A1432),4),0,1)*($A1432-$A1431)),2)-Первоначальный[[#This Row],[Проценты на просроченный платеж по ОД за период]]</f>
        <v>66.849999999999994</v>
      </c>
      <c r="I1432" s="55">
        <f t="shared" ca="1" si="274"/>
        <v>14.51</v>
      </c>
      <c r="J1432" s="55">
        <v>0</v>
      </c>
      <c r="K1432" s="55">
        <f t="shared" ca="1" si="277"/>
        <v>637.27350327868851</v>
      </c>
      <c r="L1432" s="55">
        <v>0</v>
      </c>
      <c r="M1432" s="113">
        <f>SUMIFS(График[Возврат основной суммы долга],График[Дата с учетом нерабочих дней],$A1432)</f>
        <v>0</v>
      </c>
      <c r="N1432" s="56">
        <f>SUMIFS(График[Возврат начисленных %],График[Дата с учетом нерабочих дней],$A1432)</f>
        <v>0</v>
      </c>
      <c r="O1432" s="101">
        <v>0</v>
      </c>
      <c r="P1432" s="100" cm="1">
        <f t="array" aca="1" ref="P1432" ca="1">MAX(IF(AA1431="Да",0,SUM(INDIRECT("M"&amp;(MAX(("Да"=AA$12:AA1431)*ROW(AA$12:AA1431)+1,ROW($P$12))&amp;":M"&amp;(ROW()))))-SUM(INDIRECT("W"&amp;(MAX(("Да"=AA$12:AA1431)*ROW(AA$12:AA1431)+1,ROW($P$12))&amp;":W"&amp;(ROW()))))),0)</f>
        <v>26693.269999999997</v>
      </c>
      <c r="Q1432" s="99">
        <f ca="1">MAX(SUM($N$13:N1432)-SUM($T$13:T1432),0)</f>
        <v>100761.4306557377</v>
      </c>
      <c r="R1432" s="99">
        <f ca="1">Первоначальный[[#This Row],[Просроченный платеж по ОД]]+Первоначальный[[#This Row],[Просроченный платеж по процентам]]</f>
        <v>127454.70065573769</v>
      </c>
      <c r="S1432" s="120">
        <f ca="1">IF(Первоначальный[[#This Row],[Просроченный платеж]]&lt;1,0,S1431+1)</f>
        <v>1328</v>
      </c>
      <c r="T1432" s="100" cm="1">
        <f t="array" aca="1" ref="T1432" ca="1">IF(Первоначальный[[#This Row],[Итого остаток на начало периода]]&lt;1,0,
IF(
AND(TYPE(VLOOKUP(1,$Z$12:Z1432,1,0))=16,Первоначальный[[#This Row],[Досрочное погашение (да/"")]]=""),0,
_xlfn.IFS(AND(S1431=0,Первоначальный[[#This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платеж]]&lt;&gt;0),MIN(LOOKUP(,-1/($Z$12:Z1432=1),$C$12:C1432)+LOOKUP(,-1/($Z$12:Z1432=1),$H$12:H1432),Первоначальный[[#This Row],[Полученный платеж]]+Y1431),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платеж]]+Y1431,SUM(Первоначальный[[#This Row],[Остаток процентов на начало периода]],Первоначальный[[#This Row],[Проценты за период]])),
AND(S1431=0,Первоначальный[[#This Row],[Дата платежа из графика]]=""),0,
AND(S1431=0,Первоначальный[[#This Row],[Дата платежа из графика]]=1,MAX((0&lt;&gt;S$12:S1431)*ROW(S$12:S1431),ROW($S$12))&gt;=MAX((1=Z$12:Z1431)*ROW(Z$12:Z1431),ROW($T$12)),TYPE(VLOOKUP("Да",(INDIRECT("AA"&amp;(MAX((1=Z$12:Z1431)*ROW(Z$12:Z1431),ROW($T$12))&amp;":AA"&amp;(ROW()-1)))),1,0))=16),MIN(LOOKUP(,-1/($Z$12:Z1432=1),$C$12:C1432)+LOOKUP(,-1/($Z$12:Z1432=1),$H$12:H1432),Первоначальный[[#This Row],[Полученный платеж]]+Y1431),
AND(S1431=0,TYPE(VLOOKUP("Да",(INDIRECT("AA"&amp;(MAX((1=Z$12:Z1431)*ROW(Z$12:Z1431),ROW($T$12))&amp;":AA"&amp;(ROW()-1)))),1,0))&lt;&gt;16),MIN(LOOKUP(,-1/($Z$12:Z1432=1),$C$12:C1432)+LOOKUP(,-1/($Z$12:Z1432=1),$H$12:H1432)-IF(AA1431="Да",0,SUM(INDIRECT("T"&amp;(MAX(("Да"=AA$12:AA1431)*ROW(AA$12:AA1431)+1,ROW($T$12))&amp;":T"&amp;(ROW()-1))))),Первоначальный[[#This Row],[Полученный платеж]]+Y1431),
AND(S1431=0,MAX((0&lt;&gt;N$12:N1431)*ROW(N$12:N1431),ROW($S$12))&gt;=MAX((1=Z$12:Z1431)*ROW(Z$12:Z1431),ROW($T$12))),MIN(LOOKUP(,-1/($Z$12:Z1432=1),$C$12:C1432)+LOOKUP(,-1/($Z$12:Z1432=1),$H$12:H1432)-IF(N1431&lt;&gt;0,0,SUM(INDIRECT("T"&amp;(MAX((0&lt;&gt;N$12:N1431)*ROW(N$12:N1431)+1,ROW($T$12))&amp;":T"&amp;(ROW()-1))))),Первоначальный[[#This Row],[Полученный платеж]]+Y1431),
AND(S1431=0,Первоначальный[[#This Row],[Дата платежа из графика]]=1),MIN(LOOKUP(,-1/($Z$12:Z1432=1),$C$12:C1432)+LOOKUP(,-1/($Z$12:Z1432=1),$H$12:H1432)-IF(Z1431=1,0,SUM(INDIRECT("T"&amp;(MAX((1=Z$12:Z1431)*ROW(Z$12:Z1431)+1,ROW($T$12))&amp;":T"&amp;(ROW()-1))))),Первоначальный[[#This Row],[Полученный платеж]]+Y1431),
AND(Z1431&gt;0,Первоначальный[[#This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платеж]]+Y1431),
AND(S1431&gt;0,MAX((0&lt;&gt;S$12:S1431)*ROW(S$12:S1431),ROW($S$12))&gt;=MAX((1=Z$12:Z1431)*ROW(Z$12:Z1431),ROW($T$12)),TYPE(VLOOKUP("Да",(INDIRECT("AA"&amp;(MAX((1=Z$12:Z1431)*ROW(Z$12:Z1431),ROW($T$12))&amp;":AA"&amp;(ROW()-1)))),1,0))=16),MIN(LOOKUP(,-1/($Z$12:Z1432=1),$C$12:C1432)+LOOKUP(,-1/($Z$12:Z1432=1),$H$12:H1432)-SUM(INDIRECT("T"&amp;(MAX((1=Z$12:Z1431)*ROW(Z$12:Z1431),ROW($T$12))&amp;":T"&amp;(ROW()-1)))),Первоначальный[[#This Row],[Полученный платеж]]+Y1431),
S1431&gt;0,MIN(LOOKUP(,-1/($Z$12:Z1432=1),$C$12:C1432)+LOOKUP(,-1/($Z$12:Z1432=1),$H$12:H1432)-IF(Z1431=1,0,SUM(INDIRECT("T"&amp;(MAX((1=Z$12:Z1431)*ROW(Z$12:Z1431)+1,ROW($T$12))&amp;":T"&amp;(ROW()-1))))),Первоначальный[[#This Row],[Полученный платеж]]+Y1431)
)
)
)</f>
        <v>0</v>
      </c>
      <c r="U143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платеж]]+Y1431-Первоначальный[[#This Row],[Полученный платёж по процентам]])</f>
        <v>0</v>
      </c>
      <c r="V1432" s="55">
        <f t="shared" ca="1" si="267"/>
        <v>0</v>
      </c>
      <c r="W1432" s="55" cm="1">
        <f t="array" aca="1" ref="W1432" ca="1">IF(Первоначальный[[#This Row],[Итого остаток на начало периода]]&lt;1,0,
_xlfn.IFS(
AND(TYPE(VLOOKUP(1,$Z$12:Z1432,1,0))=16,Первоначальный[[#This Row],[Досрочное погашение (да/"")]]=""),0,
AND(S1431=0,Первоначальный[[#This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платеж]]+Y1431-SUM(Первоначальный[[#This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комиссиям]]),VLOOKUP(LOOKUP(,-1/($Z$12:Z1432=1),$A$12:A1432),График[[Срок конец]:[Возврат основной суммы долга]],3,0)),
AND(S1431=0,Первоначальный[[#This Row],[Дата платежа из графика]]="",Первоначальный[[#This Row],[Досрочное погашение (да/"")]]&lt;&gt;"Да"),0,
AND(S1431=0,Первоначальный[[#This Row],[Досрочное погашение (да/"")]]=""),MIN(Первоначальный[[#This Row],[Полученный платеж]]+Y1431-SUM(Первоначальный[[#This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комиссиям]]),VLOOKUP(LOOKUP(,-1/($Z$12:Z1432=1),$A$12:A1432),График[[Срок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платеж]]+Y1431-SUM(Первоначальный[[#This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S1431&gt;0,MIN(Первоначальный[[#This Row],[Полученный платеж]]+Y1431-SUM(Первоначальный[[#This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комиссиям]]),SUM(INDIRECT("M"&amp;(MAX((1=S$12:S1431)*ROW(S$12:S1431),ROW($W$12))&amp;":M"&amp;(ROW()))))-SUM(INDIRECT("W"&amp;(MAX((1=S$12:S1431)*ROW(S$12:S1431),ROW($W$12))&amp;":W"&amp;(ROW()-1)))))
)
)</f>
        <v>0</v>
      </c>
      <c r="X1432" s="55">
        <f t="shared" ca="1" si="268"/>
        <v>0</v>
      </c>
      <c r="Y1432" s="101">
        <f t="shared" ca="1" si="275"/>
        <v>0</v>
      </c>
      <c r="Z1432" s="133" t="str">
        <f>IF(TYPE((VLOOKUP(Первоначальный[[#This Row],[Дата платежа]],График[Срок конец],1,0)))=16,"",1)</f>
        <v/>
      </c>
      <c r="AA1432" s="57"/>
      <c r="AB1432" s="134"/>
      <c r="AC143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3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102037.30000000016</v>
      </c>
      <c r="AE143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8675.6800000000148</v>
      </c>
      <c r="AF143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3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430043.76735409827</v>
      </c>
      <c r="AH1432" s="55"/>
      <c r="AI1432" s="55"/>
      <c r="AJ1432" s="55"/>
      <c r="AK1432" s="101">
        <f t="shared" ca="1" si="276"/>
        <v>690390.08735409845</v>
      </c>
      <c r="AL1432" s="129">
        <f t="array" ref="AL1432">MAX((УслРестрактов[Характеристика]="Дата реструктуризации")*(УслРестрактов[Значение]=Первоначальный!$A1432),0)</f>
        <v>0</v>
      </c>
    </row>
    <row r="1433" spans="1:38" x14ac:dyDescent="0.25">
      <c r="A1433" s="97">
        <f t="shared" si="269"/>
        <v>45564</v>
      </c>
      <c r="B1433" s="100">
        <f t="shared" ca="1" si="270"/>
        <v>149633.34</v>
      </c>
      <c r="C1433" s="55">
        <f t="shared" ca="1" si="266"/>
        <v>102037.30000000016</v>
      </c>
      <c r="D1433" s="55">
        <f t="shared" ca="1" si="266"/>
        <v>8675.6800000000148</v>
      </c>
      <c r="E1433" s="55">
        <f t="shared" ca="1" si="271"/>
        <v>0</v>
      </c>
      <c r="F1433" s="55">
        <f t="shared" ca="1" si="272"/>
        <v>430043.76735409827</v>
      </c>
      <c r="G1433" s="101">
        <f t="shared" ca="1" si="273"/>
        <v>690390.08735409845</v>
      </c>
      <c r="H1433" s="100">
        <f ca="1">ROUND($B1433*VLOOKUP($A1433,$A$1:$B$10,2,1)/(365+IF(MOD(YEAR($A1433),4),0,1)*($A1433-$A1432)),2)-Первоначальный[[#This Row],[Проценты на просроченный платеж по ОД за период]]</f>
        <v>66.849999999999994</v>
      </c>
      <c r="I1433" s="55">
        <f t="shared" ca="1" si="274"/>
        <v>14.51</v>
      </c>
      <c r="J1433" s="55">
        <v>0</v>
      </c>
      <c r="K1433" s="55">
        <f t="shared" ca="1" si="277"/>
        <v>637.27350327868851</v>
      </c>
      <c r="L1433" s="55">
        <v>0</v>
      </c>
      <c r="M1433" s="113">
        <f>SUMIFS(График[Возврат основной суммы долга],График[Дата с учетом нерабочих дней],$A1433)</f>
        <v>0</v>
      </c>
      <c r="N1433" s="56">
        <f>SUMIFS(График[Возврат начисленных %],График[Дата с учетом нерабочих дней],$A1433)</f>
        <v>0</v>
      </c>
      <c r="O1433" s="101">
        <v>0</v>
      </c>
      <c r="P1433" s="100" cm="1">
        <f t="array" aca="1" ref="P1433" ca="1">MAX(IF(AA1432="Да",0,SUM(INDIRECT("M"&amp;(MAX(("Да"=AA$12:AA1432)*ROW(AA$12:AA1432)+1,ROW($P$12))&amp;":M"&amp;(ROW()))))-SUM(INDIRECT("W"&amp;(MAX(("Да"=AA$12:AA1432)*ROW(AA$12:AA1432)+1,ROW($P$12))&amp;":W"&amp;(ROW()))))),0)</f>
        <v>26693.269999999997</v>
      </c>
      <c r="Q1433" s="99">
        <f ca="1">MAX(SUM($N$13:N1433)-SUM($T$13:T1433),0)</f>
        <v>100761.4306557377</v>
      </c>
      <c r="R1433" s="99">
        <f ca="1">Первоначальный[[#This Row],[Просроченный платеж по ОД]]+Первоначальный[[#This Row],[Просроченный платеж по процентам]]</f>
        <v>127454.70065573769</v>
      </c>
      <c r="S1433" s="120">
        <f ca="1">IF(Первоначальный[[#This Row],[Просроченный платеж]]&lt;1,0,S1432+1)</f>
        <v>1329</v>
      </c>
      <c r="T1433" s="100" cm="1">
        <f t="array" aca="1" ref="T1433" ca="1">IF(Первоначальный[[#This Row],[Итого остаток на начало периода]]&lt;1,0,
IF(
AND(TYPE(VLOOKUP(1,$Z$12:Z1433,1,0))=16,Первоначальный[[#This Row],[Досрочное погашение (да/"")]]=""),0,
_xlfn.IFS(AND(S1432=0,Первоначальный[[#This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платеж]]&lt;&gt;0),MIN(LOOKUP(,-1/($Z$12:Z1433=1),$C$12:C1433)+LOOKUP(,-1/($Z$12:Z1433=1),$H$12:H1433),Первоначальный[[#This Row],[Полученный платеж]]+Y1432),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платеж]]+Y1432,SUM(Первоначальный[[#This Row],[Остаток процентов на начало периода]],Первоначальный[[#This Row],[Проценты за период]])),
AND(S1432=0,Первоначальный[[#This Row],[Дата платежа из графика]]=""),0,
AND(S1432=0,Первоначальный[[#This Row],[Дата платежа из графика]]=1,MAX((0&lt;&gt;S$12:S1432)*ROW(S$12:S1432),ROW($S$12))&gt;=MAX((1=Z$12:Z1432)*ROW(Z$12:Z1432),ROW($T$12)),TYPE(VLOOKUP("Да",(INDIRECT("AA"&amp;(MAX((1=Z$12:Z1432)*ROW(Z$12:Z1432),ROW($T$12))&amp;":AA"&amp;(ROW()-1)))),1,0))=16),MIN(LOOKUP(,-1/($Z$12:Z1433=1),$C$12:C1433)+LOOKUP(,-1/($Z$12:Z1433=1),$H$12:H1433),Первоначальный[[#This Row],[Полученный платеж]]+Y1432),
AND(S1432=0,TYPE(VLOOKUP("Да",(INDIRECT("AA"&amp;(MAX((1=Z$12:Z1432)*ROW(Z$12:Z1432),ROW($T$12))&amp;":AA"&amp;(ROW()-1)))),1,0))&lt;&gt;16),MIN(LOOKUP(,-1/($Z$12:Z1433=1),$C$12:C1433)+LOOKUP(,-1/($Z$12:Z1433=1),$H$12:H1433)-IF(AA1432="Да",0,SUM(INDIRECT("T"&amp;(MAX(("Да"=AA$12:AA1432)*ROW(AA$12:AA1432)+1,ROW($T$12))&amp;":T"&amp;(ROW()-1))))),Первоначальный[[#This Row],[Полученный платеж]]+Y1432),
AND(S1432=0,MAX((0&lt;&gt;N$12:N1432)*ROW(N$12:N1432),ROW($S$12))&gt;=MAX((1=Z$12:Z1432)*ROW(Z$12:Z1432),ROW($T$12))),MIN(LOOKUP(,-1/($Z$12:Z1433=1),$C$12:C1433)+LOOKUP(,-1/($Z$12:Z1433=1),$H$12:H1433)-IF(N1432&lt;&gt;0,0,SUM(INDIRECT("T"&amp;(MAX((0&lt;&gt;N$12:N1432)*ROW(N$12:N1432)+1,ROW($T$12))&amp;":T"&amp;(ROW()-1))))),Первоначальный[[#This Row],[Полученный платеж]]+Y1432),
AND(S1432=0,Первоначальный[[#This Row],[Дата платежа из графика]]=1),MIN(LOOKUP(,-1/($Z$12:Z1433=1),$C$12:C1433)+LOOKUP(,-1/($Z$12:Z1433=1),$H$12:H1433)-IF(Z1432=1,0,SUM(INDIRECT("T"&amp;(MAX((1=Z$12:Z1432)*ROW(Z$12:Z1432)+1,ROW($T$12))&amp;":T"&amp;(ROW()-1))))),Первоначальный[[#This Row],[Полученный платеж]]+Y1432),
AND(Z1432&gt;0,Первоначальный[[#This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платеж]]+Y1432),
AND(S1432&gt;0,MAX((0&lt;&gt;S$12:S1432)*ROW(S$12:S1432),ROW($S$12))&gt;=MAX((1=Z$12:Z1432)*ROW(Z$12:Z1432),ROW($T$12)),TYPE(VLOOKUP("Да",(INDIRECT("AA"&amp;(MAX((1=Z$12:Z1432)*ROW(Z$12:Z1432),ROW($T$12))&amp;":AA"&amp;(ROW()-1)))),1,0))=16),MIN(LOOKUP(,-1/($Z$12:Z1433=1),$C$12:C1433)+LOOKUP(,-1/($Z$12:Z1433=1),$H$12:H1433)-SUM(INDIRECT("T"&amp;(MAX((1=Z$12:Z1432)*ROW(Z$12:Z1432),ROW($T$12))&amp;":T"&amp;(ROW()-1)))),Первоначальный[[#This Row],[Полученный платеж]]+Y1432),
S1432&gt;0,MIN(LOOKUP(,-1/($Z$12:Z1433=1),$C$12:C1433)+LOOKUP(,-1/($Z$12:Z1433=1),$H$12:H1433)-IF(Z1432=1,0,SUM(INDIRECT("T"&amp;(MAX((1=Z$12:Z1432)*ROW(Z$12:Z1432)+1,ROW($T$12))&amp;":T"&amp;(ROW()-1))))),Первоначальный[[#This Row],[Полученный платеж]]+Y1432)
)
)
)</f>
        <v>0</v>
      </c>
      <c r="U143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платеж]]+Y1432-Первоначальный[[#This Row],[Полученный платёж по процентам]])</f>
        <v>0</v>
      </c>
      <c r="V1433" s="55">
        <f t="shared" ca="1" si="267"/>
        <v>0</v>
      </c>
      <c r="W1433" s="55" cm="1">
        <f t="array" aca="1" ref="W1433" ca="1">IF(Первоначальный[[#This Row],[Итого остаток на начало периода]]&lt;1,0,
_xlfn.IFS(
AND(TYPE(VLOOKUP(1,$Z$12:Z1433,1,0))=16,Первоначальный[[#This Row],[Досрочное погашение (да/"")]]=""),0,
AND(S1432=0,Первоначальный[[#This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платеж]]+Y1432-SUM(Первоначальный[[#This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комиссиям]]),VLOOKUP(LOOKUP(,-1/($Z$12:Z1433=1),$A$12:A1433),График[[Срок конец]:[Возврат основной суммы долга]],3,0)),
AND(S1432=0,Первоначальный[[#This Row],[Дата платежа из графика]]="",Первоначальный[[#This Row],[Досрочное погашение (да/"")]]&lt;&gt;"Да"),0,
AND(S1432=0,Первоначальный[[#This Row],[Досрочное погашение (да/"")]]=""),MIN(Первоначальный[[#This Row],[Полученный платеж]]+Y1432-SUM(Первоначальный[[#This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комиссиям]]),VLOOKUP(LOOKUP(,-1/($Z$12:Z1433=1),$A$12:A1433),График[[Срок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платеж]]+Y1432-SUM(Первоначальный[[#This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S1432&gt;0,MIN(Первоначальный[[#This Row],[Полученный платеж]]+Y1432-SUM(Первоначальный[[#This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комиссиям]]),SUM(INDIRECT("M"&amp;(MAX((1=S$12:S1432)*ROW(S$12:S1432),ROW($W$12))&amp;":M"&amp;(ROW()))))-SUM(INDIRECT("W"&amp;(MAX((1=S$12:S1432)*ROW(S$12:S1432),ROW($W$12))&amp;":W"&amp;(ROW()-1)))))
)
)</f>
        <v>0</v>
      </c>
      <c r="X1433" s="55">
        <f t="shared" ca="1" si="268"/>
        <v>0</v>
      </c>
      <c r="Y1433" s="101">
        <f t="shared" ca="1" si="275"/>
        <v>0</v>
      </c>
      <c r="Z1433" s="133" t="str">
        <f>IF(TYPE((VLOOKUP(Первоначальный[[#This Row],[Дата платежа]],График[Срок конец],1,0)))=16,"",1)</f>
        <v/>
      </c>
      <c r="AA1433" s="57"/>
      <c r="AB1433" s="134"/>
      <c r="AC143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3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102104.15000000017</v>
      </c>
      <c r="AE143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8690.1900000000151</v>
      </c>
      <c r="AF143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3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430681.04085737694</v>
      </c>
      <c r="AH1433" s="55"/>
      <c r="AI1433" s="55"/>
      <c r="AJ1433" s="55"/>
      <c r="AK1433" s="101">
        <f t="shared" ca="1" si="276"/>
        <v>691108.72085737716</v>
      </c>
      <c r="AL1433" s="129">
        <f t="array" ref="AL1433">MAX((УслРестрактов[Характеристика]="Дата реструктуризации")*(УслРестрактов[Значение]=Первоначальный!$A1433),0)</f>
        <v>0</v>
      </c>
    </row>
    <row r="1434" spans="1:38" x14ac:dyDescent="0.25">
      <c r="A1434" s="97">
        <f t="shared" si="269"/>
        <v>45565</v>
      </c>
      <c r="B1434" s="100">
        <f t="shared" ca="1" si="270"/>
        <v>149633.34</v>
      </c>
      <c r="C1434" s="55">
        <f t="shared" ca="1" si="266"/>
        <v>102104.15000000017</v>
      </c>
      <c r="D1434" s="55">
        <f t="shared" ca="1" si="266"/>
        <v>8690.1900000000151</v>
      </c>
      <c r="E1434" s="55">
        <f t="shared" ca="1" si="271"/>
        <v>0</v>
      </c>
      <c r="F1434" s="55">
        <f t="shared" ca="1" si="272"/>
        <v>430681.04085737694</v>
      </c>
      <c r="G1434" s="101">
        <f t="shared" ca="1" si="273"/>
        <v>691108.72085737716</v>
      </c>
      <c r="H1434" s="100">
        <f ca="1">ROUND($B1434*VLOOKUP($A1434,$A$1:$B$10,2,1)/(365+IF(MOD(YEAR($A1434),4),0,1)*($A1434-$A1433)),2)-Первоначальный[[#This Row],[Проценты на просроченный платеж по ОД за период]]</f>
        <v>66.849999999999994</v>
      </c>
      <c r="I1434" s="55">
        <f t="shared" ca="1" si="274"/>
        <v>14.51</v>
      </c>
      <c r="J1434" s="55">
        <v>0</v>
      </c>
      <c r="K1434" s="55">
        <f t="shared" ca="1" si="277"/>
        <v>637.27350327868851</v>
      </c>
      <c r="L1434" s="55">
        <v>0</v>
      </c>
      <c r="M1434" s="113">
        <f>SUMIFS(График[Возврат основной суммы долга],График[Дата с учетом нерабочих дней],$A1434)</f>
        <v>0</v>
      </c>
      <c r="N1434" s="56">
        <f>SUMIFS(График[Возврат начисленных %],График[Дата с учетом нерабочих дней],$A1434)</f>
        <v>0</v>
      </c>
      <c r="O1434" s="101">
        <v>0</v>
      </c>
      <c r="P1434" s="100" cm="1">
        <f t="array" aca="1" ref="P1434" ca="1">MAX(IF(AA1433="Да",0,SUM(INDIRECT("M"&amp;(MAX(("Да"=AA$12:AA1433)*ROW(AA$12:AA1433)+1,ROW($P$12))&amp;":M"&amp;(ROW()))))-SUM(INDIRECT("W"&amp;(MAX(("Да"=AA$12:AA1433)*ROW(AA$12:AA1433)+1,ROW($P$12))&amp;":W"&amp;(ROW()))))),0)</f>
        <v>26693.269999999997</v>
      </c>
      <c r="Q1434" s="99">
        <f ca="1">MAX(SUM($N$13:N1434)-SUM($T$13:T1434),0)</f>
        <v>100761.4306557377</v>
      </c>
      <c r="R1434" s="99">
        <f ca="1">Первоначальный[[#This Row],[Просроченный платеж по ОД]]+Первоначальный[[#This Row],[Просроченный платеж по процентам]]</f>
        <v>127454.70065573769</v>
      </c>
      <c r="S1434" s="120">
        <f ca="1">IF(Первоначальный[[#This Row],[Просроченный платеж]]&lt;1,0,S1433+1)</f>
        <v>1330</v>
      </c>
      <c r="T1434" s="100" cm="1">
        <f t="array" aca="1" ref="T1434" ca="1">IF(Первоначальный[[#This Row],[Итого остаток на начало периода]]&lt;1,0,
IF(
AND(TYPE(VLOOKUP(1,$Z$12:Z1434,1,0))=16,Первоначальный[[#This Row],[Досрочное погашение (да/"")]]=""),0,
_xlfn.IFS(AND(S1433=0,Первоначальный[[#This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платеж]]&lt;&gt;0),MIN(LOOKUP(,-1/($Z$12:Z1434=1),$C$12:C1434)+LOOKUP(,-1/($Z$12:Z1434=1),$H$12:H1434),Первоначальный[[#This Row],[Полученный платеж]]+Y1433),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платеж]]+Y1433,SUM(Первоначальный[[#This Row],[Остаток процентов на начало периода]],Первоначальный[[#This Row],[Проценты за период]])),
AND(S1433=0,Первоначальный[[#This Row],[Дата платежа из графика]]=""),0,
AND(S1433=0,Первоначальный[[#This Row],[Дата платежа из графика]]=1,MAX((0&lt;&gt;S$12:S1433)*ROW(S$12:S1433),ROW($S$12))&gt;=MAX((1=Z$12:Z1433)*ROW(Z$12:Z1433),ROW($T$12)),TYPE(VLOOKUP("Да",(INDIRECT("AA"&amp;(MAX((1=Z$12:Z1433)*ROW(Z$12:Z1433),ROW($T$12))&amp;":AA"&amp;(ROW()-1)))),1,0))=16),MIN(LOOKUP(,-1/($Z$12:Z1434=1),$C$12:C1434)+LOOKUP(,-1/($Z$12:Z1434=1),$H$12:H1434),Первоначальный[[#This Row],[Полученный платеж]]+Y1433),
AND(S1433=0,TYPE(VLOOKUP("Да",(INDIRECT("AA"&amp;(MAX((1=Z$12:Z1433)*ROW(Z$12:Z1433),ROW($T$12))&amp;":AA"&amp;(ROW()-1)))),1,0))&lt;&gt;16),MIN(LOOKUP(,-1/($Z$12:Z1434=1),$C$12:C1434)+LOOKUP(,-1/($Z$12:Z1434=1),$H$12:H1434)-IF(AA1433="Да",0,SUM(INDIRECT("T"&amp;(MAX(("Да"=AA$12:AA1433)*ROW(AA$12:AA1433)+1,ROW($T$12))&amp;":T"&amp;(ROW()-1))))),Первоначальный[[#This Row],[Полученный платеж]]+Y1433),
AND(S1433=0,MAX((0&lt;&gt;N$12:N1433)*ROW(N$12:N1433),ROW($S$12))&gt;=MAX((1=Z$12:Z1433)*ROW(Z$12:Z1433),ROW($T$12))),MIN(LOOKUP(,-1/($Z$12:Z1434=1),$C$12:C1434)+LOOKUP(,-1/($Z$12:Z1434=1),$H$12:H1434)-IF(N1433&lt;&gt;0,0,SUM(INDIRECT("T"&amp;(MAX((0&lt;&gt;N$12:N1433)*ROW(N$12:N1433)+1,ROW($T$12))&amp;":T"&amp;(ROW()-1))))),Первоначальный[[#This Row],[Полученный платеж]]+Y1433),
AND(S1433=0,Первоначальный[[#This Row],[Дата платежа из графика]]=1),MIN(LOOKUP(,-1/($Z$12:Z1434=1),$C$12:C1434)+LOOKUP(,-1/($Z$12:Z1434=1),$H$12:H1434)-IF(Z1433=1,0,SUM(INDIRECT("T"&amp;(MAX((1=Z$12:Z1433)*ROW(Z$12:Z1433)+1,ROW($T$12))&amp;":T"&amp;(ROW()-1))))),Первоначальный[[#This Row],[Полученный платеж]]+Y1433),
AND(Z1433&gt;0,Первоначальный[[#This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платеж]]+Y1433),
AND(S1433&gt;0,MAX((0&lt;&gt;S$12:S1433)*ROW(S$12:S1433),ROW($S$12))&gt;=MAX((1=Z$12:Z1433)*ROW(Z$12:Z1433),ROW($T$12)),TYPE(VLOOKUP("Да",(INDIRECT("AA"&amp;(MAX((1=Z$12:Z1433)*ROW(Z$12:Z1433),ROW($T$12))&amp;":AA"&amp;(ROW()-1)))),1,0))=16),MIN(LOOKUP(,-1/($Z$12:Z1434=1),$C$12:C1434)+LOOKUP(,-1/($Z$12:Z1434=1),$H$12:H1434)-SUM(INDIRECT("T"&amp;(MAX((1=Z$12:Z1433)*ROW(Z$12:Z1433),ROW($T$12))&amp;":T"&amp;(ROW()-1)))),Первоначальный[[#This Row],[Полученный платеж]]+Y1433),
S1433&gt;0,MIN(LOOKUP(,-1/($Z$12:Z1434=1),$C$12:C1434)+LOOKUP(,-1/($Z$12:Z1434=1),$H$12:H1434)-IF(Z1433=1,0,SUM(INDIRECT("T"&amp;(MAX((1=Z$12:Z1433)*ROW(Z$12:Z1433)+1,ROW($T$12))&amp;":T"&amp;(ROW()-1))))),Первоначальный[[#This Row],[Полученный платеж]]+Y1433)
)
)
)</f>
        <v>0</v>
      </c>
      <c r="U143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платеж]]+Y1433-Первоначальный[[#This Row],[Полученный платёж по процентам]])</f>
        <v>0</v>
      </c>
      <c r="V1434" s="55">
        <f t="shared" ca="1" si="267"/>
        <v>0</v>
      </c>
      <c r="W1434" s="55" cm="1">
        <f t="array" aca="1" ref="W1434" ca="1">IF(Первоначальный[[#This Row],[Итого остаток на начало периода]]&lt;1,0,
_xlfn.IFS(
AND(TYPE(VLOOKUP(1,$Z$12:Z1434,1,0))=16,Первоначальный[[#This Row],[Досрочное погашение (да/"")]]=""),0,
AND(S1433=0,Первоначальный[[#This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платеж]]+Y1433-SUM(Первоначальный[[#This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комиссиям]]),VLOOKUP(LOOKUP(,-1/($Z$12:Z1434=1),$A$12:A1434),График[[Срок конец]:[Возврат основной суммы долга]],3,0)),
AND(S1433=0,Первоначальный[[#This Row],[Дата платежа из графика]]="",Первоначальный[[#This Row],[Досрочное погашение (да/"")]]&lt;&gt;"Да"),0,
AND(S1433=0,Первоначальный[[#This Row],[Досрочное погашение (да/"")]]=""),MIN(Первоначальный[[#This Row],[Полученный платеж]]+Y1433-SUM(Первоначальный[[#This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комиссиям]]),VLOOKUP(LOOKUP(,-1/($Z$12:Z1434=1),$A$12:A1434),График[[Срок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платеж]]+Y1433-SUM(Первоначальный[[#This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S1433&gt;0,MIN(Первоначальный[[#This Row],[Полученный платеж]]+Y1433-SUM(Первоначальный[[#This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комиссиям]]),SUM(INDIRECT("M"&amp;(MAX((1=S$12:S1433)*ROW(S$12:S1433),ROW($W$12))&amp;":M"&amp;(ROW()))))-SUM(INDIRECT("W"&amp;(MAX((1=S$12:S1433)*ROW(S$12:S1433),ROW($W$12))&amp;":W"&amp;(ROW()-1)))))
)
)</f>
        <v>0</v>
      </c>
      <c r="X1434" s="55">
        <f t="shared" ca="1" si="268"/>
        <v>0</v>
      </c>
      <c r="Y1434" s="101">
        <f t="shared" ca="1" si="275"/>
        <v>0</v>
      </c>
      <c r="Z1434" s="133" t="str">
        <f>IF(TYPE((VLOOKUP(Первоначальный[[#This Row],[Дата платежа]],График[Срок конец],1,0)))=16,"",1)</f>
        <v/>
      </c>
      <c r="AA1434" s="57"/>
      <c r="AB1434" s="134"/>
      <c r="AC143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3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102171.00000000017</v>
      </c>
      <c r="AE143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8704.7000000000153</v>
      </c>
      <c r="AF143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3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431318.31436065561</v>
      </c>
      <c r="AH1434" s="55"/>
      <c r="AI1434" s="55"/>
      <c r="AJ1434" s="55"/>
      <c r="AK1434" s="101">
        <f t="shared" ca="1" si="276"/>
        <v>691827.35436065577</v>
      </c>
      <c r="AL1434" s="129">
        <f t="array" ref="AL1434">MAX((УслРестрактов[Характеристика]="Дата реструктуризации")*(УслРестрактов[Значение]=Первоначальный!$A1434),0)</f>
        <v>0</v>
      </c>
    </row>
    <row r="1435" spans="1:38" x14ac:dyDescent="0.25">
      <c r="A1435" s="97">
        <f t="shared" si="269"/>
        <v>45566</v>
      </c>
      <c r="B1435" s="100">
        <f t="shared" ca="1" si="270"/>
        <v>149633.34</v>
      </c>
      <c r="C1435" s="55">
        <f t="shared" ca="1" si="266"/>
        <v>102171.00000000017</v>
      </c>
      <c r="D1435" s="55">
        <f t="shared" ca="1" si="266"/>
        <v>8704.7000000000153</v>
      </c>
      <c r="E1435" s="55">
        <f t="shared" ca="1" si="271"/>
        <v>0</v>
      </c>
      <c r="F1435" s="55">
        <f t="shared" ca="1" si="272"/>
        <v>431318.31436065561</v>
      </c>
      <c r="G1435" s="101">
        <f t="shared" ca="1" si="273"/>
        <v>691827.35436065577</v>
      </c>
      <c r="H1435" s="100">
        <f ca="1">ROUND($B1435*VLOOKUP($A1435,$A$1:$B$10,2,1)/(365+IF(MOD(YEAR($A1435),4),0,1)*($A1435-$A1434)),2)-Первоначальный[[#This Row],[Проценты на просроченный платеж по ОД за период]]</f>
        <v>66.849999999999994</v>
      </c>
      <c r="I1435" s="55">
        <f t="shared" ca="1" si="274"/>
        <v>14.51</v>
      </c>
      <c r="J1435" s="55">
        <v>0</v>
      </c>
      <c r="K1435" s="55">
        <f t="shared" ca="1" si="277"/>
        <v>637.27350327868851</v>
      </c>
      <c r="L1435" s="55">
        <v>0</v>
      </c>
      <c r="M1435" s="113">
        <f>SUMIFS(График[Возврат основной суммы долга],График[Дата с учетом нерабочих дней],$A1435)</f>
        <v>0</v>
      </c>
      <c r="N1435" s="56">
        <f>SUMIFS(График[Возврат начисленных %],График[Дата с учетом нерабочих дней],$A1435)</f>
        <v>0</v>
      </c>
      <c r="O1435" s="101">
        <v>0</v>
      </c>
      <c r="P1435" s="100" cm="1">
        <f t="array" aca="1" ref="P1435" ca="1">MAX(IF(AA1434="Да",0,SUM(INDIRECT("M"&amp;(MAX(("Да"=AA$12:AA1434)*ROW(AA$12:AA1434)+1,ROW($P$12))&amp;":M"&amp;(ROW()))))-SUM(INDIRECT("W"&amp;(MAX(("Да"=AA$12:AA1434)*ROW(AA$12:AA1434)+1,ROW($P$12))&amp;":W"&amp;(ROW()))))),0)</f>
        <v>26693.269999999997</v>
      </c>
      <c r="Q1435" s="99">
        <f ca="1">MAX(SUM($N$13:N1435)-SUM($T$13:T1435),0)</f>
        <v>100761.4306557377</v>
      </c>
      <c r="R1435" s="99">
        <f ca="1">Первоначальный[[#This Row],[Просроченный платеж по ОД]]+Первоначальный[[#This Row],[Просроченный платеж по процентам]]</f>
        <v>127454.70065573769</v>
      </c>
      <c r="S1435" s="120">
        <f ca="1">IF(Первоначальный[[#This Row],[Просроченный платеж]]&lt;1,0,S1434+1)</f>
        <v>1331</v>
      </c>
      <c r="T1435" s="100" cm="1">
        <f t="array" aca="1" ref="T1435" ca="1">IF(Первоначальный[[#This Row],[Итого остаток на начало периода]]&lt;1,0,
IF(
AND(TYPE(VLOOKUP(1,$Z$12:Z1435,1,0))=16,Первоначальный[[#This Row],[Досрочное погашение (да/"")]]=""),0,
_xlfn.IFS(AND(S1434=0,Первоначальный[[#This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платеж]]&lt;&gt;0),MIN(LOOKUP(,-1/($Z$12:Z1435=1),$C$12:C1435)+LOOKUP(,-1/($Z$12:Z1435=1),$H$12:H1435),Первоначальный[[#This Row],[Полученный платеж]]+Y1434),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платеж]]+Y1434,SUM(Первоначальный[[#This Row],[Остаток процентов на начало периода]],Первоначальный[[#This Row],[Проценты за период]])),
AND(S1434=0,Первоначальный[[#This Row],[Дата платежа из графика]]=""),0,
AND(S1434=0,Первоначальный[[#This Row],[Дата платежа из графика]]=1,MAX((0&lt;&gt;S$12:S1434)*ROW(S$12:S1434),ROW($S$12))&gt;=MAX((1=Z$12:Z1434)*ROW(Z$12:Z1434),ROW($T$12)),TYPE(VLOOKUP("Да",(INDIRECT("AA"&amp;(MAX((1=Z$12:Z1434)*ROW(Z$12:Z1434),ROW($T$12))&amp;":AA"&amp;(ROW()-1)))),1,0))=16),MIN(LOOKUP(,-1/($Z$12:Z1435=1),$C$12:C1435)+LOOKUP(,-1/($Z$12:Z1435=1),$H$12:H1435),Первоначальный[[#This Row],[Полученный платеж]]+Y1434),
AND(S1434=0,TYPE(VLOOKUP("Да",(INDIRECT("AA"&amp;(MAX((1=Z$12:Z1434)*ROW(Z$12:Z1434),ROW($T$12))&amp;":AA"&amp;(ROW()-1)))),1,0))&lt;&gt;16),MIN(LOOKUP(,-1/($Z$12:Z1435=1),$C$12:C1435)+LOOKUP(,-1/($Z$12:Z1435=1),$H$12:H1435)-IF(AA1434="Да",0,SUM(INDIRECT("T"&amp;(MAX(("Да"=AA$12:AA1434)*ROW(AA$12:AA1434)+1,ROW($T$12))&amp;":T"&amp;(ROW()-1))))),Первоначальный[[#This Row],[Полученный платеж]]+Y1434),
AND(S1434=0,MAX((0&lt;&gt;N$12:N1434)*ROW(N$12:N1434),ROW($S$12))&gt;=MAX((1=Z$12:Z1434)*ROW(Z$12:Z1434),ROW($T$12))),MIN(LOOKUP(,-1/($Z$12:Z1435=1),$C$12:C1435)+LOOKUP(,-1/($Z$12:Z1435=1),$H$12:H1435)-IF(N1434&lt;&gt;0,0,SUM(INDIRECT("T"&amp;(MAX((0&lt;&gt;N$12:N1434)*ROW(N$12:N1434)+1,ROW($T$12))&amp;":T"&amp;(ROW()-1))))),Первоначальный[[#This Row],[Полученный платеж]]+Y1434),
AND(S1434=0,Первоначальный[[#This Row],[Дата платежа из графика]]=1),MIN(LOOKUP(,-1/($Z$12:Z1435=1),$C$12:C1435)+LOOKUP(,-1/($Z$12:Z1435=1),$H$12:H1435)-IF(Z1434=1,0,SUM(INDIRECT("T"&amp;(MAX((1=Z$12:Z1434)*ROW(Z$12:Z1434)+1,ROW($T$12))&amp;":T"&amp;(ROW()-1))))),Первоначальный[[#This Row],[Полученный платеж]]+Y1434),
AND(Z1434&gt;0,Первоначальный[[#This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платеж]]+Y1434),
AND(S1434&gt;0,MAX((0&lt;&gt;S$12:S1434)*ROW(S$12:S1434),ROW($S$12))&gt;=MAX((1=Z$12:Z1434)*ROW(Z$12:Z1434),ROW($T$12)),TYPE(VLOOKUP("Да",(INDIRECT("AA"&amp;(MAX((1=Z$12:Z1434)*ROW(Z$12:Z1434),ROW($T$12))&amp;":AA"&amp;(ROW()-1)))),1,0))=16),MIN(LOOKUP(,-1/($Z$12:Z1435=1),$C$12:C1435)+LOOKUP(,-1/($Z$12:Z1435=1),$H$12:H1435)-SUM(INDIRECT("T"&amp;(MAX((1=Z$12:Z1434)*ROW(Z$12:Z1434),ROW($T$12))&amp;":T"&amp;(ROW()-1)))),Первоначальный[[#This Row],[Полученный платеж]]+Y1434),
S1434&gt;0,MIN(LOOKUP(,-1/($Z$12:Z1435=1),$C$12:C1435)+LOOKUP(,-1/($Z$12:Z1435=1),$H$12:H1435)-IF(Z1434=1,0,SUM(INDIRECT("T"&amp;(MAX((1=Z$12:Z1434)*ROW(Z$12:Z1434)+1,ROW($T$12))&amp;":T"&amp;(ROW()-1))))),Первоначальный[[#This Row],[Полученный платеж]]+Y1434)
)
)
)</f>
        <v>0</v>
      </c>
      <c r="U143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платеж]]+Y1434-Первоначальный[[#This Row],[Полученный платёж по процентам]])</f>
        <v>0</v>
      </c>
      <c r="V1435" s="55">
        <f t="shared" ca="1" si="267"/>
        <v>0</v>
      </c>
      <c r="W1435" s="55" cm="1">
        <f t="array" aca="1" ref="W1435" ca="1">IF(Первоначальный[[#This Row],[Итого остаток на начало периода]]&lt;1,0,
_xlfn.IFS(
AND(TYPE(VLOOKUP(1,$Z$12:Z1435,1,0))=16,Первоначальный[[#This Row],[Досрочное погашение (да/"")]]=""),0,
AND(S1434=0,Первоначальный[[#This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платеж]]+Y1434-SUM(Первоначальный[[#This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комиссиям]]),VLOOKUP(LOOKUP(,-1/($Z$12:Z1435=1),$A$12:A1435),График[[Срок конец]:[Возврат основной суммы долга]],3,0)),
AND(S1434=0,Первоначальный[[#This Row],[Дата платежа из графика]]="",Первоначальный[[#This Row],[Досрочное погашение (да/"")]]&lt;&gt;"Да"),0,
AND(S1434=0,Первоначальный[[#This Row],[Досрочное погашение (да/"")]]=""),MIN(Первоначальный[[#This Row],[Полученный платеж]]+Y1434-SUM(Первоначальный[[#This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комиссиям]]),VLOOKUP(LOOKUP(,-1/($Z$12:Z1435=1),$A$12:A1435),График[[Срок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платеж]]+Y1434-SUM(Первоначальный[[#This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S1434&gt;0,MIN(Первоначальный[[#This Row],[Полученный платеж]]+Y1434-SUM(Первоначальный[[#This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комиссиям]]),SUM(INDIRECT("M"&amp;(MAX((1=S$12:S1434)*ROW(S$12:S1434),ROW($W$12))&amp;":M"&amp;(ROW()))))-SUM(INDIRECT("W"&amp;(MAX((1=S$12:S1434)*ROW(S$12:S1434),ROW($W$12))&amp;":W"&amp;(ROW()-1)))))
)
)</f>
        <v>0</v>
      </c>
      <c r="X1435" s="55">
        <f t="shared" ca="1" si="268"/>
        <v>0</v>
      </c>
      <c r="Y1435" s="101">
        <f t="shared" ca="1" si="275"/>
        <v>0</v>
      </c>
      <c r="Z1435" s="133" t="str">
        <f>IF(TYPE((VLOOKUP(Первоначальный[[#This Row],[Дата платежа]],График[Срок конец],1,0)))=16,"",1)</f>
        <v/>
      </c>
      <c r="AA1435" s="57"/>
      <c r="AB1435" s="134"/>
      <c r="AC143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3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102237.85000000018</v>
      </c>
      <c r="AE143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8719.2100000000155</v>
      </c>
      <c r="AF143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3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431955.58786393428</v>
      </c>
      <c r="AH1435" s="55"/>
      <c r="AI1435" s="55"/>
      <c r="AJ1435" s="55"/>
      <c r="AK1435" s="101">
        <f t="shared" ca="1" si="276"/>
        <v>692545.98786393448</v>
      </c>
      <c r="AL1435" s="129">
        <f t="array" ref="AL1435">MAX((УслРестрактов[Характеристика]="Дата реструктуризации")*(УслРестрактов[Значение]=Первоначальный!$A1435),0)</f>
        <v>0</v>
      </c>
    </row>
    <row r="1436" spans="1:38" x14ac:dyDescent="0.25">
      <c r="A1436" s="97">
        <f t="shared" si="269"/>
        <v>45567</v>
      </c>
      <c r="B1436" s="100">
        <f t="shared" ca="1" si="270"/>
        <v>149633.34</v>
      </c>
      <c r="C1436" s="55">
        <f t="shared" ca="1" si="266"/>
        <v>102237.85000000018</v>
      </c>
      <c r="D1436" s="55">
        <f t="shared" ca="1" si="266"/>
        <v>8719.2100000000155</v>
      </c>
      <c r="E1436" s="55">
        <f t="shared" ca="1" si="271"/>
        <v>0</v>
      </c>
      <c r="F1436" s="55">
        <f t="shared" ca="1" si="272"/>
        <v>431955.58786393428</v>
      </c>
      <c r="G1436" s="101">
        <f t="shared" ca="1" si="273"/>
        <v>692545.98786393448</v>
      </c>
      <c r="H1436" s="100">
        <f ca="1">ROUND($B1436*VLOOKUP($A1436,$A$1:$B$10,2,1)/(365+IF(MOD(YEAR($A1436),4),0,1)*($A1436-$A1435)),2)-Первоначальный[[#This Row],[Проценты на просроченный платеж по ОД за период]]</f>
        <v>66.849999999999994</v>
      </c>
      <c r="I1436" s="55">
        <f t="shared" ca="1" si="274"/>
        <v>14.51</v>
      </c>
      <c r="J1436" s="55">
        <v>0</v>
      </c>
      <c r="K1436" s="55">
        <f t="shared" ca="1" si="277"/>
        <v>637.27350327868851</v>
      </c>
      <c r="L1436" s="55">
        <v>0</v>
      </c>
      <c r="M1436" s="113">
        <f>SUMIFS(График[Возврат основной суммы долга],График[Дата с учетом нерабочих дней],$A1436)</f>
        <v>0</v>
      </c>
      <c r="N1436" s="56">
        <f>SUMIFS(График[Возврат начисленных %],График[Дата с учетом нерабочих дней],$A1436)</f>
        <v>0</v>
      </c>
      <c r="O1436" s="101">
        <v>0</v>
      </c>
      <c r="P1436" s="100" cm="1">
        <f t="array" aca="1" ref="P1436" ca="1">MAX(IF(AA1435="Да",0,SUM(INDIRECT("M"&amp;(MAX(("Да"=AA$12:AA1435)*ROW(AA$12:AA1435)+1,ROW($P$12))&amp;":M"&amp;(ROW()))))-SUM(INDIRECT("W"&amp;(MAX(("Да"=AA$12:AA1435)*ROW(AA$12:AA1435)+1,ROW($P$12))&amp;":W"&amp;(ROW()))))),0)</f>
        <v>26693.269999999997</v>
      </c>
      <c r="Q1436" s="99">
        <f ca="1">MAX(SUM($N$13:N1436)-SUM($T$13:T1436),0)</f>
        <v>100761.4306557377</v>
      </c>
      <c r="R1436" s="99">
        <f ca="1">Первоначальный[[#This Row],[Просроченный платеж по ОД]]+Первоначальный[[#This Row],[Просроченный платеж по процентам]]</f>
        <v>127454.70065573769</v>
      </c>
      <c r="S1436" s="120">
        <f ca="1">IF(Первоначальный[[#This Row],[Просроченный платеж]]&lt;1,0,S1435+1)</f>
        <v>1332</v>
      </c>
      <c r="T1436" s="100" cm="1">
        <f t="array" aca="1" ref="T1436" ca="1">IF(Первоначальный[[#This Row],[Итого остаток на начало периода]]&lt;1,0,
IF(
AND(TYPE(VLOOKUP(1,$Z$12:Z1436,1,0))=16,Первоначальный[[#This Row],[Досрочное погашение (да/"")]]=""),0,
_xlfn.IFS(AND(S1435=0,Первоначальный[[#This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платеж]]&lt;&gt;0),MIN(LOOKUP(,-1/($Z$12:Z1436=1),$C$12:C1436)+LOOKUP(,-1/($Z$12:Z1436=1),$H$12:H1436),Первоначальный[[#This Row],[Полученный платеж]]+Y1435),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платеж]]+Y1435,SUM(Первоначальный[[#This Row],[Остаток процентов на начало периода]],Первоначальный[[#This Row],[Проценты за период]])),
AND(S1435=0,Первоначальный[[#This Row],[Дата платежа из графика]]=""),0,
AND(S1435=0,Первоначальный[[#This Row],[Дата платежа из графика]]=1,MAX((0&lt;&gt;S$12:S1435)*ROW(S$12:S1435),ROW($S$12))&gt;=MAX((1=Z$12:Z1435)*ROW(Z$12:Z1435),ROW($T$12)),TYPE(VLOOKUP("Да",(INDIRECT("AA"&amp;(MAX((1=Z$12:Z1435)*ROW(Z$12:Z1435),ROW($T$12))&amp;":AA"&amp;(ROW()-1)))),1,0))=16),MIN(LOOKUP(,-1/($Z$12:Z1436=1),$C$12:C1436)+LOOKUP(,-1/($Z$12:Z1436=1),$H$12:H1436),Первоначальный[[#This Row],[Полученный платеж]]+Y1435),
AND(S1435=0,TYPE(VLOOKUP("Да",(INDIRECT("AA"&amp;(MAX((1=Z$12:Z1435)*ROW(Z$12:Z1435),ROW($T$12))&amp;":AA"&amp;(ROW()-1)))),1,0))&lt;&gt;16),MIN(LOOKUP(,-1/($Z$12:Z1436=1),$C$12:C1436)+LOOKUP(,-1/($Z$12:Z1436=1),$H$12:H1436)-IF(AA1435="Да",0,SUM(INDIRECT("T"&amp;(MAX(("Да"=AA$12:AA1435)*ROW(AA$12:AA1435)+1,ROW($T$12))&amp;":T"&amp;(ROW()-1))))),Первоначальный[[#This Row],[Полученный платеж]]+Y1435),
AND(S1435=0,MAX((0&lt;&gt;N$12:N1435)*ROW(N$12:N1435),ROW($S$12))&gt;=MAX((1=Z$12:Z1435)*ROW(Z$12:Z1435),ROW($T$12))),MIN(LOOKUP(,-1/($Z$12:Z1436=1),$C$12:C1436)+LOOKUP(,-1/($Z$12:Z1436=1),$H$12:H1436)-IF(N1435&lt;&gt;0,0,SUM(INDIRECT("T"&amp;(MAX((0&lt;&gt;N$12:N1435)*ROW(N$12:N1435)+1,ROW($T$12))&amp;":T"&amp;(ROW()-1))))),Первоначальный[[#This Row],[Полученный платеж]]+Y1435),
AND(S1435=0,Первоначальный[[#This Row],[Дата платежа из графика]]=1),MIN(LOOKUP(,-1/($Z$12:Z1436=1),$C$12:C1436)+LOOKUP(,-1/($Z$12:Z1436=1),$H$12:H1436)-IF(Z1435=1,0,SUM(INDIRECT("T"&amp;(MAX((1=Z$12:Z1435)*ROW(Z$12:Z1435)+1,ROW($T$12))&amp;":T"&amp;(ROW()-1))))),Первоначальный[[#This Row],[Полученный платеж]]+Y1435),
AND(Z1435&gt;0,Первоначальный[[#This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платеж]]+Y1435),
AND(S1435&gt;0,MAX((0&lt;&gt;S$12:S1435)*ROW(S$12:S1435),ROW($S$12))&gt;=MAX((1=Z$12:Z1435)*ROW(Z$12:Z1435),ROW($T$12)),TYPE(VLOOKUP("Да",(INDIRECT("AA"&amp;(MAX((1=Z$12:Z1435)*ROW(Z$12:Z1435),ROW($T$12))&amp;":AA"&amp;(ROW()-1)))),1,0))=16),MIN(LOOKUP(,-1/($Z$12:Z1436=1),$C$12:C1436)+LOOKUP(,-1/($Z$12:Z1436=1),$H$12:H1436)-SUM(INDIRECT("T"&amp;(MAX((1=Z$12:Z1435)*ROW(Z$12:Z1435),ROW($T$12))&amp;":T"&amp;(ROW()-1)))),Первоначальный[[#This Row],[Полученный платеж]]+Y1435),
S1435&gt;0,MIN(LOOKUP(,-1/($Z$12:Z1436=1),$C$12:C1436)+LOOKUP(,-1/($Z$12:Z1436=1),$H$12:H1436)-IF(Z1435=1,0,SUM(INDIRECT("T"&amp;(MAX((1=Z$12:Z1435)*ROW(Z$12:Z1435)+1,ROW($T$12))&amp;":T"&amp;(ROW()-1))))),Первоначальный[[#This Row],[Полученный платеж]]+Y1435)
)
)
)</f>
        <v>0</v>
      </c>
      <c r="U143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платеж]]+Y1435-Первоначальный[[#This Row],[Полученный платёж по процентам]])</f>
        <v>0</v>
      </c>
      <c r="V1436" s="55">
        <f t="shared" ca="1" si="267"/>
        <v>0</v>
      </c>
      <c r="W1436" s="55" cm="1">
        <f t="array" aca="1" ref="W1436" ca="1">IF(Первоначальный[[#This Row],[Итого остаток на начало периода]]&lt;1,0,
_xlfn.IFS(
AND(TYPE(VLOOKUP(1,$Z$12:Z1436,1,0))=16,Первоначальный[[#This Row],[Досрочное погашение (да/"")]]=""),0,
AND(S1435=0,Первоначальный[[#This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платеж]]+Y1435-SUM(Первоначальный[[#This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комиссиям]]),VLOOKUP(LOOKUP(,-1/($Z$12:Z1436=1),$A$12:A1436),График[[Срок конец]:[Возврат основной суммы долга]],3,0)),
AND(S1435=0,Первоначальный[[#This Row],[Дата платежа из графика]]="",Первоначальный[[#This Row],[Досрочное погашение (да/"")]]&lt;&gt;"Да"),0,
AND(S1435=0,Первоначальный[[#This Row],[Досрочное погашение (да/"")]]=""),MIN(Первоначальный[[#This Row],[Полученный платеж]]+Y1435-SUM(Первоначальный[[#This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комиссиям]]),VLOOKUP(LOOKUP(,-1/($Z$12:Z1436=1),$A$12:A1436),График[[Срок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платеж]]+Y1435-SUM(Первоначальный[[#This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S1435&gt;0,MIN(Первоначальный[[#This Row],[Полученный платеж]]+Y1435-SUM(Первоначальный[[#This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комиссиям]]),SUM(INDIRECT("M"&amp;(MAX((1=S$12:S1435)*ROW(S$12:S1435),ROW($W$12))&amp;":M"&amp;(ROW()))))-SUM(INDIRECT("W"&amp;(MAX((1=S$12:S1435)*ROW(S$12:S1435),ROW($W$12))&amp;":W"&amp;(ROW()-1)))))
)
)</f>
        <v>0</v>
      </c>
      <c r="X1436" s="55">
        <f t="shared" ca="1" si="268"/>
        <v>0</v>
      </c>
      <c r="Y1436" s="101">
        <f t="shared" ca="1" si="275"/>
        <v>0</v>
      </c>
      <c r="Z1436" s="133" t="str">
        <f>IF(TYPE((VLOOKUP(Первоначальный[[#This Row],[Дата платежа]],График[Срок конец],1,0)))=16,"",1)</f>
        <v/>
      </c>
      <c r="AA1436" s="57"/>
      <c r="AB1436" s="134"/>
      <c r="AC143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3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102304.70000000019</v>
      </c>
      <c r="AE143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8733.7200000000157</v>
      </c>
      <c r="AF143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3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432592.86136721296</v>
      </c>
      <c r="AH1436" s="55"/>
      <c r="AI1436" s="55"/>
      <c r="AJ1436" s="55"/>
      <c r="AK1436" s="101">
        <f t="shared" ca="1" si="276"/>
        <v>693264.62136721308</v>
      </c>
      <c r="AL1436" s="129">
        <f t="array" ref="AL1436">MAX((УслРестрактов[Характеристика]="Дата реструктуризации")*(УслРестрактов[Значение]=Первоначальный!$A1436),0)</f>
        <v>0</v>
      </c>
    </row>
    <row r="1437" spans="1:38" x14ac:dyDescent="0.25">
      <c r="A1437" s="97">
        <f t="shared" si="269"/>
        <v>45568</v>
      </c>
      <c r="B1437" s="100">
        <f t="shared" ca="1" si="270"/>
        <v>149633.34</v>
      </c>
      <c r="C1437" s="55">
        <f t="shared" ca="1" si="266"/>
        <v>102304.70000000019</v>
      </c>
      <c r="D1437" s="55">
        <f t="shared" ca="1" si="266"/>
        <v>8733.7200000000157</v>
      </c>
      <c r="E1437" s="55">
        <f t="shared" ca="1" si="271"/>
        <v>0</v>
      </c>
      <c r="F1437" s="55">
        <f t="shared" ca="1" si="272"/>
        <v>432592.86136721296</v>
      </c>
      <c r="G1437" s="101">
        <f t="shared" ca="1" si="273"/>
        <v>693264.62136721308</v>
      </c>
      <c r="H1437" s="100">
        <f ca="1">ROUND($B1437*VLOOKUP($A1437,$A$1:$B$10,2,1)/(365+IF(MOD(YEAR($A1437),4),0,1)*($A1437-$A1436)),2)-Первоначальный[[#This Row],[Проценты на просроченный платеж по ОД за период]]</f>
        <v>66.849999999999994</v>
      </c>
      <c r="I1437" s="55">
        <f t="shared" ca="1" si="274"/>
        <v>14.51</v>
      </c>
      <c r="J1437" s="55">
        <v>0</v>
      </c>
      <c r="K1437" s="55">
        <f t="shared" ca="1" si="277"/>
        <v>637.27350327868851</v>
      </c>
      <c r="L1437" s="55">
        <v>0</v>
      </c>
      <c r="M1437" s="113">
        <f>SUMIFS(График[Возврат основной суммы долга],График[Дата с учетом нерабочих дней],$A1437)</f>
        <v>0</v>
      </c>
      <c r="N1437" s="56">
        <f>SUMIFS(График[Возврат начисленных %],График[Дата с учетом нерабочих дней],$A1437)</f>
        <v>0</v>
      </c>
      <c r="O1437" s="101">
        <v>0</v>
      </c>
      <c r="P1437" s="100" cm="1">
        <f t="array" aca="1" ref="P1437" ca="1">MAX(IF(AA1436="Да",0,SUM(INDIRECT("M"&amp;(MAX(("Да"=AA$12:AA1436)*ROW(AA$12:AA1436)+1,ROW($P$12))&amp;":M"&amp;(ROW()))))-SUM(INDIRECT("W"&amp;(MAX(("Да"=AA$12:AA1436)*ROW(AA$12:AA1436)+1,ROW($P$12))&amp;":W"&amp;(ROW()))))),0)</f>
        <v>26693.269999999997</v>
      </c>
      <c r="Q1437" s="99">
        <f ca="1">MAX(SUM($N$13:N1437)-SUM($T$13:T1437),0)</f>
        <v>100761.4306557377</v>
      </c>
      <c r="R1437" s="99">
        <f ca="1">Первоначальный[[#This Row],[Просроченный платеж по ОД]]+Первоначальный[[#This Row],[Просроченный платеж по процентам]]</f>
        <v>127454.70065573769</v>
      </c>
      <c r="S1437" s="120">
        <f ca="1">IF(Первоначальный[[#This Row],[Просроченный платеж]]&lt;1,0,S1436+1)</f>
        <v>1333</v>
      </c>
      <c r="T1437" s="100" cm="1">
        <f t="array" aca="1" ref="T1437" ca="1">IF(Первоначальный[[#This Row],[Итого остаток на начало периода]]&lt;1,0,
IF(
AND(TYPE(VLOOKUP(1,$Z$12:Z1437,1,0))=16,Первоначальный[[#This Row],[Досрочное погашение (да/"")]]=""),0,
_xlfn.IFS(AND(S1436=0,Первоначальный[[#This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платеж]]&lt;&gt;0),MIN(LOOKUP(,-1/($Z$12:Z1437=1),$C$12:C1437)+LOOKUP(,-1/($Z$12:Z1437=1),$H$12:H1437),Первоначальный[[#This Row],[Полученный платеж]]+Y1436),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платеж]]+Y1436,SUM(Первоначальный[[#This Row],[Остаток процентов на начало периода]],Первоначальный[[#This Row],[Проценты за период]])),
AND(S1436=0,Первоначальный[[#This Row],[Дата платежа из графика]]=""),0,
AND(S1436=0,Первоначальный[[#This Row],[Дата платежа из графика]]=1,MAX((0&lt;&gt;S$12:S1436)*ROW(S$12:S1436),ROW($S$12))&gt;=MAX((1=Z$12:Z1436)*ROW(Z$12:Z1436),ROW($T$12)),TYPE(VLOOKUP("Да",(INDIRECT("AA"&amp;(MAX((1=Z$12:Z1436)*ROW(Z$12:Z1436),ROW($T$12))&amp;":AA"&amp;(ROW()-1)))),1,0))=16),MIN(LOOKUP(,-1/($Z$12:Z1437=1),$C$12:C1437)+LOOKUP(,-1/($Z$12:Z1437=1),$H$12:H1437),Первоначальный[[#This Row],[Полученный платеж]]+Y1436),
AND(S1436=0,TYPE(VLOOKUP("Да",(INDIRECT("AA"&amp;(MAX((1=Z$12:Z1436)*ROW(Z$12:Z1436),ROW($T$12))&amp;":AA"&amp;(ROW()-1)))),1,0))&lt;&gt;16),MIN(LOOKUP(,-1/($Z$12:Z1437=1),$C$12:C1437)+LOOKUP(,-1/($Z$12:Z1437=1),$H$12:H1437)-IF(AA1436="Да",0,SUM(INDIRECT("T"&amp;(MAX(("Да"=AA$12:AA1436)*ROW(AA$12:AA1436)+1,ROW($T$12))&amp;":T"&amp;(ROW()-1))))),Первоначальный[[#This Row],[Полученный платеж]]+Y1436),
AND(S1436=0,MAX((0&lt;&gt;N$12:N1436)*ROW(N$12:N1436),ROW($S$12))&gt;=MAX((1=Z$12:Z1436)*ROW(Z$12:Z1436),ROW($T$12))),MIN(LOOKUP(,-1/($Z$12:Z1437=1),$C$12:C1437)+LOOKUP(,-1/($Z$12:Z1437=1),$H$12:H1437)-IF(N1436&lt;&gt;0,0,SUM(INDIRECT("T"&amp;(MAX((0&lt;&gt;N$12:N1436)*ROW(N$12:N1436)+1,ROW($T$12))&amp;":T"&amp;(ROW()-1))))),Первоначальный[[#This Row],[Полученный платеж]]+Y1436),
AND(S1436=0,Первоначальный[[#This Row],[Дата платежа из графика]]=1),MIN(LOOKUP(,-1/($Z$12:Z1437=1),$C$12:C1437)+LOOKUP(,-1/($Z$12:Z1437=1),$H$12:H1437)-IF(Z1436=1,0,SUM(INDIRECT("T"&amp;(MAX((1=Z$12:Z1436)*ROW(Z$12:Z1436)+1,ROW($T$12))&amp;":T"&amp;(ROW()-1))))),Первоначальный[[#This Row],[Полученный платеж]]+Y1436),
AND(Z1436&gt;0,Первоначальный[[#This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платеж]]+Y1436),
AND(S1436&gt;0,MAX((0&lt;&gt;S$12:S1436)*ROW(S$12:S1436),ROW($S$12))&gt;=MAX((1=Z$12:Z1436)*ROW(Z$12:Z1436),ROW($T$12)),TYPE(VLOOKUP("Да",(INDIRECT("AA"&amp;(MAX((1=Z$12:Z1436)*ROW(Z$12:Z1436),ROW($T$12))&amp;":AA"&amp;(ROW()-1)))),1,0))=16),MIN(LOOKUP(,-1/($Z$12:Z1437=1),$C$12:C1437)+LOOKUP(,-1/($Z$12:Z1437=1),$H$12:H1437)-SUM(INDIRECT("T"&amp;(MAX((1=Z$12:Z1436)*ROW(Z$12:Z1436),ROW($T$12))&amp;":T"&amp;(ROW()-1)))),Первоначальный[[#This Row],[Полученный платеж]]+Y1436),
S1436&gt;0,MIN(LOOKUP(,-1/($Z$12:Z1437=1),$C$12:C1437)+LOOKUP(,-1/($Z$12:Z1437=1),$H$12:H1437)-IF(Z1436=1,0,SUM(INDIRECT("T"&amp;(MAX((1=Z$12:Z1436)*ROW(Z$12:Z1436)+1,ROW($T$12))&amp;":T"&amp;(ROW()-1))))),Первоначальный[[#This Row],[Полученный платеж]]+Y1436)
)
)
)</f>
        <v>0</v>
      </c>
      <c r="U143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платеж]]+Y1436-Первоначальный[[#This Row],[Полученный платёж по процентам]])</f>
        <v>0</v>
      </c>
      <c r="V1437" s="55">
        <f t="shared" ca="1" si="267"/>
        <v>0</v>
      </c>
      <c r="W1437" s="55" cm="1">
        <f t="array" aca="1" ref="W1437" ca="1">IF(Первоначальный[[#This Row],[Итого остаток на начало периода]]&lt;1,0,
_xlfn.IFS(
AND(TYPE(VLOOKUP(1,$Z$12:Z1437,1,0))=16,Первоначальный[[#This Row],[Досрочное погашение (да/"")]]=""),0,
AND(S1436=0,Первоначальный[[#This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платеж]]+Y1436-SUM(Первоначальный[[#This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комиссиям]]),VLOOKUP(LOOKUP(,-1/($Z$12:Z1437=1),$A$12:A1437),График[[Срок конец]:[Возврат основной суммы долга]],3,0)),
AND(S1436=0,Первоначальный[[#This Row],[Дата платежа из графика]]="",Первоначальный[[#This Row],[Досрочное погашение (да/"")]]&lt;&gt;"Да"),0,
AND(S1436=0,Первоначальный[[#This Row],[Досрочное погашение (да/"")]]=""),MIN(Первоначальный[[#This Row],[Полученный платеж]]+Y1436-SUM(Первоначальный[[#This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комиссиям]]),VLOOKUP(LOOKUP(,-1/($Z$12:Z1437=1),$A$12:A1437),График[[Срок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платеж]]+Y1436-SUM(Первоначальный[[#This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S1436&gt;0,MIN(Первоначальный[[#This Row],[Полученный платеж]]+Y1436-SUM(Первоначальный[[#This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комиссиям]]),SUM(INDIRECT("M"&amp;(MAX((1=S$12:S1436)*ROW(S$12:S1436),ROW($W$12))&amp;":M"&amp;(ROW()))))-SUM(INDIRECT("W"&amp;(MAX((1=S$12:S1436)*ROW(S$12:S1436),ROW($W$12))&amp;":W"&amp;(ROW()-1)))))
)
)</f>
        <v>0</v>
      </c>
      <c r="X1437" s="55">
        <f t="shared" ca="1" si="268"/>
        <v>0</v>
      </c>
      <c r="Y1437" s="101">
        <f t="shared" ca="1" si="275"/>
        <v>0</v>
      </c>
      <c r="Z1437" s="133" t="str">
        <f>IF(TYPE((VLOOKUP(Первоначальный[[#This Row],[Дата платежа]],График[Срок конец],1,0)))=16,"",1)</f>
        <v/>
      </c>
      <c r="AA1437" s="57"/>
      <c r="AB1437" s="134"/>
      <c r="AC143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3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102371.55000000019</v>
      </c>
      <c r="AE143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8748.2300000000159</v>
      </c>
      <c r="AF143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3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433230.13487049163</v>
      </c>
      <c r="AH1437" s="55"/>
      <c r="AI1437" s="55"/>
      <c r="AJ1437" s="55"/>
      <c r="AK1437" s="101">
        <f t="shared" ca="1" si="276"/>
        <v>693983.2548704918</v>
      </c>
      <c r="AL1437" s="129">
        <f t="array" ref="AL1437">MAX((УслРестрактов[Характеристика]="Дата реструктуризации")*(УслРестрактов[Значение]=Первоначальный!$A1437),0)</f>
        <v>0</v>
      </c>
    </row>
    <row r="1438" spans="1:38" x14ac:dyDescent="0.25">
      <c r="A1438" s="97">
        <f t="shared" si="269"/>
        <v>45569</v>
      </c>
      <c r="B1438" s="100">
        <f t="shared" ca="1" si="270"/>
        <v>149633.34</v>
      </c>
      <c r="C1438" s="55">
        <f t="shared" ca="1" si="266"/>
        <v>102371.55000000019</v>
      </c>
      <c r="D1438" s="55">
        <f t="shared" ca="1" si="266"/>
        <v>8748.2300000000159</v>
      </c>
      <c r="E1438" s="55">
        <f t="shared" ca="1" si="271"/>
        <v>0</v>
      </c>
      <c r="F1438" s="55">
        <f t="shared" ca="1" si="272"/>
        <v>433230.13487049163</v>
      </c>
      <c r="G1438" s="101">
        <f t="shared" ca="1" si="273"/>
        <v>693983.2548704918</v>
      </c>
      <c r="H1438" s="100">
        <f ca="1">ROUND($B1438*VLOOKUP($A1438,$A$1:$B$10,2,1)/(365+IF(MOD(YEAR($A1438),4),0,1)*($A1438-$A1437)),2)-Первоначальный[[#This Row],[Проценты на просроченный платеж по ОД за период]]</f>
        <v>66.849999999999994</v>
      </c>
      <c r="I1438" s="55">
        <f t="shared" ca="1" si="274"/>
        <v>14.51</v>
      </c>
      <c r="J1438" s="55">
        <v>0</v>
      </c>
      <c r="K1438" s="55">
        <f t="shared" ca="1" si="277"/>
        <v>637.27350327868851</v>
      </c>
      <c r="L1438" s="55">
        <v>0</v>
      </c>
      <c r="M1438" s="113">
        <f>SUMIFS(График[Возврат основной суммы долга],График[Дата с учетом нерабочих дней],$A1438)</f>
        <v>0</v>
      </c>
      <c r="N1438" s="56">
        <f>SUMIFS(График[Возврат начисленных %],График[Дата с учетом нерабочих дней],$A1438)</f>
        <v>0</v>
      </c>
      <c r="O1438" s="101">
        <v>0</v>
      </c>
      <c r="P1438" s="100" cm="1">
        <f t="array" aca="1" ref="P1438" ca="1">MAX(IF(AA1437="Да",0,SUM(INDIRECT("M"&amp;(MAX(("Да"=AA$12:AA1437)*ROW(AA$12:AA1437)+1,ROW($P$12))&amp;":M"&amp;(ROW()))))-SUM(INDIRECT("W"&amp;(MAX(("Да"=AA$12:AA1437)*ROW(AA$12:AA1437)+1,ROW($P$12))&amp;":W"&amp;(ROW()))))),0)</f>
        <v>26693.269999999997</v>
      </c>
      <c r="Q1438" s="99">
        <f ca="1">MAX(SUM($N$13:N1438)-SUM($T$13:T1438),0)</f>
        <v>100761.4306557377</v>
      </c>
      <c r="R1438" s="99">
        <f ca="1">Первоначальный[[#This Row],[Просроченный платеж по ОД]]+Первоначальный[[#This Row],[Просроченный платеж по процентам]]</f>
        <v>127454.70065573769</v>
      </c>
      <c r="S1438" s="120">
        <f ca="1">IF(Первоначальный[[#This Row],[Просроченный платеж]]&lt;1,0,S1437+1)</f>
        <v>1334</v>
      </c>
      <c r="T1438" s="100" cm="1">
        <f t="array" aca="1" ref="T1438" ca="1">IF(Первоначальный[[#This Row],[Итого остаток на начало периода]]&lt;1,0,
IF(
AND(TYPE(VLOOKUP(1,$Z$12:Z1438,1,0))=16,Первоначальный[[#This Row],[Досрочное погашение (да/"")]]=""),0,
_xlfn.IFS(AND(S1437=0,Первоначальный[[#This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платеж]]&lt;&gt;0),MIN(LOOKUP(,-1/($Z$12:Z1438=1),$C$12:C1438)+LOOKUP(,-1/($Z$12:Z1438=1),$H$12:H1438),Первоначальный[[#This Row],[Полученный платеж]]+Y1437),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платеж]]+Y1437,SUM(Первоначальный[[#This Row],[Остаток процентов на начало периода]],Первоначальный[[#This Row],[Проценты за период]])),
AND(S1437=0,Первоначальный[[#This Row],[Дата платежа из графика]]=""),0,
AND(S1437=0,Первоначальный[[#This Row],[Дата платежа из графика]]=1,MAX((0&lt;&gt;S$12:S1437)*ROW(S$12:S1437),ROW($S$12))&gt;=MAX((1=Z$12:Z1437)*ROW(Z$12:Z1437),ROW($T$12)),TYPE(VLOOKUP("Да",(INDIRECT("AA"&amp;(MAX((1=Z$12:Z1437)*ROW(Z$12:Z1437),ROW($T$12))&amp;":AA"&amp;(ROW()-1)))),1,0))=16),MIN(LOOKUP(,-1/($Z$12:Z1438=1),$C$12:C1438)+LOOKUP(,-1/($Z$12:Z1438=1),$H$12:H1438),Первоначальный[[#This Row],[Полученный платеж]]+Y1437),
AND(S1437=0,TYPE(VLOOKUP("Да",(INDIRECT("AA"&amp;(MAX((1=Z$12:Z1437)*ROW(Z$12:Z1437),ROW($T$12))&amp;":AA"&amp;(ROW()-1)))),1,0))&lt;&gt;16),MIN(LOOKUP(,-1/($Z$12:Z1438=1),$C$12:C1438)+LOOKUP(,-1/($Z$12:Z1438=1),$H$12:H1438)-IF(AA1437="Да",0,SUM(INDIRECT("T"&amp;(MAX(("Да"=AA$12:AA1437)*ROW(AA$12:AA1437)+1,ROW($T$12))&amp;":T"&amp;(ROW()-1))))),Первоначальный[[#This Row],[Полученный платеж]]+Y1437),
AND(S1437=0,MAX((0&lt;&gt;N$12:N1437)*ROW(N$12:N1437),ROW($S$12))&gt;=MAX((1=Z$12:Z1437)*ROW(Z$12:Z1437),ROW($T$12))),MIN(LOOKUP(,-1/($Z$12:Z1438=1),$C$12:C1438)+LOOKUP(,-1/($Z$12:Z1438=1),$H$12:H1438)-IF(N1437&lt;&gt;0,0,SUM(INDIRECT("T"&amp;(MAX((0&lt;&gt;N$12:N1437)*ROW(N$12:N1437)+1,ROW($T$12))&amp;":T"&amp;(ROW()-1))))),Первоначальный[[#This Row],[Полученный платеж]]+Y1437),
AND(S1437=0,Первоначальный[[#This Row],[Дата платежа из графика]]=1),MIN(LOOKUP(,-1/($Z$12:Z1438=1),$C$12:C1438)+LOOKUP(,-1/($Z$12:Z1438=1),$H$12:H1438)-IF(Z1437=1,0,SUM(INDIRECT("T"&amp;(MAX((1=Z$12:Z1437)*ROW(Z$12:Z1437)+1,ROW($T$12))&amp;":T"&amp;(ROW()-1))))),Первоначальный[[#This Row],[Полученный платеж]]+Y1437),
AND(Z1437&gt;0,Первоначальный[[#This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платеж]]+Y1437),
AND(S1437&gt;0,MAX((0&lt;&gt;S$12:S1437)*ROW(S$12:S1437),ROW($S$12))&gt;=MAX((1=Z$12:Z1437)*ROW(Z$12:Z1437),ROW($T$12)),TYPE(VLOOKUP("Да",(INDIRECT("AA"&amp;(MAX((1=Z$12:Z1437)*ROW(Z$12:Z1437),ROW($T$12))&amp;":AA"&amp;(ROW()-1)))),1,0))=16),MIN(LOOKUP(,-1/($Z$12:Z1438=1),$C$12:C1438)+LOOKUP(,-1/($Z$12:Z1438=1),$H$12:H1438)-SUM(INDIRECT("T"&amp;(MAX((1=Z$12:Z1437)*ROW(Z$12:Z1437),ROW($T$12))&amp;":T"&amp;(ROW()-1)))),Первоначальный[[#This Row],[Полученный платеж]]+Y1437),
S1437&gt;0,MIN(LOOKUP(,-1/($Z$12:Z1438=1),$C$12:C1438)+LOOKUP(,-1/($Z$12:Z1438=1),$H$12:H1438)-IF(Z1437=1,0,SUM(INDIRECT("T"&amp;(MAX((1=Z$12:Z1437)*ROW(Z$12:Z1437)+1,ROW($T$12))&amp;":T"&amp;(ROW()-1))))),Первоначальный[[#This Row],[Полученный платеж]]+Y1437)
)
)
)</f>
        <v>0</v>
      </c>
      <c r="U143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платеж]]+Y1437-Первоначальный[[#This Row],[Полученный платёж по процентам]])</f>
        <v>0</v>
      </c>
      <c r="V1438" s="55">
        <f t="shared" ca="1" si="267"/>
        <v>0</v>
      </c>
      <c r="W1438" s="55" cm="1">
        <f t="array" aca="1" ref="W1438" ca="1">IF(Первоначальный[[#This Row],[Итого остаток на начало периода]]&lt;1,0,
_xlfn.IFS(
AND(TYPE(VLOOKUP(1,$Z$12:Z1438,1,0))=16,Первоначальный[[#This Row],[Досрочное погашение (да/"")]]=""),0,
AND(S1437=0,Первоначальный[[#This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платеж]]+Y1437-SUM(Первоначальный[[#This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комиссиям]]),VLOOKUP(LOOKUP(,-1/($Z$12:Z1438=1),$A$12:A1438),График[[Срок конец]:[Возврат основной суммы долга]],3,0)),
AND(S1437=0,Первоначальный[[#This Row],[Дата платежа из графика]]="",Первоначальный[[#This Row],[Досрочное погашение (да/"")]]&lt;&gt;"Да"),0,
AND(S1437=0,Первоначальный[[#This Row],[Досрочное погашение (да/"")]]=""),MIN(Первоначальный[[#This Row],[Полученный платеж]]+Y1437-SUM(Первоначальный[[#This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комиссиям]]),VLOOKUP(LOOKUP(,-1/($Z$12:Z1438=1),$A$12:A1438),График[[Срок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платеж]]+Y1437-SUM(Первоначальный[[#This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S1437&gt;0,MIN(Первоначальный[[#This Row],[Полученный платеж]]+Y1437-SUM(Первоначальный[[#This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комиссиям]]),SUM(INDIRECT("M"&amp;(MAX((1=S$12:S1437)*ROW(S$12:S1437),ROW($W$12))&amp;":M"&amp;(ROW()))))-SUM(INDIRECT("W"&amp;(MAX((1=S$12:S1437)*ROW(S$12:S1437),ROW($W$12))&amp;":W"&amp;(ROW()-1)))))
)
)</f>
        <v>0</v>
      </c>
      <c r="X1438" s="55">
        <f t="shared" ca="1" si="268"/>
        <v>0</v>
      </c>
      <c r="Y1438" s="101">
        <f t="shared" ca="1" si="275"/>
        <v>0</v>
      </c>
      <c r="Z1438" s="133" t="str">
        <f>IF(TYPE((VLOOKUP(Первоначальный[[#This Row],[Дата платежа]],График[Срок конец],1,0)))=16,"",1)</f>
        <v/>
      </c>
      <c r="AA1438" s="57"/>
      <c r="AB1438" s="134"/>
      <c r="AC143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3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102438.4000000002</v>
      </c>
      <c r="AE143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8762.7400000000162</v>
      </c>
      <c r="AF143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3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433867.4083737703</v>
      </c>
      <c r="AH1438" s="55"/>
      <c r="AI1438" s="55"/>
      <c r="AJ1438" s="55"/>
      <c r="AK1438" s="101">
        <f t="shared" ca="1" si="276"/>
        <v>694701.88837377052</v>
      </c>
      <c r="AL1438" s="129">
        <f t="array" ref="AL1438">MAX((УслРестрактов[Характеристика]="Дата реструктуризации")*(УслРестрактов[Значение]=Первоначальный!$A1438),0)</f>
        <v>0</v>
      </c>
    </row>
    <row r="1439" spans="1:38" x14ac:dyDescent="0.25">
      <c r="A1439" s="97">
        <f t="shared" si="269"/>
        <v>45570</v>
      </c>
      <c r="B1439" s="100">
        <f t="shared" ca="1" si="270"/>
        <v>149633.34</v>
      </c>
      <c r="C1439" s="55">
        <f t="shared" ca="1" si="266"/>
        <v>102438.4000000002</v>
      </c>
      <c r="D1439" s="55">
        <f t="shared" ca="1" si="266"/>
        <v>8762.7400000000162</v>
      </c>
      <c r="E1439" s="55">
        <f t="shared" ca="1" si="271"/>
        <v>0</v>
      </c>
      <c r="F1439" s="55">
        <f t="shared" ca="1" si="272"/>
        <v>433867.4083737703</v>
      </c>
      <c r="G1439" s="101">
        <f t="shared" ca="1" si="273"/>
        <v>694701.88837377052</v>
      </c>
      <c r="H1439" s="100">
        <f ca="1">ROUND($B1439*VLOOKUP($A1439,$A$1:$B$10,2,1)/(365+IF(MOD(YEAR($A1439),4),0,1)*($A1439-$A1438)),2)-Первоначальный[[#This Row],[Проценты на просроченный платеж по ОД за период]]</f>
        <v>66.849999999999994</v>
      </c>
      <c r="I1439" s="55">
        <f t="shared" ca="1" si="274"/>
        <v>14.51</v>
      </c>
      <c r="J1439" s="55">
        <v>0</v>
      </c>
      <c r="K1439" s="55">
        <f t="shared" ca="1" si="277"/>
        <v>637.27350327868851</v>
      </c>
      <c r="L1439" s="55">
        <v>0</v>
      </c>
      <c r="M1439" s="113">
        <f>SUMIFS(График[Возврат основной суммы долга],График[Дата с учетом нерабочих дней],$A1439)</f>
        <v>0</v>
      </c>
      <c r="N1439" s="56">
        <f>SUMIFS(График[Возврат начисленных %],График[Дата с учетом нерабочих дней],$A1439)</f>
        <v>0</v>
      </c>
      <c r="O1439" s="101">
        <v>0</v>
      </c>
      <c r="P1439" s="100" cm="1">
        <f t="array" aca="1" ref="P1439" ca="1">MAX(IF(AA1438="Да",0,SUM(INDIRECT("M"&amp;(MAX(("Да"=AA$12:AA1438)*ROW(AA$12:AA1438)+1,ROW($P$12))&amp;":M"&amp;(ROW()))))-SUM(INDIRECT("W"&amp;(MAX(("Да"=AA$12:AA1438)*ROW(AA$12:AA1438)+1,ROW($P$12))&amp;":W"&amp;(ROW()))))),0)</f>
        <v>26693.269999999997</v>
      </c>
      <c r="Q1439" s="99">
        <f ca="1">MAX(SUM($N$13:N1439)-SUM($T$13:T1439),0)</f>
        <v>100761.4306557377</v>
      </c>
      <c r="R1439" s="99">
        <f ca="1">Первоначальный[[#This Row],[Просроченный платеж по ОД]]+Первоначальный[[#This Row],[Просроченный платеж по процентам]]</f>
        <v>127454.70065573769</v>
      </c>
      <c r="S1439" s="120">
        <f ca="1">IF(Первоначальный[[#This Row],[Просроченный платеж]]&lt;1,0,S1438+1)</f>
        <v>1335</v>
      </c>
      <c r="T1439" s="100" cm="1">
        <f t="array" aca="1" ref="T1439" ca="1">IF(Первоначальный[[#This Row],[Итого остаток на начало периода]]&lt;1,0,
IF(
AND(TYPE(VLOOKUP(1,$Z$12:Z1439,1,0))=16,Первоначальный[[#This Row],[Досрочное погашение (да/"")]]=""),0,
_xlfn.IFS(AND(S1438=0,Первоначальный[[#This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платеж]]&lt;&gt;0),MIN(LOOKUP(,-1/($Z$12:Z1439=1),$C$12:C1439)+LOOKUP(,-1/($Z$12:Z1439=1),$H$12:H1439),Первоначальный[[#This Row],[Полученный платеж]]+Y1438),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платеж]]+Y1438,SUM(Первоначальный[[#This Row],[Остаток процентов на начало периода]],Первоначальный[[#This Row],[Проценты за период]])),
AND(S1438=0,Первоначальный[[#This Row],[Дата платежа из графика]]=""),0,
AND(S1438=0,Первоначальный[[#This Row],[Дата платежа из графика]]=1,MAX((0&lt;&gt;S$12:S1438)*ROW(S$12:S1438),ROW($S$12))&gt;=MAX((1=Z$12:Z1438)*ROW(Z$12:Z1438),ROW($T$12)),TYPE(VLOOKUP("Да",(INDIRECT("AA"&amp;(MAX((1=Z$12:Z1438)*ROW(Z$12:Z1438),ROW($T$12))&amp;":AA"&amp;(ROW()-1)))),1,0))=16),MIN(LOOKUP(,-1/($Z$12:Z1439=1),$C$12:C1439)+LOOKUP(,-1/($Z$12:Z1439=1),$H$12:H1439),Первоначальный[[#This Row],[Полученный платеж]]+Y1438),
AND(S1438=0,TYPE(VLOOKUP("Да",(INDIRECT("AA"&amp;(MAX((1=Z$12:Z1438)*ROW(Z$12:Z1438),ROW($T$12))&amp;":AA"&amp;(ROW()-1)))),1,0))&lt;&gt;16),MIN(LOOKUP(,-1/($Z$12:Z1439=1),$C$12:C1439)+LOOKUP(,-1/($Z$12:Z1439=1),$H$12:H1439)-IF(AA1438="Да",0,SUM(INDIRECT("T"&amp;(MAX(("Да"=AA$12:AA1438)*ROW(AA$12:AA1438)+1,ROW($T$12))&amp;":T"&amp;(ROW()-1))))),Первоначальный[[#This Row],[Полученный платеж]]+Y1438),
AND(S1438=0,MAX((0&lt;&gt;N$12:N1438)*ROW(N$12:N1438),ROW($S$12))&gt;=MAX((1=Z$12:Z1438)*ROW(Z$12:Z1438),ROW($T$12))),MIN(LOOKUP(,-1/($Z$12:Z1439=1),$C$12:C1439)+LOOKUP(,-1/($Z$12:Z1439=1),$H$12:H1439)-IF(N1438&lt;&gt;0,0,SUM(INDIRECT("T"&amp;(MAX((0&lt;&gt;N$12:N1438)*ROW(N$12:N1438)+1,ROW($T$12))&amp;":T"&amp;(ROW()-1))))),Первоначальный[[#This Row],[Полученный платеж]]+Y1438),
AND(S1438=0,Первоначальный[[#This Row],[Дата платежа из графика]]=1),MIN(LOOKUP(,-1/($Z$12:Z1439=1),$C$12:C1439)+LOOKUP(,-1/($Z$12:Z1439=1),$H$12:H1439)-IF(Z1438=1,0,SUM(INDIRECT("T"&amp;(MAX((1=Z$12:Z1438)*ROW(Z$12:Z1438)+1,ROW($T$12))&amp;":T"&amp;(ROW()-1))))),Первоначальный[[#This Row],[Полученный платеж]]+Y1438),
AND(Z1438&gt;0,Первоначальный[[#This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платеж]]+Y1438),
AND(S1438&gt;0,MAX((0&lt;&gt;S$12:S1438)*ROW(S$12:S1438),ROW($S$12))&gt;=MAX((1=Z$12:Z1438)*ROW(Z$12:Z1438),ROW($T$12)),TYPE(VLOOKUP("Да",(INDIRECT("AA"&amp;(MAX((1=Z$12:Z1438)*ROW(Z$12:Z1438),ROW($T$12))&amp;":AA"&amp;(ROW()-1)))),1,0))=16),MIN(LOOKUP(,-1/($Z$12:Z1439=1),$C$12:C1439)+LOOKUP(,-1/($Z$12:Z1439=1),$H$12:H1439)-SUM(INDIRECT("T"&amp;(MAX((1=Z$12:Z1438)*ROW(Z$12:Z1438),ROW($T$12))&amp;":T"&amp;(ROW()-1)))),Первоначальный[[#This Row],[Полученный платеж]]+Y1438),
S1438&gt;0,MIN(LOOKUP(,-1/($Z$12:Z1439=1),$C$12:C1439)+LOOKUP(,-1/($Z$12:Z1439=1),$H$12:H1439)-IF(Z1438=1,0,SUM(INDIRECT("T"&amp;(MAX((1=Z$12:Z1438)*ROW(Z$12:Z1438)+1,ROW($T$12))&amp;":T"&amp;(ROW()-1))))),Первоначальный[[#This Row],[Полученный платеж]]+Y1438)
)
)
)</f>
        <v>0</v>
      </c>
      <c r="U143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платеж]]+Y1438-Первоначальный[[#This Row],[Полученный платёж по процентам]])</f>
        <v>0</v>
      </c>
      <c r="V1439" s="55">
        <f t="shared" ca="1" si="267"/>
        <v>0</v>
      </c>
      <c r="W1439" s="55" cm="1">
        <f t="array" aca="1" ref="W1439" ca="1">IF(Первоначальный[[#This Row],[Итого остаток на начало периода]]&lt;1,0,
_xlfn.IFS(
AND(TYPE(VLOOKUP(1,$Z$12:Z1439,1,0))=16,Первоначальный[[#This Row],[Досрочное погашение (да/"")]]=""),0,
AND(S1438=0,Первоначальный[[#This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платеж]]+Y1438-SUM(Первоначальный[[#This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комиссиям]]),VLOOKUP(LOOKUP(,-1/($Z$12:Z1439=1),$A$12:A1439),График[[Срок конец]:[Возврат основной суммы долга]],3,0)),
AND(S1438=0,Первоначальный[[#This Row],[Дата платежа из графика]]="",Первоначальный[[#This Row],[Досрочное погашение (да/"")]]&lt;&gt;"Да"),0,
AND(S1438=0,Первоначальный[[#This Row],[Досрочное погашение (да/"")]]=""),MIN(Первоначальный[[#This Row],[Полученный платеж]]+Y1438-SUM(Первоначальный[[#This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комиссиям]]),VLOOKUP(LOOKUP(,-1/($Z$12:Z1439=1),$A$12:A1439),График[[Срок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платеж]]+Y1438-SUM(Первоначальный[[#This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S1438&gt;0,MIN(Первоначальный[[#This Row],[Полученный платеж]]+Y1438-SUM(Первоначальный[[#This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комиссиям]]),SUM(INDIRECT("M"&amp;(MAX((1=S$12:S1438)*ROW(S$12:S1438),ROW($W$12))&amp;":M"&amp;(ROW()))))-SUM(INDIRECT("W"&amp;(MAX((1=S$12:S1438)*ROW(S$12:S1438),ROW($W$12))&amp;":W"&amp;(ROW()-1)))))
)
)</f>
        <v>0</v>
      </c>
      <c r="X1439" s="55">
        <f t="shared" ca="1" si="268"/>
        <v>0</v>
      </c>
      <c r="Y1439" s="101">
        <f t="shared" ca="1" si="275"/>
        <v>0</v>
      </c>
      <c r="Z1439" s="133" t="str">
        <f>IF(TYPE((VLOOKUP(Первоначальный[[#This Row],[Дата платежа]],График[Срок конец],1,0)))=16,"",1)</f>
        <v/>
      </c>
      <c r="AA1439" s="57"/>
      <c r="AB1439" s="134"/>
      <c r="AC143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3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102505.2500000002</v>
      </c>
      <c r="AE143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8777.2500000000164</v>
      </c>
      <c r="AF143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3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434504.68187704898</v>
      </c>
      <c r="AH1439" s="55"/>
      <c r="AI1439" s="55"/>
      <c r="AJ1439" s="55"/>
      <c r="AK1439" s="101">
        <f t="shared" ca="1" si="276"/>
        <v>695420.52187704924</v>
      </c>
      <c r="AL1439" s="129">
        <f t="array" ref="AL1439">MAX((УслРестрактов[Характеристика]="Дата реструктуризации")*(УслРестрактов[Значение]=Первоначальный!$A1439),0)</f>
        <v>0</v>
      </c>
    </row>
    <row r="1440" spans="1:38" x14ac:dyDescent="0.25">
      <c r="A1440" s="97">
        <f t="shared" si="269"/>
        <v>45571</v>
      </c>
      <c r="B1440" s="100">
        <f t="shared" ca="1" si="270"/>
        <v>149633.34</v>
      </c>
      <c r="C1440" s="55">
        <f t="shared" ca="1" si="266"/>
        <v>102505.2500000002</v>
      </c>
      <c r="D1440" s="55">
        <f t="shared" ca="1" si="266"/>
        <v>8777.2500000000164</v>
      </c>
      <c r="E1440" s="55">
        <f t="shared" ca="1" si="271"/>
        <v>0</v>
      </c>
      <c r="F1440" s="55">
        <f t="shared" ca="1" si="272"/>
        <v>434504.68187704898</v>
      </c>
      <c r="G1440" s="101">
        <f t="shared" ca="1" si="273"/>
        <v>695420.52187704924</v>
      </c>
      <c r="H1440" s="100">
        <f ca="1">ROUND($B1440*VLOOKUP($A1440,$A$1:$B$10,2,1)/(365+IF(MOD(YEAR($A1440),4),0,1)*($A1440-$A1439)),2)-Первоначальный[[#This Row],[Проценты на просроченный платеж по ОД за период]]</f>
        <v>66.849999999999994</v>
      </c>
      <c r="I1440" s="55">
        <f t="shared" ca="1" si="274"/>
        <v>14.51</v>
      </c>
      <c r="J1440" s="55">
        <v>0</v>
      </c>
      <c r="K1440" s="55">
        <f t="shared" ca="1" si="277"/>
        <v>637.27350327868851</v>
      </c>
      <c r="L1440" s="55">
        <v>0</v>
      </c>
      <c r="M1440" s="113">
        <f>SUMIFS(График[Возврат основной суммы долга],График[Дата с учетом нерабочих дней],$A1440)</f>
        <v>0</v>
      </c>
      <c r="N1440" s="56">
        <f>SUMIFS(График[Возврат начисленных %],График[Дата с учетом нерабочих дней],$A1440)</f>
        <v>0</v>
      </c>
      <c r="O1440" s="101">
        <v>0</v>
      </c>
      <c r="P1440" s="100" cm="1">
        <f t="array" aca="1" ref="P1440" ca="1">MAX(IF(AA1439="Да",0,SUM(INDIRECT("M"&amp;(MAX(("Да"=AA$12:AA1439)*ROW(AA$12:AA1439)+1,ROW($P$12))&amp;":M"&amp;(ROW()))))-SUM(INDIRECT("W"&amp;(MAX(("Да"=AA$12:AA1439)*ROW(AA$12:AA1439)+1,ROW($P$12))&amp;":W"&amp;(ROW()))))),0)</f>
        <v>26693.269999999997</v>
      </c>
      <c r="Q1440" s="99">
        <f ca="1">MAX(SUM($N$13:N1440)-SUM($T$13:T1440),0)</f>
        <v>100761.4306557377</v>
      </c>
      <c r="R1440" s="99">
        <f ca="1">Первоначальный[[#This Row],[Просроченный платеж по ОД]]+Первоначальный[[#This Row],[Просроченный платеж по процентам]]</f>
        <v>127454.70065573769</v>
      </c>
      <c r="S1440" s="120">
        <f ca="1">IF(Первоначальный[[#This Row],[Просроченный платеж]]&lt;1,0,S1439+1)</f>
        <v>1336</v>
      </c>
      <c r="T1440" s="100" cm="1">
        <f t="array" aca="1" ref="T1440" ca="1">IF(Первоначальный[[#This Row],[Итого остаток на начало периода]]&lt;1,0,
IF(
AND(TYPE(VLOOKUP(1,$Z$12:Z1440,1,0))=16,Первоначальный[[#This Row],[Досрочное погашение (да/"")]]=""),0,
_xlfn.IFS(AND(S1439=0,Первоначальный[[#This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платеж]]&lt;&gt;0),MIN(LOOKUP(,-1/($Z$12:Z1440=1),$C$12:C1440)+LOOKUP(,-1/($Z$12:Z1440=1),$H$12:H1440),Первоначальный[[#This Row],[Полученный платеж]]+Y1439),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платеж]]+Y1439,SUM(Первоначальный[[#This Row],[Остаток процентов на начало периода]],Первоначальный[[#This Row],[Проценты за период]])),
AND(S1439=0,Первоначальный[[#This Row],[Дата платежа из графика]]=""),0,
AND(S1439=0,Первоначальный[[#This Row],[Дата платежа из графика]]=1,MAX((0&lt;&gt;S$12:S1439)*ROW(S$12:S1439),ROW($S$12))&gt;=MAX((1=Z$12:Z1439)*ROW(Z$12:Z1439),ROW($T$12)),TYPE(VLOOKUP("Да",(INDIRECT("AA"&amp;(MAX((1=Z$12:Z1439)*ROW(Z$12:Z1439),ROW($T$12))&amp;":AA"&amp;(ROW()-1)))),1,0))=16),MIN(LOOKUP(,-1/($Z$12:Z1440=1),$C$12:C1440)+LOOKUP(,-1/($Z$12:Z1440=1),$H$12:H1440),Первоначальный[[#This Row],[Полученный платеж]]+Y1439),
AND(S1439=0,TYPE(VLOOKUP("Да",(INDIRECT("AA"&amp;(MAX((1=Z$12:Z1439)*ROW(Z$12:Z1439),ROW($T$12))&amp;":AA"&amp;(ROW()-1)))),1,0))&lt;&gt;16),MIN(LOOKUP(,-1/($Z$12:Z1440=1),$C$12:C1440)+LOOKUP(,-1/($Z$12:Z1440=1),$H$12:H1440)-IF(AA1439="Да",0,SUM(INDIRECT("T"&amp;(MAX(("Да"=AA$12:AA1439)*ROW(AA$12:AA1439)+1,ROW($T$12))&amp;":T"&amp;(ROW()-1))))),Первоначальный[[#This Row],[Полученный платеж]]+Y1439),
AND(S1439=0,MAX((0&lt;&gt;N$12:N1439)*ROW(N$12:N1439),ROW($S$12))&gt;=MAX((1=Z$12:Z1439)*ROW(Z$12:Z1439),ROW($T$12))),MIN(LOOKUP(,-1/($Z$12:Z1440=1),$C$12:C1440)+LOOKUP(,-1/($Z$12:Z1440=1),$H$12:H1440)-IF(N1439&lt;&gt;0,0,SUM(INDIRECT("T"&amp;(MAX((0&lt;&gt;N$12:N1439)*ROW(N$12:N1439)+1,ROW($T$12))&amp;":T"&amp;(ROW()-1))))),Первоначальный[[#This Row],[Полученный платеж]]+Y1439),
AND(S1439=0,Первоначальный[[#This Row],[Дата платежа из графика]]=1),MIN(LOOKUP(,-1/($Z$12:Z1440=1),$C$12:C1440)+LOOKUP(,-1/($Z$12:Z1440=1),$H$12:H1440)-IF(Z1439=1,0,SUM(INDIRECT("T"&amp;(MAX((1=Z$12:Z1439)*ROW(Z$12:Z1439)+1,ROW($T$12))&amp;":T"&amp;(ROW()-1))))),Первоначальный[[#This Row],[Полученный платеж]]+Y1439),
AND(Z1439&gt;0,Первоначальный[[#This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платеж]]+Y1439),
AND(S1439&gt;0,MAX((0&lt;&gt;S$12:S1439)*ROW(S$12:S1439),ROW($S$12))&gt;=MAX((1=Z$12:Z1439)*ROW(Z$12:Z1439),ROW($T$12)),TYPE(VLOOKUP("Да",(INDIRECT("AA"&amp;(MAX((1=Z$12:Z1439)*ROW(Z$12:Z1439),ROW($T$12))&amp;":AA"&amp;(ROW()-1)))),1,0))=16),MIN(LOOKUP(,-1/($Z$12:Z1440=1),$C$12:C1440)+LOOKUP(,-1/($Z$12:Z1440=1),$H$12:H1440)-SUM(INDIRECT("T"&amp;(MAX((1=Z$12:Z1439)*ROW(Z$12:Z1439),ROW($T$12))&amp;":T"&amp;(ROW()-1)))),Первоначальный[[#This Row],[Полученный платеж]]+Y1439),
S1439&gt;0,MIN(LOOKUP(,-1/($Z$12:Z1440=1),$C$12:C1440)+LOOKUP(,-1/($Z$12:Z1440=1),$H$12:H1440)-IF(Z1439=1,0,SUM(INDIRECT("T"&amp;(MAX((1=Z$12:Z1439)*ROW(Z$12:Z1439)+1,ROW($T$12))&amp;":T"&amp;(ROW()-1))))),Первоначальный[[#This Row],[Полученный платеж]]+Y1439)
)
)
)</f>
        <v>0</v>
      </c>
      <c r="U144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платеж]]+Y1439-Первоначальный[[#This Row],[Полученный платёж по процентам]])</f>
        <v>0</v>
      </c>
      <c r="V1440" s="55">
        <f t="shared" ca="1" si="267"/>
        <v>0</v>
      </c>
      <c r="W1440" s="55" cm="1">
        <f t="array" aca="1" ref="W1440" ca="1">IF(Первоначальный[[#This Row],[Итого остаток на начало периода]]&lt;1,0,
_xlfn.IFS(
AND(TYPE(VLOOKUP(1,$Z$12:Z1440,1,0))=16,Первоначальный[[#This Row],[Досрочное погашение (да/"")]]=""),0,
AND(S1439=0,Первоначальный[[#This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платеж]]+Y1439-SUM(Первоначальный[[#This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комиссиям]]),VLOOKUP(LOOKUP(,-1/($Z$12:Z1440=1),$A$12:A1440),График[[Срок конец]:[Возврат основной суммы долга]],3,0)),
AND(S1439=0,Первоначальный[[#This Row],[Дата платежа из графика]]="",Первоначальный[[#This Row],[Досрочное погашение (да/"")]]&lt;&gt;"Да"),0,
AND(S1439=0,Первоначальный[[#This Row],[Досрочное погашение (да/"")]]=""),MIN(Первоначальный[[#This Row],[Полученный платеж]]+Y1439-SUM(Первоначальный[[#This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комиссиям]]),VLOOKUP(LOOKUP(,-1/($Z$12:Z1440=1),$A$12:A1440),График[[Срок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платеж]]+Y1439-SUM(Первоначальный[[#This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S1439&gt;0,MIN(Первоначальный[[#This Row],[Полученный платеж]]+Y1439-SUM(Первоначальный[[#This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комиссиям]]),SUM(INDIRECT("M"&amp;(MAX((1=S$12:S1439)*ROW(S$12:S1439),ROW($W$12))&amp;":M"&amp;(ROW()))))-SUM(INDIRECT("W"&amp;(MAX((1=S$12:S1439)*ROW(S$12:S1439),ROW($W$12))&amp;":W"&amp;(ROW()-1)))))
)
)</f>
        <v>0</v>
      </c>
      <c r="X1440" s="55">
        <f t="shared" ca="1" si="268"/>
        <v>0</v>
      </c>
      <c r="Y1440" s="101">
        <f t="shared" ca="1" si="275"/>
        <v>0</v>
      </c>
      <c r="Z1440" s="133" t="str">
        <f>IF(TYPE((VLOOKUP(Первоначальный[[#This Row],[Дата платежа]],График[Срок конец],1,0)))=16,"",1)</f>
        <v/>
      </c>
      <c r="AA1440" s="57"/>
      <c r="AB1440" s="134"/>
      <c r="AC144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4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102572.10000000021</v>
      </c>
      <c r="AE144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8791.7600000000166</v>
      </c>
      <c r="AF144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4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435141.95538032765</v>
      </c>
      <c r="AH1440" s="55"/>
      <c r="AI1440" s="55"/>
      <c r="AJ1440" s="55"/>
      <c r="AK1440" s="101">
        <f t="shared" ca="1" si="276"/>
        <v>696139.15538032784</v>
      </c>
      <c r="AL1440" s="129">
        <f t="array" ref="AL1440">MAX((УслРестрактов[Характеристика]="Дата реструктуризации")*(УслРестрактов[Значение]=Первоначальный!$A1440),0)</f>
        <v>0</v>
      </c>
    </row>
    <row r="1441" spans="1:38" x14ac:dyDescent="0.25">
      <c r="A1441" s="97">
        <f t="shared" si="269"/>
        <v>45572</v>
      </c>
      <c r="B1441" s="100">
        <f t="shared" ca="1" si="270"/>
        <v>149633.34</v>
      </c>
      <c r="C1441" s="55">
        <f t="shared" ca="1" si="266"/>
        <v>102572.10000000021</v>
      </c>
      <c r="D1441" s="55">
        <f t="shared" ca="1" si="266"/>
        <v>8791.7600000000166</v>
      </c>
      <c r="E1441" s="55">
        <f t="shared" ca="1" si="271"/>
        <v>0</v>
      </c>
      <c r="F1441" s="55">
        <f t="shared" ca="1" si="272"/>
        <v>435141.95538032765</v>
      </c>
      <c r="G1441" s="101">
        <f t="shared" ca="1" si="273"/>
        <v>696139.15538032784</v>
      </c>
      <c r="H1441" s="100">
        <f ca="1">ROUND($B1441*VLOOKUP($A1441,$A$1:$B$10,2,1)/(365+IF(MOD(YEAR($A1441),4),0,1)*($A1441-$A1440)),2)-Первоначальный[[#This Row],[Проценты на просроченный платеж по ОД за период]]</f>
        <v>66.849999999999994</v>
      </c>
      <c r="I1441" s="55">
        <f t="shared" ca="1" si="274"/>
        <v>14.51</v>
      </c>
      <c r="J1441" s="55">
        <v>0</v>
      </c>
      <c r="K1441" s="55">
        <f t="shared" ca="1" si="277"/>
        <v>637.27350327868851</v>
      </c>
      <c r="L1441" s="55">
        <v>0</v>
      </c>
      <c r="M1441" s="113">
        <f>SUMIFS(График[Возврат основной суммы долга],График[Дата с учетом нерабочих дней],$A1441)</f>
        <v>0</v>
      </c>
      <c r="N1441" s="56">
        <f>SUMIFS(График[Возврат начисленных %],График[Дата с учетом нерабочих дней],$A1441)</f>
        <v>0</v>
      </c>
      <c r="O1441" s="101">
        <v>0</v>
      </c>
      <c r="P1441" s="100" cm="1">
        <f t="array" aca="1" ref="P1441" ca="1">MAX(IF(AA1440="Да",0,SUM(INDIRECT("M"&amp;(MAX(("Да"=AA$12:AA1440)*ROW(AA$12:AA1440)+1,ROW($P$12))&amp;":M"&amp;(ROW()))))-SUM(INDIRECT("W"&amp;(MAX(("Да"=AA$12:AA1440)*ROW(AA$12:AA1440)+1,ROW($P$12))&amp;":W"&amp;(ROW()))))),0)</f>
        <v>26693.269999999997</v>
      </c>
      <c r="Q1441" s="99">
        <f ca="1">MAX(SUM($N$13:N1441)-SUM($T$13:T1441),0)</f>
        <v>100761.4306557377</v>
      </c>
      <c r="R1441" s="99">
        <f ca="1">Первоначальный[[#This Row],[Просроченный платеж по ОД]]+Первоначальный[[#This Row],[Просроченный платеж по процентам]]</f>
        <v>127454.70065573769</v>
      </c>
      <c r="S1441" s="120">
        <f ca="1">IF(Первоначальный[[#This Row],[Просроченный платеж]]&lt;1,0,S1440+1)</f>
        <v>1337</v>
      </c>
      <c r="T1441" s="100" cm="1">
        <f t="array" aca="1" ref="T1441" ca="1">IF(Первоначальный[[#This Row],[Итого остаток на начало периода]]&lt;1,0,
IF(
AND(TYPE(VLOOKUP(1,$Z$12:Z1441,1,0))=16,Первоначальный[[#This Row],[Досрочное погашение (да/"")]]=""),0,
_xlfn.IFS(AND(S1440=0,Первоначальный[[#This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платеж]]&lt;&gt;0),MIN(LOOKUP(,-1/($Z$12:Z1441=1),$C$12:C1441)+LOOKUP(,-1/($Z$12:Z1441=1),$H$12:H1441),Первоначальный[[#This Row],[Полученный платеж]]+Y1440),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платеж]]+Y1440,SUM(Первоначальный[[#This Row],[Остаток процентов на начало периода]],Первоначальный[[#This Row],[Проценты за период]])),
AND(S1440=0,Первоначальный[[#This Row],[Дата платежа из графика]]=""),0,
AND(S1440=0,Первоначальный[[#This Row],[Дата платежа из графика]]=1,MAX((0&lt;&gt;S$12:S1440)*ROW(S$12:S1440),ROW($S$12))&gt;=MAX((1=Z$12:Z1440)*ROW(Z$12:Z1440),ROW($T$12)),TYPE(VLOOKUP("Да",(INDIRECT("AA"&amp;(MAX((1=Z$12:Z1440)*ROW(Z$12:Z1440),ROW($T$12))&amp;":AA"&amp;(ROW()-1)))),1,0))=16),MIN(LOOKUP(,-1/($Z$12:Z1441=1),$C$12:C1441)+LOOKUP(,-1/($Z$12:Z1441=1),$H$12:H1441),Первоначальный[[#This Row],[Полученный платеж]]+Y1440),
AND(S1440=0,TYPE(VLOOKUP("Да",(INDIRECT("AA"&amp;(MAX((1=Z$12:Z1440)*ROW(Z$12:Z1440),ROW($T$12))&amp;":AA"&amp;(ROW()-1)))),1,0))&lt;&gt;16),MIN(LOOKUP(,-1/($Z$12:Z1441=1),$C$12:C1441)+LOOKUP(,-1/($Z$12:Z1441=1),$H$12:H1441)-IF(AA1440="Да",0,SUM(INDIRECT("T"&amp;(MAX(("Да"=AA$12:AA1440)*ROW(AA$12:AA1440)+1,ROW($T$12))&amp;":T"&amp;(ROW()-1))))),Первоначальный[[#This Row],[Полученный платеж]]+Y1440),
AND(S1440=0,MAX((0&lt;&gt;N$12:N1440)*ROW(N$12:N1440),ROW($S$12))&gt;=MAX((1=Z$12:Z1440)*ROW(Z$12:Z1440),ROW($T$12))),MIN(LOOKUP(,-1/($Z$12:Z1441=1),$C$12:C1441)+LOOKUP(,-1/($Z$12:Z1441=1),$H$12:H1441)-IF(N1440&lt;&gt;0,0,SUM(INDIRECT("T"&amp;(MAX((0&lt;&gt;N$12:N1440)*ROW(N$12:N1440)+1,ROW($T$12))&amp;":T"&amp;(ROW()-1))))),Первоначальный[[#This Row],[Полученный платеж]]+Y1440),
AND(S1440=0,Первоначальный[[#This Row],[Дата платежа из графика]]=1),MIN(LOOKUP(,-1/($Z$12:Z1441=1),$C$12:C1441)+LOOKUP(,-1/($Z$12:Z1441=1),$H$12:H1441)-IF(Z1440=1,0,SUM(INDIRECT("T"&amp;(MAX((1=Z$12:Z1440)*ROW(Z$12:Z1440)+1,ROW($T$12))&amp;":T"&amp;(ROW()-1))))),Первоначальный[[#This Row],[Полученный платеж]]+Y1440),
AND(Z1440&gt;0,Первоначальный[[#This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платеж]]+Y1440),
AND(S1440&gt;0,MAX((0&lt;&gt;S$12:S1440)*ROW(S$12:S1440),ROW($S$12))&gt;=MAX((1=Z$12:Z1440)*ROW(Z$12:Z1440),ROW($T$12)),TYPE(VLOOKUP("Да",(INDIRECT("AA"&amp;(MAX((1=Z$12:Z1440)*ROW(Z$12:Z1440),ROW($T$12))&amp;":AA"&amp;(ROW()-1)))),1,0))=16),MIN(LOOKUP(,-1/($Z$12:Z1441=1),$C$12:C1441)+LOOKUP(,-1/($Z$12:Z1441=1),$H$12:H1441)-SUM(INDIRECT("T"&amp;(MAX((1=Z$12:Z1440)*ROW(Z$12:Z1440),ROW($T$12))&amp;":T"&amp;(ROW()-1)))),Первоначальный[[#This Row],[Полученный платеж]]+Y1440),
S1440&gt;0,MIN(LOOKUP(,-1/($Z$12:Z1441=1),$C$12:C1441)+LOOKUP(,-1/($Z$12:Z1441=1),$H$12:H1441)-IF(Z1440=1,0,SUM(INDIRECT("T"&amp;(MAX((1=Z$12:Z1440)*ROW(Z$12:Z1440)+1,ROW($T$12))&amp;":T"&amp;(ROW()-1))))),Первоначальный[[#This Row],[Полученный платеж]]+Y1440)
)
)
)</f>
        <v>0</v>
      </c>
      <c r="U144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платеж]]+Y1440-Первоначальный[[#This Row],[Полученный платёж по процентам]])</f>
        <v>0</v>
      </c>
      <c r="V1441" s="55">
        <f t="shared" ca="1" si="267"/>
        <v>0</v>
      </c>
      <c r="W1441" s="55" cm="1">
        <f t="array" aca="1" ref="W1441" ca="1">IF(Первоначальный[[#This Row],[Итого остаток на начало периода]]&lt;1,0,
_xlfn.IFS(
AND(TYPE(VLOOKUP(1,$Z$12:Z1441,1,0))=16,Первоначальный[[#This Row],[Досрочное погашение (да/"")]]=""),0,
AND(S1440=0,Первоначальный[[#This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платеж]]+Y1440-SUM(Первоначальный[[#This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комиссиям]]),VLOOKUP(LOOKUP(,-1/($Z$12:Z1441=1),$A$12:A1441),График[[Срок конец]:[Возврат основной суммы долга]],3,0)),
AND(S1440=0,Первоначальный[[#This Row],[Дата платежа из графика]]="",Первоначальный[[#This Row],[Досрочное погашение (да/"")]]&lt;&gt;"Да"),0,
AND(S1440=0,Первоначальный[[#This Row],[Досрочное погашение (да/"")]]=""),MIN(Первоначальный[[#This Row],[Полученный платеж]]+Y1440-SUM(Первоначальный[[#This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комиссиям]]),VLOOKUP(LOOKUP(,-1/($Z$12:Z1441=1),$A$12:A1441),График[[Срок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платеж]]+Y1440-SUM(Первоначальный[[#This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S1440&gt;0,MIN(Первоначальный[[#This Row],[Полученный платеж]]+Y1440-SUM(Первоначальный[[#This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комиссиям]]),SUM(INDIRECT("M"&amp;(MAX((1=S$12:S1440)*ROW(S$12:S1440),ROW($W$12))&amp;":M"&amp;(ROW()))))-SUM(INDIRECT("W"&amp;(MAX((1=S$12:S1440)*ROW(S$12:S1440),ROW($W$12))&amp;":W"&amp;(ROW()-1)))))
)
)</f>
        <v>0</v>
      </c>
      <c r="X1441" s="55">
        <f t="shared" ca="1" si="268"/>
        <v>0</v>
      </c>
      <c r="Y1441" s="101">
        <f t="shared" ca="1" si="275"/>
        <v>0</v>
      </c>
      <c r="Z1441" s="133" t="str">
        <f>IF(TYPE((VLOOKUP(Первоначальный[[#This Row],[Дата платежа]],График[Срок конец],1,0)))=16,"",1)</f>
        <v/>
      </c>
      <c r="AA1441" s="57"/>
      <c r="AB1441" s="134"/>
      <c r="AC144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4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102638.95000000022</v>
      </c>
      <c r="AE144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8806.2700000000168</v>
      </c>
      <c r="AF144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4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435779.22888360632</v>
      </c>
      <c r="AH1441" s="55"/>
      <c r="AI1441" s="55"/>
      <c r="AJ1441" s="55"/>
      <c r="AK1441" s="101">
        <f t="shared" ca="1" si="276"/>
        <v>696857.78888360655</v>
      </c>
      <c r="AL1441" s="129">
        <f t="array" ref="AL1441">MAX((УслРестрактов[Характеристика]="Дата реструктуризации")*(УслРестрактов[Значение]=Первоначальный!$A1441),0)</f>
        <v>0</v>
      </c>
    </row>
    <row r="1442" spans="1:38" x14ac:dyDescent="0.25">
      <c r="A1442" s="97">
        <f t="shared" si="269"/>
        <v>45573</v>
      </c>
      <c r="B1442" s="100">
        <f t="shared" ca="1" si="270"/>
        <v>149633.34</v>
      </c>
      <c r="C1442" s="55">
        <f t="shared" ca="1" si="266"/>
        <v>102638.95000000022</v>
      </c>
      <c r="D1442" s="55">
        <f t="shared" ca="1" si="266"/>
        <v>8806.2700000000168</v>
      </c>
      <c r="E1442" s="55">
        <f t="shared" ca="1" si="271"/>
        <v>0</v>
      </c>
      <c r="F1442" s="55">
        <f t="shared" ca="1" si="272"/>
        <v>435779.22888360632</v>
      </c>
      <c r="G1442" s="101">
        <f t="shared" ca="1" si="273"/>
        <v>696857.78888360655</v>
      </c>
      <c r="H1442" s="100">
        <f ca="1">ROUND($B1442*VLOOKUP($A1442,$A$1:$B$10,2,1)/(365+IF(MOD(YEAR($A1442),4),0,1)*($A1442-$A1441)),2)-Первоначальный[[#This Row],[Проценты на просроченный платеж по ОД за период]]</f>
        <v>66.849999999999994</v>
      </c>
      <c r="I1442" s="55">
        <f t="shared" ca="1" si="274"/>
        <v>14.51</v>
      </c>
      <c r="J1442" s="55">
        <v>0</v>
      </c>
      <c r="K1442" s="55">
        <f t="shared" ca="1" si="277"/>
        <v>637.27350327868851</v>
      </c>
      <c r="L1442" s="55">
        <v>0</v>
      </c>
      <c r="M1442" s="113">
        <f>SUMIFS(График[Возврат основной суммы долга],График[Дата с учетом нерабочих дней],$A1442)</f>
        <v>0</v>
      </c>
      <c r="N1442" s="56">
        <f>SUMIFS(График[Возврат начисленных %],График[Дата с учетом нерабочих дней],$A1442)</f>
        <v>0</v>
      </c>
      <c r="O1442" s="101">
        <v>0</v>
      </c>
      <c r="P1442" s="100" cm="1">
        <f t="array" aca="1" ref="P1442" ca="1">MAX(IF(AA1441="Да",0,SUM(INDIRECT("M"&amp;(MAX(("Да"=AA$12:AA1441)*ROW(AA$12:AA1441)+1,ROW($P$12))&amp;":M"&amp;(ROW()))))-SUM(INDIRECT("W"&amp;(MAX(("Да"=AA$12:AA1441)*ROW(AA$12:AA1441)+1,ROW($P$12))&amp;":W"&amp;(ROW()))))),0)</f>
        <v>26693.269999999997</v>
      </c>
      <c r="Q1442" s="99">
        <f ca="1">MAX(SUM($N$13:N1442)-SUM($T$13:T1442),0)</f>
        <v>100761.4306557377</v>
      </c>
      <c r="R1442" s="99">
        <f ca="1">Первоначальный[[#This Row],[Просроченный платеж по ОД]]+Первоначальный[[#This Row],[Просроченный платеж по процентам]]</f>
        <v>127454.70065573769</v>
      </c>
      <c r="S1442" s="120">
        <f ca="1">IF(Первоначальный[[#This Row],[Просроченный платеж]]&lt;1,0,S1441+1)</f>
        <v>1338</v>
      </c>
      <c r="T1442" s="100" cm="1">
        <f t="array" aca="1" ref="T1442" ca="1">IF(Первоначальный[[#This Row],[Итого остаток на начало периода]]&lt;1,0,
IF(
AND(TYPE(VLOOKUP(1,$Z$12:Z1442,1,0))=16,Первоначальный[[#This Row],[Досрочное погашение (да/"")]]=""),0,
_xlfn.IFS(AND(S1441=0,Первоначальный[[#This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платеж]]&lt;&gt;0),MIN(LOOKUP(,-1/($Z$12:Z1442=1),$C$12:C1442)+LOOKUP(,-1/($Z$12:Z1442=1),$H$12:H1442),Первоначальный[[#This Row],[Полученный платеж]]+Y1441),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платеж]]+Y1441,SUM(Первоначальный[[#This Row],[Остаток процентов на начало периода]],Первоначальный[[#This Row],[Проценты за период]])),
AND(S1441=0,Первоначальный[[#This Row],[Дата платежа из графика]]=""),0,
AND(S1441=0,Первоначальный[[#This Row],[Дата платежа из графика]]=1,MAX((0&lt;&gt;S$12:S1441)*ROW(S$12:S1441),ROW($S$12))&gt;=MAX((1=Z$12:Z1441)*ROW(Z$12:Z1441),ROW($T$12)),TYPE(VLOOKUP("Да",(INDIRECT("AA"&amp;(MAX((1=Z$12:Z1441)*ROW(Z$12:Z1441),ROW($T$12))&amp;":AA"&amp;(ROW()-1)))),1,0))=16),MIN(LOOKUP(,-1/($Z$12:Z1442=1),$C$12:C1442)+LOOKUP(,-1/($Z$12:Z1442=1),$H$12:H1442),Первоначальный[[#This Row],[Полученный платеж]]+Y1441),
AND(S1441=0,TYPE(VLOOKUP("Да",(INDIRECT("AA"&amp;(MAX((1=Z$12:Z1441)*ROW(Z$12:Z1441),ROW($T$12))&amp;":AA"&amp;(ROW()-1)))),1,0))&lt;&gt;16),MIN(LOOKUP(,-1/($Z$12:Z1442=1),$C$12:C1442)+LOOKUP(,-1/($Z$12:Z1442=1),$H$12:H1442)-IF(AA1441="Да",0,SUM(INDIRECT("T"&amp;(MAX(("Да"=AA$12:AA1441)*ROW(AA$12:AA1441)+1,ROW($T$12))&amp;":T"&amp;(ROW()-1))))),Первоначальный[[#This Row],[Полученный платеж]]+Y1441),
AND(S1441=0,MAX((0&lt;&gt;N$12:N1441)*ROW(N$12:N1441),ROW($S$12))&gt;=MAX((1=Z$12:Z1441)*ROW(Z$12:Z1441),ROW($T$12))),MIN(LOOKUP(,-1/($Z$12:Z1442=1),$C$12:C1442)+LOOKUP(,-1/($Z$12:Z1442=1),$H$12:H1442)-IF(N1441&lt;&gt;0,0,SUM(INDIRECT("T"&amp;(MAX((0&lt;&gt;N$12:N1441)*ROW(N$12:N1441)+1,ROW($T$12))&amp;":T"&amp;(ROW()-1))))),Первоначальный[[#This Row],[Полученный платеж]]+Y1441),
AND(S1441=0,Первоначальный[[#This Row],[Дата платежа из графика]]=1),MIN(LOOKUP(,-1/($Z$12:Z1442=1),$C$12:C1442)+LOOKUP(,-1/($Z$12:Z1442=1),$H$12:H1442)-IF(Z1441=1,0,SUM(INDIRECT("T"&amp;(MAX((1=Z$12:Z1441)*ROW(Z$12:Z1441)+1,ROW($T$12))&amp;":T"&amp;(ROW()-1))))),Первоначальный[[#This Row],[Полученный платеж]]+Y1441),
AND(Z1441&gt;0,Первоначальный[[#This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платеж]]+Y1441),
AND(S1441&gt;0,MAX((0&lt;&gt;S$12:S1441)*ROW(S$12:S1441),ROW($S$12))&gt;=MAX((1=Z$12:Z1441)*ROW(Z$12:Z1441),ROW($T$12)),TYPE(VLOOKUP("Да",(INDIRECT("AA"&amp;(MAX((1=Z$12:Z1441)*ROW(Z$12:Z1441),ROW($T$12))&amp;":AA"&amp;(ROW()-1)))),1,0))=16),MIN(LOOKUP(,-1/($Z$12:Z1442=1),$C$12:C1442)+LOOKUP(,-1/($Z$12:Z1442=1),$H$12:H1442)-SUM(INDIRECT("T"&amp;(MAX((1=Z$12:Z1441)*ROW(Z$12:Z1441),ROW($T$12))&amp;":T"&amp;(ROW()-1)))),Первоначальный[[#This Row],[Полученный платеж]]+Y1441),
S1441&gt;0,MIN(LOOKUP(,-1/($Z$12:Z1442=1),$C$12:C1442)+LOOKUP(,-1/($Z$12:Z1442=1),$H$12:H1442)-IF(Z1441=1,0,SUM(INDIRECT("T"&amp;(MAX((1=Z$12:Z1441)*ROW(Z$12:Z1441)+1,ROW($T$12))&amp;":T"&amp;(ROW()-1))))),Первоначальный[[#This Row],[Полученный платеж]]+Y1441)
)
)
)</f>
        <v>0</v>
      </c>
      <c r="U144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платеж]]+Y1441-Первоначальный[[#This Row],[Полученный платёж по процентам]])</f>
        <v>0</v>
      </c>
      <c r="V1442" s="55">
        <f t="shared" ca="1" si="267"/>
        <v>0</v>
      </c>
      <c r="W1442" s="55" cm="1">
        <f t="array" aca="1" ref="W1442" ca="1">IF(Первоначальный[[#This Row],[Итого остаток на начало периода]]&lt;1,0,
_xlfn.IFS(
AND(TYPE(VLOOKUP(1,$Z$12:Z1442,1,0))=16,Первоначальный[[#This Row],[Досрочное погашение (да/"")]]=""),0,
AND(S1441=0,Первоначальный[[#This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платеж]]+Y1441-SUM(Первоначальный[[#This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комиссиям]]),VLOOKUP(LOOKUP(,-1/($Z$12:Z1442=1),$A$12:A1442),График[[Срок конец]:[Возврат основной суммы долга]],3,0)),
AND(S1441=0,Первоначальный[[#This Row],[Дата платежа из графика]]="",Первоначальный[[#This Row],[Досрочное погашение (да/"")]]&lt;&gt;"Да"),0,
AND(S1441=0,Первоначальный[[#This Row],[Досрочное погашение (да/"")]]=""),MIN(Первоначальный[[#This Row],[Полученный платеж]]+Y1441-SUM(Первоначальный[[#This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комиссиям]]),VLOOKUP(LOOKUP(,-1/($Z$12:Z1442=1),$A$12:A1442),График[[Срок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платеж]]+Y1441-SUM(Первоначальный[[#This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S1441&gt;0,MIN(Первоначальный[[#This Row],[Полученный платеж]]+Y1441-SUM(Первоначальный[[#This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комиссиям]]),SUM(INDIRECT("M"&amp;(MAX((1=S$12:S1441)*ROW(S$12:S1441),ROW($W$12))&amp;":M"&amp;(ROW()))))-SUM(INDIRECT("W"&amp;(MAX((1=S$12:S1441)*ROW(S$12:S1441),ROW($W$12))&amp;":W"&amp;(ROW()-1)))))
)
)</f>
        <v>0</v>
      </c>
      <c r="X1442" s="55">
        <f t="shared" ca="1" si="268"/>
        <v>0</v>
      </c>
      <c r="Y1442" s="101">
        <f t="shared" ca="1" si="275"/>
        <v>0</v>
      </c>
      <c r="Z1442" s="133" t="str">
        <f>IF(TYPE((VLOOKUP(Первоначальный[[#This Row],[Дата платежа]],График[Срок конец],1,0)))=16,"",1)</f>
        <v/>
      </c>
      <c r="AA1442" s="57"/>
      <c r="AB1442" s="134"/>
      <c r="AC144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4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102705.80000000022</v>
      </c>
      <c r="AE144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8820.780000000017</v>
      </c>
      <c r="AF144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4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436416.502386885</v>
      </c>
      <c r="AH1442" s="55"/>
      <c r="AI1442" s="55"/>
      <c r="AJ1442" s="55"/>
      <c r="AK1442" s="101">
        <f t="shared" ca="1" si="276"/>
        <v>697576.42238688527</v>
      </c>
      <c r="AL1442" s="129">
        <f t="array" ref="AL1442">MAX((УслРестрактов[Характеристика]="Дата реструктуризации")*(УслРестрактов[Значение]=Первоначальный!$A1442),0)</f>
        <v>0</v>
      </c>
    </row>
    <row r="1443" spans="1:38" x14ac:dyDescent="0.25">
      <c r="A1443" s="97">
        <f t="shared" si="269"/>
        <v>45574</v>
      </c>
      <c r="B1443" s="100">
        <f t="shared" ca="1" si="270"/>
        <v>149633.34</v>
      </c>
      <c r="C1443" s="55">
        <f t="shared" ca="1" si="266"/>
        <v>102705.80000000022</v>
      </c>
      <c r="D1443" s="55">
        <f t="shared" ca="1" si="266"/>
        <v>8820.780000000017</v>
      </c>
      <c r="E1443" s="55">
        <f t="shared" ca="1" si="271"/>
        <v>0</v>
      </c>
      <c r="F1443" s="55">
        <f t="shared" ca="1" si="272"/>
        <v>436416.502386885</v>
      </c>
      <c r="G1443" s="101">
        <f t="shared" ca="1" si="273"/>
        <v>697576.42238688527</v>
      </c>
      <c r="H1443" s="100">
        <f ca="1">ROUND($B1443*VLOOKUP($A1443,$A$1:$B$10,2,1)/(365+IF(MOD(YEAR($A1443),4),0,1)*($A1443-$A1442)),2)-Первоначальный[[#This Row],[Проценты на просроченный платеж по ОД за период]]</f>
        <v>66.849999999999994</v>
      </c>
      <c r="I1443" s="55">
        <f t="shared" ca="1" si="274"/>
        <v>14.51</v>
      </c>
      <c r="J1443" s="55">
        <v>0</v>
      </c>
      <c r="K1443" s="55">
        <f t="shared" ca="1" si="277"/>
        <v>651.75850327868852</v>
      </c>
      <c r="L1443" s="55">
        <v>0</v>
      </c>
      <c r="M1443" s="113">
        <f>SUMIFS(График[Возврат основной суммы долга],График[Дата с учетом нерабочих дней],$A1443)</f>
        <v>891.67000000000007</v>
      </c>
      <c r="N1443" s="56">
        <f>SUMIFS(График[Возврат начисленных %],График[Дата с учетом нерабочих дней],$A1443)</f>
        <v>2005.33</v>
      </c>
      <c r="O1443" s="101">
        <v>0</v>
      </c>
      <c r="P1443" s="100" cm="1">
        <f t="array" aca="1" ref="P1443" ca="1">MAX(IF(AA1442="Да",0,SUM(INDIRECT("M"&amp;(MAX(("Да"=AA$12:AA1442)*ROW(AA$12:AA1442)+1,ROW($P$12))&amp;":M"&amp;(ROW()))))-SUM(INDIRECT("W"&amp;(MAX(("Да"=AA$12:AA1442)*ROW(AA$12:AA1442)+1,ROW($P$12))&amp;":W"&amp;(ROW()))))),0)</f>
        <v>27584.94</v>
      </c>
      <c r="Q1443" s="99">
        <f ca="1">MAX(SUM($N$13:N1443)-SUM($T$13:T1443),0)</f>
        <v>102766.7606557377</v>
      </c>
      <c r="R1443" s="99">
        <f ca="1">Первоначальный[[#This Row],[Просроченный платеж по ОД]]+Первоначальный[[#This Row],[Просроченный платеж по процентам]]</f>
        <v>130351.7006557377</v>
      </c>
      <c r="S1443" s="120">
        <f ca="1">IF(Первоначальный[[#This Row],[Просроченный платеж]]&lt;1,0,S1442+1)</f>
        <v>1339</v>
      </c>
      <c r="T1443" s="100" cm="1">
        <f t="array" aca="1" ref="T1443" ca="1">IF(Первоначальный[[#This Row],[Итого остаток на начало периода]]&lt;1,0,
IF(
AND(TYPE(VLOOKUP(1,$Z$12:Z1443,1,0))=16,Первоначальный[[#This Row],[Досрочное погашение (да/"")]]=""),0,
_xlfn.IFS(AND(S1442=0,Первоначальный[[#This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платеж]]&lt;&gt;0),MIN(LOOKUP(,-1/($Z$12:Z1443=1),$C$12:C1443)+LOOKUP(,-1/($Z$12:Z1443=1),$H$12:H1443),Первоначальный[[#This Row],[Полученный платеж]]+Y1442),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платеж]]+Y1442,SUM(Первоначальный[[#This Row],[Остаток процентов на начало периода]],Первоначальный[[#This Row],[Проценты за период]])),
AND(S1442=0,Первоначальный[[#This Row],[Дата платежа из графика]]=""),0,
AND(S1442=0,Первоначальный[[#This Row],[Дата платежа из графика]]=1,MAX((0&lt;&gt;S$12:S1442)*ROW(S$12:S1442),ROW($S$12))&gt;=MAX((1=Z$12:Z1442)*ROW(Z$12:Z1442),ROW($T$12)),TYPE(VLOOKUP("Да",(INDIRECT("AA"&amp;(MAX((1=Z$12:Z1442)*ROW(Z$12:Z1442),ROW($T$12))&amp;":AA"&amp;(ROW()-1)))),1,0))=16),MIN(LOOKUP(,-1/($Z$12:Z1443=1),$C$12:C1443)+LOOKUP(,-1/($Z$12:Z1443=1),$H$12:H1443),Первоначальный[[#This Row],[Полученный платеж]]+Y1442),
AND(S1442=0,TYPE(VLOOKUP("Да",(INDIRECT("AA"&amp;(MAX((1=Z$12:Z1442)*ROW(Z$12:Z1442),ROW($T$12))&amp;":AA"&amp;(ROW()-1)))),1,0))&lt;&gt;16),MIN(LOOKUP(,-1/($Z$12:Z1443=1),$C$12:C1443)+LOOKUP(,-1/($Z$12:Z1443=1),$H$12:H1443)-IF(AA1442="Да",0,SUM(INDIRECT("T"&amp;(MAX(("Да"=AA$12:AA1442)*ROW(AA$12:AA1442)+1,ROW($T$12))&amp;":T"&amp;(ROW()-1))))),Первоначальный[[#This Row],[Полученный платеж]]+Y1442),
AND(S1442=0,MAX((0&lt;&gt;N$12:N1442)*ROW(N$12:N1442),ROW($S$12))&gt;=MAX((1=Z$12:Z1442)*ROW(Z$12:Z1442),ROW($T$12))),MIN(LOOKUP(,-1/($Z$12:Z1443=1),$C$12:C1443)+LOOKUP(,-1/($Z$12:Z1443=1),$H$12:H1443)-IF(N1442&lt;&gt;0,0,SUM(INDIRECT("T"&amp;(MAX((0&lt;&gt;N$12:N1442)*ROW(N$12:N1442)+1,ROW($T$12))&amp;":T"&amp;(ROW()-1))))),Первоначальный[[#This Row],[Полученный платеж]]+Y1442),
AND(S1442=0,Первоначальный[[#This Row],[Дата платежа из графика]]=1),MIN(LOOKUP(,-1/($Z$12:Z1443=1),$C$12:C1443)+LOOKUP(,-1/($Z$12:Z1443=1),$H$12:H1443)-IF(Z1442=1,0,SUM(INDIRECT("T"&amp;(MAX((1=Z$12:Z1442)*ROW(Z$12:Z1442)+1,ROW($T$12))&amp;":T"&amp;(ROW()-1))))),Первоначальный[[#This Row],[Полученный платеж]]+Y1442),
AND(Z1442&gt;0,Первоначальный[[#This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платеж]]+Y1442),
AND(S1442&gt;0,MAX((0&lt;&gt;S$12:S1442)*ROW(S$12:S1442),ROW($S$12))&gt;=MAX((1=Z$12:Z1442)*ROW(Z$12:Z1442),ROW($T$12)),TYPE(VLOOKUP("Да",(INDIRECT("AA"&amp;(MAX((1=Z$12:Z1442)*ROW(Z$12:Z1442),ROW($T$12))&amp;":AA"&amp;(ROW()-1)))),1,0))=16),MIN(LOOKUP(,-1/($Z$12:Z1443=1),$C$12:C1443)+LOOKUP(,-1/($Z$12:Z1443=1),$H$12:H1443)-SUM(INDIRECT("T"&amp;(MAX((1=Z$12:Z1442)*ROW(Z$12:Z1442),ROW($T$12))&amp;":T"&amp;(ROW()-1)))),Первоначальный[[#This Row],[Полученный платеж]]+Y1442),
S1442&gt;0,MIN(LOOKUP(,-1/($Z$12:Z1443=1),$C$12:C1443)+LOOKUP(,-1/($Z$12:Z1443=1),$H$12:H1443)-IF(Z1442=1,0,SUM(INDIRECT("T"&amp;(MAX((1=Z$12:Z1442)*ROW(Z$12:Z1442)+1,ROW($T$12))&amp;":T"&amp;(ROW()-1))))),Первоначальный[[#This Row],[Полученный платеж]]+Y1442)
)
)
)</f>
        <v>0</v>
      </c>
      <c r="U144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платеж]]+Y1442-Первоначальный[[#This Row],[Полученный платёж по процентам]])</f>
        <v>0</v>
      </c>
      <c r="V1443" s="55">
        <f t="shared" ca="1" si="267"/>
        <v>0</v>
      </c>
      <c r="W1443" s="55" cm="1">
        <f t="array" aca="1" ref="W1443" ca="1">IF(Первоначальный[[#This Row],[Итого остаток на начало периода]]&lt;1,0,
_xlfn.IFS(
AND(TYPE(VLOOKUP(1,$Z$12:Z1443,1,0))=16,Первоначальный[[#This Row],[Досрочное погашение (да/"")]]=""),0,
AND(S1442=0,Первоначальный[[#This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платеж]]+Y1442-SUM(Первоначальный[[#This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комиссиям]]),VLOOKUP(LOOKUP(,-1/($Z$12:Z1443=1),$A$12:A1443),График[[Срок конец]:[Возврат основной суммы долга]],3,0)),
AND(S1442=0,Первоначальный[[#This Row],[Дата платежа из графика]]="",Первоначальный[[#This Row],[Досрочное погашение (да/"")]]&lt;&gt;"Да"),0,
AND(S1442=0,Первоначальный[[#This Row],[Досрочное погашение (да/"")]]=""),MIN(Первоначальный[[#This Row],[Полученный платеж]]+Y1442-SUM(Первоначальный[[#This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комиссиям]]),VLOOKUP(LOOKUP(,-1/($Z$12:Z1443=1),$A$12:A1443),График[[Срок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платеж]]+Y1442-SUM(Первоначальный[[#This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S1442&gt;0,MIN(Первоначальный[[#This Row],[Полученный платеж]]+Y1442-SUM(Первоначальный[[#This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комиссиям]]),SUM(INDIRECT("M"&amp;(MAX((1=S$12:S1442)*ROW(S$12:S1442),ROW($W$12))&amp;":M"&amp;(ROW()))))-SUM(INDIRECT("W"&amp;(MAX((1=S$12:S1442)*ROW(S$12:S1442),ROW($W$12))&amp;":W"&amp;(ROW()-1)))))
)
)</f>
        <v>0</v>
      </c>
      <c r="X1443" s="55">
        <f t="shared" ca="1" si="268"/>
        <v>0</v>
      </c>
      <c r="Y1443" s="101">
        <f t="shared" ca="1" si="275"/>
        <v>0</v>
      </c>
      <c r="Z1443" s="133">
        <f>IF(TYPE((VLOOKUP(Первоначальный[[#This Row],[Дата платежа]],График[Срок конец],1,0)))=16,"",1)</f>
        <v>1</v>
      </c>
      <c r="AA1443" s="57"/>
      <c r="AB1443" s="134"/>
      <c r="AC144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4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102772.65000000023</v>
      </c>
      <c r="AE144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8835.2900000000172</v>
      </c>
      <c r="AF144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4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437068.26089016371</v>
      </c>
      <c r="AH1443" s="55"/>
      <c r="AI1443" s="55"/>
      <c r="AJ1443" s="55"/>
      <c r="AK1443" s="101">
        <f t="shared" ca="1" si="276"/>
        <v>698309.54089016397</v>
      </c>
      <c r="AL1443" s="129">
        <f t="array" ref="AL1443">MAX((УслРестрактов[Характеристика]="Дата реструктуризации")*(УслРестрактов[Значение]=Первоначальный!$A1443),0)</f>
        <v>0</v>
      </c>
    </row>
    <row r="1444" spans="1:38" x14ac:dyDescent="0.25">
      <c r="A1444" s="97">
        <f t="shared" si="269"/>
        <v>45575</v>
      </c>
      <c r="B1444" s="100">
        <f t="shared" ca="1" si="270"/>
        <v>149633.34</v>
      </c>
      <c r="C1444" s="55">
        <f t="shared" ca="1" si="266"/>
        <v>102772.65000000023</v>
      </c>
      <c r="D1444" s="55">
        <f t="shared" ca="1" si="266"/>
        <v>8835.2900000000172</v>
      </c>
      <c r="E1444" s="55">
        <f t="shared" ca="1" si="271"/>
        <v>0</v>
      </c>
      <c r="F1444" s="55">
        <f t="shared" ca="1" si="272"/>
        <v>437068.26089016371</v>
      </c>
      <c r="G1444" s="101">
        <f t="shared" ca="1" si="273"/>
        <v>698309.54089016397</v>
      </c>
      <c r="H1444" s="100">
        <f ca="1">ROUND($B1444*VLOOKUP($A1444,$A$1:$B$10,2,1)/(365+IF(MOD(YEAR($A1444),4),0,1)*($A1444-$A1443)),2)-Первоначальный[[#This Row],[Проценты на просроченный платеж по ОД за период]]</f>
        <v>66.36</v>
      </c>
      <c r="I1444" s="55">
        <f t="shared" ca="1" si="274"/>
        <v>15</v>
      </c>
      <c r="J1444" s="55">
        <v>0</v>
      </c>
      <c r="K1444" s="55">
        <f t="shared" ca="1" si="277"/>
        <v>651.75850327868852</v>
      </c>
      <c r="L1444" s="55">
        <v>0</v>
      </c>
      <c r="M1444" s="113">
        <f>SUMIFS(График[Возврат основной суммы долга],График[Дата с учетом нерабочих дней],$A1444)</f>
        <v>0</v>
      </c>
      <c r="N1444" s="56">
        <f>SUMIFS(График[Возврат начисленных %],График[Дата с учетом нерабочих дней],$A1444)</f>
        <v>0</v>
      </c>
      <c r="O1444" s="101">
        <v>0</v>
      </c>
      <c r="P1444" s="100" cm="1">
        <f t="array" aca="1" ref="P1444" ca="1">MAX(IF(AA1443="Да",0,SUM(INDIRECT("M"&amp;(MAX(("Да"=AA$12:AA1443)*ROW(AA$12:AA1443)+1,ROW($P$12))&amp;":M"&amp;(ROW()))))-SUM(INDIRECT("W"&amp;(MAX(("Да"=AA$12:AA1443)*ROW(AA$12:AA1443)+1,ROW($P$12))&amp;":W"&amp;(ROW()))))),0)</f>
        <v>27584.94</v>
      </c>
      <c r="Q1444" s="99">
        <f ca="1">MAX(SUM($N$13:N1444)-SUM($T$13:T1444),0)</f>
        <v>102766.7606557377</v>
      </c>
      <c r="R1444" s="99">
        <f ca="1">Первоначальный[[#This Row],[Просроченный платеж по ОД]]+Первоначальный[[#This Row],[Просроченный платеж по процентам]]</f>
        <v>130351.7006557377</v>
      </c>
      <c r="S1444" s="120">
        <f ca="1">IF(Первоначальный[[#This Row],[Просроченный платеж]]&lt;1,0,S1443+1)</f>
        <v>1340</v>
      </c>
      <c r="T1444" s="100" cm="1">
        <f t="array" aca="1" ref="T1444" ca="1">IF(Первоначальный[[#This Row],[Итого остаток на начало периода]]&lt;1,0,
IF(
AND(TYPE(VLOOKUP(1,$Z$12:Z1444,1,0))=16,Первоначальный[[#This Row],[Досрочное погашение (да/"")]]=""),0,
_xlfn.IFS(AND(S1443=0,Первоначальный[[#This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платеж]]&lt;&gt;0),MIN(LOOKUP(,-1/($Z$12:Z1444=1),$C$12:C1444)+LOOKUP(,-1/($Z$12:Z1444=1),$H$12:H1444),Первоначальный[[#This Row],[Полученный платеж]]+Y1443),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платеж]]+Y1443,SUM(Первоначальный[[#This Row],[Остаток процентов на начало периода]],Первоначальный[[#This Row],[Проценты за период]])),
AND(S1443=0,Первоначальный[[#This Row],[Дата платежа из графика]]=""),0,
AND(S1443=0,Первоначальный[[#This Row],[Дата платежа из графика]]=1,MAX((0&lt;&gt;S$12:S1443)*ROW(S$12:S1443),ROW($S$12))&gt;=MAX((1=Z$12:Z1443)*ROW(Z$12:Z1443),ROW($T$12)),TYPE(VLOOKUP("Да",(INDIRECT("AA"&amp;(MAX((1=Z$12:Z1443)*ROW(Z$12:Z1443),ROW($T$12))&amp;":AA"&amp;(ROW()-1)))),1,0))=16),MIN(LOOKUP(,-1/($Z$12:Z1444=1),$C$12:C1444)+LOOKUP(,-1/($Z$12:Z1444=1),$H$12:H1444),Первоначальный[[#This Row],[Полученный платеж]]+Y1443),
AND(S1443=0,TYPE(VLOOKUP("Да",(INDIRECT("AA"&amp;(MAX((1=Z$12:Z1443)*ROW(Z$12:Z1443),ROW($T$12))&amp;":AA"&amp;(ROW()-1)))),1,0))&lt;&gt;16),MIN(LOOKUP(,-1/($Z$12:Z1444=1),$C$12:C1444)+LOOKUP(,-1/($Z$12:Z1444=1),$H$12:H1444)-IF(AA1443="Да",0,SUM(INDIRECT("T"&amp;(MAX(("Да"=AA$12:AA1443)*ROW(AA$12:AA1443)+1,ROW($T$12))&amp;":T"&amp;(ROW()-1))))),Первоначальный[[#This Row],[Полученный платеж]]+Y1443),
AND(S1443=0,MAX((0&lt;&gt;N$12:N1443)*ROW(N$12:N1443),ROW($S$12))&gt;=MAX((1=Z$12:Z1443)*ROW(Z$12:Z1443),ROW($T$12))),MIN(LOOKUP(,-1/($Z$12:Z1444=1),$C$12:C1444)+LOOKUP(,-1/($Z$12:Z1444=1),$H$12:H1444)-IF(N1443&lt;&gt;0,0,SUM(INDIRECT("T"&amp;(MAX((0&lt;&gt;N$12:N1443)*ROW(N$12:N1443)+1,ROW($T$12))&amp;":T"&amp;(ROW()-1))))),Первоначальный[[#This Row],[Полученный платеж]]+Y1443),
AND(S1443=0,Первоначальный[[#This Row],[Дата платежа из графика]]=1),MIN(LOOKUP(,-1/($Z$12:Z1444=1),$C$12:C1444)+LOOKUP(,-1/($Z$12:Z1444=1),$H$12:H1444)-IF(Z1443=1,0,SUM(INDIRECT("T"&amp;(MAX((1=Z$12:Z1443)*ROW(Z$12:Z1443)+1,ROW($T$12))&amp;":T"&amp;(ROW()-1))))),Первоначальный[[#This Row],[Полученный платеж]]+Y1443),
AND(Z1443&gt;0,Первоначальный[[#This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платеж]]+Y1443),
AND(S1443&gt;0,MAX((0&lt;&gt;S$12:S1443)*ROW(S$12:S1443),ROW($S$12))&gt;=MAX((1=Z$12:Z1443)*ROW(Z$12:Z1443),ROW($T$12)),TYPE(VLOOKUP("Да",(INDIRECT("AA"&amp;(MAX((1=Z$12:Z1443)*ROW(Z$12:Z1443),ROW($T$12))&amp;":AA"&amp;(ROW()-1)))),1,0))=16),MIN(LOOKUP(,-1/($Z$12:Z1444=1),$C$12:C1444)+LOOKUP(,-1/($Z$12:Z1444=1),$H$12:H1444)-SUM(INDIRECT("T"&amp;(MAX((1=Z$12:Z1443)*ROW(Z$12:Z1443),ROW($T$12))&amp;":T"&amp;(ROW()-1)))),Первоначальный[[#This Row],[Полученный платеж]]+Y1443),
S1443&gt;0,MIN(LOOKUP(,-1/($Z$12:Z1444=1),$C$12:C1444)+LOOKUP(,-1/($Z$12:Z1444=1),$H$12:H1444)-IF(Z1443=1,0,SUM(INDIRECT("T"&amp;(MAX((1=Z$12:Z1443)*ROW(Z$12:Z1443)+1,ROW($T$12))&amp;":T"&amp;(ROW()-1))))),Первоначальный[[#This Row],[Полученный платеж]]+Y1443)
)
)
)</f>
        <v>0</v>
      </c>
      <c r="U144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платеж]]+Y1443-Первоначальный[[#This Row],[Полученный платёж по процентам]])</f>
        <v>0</v>
      </c>
      <c r="V1444" s="55">
        <f t="shared" ca="1" si="267"/>
        <v>0</v>
      </c>
      <c r="W1444" s="55" cm="1">
        <f t="array" aca="1" ref="W1444" ca="1">IF(Первоначальный[[#This Row],[Итого остаток на начало периода]]&lt;1,0,
_xlfn.IFS(
AND(TYPE(VLOOKUP(1,$Z$12:Z1444,1,0))=16,Первоначальный[[#This Row],[Досрочное погашение (да/"")]]=""),0,
AND(S1443=0,Первоначальный[[#This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платеж]]+Y1443-SUM(Первоначальный[[#This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комиссиям]]),VLOOKUP(LOOKUP(,-1/($Z$12:Z1444=1),$A$12:A1444),График[[Срок конец]:[Возврат основной суммы долга]],3,0)),
AND(S1443=0,Первоначальный[[#This Row],[Дата платежа из графика]]="",Первоначальный[[#This Row],[Досрочное погашение (да/"")]]&lt;&gt;"Да"),0,
AND(S1443=0,Первоначальный[[#This Row],[Досрочное погашение (да/"")]]=""),MIN(Первоначальный[[#This Row],[Полученный платеж]]+Y1443-SUM(Первоначальный[[#This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комиссиям]]),VLOOKUP(LOOKUP(,-1/($Z$12:Z1444=1),$A$12:A1444),График[[Срок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платеж]]+Y1443-SUM(Первоначальный[[#This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S1443&gt;0,MIN(Первоначальный[[#This Row],[Полученный платеж]]+Y1443-SUM(Первоначальный[[#This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комиссиям]]),SUM(INDIRECT("M"&amp;(MAX((1=S$12:S1443)*ROW(S$12:S1443),ROW($W$12))&amp;":M"&amp;(ROW()))))-SUM(INDIRECT("W"&amp;(MAX((1=S$12:S1443)*ROW(S$12:S1443),ROW($W$12))&amp;":W"&amp;(ROW()-1)))))
)
)</f>
        <v>0</v>
      </c>
      <c r="X1444" s="55">
        <f t="shared" ca="1" si="268"/>
        <v>0</v>
      </c>
      <c r="Y1444" s="101">
        <f t="shared" ca="1" si="275"/>
        <v>0</v>
      </c>
      <c r="Z1444" s="133" t="str">
        <f>IF(TYPE((VLOOKUP(Первоначальный[[#This Row],[Дата платежа]],График[Срок конец],1,0)))=16,"",1)</f>
        <v/>
      </c>
      <c r="AA1444" s="57"/>
      <c r="AB1444" s="134"/>
      <c r="AC144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4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102839.01000000023</v>
      </c>
      <c r="AE144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8850.2900000000172</v>
      </c>
      <c r="AF144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4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437720.01939344243</v>
      </c>
      <c r="AH1444" s="55"/>
      <c r="AI1444" s="55"/>
      <c r="AJ1444" s="55"/>
      <c r="AK1444" s="101">
        <f t="shared" ca="1" si="276"/>
        <v>699042.65939344268</v>
      </c>
      <c r="AL1444" s="129">
        <f t="array" ref="AL1444">MAX((УслРестрактов[Характеристика]="Дата реструктуризации")*(УслРестрактов[Значение]=Первоначальный!$A1444),0)</f>
        <v>0</v>
      </c>
    </row>
    <row r="1445" spans="1:38" x14ac:dyDescent="0.25">
      <c r="A1445" s="97">
        <f t="shared" si="269"/>
        <v>45576</v>
      </c>
      <c r="B1445" s="100">
        <f t="shared" ca="1" si="270"/>
        <v>149633.34</v>
      </c>
      <c r="C1445" s="55">
        <f t="shared" ca="1" si="266"/>
        <v>102839.01000000023</v>
      </c>
      <c r="D1445" s="55">
        <f t="shared" ca="1" si="266"/>
        <v>8850.2900000000172</v>
      </c>
      <c r="E1445" s="55">
        <f t="shared" ca="1" si="271"/>
        <v>0</v>
      </c>
      <c r="F1445" s="55">
        <f t="shared" ca="1" si="272"/>
        <v>437720.01939344243</v>
      </c>
      <c r="G1445" s="101">
        <f t="shared" ca="1" si="273"/>
        <v>699042.65939344268</v>
      </c>
      <c r="H1445" s="100">
        <f ca="1">ROUND($B1445*VLOOKUP($A1445,$A$1:$B$10,2,1)/(365+IF(MOD(YEAR($A1445),4),0,1)*($A1445-$A1444)),2)-Первоначальный[[#This Row],[Проценты на просроченный платеж по ОД за период]]</f>
        <v>66.36</v>
      </c>
      <c r="I1445" s="55">
        <f t="shared" ca="1" si="274"/>
        <v>15</v>
      </c>
      <c r="J1445" s="55">
        <v>0</v>
      </c>
      <c r="K1445" s="55">
        <f t="shared" ca="1" si="277"/>
        <v>651.75850327868852</v>
      </c>
      <c r="L1445" s="55">
        <v>0</v>
      </c>
      <c r="M1445" s="113">
        <f>SUMIFS(График[Возврат основной суммы долга],График[Дата с учетом нерабочих дней],$A1445)</f>
        <v>0</v>
      </c>
      <c r="N1445" s="56">
        <f>SUMIFS(График[Возврат начисленных %],График[Дата с учетом нерабочих дней],$A1445)</f>
        <v>0</v>
      </c>
      <c r="O1445" s="101">
        <v>0</v>
      </c>
      <c r="P1445" s="100" cm="1">
        <f t="array" aca="1" ref="P1445" ca="1">MAX(IF(AA1444="Да",0,SUM(INDIRECT("M"&amp;(MAX(("Да"=AA$12:AA1444)*ROW(AA$12:AA1444)+1,ROW($P$12))&amp;":M"&amp;(ROW()))))-SUM(INDIRECT("W"&amp;(MAX(("Да"=AA$12:AA1444)*ROW(AA$12:AA1444)+1,ROW($P$12))&amp;":W"&amp;(ROW()))))),0)</f>
        <v>27584.94</v>
      </c>
      <c r="Q1445" s="99">
        <f ca="1">MAX(SUM($N$13:N1445)-SUM($T$13:T1445),0)</f>
        <v>102766.7606557377</v>
      </c>
      <c r="R1445" s="99">
        <f ca="1">Первоначальный[[#This Row],[Просроченный платеж по ОД]]+Первоначальный[[#This Row],[Просроченный платеж по процентам]]</f>
        <v>130351.7006557377</v>
      </c>
      <c r="S1445" s="120">
        <f ca="1">IF(Первоначальный[[#This Row],[Просроченный платеж]]&lt;1,0,S1444+1)</f>
        <v>1341</v>
      </c>
      <c r="T1445" s="100" cm="1">
        <f t="array" aca="1" ref="T1445" ca="1">IF(Первоначальный[[#This Row],[Итого остаток на начало периода]]&lt;1,0,
IF(
AND(TYPE(VLOOKUP(1,$Z$12:Z1445,1,0))=16,Первоначальный[[#This Row],[Досрочное погашение (да/"")]]=""),0,
_xlfn.IFS(AND(S1444=0,Первоначальный[[#This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платеж]]&lt;&gt;0),MIN(LOOKUP(,-1/($Z$12:Z1445=1),$C$12:C1445)+LOOKUP(,-1/($Z$12:Z1445=1),$H$12:H1445),Первоначальный[[#This Row],[Полученный платеж]]+Y1444),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платеж]]+Y1444,SUM(Первоначальный[[#This Row],[Остаток процентов на начало периода]],Первоначальный[[#This Row],[Проценты за период]])),
AND(S1444=0,Первоначальный[[#This Row],[Дата платежа из графика]]=""),0,
AND(S1444=0,Первоначальный[[#This Row],[Дата платежа из графика]]=1,MAX((0&lt;&gt;S$12:S1444)*ROW(S$12:S1444),ROW($S$12))&gt;=MAX((1=Z$12:Z1444)*ROW(Z$12:Z1444),ROW($T$12)),TYPE(VLOOKUP("Да",(INDIRECT("AA"&amp;(MAX((1=Z$12:Z1444)*ROW(Z$12:Z1444),ROW($T$12))&amp;":AA"&amp;(ROW()-1)))),1,0))=16),MIN(LOOKUP(,-1/($Z$12:Z1445=1),$C$12:C1445)+LOOKUP(,-1/($Z$12:Z1445=1),$H$12:H1445),Первоначальный[[#This Row],[Полученный платеж]]+Y1444),
AND(S1444=0,TYPE(VLOOKUP("Да",(INDIRECT("AA"&amp;(MAX((1=Z$12:Z1444)*ROW(Z$12:Z1444),ROW($T$12))&amp;":AA"&amp;(ROW()-1)))),1,0))&lt;&gt;16),MIN(LOOKUP(,-1/($Z$12:Z1445=1),$C$12:C1445)+LOOKUP(,-1/($Z$12:Z1445=1),$H$12:H1445)-IF(AA1444="Да",0,SUM(INDIRECT("T"&amp;(MAX(("Да"=AA$12:AA1444)*ROW(AA$12:AA1444)+1,ROW($T$12))&amp;":T"&amp;(ROW()-1))))),Первоначальный[[#This Row],[Полученный платеж]]+Y1444),
AND(S1444=0,MAX((0&lt;&gt;N$12:N1444)*ROW(N$12:N1444),ROW($S$12))&gt;=MAX((1=Z$12:Z1444)*ROW(Z$12:Z1444),ROW($T$12))),MIN(LOOKUP(,-1/($Z$12:Z1445=1),$C$12:C1445)+LOOKUP(,-1/($Z$12:Z1445=1),$H$12:H1445)-IF(N1444&lt;&gt;0,0,SUM(INDIRECT("T"&amp;(MAX((0&lt;&gt;N$12:N1444)*ROW(N$12:N1444)+1,ROW($T$12))&amp;":T"&amp;(ROW()-1))))),Первоначальный[[#This Row],[Полученный платеж]]+Y1444),
AND(S1444=0,Первоначальный[[#This Row],[Дата платежа из графика]]=1),MIN(LOOKUP(,-1/($Z$12:Z1445=1),$C$12:C1445)+LOOKUP(,-1/($Z$12:Z1445=1),$H$12:H1445)-IF(Z1444=1,0,SUM(INDIRECT("T"&amp;(MAX((1=Z$12:Z1444)*ROW(Z$12:Z1444)+1,ROW($T$12))&amp;":T"&amp;(ROW()-1))))),Первоначальный[[#This Row],[Полученный платеж]]+Y1444),
AND(Z1444&gt;0,Первоначальный[[#This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платеж]]+Y1444),
AND(S1444&gt;0,MAX((0&lt;&gt;S$12:S1444)*ROW(S$12:S1444),ROW($S$12))&gt;=MAX((1=Z$12:Z1444)*ROW(Z$12:Z1444),ROW($T$12)),TYPE(VLOOKUP("Да",(INDIRECT("AA"&amp;(MAX((1=Z$12:Z1444)*ROW(Z$12:Z1444),ROW($T$12))&amp;":AA"&amp;(ROW()-1)))),1,0))=16),MIN(LOOKUP(,-1/($Z$12:Z1445=1),$C$12:C1445)+LOOKUP(,-1/($Z$12:Z1445=1),$H$12:H1445)-SUM(INDIRECT("T"&amp;(MAX((1=Z$12:Z1444)*ROW(Z$12:Z1444),ROW($T$12))&amp;":T"&amp;(ROW()-1)))),Первоначальный[[#This Row],[Полученный платеж]]+Y1444),
S1444&gt;0,MIN(LOOKUP(,-1/($Z$12:Z1445=1),$C$12:C1445)+LOOKUP(,-1/($Z$12:Z1445=1),$H$12:H1445)-IF(Z1444=1,0,SUM(INDIRECT("T"&amp;(MAX((1=Z$12:Z1444)*ROW(Z$12:Z1444)+1,ROW($T$12))&amp;":T"&amp;(ROW()-1))))),Первоначальный[[#This Row],[Полученный платеж]]+Y1444)
)
)
)</f>
        <v>0</v>
      </c>
      <c r="U144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платеж]]+Y1444-Первоначальный[[#This Row],[Полученный платёж по процентам]])</f>
        <v>0</v>
      </c>
      <c r="V1445" s="55">
        <f t="shared" ca="1" si="267"/>
        <v>0</v>
      </c>
      <c r="W1445" s="55" cm="1">
        <f t="array" aca="1" ref="W1445" ca="1">IF(Первоначальный[[#This Row],[Итого остаток на начало периода]]&lt;1,0,
_xlfn.IFS(
AND(TYPE(VLOOKUP(1,$Z$12:Z1445,1,0))=16,Первоначальный[[#This Row],[Досрочное погашение (да/"")]]=""),0,
AND(S1444=0,Первоначальный[[#This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платеж]]+Y1444-SUM(Первоначальный[[#This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комиссиям]]),VLOOKUP(LOOKUP(,-1/($Z$12:Z1445=1),$A$12:A1445),График[[Срок конец]:[Возврат основной суммы долга]],3,0)),
AND(S1444=0,Первоначальный[[#This Row],[Дата платежа из графика]]="",Первоначальный[[#This Row],[Досрочное погашение (да/"")]]&lt;&gt;"Да"),0,
AND(S1444=0,Первоначальный[[#This Row],[Досрочное погашение (да/"")]]=""),MIN(Первоначальный[[#This Row],[Полученный платеж]]+Y1444-SUM(Первоначальный[[#This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комиссиям]]),VLOOKUP(LOOKUP(,-1/($Z$12:Z1445=1),$A$12:A1445),График[[Срок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платеж]]+Y1444-SUM(Первоначальный[[#This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S1444&gt;0,MIN(Первоначальный[[#This Row],[Полученный платеж]]+Y1444-SUM(Первоначальный[[#This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комиссиям]]),SUM(INDIRECT("M"&amp;(MAX((1=S$12:S1444)*ROW(S$12:S1444),ROW($W$12))&amp;":M"&amp;(ROW()))))-SUM(INDIRECT("W"&amp;(MAX((1=S$12:S1444)*ROW(S$12:S1444),ROW($W$12))&amp;":W"&amp;(ROW()-1)))))
)
)</f>
        <v>0</v>
      </c>
      <c r="X1445" s="55">
        <f t="shared" ca="1" si="268"/>
        <v>0</v>
      </c>
      <c r="Y1445" s="101">
        <f t="shared" ca="1" si="275"/>
        <v>0</v>
      </c>
      <c r="Z1445" s="133" t="str">
        <f>IF(TYPE((VLOOKUP(Первоначальный[[#This Row],[Дата платежа]],График[Срок конец],1,0)))=16,"",1)</f>
        <v/>
      </c>
      <c r="AA1445" s="57"/>
      <c r="AB1445" s="134"/>
      <c r="AC144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4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102905.37000000023</v>
      </c>
      <c r="AE144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8865.2900000000172</v>
      </c>
      <c r="AF144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4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438371.77789672115</v>
      </c>
      <c r="AH1445" s="55"/>
      <c r="AI1445" s="55"/>
      <c r="AJ1445" s="55"/>
      <c r="AK1445" s="101">
        <f t="shared" ca="1" si="276"/>
        <v>699775.77789672138</v>
      </c>
      <c r="AL1445" s="129">
        <f t="array" ref="AL1445">MAX((УслРестрактов[Характеристика]="Дата реструктуризации")*(УслРестрактов[Значение]=Первоначальный!$A1445),0)</f>
        <v>0</v>
      </c>
    </row>
    <row r="1446" spans="1:38" x14ac:dyDescent="0.25">
      <c r="A1446" s="97">
        <f t="shared" si="269"/>
        <v>45577</v>
      </c>
      <c r="B1446" s="100">
        <f t="shared" ca="1" si="270"/>
        <v>149633.34</v>
      </c>
      <c r="C1446" s="55">
        <f t="shared" ca="1" si="266"/>
        <v>102905.37000000023</v>
      </c>
      <c r="D1446" s="55">
        <f t="shared" ca="1" si="266"/>
        <v>8865.2900000000172</v>
      </c>
      <c r="E1446" s="55">
        <f t="shared" ca="1" si="271"/>
        <v>0</v>
      </c>
      <c r="F1446" s="55">
        <f t="shared" ca="1" si="272"/>
        <v>438371.77789672115</v>
      </c>
      <c r="G1446" s="101">
        <f t="shared" ca="1" si="273"/>
        <v>699775.77789672138</v>
      </c>
      <c r="H1446" s="100">
        <f ca="1">ROUND($B1446*VLOOKUP($A1446,$A$1:$B$10,2,1)/(365+IF(MOD(YEAR($A1446),4),0,1)*($A1446-$A1445)),2)-Первоначальный[[#This Row],[Проценты на просроченный платеж по ОД за период]]</f>
        <v>66.36</v>
      </c>
      <c r="I1446" s="55">
        <f t="shared" ca="1" si="274"/>
        <v>15</v>
      </c>
      <c r="J1446" s="55">
        <v>0</v>
      </c>
      <c r="K1446" s="55">
        <f t="shared" ca="1" si="277"/>
        <v>651.75850327868852</v>
      </c>
      <c r="L1446" s="55">
        <v>0</v>
      </c>
      <c r="M1446" s="113">
        <f>SUMIFS(График[Возврат основной суммы долга],График[Дата с учетом нерабочих дней],$A1446)</f>
        <v>0</v>
      </c>
      <c r="N1446" s="56">
        <f>SUMIFS(График[Возврат начисленных %],График[Дата с учетом нерабочих дней],$A1446)</f>
        <v>0</v>
      </c>
      <c r="O1446" s="101">
        <v>0</v>
      </c>
      <c r="P1446" s="100" cm="1">
        <f t="array" aca="1" ref="P1446" ca="1">MAX(IF(AA1445="Да",0,SUM(INDIRECT("M"&amp;(MAX(("Да"=AA$12:AA1445)*ROW(AA$12:AA1445)+1,ROW($P$12))&amp;":M"&amp;(ROW()))))-SUM(INDIRECT("W"&amp;(MAX(("Да"=AA$12:AA1445)*ROW(AA$12:AA1445)+1,ROW($P$12))&amp;":W"&amp;(ROW()))))),0)</f>
        <v>27584.94</v>
      </c>
      <c r="Q1446" s="99">
        <f ca="1">MAX(SUM($N$13:N1446)-SUM($T$13:T1446),0)</f>
        <v>102766.7606557377</v>
      </c>
      <c r="R1446" s="99">
        <f ca="1">Первоначальный[[#This Row],[Просроченный платеж по ОД]]+Первоначальный[[#This Row],[Просроченный платеж по процентам]]</f>
        <v>130351.7006557377</v>
      </c>
      <c r="S1446" s="120">
        <f ca="1">IF(Первоначальный[[#This Row],[Просроченный платеж]]&lt;1,0,S1445+1)</f>
        <v>1342</v>
      </c>
      <c r="T1446" s="100" cm="1">
        <f t="array" aca="1" ref="T1446" ca="1">IF(Первоначальный[[#This Row],[Итого остаток на начало периода]]&lt;1,0,
IF(
AND(TYPE(VLOOKUP(1,$Z$12:Z1446,1,0))=16,Первоначальный[[#This Row],[Досрочное погашение (да/"")]]=""),0,
_xlfn.IFS(AND(S1445=0,Первоначальный[[#This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платеж]]&lt;&gt;0),MIN(LOOKUP(,-1/($Z$12:Z1446=1),$C$12:C1446)+LOOKUP(,-1/($Z$12:Z1446=1),$H$12:H1446),Первоначальный[[#This Row],[Полученный платеж]]+Y1445),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платеж]]+Y1445,SUM(Первоначальный[[#This Row],[Остаток процентов на начало периода]],Первоначальный[[#This Row],[Проценты за период]])),
AND(S1445=0,Первоначальный[[#This Row],[Дата платежа из графика]]=""),0,
AND(S1445=0,Первоначальный[[#This Row],[Дата платежа из графика]]=1,MAX((0&lt;&gt;S$12:S1445)*ROW(S$12:S1445),ROW($S$12))&gt;=MAX((1=Z$12:Z1445)*ROW(Z$12:Z1445),ROW($T$12)),TYPE(VLOOKUP("Да",(INDIRECT("AA"&amp;(MAX((1=Z$12:Z1445)*ROW(Z$12:Z1445),ROW($T$12))&amp;":AA"&amp;(ROW()-1)))),1,0))=16),MIN(LOOKUP(,-1/($Z$12:Z1446=1),$C$12:C1446)+LOOKUP(,-1/($Z$12:Z1446=1),$H$12:H1446),Первоначальный[[#This Row],[Полученный платеж]]+Y1445),
AND(S1445=0,TYPE(VLOOKUP("Да",(INDIRECT("AA"&amp;(MAX((1=Z$12:Z1445)*ROW(Z$12:Z1445),ROW($T$12))&amp;":AA"&amp;(ROW()-1)))),1,0))&lt;&gt;16),MIN(LOOKUP(,-1/($Z$12:Z1446=1),$C$12:C1446)+LOOKUP(,-1/($Z$12:Z1446=1),$H$12:H1446)-IF(AA1445="Да",0,SUM(INDIRECT("T"&amp;(MAX(("Да"=AA$12:AA1445)*ROW(AA$12:AA1445)+1,ROW($T$12))&amp;":T"&amp;(ROW()-1))))),Первоначальный[[#This Row],[Полученный платеж]]+Y1445),
AND(S1445=0,MAX((0&lt;&gt;N$12:N1445)*ROW(N$12:N1445),ROW($S$12))&gt;=MAX((1=Z$12:Z1445)*ROW(Z$12:Z1445),ROW($T$12))),MIN(LOOKUP(,-1/($Z$12:Z1446=1),$C$12:C1446)+LOOKUP(,-1/($Z$12:Z1446=1),$H$12:H1446)-IF(N1445&lt;&gt;0,0,SUM(INDIRECT("T"&amp;(MAX((0&lt;&gt;N$12:N1445)*ROW(N$12:N1445)+1,ROW($T$12))&amp;":T"&amp;(ROW()-1))))),Первоначальный[[#This Row],[Полученный платеж]]+Y1445),
AND(S1445=0,Первоначальный[[#This Row],[Дата платежа из графика]]=1),MIN(LOOKUP(,-1/($Z$12:Z1446=1),$C$12:C1446)+LOOKUP(,-1/($Z$12:Z1446=1),$H$12:H1446)-IF(Z1445=1,0,SUM(INDIRECT("T"&amp;(MAX((1=Z$12:Z1445)*ROW(Z$12:Z1445)+1,ROW($T$12))&amp;":T"&amp;(ROW()-1))))),Первоначальный[[#This Row],[Полученный платеж]]+Y1445),
AND(Z1445&gt;0,Первоначальный[[#This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платеж]]+Y1445),
AND(S1445&gt;0,MAX((0&lt;&gt;S$12:S1445)*ROW(S$12:S1445),ROW($S$12))&gt;=MAX((1=Z$12:Z1445)*ROW(Z$12:Z1445),ROW($T$12)),TYPE(VLOOKUP("Да",(INDIRECT("AA"&amp;(MAX((1=Z$12:Z1445)*ROW(Z$12:Z1445),ROW($T$12))&amp;":AA"&amp;(ROW()-1)))),1,0))=16),MIN(LOOKUP(,-1/($Z$12:Z1446=1),$C$12:C1446)+LOOKUP(,-1/($Z$12:Z1446=1),$H$12:H1446)-SUM(INDIRECT("T"&amp;(MAX((1=Z$12:Z1445)*ROW(Z$12:Z1445),ROW($T$12))&amp;":T"&amp;(ROW()-1)))),Первоначальный[[#This Row],[Полученный платеж]]+Y1445),
S1445&gt;0,MIN(LOOKUP(,-1/($Z$12:Z1446=1),$C$12:C1446)+LOOKUP(,-1/($Z$12:Z1446=1),$H$12:H1446)-IF(Z1445=1,0,SUM(INDIRECT("T"&amp;(MAX((1=Z$12:Z1445)*ROW(Z$12:Z1445)+1,ROW($T$12))&amp;":T"&amp;(ROW()-1))))),Первоначальный[[#This Row],[Полученный платеж]]+Y1445)
)
)
)</f>
        <v>0</v>
      </c>
      <c r="U144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платеж]]+Y1445-Первоначальный[[#This Row],[Полученный платёж по процентам]])</f>
        <v>0</v>
      </c>
      <c r="V1446" s="55">
        <f t="shared" ca="1" si="267"/>
        <v>0</v>
      </c>
      <c r="W1446" s="55" cm="1">
        <f t="array" aca="1" ref="W1446" ca="1">IF(Первоначальный[[#This Row],[Итого остаток на начало периода]]&lt;1,0,
_xlfn.IFS(
AND(TYPE(VLOOKUP(1,$Z$12:Z1446,1,0))=16,Первоначальный[[#This Row],[Досрочное погашение (да/"")]]=""),0,
AND(S1445=0,Первоначальный[[#This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платеж]]+Y1445-SUM(Первоначальный[[#This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комиссиям]]),VLOOKUP(LOOKUP(,-1/($Z$12:Z1446=1),$A$12:A1446),График[[Срок конец]:[Возврат основной суммы долга]],3,0)),
AND(S1445=0,Первоначальный[[#This Row],[Дата платежа из графика]]="",Первоначальный[[#This Row],[Досрочное погашение (да/"")]]&lt;&gt;"Да"),0,
AND(S1445=0,Первоначальный[[#This Row],[Досрочное погашение (да/"")]]=""),MIN(Первоначальный[[#This Row],[Полученный платеж]]+Y1445-SUM(Первоначальный[[#This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комиссиям]]),VLOOKUP(LOOKUP(,-1/($Z$12:Z1446=1),$A$12:A1446),График[[Срок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платеж]]+Y1445-SUM(Первоначальный[[#This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S1445&gt;0,MIN(Первоначальный[[#This Row],[Полученный платеж]]+Y1445-SUM(Первоначальный[[#This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комиссиям]]),SUM(INDIRECT("M"&amp;(MAX((1=S$12:S1445)*ROW(S$12:S1445),ROW($W$12))&amp;":M"&amp;(ROW()))))-SUM(INDIRECT("W"&amp;(MAX((1=S$12:S1445)*ROW(S$12:S1445),ROW($W$12))&amp;":W"&amp;(ROW()-1)))))
)
)</f>
        <v>0</v>
      </c>
      <c r="X1446" s="55">
        <f t="shared" ca="1" si="268"/>
        <v>0</v>
      </c>
      <c r="Y1446" s="101">
        <f t="shared" ca="1" si="275"/>
        <v>0</v>
      </c>
      <c r="Z1446" s="133" t="str">
        <f>IF(TYPE((VLOOKUP(Первоначальный[[#This Row],[Дата платежа]],График[Срок конец],1,0)))=16,"",1)</f>
        <v/>
      </c>
      <c r="AA1446" s="57"/>
      <c r="AB1446" s="134"/>
      <c r="AC144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4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102971.73000000023</v>
      </c>
      <c r="AE144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8880.2900000000172</v>
      </c>
      <c r="AF144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4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439023.53639999987</v>
      </c>
      <c r="AH1446" s="55"/>
      <c r="AI1446" s="55"/>
      <c r="AJ1446" s="55"/>
      <c r="AK1446" s="101">
        <f t="shared" ca="1" si="276"/>
        <v>700508.89640000009</v>
      </c>
      <c r="AL1446" s="129">
        <f t="array" ref="AL1446">MAX((УслРестрактов[Характеристика]="Дата реструктуризации")*(УслРестрактов[Значение]=Первоначальный!$A1446),0)</f>
        <v>0</v>
      </c>
    </row>
    <row r="1447" spans="1:38" x14ac:dyDescent="0.25">
      <c r="A1447" s="97">
        <f t="shared" si="269"/>
        <v>45578</v>
      </c>
      <c r="B1447" s="100">
        <f t="shared" ca="1" si="270"/>
        <v>149633.34</v>
      </c>
      <c r="C1447" s="55">
        <f t="shared" ca="1" si="266"/>
        <v>102971.73000000023</v>
      </c>
      <c r="D1447" s="55">
        <f t="shared" ca="1" si="266"/>
        <v>8880.2900000000172</v>
      </c>
      <c r="E1447" s="55">
        <f t="shared" ca="1" si="271"/>
        <v>0</v>
      </c>
      <c r="F1447" s="55">
        <f t="shared" ca="1" si="272"/>
        <v>439023.53639999987</v>
      </c>
      <c r="G1447" s="101">
        <f t="shared" ca="1" si="273"/>
        <v>700508.89640000009</v>
      </c>
      <c r="H1447" s="100">
        <f ca="1">ROUND($B1447*VLOOKUP($A1447,$A$1:$B$10,2,1)/(365+IF(MOD(YEAR($A1447),4),0,1)*($A1447-$A1446)),2)-Первоначальный[[#This Row],[Проценты на просроченный платеж по ОД за период]]</f>
        <v>66.36</v>
      </c>
      <c r="I1447" s="55">
        <f t="shared" ca="1" si="274"/>
        <v>15</v>
      </c>
      <c r="J1447" s="55">
        <v>0</v>
      </c>
      <c r="K1447" s="55">
        <f t="shared" ca="1" si="277"/>
        <v>651.75850327868852</v>
      </c>
      <c r="L1447" s="55">
        <v>0</v>
      </c>
      <c r="M1447" s="113">
        <f>SUMIFS(График[Возврат основной суммы долга],График[Дата с учетом нерабочих дней],$A1447)</f>
        <v>0</v>
      </c>
      <c r="N1447" s="56">
        <f>SUMIFS(График[Возврат начисленных %],График[Дата с учетом нерабочих дней],$A1447)</f>
        <v>0</v>
      </c>
      <c r="O1447" s="101">
        <v>0</v>
      </c>
      <c r="P1447" s="100" cm="1">
        <f t="array" aca="1" ref="P1447" ca="1">MAX(IF(AA1446="Да",0,SUM(INDIRECT("M"&amp;(MAX(("Да"=AA$12:AA1446)*ROW(AA$12:AA1446)+1,ROW($P$12))&amp;":M"&amp;(ROW()))))-SUM(INDIRECT("W"&amp;(MAX(("Да"=AA$12:AA1446)*ROW(AA$12:AA1446)+1,ROW($P$12))&amp;":W"&amp;(ROW()))))),0)</f>
        <v>27584.94</v>
      </c>
      <c r="Q1447" s="99">
        <f ca="1">MAX(SUM($N$13:N1447)-SUM($T$13:T1447),0)</f>
        <v>102766.7606557377</v>
      </c>
      <c r="R1447" s="99">
        <f ca="1">Первоначальный[[#This Row],[Просроченный платеж по ОД]]+Первоначальный[[#This Row],[Просроченный платеж по процентам]]</f>
        <v>130351.7006557377</v>
      </c>
      <c r="S1447" s="120">
        <f ca="1">IF(Первоначальный[[#This Row],[Просроченный платеж]]&lt;1,0,S1446+1)</f>
        <v>1343</v>
      </c>
      <c r="T1447" s="100" cm="1">
        <f t="array" aca="1" ref="T1447" ca="1">IF(Первоначальный[[#This Row],[Итого остаток на начало периода]]&lt;1,0,
IF(
AND(TYPE(VLOOKUP(1,$Z$12:Z1447,1,0))=16,Первоначальный[[#This Row],[Досрочное погашение (да/"")]]=""),0,
_xlfn.IFS(AND(S1446=0,Первоначальный[[#This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платеж]]&lt;&gt;0),MIN(LOOKUP(,-1/($Z$12:Z1447=1),$C$12:C1447)+LOOKUP(,-1/($Z$12:Z1447=1),$H$12:H1447),Первоначальный[[#This Row],[Полученный платеж]]+Y1446),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платеж]]+Y1446,SUM(Первоначальный[[#This Row],[Остаток процентов на начало периода]],Первоначальный[[#This Row],[Проценты за период]])),
AND(S1446=0,Первоначальный[[#This Row],[Дата платежа из графика]]=""),0,
AND(S1446=0,Первоначальный[[#This Row],[Дата платежа из графика]]=1,MAX((0&lt;&gt;S$12:S1446)*ROW(S$12:S1446),ROW($S$12))&gt;=MAX((1=Z$12:Z1446)*ROW(Z$12:Z1446),ROW($T$12)),TYPE(VLOOKUP("Да",(INDIRECT("AA"&amp;(MAX((1=Z$12:Z1446)*ROW(Z$12:Z1446),ROW($T$12))&amp;":AA"&amp;(ROW()-1)))),1,0))=16),MIN(LOOKUP(,-1/($Z$12:Z1447=1),$C$12:C1447)+LOOKUP(,-1/($Z$12:Z1447=1),$H$12:H1447),Первоначальный[[#This Row],[Полученный платеж]]+Y1446),
AND(S1446=0,TYPE(VLOOKUP("Да",(INDIRECT("AA"&amp;(MAX((1=Z$12:Z1446)*ROW(Z$12:Z1446),ROW($T$12))&amp;":AA"&amp;(ROW()-1)))),1,0))&lt;&gt;16),MIN(LOOKUP(,-1/($Z$12:Z1447=1),$C$12:C1447)+LOOKUP(,-1/($Z$12:Z1447=1),$H$12:H1447)-IF(AA1446="Да",0,SUM(INDIRECT("T"&amp;(MAX(("Да"=AA$12:AA1446)*ROW(AA$12:AA1446)+1,ROW($T$12))&amp;":T"&amp;(ROW()-1))))),Первоначальный[[#This Row],[Полученный платеж]]+Y1446),
AND(S1446=0,MAX((0&lt;&gt;N$12:N1446)*ROW(N$12:N1446),ROW($S$12))&gt;=MAX((1=Z$12:Z1446)*ROW(Z$12:Z1446),ROW($T$12))),MIN(LOOKUP(,-1/($Z$12:Z1447=1),$C$12:C1447)+LOOKUP(,-1/($Z$12:Z1447=1),$H$12:H1447)-IF(N1446&lt;&gt;0,0,SUM(INDIRECT("T"&amp;(MAX((0&lt;&gt;N$12:N1446)*ROW(N$12:N1446)+1,ROW($T$12))&amp;":T"&amp;(ROW()-1))))),Первоначальный[[#This Row],[Полученный платеж]]+Y1446),
AND(S1446=0,Первоначальный[[#This Row],[Дата платежа из графика]]=1),MIN(LOOKUP(,-1/($Z$12:Z1447=1),$C$12:C1447)+LOOKUP(,-1/($Z$12:Z1447=1),$H$12:H1447)-IF(Z1446=1,0,SUM(INDIRECT("T"&amp;(MAX((1=Z$12:Z1446)*ROW(Z$12:Z1446)+1,ROW($T$12))&amp;":T"&amp;(ROW()-1))))),Первоначальный[[#This Row],[Полученный платеж]]+Y1446),
AND(Z1446&gt;0,Первоначальный[[#This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платеж]]+Y1446),
AND(S1446&gt;0,MAX((0&lt;&gt;S$12:S1446)*ROW(S$12:S1446),ROW($S$12))&gt;=MAX((1=Z$12:Z1446)*ROW(Z$12:Z1446),ROW($T$12)),TYPE(VLOOKUP("Да",(INDIRECT("AA"&amp;(MAX((1=Z$12:Z1446)*ROW(Z$12:Z1446),ROW($T$12))&amp;":AA"&amp;(ROW()-1)))),1,0))=16),MIN(LOOKUP(,-1/($Z$12:Z1447=1),$C$12:C1447)+LOOKUP(,-1/($Z$12:Z1447=1),$H$12:H1447)-SUM(INDIRECT("T"&amp;(MAX((1=Z$12:Z1446)*ROW(Z$12:Z1446),ROW($T$12))&amp;":T"&amp;(ROW()-1)))),Первоначальный[[#This Row],[Полученный платеж]]+Y1446),
S1446&gt;0,MIN(LOOKUP(,-1/($Z$12:Z1447=1),$C$12:C1447)+LOOKUP(,-1/($Z$12:Z1447=1),$H$12:H1447)-IF(Z1446=1,0,SUM(INDIRECT("T"&amp;(MAX((1=Z$12:Z1446)*ROW(Z$12:Z1446)+1,ROW($T$12))&amp;":T"&amp;(ROW()-1))))),Первоначальный[[#This Row],[Полученный платеж]]+Y1446)
)
)
)</f>
        <v>0</v>
      </c>
      <c r="U144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платеж]]+Y1446-Первоначальный[[#This Row],[Полученный платёж по процентам]])</f>
        <v>0</v>
      </c>
      <c r="V1447" s="55">
        <f t="shared" ca="1" si="267"/>
        <v>0</v>
      </c>
      <c r="W1447" s="55" cm="1">
        <f t="array" aca="1" ref="W1447" ca="1">IF(Первоначальный[[#This Row],[Итого остаток на начало периода]]&lt;1,0,
_xlfn.IFS(
AND(TYPE(VLOOKUP(1,$Z$12:Z1447,1,0))=16,Первоначальный[[#This Row],[Досрочное погашение (да/"")]]=""),0,
AND(S1446=0,Первоначальный[[#This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платеж]]+Y1446-SUM(Первоначальный[[#This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комиссиям]]),VLOOKUP(LOOKUP(,-1/($Z$12:Z1447=1),$A$12:A1447),График[[Срок конец]:[Возврат основной суммы долга]],3,0)),
AND(S1446=0,Первоначальный[[#This Row],[Дата платежа из графика]]="",Первоначальный[[#This Row],[Досрочное погашение (да/"")]]&lt;&gt;"Да"),0,
AND(S1446=0,Первоначальный[[#This Row],[Досрочное погашение (да/"")]]=""),MIN(Первоначальный[[#This Row],[Полученный платеж]]+Y1446-SUM(Первоначальный[[#This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комиссиям]]),VLOOKUP(LOOKUP(,-1/($Z$12:Z1447=1),$A$12:A1447),График[[Срок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платеж]]+Y1446-SUM(Первоначальный[[#This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S1446&gt;0,MIN(Первоначальный[[#This Row],[Полученный платеж]]+Y1446-SUM(Первоначальный[[#This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комиссиям]]),SUM(INDIRECT("M"&amp;(MAX((1=S$12:S1446)*ROW(S$12:S1446),ROW($W$12))&amp;":M"&amp;(ROW()))))-SUM(INDIRECT("W"&amp;(MAX((1=S$12:S1446)*ROW(S$12:S1446),ROW($W$12))&amp;":W"&amp;(ROW()-1)))))
)
)</f>
        <v>0</v>
      </c>
      <c r="X1447" s="55">
        <f t="shared" ca="1" si="268"/>
        <v>0</v>
      </c>
      <c r="Y1447" s="101">
        <f t="shared" ca="1" si="275"/>
        <v>0</v>
      </c>
      <c r="Z1447" s="133" t="str">
        <f>IF(TYPE((VLOOKUP(Первоначальный[[#This Row],[Дата платежа]],График[Срок конец],1,0)))=16,"",1)</f>
        <v/>
      </c>
      <c r="AA1447" s="57"/>
      <c r="AB1447" s="134"/>
      <c r="AC144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4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103038.09000000023</v>
      </c>
      <c r="AE144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8895.2900000000172</v>
      </c>
      <c r="AF144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4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439675.29490327858</v>
      </c>
      <c r="AH1447" s="55"/>
      <c r="AI1447" s="55"/>
      <c r="AJ1447" s="55"/>
      <c r="AK1447" s="101">
        <f t="shared" ca="1" si="276"/>
        <v>701242.01490327879</v>
      </c>
      <c r="AL1447" s="129">
        <f t="array" ref="AL1447">MAX((УслРестрактов[Характеристика]="Дата реструктуризации")*(УслРестрактов[Значение]=Первоначальный!$A1447),0)</f>
        <v>0</v>
      </c>
    </row>
    <row r="1448" spans="1:38" x14ac:dyDescent="0.25">
      <c r="A1448" s="97">
        <f t="shared" si="269"/>
        <v>45579</v>
      </c>
      <c r="B1448" s="100">
        <f t="shared" ca="1" si="270"/>
        <v>149633.34</v>
      </c>
      <c r="C1448" s="55">
        <f t="shared" ca="1" si="266"/>
        <v>103038.09000000023</v>
      </c>
      <c r="D1448" s="55">
        <f t="shared" ca="1" si="266"/>
        <v>8895.2900000000172</v>
      </c>
      <c r="E1448" s="55">
        <f t="shared" ca="1" si="271"/>
        <v>0</v>
      </c>
      <c r="F1448" s="55">
        <f t="shared" ca="1" si="272"/>
        <v>439675.29490327858</v>
      </c>
      <c r="G1448" s="101">
        <f t="shared" ca="1" si="273"/>
        <v>701242.01490327879</v>
      </c>
      <c r="H1448" s="100">
        <f ca="1">ROUND($B1448*VLOOKUP($A1448,$A$1:$B$10,2,1)/(365+IF(MOD(YEAR($A1448),4),0,1)*($A1448-$A1447)),2)-Первоначальный[[#This Row],[Проценты на просроченный платеж по ОД за период]]</f>
        <v>66.36</v>
      </c>
      <c r="I1448" s="55">
        <f t="shared" ca="1" si="274"/>
        <v>15</v>
      </c>
      <c r="J1448" s="55">
        <v>0</v>
      </c>
      <c r="K1448" s="55">
        <f t="shared" ca="1" si="277"/>
        <v>651.75850327868852</v>
      </c>
      <c r="L1448" s="55">
        <v>0</v>
      </c>
      <c r="M1448" s="113">
        <f>SUMIFS(График[Возврат основной суммы долга],График[Дата с учетом нерабочих дней],$A1448)</f>
        <v>0</v>
      </c>
      <c r="N1448" s="56">
        <f>SUMIFS(График[Возврат начисленных %],График[Дата с учетом нерабочих дней],$A1448)</f>
        <v>0</v>
      </c>
      <c r="O1448" s="101">
        <v>0</v>
      </c>
      <c r="P1448" s="100" cm="1">
        <f t="array" aca="1" ref="P1448" ca="1">MAX(IF(AA1447="Да",0,SUM(INDIRECT("M"&amp;(MAX(("Да"=AA$12:AA1447)*ROW(AA$12:AA1447)+1,ROW($P$12))&amp;":M"&amp;(ROW()))))-SUM(INDIRECT("W"&amp;(MAX(("Да"=AA$12:AA1447)*ROW(AA$12:AA1447)+1,ROW($P$12))&amp;":W"&amp;(ROW()))))),0)</f>
        <v>27584.94</v>
      </c>
      <c r="Q1448" s="99">
        <f ca="1">MAX(SUM($N$13:N1448)-SUM($T$13:T1448),0)</f>
        <v>102766.7606557377</v>
      </c>
      <c r="R1448" s="99">
        <f ca="1">Первоначальный[[#This Row],[Просроченный платеж по ОД]]+Первоначальный[[#This Row],[Просроченный платеж по процентам]]</f>
        <v>130351.7006557377</v>
      </c>
      <c r="S1448" s="120">
        <f ca="1">IF(Первоначальный[[#This Row],[Просроченный платеж]]&lt;1,0,S1447+1)</f>
        <v>1344</v>
      </c>
      <c r="T1448" s="100" cm="1">
        <f t="array" aca="1" ref="T1448" ca="1">IF(Первоначальный[[#This Row],[Итого остаток на начало периода]]&lt;1,0,
IF(
AND(TYPE(VLOOKUP(1,$Z$12:Z1448,1,0))=16,Первоначальный[[#This Row],[Досрочное погашение (да/"")]]=""),0,
_xlfn.IFS(AND(S1447=0,Первоначальный[[#This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платеж]]&lt;&gt;0),MIN(LOOKUP(,-1/($Z$12:Z1448=1),$C$12:C1448)+LOOKUP(,-1/($Z$12:Z1448=1),$H$12:H1448),Первоначальный[[#This Row],[Полученный платеж]]+Y1447),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платеж]]+Y1447,SUM(Первоначальный[[#This Row],[Остаток процентов на начало периода]],Первоначальный[[#This Row],[Проценты за период]])),
AND(S1447=0,Первоначальный[[#This Row],[Дата платежа из графика]]=""),0,
AND(S1447=0,Первоначальный[[#This Row],[Дата платежа из графика]]=1,MAX((0&lt;&gt;S$12:S1447)*ROW(S$12:S1447),ROW($S$12))&gt;=MAX((1=Z$12:Z1447)*ROW(Z$12:Z1447),ROW($T$12)),TYPE(VLOOKUP("Да",(INDIRECT("AA"&amp;(MAX((1=Z$12:Z1447)*ROW(Z$12:Z1447),ROW($T$12))&amp;":AA"&amp;(ROW()-1)))),1,0))=16),MIN(LOOKUP(,-1/($Z$12:Z1448=1),$C$12:C1448)+LOOKUP(,-1/($Z$12:Z1448=1),$H$12:H1448),Первоначальный[[#This Row],[Полученный платеж]]+Y1447),
AND(S1447=0,TYPE(VLOOKUP("Да",(INDIRECT("AA"&amp;(MAX((1=Z$12:Z1447)*ROW(Z$12:Z1447),ROW($T$12))&amp;":AA"&amp;(ROW()-1)))),1,0))&lt;&gt;16),MIN(LOOKUP(,-1/($Z$12:Z1448=1),$C$12:C1448)+LOOKUP(,-1/($Z$12:Z1448=1),$H$12:H1448)-IF(AA1447="Да",0,SUM(INDIRECT("T"&amp;(MAX(("Да"=AA$12:AA1447)*ROW(AA$12:AA1447)+1,ROW($T$12))&amp;":T"&amp;(ROW()-1))))),Первоначальный[[#This Row],[Полученный платеж]]+Y1447),
AND(S1447=0,MAX((0&lt;&gt;N$12:N1447)*ROW(N$12:N1447),ROW($S$12))&gt;=MAX((1=Z$12:Z1447)*ROW(Z$12:Z1447),ROW($T$12))),MIN(LOOKUP(,-1/($Z$12:Z1448=1),$C$12:C1448)+LOOKUP(,-1/($Z$12:Z1448=1),$H$12:H1448)-IF(N1447&lt;&gt;0,0,SUM(INDIRECT("T"&amp;(MAX((0&lt;&gt;N$12:N1447)*ROW(N$12:N1447)+1,ROW($T$12))&amp;":T"&amp;(ROW()-1))))),Первоначальный[[#This Row],[Полученный платеж]]+Y1447),
AND(S1447=0,Первоначальный[[#This Row],[Дата платежа из графика]]=1),MIN(LOOKUP(,-1/($Z$12:Z1448=1),$C$12:C1448)+LOOKUP(,-1/($Z$12:Z1448=1),$H$12:H1448)-IF(Z1447=1,0,SUM(INDIRECT("T"&amp;(MAX((1=Z$12:Z1447)*ROW(Z$12:Z1447)+1,ROW($T$12))&amp;":T"&amp;(ROW()-1))))),Первоначальный[[#This Row],[Полученный платеж]]+Y1447),
AND(Z1447&gt;0,Первоначальный[[#This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платеж]]+Y1447),
AND(S1447&gt;0,MAX((0&lt;&gt;S$12:S1447)*ROW(S$12:S1447),ROW($S$12))&gt;=MAX((1=Z$12:Z1447)*ROW(Z$12:Z1447),ROW($T$12)),TYPE(VLOOKUP("Да",(INDIRECT("AA"&amp;(MAX((1=Z$12:Z1447)*ROW(Z$12:Z1447),ROW($T$12))&amp;":AA"&amp;(ROW()-1)))),1,0))=16),MIN(LOOKUP(,-1/($Z$12:Z1448=1),$C$12:C1448)+LOOKUP(,-1/($Z$12:Z1448=1),$H$12:H1448)-SUM(INDIRECT("T"&amp;(MAX((1=Z$12:Z1447)*ROW(Z$12:Z1447),ROW($T$12))&amp;":T"&amp;(ROW()-1)))),Первоначальный[[#This Row],[Полученный платеж]]+Y1447),
S1447&gt;0,MIN(LOOKUP(,-1/($Z$12:Z1448=1),$C$12:C1448)+LOOKUP(,-1/($Z$12:Z1448=1),$H$12:H1448)-IF(Z1447=1,0,SUM(INDIRECT("T"&amp;(MAX((1=Z$12:Z1447)*ROW(Z$12:Z1447)+1,ROW($T$12))&amp;":T"&amp;(ROW()-1))))),Первоначальный[[#This Row],[Полученный платеж]]+Y1447)
)
)
)</f>
        <v>0</v>
      </c>
      <c r="U144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платеж]]+Y1447-Первоначальный[[#This Row],[Полученный платёж по процентам]])</f>
        <v>0</v>
      </c>
      <c r="V1448" s="55">
        <f t="shared" ca="1" si="267"/>
        <v>0</v>
      </c>
      <c r="W1448" s="55" cm="1">
        <f t="array" aca="1" ref="W1448" ca="1">IF(Первоначальный[[#This Row],[Итого остаток на начало периода]]&lt;1,0,
_xlfn.IFS(
AND(TYPE(VLOOKUP(1,$Z$12:Z1448,1,0))=16,Первоначальный[[#This Row],[Досрочное погашение (да/"")]]=""),0,
AND(S1447=0,Первоначальный[[#This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платеж]]+Y1447-SUM(Первоначальный[[#This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комиссиям]]),VLOOKUP(LOOKUP(,-1/($Z$12:Z1448=1),$A$12:A1448),График[[Срок конец]:[Возврат основной суммы долга]],3,0)),
AND(S1447=0,Первоначальный[[#This Row],[Дата платежа из графика]]="",Первоначальный[[#This Row],[Досрочное погашение (да/"")]]&lt;&gt;"Да"),0,
AND(S1447=0,Первоначальный[[#This Row],[Досрочное погашение (да/"")]]=""),MIN(Первоначальный[[#This Row],[Полученный платеж]]+Y1447-SUM(Первоначальный[[#This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комиссиям]]),VLOOKUP(LOOKUP(,-1/($Z$12:Z1448=1),$A$12:A1448),График[[Срок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платеж]]+Y1447-SUM(Первоначальный[[#This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S1447&gt;0,MIN(Первоначальный[[#This Row],[Полученный платеж]]+Y1447-SUM(Первоначальный[[#This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комиссиям]]),SUM(INDIRECT("M"&amp;(MAX((1=S$12:S1447)*ROW(S$12:S1447),ROW($W$12))&amp;":M"&amp;(ROW()))))-SUM(INDIRECT("W"&amp;(MAX((1=S$12:S1447)*ROW(S$12:S1447),ROW($W$12))&amp;":W"&amp;(ROW()-1)))))
)
)</f>
        <v>0</v>
      </c>
      <c r="X1448" s="55">
        <f t="shared" ca="1" si="268"/>
        <v>0</v>
      </c>
      <c r="Y1448" s="101">
        <f t="shared" ca="1" si="275"/>
        <v>0</v>
      </c>
      <c r="Z1448" s="133" t="str">
        <f>IF(TYPE((VLOOKUP(Первоначальный[[#This Row],[Дата платежа]],График[Срок конец],1,0)))=16,"",1)</f>
        <v/>
      </c>
      <c r="AA1448" s="57"/>
      <c r="AB1448" s="134"/>
      <c r="AC144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4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103104.45000000023</v>
      </c>
      <c r="AE144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8910.2900000000172</v>
      </c>
      <c r="AF144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4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440327.0534065573</v>
      </c>
      <c r="AH1448" s="55"/>
      <c r="AI1448" s="55"/>
      <c r="AJ1448" s="55"/>
      <c r="AK1448" s="101">
        <f t="shared" ca="1" si="276"/>
        <v>701975.13340655749</v>
      </c>
      <c r="AL1448" s="129">
        <f t="array" ref="AL1448">MAX((УслРестрактов[Характеристика]="Дата реструктуризации")*(УслРестрактов[Значение]=Первоначальный!$A1448),0)</f>
        <v>0</v>
      </c>
    </row>
    <row r="1449" spans="1:38" x14ac:dyDescent="0.25">
      <c r="A1449" s="97">
        <f t="shared" si="269"/>
        <v>45580</v>
      </c>
      <c r="B1449" s="100">
        <f t="shared" ca="1" si="270"/>
        <v>149633.34</v>
      </c>
      <c r="C1449" s="55">
        <f t="shared" ca="1" si="266"/>
        <v>103104.45000000023</v>
      </c>
      <c r="D1449" s="55">
        <f t="shared" ca="1" si="266"/>
        <v>8910.2900000000172</v>
      </c>
      <c r="E1449" s="55">
        <f t="shared" ca="1" si="271"/>
        <v>0</v>
      </c>
      <c r="F1449" s="55">
        <f t="shared" ca="1" si="272"/>
        <v>440327.0534065573</v>
      </c>
      <c r="G1449" s="101">
        <f t="shared" ca="1" si="273"/>
        <v>701975.13340655749</v>
      </c>
      <c r="H1449" s="100">
        <f ca="1">ROUND($B1449*VLOOKUP($A1449,$A$1:$B$10,2,1)/(365+IF(MOD(YEAR($A1449),4),0,1)*($A1449-$A1448)),2)-Первоначальный[[#This Row],[Проценты на просроченный платеж по ОД за период]]</f>
        <v>66.36</v>
      </c>
      <c r="I1449" s="55">
        <f t="shared" ca="1" si="274"/>
        <v>15</v>
      </c>
      <c r="J1449" s="55">
        <v>0</v>
      </c>
      <c r="K1449" s="55">
        <f t="shared" ca="1" si="277"/>
        <v>651.75850327868852</v>
      </c>
      <c r="L1449" s="55">
        <v>0</v>
      </c>
      <c r="M1449" s="113">
        <f>SUMIFS(График[Возврат основной суммы долга],График[Дата с учетом нерабочих дней],$A1449)</f>
        <v>0</v>
      </c>
      <c r="N1449" s="56">
        <f>SUMIFS(График[Возврат начисленных %],График[Дата с учетом нерабочих дней],$A1449)</f>
        <v>0</v>
      </c>
      <c r="O1449" s="101">
        <v>0</v>
      </c>
      <c r="P1449" s="100" cm="1">
        <f t="array" aca="1" ref="P1449" ca="1">MAX(IF(AA1448="Да",0,SUM(INDIRECT("M"&amp;(MAX(("Да"=AA$12:AA1448)*ROW(AA$12:AA1448)+1,ROW($P$12))&amp;":M"&amp;(ROW()))))-SUM(INDIRECT("W"&amp;(MAX(("Да"=AA$12:AA1448)*ROW(AA$12:AA1448)+1,ROW($P$12))&amp;":W"&amp;(ROW()))))),0)</f>
        <v>27584.94</v>
      </c>
      <c r="Q1449" s="99">
        <f ca="1">MAX(SUM($N$13:N1449)-SUM($T$13:T1449),0)</f>
        <v>102766.7606557377</v>
      </c>
      <c r="R1449" s="99">
        <f ca="1">Первоначальный[[#This Row],[Просроченный платеж по ОД]]+Первоначальный[[#This Row],[Просроченный платеж по процентам]]</f>
        <v>130351.7006557377</v>
      </c>
      <c r="S1449" s="120">
        <f ca="1">IF(Первоначальный[[#This Row],[Просроченный платеж]]&lt;1,0,S1448+1)</f>
        <v>1345</v>
      </c>
      <c r="T1449" s="100" cm="1">
        <f t="array" aca="1" ref="T1449" ca="1">IF(Первоначальный[[#This Row],[Итого остаток на начало периода]]&lt;1,0,
IF(
AND(TYPE(VLOOKUP(1,$Z$12:Z1449,1,0))=16,Первоначальный[[#This Row],[Досрочное погашение (да/"")]]=""),0,
_xlfn.IFS(AND(S1448=0,Первоначальный[[#This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платеж]]&lt;&gt;0),MIN(LOOKUP(,-1/($Z$12:Z1449=1),$C$12:C1449)+LOOKUP(,-1/($Z$12:Z1449=1),$H$12:H1449),Первоначальный[[#This Row],[Полученный платеж]]+Y1448),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платеж]]+Y1448,SUM(Первоначальный[[#This Row],[Остаток процентов на начало периода]],Первоначальный[[#This Row],[Проценты за период]])),
AND(S1448=0,Первоначальный[[#This Row],[Дата платежа из графика]]=""),0,
AND(S1448=0,Первоначальный[[#This Row],[Дата платежа из графика]]=1,MAX((0&lt;&gt;S$12:S1448)*ROW(S$12:S1448),ROW($S$12))&gt;=MAX((1=Z$12:Z1448)*ROW(Z$12:Z1448),ROW($T$12)),TYPE(VLOOKUP("Да",(INDIRECT("AA"&amp;(MAX((1=Z$12:Z1448)*ROW(Z$12:Z1448),ROW($T$12))&amp;":AA"&amp;(ROW()-1)))),1,0))=16),MIN(LOOKUP(,-1/($Z$12:Z1449=1),$C$12:C1449)+LOOKUP(,-1/($Z$12:Z1449=1),$H$12:H1449),Первоначальный[[#This Row],[Полученный платеж]]+Y1448),
AND(S1448=0,TYPE(VLOOKUP("Да",(INDIRECT("AA"&amp;(MAX((1=Z$12:Z1448)*ROW(Z$12:Z1448),ROW($T$12))&amp;":AA"&amp;(ROW()-1)))),1,0))&lt;&gt;16),MIN(LOOKUP(,-1/($Z$12:Z1449=1),$C$12:C1449)+LOOKUP(,-1/($Z$12:Z1449=1),$H$12:H1449)-IF(AA1448="Да",0,SUM(INDIRECT("T"&amp;(MAX(("Да"=AA$12:AA1448)*ROW(AA$12:AA1448)+1,ROW($T$12))&amp;":T"&amp;(ROW()-1))))),Первоначальный[[#This Row],[Полученный платеж]]+Y1448),
AND(S1448=0,MAX((0&lt;&gt;N$12:N1448)*ROW(N$12:N1448),ROW($S$12))&gt;=MAX((1=Z$12:Z1448)*ROW(Z$12:Z1448),ROW($T$12))),MIN(LOOKUP(,-1/($Z$12:Z1449=1),$C$12:C1449)+LOOKUP(,-1/($Z$12:Z1449=1),$H$12:H1449)-IF(N1448&lt;&gt;0,0,SUM(INDIRECT("T"&amp;(MAX((0&lt;&gt;N$12:N1448)*ROW(N$12:N1448)+1,ROW($T$12))&amp;":T"&amp;(ROW()-1))))),Первоначальный[[#This Row],[Полученный платеж]]+Y1448),
AND(S1448=0,Первоначальный[[#This Row],[Дата платежа из графика]]=1),MIN(LOOKUP(,-1/($Z$12:Z1449=1),$C$12:C1449)+LOOKUP(,-1/($Z$12:Z1449=1),$H$12:H1449)-IF(Z1448=1,0,SUM(INDIRECT("T"&amp;(MAX((1=Z$12:Z1448)*ROW(Z$12:Z1448)+1,ROW($T$12))&amp;":T"&amp;(ROW()-1))))),Первоначальный[[#This Row],[Полученный платеж]]+Y1448),
AND(Z1448&gt;0,Первоначальный[[#This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платеж]]+Y1448),
AND(S1448&gt;0,MAX((0&lt;&gt;S$12:S1448)*ROW(S$12:S1448),ROW($S$12))&gt;=MAX((1=Z$12:Z1448)*ROW(Z$12:Z1448),ROW($T$12)),TYPE(VLOOKUP("Да",(INDIRECT("AA"&amp;(MAX((1=Z$12:Z1448)*ROW(Z$12:Z1448),ROW($T$12))&amp;":AA"&amp;(ROW()-1)))),1,0))=16),MIN(LOOKUP(,-1/($Z$12:Z1449=1),$C$12:C1449)+LOOKUP(,-1/($Z$12:Z1449=1),$H$12:H1449)-SUM(INDIRECT("T"&amp;(MAX((1=Z$12:Z1448)*ROW(Z$12:Z1448),ROW($T$12))&amp;":T"&amp;(ROW()-1)))),Первоначальный[[#This Row],[Полученный платеж]]+Y1448),
S1448&gt;0,MIN(LOOKUP(,-1/($Z$12:Z1449=1),$C$12:C1449)+LOOKUP(,-1/($Z$12:Z1449=1),$H$12:H1449)-IF(Z1448=1,0,SUM(INDIRECT("T"&amp;(MAX((1=Z$12:Z1448)*ROW(Z$12:Z1448)+1,ROW($T$12))&amp;":T"&amp;(ROW()-1))))),Первоначальный[[#This Row],[Полученный платеж]]+Y1448)
)
)
)</f>
        <v>0</v>
      </c>
      <c r="U144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платеж]]+Y1448-Первоначальный[[#This Row],[Полученный платёж по процентам]])</f>
        <v>0</v>
      </c>
      <c r="V1449" s="55">
        <f t="shared" ca="1" si="267"/>
        <v>0</v>
      </c>
      <c r="W1449" s="55" cm="1">
        <f t="array" aca="1" ref="W1449" ca="1">IF(Первоначальный[[#This Row],[Итого остаток на начало периода]]&lt;1,0,
_xlfn.IFS(
AND(TYPE(VLOOKUP(1,$Z$12:Z1449,1,0))=16,Первоначальный[[#This Row],[Досрочное погашение (да/"")]]=""),0,
AND(S1448=0,Первоначальный[[#This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платеж]]+Y1448-SUM(Первоначальный[[#This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комиссиям]]),VLOOKUP(LOOKUP(,-1/($Z$12:Z1449=1),$A$12:A1449),График[[Срок конец]:[Возврат основной суммы долга]],3,0)),
AND(S1448=0,Первоначальный[[#This Row],[Дата платежа из графика]]="",Первоначальный[[#This Row],[Досрочное погашение (да/"")]]&lt;&gt;"Да"),0,
AND(S1448=0,Первоначальный[[#This Row],[Досрочное погашение (да/"")]]=""),MIN(Первоначальный[[#This Row],[Полученный платеж]]+Y1448-SUM(Первоначальный[[#This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комиссиям]]),VLOOKUP(LOOKUP(,-1/($Z$12:Z1449=1),$A$12:A1449),График[[Срок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платеж]]+Y1448-SUM(Первоначальный[[#This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S1448&gt;0,MIN(Первоначальный[[#This Row],[Полученный платеж]]+Y1448-SUM(Первоначальный[[#This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комиссиям]]),SUM(INDIRECT("M"&amp;(MAX((1=S$12:S1448)*ROW(S$12:S1448),ROW($W$12))&amp;":M"&amp;(ROW()))))-SUM(INDIRECT("W"&amp;(MAX((1=S$12:S1448)*ROW(S$12:S1448),ROW($W$12))&amp;":W"&amp;(ROW()-1)))))
)
)</f>
        <v>0</v>
      </c>
      <c r="X1449" s="55">
        <f t="shared" ca="1" si="268"/>
        <v>0</v>
      </c>
      <c r="Y1449" s="101">
        <f t="shared" ca="1" si="275"/>
        <v>0</v>
      </c>
      <c r="Z1449" s="133" t="str">
        <f>IF(TYPE((VLOOKUP(Первоначальный[[#This Row],[Дата платежа]],График[Срок конец],1,0)))=16,"",1)</f>
        <v/>
      </c>
      <c r="AA1449" s="57"/>
      <c r="AB1449" s="134"/>
      <c r="AC144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4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103170.81000000023</v>
      </c>
      <c r="AE144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8925.2900000000172</v>
      </c>
      <c r="AF144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4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440978.81190983602</v>
      </c>
      <c r="AH1449" s="55"/>
      <c r="AI1449" s="55"/>
      <c r="AJ1449" s="55"/>
      <c r="AK1449" s="101">
        <f t="shared" ca="1" si="276"/>
        <v>702708.2519098362</v>
      </c>
      <c r="AL1449" s="129">
        <f t="array" ref="AL1449">MAX((УслРестрактов[Характеристика]="Дата реструктуризации")*(УслРестрактов[Значение]=Первоначальный!$A1449),0)</f>
        <v>0</v>
      </c>
    </row>
    <row r="1450" spans="1:38" x14ac:dyDescent="0.25">
      <c r="A1450" s="97">
        <f t="shared" si="269"/>
        <v>45581</v>
      </c>
      <c r="B1450" s="100">
        <f t="shared" ca="1" si="270"/>
        <v>149633.34</v>
      </c>
      <c r="C1450" s="55">
        <f t="shared" ca="1" si="266"/>
        <v>103170.81000000023</v>
      </c>
      <c r="D1450" s="55">
        <f t="shared" ca="1" si="266"/>
        <v>8925.2900000000172</v>
      </c>
      <c r="E1450" s="55">
        <f t="shared" ca="1" si="271"/>
        <v>0</v>
      </c>
      <c r="F1450" s="55">
        <f t="shared" ca="1" si="272"/>
        <v>440978.81190983602</v>
      </c>
      <c r="G1450" s="101">
        <f t="shared" ca="1" si="273"/>
        <v>702708.2519098362</v>
      </c>
      <c r="H1450" s="100">
        <f ca="1">ROUND($B1450*VLOOKUP($A1450,$A$1:$B$10,2,1)/(365+IF(MOD(YEAR($A1450),4),0,1)*($A1450-$A1449)),2)-Первоначальный[[#This Row],[Проценты на просроченный платеж по ОД за период]]</f>
        <v>66.36</v>
      </c>
      <c r="I1450" s="55">
        <f t="shared" ca="1" si="274"/>
        <v>15</v>
      </c>
      <c r="J1450" s="55">
        <v>0</v>
      </c>
      <c r="K1450" s="55">
        <f t="shared" ca="1" si="277"/>
        <v>651.75850327868852</v>
      </c>
      <c r="L1450" s="55">
        <v>0</v>
      </c>
      <c r="M1450" s="113">
        <f>SUMIFS(График[Возврат основной суммы долга],График[Дата с учетом нерабочих дней],$A1450)</f>
        <v>0</v>
      </c>
      <c r="N1450" s="56">
        <f>SUMIFS(График[Возврат начисленных %],График[Дата с учетом нерабочих дней],$A1450)</f>
        <v>0</v>
      </c>
      <c r="O1450" s="101">
        <v>0</v>
      </c>
      <c r="P1450" s="100" cm="1">
        <f t="array" aca="1" ref="P1450" ca="1">MAX(IF(AA1449="Да",0,SUM(INDIRECT("M"&amp;(MAX(("Да"=AA$12:AA1449)*ROW(AA$12:AA1449)+1,ROW($P$12))&amp;":M"&amp;(ROW()))))-SUM(INDIRECT("W"&amp;(MAX(("Да"=AA$12:AA1449)*ROW(AA$12:AA1449)+1,ROW($P$12))&amp;":W"&amp;(ROW()))))),0)</f>
        <v>27584.94</v>
      </c>
      <c r="Q1450" s="99">
        <f ca="1">MAX(SUM($N$13:N1450)-SUM($T$13:T1450),0)</f>
        <v>102766.7606557377</v>
      </c>
      <c r="R1450" s="99">
        <f ca="1">Первоначальный[[#This Row],[Просроченный платеж по ОД]]+Первоначальный[[#This Row],[Просроченный платеж по процентам]]</f>
        <v>130351.7006557377</v>
      </c>
      <c r="S1450" s="120">
        <f ca="1">IF(Первоначальный[[#This Row],[Просроченный платеж]]&lt;1,0,S1449+1)</f>
        <v>1346</v>
      </c>
      <c r="T1450" s="100" cm="1">
        <f t="array" aca="1" ref="T1450" ca="1">IF(Первоначальный[[#This Row],[Итого остаток на начало периода]]&lt;1,0,
IF(
AND(TYPE(VLOOKUP(1,$Z$12:Z1450,1,0))=16,Первоначальный[[#This Row],[Досрочное погашение (да/"")]]=""),0,
_xlfn.IFS(AND(S1449=0,Первоначальный[[#This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платеж]]&lt;&gt;0),MIN(LOOKUP(,-1/($Z$12:Z1450=1),$C$12:C1450)+LOOKUP(,-1/($Z$12:Z1450=1),$H$12:H1450),Первоначальный[[#This Row],[Полученный платеж]]+Y1449),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платеж]]+Y1449,SUM(Первоначальный[[#This Row],[Остаток процентов на начало периода]],Первоначальный[[#This Row],[Проценты за период]])),
AND(S1449=0,Первоначальный[[#This Row],[Дата платежа из графика]]=""),0,
AND(S1449=0,Первоначальный[[#This Row],[Дата платежа из графика]]=1,MAX((0&lt;&gt;S$12:S1449)*ROW(S$12:S1449),ROW($S$12))&gt;=MAX((1=Z$12:Z1449)*ROW(Z$12:Z1449),ROW($T$12)),TYPE(VLOOKUP("Да",(INDIRECT("AA"&amp;(MAX((1=Z$12:Z1449)*ROW(Z$12:Z1449),ROW($T$12))&amp;":AA"&amp;(ROW()-1)))),1,0))=16),MIN(LOOKUP(,-1/($Z$12:Z1450=1),$C$12:C1450)+LOOKUP(,-1/($Z$12:Z1450=1),$H$12:H1450),Первоначальный[[#This Row],[Полученный платеж]]+Y1449),
AND(S1449=0,TYPE(VLOOKUP("Да",(INDIRECT("AA"&amp;(MAX((1=Z$12:Z1449)*ROW(Z$12:Z1449),ROW($T$12))&amp;":AA"&amp;(ROW()-1)))),1,0))&lt;&gt;16),MIN(LOOKUP(,-1/($Z$12:Z1450=1),$C$12:C1450)+LOOKUP(,-1/($Z$12:Z1450=1),$H$12:H1450)-IF(AA1449="Да",0,SUM(INDIRECT("T"&amp;(MAX(("Да"=AA$12:AA1449)*ROW(AA$12:AA1449)+1,ROW($T$12))&amp;":T"&amp;(ROW()-1))))),Первоначальный[[#This Row],[Полученный платеж]]+Y1449),
AND(S1449=0,MAX((0&lt;&gt;N$12:N1449)*ROW(N$12:N1449),ROW($S$12))&gt;=MAX((1=Z$12:Z1449)*ROW(Z$12:Z1449),ROW($T$12))),MIN(LOOKUP(,-1/($Z$12:Z1450=1),$C$12:C1450)+LOOKUP(,-1/($Z$12:Z1450=1),$H$12:H1450)-IF(N1449&lt;&gt;0,0,SUM(INDIRECT("T"&amp;(MAX((0&lt;&gt;N$12:N1449)*ROW(N$12:N1449)+1,ROW($T$12))&amp;":T"&amp;(ROW()-1))))),Первоначальный[[#This Row],[Полученный платеж]]+Y1449),
AND(S1449=0,Первоначальный[[#This Row],[Дата платежа из графика]]=1),MIN(LOOKUP(,-1/($Z$12:Z1450=1),$C$12:C1450)+LOOKUP(,-1/($Z$12:Z1450=1),$H$12:H1450)-IF(Z1449=1,0,SUM(INDIRECT("T"&amp;(MAX((1=Z$12:Z1449)*ROW(Z$12:Z1449)+1,ROW($T$12))&amp;":T"&amp;(ROW()-1))))),Первоначальный[[#This Row],[Полученный платеж]]+Y1449),
AND(Z1449&gt;0,Первоначальный[[#This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платеж]]+Y1449),
AND(S1449&gt;0,MAX((0&lt;&gt;S$12:S1449)*ROW(S$12:S1449),ROW($S$12))&gt;=MAX((1=Z$12:Z1449)*ROW(Z$12:Z1449),ROW($T$12)),TYPE(VLOOKUP("Да",(INDIRECT("AA"&amp;(MAX((1=Z$12:Z1449)*ROW(Z$12:Z1449),ROW($T$12))&amp;":AA"&amp;(ROW()-1)))),1,0))=16),MIN(LOOKUP(,-1/($Z$12:Z1450=1),$C$12:C1450)+LOOKUP(,-1/($Z$12:Z1450=1),$H$12:H1450)-SUM(INDIRECT("T"&amp;(MAX((1=Z$12:Z1449)*ROW(Z$12:Z1449),ROW($T$12))&amp;":T"&amp;(ROW()-1)))),Первоначальный[[#This Row],[Полученный платеж]]+Y1449),
S1449&gt;0,MIN(LOOKUP(,-1/($Z$12:Z1450=1),$C$12:C1450)+LOOKUP(,-1/($Z$12:Z1450=1),$H$12:H1450)-IF(Z1449=1,0,SUM(INDIRECT("T"&amp;(MAX((1=Z$12:Z1449)*ROW(Z$12:Z1449)+1,ROW($T$12))&amp;":T"&amp;(ROW()-1))))),Первоначальный[[#This Row],[Полученный платеж]]+Y1449)
)
)
)</f>
        <v>0</v>
      </c>
      <c r="U145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платеж]]+Y1449-Первоначальный[[#This Row],[Полученный платёж по процентам]])</f>
        <v>0</v>
      </c>
      <c r="V1450" s="55">
        <f t="shared" ca="1" si="267"/>
        <v>0</v>
      </c>
      <c r="W1450" s="55" cm="1">
        <f t="array" aca="1" ref="W1450" ca="1">IF(Первоначальный[[#This Row],[Итого остаток на начало периода]]&lt;1,0,
_xlfn.IFS(
AND(TYPE(VLOOKUP(1,$Z$12:Z1450,1,0))=16,Первоначальный[[#This Row],[Досрочное погашение (да/"")]]=""),0,
AND(S1449=0,Первоначальный[[#This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платеж]]+Y1449-SUM(Первоначальный[[#This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комиссиям]]),VLOOKUP(LOOKUP(,-1/($Z$12:Z1450=1),$A$12:A1450),График[[Срок конец]:[Возврат основной суммы долга]],3,0)),
AND(S1449=0,Первоначальный[[#This Row],[Дата платежа из графика]]="",Первоначальный[[#This Row],[Досрочное погашение (да/"")]]&lt;&gt;"Да"),0,
AND(S1449=0,Первоначальный[[#This Row],[Досрочное погашение (да/"")]]=""),MIN(Первоначальный[[#This Row],[Полученный платеж]]+Y1449-SUM(Первоначальный[[#This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комиссиям]]),VLOOKUP(LOOKUP(,-1/($Z$12:Z1450=1),$A$12:A1450),График[[Срок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платеж]]+Y1449-SUM(Первоначальный[[#This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S1449&gt;0,MIN(Первоначальный[[#This Row],[Полученный платеж]]+Y1449-SUM(Первоначальный[[#This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комиссиям]]),SUM(INDIRECT("M"&amp;(MAX((1=S$12:S1449)*ROW(S$12:S1449),ROW($W$12))&amp;":M"&amp;(ROW()))))-SUM(INDIRECT("W"&amp;(MAX((1=S$12:S1449)*ROW(S$12:S1449),ROW($W$12))&amp;":W"&amp;(ROW()-1)))))
)
)</f>
        <v>0</v>
      </c>
      <c r="X1450" s="55">
        <f t="shared" ca="1" si="268"/>
        <v>0</v>
      </c>
      <c r="Y1450" s="101">
        <f t="shared" ca="1" si="275"/>
        <v>0</v>
      </c>
      <c r="Z1450" s="133" t="str">
        <f>IF(TYPE((VLOOKUP(Первоначальный[[#This Row],[Дата платежа]],График[Срок конец],1,0)))=16,"",1)</f>
        <v/>
      </c>
      <c r="AA1450" s="57"/>
      <c r="AB1450" s="134"/>
      <c r="AC145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5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103237.17000000023</v>
      </c>
      <c r="AE145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8940.2900000000172</v>
      </c>
      <c r="AF145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5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441630.57041311474</v>
      </c>
      <c r="AH1450" s="55"/>
      <c r="AI1450" s="55"/>
      <c r="AJ1450" s="55"/>
      <c r="AK1450" s="101">
        <f t="shared" ca="1" si="276"/>
        <v>703441.37041311502</v>
      </c>
      <c r="AL1450" s="129">
        <f t="array" ref="AL1450">MAX((УслРестрактов[Характеристика]="Дата реструктуризации")*(УслРестрактов[Значение]=Первоначальный!$A1450),0)</f>
        <v>0</v>
      </c>
    </row>
    <row r="1451" spans="1:38" x14ac:dyDescent="0.25">
      <c r="A1451" s="97">
        <f t="shared" si="269"/>
        <v>45582</v>
      </c>
      <c r="B1451" s="100">
        <f t="shared" ca="1" si="270"/>
        <v>149633.34</v>
      </c>
      <c r="C1451" s="55">
        <f t="shared" ca="1" si="266"/>
        <v>103237.17000000023</v>
      </c>
      <c r="D1451" s="55">
        <f t="shared" ca="1" si="266"/>
        <v>8940.2900000000172</v>
      </c>
      <c r="E1451" s="55">
        <f t="shared" ca="1" si="271"/>
        <v>0</v>
      </c>
      <c r="F1451" s="55">
        <f t="shared" ca="1" si="272"/>
        <v>441630.57041311474</v>
      </c>
      <c r="G1451" s="101">
        <f t="shared" ca="1" si="273"/>
        <v>703441.37041311502</v>
      </c>
      <c r="H1451" s="100">
        <f ca="1">ROUND($B1451*VLOOKUP($A1451,$A$1:$B$10,2,1)/(365+IF(MOD(YEAR($A1451),4),0,1)*($A1451-$A1450)),2)-Первоначальный[[#This Row],[Проценты на просроченный платеж по ОД за период]]</f>
        <v>66.36</v>
      </c>
      <c r="I1451" s="55">
        <f t="shared" ca="1" si="274"/>
        <v>15</v>
      </c>
      <c r="J1451" s="55">
        <v>0</v>
      </c>
      <c r="K1451" s="55">
        <f t="shared" ca="1" si="277"/>
        <v>651.75850327868852</v>
      </c>
      <c r="L1451" s="55">
        <v>0</v>
      </c>
      <c r="M1451" s="113">
        <f>SUMIFS(График[Возврат основной суммы долга],График[Дата с учетом нерабочих дней],$A1451)</f>
        <v>0</v>
      </c>
      <c r="N1451" s="56">
        <f>SUMIFS(График[Возврат начисленных %],График[Дата с учетом нерабочих дней],$A1451)</f>
        <v>0</v>
      </c>
      <c r="O1451" s="101">
        <v>0</v>
      </c>
      <c r="P1451" s="100" cm="1">
        <f t="array" aca="1" ref="P1451" ca="1">MAX(IF(AA1450="Да",0,SUM(INDIRECT("M"&amp;(MAX(("Да"=AA$12:AA1450)*ROW(AA$12:AA1450)+1,ROW($P$12))&amp;":M"&amp;(ROW()))))-SUM(INDIRECT("W"&amp;(MAX(("Да"=AA$12:AA1450)*ROW(AA$12:AA1450)+1,ROW($P$12))&amp;":W"&amp;(ROW()))))),0)</f>
        <v>27584.94</v>
      </c>
      <c r="Q1451" s="99">
        <f ca="1">MAX(SUM($N$13:N1451)-SUM($T$13:T1451),0)</f>
        <v>102766.7606557377</v>
      </c>
      <c r="R1451" s="99">
        <f ca="1">Первоначальный[[#This Row],[Просроченный платеж по ОД]]+Первоначальный[[#This Row],[Просроченный платеж по процентам]]</f>
        <v>130351.7006557377</v>
      </c>
      <c r="S1451" s="120">
        <f ca="1">IF(Первоначальный[[#This Row],[Просроченный платеж]]&lt;1,0,S1450+1)</f>
        <v>1347</v>
      </c>
      <c r="T1451" s="100" cm="1">
        <f t="array" aca="1" ref="T1451" ca="1">IF(Первоначальный[[#This Row],[Итого остаток на начало периода]]&lt;1,0,
IF(
AND(TYPE(VLOOKUP(1,$Z$12:Z1451,1,0))=16,Первоначальный[[#This Row],[Досрочное погашение (да/"")]]=""),0,
_xlfn.IFS(AND(S1450=0,Первоначальный[[#This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платеж]]&lt;&gt;0),MIN(LOOKUP(,-1/($Z$12:Z1451=1),$C$12:C1451)+LOOKUP(,-1/($Z$12:Z1451=1),$H$12:H1451),Первоначальный[[#This Row],[Полученный платеж]]+Y1450),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платеж]]+Y1450,SUM(Первоначальный[[#This Row],[Остаток процентов на начало периода]],Первоначальный[[#This Row],[Проценты за период]])),
AND(S1450=0,Первоначальный[[#This Row],[Дата платежа из графика]]=""),0,
AND(S1450=0,Первоначальный[[#This Row],[Дата платежа из графика]]=1,MAX((0&lt;&gt;S$12:S1450)*ROW(S$12:S1450),ROW($S$12))&gt;=MAX((1=Z$12:Z1450)*ROW(Z$12:Z1450),ROW($T$12)),TYPE(VLOOKUP("Да",(INDIRECT("AA"&amp;(MAX((1=Z$12:Z1450)*ROW(Z$12:Z1450),ROW($T$12))&amp;":AA"&amp;(ROW()-1)))),1,0))=16),MIN(LOOKUP(,-1/($Z$12:Z1451=1),$C$12:C1451)+LOOKUP(,-1/($Z$12:Z1451=1),$H$12:H1451),Первоначальный[[#This Row],[Полученный платеж]]+Y1450),
AND(S1450=0,TYPE(VLOOKUP("Да",(INDIRECT("AA"&amp;(MAX((1=Z$12:Z1450)*ROW(Z$12:Z1450),ROW($T$12))&amp;":AA"&amp;(ROW()-1)))),1,0))&lt;&gt;16),MIN(LOOKUP(,-1/($Z$12:Z1451=1),$C$12:C1451)+LOOKUP(,-1/($Z$12:Z1451=1),$H$12:H1451)-IF(AA1450="Да",0,SUM(INDIRECT("T"&amp;(MAX(("Да"=AA$12:AA1450)*ROW(AA$12:AA1450)+1,ROW($T$12))&amp;":T"&amp;(ROW()-1))))),Первоначальный[[#This Row],[Полученный платеж]]+Y1450),
AND(S1450=0,MAX((0&lt;&gt;N$12:N1450)*ROW(N$12:N1450),ROW($S$12))&gt;=MAX((1=Z$12:Z1450)*ROW(Z$12:Z1450),ROW($T$12))),MIN(LOOKUP(,-1/($Z$12:Z1451=1),$C$12:C1451)+LOOKUP(,-1/($Z$12:Z1451=1),$H$12:H1451)-IF(N1450&lt;&gt;0,0,SUM(INDIRECT("T"&amp;(MAX((0&lt;&gt;N$12:N1450)*ROW(N$12:N1450)+1,ROW($T$12))&amp;":T"&amp;(ROW()-1))))),Первоначальный[[#This Row],[Полученный платеж]]+Y1450),
AND(S1450=0,Первоначальный[[#This Row],[Дата платежа из графика]]=1),MIN(LOOKUP(,-1/($Z$12:Z1451=1),$C$12:C1451)+LOOKUP(,-1/($Z$12:Z1451=1),$H$12:H1451)-IF(Z1450=1,0,SUM(INDIRECT("T"&amp;(MAX((1=Z$12:Z1450)*ROW(Z$12:Z1450)+1,ROW($T$12))&amp;":T"&amp;(ROW()-1))))),Первоначальный[[#This Row],[Полученный платеж]]+Y1450),
AND(Z1450&gt;0,Первоначальный[[#This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платеж]]+Y1450),
AND(S1450&gt;0,MAX((0&lt;&gt;S$12:S1450)*ROW(S$12:S1450),ROW($S$12))&gt;=MAX((1=Z$12:Z1450)*ROW(Z$12:Z1450),ROW($T$12)),TYPE(VLOOKUP("Да",(INDIRECT("AA"&amp;(MAX((1=Z$12:Z1450)*ROW(Z$12:Z1450),ROW($T$12))&amp;":AA"&amp;(ROW()-1)))),1,0))=16),MIN(LOOKUP(,-1/($Z$12:Z1451=1),$C$12:C1451)+LOOKUP(,-1/($Z$12:Z1451=1),$H$12:H1451)-SUM(INDIRECT("T"&amp;(MAX((1=Z$12:Z1450)*ROW(Z$12:Z1450),ROW($T$12))&amp;":T"&amp;(ROW()-1)))),Первоначальный[[#This Row],[Полученный платеж]]+Y1450),
S1450&gt;0,MIN(LOOKUP(,-1/($Z$12:Z1451=1),$C$12:C1451)+LOOKUP(,-1/($Z$12:Z1451=1),$H$12:H1451)-IF(Z1450=1,0,SUM(INDIRECT("T"&amp;(MAX((1=Z$12:Z1450)*ROW(Z$12:Z1450)+1,ROW($T$12))&amp;":T"&amp;(ROW()-1))))),Первоначальный[[#This Row],[Полученный платеж]]+Y1450)
)
)
)</f>
        <v>0</v>
      </c>
      <c r="U145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платеж]]+Y1450-Первоначальный[[#This Row],[Полученный платёж по процентам]])</f>
        <v>0</v>
      </c>
      <c r="V1451" s="55">
        <f t="shared" ca="1" si="267"/>
        <v>0</v>
      </c>
      <c r="W1451" s="55" cm="1">
        <f t="array" aca="1" ref="W1451" ca="1">IF(Первоначальный[[#This Row],[Итого остаток на начало периода]]&lt;1,0,
_xlfn.IFS(
AND(TYPE(VLOOKUP(1,$Z$12:Z1451,1,0))=16,Первоначальный[[#This Row],[Досрочное погашение (да/"")]]=""),0,
AND(S1450=0,Первоначальный[[#This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платеж]]+Y1450-SUM(Первоначальный[[#This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комиссиям]]),VLOOKUP(LOOKUP(,-1/($Z$12:Z1451=1),$A$12:A1451),График[[Срок конец]:[Возврат основной суммы долга]],3,0)),
AND(S1450=0,Первоначальный[[#This Row],[Дата платежа из графика]]="",Первоначальный[[#This Row],[Досрочное погашение (да/"")]]&lt;&gt;"Да"),0,
AND(S1450=0,Первоначальный[[#This Row],[Досрочное погашение (да/"")]]=""),MIN(Первоначальный[[#This Row],[Полученный платеж]]+Y1450-SUM(Первоначальный[[#This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комиссиям]]),VLOOKUP(LOOKUP(,-1/($Z$12:Z1451=1),$A$12:A1451),График[[Срок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платеж]]+Y1450-SUM(Первоначальный[[#This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S1450&gt;0,MIN(Первоначальный[[#This Row],[Полученный платеж]]+Y1450-SUM(Первоначальный[[#This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комиссиям]]),SUM(INDIRECT("M"&amp;(MAX((1=S$12:S1450)*ROW(S$12:S1450),ROW($W$12))&amp;":M"&amp;(ROW()))))-SUM(INDIRECT("W"&amp;(MAX((1=S$12:S1450)*ROW(S$12:S1450),ROW($W$12))&amp;":W"&amp;(ROW()-1)))))
)
)</f>
        <v>0</v>
      </c>
      <c r="X1451" s="55">
        <f t="shared" ca="1" si="268"/>
        <v>0</v>
      </c>
      <c r="Y1451" s="101">
        <f t="shared" ca="1" si="275"/>
        <v>0</v>
      </c>
      <c r="Z1451" s="133" t="str">
        <f>IF(TYPE((VLOOKUP(Первоначальный[[#This Row],[Дата платежа]],График[Срок конец],1,0)))=16,"",1)</f>
        <v/>
      </c>
      <c r="AA1451" s="57"/>
      <c r="AB1451" s="134"/>
      <c r="AC145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5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103303.53000000023</v>
      </c>
      <c r="AE145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8955.2900000000172</v>
      </c>
      <c r="AF145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5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442282.32891639345</v>
      </c>
      <c r="AH1451" s="55"/>
      <c r="AI1451" s="55"/>
      <c r="AJ1451" s="55"/>
      <c r="AK1451" s="101">
        <f t="shared" ca="1" si="276"/>
        <v>704174.48891639372</v>
      </c>
      <c r="AL1451" s="129">
        <f t="array" ref="AL1451">MAX((УслРестрактов[Характеристика]="Дата реструктуризации")*(УслРестрактов[Значение]=Первоначальный!$A1451),0)</f>
        <v>0</v>
      </c>
    </row>
    <row r="1452" spans="1:38" x14ac:dyDescent="0.25">
      <c r="A1452" s="97">
        <f t="shared" si="269"/>
        <v>45583</v>
      </c>
      <c r="B1452" s="100">
        <f t="shared" ca="1" si="270"/>
        <v>149633.34</v>
      </c>
      <c r="C1452" s="55">
        <f t="shared" ca="1" si="266"/>
        <v>103303.53000000023</v>
      </c>
      <c r="D1452" s="55">
        <f t="shared" ca="1" si="266"/>
        <v>8955.2900000000172</v>
      </c>
      <c r="E1452" s="55">
        <f t="shared" ca="1" si="271"/>
        <v>0</v>
      </c>
      <c r="F1452" s="55">
        <f t="shared" ca="1" si="272"/>
        <v>442282.32891639345</v>
      </c>
      <c r="G1452" s="101">
        <f t="shared" ca="1" si="273"/>
        <v>704174.48891639372</v>
      </c>
      <c r="H1452" s="100">
        <f ca="1">ROUND($B1452*VLOOKUP($A1452,$A$1:$B$10,2,1)/(365+IF(MOD(YEAR($A1452),4),0,1)*($A1452-$A1451)),2)-Первоначальный[[#This Row],[Проценты на просроченный платеж по ОД за период]]</f>
        <v>66.36</v>
      </c>
      <c r="I1452" s="55">
        <f t="shared" ca="1" si="274"/>
        <v>15</v>
      </c>
      <c r="J1452" s="55">
        <v>0</v>
      </c>
      <c r="K1452" s="55">
        <f t="shared" ca="1" si="277"/>
        <v>651.75850327868852</v>
      </c>
      <c r="L1452" s="55">
        <v>0</v>
      </c>
      <c r="M1452" s="113">
        <f>SUMIFS(График[Возврат основной суммы долга],График[Дата с учетом нерабочих дней],$A1452)</f>
        <v>0</v>
      </c>
      <c r="N1452" s="56">
        <f>SUMIFS(График[Возврат начисленных %],График[Дата с учетом нерабочих дней],$A1452)</f>
        <v>0</v>
      </c>
      <c r="O1452" s="101">
        <v>0</v>
      </c>
      <c r="P1452" s="100" cm="1">
        <f t="array" aca="1" ref="P1452" ca="1">MAX(IF(AA1451="Да",0,SUM(INDIRECT("M"&amp;(MAX(("Да"=AA$12:AA1451)*ROW(AA$12:AA1451)+1,ROW($P$12))&amp;":M"&amp;(ROW()))))-SUM(INDIRECT("W"&amp;(MAX(("Да"=AA$12:AA1451)*ROW(AA$12:AA1451)+1,ROW($P$12))&amp;":W"&amp;(ROW()))))),0)</f>
        <v>27584.94</v>
      </c>
      <c r="Q1452" s="99">
        <f ca="1">MAX(SUM($N$13:N1452)-SUM($T$13:T1452),0)</f>
        <v>102766.7606557377</v>
      </c>
      <c r="R1452" s="99">
        <f ca="1">Первоначальный[[#This Row],[Просроченный платеж по ОД]]+Первоначальный[[#This Row],[Просроченный платеж по процентам]]</f>
        <v>130351.7006557377</v>
      </c>
      <c r="S1452" s="120">
        <f ca="1">IF(Первоначальный[[#This Row],[Просроченный платеж]]&lt;1,0,S1451+1)</f>
        <v>1348</v>
      </c>
      <c r="T1452" s="100" cm="1">
        <f t="array" aca="1" ref="T1452" ca="1">IF(Первоначальный[[#This Row],[Итого остаток на начало периода]]&lt;1,0,
IF(
AND(TYPE(VLOOKUP(1,$Z$12:Z1452,1,0))=16,Первоначальный[[#This Row],[Досрочное погашение (да/"")]]=""),0,
_xlfn.IFS(AND(S1451=0,Первоначальный[[#This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платеж]]&lt;&gt;0),MIN(LOOKUP(,-1/($Z$12:Z1452=1),$C$12:C1452)+LOOKUP(,-1/($Z$12:Z1452=1),$H$12:H1452),Первоначальный[[#This Row],[Полученный платеж]]+Y1451),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платеж]]+Y1451,SUM(Первоначальный[[#This Row],[Остаток процентов на начало периода]],Первоначальный[[#This Row],[Проценты за период]])),
AND(S1451=0,Первоначальный[[#This Row],[Дата платежа из графика]]=""),0,
AND(S1451=0,Первоначальный[[#This Row],[Дата платежа из графика]]=1,MAX((0&lt;&gt;S$12:S1451)*ROW(S$12:S1451),ROW($S$12))&gt;=MAX((1=Z$12:Z1451)*ROW(Z$12:Z1451),ROW($T$12)),TYPE(VLOOKUP("Да",(INDIRECT("AA"&amp;(MAX((1=Z$12:Z1451)*ROW(Z$12:Z1451),ROW($T$12))&amp;":AA"&amp;(ROW()-1)))),1,0))=16),MIN(LOOKUP(,-1/($Z$12:Z1452=1),$C$12:C1452)+LOOKUP(,-1/($Z$12:Z1452=1),$H$12:H1452),Первоначальный[[#This Row],[Полученный платеж]]+Y1451),
AND(S1451=0,TYPE(VLOOKUP("Да",(INDIRECT("AA"&amp;(MAX((1=Z$12:Z1451)*ROW(Z$12:Z1451),ROW($T$12))&amp;":AA"&amp;(ROW()-1)))),1,0))&lt;&gt;16),MIN(LOOKUP(,-1/($Z$12:Z1452=1),$C$12:C1452)+LOOKUP(,-1/($Z$12:Z1452=1),$H$12:H1452)-IF(AA1451="Да",0,SUM(INDIRECT("T"&amp;(MAX(("Да"=AA$12:AA1451)*ROW(AA$12:AA1451)+1,ROW($T$12))&amp;":T"&amp;(ROW()-1))))),Первоначальный[[#This Row],[Полученный платеж]]+Y1451),
AND(S1451=0,MAX((0&lt;&gt;N$12:N1451)*ROW(N$12:N1451),ROW($S$12))&gt;=MAX((1=Z$12:Z1451)*ROW(Z$12:Z1451),ROW($T$12))),MIN(LOOKUP(,-1/($Z$12:Z1452=1),$C$12:C1452)+LOOKUP(,-1/($Z$12:Z1452=1),$H$12:H1452)-IF(N1451&lt;&gt;0,0,SUM(INDIRECT("T"&amp;(MAX((0&lt;&gt;N$12:N1451)*ROW(N$12:N1451)+1,ROW($T$12))&amp;":T"&amp;(ROW()-1))))),Первоначальный[[#This Row],[Полученный платеж]]+Y1451),
AND(S1451=0,Первоначальный[[#This Row],[Дата платежа из графика]]=1),MIN(LOOKUP(,-1/($Z$12:Z1452=1),$C$12:C1452)+LOOKUP(,-1/($Z$12:Z1452=1),$H$12:H1452)-IF(Z1451=1,0,SUM(INDIRECT("T"&amp;(MAX((1=Z$12:Z1451)*ROW(Z$12:Z1451)+1,ROW($T$12))&amp;":T"&amp;(ROW()-1))))),Первоначальный[[#This Row],[Полученный платеж]]+Y1451),
AND(Z1451&gt;0,Первоначальный[[#This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платеж]]+Y1451),
AND(S1451&gt;0,MAX((0&lt;&gt;S$12:S1451)*ROW(S$12:S1451),ROW($S$12))&gt;=MAX((1=Z$12:Z1451)*ROW(Z$12:Z1451),ROW($T$12)),TYPE(VLOOKUP("Да",(INDIRECT("AA"&amp;(MAX((1=Z$12:Z1451)*ROW(Z$12:Z1451),ROW($T$12))&amp;":AA"&amp;(ROW()-1)))),1,0))=16),MIN(LOOKUP(,-1/($Z$12:Z1452=1),$C$12:C1452)+LOOKUP(,-1/($Z$12:Z1452=1),$H$12:H1452)-SUM(INDIRECT("T"&amp;(MAX((1=Z$12:Z1451)*ROW(Z$12:Z1451),ROW($T$12))&amp;":T"&amp;(ROW()-1)))),Первоначальный[[#This Row],[Полученный платеж]]+Y1451),
S1451&gt;0,MIN(LOOKUP(,-1/($Z$12:Z1452=1),$C$12:C1452)+LOOKUP(,-1/($Z$12:Z1452=1),$H$12:H1452)-IF(Z1451=1,0,SUM(INDIRECT("T"&amp;(MAX((1=Z$12:Z1451)*ROW(Z$12:Z1451)+1,ROW($T$12))&amp;":T"&amp;(ROW()-1))))),Первоначальный[[#This Row],[Полученный платеж]]+Y1451)
)
)
)</f>
        <v>0</v>
      </c>
      <c r="U145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платеж]]+Y1451-Первоначальный[[#This Row],[Полученный платёж по процентам]])</f>
        <v>0</v>
      </c>
      <c r="V1452" s="55">
        <f t="shared" ca="1" si="267"/>
        <v>0</v>
      </c>
      <c r="W1452" s="55" cm="1">
        <f t="array" aca="1" ref="W1452" ca="1">IF(Первоначальный[[#This Row],[Итого остаток на начало периода]]&lt;1,0,
_xlfn.IFS(
AND(TYPE(VLOOKUP(1,$Z$12:Z1452,1,0))=16,Первоначальный[[#This Row],[Досрочное погашение (да/"")]]=""),0,
AND(S1451=0,Первоначальный[[#This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платеж]]+Y1451-SUM(Первоначальный[[#This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комиссиям]]),VLOOKUP(LOOKUP(,-1/($Z$12:Z1452=1),$A$12:A1452),График[[Срок конец]:[Возврат основной суммы долга]],3,0)),
AND(S1451=0,Первоначальный[[#This Row],[Дата платежа из графика]]="",Первоначальный[[#This Row],[Досрочное погашение (да/"")]]&lt;&gt;"Да"),0,
AND(S1451=0,Первоначальный[[#This Row],[Досрочное погашение (да/"")]]=""),MIN(Первоначальный[[#This Row],[Полученный платеж]]+Y1451-SUM(Первоначальный[[#This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комиссиям]]),VLOOKUP(LOOKUP(,-1/($Z$12:Z1452=1),$A$12:A1452),График[[Срок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платеж]]+Y1451-SUM(Первоначальный[[#This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S1451&gt;0,MIN(Первоначальный[[#This Row],[Полученный платеж]]+Y1451-SUM(Первоначальный[[#This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комиссиям]]),SUM(INDIRECT("M"&amp;(MAX((1=S$12:S1451)*ROW(S$12:S1451),ROW($W$12))&amp;":M"&amp;(ROW()))))-SUM(INDIRECT("W"&amp;(MAX((1=S$12:S1451)*ROW(S$12:S1451),ROW($W$12))&amp;":W"&amp;(ROW()-1)))))
)
)</f>
        <v>0</v>
      </c>
      <c r="X1452" s="55">
        <f t="shared" ca="1" si="268"/>
        <v>0</v>
      </c>
      <c r="Y1452" s="101">
        <f t="shared" ca="1" si="275"/>
        <v>0</v>
      </c>
      <c r="Z1452" s="133" t="str">
        <f>IF(TYPE((VLOOKUP(Первоначальный[[#This Row],[Дата платежа]],График[Срок конец],1,0)))=16,"",1)</f>
        <v/>
      </c>
      <c r="AA1452" s="57"/>
      <c r="AB1452" s="134"/>
      <c r="AC145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5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103369.89000000023</v>
      </c>
      <c r="AE145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8970.2900000000172</v>
      </c>
      <c r="AF145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5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442934.08741967217</v>
      </c>
      <c r="AH1452" s="55"/>
      <c r="AI1452" s="55"/>
      <c r="AJ1452" s="55"/>
      <c r="AK1452" s="101">
        <f t="shared" ca="1" si="276"/>
        <v>704907.60741967242</v>
      </c>
      <c r="AL1452" s="129">
        <f t="array" ref="AL1452">MAX((УслРестрактов[Характеристика]="Дата реструктуризации")*(УслРестрактов[Значение]=Первоначальный!$A1452),0)</f>
        <v>0</v>
      </c>
    </row>
    <row r="1453" spans="1:38" x14ac:dyDescent="0.25">
      <c r="A1453" s="97">
        <f t="shared" si="269"/>
        <v>45584</v>
      </c>
      <c r="B1453" s="100">
        <f t="shared" ca="1" si="270"/>
        <v>149633.34</v>
      </c>
      <c r="C1453" s="55">
        <f t="shared" ca="1" si="266"/>
        <v>103369.89000000023</v>
      </c>
      <c r="D1453" s="55">
        <f t="shared" ca="1" si="266"/>
        <v>8970.2900000000172</v>
      </c>
      <c r="E1453" s="55">
        <f t="shared" ca="1" si="271"/>
        <v>0</v>
      </c>
      <c r="F1453" s="55">
        <f t="shared" ca="1" si="272"/>
        <v>442934.08741967217</v>
      </c>
      <c r="G1453" s="101">
        <f t="shared" ca="1" si="273"/>
        <v>704907.60741967242</v>
      </c>
      <c r="H1453" s="100">
        <f ca="1">ROUND($B1453*VLOOKUP($A1453,$A$1:$B$10,2,1)/(365+IF(MOD(YEAR($A1453),4),0,1)*($A1453-$A1452)),2)-Первоначальный[[#This Row],[Проценты на просроченный платеж по ОД за период]]</f>
        <v>66.36</v>
      </c>
      <c r="I1453" s="55">
        <f t="shared" ca="1" si="274"/>
        <v>15</v>
      </c>
      <c r="J1453" s="55">
        <v>0</v>
      </c>
      <c r="K1453" s="55">
        <f t="shared" ca="1" si="277"/>
        <v>651.75850327868852</v>
      </c>
      <c r="L1453" s="55">
        <v>0</v>
      </c>
      <c r="M1453" s="113">
        <f>SUMIFS(График[Возврат основной суммы долга],График[Дата с учетом нерабочих дней],$A1453)</f>
        <v>0</v>
      </c>
      <c r="N1453" s="56">
        <f>SUMIFS(График[Возврат начисленных %],График[Дата с учетом нерабочих дней],$A1453)</f>
        <v>0</v>
      </c>
      <c r="O1453" s="101">
        <v>0</v>
      </c>
      <c r="P1453" s="100" cm="1">
        <f t="array" aca="1" ref="P1453" ca="1">MAX(IF(AA1452="Да",0,SUM(INDIRECT("M"&amp;(MAX(("Да"=AA$12:AA1452)*ROW(AA$12:AA1452)+1,ROW($P$12))&amp;":M"&amp;(ROW()))))-SUM(INDIRECT("W"&amp;(MAX(("Да"=AA$12:AA1452)*ROW(AA$12:AA1452)+1,ROW($P$12))&amp;":W"&amp;(ROW()))))),0)</f>
        <v>27584.94</v>
      </c>
      <c r="Q1453" s="99">
        <f ca="1">MAX(SUM($N$13:N1453)-SUM($T$13:T1453),0)</f>
        <v>102766.7606557377</v>
      </c>
      <c r="R1453" s="99">
        <f ca="1">Первоначальный[[#This Row],[Просроченный платеж по ОД]]+Первоначальный[[#This Row],[Просроченный платеж по процентам]]</f>
        <v>130351.7006557377</v>
      </c>
      <c r="S1453" s="120">
        <f ca="1">IF(Первоначальный[[#This Row],[Просроченный платеж]]&lt;1,0,S1452+1)</f>
        <v>1349</v>
      </c>
      <c r="T1453" s="100" cm="1">
        <f t="array" aca="1" ref="T1453" ca="1">IF(Первоначальный[[#This Row],[Итого остаток на начало периода]]&lt;1,0,
IF(
AND(TYPE(VLOOKUP(1,$Z$12:Z1453,1,0))=16,Первоначальный[[#This Row],[Досрочное погашение (да/"")]]=""),0,
_xlfn.IFS(AND(S1452=0,Первоначальный[[#This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платеж]]&lt;&gt;0),MIN(LOOKUP(,-1/($Z$12:Z1453=1),$C$12:C1453)+LOOKUP(,-1/($Z$12:Z1453=1),$H$12:H1453),Первоначальный[[#This Row],[Полученный платеж]]+Y1452),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платеж]]+Y1452,SUM(Первоначальный[[#This Row],[Остаток процентов на начало периода]],Первоначальный[[#This Row],[Проценты за период]])),
AND(S1452=0,Первоначальный[[#This Row],[Дата платежа из графика]]=""),0,
AND(S1452=0,Первоначальный[[#This Row],[Дата платежа из графика]]=1,MAX((0&lt;&gt;S$12:S1452)*ROW(S$12:S1452),ROW($S$12))&gt;=MAX((1=Z$12:Z1452)*ROW(Z$12:Z1452),ROW($T$12)),TYPE(VLOOKUP("Да",(INDIRECT("AA"&amp;(MAX((1=Z$12:Z1452)*ROW(Z$12:Z1452),ROW($T$12))&amp;":AA"&amp;(ROW()-1)))),1,0))=16),MIN(LOOKUP(,-1/($Z$12:Z1453=1),$C$12:C1453)+LOOKUP(,-1/($Z$12:Z1453=1),$H$12:H1453),Первоначальный[[#This Row],[Полученный платеж]]+Y1452),
AND(S1452=0,TYPE(VLOOKUP("Да",(INDIRECT("AA"&amp;(MAX((1=Z$12:Z1452)*ROW(Z$12:Z1452),ROW($T$12))&amp;":AA"&amp;(ROW()-1)))),1,0))&lt;&gt;16),MIN(LOOKUP(,-1/($Z$12:Z1453=1),$C$12:C1453)+LOOKUP(,-1/($Z$12:Z1453=1),$H$12:H1453)-IF(AA1452="Да",0,SUM(INDIRECT("T"&amp;(MAX(("Да"=AA$12:AA1452)*ROW(AA$12:AA1452)+1,ROW($T$12))&amp;":T"&amp;(ROW()-1))))),Первоначальный[[#This Row],[Полученный платеж]]+Y1452),
AND(S1452=0,MAX((0&lt;&gt;N$12:N1452)*ROW(N$12:N1452),ROW($S$12))&gt;=MAX((1=Z$12:Z1452)*ROW(Z$12:Z1452),ROW($T$12))),MIN(LOOKUP(,-1/($Z$12:Z1453=1),$C$12:C1453)+LOOKUP(,-1/($Z$12:Z1453=1),$H$12:H1453)-IF(N1452&lt;&gt;0,0,SUM(INDIRECT("T"&amp;(MAX((0&lt;&gt;N$12:N1452)*ROW(N$12:N1452)+1,ROW($T$12))&amp;":T"&amp;(ROW()-1))))),Первоначальный[[#This Row],[Полученный платеж]]+Y1452),
AND(S1452=0,Первоначальный[[#This Row],[Дата платежа из графика]]=1),MIN(LOOKUP(,-1/($Z$12:Z1453=1),$C$12:C1453)+LOOKUP(,-1/($Z$12:Z1453=1),$H$12:H1453)-IF(Z1452=1,0,SUM(INDIRECT("T"&amp;(MAX((1=Z$12:Z1452)*ROW(Z$12:Z1452)+1,ROW($T$12))&amp;":T"&amp;(ROW()-1))))),Первоначальный[[#This Row],[Полученный платеж]]+Y1452),
AND(Z1452&gt;0,Первоначальный[[#This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платеж]]+Y1452),
AND(S1452&gt;0,MAX((0&lt;&gt;S$12:S1452)*ROW(S$12:S1452),ROW($S$12))&gt;=MAX((1=Z$12:Z1452)*ROW(Z$12:Z1452),ROW($T$12)),TYPE(VLOOKUP("Да",(INDIRECT("AA"&amp;(MAX((1=Z$12:Z1452)*ROW(Z$12:Z1452),ROW($T$12))&amp;":AA"&amp;(ROW()-1)))),1,0))=16),MIN(LOOKUP(,-1/($Z$12:Z1453=1),$C$12:C1453)+LOOKUP(,-1/($Z$12:Z1453=1),$H$12:H1453)-SUM(INDIRECT("T"&amp;(MAX((1=Z$12:Z1452)*ROW(Z$12:Z1452),ROW($T$12))&amp;":T"&amp;(ROW()-1)))),Первоначальный[[#This Row],[Полученный платеж]]+Y1452),
S1452&gt;0,MIN(LOOKUP(,-1/($Z$12:Z1453=1),$C$12:C1453)+LOOKUP(,-1/($Z$12:Z1453=1),$H$12:H1453)-IF(Z1452=1,0,SUM(INDIRECT("T"&amp;(MAX((1=Z$12:Z1452)*ROW(Z$12:Z1452)+1,ROW($T$12))&amp;":T"&amp;(ROW()-1))))),Первоначальный[[#This Row],[Полученный платеж]]+Y1452)
)
)
)</f>
        <v>0</v>
      </c>
      <c r="U145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платеж]]+Y1452-Первоначальный[[#This Row],[Полученный платёж по процентам]])</f>
        <v>0</v>
      </c>
      <c r="V1453" s="55">
        <f t="shared" ca="1" si="267"/>
        <v>0</v>
      </c>
      <c r="W1453" s="55" cm="1">
        <f t="array" aca="1" ref="W1453" ca="1">IF(Первоначальный[[#This Row],[Итого остаток на начало периода]]&lt;1,0,
_xlfn.IFS(
AND(TYPE(VLOOKUP(1,$Z$12:Z1453,1,0))=16,Первоначальный[[#This Row],[Досрочное погашение (да/"")]]=""),0,
AND(S1452=0,Первоначальный[[#This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платеж]]+Y1452-SUM(Первоначальный[[#This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комиссиям]]),VLOOKUP(LOOKUP(,-1/($Z$12:Z1453=1),$A$12:A1453),График[[Срок конец]:[Возврат основной суммы долга]],3,0)),
AND(S1452=0,Первоначальный[[#This Row],[Дата платежа из графика]]="",Первоначальный[[#This Row],[Досрочное погашение (да/"")]]&lt;&gt;"Да"),0,
AND(S1452=0,Первоначальный[[#This Row],[Досрочное погашение (да/"")]]=""),MIN(Первоначальный[[#This Row],[Полученный платеж]]+Y1452-SUM(Первоначальный[[#This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комиссиям]]),VLOOKUP(LOOKUP(,-1/($Z$12:Z1453=1),$A$12:A1453),График[[Срок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платеж]]+Y1452-SUM(Первоначальный[[#This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S1452&gt;0,MIN(Первоначальный[[#This Row],[Полученный платеж]]+Y1452-SUM(Первоначальный[[#This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комиссиям]]),SUM(INDIRECT("M"&amp;(MAX((1=S$12:S1452)*ROW(S$12:S1452),ROW($W$12))&amp;":M"&amp;(ROW()))))-SUM(INDIRECT("W"&amp;(MAX((1=S$12:S1452)*ROW(S$12:S1452),ROW($W$12))&amp;":W"&amp;(ROW()-1)))))
)
)</f>
        <v>0</v>
      </c>
      <c r="X1453" s="55">
        <f t="shared" ca="1" si="268"/>
        <v>0</v>
      </c>
      <c r="Y1453" s="101">
        <f t="shared" ca="1" si="275"/>
        <v>0</v>
      </c>
      <c r="Z1453" s="133" t="str">
        <f>IF(TYPE((VLOOKUP(Первоначальный[[#This Row],[Дата платежа]],График[Срок конец],1,0)))=16,"",1)</f>
        <v/>
      </c>
      <c r="AA1453" s="57"/>
      <c r="AB1453" s="134"/>
      <c r="AC145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5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103436.25000000023</v>
      </c>
      <c r="AE145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8985.2900000000172</v>
      </c>
      <c r="AF145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5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443585.84592295089</v>
      </c>
      <c r="AH1453" s="55"/>
      <c r="AI1453" s="55"/>
      <c r="AJ1453" s="55"/>
      <c r="AK1453" s="101">
        <f t="shared" ca="1" si="276"/>
        <v>705640.72592295113</v>
      </c>
      <c r="AL1453" s="129">
        <f t="array" ref="AL1453">MAX((УслРестрактов[Характеристика]="Дата реструктуризации")*(УслРестрактов[Значение]=Первоначальный!$A1453),0)</f>
        <v>0</v>
      </c>
    </row>
    <row r="1454" spans="1:38" x14ac:dyDescent="0.25">
      <c r="A1454" s="97">
        <f t="shared" si="269"/>
        <v>45585</v>
      </c>
      <c r="B1454" s="100">
        <f t="shared" ca="1" si="270"/>
        <v>149633.34</v>
      </c>
      <c r="C1454" s="55">
        <f t="shared" ca="1" si="266"/>
        <v>103436.25000000023</v>
      </c>
      <c r="D1454" s="55">
        <f t="shared" ca="1" si="266"/>
        <v>8985.2900000000172</v>
      </c>
      <c r="E1454" s="55">
        <f t="shared" ca="1" si="271"/>
        <v>0</v>
      </c>
      <c r="F1454" s="55">
        <f t="shared" ca="1" si="272"/>
        <v>443585.84592295089</v>
      </c>
      <c r="G1454" s="101">
        <f t="shared" ca="1" si="273"/>
        <v>705640.72592295113</v>
      </c>
      <c r="H1454" s="100">
        <f ca="1">ROUND($B1454*VLOOKUP($A1454,$A$1:$B$10,2,1)/(365+IF(MOD(YEAR($A1454),4),0,1)*($A1454-$A1453)),2)-Первоначальный[[#This Row],[Проценты на просроченный платеж по ОД за период]]</f>
        <v>66.36</v>
      </c>
      <c r="I1454" s="55">
        <f t="shared" ca="1" si="274"/>
        <v>15</v>
      </c>
      <c r="J1454" s="55">
        <v>0</v>
      </c>
      <c r="K1454" s="55">
        <f t="shared" ca="1" si="277"/>
        <v>651.75850327868852</v>
      </c>
      <c r="L1454" s="55">
        <v>0</v>
      </c>
      <c r="M1454" s="113">
        <f>SUMIFS(График[Возврат основной суммы долга],График[Дата с учетом нерабочих дней],$A1454)</f>
        <v>0</v>
      </c>
      <c r="N1454" s="56">
        <f>SUMIFS(График[Возврат начисленных %],График[Дата с учетом нерабочих дней],$A1454)</f>
        <v>0</v>
      </c>
      <c r="O1454" s="101">
        <v>0</v>
      </c>
      <c r="P1454" s="100" cm="1">
        <f t="array" aca="1" ref="P1454" ca="1">MAX(IF(AA1453="Да",0,SUM(INDIRECT("M"&amp;(MAX(("Да"=AA$12:AA1453)*ROW(AA$12:AA1453)+1,ROW($P$12))&amp;":M"&amp;(ROW()))))-SUM(INDIRECT("W"&amp;(MAX(("Да"=AA$12:AA1453)*ROW(AA$12:AA1453)+1,ROW($P$12))&amp;":W"&amp;(ROW()))))),0)</f>
        <v>27584.94</v>
      </c>
      <c r="Q1454" s="99">
        <f ca="1">MAX(SUM($N$13:N1454)-SUM($T$13:T1454),0)</f>
        <v>102766.7606557377</v>
      </c>
      <c r="R1454" s="99">
        <f ca="1">Первоначальный[[#This Row],[Просроченный платеж по ОД]]+Первоначальный[[#This Row],[Просроченный платеж по процентам]]</f>
        <v>130351.7006557377</v>
      </c>
      <c r="S1454" s="120">
        <f ca="1">IF(Первоначальный[[#This Row],[Просроченный платеж]]&lt;1,0,S1453+1)</f>
        <v>1350</v>
      </c>
      <c r="T1454" s="100" cm="1">
        <f t="array" aca="1" ref="T1454" ca="1">IF(Первоначальный[[#This Row],[Итого остаток на начало периода]]&lt;1,0,
IF(
AND(TYPE(VLOOKUP(1,$Z$12:Z1454,1,0))=16,Первоначальный[[#This Row],[Досрочное погашение (да/"")]]=""),0,
_xlfn.IFS(AND(S1453=0,Первоначальный[[#This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платеж]]&lt;&gt;0),MIN(LOOKUP(,-1/($Z$12:Z1454=1),$C$12:C1454)+LOOKUP(,-1/($Z$12:Z1454=1),$H$12:H1454),Первоначальный[[#This Row],[Полученный платеж]]+Y1453),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платеж]]+Y1453,SUM(Первоначальный[[#This Row],[Остаток процентов на начало периода]],Первоначальный[[#This Row],[Проценты за период]])),
AND(S1453=0,Первоначальный[[#This Row],[Дата платежа из графика]]=""),0,
AND(S1453=0,Первоначальный[[#This Row],[Дата платежа из графика]]=1,MAX((0&lt;&gt;S$12:S1453)*ROW(S$12:S1453),ROW($S$12))&gt;=MAX((1=Z$12:Z1453)*ROW(Z$12:Z1453),ROW($T$12)),TYPE(VLOOKUP("Да",(INDIRECT("AA"&amp;(MAX((1=Z$12:Z1453)*ROW(Z$12:Z1453),ROW($T$12))&amp;":AA"&amp;(ROW()-1)))),1,0))=16),MIN(LOOKUP(,-1/($Z$12:Z1454=1),$C$12:C1454)+LOOKUP(,-1/($Z$12:Z1454=1),$H$12:H1454),Первоначальный[[#This Row],[Полученный платеж]]+Y1453),
AND(S1453=0,TYPE(VLOOKUP("Да",(INDIRECT("AA"&amp;(MAX((1=Z$12:Z1453)*ROW(Z$12:Z1453),ROW($T$12))&amp;":AA"&amp;(ROW()-1)))),1,0))&lt;&gt;16),MIN(LOOKUP(,-1/($Z$12:Z1454=1),$C$12:C1454)+LOOKUP(,-1/($Z$12:Z1454=1),$H$12:H1454)-IF(AA1453="Да",0,SUM(INDIRECT("T"&amp;(MAX(("Да"=AA$12:AA1453)*ROW(AA$12:AA1453)+1,ROW($T$12))&amp;":T"&amp;(ROW()-1))))),Первоначальный[[#This Row],[Полученный платеж]]+Y1453),
AND(S1453=0,MAX((0&lt;&gt;N$12:N1453)*ROW(N$12:N1453),ROW($S$12))&gt;=MAX((1=Z$12:Z1453)*ROW(Z$12:Z1453),ROW($T$12))),MIN(LOOKUP(,-1/($Z$12:Z1454=1),$C$12:C1454)+LOOKUP(,-1/($Z$12:Z1454=1),$H$12:H1454)-IF(N1453&lt;&gt;0,0,SUM(INDIRECT("T"&amp;(MAX((0&lt;&gt;N$12:N1453)*ROW(N$12:N1453)+1,ROW($T$12))&amp;":T"&amp;(ROW()-1))))),Первоначальный[[#This Row],[Полученный платеж]]+Y1453),
AND(S1453=0,Первоначальный[[#This Row],[Дата платежа из графика]]=1),MIN(LOOKUP(,-1/($Z$12:Z1454=1),$C$12:C1454)+LOOKUP(,-1/($Z$12:Z1454=1),$H$12:H1454)-IF(Z1453=1,0,SUM(INDIRECT("T"&amp;(MAX((1=Z$12:Z1453)*ROW(Z$12:Z1453)+1,ROW($T$12))&amp;":T"&amp;(ROW()-1))))),Первоначальный[[#This Row],[Полученный платеж]]+Y1453),
AND(Z1453&gt;0,Первоначальный[[#This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платеж]]+Y1453),
AND(S1453&gt;0,MAX((0&lt;&gt;S$12:S1453)*ROW(S$12:S1453),ROW($S$12))&gt;=MAX((1=Z$12:Z1453)*ROW(Z$12:Z1453),ROW($T$12)),TYPE(VLOOKUP("Да",(INDIRECT("AA"&amp;(MAX((1=Z$12:Z1453)*ROW(Z$12:Z1453),ROW($T$12))&amp;":AA"&amp;(ROW()-1)))),1,0))=16),MIN(LOOKUP(,-1/($Z$12:Z1454=1),$C$12:C1454)+LOOKUP(,-1/($Z$12:Z1454=1),$H$12:H1454)-SUM(INDIRECT("T"&amp;(MAX((1=Z$12:Z1453)*ROW(Z$12:Z1453),ROW($T$12))&amp;":T"&amp;(ROW()-1)))),Первоначальный[[#This Row],[Полученный платеж]]+Y1453),
S1453&gt;0,MIN(LOOKUP(,-1/($Z$12:Z1454=1),$C$12:C1454)+LOOKUP(,-1/($Z$12:Z1454=1),$H$12:H1454)-IF(Z1453=1,0,SUM(INDIRECT("T"&amp;(MAX((1=Z$12:Z1453)*ROW(Z$12:Z1453)+1,ROW($T$12))&amp;":T"&amp;(ROW()-1))))),Первоначальный[[#This Row],[Полученный платеж]]+Y1453)
)
)
)</f>
        <v>0</v>
      </c>
      <c r="U145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платеж]]+Y1453-Первоначальный[[#This Row],[Полученный платёж по процентам]])</f>
        <v>0</v>
      </c>
      <c r="V1454" s="55">
        <f t="shared" ca="1" si="267"/>
        <v>0</v>
      </c>
      <c r="W1454" s="55" cm="1">
        <f t="array" aca="1" ref="W1454" ca="1">IF(Первоначальный[[#This Row],[Итого остаток на начало периода]]&lt;1,0,
_xlfn.IFS(
AND(TYPE(VLOOKUP(1,$Z$12:Z1454,1,0))=16,Первоначальный[[#This Row],[Досрочное погашение (да/"")]]=""),0,
AND(S1453=0,Первоначальный[[#This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платеж]]+Y1453-SUM(Первоначальный[[#This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комиссиям]]),VLOOKUP(LOOKUP(,-1/($Z$12:Z1454=1),$A$12:A1454),График[[Срок конец]:[Возврат основной суммы долга]],3,0)),
AND(S1453=0,Первоначальный[[#This Row],[Дата платежа из графика]]="",Первоначальный[[#This Row],[Досрочное погашение (да/"")]]&lt;&gt;"Да"),0,
AND(S1453=0,Первоначальный[[#This Row],[Досрочное погашение (да/"")]]=""),MIN(Первоначальный[[#This Row],[Полученный платеж]]+Y1453-SUM(Первоначальный[[#This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комиссиям]]),VLOOKUP(LOOKUP(,-1/($Z$12:Z1454=1),$A$12:A1454),График[[Срок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платеж]]+Y1453-SUM(Первоначальный[[#This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S1453&gt;0,MIN(Первоначальный[[#This Row],[Полученный платеж]]+Y1453-SUM(Первоначальный[[#This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комиссиям]]),SUM(INDIRECT("M"&amp;(MAX((1=S$12:S1453)*ROW(S$12:S1453),ROW($W$12))&amp;":M"&amp;(ROW()))))-SUM(INDIRECT("W"&amp;(MAX((1=S$12:S1453)*ROW(S$12:S1453),ROW($W$12))&amp;":W"&amp;(ROW()-1)))))
)
)</f>
        <v>0</v>
      </c>
      <c r="X1454" s="55">
        <f t="shared" ca="1" si="268"/>
        <v>0</v>
      </c>
      <c r="Y1454" s="101">
        <f t="shared" ca="1" si="275"/>
        <v>0</v>
      </c>
      <c r="Z1454" s="133" t="str">
        <f>IF(TYPE((VLOOKUP(Первоначальный[[#This Row],[Дата платежа]],График[Срок конец],1,0)))=16,"",1)</f>
        <v/>
      </c>
      <c r="AA1454" s="57"/>
      <c r="AB1454" s="134"/>
      <c r="AC145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5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103502.61000000023</v>
      </c>
      <c r="AE145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9000.2900000000172</v>
      </c>
      <c r="AF145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5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444237.60442622961</v>
      </c>
      <c r="AH1454" s="55"/>
      <c r="AI1454" s="55"/>
      <c r="AJ1454" s="55"/>
      <c r="AK1454" s="101">
        <f t="shared" ca="1" si="276"/>
        <v>706373.84442622983</v>
      </c>
      <c r="AL1454" s="129">
        <f t="array" ref="AL1454">MAX((УслРестрактов[Характеристика]="Дата реструктуризации")*(УслРестрактов[Значение]=Первоначальный!$A1454),0)</f>
        <v>0</v>
      </c>
    </row>
    <row r="1455" spans="1:38" x14ac:dyDescent="0.25">
      <c r="A1455" s="97">
        <f t="shared" si="269"/>
        <v>45586</v>
      </c>
      <c r="B1455" s="100">
        <f t="shared" ca="1" si="270"/>
        <v>149633.34</v>
      </c>
      <c r="C1455" s="55">
        <f t="shared" ca="1" si="266"/>
        <v>103502.61000000023</v>
      </c>
      <c r="D1455" s="55">
        <f t="shared" ca="1" si="266"/>
        <v>9000.2900000000172</v>
      </c>
      <c r="E1455" s="55">
        <f t="shared" ca="1" si="271"/>
        <v>0</v>
      </c>
      <c r="F1455" s="55">
        <f t="shared" ca="1" si="272"/>
        <v>444237.60442622961</v>
      </c>
      <c r="G1455" s="101">
        <f t="shared" ca="1" si="273"/>
        <v>706373.84442622983</v>
      </c>
      <c r="H1455" s="100">
        <f ca="1">ROUND($B1455*VLOOKUP($A1455,$A$1:$B$10,2,1)/(365+IF(MOD(YEAR($A1455),4),0,1)*($A1455-$A1454)),2)-Первоначальный[[#This Row],[Проценты на просроченный платеж по ОД за период]]</f>
        <v>66.36</v>
      </c>
      <c r="I1455" s="55">
        <f t="shared" ca="1" si="274"/>
        <v>15</v>
      </c>
      <c r="J1455" s="55">
        <v>0</v>
      </c>
      <c r="K1455" s="55">
        <f t="shared" ca="1" si="277"/>
        <v>651.75850327868852</v>
      </c>
      <c r="L1455" s="55">
        <v>0</v>
      </c>
      <c r="M1455" s="113">
        <f>SUMIFS(График[Возврат основной суммы долга],График[Дата с учетом нерабочих дней],$A1455)</f>
        <v>0</v>
      </c>
      <c r="N1455" s="56">
        <f>SUMIFS(График[Возврат начисленных %],График[Дата с учетом нерабочих дней],$A1455)</f>
        <v>0</v>
      </c>
      <c r="O1455" s="101">
        <v>0</v>
      </c>
      <c r="P1455" s="100" cm="1">
        <f t="array" aca="1" ref="P1455" ca="1">MAX(IF(AA1454="Да",0,SUM(INDIRECT("M"&amp;(MAX(("Да"=AA$12:AA1454)*ROW(AA$12:AA1454)+1,ROW($P$12))&amp;":M"&amp;(ROW()))))-SUM(INDIRECT("W"&amp;(MAX(("Да"=AA$12:AA1454)*ROW(AA$12:AA1454)+1,ROW($P$12))&amp;":W"&amp;(ROW()))))),0)</f>
        <v>27584.94</v>
      </c>
      <c r="Q1455" s="99">
        <f ca="1">MAX(SUM($N$13:N1455)-SUM($T$13:T1455),0)</f>
        <v>102766.7606557377</v>
      </c>
      <c r="R1455" s="99">
        <f ca="1">Первоначальный[[#This Row],[Просроченный платеж по ОД]]+Первоначальный[[#This Row],[Просроченный платеж по процентам]]</f>
        <v>130351.7006557377</v>
      </c>
      <c r="S1455" s="120">
        <f ca="1">IF(Первоначальный[[#This Row],[Просроченный платеж]]&lt;1,0,S1454+1)</f>
        <v>1351</v>
      </c>
      <c r="T1455" s="100" cm="1">
        <f t="array" aca="1" ref="T1455" ca="1">IF(Первоначальный[[#This Row],[Итого остаток на начало периода]]&lt;1,0,
IF(
AND(TYPE(VLOOKUP(1,$Z$12:Z1455,1,0))=16,Первоначальный[[#This Row],[Досрочное погашение (да/"")]]=""),0,
_xlfn.IFS(AND(S1454=0,Первоначальный[[#This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платеж]]&lt;&gt;0),MIN(LOOKUP(,-1/($Z$12:Z1455=1),$C$12:C1455)+LOOKUP(,-1/($Z$12:Z1455=1),$H$12:H1455),Первоначальный[[#This Row],[Полученный платеж]]+Y1454),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платеж]]+Y1454,SUM(Первоначальный[[#This Row],[Остаток процентов на начало периода]],Первоначальный[[#This Row],[Проценты за период]])),
AND(S1454=0,Первоначальный[[#This Row],[Дата платежа из графика]]=""),0,
AND(S1454=0,Первоначальный[[#This Row],[Дата платежа из графика]]=1,MAX((0&lt;&gt;S$12:S1454)*ROW(S$12:S1454),ROW($S$12))&gt;=MAX((1=Z$12:Z1454)*ROW(Z$12:Z1454),ROW($T$12)),TYPE(VLOOKUP("Да",(INDIRECT("AA"&amp;(MAX((1=Z$12:Z1454)*ROW(Z$12:Z1454),ROW($T$12))&amp;":AA"&amp;(ROW()-1)))),1,0))=16),MIN(LOOKUP(,-1/($Z$12:Z1455=1),$C$12:C1455)+LOOKUP(,-1/($Z$12:Z1455=1),$H$12:H1455),Первоначальный[[#This Row],[Полученный платеж]]+Y1454),
AND(S1454=0,TYPE(VLOOKUP("Да",(INDIRECT("AA"&amp;(MAX((1=Z$12:Z1454)*ROW(Z$12:Z1454),ROW($T$12))&amp;":AA"&amp;(ROW()-1)))),1,0))&lt;&gt;16),MIN(LOOKUP(,-1/($Z$12:Z1455=1),$C$12:C1455)+LOOKUP(,-1/($Z$12:Z1455=1),$H$12:H1455)-IF(AA1454="Да",0,SUM(INDIRECT("T"&amp;(MAX(("Да"=AA$12:AA1454)*ROW(AA$12:AA1454)+1,ROW($T$12))&amp;":T"&amp;(ROW()-1))))),Первоначальный[[#This Row],[Полученный платеж]]+Y1454),
AND(S1454=0,MAX((0&lt;&gt;N$12:N1454)*ROW(N$12:N1454),ROW($S$12))&gt;=MAX((1=Z$12:Z1454)*ROW(Z$12:Z1454),ROW($T$12))),MIN(LOOKUP(,-1/($Z$12:Z1455=1),$C$12:C1455)+LOOKUP(,-1/($Z$12:Z1455=1),$H$12:H1455)-IF(N1454&lt;&gt;0,0,SUM(INDIRECT("T"&amp;(MAX((0&lt;&gt;N$12:N1454)*ROW(N$12:N1454)+1,ROW($T$12))&amp;":T"&amp;(ROW()-1))))),Первоначальный[[#This Row],[Полученный платеж]]+Y1454),
AND(S1454=0,Первоначальный[[#This Row],[Дата платежа из графика]]=1),MIN(LOOKUP(,-1/($Z$12:Z1455=1),$C$12:C1455)+LOOKUP(,-1/($Z$12:Z1455=1),$H$12:H1455)-IF(Z1454=1,0,SUM(INDIRECT("T"&amp;(MAX((1=Z$12:Z1454)*ROW(Z$12:Z1454)+1,ROW($T$12))&amp;":T"&amp;(ROW()-1))))),Первоначальный[[#This Row],[Полученный платеж]]+Y1454),
AND(Z1454&gt;0,Первоначальный[[#This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платеж]]+Y1454),
AND(S1454&gt;0,MAX((0&lt;&gt;S$12:S1454)*ROW(S$12:S1454),ROW($S$12))&gt;=MAX((1=Z$12:Z1454)*ROW(Z$12:Z1454),ROW($T$12)),TYPE(VLOOKUP("Да",(INDIRECT("AA"&amp;(MAX((1=Z$12:Z1454)*ROW(Z$12:Z1454),ROW($T$12))&amp;":AA"&amp;(ROW()-1)))),1,0))=16),MIN(LOOKUP(,-1/($Z$12:Z1455=1),$C$12:C1455)+LOOKUP(,-1/($Z$12:Z1455=1),$H$12:H1455)-SUM(INDIRECT("T"&amp;(MAX((1=Z$12:Z1454)*ROW(Z$12:Z1454),ROW($T$12))&amp;":T"&amp;(ROW()-1)))),Первоначальный[[#This Row],[Полученный платеж]]+Y1454),
S1454&gt;0,MIN(LOOKUP(,-1/($Z$12:Z1455=1),$C$12:C1455)+LOOKUP(,-1/($Z$12:Z1455=1),$H$12:H1455)-IF(Z1454=1,0,SUM(INDIRECT("T"&amp;(MAX((1=Z$12:Z1454)*ROW(Z$12:Z1454)+1,ROW($T$12))&amp;":T"&amp;(ROW()-1))))),Первоначальный[[#This Row],[Полученный платеж]]+Y1454)
)
)
)</f>
        <v>0</v>
      </c>
      <c r="U145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платеж]]+Y1454-Первоначальный[[#This Row],[Полученный платёж по процентам]])</f>
        <v>0</v>
      </c>
      <c r="V1455" s="55">
        <f t="shared" ca="1" si="267"/>
        <v>0</v>
      </c>
      <c r="W1455" s="55" cm="1">
        <f t="array" aca="1" ref="W1455" ca="1">IF(Первоначальный[[#This Row],[Итого остаток на начало периода]]&lt;1,0,
_xlfn.IFS(
AND(TYPE(VLOOKUP(1,$Z$12:Z1455,1,0))=16,Первоначальный[[#This Row],[Досрочное погашение (да/"")]]=""),0,
AND(S1454=0,Первоначальный[[#This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платеж]]+Y1454-SUM(Первоначальный[[#This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комиссиям]]),VLOOKUP(LOOKUP(,-1/($Z$12:Z1455=1),$A$12:A1455),График[[Срок конец]:[Возврат основной суммы долга]],3,0)),
AND(S1454=0,Первоначальный[[#This Row],[Дата платежа из графика]]="",Первоначальный[[#This Row],[Досрочное погашение (да/"")]]&lt;&gt;"Да"),0,
AND(S1454=0,Первоначальный[[#This Row],[Досрочное погашение (да/"")]]=""),MIN(Первоначальный[[#This Row],[Полученный платеж]]+Y1454-SUM(Первоначальный[[#This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комиссиям]]),VLOOKUP(LOOKUP(,-1/($Z$12:Z1455=1),$A$12:A1455),График[[Срок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платеж]]+Y1454-SUM(Первоначальный[[#This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S1454&gt;0,MIN(Первоначальный[[#This Row],[Полученный платеж]]+Y1454-SUM(Первоначальный[[#This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комиссиям]]),SUM(INDIRECT("M"&amp;(MAX((1=S$12:S1454)*ROW(S$12:S1454),ROW($W$12))&amp;":M"&amp;(ROW()))))-SUM(INDIRECT("W"&amp;(MAX((1=S$12:S1454)*ROW(S$12:S1454),ROW($W$12))&amp;":W"&amp;(ROW()-1)))))
)
)</f>
        <v>0</v>
      </c>
      <c r="X1455" s="55">
        <f t="shared" ca="1" si="268"/>
        <v>0</v>
      </c>
      <c r="Y1455" s="101">
        <f t="shared" ca="1" si="275"/>
        <v>0</v>
      </c>
      <c r="Z1455" s="133" t="str">
        <f>IF(TYPE((VLOOKUP(Первоначальный[[#This Row],[Дата платежа]],График[Срок конец],1,0)))=16,"",1)</f>
        <v/>
      </c>
      <c r="AA1455" s="57"/>
      <c r="AB1455" s="134"/>
      <c r="AC145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5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103568.97000000023</v>
      </c>
      <c r="AE145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9015.2900000000172</v>
      </c>
      <c r="AF145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5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444889.36292950832</v>
      </c>
      <c r="AH1455" s="55"/>
      <c r="AI1455" s="55"/>
      <c r="AJ1455" s="55"/>
      <c r="AK1455" s="101">
        <f t="shared" ca="1" si="276"/>
        <v>707106.96292950865</v>
      </c>
      <c r="AL1455" s="129">
        <f t="array" ref="AL1455">MAX((УслРестрактов[Характеристика]="Дата реструктуризации")*(УслРестрактов[Значение]=Первоначальный!$A1455),0)</f>
        <v>0</v>
      </c>
    </row>
    <row r="1456" spans="1:38" x14ac:dyDescent="0.25">
      <c r="A1456" s="97">
        <f t="shared" si="269"/>
        <v>45587</v>
      </c>
      <c r="B1456" s="100">
        <f t="shared" ca="1" si="270"/>
        <v>149633.34</v>
      </c>
      <c r="C1456" s="55">
        <f t="shared" ca="1" si="266"/>
        <v>103568.97000000023</v>
      </c>
      <c r="D1456" s="55">
        <f t="shared" ca="1" si="266"/>
        <v>9015.2900000000172</v>
      </c>
      <c r="E1456" s="55">
        <f t="shared" ca="1" si="271"/>
        <v>0</v>
      </c>
      <c r="F1456" s="55">
        <f t="shared" ca="1" si="272"/>
        <v>444889.36292950832</v>
      </c>
      <c r="G1456" s="101">
        <f t="shared" ca="1" si="273"/>
        <v>707106.96292950865</v>
      </c>
      <c r="H1456" s="100">
        <f ca="1">ROUND($B1456*VLOOKUP($A1456,$A$1:$B$10,2,1)/(365+IF(MOD(YEAR($A1456),4),0,1)*($A1456-$A1455)),2)-Первоначальный[[#This Row],[Проценты на просроченный платеж по ОД за период]]</f>
        <v>66.36</v>
      </c>
      <c r="I1456" s="55">
        <f t="shared" ca="1" si="274"/>
        <v>15</v>
      </c>
      <c r="J1456" s="55">
        <v>0</v>
      </c>
      <c r="K1456" s="55">
        <f t="shared" ca="1" si="277"/>
        <v>651.75850327868852</v>
      </c>
      <c r="L1456" s="55">
        <v>0</v>
      </c>
      <c r="M1456" s="113">
        <f>SUMIFS(График[Возврат основной суммы долга],График[Дата с учетом нерабочих дней],$A1456)</f>
        <v>0</v>
      </c>
      <c r="N1456" s="56">
        <f>SUMIFS(График[Возврат начисленных %],График[Дата с учетом нерабочих дней],$A1456)</f>
        <v>0</v>
      </c>
      <c r="O1456" s="101">
        <v>0</v>
      </c>
      <c r="P1456" s="100" cm="1">
        <f t="array" aca="1" ref="P1456" ca="1">MAX(IF(AA1455="Да",0,SUM(INDIRECT("M"&amp;(MAX(("Да"=AA$12:AA1455)*ROW(AA$12:AA1455)+1,ROW($P$12))&amp;":M"&amp;(ROW()))))-SUM(INDIRECT("W"&amp;(MAX(("Да"=AA$12:AA1455)*ROW(AA$12:AA1455)+1,ROW($P$12))&amp;":W"&amp;(ROW()))))),0)</f>
        <v>27584.94</v>
      </c>
      <c r="Q1456" s="99">
        <f ca="1">MAX(SUM($N$13:N1456)-SUM($T$13:T1456),0)</f>
        <v>102766.7606557377</v>
      </c>
      <c r="R1456" s="99">
        <f ca="1">Первоначальный[[#This Row],[Просроченный платеж по ОД]]+Первоначальный[[#This Row],[Просроченный платеж по процентам]]</f>
        <v>130351.7006557377</v>
      </c>
      <c r="S1456" s="120">
        <f ca="1">IF(Первоначальный[[#This Row],[Просроченный платеж]]&lt;1,0,S1455+1)</f>
        <v>1352</v>
      </c>
      <c r="T1456" s="100" cm="1">
        <f t="array" aca="1" ref="T1456" ca="1">IF(Первоначальный[[#This Row],[Итого остаток на начало периода]]&lt;1,0,
IF(
AND(TYPE(VLOOKUP(1,$Z$12:Z1456,1,0))=16,Первоначальный[[#This Row],[Досрочное погашение (да/"")]]=""),0,
_xlfn.IFS(AND(S1455=0,Первоначальный[[#This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платеж]]&lt;&gt;0),MIN(LOOKUP(,-1/($Z$12:Z1456=1),$C$12:C1456)+LOOKUP(,-1/($Z$12:Z1456=1),$H$12:H1456),Первоначальный[[#This Row],[Полученный платеж]]+Y1455),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платеж]]+Y1455,SUM(Первоначальный[[#This Row],[Остаток процентов на начало периода]],Первоначальный[[#This Row],[Проценты за период]])),
AND(S1455=0,Первоначальный[[#This Row],[Дата платежа из графика]]=""),0,
AND(S1455=0,Первоначальный[[#This Row],[Дата платежа из графика]]=1,MAX((0&lt;&gt;S$12:S1455)*ROW(S$12:S1455),ROW($S$12))&gt;=MAX((1=Z$12:Z1455)*ROW(Z$12:Z1455),ROW($T$12)),TYPE(VLOOKUP("Да",(INDIRECT("AA"&amp;(MAX((1=Z$12:Z1455)*ROW(Z$12:Z1455),ROW($T$12))&amp;":AA"&amp;(ROW()-1)))),1,0))=16),MIN(LOOKUP(,-1/($Z$12:Z1456=1),$C$12:C1456)+LOOKUP(,-1/($Z$12:Z1456=1),$H$12:H1456),Первоначальный[[#This Row],[Полученный платеж]]+Y1455),
AND(S1455=0,TYPE(VLOOKUP("Да",(INDIRECT("AA"&amp;(MAX((1=Z$12:Z1455)*ROW(Z$12:Z1455),ROW($T$12))&amp;":AA"&amp;(ROW()-1)))),1,0))&lt;&gt;16),MIN(LOOKUP(,-1/($Z$12:Z1456=1),$C$12:C1456)+LOOKUP(,-1/($Z$12:Z1456=1),$H$12:H1456)-IF(AA1455="Да",0,SUM(INDIRECT("T"&amp;(MAX(("Да"=AA$12:AA1455)*ROW(AA$12:AA1455)+1,ROW($T$12))&amp;":T"&amp;(ROW()-1))))),Первоначальный[[#This Row],[Полученный платеж]]+Y1455),
AND(S1455=0,MAX((0&lt;&gt;N$12:N1455)*ROW(N$12:N1455),ROW($S$12))&gt;=MAX((1=Z$12:Z1455)*ROW(Z$12:Z1455),ROW($T$12))),MIN(LOOKUP(,-1/($Z$12:Z1456=1),$C$12:C1456)+LOOKUP(,-1/($Z$12:Z1456=1),$H$12:H1456)-IF(N1455&lt;&gt;0,0,SUM(INDIRECT("T"&amp;(MAX((0&lt;&gt;N$12:N1455)*ROW(N$12:N1455)+1,ROW($T$12))&amp;":T"&amp;(ROW()-1))))),Первоначальный[[#This Row],[Полученный платеж]]+Y1455),
AND(S1455=0,Первоначальный[[#This Row],[Дата платежа из графика]]=1),MIN(LOOKUP(,-1/($Z$12:Z1456=1),$C$12:C1456)+LOOKUP(,-1/($Z$12:Z1456=1),$H$12:H1456)-IF(Z1455=1,0,SUM(INDIRECT("T"&amp;(MAX((1=Z$12:Z1455)*ROW(Z$12:Z1455)+1,ROW($T$12))&amp;":T"&amp;(ROW()-1))))),Первоначальный[[#This Row],[Полученный платеж]]+Y1455),
AND(Z1455&gt;0,Первоначальный[[#This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платеж]]+Y1455),
AND(S1455&gt;0,MAX((0&lt;&gt;S$12:S1455)*ROW(S$12:S1455),ROW($S$12))&gt;=MAX((1=Z$12:Z1455)*ROW(Z$12:Z1455),ROW($T$12)),TYPE(VLOOKUP("Да",(INDIRECT("AA"&amp;(MAX((1=Z$12:Z1455)*ROW(Z$12:Z1455),ROW($T$12))&amp;":AA"&amp;(ROW()-1)))),1,0))=16),MIN(LOOKUP(,-1/($Z$12:Z1456=1),$C$12:C1456)+LOOKUP(,-1/($Z$12:Z1456=1),$H$12:H1456)-SUM(INDIRECT("T"&amp;(MAX((1=Z$12:Z1455)*ROW(Z$12:Z1455),ROW($T$12))&amp;":T"&amp;(ROW()-1)))),Первоначальный[[#This Row],[Полученный платеж]]+Y1455),
S1455&gt;0,MIN(LOOKUP(,-1/($Z$12:Z1456=1),$C$12:C1456)+LOOKUP(,-1/($Z$12:Z1456=1),$H$12:H1456)-IF(Z1455=1,0,SUM(INDIRECT("T"&amp;(MAX((1=Z$12:Z1455)*ROW(Z$12:Z1455)+1,ROW($T$12))&amp;":T"&amp;(ROW()-1))))),Первоначальный[[#This Row],[Полученный платеж]]+Y1455)
)
)
)</f>
        <v>0</v>
      </c>
      <c r="U145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платеж]]+Y1455-Первоначальный[[#This Row],[Полученный платёж по процентам]])</f>
        <v>0</v>
      </c>
      <c r="V1456" s="55">
        <f t="shared" ca="1" si="267"/>
        <v>0</v>
      </c>
      <c r="W1456" s="55" cm="1">
        <f t="array" aca="1" ref="W1456" ca="1">IF(Первоначальный[[#This Row],[Итого остаток на начало периода]]&lt;1,0,
_xlfn.IFS(
AND(TYPE(VLOOKUP(1,$Z$12:Z1456,1,0))=16,Первоначальный[[#This Row],[Досрочное погашение (да/"")]]=""),0,
AND(S1455=0,Первоначальный[[#This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платеж]]+Y1455-SUM(Первоначальный[[#This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комиссиям]]),VLOOKUP(LOOKUP(,-1/($Z$12:Z1456=1),$A$12:A1456),График[[Срок конец]:[Возврат основной суммы долга]],3,0)),
AND(S1455=0,Первоначальный[[#This Row],[Дата платежа из графика]]="",Первоначальный[[#This Row],[Досрочное погашение (да/"")]]&lt;&gt;"Да"),0,
AND(S1455=0,Первоначальный[[#This Row],[Досрочное погашение (да/"")]]=""),MIN(Первоначальный[[#This Row],[Полученный платеж]]+Y1455-SUM(Первоначальный[[#This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комиссиям]]),VLOOKUP(LOOKUP(,-1/($Z$12:Z1456=1),$A$12:A1456),График[[Срок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платеж]]+Y1455-SUM(Первоначальный[[#This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S1455&gt;0,MIN(Первоначальный[[#This Row],[Полученный платеж]]+Y1455-SUM(Первоначальный[[#This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комиссиям]]),SUM(INDIRECT("M"&amp;(MAX((1=S$12:S1455)*ROW(S$12:S1455),ROW($W$12))&amp;":M"&amp;(ROW()))))-SUM(INDIRECT("W"&amp;(MAX((1=S$12:S1455)*ROW(S$12:S1455),ROW($W$12))&amp;":W"&amp;(ROW()-1)))))
)
)</f>
        <v>0</v>
      </c>
      <c r="X1456" s="55">
        <f t="shared" ca="1" si="268"/>
        <v>0</v>
      </c>
      <c r="Y1456" s="101">
        <f t="shared" ca="1" si="275"/>
        <v>0</v>
      </c>
      <c r="Z1456" s="133" t="str">
        <f>IF(TYPE((VLOOKUP(Первоначальный[[#This Row],[Дата платежа]],График[Срок конец],1,0)))=16,"",1)</f>
        <v/>
      </c>
      <c r="AA1456" s="57"/>
      <c r="AB1456" s="134"/>
      <c r="AC145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5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103635.33000000023</v>
      </c>
      <c r="AE145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9030.2900000000172</v>
      </c>
      <c r="AF145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5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445541.12143278704</v>
      </c>
      <c r="AH1456" s="55"/>
      <c r="AI1456" s="55"/>
      <c r="AJ1456" s="55"/>
      <c r="AK1456" s="101">
        <f t="shared" ca="1" si="276"/>
        <v>707840.08143278724</v>
      </c>
      <c r="AL1456" s="129">
        <f t="array" ref="AL1456">MAX((УслРестрактов[Характеристика]="Дата реструктуризации")*(УслРестрактов[Значение]=Первоначальный!$A1456),0)</f>
        <v>0</v>
      </c>
    </row>
    <row r="1457" spans="1:38" x14ac:dyDescent="0.25">
      <c r="A1457" s="97">
        <f t="shared" si="269"/>
        <v>45588</v>
      </c>
      <c r="B1457" s="100">
        <f t="shared" ca="1" si="270"/>
        <v>149633.34</v>
      </c>
      <c r="C1457" s="55">
        <f t="shared" ca="1" si="266"/>
        <v>103635.33000000023</v>
      </c>
      <c r="D1457" s="55">
        <f t="shared" ca="1" si="266"/>
        <v>9030.2900000000172</v>
      </c>
      <c r="E1457" s="55">
        <f t="shared" ca="1" si="271"/>
        <v>0</v>
      </c>
      <c r="F1457" s="55">
        <f t="shared" ca="1" si="272"/>
        <v>445541.12143278704</v>
      </c>
      <c r="G1457" s="101">
        <f t="shared" ca="1" si="273"/>
        <v>707840.08143278724</v>
      </c>
      <c r="H1457" s="100">
        <f ca="1">ROUND($B1457*VLOOKUP($A1457,$A$1:$B$10,2,1)/(365+IF(MOD(YEAR($A1457),4),0,1)*($A1457-$A1456)),2)-Первоначальный[[#This Row],[Проценты на просроченный платеж по ОД за период]]</f>
        <v>66.36</v>
      </c>
      <c r="I1457" s="55">
        <f t="shared" ca="1" si="274"/>
        <v>15</v>
      </c>
      <c r="J1457" s="55">
        <v>0</v>
      </c>
      <c r="K1457" s="55">
        <f t="shared" ca="1" si="277"/>
        <v>651.75850327868852</v>
      </c>
      <c r="L1457" s="55">
        <v>0</v>
      </c>
      <c r="M1457" s="113">
        <f>SUMIFS(График[Возврат основной суммы долга],График[Дата с учетом нерабочих дней],$A1457)</f>
        <v>0</v>
      </c>
      <c r="N1457" s="56">
        <f>SUMIFS(График[Возврат начисленных %],График[Дата с учетом нерабочих дней],$A1457)</f>
        <v>0</v>
      </c>
      <c r="O1457" s="101">
        <v>0</v>
      </c>
      <c r="P1457" s="100" cm="1">
        <f t="array" aca="1" ref="P1457" ca="1">MAX(IF(AA1456="Да",0,SUM(INDIRECT("M"&amp;(MAX(("Да"=AA$12:AA1456)*ROW(AA$12:AA1456)+1,ROW($P$12))&amp;":M"&amp;(ROW()))))-SUM(INDIRECT("W"&amp;(MAX(("Да"=AA$12:AA1456)*ROW(AA$12:AA1456)+1,ROW($P$12))&amp;":W"&amp;(ROW()))))),0)</f>
        <v>27584.94</v>
      </c>
      <c r="Q1457" s="99">
        <f ca="1">MAX(SUM($N$13:N1457)-SUM($T$13:T1457),0)</f>
        <v>102766.7606557377</v>
      </c>
      <c r="R1457" s="99">
        <f ca="1">Первоначальный[[#This Row],[Просроченный платеж по ОД]]+Первоначальный[[#This Row],[Просроченный платеж по процентам]]</f>
        <v>130351.7006557377</v>
      </c>
      <c r="S1457" s="120">
        <f ca="1">IF(Первоначальный[[#This Row],[Просроченный платеж]]&lt;1,0,S1456+1)</f>
        <v>1353</v>
      </c>
      <c r="T1457" s="100" cm="1">
        <f t="array" aca="1" ref="T1457" ca="1">IF(Первоначальный[[#This Row],[Итого остаток на начало периода]]&lt;1,0,
IF(
AND(TYPE(VLOOKUP(1,$Z$12:Z1457,1,0))=16,Первоначальный[[#This Row],[Досрочное погашение (да/"")]]=""),0,
_xlfn.IFS(AND(S1456=0,Первоначальный[[#This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платеж]]&lt;&gt;0),MIN(LOOKUP(,-1/($Z$12:Z1457=1),$C$12:C1457)+LOOKUP(,-1/($Z$12:Z1457=1),$H$12:H1457),Первоначальный[[#This Row],[Полученный платеж]]+Y1456),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платеж]]+Y1456,SUM(Первоначальный[[#This Row],[Остаток процентов на начало периода]],Первоначальный[[#This Row],[Проценты за период]])),
AND(S1456=0,Первоначальный[[#This Row],[Дата платежа из графика]]=""),0,
AND(S1456=0,Первоначальный[[#This Row],[Дата платежа из графика]]=1,MAX((0&lt;&gt;S$12:S1456)*ROW(S$12:S1456),ROW($S$12))&gt;=MAX((1=Z$12:Z1456)*ROW(Z$12:Z1456),ROW($T$12)),TYPE(VLOOKUP("Да",(INDIRECT("AA"&amp;(MAX((1=Z$12:Z1456)*ROW(Z$12:Z1456),ROW($T$12))&amp;":AA"&amp;(ROW()-1)))),1,0))=16),MIN(LOOKUP(,-1/($Z$12:Z1457=1),$C$12:C1457)+LOOKUP(,-1/($Z$12:Z1457=1),$H$12:H1457),Первоначальный[[#This Row],[Полученный платеж]]+Y1456),
AND(S1456=0,TYPE(VLOOKUP("Да",(INDIRECT("AA"&amp;(MAX((1=Z$12:Z1456)*ROW(Z$12:Z1456),ROW($T$12))&amp;":AA"&amp;(ROW()-1)))),1,0))&lt;&gt;16),MIN(LOOKUP(,-1/($Z$12:Z1457=1),$C$12:C1457)+LOOKUP(,-1/($Z$12:Z1457=1),$H$12:H1457)-IF(AA1456="Да",0,SUM(INDIRECT("T"&amp;(MAX(("Да"=AA$12:AA1456)*ROW(AA$12:AA1456)+1,ROW($T$12))&amp;":T"&amp;(ROW()-1))))),Первоначальный[[#This Row],[Полученный платеж]]+Y1456),
AND(S1456=0,MAX((0&lt;&gt;N$12:N1456)*ROW(N$12:N1456),ROW($S$12))&gt;=MAX((1=Z$12:Z1456)*ROW(Z$12:Z1456),ROW($T$12))),MIN(LOOKUP(,-1/($Z$12:Z1457=1),$C$12:C1457)+LOOKUP(,-1/($Z$12:Z1457=1),$H$12:H1457)-IF(N1456&lt;&gt;0,0,SUM(INDIRECT("T"&amp;(MAX((0&lt;&gt;N$12:N1456)*ROW(N$12:N1456)+1,ROW($T$12))&amp;":T"&amp;(ROW()-1))))),Первоначальный[[#This Row],[Полученный платеж]]+Y1456),
AND(S1456=0,Первоначальный[[#This Row],[Дата платежа из графика]]=1),MIN(LOOKUP(,-1/($Z$12:Z1457=1),$C$12:C1457)+LOOKUP(,-1/($Z$12:Z1457=1),$H$12:H1457)-IF(Z1456=1,0,SUM(INDIRECT("T"&amp;(MAX((1=Z$12:Z1456)*ROW(Z$12:Z1456)+1,ROW($T$12))&amp;":T"&amp;(ROW()-1))))),Первоначальный[[#This Row],[Полученный платеж]]+Y1456),
AND(Z1456&gt;0,Первоначальный[[#This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платеж]]+Y1456),
AND(S1456&gt;0,MAX((0&lt;&gt;S$12:S1456)*ROW(S$12:S1456),ROW($S$12))&gt;=MAX((1=Z$12:Z1456)*ROW(Z$12:Z1456),ROW($T$12)),TYPE(VLOOKUP("Да",(INDIRECT("AA"&amp;(MAX((1=Z$12:Z1456)*ROW(Z$12:Z1456),ROW($T$12))&amp;":AA"&amp;(ROW()-1)))),1,0))=16),MIN(LOOKUP(,-1/($Z$12:Z1457=1),$C$12:C1457)+LOOKUP(,-1/($Z$12:Z1457=1),$H$12:H1457)-SUM(INDIRECT("T"&amp;(MAX((1=Z$12:Z1456)*ROW(Z$12:Z1456),ROW($T$12))&amp;":T"&amp;(ROW()-1)))),Первоначальный[[#This Row],[Полученный платеж]]+Y1456),
S1456&gt;0,MIN(LOOKUP(,-1/($Z$12:Z1457=1),$C$12:C1457)+LOOKUP(,-1/($Z$12:Z1457=1),$H$12:H1457)-IF(Z1456=1,0,SUM(INDIRECT("T"&amp;(MAX((1=Z$12:Z1456)*ROW(Z$12:Z1456)+1,ROW($T$12))&amp;":T"&amp;(ROW()-1))))),Первоначальный[[#This Row],[Полученный платеж]]+Y1456)
)
)
)</f>
        <v>0</v>
      </c>
      <c r="U145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платеж]]+Y1456-Первоначальный[[#This Row],[Полученный платёж по процентам]])</f>
        <v>0</v>
      </c>
      <c r="V1457" s="55">
        <f t="shared" ca="1" si="267"/>
        <v>0</v>
      </c>
      <c r="W1457" s="55" cm="1">
        <f t="array" aca="1" ref="W1457" ca="1">IF(Первоначальный[[#This Row],[Итого остаток на начало периода]]&lt;1,0,
_xlfn.IFS(
AND(TYPE(VLOOKUP(1,$Z$12:Z1457,1,0))=16,Первоначальный[[#This Row],[Досрочное погашение (да/"")]]=""),0,
AND(S1456=0,Первоначальный[[#This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платеж]]+Y1456-SUM(Первоначальный[[#This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комиссиям]]),VLOOKUP(LOOKUP(,-1/($Z$12:Z1457=1),$A$12:A1457),График[[Срок конец]:[Возврат основной суммы долга]],3,0)),
AND(S1456=0,Первоначальный[[#This Row],[Дата платежа из графика]]="",Первоначальный[[#This Row],[Досрочное погашение (да/"")]]&lt;&gt;"Да"),0,
AND(S1456=0,Первоначальный[[#This Row],[Досрочное погашение (да/"")]]=""),MIN(Первоначальный[[#This Row],[Полученный платеж]]+Y1456-SUM(Первоначальный[[#This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комиссиям]]),VLOOKUP(LOOKUP(,-1/($Z$12:Z1457=1),$A$12:A1457),График[[Срок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платеж]]+Y1456-SUM(Первоначальный[[#This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S1456&gt;0,MIN(Первоначальный[[#This Row],[Полученный платеж]]+Y1456-SUM(Первоначальный[[#This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комиссиям]]),SUM(INDIRECT("M"&amp;(MAX((1=S$12:S1456)*ROW(S$12:S1456),ROW($W$12))&amp;":M"&amp;(ROW()))))-SUM(INDIRECT("W"&amp;(MAX((1=S$12:S1456)*ROW(S$12:S1456),ROW($W$12))&amp;":W"&amp;(ROW()-1)))))
)
)</f>
        <v>0</v>
      </c>
      <c r="X1457" s="55">
        <f t="shared" ca="1" si="268"/>
        <v>0</v>
      </c>
      <c r="Y1457" s="101">
        <f t="shared" ca="1" si="275"/>
        <v>0</v>
      </c>
      <c r="Z1457" s="133" t="str">
        <f>IF(TYPE((VLOOKUP(Первоначальный[[#This Row],[Дата платежа]],График[Срок конец],1,0)))=16,"",1)</f>
        <v/>
      </c>
      <c r="AA1457" s="57"/>
      <c r="AB1457" s="134"/>
      <c r="AC145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5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103701.69000000024</v>
      </c>
      <c r="AE145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9045.2900000000172</v>
      </c>
      <c r="AF145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5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446192.87993606576</v>
      </c>
      <c r="AH1457" s="55"/>
      <c r="AI1457" s="55"/>
      <c r="AJ1457" s="55"/>
      <c r="AK1457" s="101">
        <f t="shared" ca="1" si="276"/>
        <v>708573.19993606606</v>
      </c>
      <c r="AL1457" s="129">
        <f t="array" ref="AL1457">MAX((УслРестрактов[Характеристика]="Дата реструктуризации")*(УслРестрактов[Значение]=Первоначальный!$A1457),0)</f>
        <v>0</v>
      </c>
    </row>
    <row r="1458" spans="1:38" x14ac:dyDescent="0.25">
      <c r="A1458" s="97">
        <f t="shared" si="269"/>
        <v>45589</v>
      </c>
      <c r="B1458" s="100">
        <f t="shared" ca="1" si="270"/>
        <v>149633.34</v>
      </c>
      <c r="C1458" s="55">
        <f t="shared" ca="1" si="266"/>
        <v>103701.69000000024</v>
      </c>
      <c r="D1458" s="55">
        <f t="shared" ca="1" si="266"/>
        <v>9045.2900000000172</v>
      </c>
      <c r="E1458" s="55">
        <f t="shared" ca="1" si="271"/>
        <v>0</v>
      </c>
      <c r="F1458" s="55">
        <f t="shared" ca="1" si="272"/>
        <v>446192.87993606576</v>
      </c>
      <c r="G1458" s="101">
        <f t="shared" ca="1" si="273"/>
        <v>708573.19993606606</v>
      </c>
      <c r="H1458" s="100">
        <f ca="1">ROUND($B1458*VLOOKUP($A1458,$A$1:$B$10,2,1)/(365+IF(MOD(YEAR($A1458),4),0,1)*($A1458-$A1457)),2)-Первоначальный[[#This Row],[Проценты на просроченный платеж по ОД за период]]</f>
        <v>66.36</v>
      </c>
      <c r="I1458" s="55">
        <f t="shared" ca="1" si="274"/>
        <v>15</v>
      </c>
      <c r="J1458" s="55">
        <v>0</v>
      </c>
      <c r="K1458" s="55">
        <f t="shared" ca="1" si="277"/>
        <v>651.75850327868852</v>
      </c>
      <c r="L1458" s="55">
        <v>0</v>
      </c>
      <c r="M1458" s="113">
        <f>SUMIFS(График[Возврат основной суммы долга],График[Дата с учетом нерабочих дней],$A1458)</f>
        <v>0</v>
      </c>
      <c r="N1458" s="56">
        <f>SUMIFS(График[Возврат начисленных %],График[Дата с учетом нерабочих дней],$A1458)</f>
        <v>0</v>
      </c>
      <c r="O1458" s="101">
        <v>0</v>
      </c>
      <c r="P1458" s="100" cm="1">
        <f t="array" aca="1" ref="P1458" ca="1">MAX(IF(AA1457="Да",0,SUM(INDIRECT("M"&amp;(MAX(("Да"=AA$12:AA1457)*ROW(AA$12:AA1457)+1,ROW($P$12))&amp;":M"&amp;(ROW()))))-SUM(INDIRECT("W"&amp;(MAX(("Да"=AA$12:AA1457)*ROW(AA$12:AA1457)+1,ROW($P$12))&amp;":W"&amp;(ROW()))))),0)</f>
        <v>27584.94</v>
      </c>
      <c r="Q1458" s="99">
        <f ca="1">MAX(SUM($N$13:N1458)-SUM($T$13:T1458),0)</f>
        <v>102766.7606557377</v>
      </c>
      <c r="R1458" s="99">
        <f ca="1">Первоначальный[[#This Row],[Просроченный платеж по ОД]]+Первоначальный[[#This Row],[Просроченный платеж по процентам]]</f>
        <v>130351.7006557377</v>
      </c>
      <c r="S1458" s="120">
        <f ca="1">IF(Первоначальный[[#This Row],[Просроченный платеж]]&lt;1,0,S1457+1)</f>
        <v>1354</v>
      </c>
      <c r="T1458" s="100" cm="1">
        <f t="array" aca="1" ref="T1458" ca="1">IF(Первоначальный[[#This Row],[Итого остаток на начало периода]]&lt;1,0,
IF(
AND(TYPE(VLOOKUP(1,$Z$12:Z1458,1,0))=16,Первоначальный[[#This Row],[Досрочное погашение (да/"")]]=""),0,
_xlfn.IFS(AND(S1457=0,Первоначальный[[#This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платеж]]&lt;&gt;0),MIN(LOOKUP(,-1/($Z$12:Z1458=1),$C$12:C1458)+LOOKUP(,-1/($Z$12:Z1458=1),$H$12:H1458),Первоначальный[[#This Row],[Полученный платеж]]+Y1457),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платеж]]+Y1457,SUM(Первоначальный[[#This Row],[Остаток процентов на начало периода]],Первоначальный[[#This Row],[Проценты за период]])),
AND(S1457=0,Первоначальный[[#This Row],[Дата платежа из графика]]=""),0,
AND(S1457=0,Первоначальный[[#This Row],[Дата платежа из графика]]=1,MAX((0&lt;&gt;S$12:S1457)*ROW(S$12:S1457),ROW($S$12))&gt;=MAX((1=Z$12:Z1457)*ROW(Z$12:Z1457),ROW($T$12)),TYPE(VLOOKUP("Да",(INDIRECT("AA"&amp;(MAX((1=Z$12:Z1457)*ROW(Z$12:Z1457),ROW($T$12))&amp;":AA"&amp;(ROW()-1)))),1,0))=16),MIN(LOOKUP(,-1/($Z$12:Z1458=1),$C$12:C1458)+LOOKUP(,-1/($Z$12:Z1458=1),$H$12:H1458),Первоначальный[[#This Row],[Полученный платеж]]+Y1457),
AND(S1457=0,TYPE(VLOOKUP("Да",(INDIRECT("AA"&amp;(MAX((1=Z$12:Z1457)*ROW(Z$12:Z1457),ROW($T$12))&amp;":AA"&amp;(ROW()-1)))),1,0))&lt;&gt;16),MIN(LOOKUP(,-1/($Z$12:Z1458=1),$C$12:C1458)+LOOKUP(,-1/($Z$12:Z1458=1),$H$12:H1458)-IF(AA1457="Да",0,SUM(INDIRECT("T"&amp;(MAX(("Да"=AA$12:AA1457)*ROW(AA$12:AA1457)+1,ROW($T$12))&amp;":T"&amp;(ROW()-1))))),Первоначальный[[#This Row],[Полученный платеж]]+Y1457),
AND(S1457=0,MAX((0&lt;&gt;N$12:N1457)*ROW(N$12:N1457),ROW($S$12))&gt;=MAX((1=Z$12:Z1457)*ROW(Z$12:Z1457),ROW($T$12))),MIN(LOOKUP(,-1/($Z$12:Z1458=1),$C$12:C1458)+LOOKUP(,-1/($Z$12:Z1458=1),$H$12:H1458)-IF(N1457&lt;&gt;0,0,SUM(INDIRECT("T"&amp;(MAX((0&lt;&gt;N$12:N1457)*ROW(N$12:N1457)+1,ROW($T$12))&amp;":T"&amp;(ROW()-1))))),Первоначальный[[#This Row],[Полученный платеж]]+Y1457),
AND(S1457=0,Первоначальный[[#This Row],[Дата платежа из графика]]=1),MIN(LOOKUP(,-1/($Z$12:Z1458=1),$C$12:C1458)+LOOKUP(,-1/($Z$12:Z1458=1),$H$12:H1458)-IF(Z1457=1,0,SUM(INDIRECT("T"&amp;(MAX((1=Z$12:Z1457)*ROW(Z$12:Z1457)+1,ROW($T$12))&amp;":T"&amp;(ROW()-1))))),Первоначальный[[#This Row],[Полученный платеж]]+Y1457),
AND(Z1457&gt;0,Первоначальный[[#This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платеж]]+Y1457),
AND(S1457&gt;0,MAX((0&lt;&gt;S$12:S1457)*ROW(S$12:S1457),ROW($S$12))&gt;=MAX((1=Z$12:Z1457)*ROW(Z$12:Z1457),ROW($T$12)),TYPE(VLOOKUP("Да",(INDIRECT("AA"&amp;(MAX((1=Z$12:Z1457)*ROW(Z$12:Z1457),ROW($T$12))&amp;":AA"&amp;(ROW()-1)))),1,0))=16),MIN(LOOKUP(,-1/($Z$12:Z1458=1),$C$12:C1458)+LOOKUP(,-1/($Z$12:Z1458=1),$H$12:H1458)-SUM(INDIRECT("T"&amp;(MAX((1=Z$12:Z1457)*ROW(Z$12:Z1457),ROW($T$12))&amp;":T"&amp;(ROW()-1)))),Первоначальный[[#This Row],[Полученный платеж]]+Y1457),
S1457&gt;0,MIN(LOOKUP(,-1/($Z$12:Z1458=1),$C$12:C1458)+LOOKUP(,-1/($Z$12:Z1458=1),$H$12:H1458)-IF(Z1457=1,0,SUM(INDIRECT("T"&amp;(MAX((1=Z$12:Z1457)*ROW(Z$12:Z1457)+1,ROW($T$12))&amp;":T"&amp;(ROW()-1))))),Первоначальный[[#This Row],[Полученный платеж]]+Y1457)
)
)
)</f>
        <v>0</v>
      </c>
      <c r="U145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платеж]]+Y1457-Первоначальный[[#This Row],[Полученный платёж по процентам]])</f>
        <v>0</v>
      </c>
      <c r="V1458" s="55">
        <f t="shared" ca="1" si="267"/>
        <v>0</v>
      </c>
      <c r="W1458" s="55" cm="1">
        <f t="array" aca="1" ref="W1458" ca="1">IF(Первоначальный[[#This Row],[Итого остаток на начало периода]]&lt;1,0,
_xlfn.IFS(
AND(TYPE(VLOOKUP(1,$Z$12:Z1458,1,0))=16,Первоначальный[[#This Row],[Досрочное погашение (да/"")]]=""),0,
AND(S1457=0,Первоначальный[[#This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платеж]]+Y1457-SUM(Первоначальный[[#This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комиссиям]]),VLOOKUP(LOOKUP(,-1/($Z$12:Z1458=1),$A$12:A1458),График[[Срок конец]:[Возврат основной суммы долга]],3,0)),
AND(S1457=0,Первоначальный[[#This Row],[Дата платежа из графика]]="",Первоначальный[[#This Row],[Досрочное погашение (да/"")]]&lt;&gt;"Да"),0,
AND(S1457=0,Первоначальный[[#This Row],[Досрочное погашение (да/"")]]=""),MIN(Первоначальный[[#This Row],[Полученный платеж]]+Y1457-SUM(Первоначальный[[#This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комиссиям]]),VLOOKUP(LOOKUP(,-1/($Z$12:Z1458=1),$A$12:A1458),График[[Срок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платеж]]+Y1457-SUM(Первоначальный[[#This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S1457&gt;0,MIN(Первоначальный[[#This Row],[Полученный платеж]]+Y1457-SUM(Первоначальный[[#This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комиссиям]]),SUM(INDIRECT("M"&amp;(MAX((1=S$12:S1457)*ROW(S$12:S1457),ROW($W$12))&amp;":M"&amp;(ROW()))))-SUM(INDIRECT("W"&amp;(MAX((1=S$12:S1457)*ROW(S$12:S1457),ROW($W$12))&amp;":W"&amp;(ROW()-1)))))
)
)</f>
        <v>0</v>
      </c>
      <c r="X1458" s="55">
        <f t="shared" ca="1" si="268"/>
        <v>0</v>
      </c>
      <c r="Y1458" s="101">
        <f t="shared" ca="1" si="275"/>
        <v>0</v>
      </c>
      <c r="Z1458" s="133" t="str">
        <f>IF(TYPE((VLOOKUP(Первоначальный[[#This Row],[Дата платежа]],График[Срок конец],1,0)))=16,"",1)</f>
        <v/>
      </c>
      <c r="AA1458" s="57"/>
      <c r="AB1458" s="134"/>
      <c r="AC145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5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103768.05000000024</v>
      </c>
      <c r="AE145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9060.2900000000172</v>
      </c>
      <c r="AF145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5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446844.63843934448</v>
      </c>
      <c r="AH1458" s="55"/>
      <c r="AI1458" s="55"/>
      <c r="AJ1458" s="55"/>
      <c r="AK1458" s="101">
        <f t="shared" ca="1" si="276"/>
        <v>709306.31843934476</v>
      </c>
      <c r="AL1458" s="129">
        <f t="array" ref="AL1458">MAX((УслРестрактов[Характеристика]="Дата реструктуризации")*(УслРестрактов[Значение]=Первоначальный!$A1458),0)</f>
        <v>0</v>
      </c>
    </row>
    <row r="1459" spans="1:38" x14ac:dyDescent="0.25">
      <c r="A1459" s="97">
        <f t="shared" si="269"/>
        <v>45590</v>
      </c>
      <c r="B1459" s="100">
        <f t="shared" ca="1" si="270"/>
        <v>149633.34</v>
      </c>
      <c r="C1459" s="55">
        <f t="shared" ca="1" si="266"/>
        <v>103768.05000000024</v>
      </c>
      <c r="D1459" s="55">
        <f t="shared" ca="1" si="266"/>
        <v>9060.2900000000172</v>
      </c>
      <c r="E1459" s="55">
        <f t="shared" ca="1" si="271"/>
        <v>0</v>
      </c>
      <c r="F1459" s="55">
        <f t="shared" ca="1" si="272"/>
        <v>446844.63843934448</v>
      </c>
      <c r="G1459" s="101">
        <f t="shared" ca="1" si="273"/>
        <v>709306.31843934476</v>
      </c>
      <c r="H1459" s="100">
        <f ca="1">ROUND($B1459*VLOOKUP($A1459,$A$1:$B$10,2,1)/(365+IF(MOD(YEAR($A1459),4),0,1)*($A1459-$A1458)),2)-Первоначальный[[#This Row],[Проценты на просроченный платеж по ОД за период]]</f>
        <v>66.36</v>
      </c>
      <c r="I1459" s="55">
        <f t="shared" ca="1" si="274"/>
        <v>15</v>
      </c>
      <c r="J1459" s="55">
        <v>0</v>
      </c>
      <c r="K1459" s="55">
        <f t="shared" ca="1" si="277"/>
        <v>651.75850327868852</v>
      </c>
      <c r="L1459" s="55">
        <v>0</v>
      </c>
      <c r="M1459" s="113">
        <f>SUMIFS(График[Возврат основной суммы долга],График[Дата с учетом нерабочих дней],$A1459)</f>
        <v>0</v>
      </c>
      <c r="N1459" s="56">
        <f>SUMIFS(График[Возврат начисленных %],График[Дата с учетом нерабочих дней],$A1459)</f>
        <v>0</v>
      </c>
      <c r="O1459" s="101">
        <v>0</v>
      </c>
      <c r="P1459" s="100" cm="1">
        <f t="array" aca="1" ref="P1459" ca="1">MAX(IF(AA1458="Да",0,SUM(INDIRECT("M"&amp;(MAX(("Да"=AA$12:AA1458)*ROW(AA$12:AA1458)+1,ROW($P$12))&amp;":M"&amp;(ROW()))))-SUM(INDIRECT("W"&amp;(MAX(("Да"=AA$12:AA1458)*ROW(AA$12:AA1458)+1,ROW($P$12))&amp;":W"&amp;(ROW()))))),0)</f>
        <v>27584.94</v>
      </c>
      <c r="Q1459" s="99">
        <f ca="1">MAX(SUM($N$13:N1459)-SUM($T$13:T1459),0)</f>
        <v>102766.7606557377</v>
      </c>
      <c r="R1459" s="99">
        <f ca="1">Первоначальный[[#This Row],[Просроченный платеж по ОД]]+Первоначальный[[#This Row],[Просроченный платеж по процентам]]</f>
        <v>130351.7006557377</v>
      </c>
      <c r="S1459" s="120">
        <f ca="1">IF(Первоначальный[[#This Row],[Просроченный платеж]]&lt;1,0,S1458+1)</f>
        <v>1355</v>
      </c>
      <c r="T1459" s="100" cm="1">
        <f t="array" aca="1" ref="T1459" ca="1">IF(Первоначальный[[#This Row],[Итого остаток на начало периода]]&lt;1,0,
IF(
AND(TYPE(VLOOKUP(1,$Z$12:Z1459,1,0))=16,Первоначальный[[#This Row],[Досрочное погашение (да/"")]]=""),0,
_xlfn.IFS(AND(S1458=0,Первоначальный[[#This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платеж]]&lt;&gt;0),MIN(LOOKUP(,-1/($Z$12:Z1459=1),$C$12:C1459)+LOOKUP(,-1/($Z$12:Z1459=1),$H$12:H1459),Первоначальный[[#This Row],[Полученный платеж]]+Y1458),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платеж]]+Y1458,SUM(Первоначальный[[#This Row],[Остаток процентов на начало периода]],Первоначальный[[#This Row],[Проценты за период]])),
AND(S1458=0,Первоначальный[[#This Row],[Дата платежа из графика]]=""),0,
AND(S1458=0,Первоначальный[[#This Row],[Дата платежа из графика]]=1,MAX((0&lt;&gt;S$12:S1458)*ROW(S$12:S1458),ROW($S$12))&gt;=MAX((1=Z$12:Z1458)*ROW(Z$12:Z1458),ROW($T$12)),TYPE(VLOOKUP("Да",(INDIRECT("AA"&amp;(MAX((1=Z$12:Z1458)*ROW(Z$12:Z1458),ROW($T$12))&amp;":AA"&amp;(ROW()-1)))),1,0))=16),MIN(LOOKUP(,-1/($Z$12:Z1459=1),$C$12:C1459)+LOOKUP(,-1/($Z$12:Z1459=1),$H$12:H1459),Первоначальный[[#This Row],[Полученный платеж]]+Y1458),
AND(S1458=0,TYPE(VLOOKUP("Да",(INDIRECT("AA"&amp;(MAX((1=Z$12:Z1458)*ROW(Z$12:Z1458),ROW($T$12))&amp;":AA"&amp;(ROW()-1)))),1,0))&lt;&gt;16),MIN(LOOKUP(,-1/($Z$12:Z1459=1),$C$12:C1459)+LOOKUP(,-1/($Z$12:Z1459=1),$H$12:H1459)-IF(AA1458="Да",0,SUM(INDIRECT("T"&amp;(MAX(("Да"=AA$12:AA1458)*ROW(AA$12:AA1458)+1,ROW($T$12))&amp;":T"&amp;(ROW()-1))))),Первоначальный[[#This Row],[Полученный платеж]]+Y1458),
AND(S1458=0,MAX((0&lt;&gt;N$12:N1458)*ROW(N$12:N1458),ROW($S$12))&gt;=MAX((1=Z$12:Z1458)*ROW(Z$12:Z1458),ROW($T$12))),MIN(LOOKUP(,-1/($Z$12:Z1459=1),$C$12:C1459)+LOOKUP(,-1/($Z$12:Z1459=1),$H$12:H1459)-IF(N1458&lt;&gt;0,0,SUM(INDIRECT("T"&amp;(MAX((0&lt;&gt;N$12:N1458)*ROW(N$12:N1458)+1,ROW($T$12))&amp;":T"&amp;(ROW()-1))))),Первоначальный[[#This Row],[Полученный платеж]]+Y1458),
AND(S1458=0,Первоначальный[[#This Row],[Дата платежа из графика]]=1),MIN(LOOKUP(,-1/($Z$12:Z1459=1),$C$12:C1459)+LOOKUP(,-1/($Z$12:Z1459=1),$H$12:H1459)-IF(Z1458=1,0,SUM(INDIRECT("T"&amp;(MAX((1=Z$12:Z1458)*ROW(Z$12:Z1458)+1,ROW($T$12))&amp;":T"&amp;(ROW()-1))))),Первоначальный[[#This Row],[Полученный платеж]]+Y1458),
AND(Z1458&gt;0,Первоначальный[[#This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платеж]]+Y1458),
AND(S1458&gt;0,MAX((0&lt;&gt;S$12:S1458)*ROW(S$12:S1458),ROW($S$12))&gt;=MAX((1=Z$12:Z1458)*ROW(Z$12:Z1458),ROW($T$12)),TYPE(VLOOKUP("Да",(INDIRECT("AA"&amp;(MAX((1=Z$12:Z1458)*ROW(Z$12:Z1458),ROW($T$12))&amp;":AA"&amp;(ROW()-1)))),1,0))=16),MIN(LOOKUP(,-1/($Z$12:Z1459=1),$C$12:C1459)+LOOKUP(,-1/($Z$12:Z1459=1),$H$12:H1459)-SUM(INDIRECT("T"&amp;(MAX((1=Z$12:Z1458)*ROW(Z$12:Z1458),ROW($T$12))&amp;":T"&amp;(ROW()-1)))),Первоначальный[[#This Row],[Полученный платеж]]+Y1458),
S1458&gt;0,MIN(LOOKUP(,-1/($Z$12:Z1459=1),$C$12:C1459)+LOOKUP(,-1/($Z$12:Z1459=1),$H$12:H1459)-IF(Z1458=1,0,SUM(INDIRECT("T"&amp;(MAX((1=Z$12:Z1458)*ROW(Z$12:Z1458)+1,ROW($T$12))&amp;":T"&amp;(ROW()-1))))),Первоначальный[[#This Row],[Полученный платеж]]+Y1458)
)
)
)</f>
        <v>0</v>
      </c>
      <c r="U145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платеж]]+Y1458-Первоначальный[[#This Row],[Полученный платёж по процентам]])</f>
        <v>0</v>
      </c>
      <c r="V1459" s="55">
        <f t="shared" ca="1" si="267"/>
        <v>0</v>
      </c>
      <c r="W1459" s="55" cm="1">
        <f t="array" aca="1" ref="W1459" ca="1">IF(Первоначальный[[#This Row],[Итого остаток на начало периода]]&lt;1,0,
_xlfn.IFS(
AND(TYPE(VLOOKUP(1,$Z$12:Z1459,1,0))=16,Первоначальный[[#This Row],[Досрочное погашение (да/"")]]=""),0,
AND(S1458=0,Первоначальный[[#This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платеж]]+Y1458-SUM(Первоначальный[[#This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комиссиям]]),VLOOKUP(LOOKUP(,-1/($Z$12:Z1459=1),$A$12:A1459),График[[Срок конец]:[Возврат основной суммы долга]],3,0)),
AND(S1458=0,Первоначальный[[#This Row],[Дата платежа из графика]]="",Первоначальный[[#This Row],[Досрочное погашение (да/"")]]&lt;&gt;"Да"),0,
AND(S1458=0,Первоначальный[[#This Row],[Досрочное погашение (да/"")]]=""),MIN(Первоначальный[[#This Row],[Полученный платеж]]+Y1458-SUM(Первоначальный[[#This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комиссиям]]),VLOOKUP(LOOKUP(,-1/($Z$12:Z1459=1),$A$12:A1459),График[[Срок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платеж]]+Y1458-SUM(Первоначальный[[#This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S1458&gt;0,MIN(Первоначальный[[#This Row],[Полученный платеж]]+Y1458-SUM(Первоначальный[[#This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комиссиям]]),SUM(INDIRECT("M"&amp;(MAX((1=S$12:S1458)*ROW(S$12:S1458),ROW($W$12))&amp;":M"&amp;(ROW()))))-SUM(INDIRECT("W"&amp;(MAX((1=S$12:S1458)*ROW(S$12:S1458),ROW($W$12))&amp;":W"&amp;(ROW()-1)))))
)
)</f>
        <v>0</v>
      </c>
      <c r="X1459" s="55">
        <f t="shared" ca="1" si="268"/>
        <v>0</v>
      </c>
      <c r="Y1459" s="101">
        <f t="shared" ca="1" si="275"/>
        <v>0</v>
      </c>
      <c r="Z1459" s="133" t="str">
        <f>IF(TYPE((VLOOKUP(Первоначальный[[#This Row],[Дата платежа]],График[Срок конец],1,0)))=16,"",1)</f>
        <v/>
      </c>
      <c r="AA1459" s="57"/>
      <c r="AB1459" s="134"/>
      <c r="AC145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5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103834.41000000024</v>
      </c>
      <c r="AE145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9075.2900000000172</v>
      </c>
      <c r="AF145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5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447496.39694262319</v>
      </c>
      <c r="AH1459" s="55"/>
      <c r="AI1459" s="55"/>
      <c r="AJ1459" s="55"/>
      <c r="AK1459" s="101">
        <f t="shared" ca="1" si="276"/>
        <v>710039.43694262346</v>
      </c>
      <c r="AL1459" s="129">
        <f t="array" ref="AL1459">MAX((УслРестрактов[Характеристика]="Дата реструктуризации")*(УслРестрактов[Значение]=Первоначальный!$A1459),0)</f>
        <v>0</v>
      </c>
    </row>
    <row r="1460" spans="1:38" x14ac:dyDescent="0.25">
      <c r="A1460" s="97">
        <f t="shared" si="269"/>
        <v>45591</v>
      </c>
      <c r="B1460" s="100">
        <f t="shared" ca="1" si="270"/>
        <v>149633.34</v>
      </c>
      <c r="C1460" s="55">
        <f t="shared" ca="1" si="266"/>
        <v>103834.41000000024</v>
      </c>
      <c r="D1460" s="55">
        <f t="shared" ca="1" si="266"/>
        <v>9075.2900000000172</v>
      </c>
      <c r="E1460" s="55">
        <f t="shared" ca="1" si="271"/>
        <v>0</v>
      </c>
      <c r="F1460" s="55">
        <f t="shared" ca="1" si="272"/>
        <v>447496.39694262319</v>
      </c>
      <c r="G1460" s="101">
        <f t="shared" ca="1" si="273"/>
        <v>710039.43694262346</v>
      </c>
      <c r="H1460" s="100">
        <f ca="1">ROUND($B1460*VLOOKUP($A1460,$A$1:$B$10,2,1)/(365+IF(MOD(YEAR($A1460),4),0,1)*($A1460-$A1459)),2)-Первоначальный[[#This Row],[Проценты на просроченный платеж по ОД за период]]</f>
        <v>66.36</v>
      </c>
      <c r="I1460" s="55">
        <f t="shared" ca="1" si="274"/>
        <v>15</v>
      </c>
      <c r="J1460" s="55">
        <v>0</v>
      </c>
      <c r="K1460" s="55">
        <f t="shared" ca="1" si="277"/>
        <v>651.75850327868852</v>
      </c>
      <c r="L1460" s="55">
        <v>0</v>
      </c>
      <c r="M1460" s="113">
        <f>SUMIFS(График[Возврат основной суммы долга],График[Дата с учетом нерабочих дней],$A1460)</f>
        <v>0</v>
      </c>
      <c r="N1460" s="56">
        <f>SUMIFS(График[Возврат начисленных %],График[Дата с учетом нерабочих дней],$A1460)</f>
        <v>0</v>
      </c>
      <c r="O1460" s="101">
        <v>0</v>
      </c>
      <c r="P1460" s="100" cm="1">
        <f t="array" aca="1" ref="P1460" ca="1">MAX(IF(AA1459="Да",0,SUM(INDIRECT("M"&amp;(MAX(("Да"=AA$12:AA1459)*ROW(AA$12:AA1459)+1,ROW($P$12))&amp;":M"&amp;(ROW()))))-SUM(INDIRECT("W"&amp;(MAX(("Да"=AA$12:AA1459)*ROW(AA$12:AA1459)+1,ROW($P$12))&amp;":W"&amp;(ROW()))))),0)</f>
        <v>27584.94</v>
      </c>
      <c r="Q1460" s="99">
        <f ca="1">MAX(SUM($N$13:N1460)-SUM($T$13:T1460),0)</f>
        <v>102766.7606557377</v>
      </c>
      <c r="R1460" s="99">
        <f ca="1">Первоначальный[[#This Row],[Просроченный платеж по ОД]]+Первоначальный[[#This Row],[Просроченный платеж по процентам]]</f>
        <v>130351.7006557377</v>
      </c>
      <c r="S1460" s="120">
        <f ca="1">IF(Первоначальный[[#This Row],[Просроченный платеж]]&lt;1,0,S1459+1)</f>
        <v>1356</v>
      </c>
      <c r="T1460" s="100" cm="1">
        <f t="array" aca="1" ref="T1460" ca="1">IF(Первоначальный[[#This Row],[Итого остаток на начало периода]]&lt;1,0,
IF(
AND(TYPE(VLOOKUP(1,$Z$12:Z1460,1,0))=16,Первоначальный[[#This Row],[Досрочное погашение (да/"")]]=""),0,
_xlfn.IFS(AND(S1459=0,Первоначальный[[#This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платеж]]&lt;&gt;0),MIN(LOOKUP(,-1/($Z$12:Z1460=1),$C$12:C1460)+LOOKUP(,-1/($Z$12:Z1460=1),$H$12:H1460),Первоначальный[[#This Row],[Полученный платеж]]+Y1459),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платеж]]+Y1459,SUM(Первоначальный[[#This Row],[Остаток процентов на начало периода]],Первоначальный[[#This Row],[Проценты за период]])),
AND(S1459=0,Первоначальный[[#This Row],[Дата платежа из графика]]=""),0,
AND(S1459=0,Первоначальный[[#This Row],[Дата платежа из графика]]=1,MAX((0&lt;&gt;S$12:S1459)*ROW(S$12:S1459),ROW($S$12))&gt;=MAX((1=Z$12:Z1459)*ROW(Z$12:Z1459),ROW($T$12)),TYPE(VLOOKUP("Да",(INDIRECT("AA"&amp;(MAX((1=Z$12:Z1459)*ROW(Z$12:Z1459),ROW($T$12))&amp;":AA"&amp;(ROW()-1)))),1,0))=16),MIN(LOOKUP(,-1/($Z$12:Z1460=1),$C$12:C1460)+LOOKUP(,-1/($Z$12:Z1460=1),$H$12:H1460),Первоначальный[[#This Row],[Полученный платеж]]+Y1459),
AND(S1459=0,TYPE(VLOOKUP("Да",(INDIRECT("AA"&amp;(MAX((1=Z$12:Z1459)*ROW(Z$12:Z1459),ROW($T$12))&amp;":AA"&amp;(ROW()-1)))),1,0))&lt;&gt;16),MIN(LOOKUP(,-1/($Z$12:Z1460=1),$C$12:C1460)+LOOKUP(,-1/($Z$12:Z1460=1),$H$12:H1460)-IF(AA1459="Да",0,SUM(INDIRECT("T"&amp;(MAX(("Да"=AA$12:AA1459)*ROW(AA$12:AA1459)+1,ROW($T$12))&amp;":T"&amp;(ROW()-1))))),Первоначальный[[#This Row],[Полученный платеж]]+Y1459),
AND(S1459=0,MAX((0&lt;&gt;N$12:N1459)*ROW(N$12:N1459),ROW($S$12))&gt;=MAX((1=Z$12:Z1459)*ROW(Z$12:Z1459),ROW($T$12))),MIN(LOOKUP(,-1/($Z$12:Z1460=1),$C$12:C1460)+LOOKUP(,-1/($Z$12:Z1460=1),$H$12:H1460)-IF(N1459&lt;&gt;0,0,SUM(INDIRECT("T"&amp;(MAX((0&lt;&gt;N$12:N1459)*ROW(N$12:N1459)+1,ROW($T$12))&amp;":T"&amp;(ROW()-1))))),Первоначальный[[#This Row],[Полученный платеж]]+Y1459),
AND(S1459=0,Первоначальный[[#This Row],[Дата платежа из графика]]=1),MIN(LOOKUP(,-1/($Z$12:Z1460=1),$C$12:C1460)+LOOKUP(,-1/($Z$12:Z1460=1),$H$12:H1460)-IF(Z1459=1,0,SUM(INDIRECT("T"&amp;(MAX((1=Z$12:Z1459)*ROW(Z$12:Z1459)+1,ROW($T$12))&amp;":T"&amp;(ROW()-1))))),Первоначальный[[#This Row],[Полученный платеж]]+Y1459),
AND(Z1459&gt;0,Первоначальный[[#This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платеж]]+Y1459),
AND(S1459&gt;0,MAX((0&lt;&gt;S$12:S1459)*ROW(S$12:S1459),ROW($S$12))&gt;=MAX((1=Z$12:Z1459)*ROW(Z$12:Z1459),ROW($T$12)),TYPE(VLOOKUP("Да",(INDIRECT("AA"&amp;(MAX((1=Z$12:Z1459)*ROW(Z$12:Z1459),ROW($T$12))&amp;":AA"&amp;(ROW()-1)))),1,0))=16),MIN(LOOKUP(,-1/($Z$12:Z1460=1),$C$12:C1460)+LOOKUP(,-1/($Z$12:Z1460=1),$H$12:H1460)-SUM(INDIRECT("T"&amp;(MAX((1=Z$12:Z1459)*ROW(Z$12:Z1459),ROW($T$12))&amp;":T"&amp;(ROW()-1)))),Первоначальный[[#This Row],[Полученный платеж]]+Y1459),
S1459&gt;0,MIN(LOOKUP(,-1/($Z$12:Z1460=1),$C$12:C1460)+LOOKUP(,-1/($Z$12:Z1460=1),$H$12:H1460)-IF(Z1459=1,0,SUM(INDIRECT("T"&amp;(MAX((1=Z$12:Z1459)*ROW(Z$12:Z1459)+1,ROW($T$12))&amp;":T"&amp;(ROW()-1))))),Первоначальный[[#This Row],[Полученный платеж]]+Y1459)
)
)
)</f>
        <v>0</v>
      </c>
      <c r="U146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платеж]]+Y1459-Первоначальный[[#This Row],[Полученный платёж по процентам]])</f>
        <v>0</v>
      </c>
      <c r="V1460" s="55">
        <f t="shared" ca="1" si="267"/>
        <v>0</v>
      </c>
      <c r="W1460" s="55" cm="1">
        <f t="array" aca="1" ref="W1460" ca="1">IF(Первоначальный[[#This Row],[Итого остаток на начало периода]]&lt;1,0,
_xlfn.IFS(
AND(TYPE(VLOOKUP(1,$Z$12:Z1460,1,0))=16,Первоначальный[[#This Row],[Досрочное погашение (да/"")]]=""),0,
AND(S1459=0,Первоначальный[[#This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платеж]]+Y1459-SUM(Первоначальный[[#This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комиссиям]]),VLOOKUP(LOOKUP(,-1/($Z$12:Z1460=1),$A$12:A1460),График[[Срок конец]:[Возврат основной суммы долга]],3,0)),
AND(S1459=0,Первоначальный[[#This Row],[Дата платежа из графика]]="",Первоначальный[[#This Row],[Досрочное погашение (да/"")]]&lt;&gt;"Да"),0,
AND(S1459=0,Первоначальный[[#This Row],[Досрочное погашение (да/"")]]=""),MIN(Первоначальный[[#This Row],[Полученный платеж]]+Y1459-SUM(Первоначальный[[#This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комиссиям]]),VLOOKUP(LOOKUP(,-1/($Z$12:Z1460=1),$A$12:A1460),График[[Срок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платеж]]+Y1459-SUM(Первоначальный[[#This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S1459&gt;0,MIN(Первоначальный[[#This Row],[Полученный платеж]]+Y1459-SUM(Первоначальный[[#This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комиссиям]]),SUM(INDIRECT("M"&amp;(MAX((1=S$12:S1459)*ROW(S$12:S1459),ROW($W$12))&amp;":M"&amp;(ROW()))))-SUM(INDIRECT("W"&amp;(MAX((1=S$12:S1459)*ROW(S$12:S1459),ROW($W$12))&amp;":W"&amp;(ROW()-1)))))
)
)</f>
        <v>0</v>
      </c>
      <c r="X1460" s="55">
        <f t="shared" ca="1" si="268"/>
        <v>0</v>
      </c>
      <c r="Y1460" s="101">
        <f t="shared" ca="1" si="275"/>
        <v>0</v>
      </c>
      <c r="Z1460" s="133" t="str">
        <f>IF(TYPE((VLOOKUP(Первоначальный[[#This Row],[Дата платежа]],График[Срок конец],1,0)))=16,"",1)</f>
        <v/>
      </c>
      <c r="AA1460" s="57"/>
      <c r="AB1460" s="134"/>
      <c r="AC146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6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103900.77000000024</v>
      </c>
      <c r="AE146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9090.2900000000172</v>
      </c>
      <c r="AF146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6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448148.15544590191</v>
      </c>
      <c r="AH1460" s="55"/>
      <c r="AI1460" s="55"/>
      <c r="AJ1460" s="55"/>
      <c r="AK1460" s="101">
        <f t="shared" ca="1" si="276"/>
        <v>710772.55544590217</v>
      </c>
      <c r="AL1460" s="129">
        <f t="array" ref="AL1460">MAX((УслРестрактов[Характеристика]="Дата реструктуризации")*(УслРестрактов[Значение]=Первоначальный!$A1460),0)</f>
        <v>0</v>
      </c>
    </row>
    <row r="1461" spans="1:38" x14ac:dyDescent="0.25">
      <c r="A1461" s="97">
        <f t="shared" si="269"/>
        <v>45592</v>
      </c>
      <c r="B1461" s="100">
        <f t="shared" ca="1" si="270"/>
        <v>149633.34</v>
      </c>
      <c r="C1461" s="55">
        <f t="shared" ca="1" si="266"/>
        <v>103900.77000000024</v>
      </c>
      <c r="D1461" s="55">
        <f t="shared" ca="1" si="266"/>
        <v>9090.2900000000172</v>
      </c>
      <c r="E1461" s="55">
        <f t="shared" ca="1" si="271"/>
        <v>0</v>
      </c>
      <c r="F1461" s="55">
        <f t="shared" ca="1" si="272"/>
        <v>448148.15544590191</v>
      </c>
      <c r="G1461" s="101">
        <f t="shared" ca="1" si="273"/>
        <v>710772.55544590217</v>
      </c>
      <c r="H1461" s="100">
        <f ca="1">ROUND($B1461*VLOOKUP($A1461,$A$1:$B$10,2,1)/(365+IF(MOD(YEAR($A1461),4),0,1)*($A1461-$A1460)),2)-Первоначальный[[#This Row],[Проценты на просроченный платеж по ОД за период]]</f>
        <v>66.36</v>
      </c>
      <c r="I1461" s="55">
        <f t="shared" ca="1" si="274"/>
        <v>15</v>
      </c>
      <c r="J1461" s="55">
        <v>0</v>
      </c>
      <c r="K1461" s="55">
        <f t="shared" ca="1" si="277"/>
        <v>651.75850327868852</v>
      </c>
      <c r="L1461" s="55">
        <v>0</v>
      </c>
      <c r="M1461" s="113">
        <f>SUMIFS(График[Возврат основной суммы долга],График[Дата с учетом нерабочих дней],$A1461)</f>
        <v>0</v>
      </c>
      <c r="N1461" s="56">
        <f>SUMIFS(График[Возврат начисленных %],График[Дата с учетом нерабочих дней],$A1461)</f>
        <v>0</v>
      </c>
      <c r="O1461" s="101">
        <v>0</v>
      </c>
      <c r="P1461" s="100" cm="1">
        <f t="array" aca="1" ref="P1461" ca="1">MAX(IF(AA1460="Да",0,SUM(INDIRECT("M"&amp;(MAX(("Да"=AA$12:AA1460)*ROW(AA$12:AA1460)+1,ROW($P$12))&amp;":M"&amp;(ROW()))))-SUM(INDIRECT("W"&amp;(MAX(("Да"=AA$12:AA1460)*ROW(AA$12:AA1460)+1,ROW($P$12))&amp;":W"&amp;(ROW()))))),0)</f>
        <v>27584.94</v>
      </c>
      <c r="Q1461" s="99">
        <f ca="1">MAX(SUM($N$13:N1461)-SUM($T$13:T1461),0)</f>
        <v>102766.7606557377</v>
      </c>
      <c r="R1461" s="99">
        <f ca="1">Первоначальный[[#This Row],[Просроченный платеж по ОД]]+Первоначальный[[#This Row],[Просроченный платеж по процентам]]</f>
        <v>130351.7006557377</v>
      </c>
      <c r="S1461" s="120">
        <f ca="1">IF(Первоначальный[[#This Row],[Просроченный платеж]]&lt;1,0,S1460+1)</f>
        <v>1357</v>
      </c>
      <c r="T1461" s="100" cm="1">
        <f t="array" aca="1" ref="T1461" ca="1">IF(Первоначальный[[#This Row],[Итого остаток на начало периода]]&lt;1,0,
IF(
AND(TYPE(VLOOKUP(1,$Z$12:Z1461,1,0))=16,Первоначальный[[#This Row],[Досрочное погашение (да/"")]]=""),0,
_xlfn.IFS(AND(S1460=0,Первоначальный[[#This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платеж]]&lt;&gt;0),MIN(LOOKUP(,-1/($Z$12:Z1461=1),$C$12:C1461)+LOOKUP(,-1/($Z$12:Z1461=1),$H$12:H1461),Первоначальный[[#This Row],[Полученный платеж]]+Y1460),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платеж]]+Y1460,SUM(Первоначальный[[#This Row],[Остаток процентов на начало периода]],Первоначальный[[#This Row],[Проценты за период]])),
AND(S1460=0,Первоначальный[[#This Row],[Дата платежа из графика]]=""),0,
AND(S1460=0,Первоначальный[[#This Row],[Дата платежа из графика]]=1,MAX((0&lt;&gt;S$12:S1460)*ROW(S$12:S1460),ROW($S$12))&gt;=MAX((1=Z$12:Z1460)*ROW(Z$12:Z1460),ROW($T$12)),TYPE(VLOOKUP("Да",(INDIRECT("AA"&amp;(MAX((1=Z$12:Z1460)*ROW(Z$12:Z1460),ROW($T$12))&amp;":AA"&amp;(ROW()-1)))),1,0))=16),MIN(LOOKUP(,-1/($Z$12:Z1461=1),$C$12:C1461)+LOOKUP(,-1/($Z$12:Z1461=1),$H$12:H1461),Первоначальный[[#This Row],[Полученный платеж]]+Y1460),
AND(S1460=0,TYPE(VLOOKUP("Да",(INDIRECT("AA"&amp;(MAX((1=Z$12:Z1460)*ROW(Z$12:Z1460),ROW($T$12))&amp;":AA"&amp;(ROW()-1)))),1,0))&lt;&gt;16),MIN(LOOKUP(,-1/($Z$12:Z1461=1),$C$12:C1461)+LOOKUP(,-1/($Z$12:Z1461=1),$H$12:H1461)-IF(AA1460="Да",0,SUM(INDIRECT("T"&amp;(MAX(("Да"=AA$12:AA1460)*ROW(AA$12:AA1460)+1,ROW($T$12))&amp;":T"&amp;(ROW()-1))))),Первоначальный[[#This Row],[Полученный платеж]]+Y1460),
AND(S1460=0,MAX((0&lt;&gt;N$12:N1460)*ROW(N$12:N1460),ROW($S$12))&gt;=MAX((1=Z$12:Z1460)*ROW(Z$12:Z1460),ROW($T$12))),MIN(LOOKUP(,-1/($Z$12:Z1461=1),$C$12:C1461)+LOOKUP(,-1/($Z$12:Z1461=1),$H$12:H1461)-IF(N1460&lt;&gt;0,0,SUM(INDIRECT("T"&amp;(MAX((0&lt;&gt;N$12:N1460)*ROW(N$12:N1460)+1,ROW($T$12))&amp;":T"&amp;(ROW()-1))))),Первоначальный[[#This Row],[Полученный платеж]]+Y1460),
AND(S1460=0,Первоначальный[[#This Row],[Дата платежа из графика]]=1),MIN(LOOKUP(,-1/($Z$12:Z1461=1),$C$12:C1461)+LOOKUP(,-1/($Z$12:Z1461=1),$H$12:H1461)-IF(Z1460=1,0,SUM(INDIRECT("T"&amp;(MAX((1=Z$12:Z1460)*ROW(Z$12:Z1460)+1,ROW($T$12))&amp;":T"&amp;(ROW()-1))))),Первоначальный[[#This Row],[Полученный платеж]]+Y1460),
AND(Z1460&gt;0,Первоначальный[[#This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платеж]]+Y1460),
AND(S1460&gt;0,MAX((0&lt;&gt;S$12:S1460)*ROW(S$12:S1460),ROW($S$12))&gt;=MAX((1=Z$12:Z1460)*ROW(Z$12:Z1460),ROW($T$12)),TYPE(VLOOKUP("Да",(INDIRECT("AA"&amp;(MAX((1=Z$12:Z1460)*ROW(Z$12:Z1460),ROW($T$12))&amp;":AA"&amp;(ROW()-1)))),1,0))=16),MIN(LOOKUP(,-1/($Z$12:Z1461=1),$C$12:C1461)+LOOKUP(,-1/($Z$12:Z1461=1),$H$12:H1461)-SUM(INDIRECT("T"&amp;(MAX((1=Z$12:Z1460)*ROW(Z$12:Z1460),ROW($T$12))&amp;":T"&amp;(ROW()-1)))),Первоначальный[[#This Row],[Полученный платеж]]+Y1460),
S1460&gt;0,MIN(LOOKUP(,-1/($Z$12:Z1461=1),$C$12:C1461)+LOOKUP(,-1/($Z$12:Z1461=1),$H$12:H1461)-IF(Z1460=1,0,SUM(INDIRECT("T"&amp;(MAX((1=Z$12:Z1460)*ROW(Z$12:Z1460)+1,ROW($T$12))&amp;":T"&amp;(ROW()-1))))),Первоначальный[[#This Row],[Полученный платеж]]+Y1460)
)
)
)</f>
        <v>0</v>
      </c>
      <c r="U146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платеж]]+Y1460-Первоначальный[[#This Row],[Полученный платёж по процентам]])</f>
        <v>0</v>
      </c>
      <c r="V1461" s="55">
        <f t="shared" ca="1" si="267"/>
        <v>0</v>
      </c>
      <c r="W1461" s="55" cm="1">
        <f t="array" aca="1" ref="W1461" ca="1">IF(Первоначальный[[#This Row],[Итого остаток на начало периода]]&lt;1,0,
_xlfn.IFS(
AND(TYPE(VLOOKUP(1,$Z$12:Z1461,1,0))=16,Первоначальный[[#This Row],[Досрочное погашение (да/"")]]=""),0,
AND(S1460=0,Первоначальный[[#This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платеж]]+Y1460-SUM(Первоначальный[[#This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комиссиям]]),VLOOKUP(LOOKUP(,-1/($Z$12:Z1461=1),$A$12:A1461),График[[Срок конец]:[Возврат основной суммы долга]],3,0)),
AND(S1460=0,Первоначальный[[#This Row],[Дата платежа из графика]]="",Первоначальный[[#This Row],[Досрочное погашение (да/"")]]&lt;&gt;"Да"),0,
AND(S1460=0,Первоначальный[[#This Row],[Досрочное погашение (да/"")]]=""),MIN(Первоначальный[[#This Row],[Полученный платеж]]+Y1460-SUM(Первоначальный[[#This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комиссиям]]),VLOOKUP(LOOKUP(,-1/($Z$12:Z1461=1),$A$12:A1461),График[[Срок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платеж]]+Y1460-SUM(Первоначальный[[#This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S1460&gt;0,MIN(Первоначальный[[#This Row],[Полученный платеж]]+Y1460-SUM(Первоначальный[[#This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комиссиям]]),SUM(INDIRECT("M"&amp;(MAX((1=S$12:S1460)*ROW(S$12:S1460),ROW($W$12))&amp;":M"&amp;(ROW()))))-SUM(INDIRECT("W"&amp;(MAX((1=S$12:S1460)*ROW(S$12:S1460),ROW($W$12))&amp;":W"&amp;(ROW()-1)))))
)
)</f>
        <v>0</v>
      </c>
      <c r="X1461" s="55">
        <f t="shared" ca="1" si="268"/>
        <v>0</v>
      </c>
      <c r="Y1461" s="101">
        <f t="shared" ca="1" si="275"/>
        <v>0</v>
      </c>
      <c r="Z1461" s="133" t="str">
        <f>IF(TYPE((VLOOKUP(Первоначальный[[#This Row],[Дата платежа]],График[Срок конец],1,0)))=16,"",1)</f>
        <v/>
      </c>
      <c r="AA1461" s="57"/>
      <c r="AB1461" s="134"/>
      <c r="AC146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6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103967.13000000024</v>
      </c>
      <c r="AE146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9105.2900000000172</v>
      </c>
      <c r="AF146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6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448799.91394918063</v>
      </c>
      <c r="AH1461" s="55"/>
      <c r="AI1461" s="55"/>
      <c r="AJ1461" s="55"/>
      <c r="AK1461" s="101">
        <f t="shared" ca="1" si="276"/>
        <v>711505.67394918087</v>
      </c>
      <c r="AL1461" s="129">
        <f t="array" ref="AL1461">MAX((УслРестрактов[Характеристика]="Дата реструктуризации")*(УслРестрактов[Значение]=Первоначальный!$A1461),0)</f>
        <v>0</v>
      </c>
    </row>
    <row r="1462" spans="1:38" x14ac:dyDescent="0.25">
      <c r="A1462" s="97">
        <f t="shared" si="269"/>
        <v>45593</v>
      </c>
      <c r="B1462" s="100">
        <f t="shared" ca="1" si="270"/>
        <v>149633.34</v>
      </c>
      <c r="C1462" s="55">
        <f t="shared" ca="1" si="266"/>
        <v>103967.13000000024</v>
      </c>
      <c r="D1462" s="55">
        <f t="shared" ca="1" si="266"/>
        <v>9105.2900000000172</v>
      </c>
      <c r="E1462" s="55">
        <f t="shared" ca="1" si="271"/>
        <v>0</v>
      </c>
      <c r="F1462" s="55">
        <f t="shared" ca="1" si="272"/>
        <v>448799.91394918063</v>
      </c>
      <c r="G1462" s="101">
        <f t="shared" ca="1" si="273"/>
        <v>711505.67394918087</v>
      </c>
      <c r="H1462" s="100">
        <f ca="1">ROUND($B1462*VLOOKUP($A1462,$A$1:$B$10,2,1)/(365+IF(MOD(YEAR($A1462),4),0,1)*($A1462-$A1461)),2)-Первоначальный[[#This Row],[Проценты на просроченный платеж по ОД за период]]</f>
        <v>66.36</v>
      </c>
      <c r="I1462" s="55">
        <f t="shared" ca="1" si="274"/>
        <v>15</v>
      </c>
      <c r="J1462" s="55">
        <v>0</v>
      </c>
      <c r="K1462" s="55">
        <f t="shared" ca="1" si="277"/>
        <v>651.75850327868852</v>
      </c>
      <c r="L1462" s="55">
        <v>0</v>
      </c>
      <c r="M1462" s="113">
        <f>SUMIFS(График[Возврат основной суммы долга],График[Дата с учетом нерабочих дней],$A1462)</f>
        <v>0</v>
      </c>
      <c r="N1462" s="56">
        <f>SUMIFS(График[Возврат начисленных %],График[Дата с учетом нерабочих дней],$A1462)</f>
        <v>0</v>
      </c>
      <c r="O1462" s="101">
        <v>0</v>
      </c>
      <c r="P1462" s="100" cm="1">
        <f t="array" aca="1" ref="P1462" ca="1">MAX(IF(AA1461="Да",0,SUM(INDIRECT("M"&amp;(MAX(("Да"=AA$12:AA1461)*ROW(AA$12:AA1461)+1,ROW($P$12))&amp;":M"&amp;(ROW()))))-SUM(INDIRECT("W"&amp;(MAX(("Да"=AA$12:AA1461)*ROW(AA$12:AA1461)+1,ROW($P$12))&amp;":W"&amp;(ROW()))))),0)</f>
        <v>27584.94</v>
      </c>
      <c r="Q1462" s="99">
        <f ca="1">MAX(SUM($N$13:N1462)-SUM($T$13:T1462),0)</f>
        <v>102766.7606557377</v>
      </c>
      <c r="R1462" s="99">
        <f ca="1">Первоначальный[[#This Row],[Просроченный платеж по ОД]]+Первоначальный[[#This Row],[Просроченный платеж по процентам]]</f>
        <v>130351.7006557377</v>
      </c>
      <c r="S1462" s="120">
        <f ca="1">IF(Первоначальный[[#This Row],[Просроченный платеж]]&lt;1,0,S1461+1)</f>
        <v>1358</v>
      </c>
      <c r="T1462" s="100" cm="1">
        <f t="array" aca="1" ref="T1462" ca="1">IF(Первоначальный[[#This Row],[Итого остаток на начало периода]]&lt;1,0,
IF(
AND(TYPE(VLOOKUP(1,$Z$12:Z1462,1,0))=16,Первоначальный[[#This Row],[Досрочное погашение (да/"")]]=""),0,
_xlfn.IFS(AND(S1461=0,Первоначальный[[#This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платеж]]&lt;&gt;0),MIN(LOOKUP(,-1/($Z$12:Z1462=1),$C$12:C1462)+LOOKUP(,-1/($Z$12:Z1462=1),$H$12:H1462),Первоначальный[[#This Row],[Полученный платеж]]+Y1461),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платеж]]+Y1461,SUM(Первоначальный[[#This Row],[Остаток процентов на начало периода]],Первоначальный[[#This Row],[Проценты за период]])),
AND(S1461=0,Первоначальный[[#This Row],[Дата платежа из графика]]=""),0,
AND(S1461=0,Первоначальный[[#This Row],[Дата платежа из графика]]=1,MAX((0&lt;&gt;S$12:S1461)*ROW(S$12:S1461),ROW($S$12))&gt;=MAX((1=Z$12:Z1461)*ROW(Z$12:Z1461),ROW($T$12)),TYPE(VLOOKUP("Да",(INDIRECT("AA"&amp;(MAX((1=Z$12:Z1461)*ROW(Z$12:Z1461),ROW($T$12))&amp;":AA"&amp;(ROW()-1)))),1,0))=16),MIN(LOOKUP(,-1/($Z$12:Z1462=1),$C$12:C1462)+LOOKUP(,-1/($Z$12:Z1462=1),$H$12:H1462),Первоначальный[[#This Row],[Полученный платеж]]+Y1461),
AND(S1461=0,TYPE(VLOOKUP("Да",(INDIRECT("AA"&amp;(MAX((1=Z$12:Z1461)*ROW(Z$12:Z1461),ROW($T$12))&amp;":AA"&amp;(ROW()-1)))),1,0))&lt;&gt;16),MIN(LOOKUP(,-1/($Z$12:Z1462=1),$C$12:C1462)+LOOKUP(,-1/($Z$12:Z1462=1),$H$12:H1462)-IF(AA1461="Да",0,SUM(INDIRECT("T"&amp;(MAX(("Да"=AA$12:AA1461)*ROW(AA$12:AA1461)+1,ROW($T$12))&amp;":T"&amp;(ROW()-1))))),Первоначальный[[#This Row],[Полученный платеж]]+Y1461),
AND(S1461=0,MAX((0&lt;&gt;N$12:N1461)*ROW(N$12:N1461),ROW($S$12))&gt;=MAX((1=Z$12:Z1461)*ROW(Z$12:Z1461),ROW($T$12))),MIN(LOOKUP(,-1/($Z$12:Z1462=1),$C$12:C1462)+LOOKUP(,-1/($Z$12:Z1462=1),$H$12:H1462)-IF(N1461&lt;&gt;0,0,SUM(INDIRECT("T"&amp;(MAX((0&lt;&gt;N$12:N1461)*ROW(N$12:N1461)+1,ROW($T$12))&amp;":T"&amp;(ROW()-1))))),Первоначальный[[#This Row],[Полученный платеж]]+Y1461),
AND(S1461=0,Первоначальный[[#This Row],[Дата платежа из графика]]=1),MIN(LOOKUP(,-1/($Z$12:Z1462=1),$C$12:C1462)+LOOKUP(,-1/($Z$12:Z1462=1),$H$12:H1462)-IF(Z1461=1,0,SUM(INDIRECT("T"&amp;(MAX((1=Z$12:Z1461)*ROW(Z$12:Z1461)+1,ROW($T$12))&amp;":T"&amp;(ROW()-1))))),Первоначальный[[#This Row],[Полученный платеж]]+Y1461),
AND(Z1461&gt;0,Первоначальный[[#This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платеж]]+Y1461),
AND(S1461&gt;0,MAX((0&lt;&gt;S$12:S1461)*ROW(S$12:S1461),ROW($S$12))&gt;=MAX((1=Z$12:Z1461)*ROW(Z$12:Z1461),ROW($T$12)),TYPE(VLOOKUP("Да",(INDIRECT("AA"&amp;(MAX((1=Z$12:Z1461)*ROW(Z$12:Z1461),ROW($T$12))&amp;":AA"&amp;(ROW()-1)))),1,0))=16),MIN(LOOKUP(,-1/($Z$12:Z1462=1),$C$12:C1462)+LOOKUP(,-1/($Z$12:Z1462=1),$H$12:H1462)-SUM(INDIRECT("T"&amp;(MAX((1=Z$12:Z1461)*ROW(Z$12:Z1461),ROW($T$12))&amp;":T"&amp;(ROW()-1)))),Первоначальный[[#This Row],[Полученный платеж]]+Y1461),
S1461&gt;0,MIN(LOOKUP(,-1/($Z$12:Z1462=1),$C$12:C1462)+LOOKUP(,-1/($Z$12:Z1462=1),$H$12:H1462)-IF(Z1461=1,0,SUM(INDIRECT("T"&amp;(MAX((1=Z$12:Z1461)*ROW(Z$12:Z1461)+1,ROW($T$12))&amp;":T"&amp;(ROW()-1))))),Первоначальный[[#This Row],[Полученный платеж]]+Y1461)
)
)
)</f>
        <v>0</v>
      </c>
      <c r="U146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платеж]]+Y1461-Первоначальный[[#This Row],[Полученный платёж по процентам]])</f>
        <v>0</v>
      </c>
      <c r="V1462" s="55">
        <f t="shared" ca="1" si="267"/>
        <v>0</v>
      </c>
      <c r="W1462" s="55" cm="1">
        <f t="array" aca="1" ref="W1462" ca="1">IF(Первоначальный[[#This Row],[Итого остаток на начало периода]]&lt;1,0,
_xlfn.IFS(
AND(TYPE(VLOOKUP(1,$Z$12:Z1462,1,0))=16,Первоначальный[[#This Row],[Досрочное погашение (да/"")]]=""),0,
AND(S1461=0,Первоначальный[[#This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платеж]]+Y1461-SUM(Первоначальный[[#This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комиссиям]]),VLOOKUP(LOOKUP(,-1/($Z$12:Z1462=1),$A$12:A1462),График[[Срок конец]:[Возврат основной суммы долга]],3,0)),
AND(S1461=0,Первоначальный[[#This Row],[Дата платежа из графика]]="",Первоначальный[[#This Row],[Досрочное погашение (да/"")]]&lt;&gt;"Да"),0,
AND(S1461=0,Первоначальный[[#This Row],[Досрочное погашение (да/"")]]=""),MIN(Первоначальный[[#This Row],[Полученный платеж]]+Y1461-SUM(Первоначальный[[#This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комиссиям]]),VLOOKUP(LOOKUP(,-1/($Z$12:Z1462=1),$A$12:A1462),График[[Срок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платеж]]+Y1461-SUM(Первоначальный[[#This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S1461&gt;0,MIN(Первоначальный[[#This Row],[Полученный платеж]]+Y1461-SUM(Первоначальный[[#This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комиссиям]]),SUM(INDIRECT("M"&amp;(MAX((1=S$12:S1461)*ROW(S$12:S1461),ROW($W$12))&amp;":M"&amp;(ROW()))))-SUM(INDIRECT("W"&amp;(MAX((1=S$12:S1461)*ROW(S$12:S1461),ROW($W$12))&amp;":W"&amp;(ROW()-1)))))
)
)</f>
        <v>0</v>
      </c>
      <c r="X1462" s="55">
        <f t="shared" ca="1" si="268"/>
        <v>0</v>
      </c>
      <c r="Y1462" s="101">
        <f t="shared" ca="1" si="275"/>
        <v>0</v>
      </c>
      <c r="Z1462" s="133" t="str">
        <f>IF(TYPE((VLOOKUP(Первоначальный[[#This Row],[Дата платежа]],График[Срок конец],1,0)))=16,"",1)</f>
        <v/>
      </c>
      <c r="AA1462" s="57"/>
      <c r="AB1462" s="134"/>
      <c r="AC146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6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104033.49000000024</v>
      </c>
      <c r="AE146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9120.2900000000172</v>
      </c>
      <c r="AF146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6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449451.67245245934</v>
      </c>
      <c r="AH1462" s="55"/>
      <c r="AI1462" s="55"/>
      <c r="AJ1462" s="55"/>
      <c r="AK1462" s="101">
        <f t="shared" ca="1" si="276"/>
        <v>712238.79245245969</v>
      </c>
      <c r="AL1462" s="129">
        <f t="array" ref="AL1462">MAX((УслРестрактов[Характеристика]="Дата реструктуризации")*(УслРестрактов[Значение]=Первоначальный!$A1462),0)</f>
        <v>0</v>
      </c>
    </row>
    <row r="1463" spans="1:38" x14ac:dyDescent="0.25">
      <c r="A1463" s="97">
        <f t="shared" si="269"/>
        <v>45594</v>
      </c>
      <c r="B1463" s="100">
        <f t="shared" ca="1" si="270"/>
        <v>149633.34</v>
      </c>
      <c r="C1463" s="55">
        <f t="shared" ca="1" si="266"/>
        <v>104033.49000000024</v>
      </c>
      <c r="D1463" s="55">
        <f t="shared" ca="1" si="266"/>
        <v>9120.2900000000172</v>
      </c>
      <c r="E1463" s="55">
        <f t="shared" ca="1" si="271"/>
        <v>0</v>
      </c>
      <c r="F1463" s="55">
        <f t="shared" ca="1" si="272"/>
        <v>449451.67245245934</v>
      </c>
      <c r="G1463" s="101">
        <f t="shared" ca="1" si="273"/>
        <v>712238.79245245969</v>
      </c>
      <c r="H1463" s="100">
        <f ca="1">ROUND($B1463*VLOOKUP($A1463,$A$1:$B$10,2,1)/(365+IF(MOD(YEAR($A1463),4),0,1)*($A1463-$A1462)),2)-Первоначальный[[#This Row],[Проценты на просроченный платеж по ОД за период]]</f>
        <v>66.36</v>
      </c>
      <c r="I1463" s="55">
        <f t="shared" ca="1" si="274"/>
        <v>15</v>
      </c>
      <c r="J1463" s="55">
        <v>0</v>
      </c>
      <c r="K1463" s="55">
        <f t="shared" ca="1" si="277"/>
        <v>651.75850327868852</v>
      </c>
      <c r="L1463" s="55">
        <v>0</v>
      </c>
      <c r="M1463" s="113">
        <f>SUMIFS(График[Возврат основной суммы долга],График[Дата с учетом нерабочих дней],$A1463)</f>
        <v>0</v>
      </c>
      <c r="N1463" s="56">
        <f>SUMIFS(График[Возврат начисленных %],График[Дата с учетом нерабочих дней],$A1463)</f>
        <v>0</v>
      </c>
      <c r="O1463" s="101">
        <v>0</v>
      </c>
      <c r="P1463" s="100" cm="1">
        <f t="array" aca="1" ref="P1463" ca="1">MAX(IF(AA1462="Да",0,SUM(INDIRECT("M"&amp;(MAX(("Да"=AA$12:AA1462)*ROW(AA$12:AA1462)+1,ROW($P$12))&amp;":M"&amp;(ROW()))))-SUM(INDIRECT("W"&amp;(MAX(("Да"=AA$12:AA1462)*ROW(AA$12:AA1462)+1,ROW($P$12))&amp;":W"&amp;(ROW()))))),0)</f>
        <v>27584.94</v>
      </c>
      <c r="Q1463" s="99">
        <f ca="1">MAX(SUM($N$13:N1463)-SUM($T$13:T1463),0)</f>
        <v>102766.7606557377</v>
      </c>
      <c r="R1463" s="99">
        <f ca="1">Первоначальный[[#This Row],[Просроченный платеж по ОД]]+Первоначальный[[#This Row],[Просроченный платеж по процентам]]</f>
        <v>130351.7006557377</v>
      </c>
      <c r="S1463" s="120">
        <f ca="1">IF(Первоначальный[[#This Row],[Просроченный платеж]]&lt;1,0,S1462+1)</f>
        <v>1359</v>
      </c>
      <c r="T1463" s="100" cm="1">
        <f t="array" aca="1" ref="T1463" ca="1">IF(Первоначальный[[#This Row],[Итого остаток на начало периода]]&lt;1,0,
IF(
AND(TYPE(VLOOKUP(1,$Z$12:Z1463,1,0))=16,Первоначальный[[#This Row],[Досрочное погашение (да/"")]]=""),0,
_xlfn.IFS(AND(S1462=0,Первоначальный[[#This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платеж]]&lt;&gt;0),MIN(LOOKUP(,-1/($Z$12:Z1463=1),$C$12:C1463)+LOOKUP(,-1/($Z$12:Z1463=1),$H$12:H1463),Первоначальный[[#This Row],[Полученный платеж]]+Y1462),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платеж]]+Y1462,SUM(Первоначальный[[#This Row],[Остаток процентов на начало периода]],Первоначальный[[#This Row],[Проценты за период]])),
AND(S1462=0,Первоначальный[[#This Row],[Дата платежа из графика]]=""),0,
AND(S1462=0,Первоначальный[[#This Row],[Дата платежа из графика]]=1,MAX((0&lt;&gt;S$12:S1462)*ROW(S$12:S1462),ROW($S$12))&gt;=MAX((1=Z$12:Z1462)*ROW(Z$12:Z1462),ROW($T$12)),TYPE(VLOOKUP("Да",(INDIRECT("AA"&amp;(MAX((1=Z$12:Z1462)*ROW(Z$12:Z1462),ROW($T$12))&amp;":AA"&amp;(ROW()-1)))),1,0))=16),MIN(LOOKUP(,-1/($Z$12:Z1463=1),$C$12:C1463)+LOOKUP(,-1/($Z$12:Z1463=1),$H$12:H1463),Первоначальный[[#This Row],[Полученный платеж]]+Y1462),
AND(S1462=0,TYPE(VLOOKUP("Да",(INDIRECT("AA"&amp;(MAX((1=Z$12:Z1462)*ROW(Z$12:Z1462),ROW($T$12))&amp;":AA"&amp;(ROW()-1)))),1,0))&lt;&gt;16),MIN(LOOKUP(,-1/($Z$12:Z1463=1),$C$12:C1463)+LOOKUP(,-1/($Z$12:Z1463=1),$H$12:H1463)-IF(AA1462="Да",0,SUM(INDIRECT("T"&amp;(MAX(("Да"=AA$12:AA1462)*ROW(AA$12:AA1462)+1,ROW($T$12))&amp;":T"&amp;(ROW()-1))))),Первоначальный[[#This Row],[Полученный платеж]]+Y1462),
AND(S1462=0,MAX((0&lt;&gt;N$12:N1462)*ROW(N$12:N1462),ROW($S$12))&gt;=MAX((1=Z$12:Z1462)*ROW(Z$12:Z1462),ROW($T$12))),MIN(LOOKUP(,-1/($Z$12:Z1463=1),$C$12:C1463)+LOOKUP(,-1/($Z$12:Z1463=1),$H$12:H1463)-IF(N1462&lt;&gt;0,0,SUM(INDIRECT("T"&amp;(MAX((0&lt;&gt;N$12:N1462)*ROW(N$12:N1462)+1,ROW($T$12))&amp;":T"&amp;(ROW()-1))))),Первоначальный[[#This Row],[Полученный платеж]]+Y1462),
AND(S1462=0,Первоначальный[[#This Row],[Дата платежа из графика]]=1),MIN(LOOKUP(,-1/($Z$12:Z1463=1),$C$12:C1463)+LOOKUP(,-1/($Z$12:Z1463=1),$H$12:H1463)-IF(Z1462=1,0,SUM(INDIRECT("T"&amp;(MAX((1=Z$12:Z1462)*ROW(Z$12:Z1462)+1,ROW($T$12))&amp;":T"&amp;(ROW()-1))))),Первоначальный[[#This Row],[Полученный платеж]]+Y1462),
AND(Z1462&gt;0,Первоначальный[[#This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платеж]]+Y1462),
AND(S1462&gt;0,MAX((0&lt;&gt;S$12:S1462)*ROW(S$12:S1462),ROW($S$12))&gt;=MAX((1=Z$12:Z1462)*ROW(Z$12:Z1462),ROW($T$12)),TYPE(VLOOKUP("Да",(INDIRECT("AA"&amp;(MAX((1=Z$12:Z1462)*ROW(Z$12:Z1462),ROW($T$12))&amp;":AA"&amp;(ROW()-1)))),1,0))=16),MIN(LOOKUP(,-1/($Z$12:Z1463=1),$C$12:C1463)+LOOKUP(,-1/($Z$12:Z1463=1),$H$12:H1463)-SUM(INDIRECT("T"&amp;(MAX((1=Z$12:Z1462)*ROW(Z$12:Z1462),ROW($T$12))&amp;":T"&amp;(ROW()-1)))),Первоначальный[[#This Row],[Полученный платеж]]+Y1462),
S1462&gt;0,MIN(LOOKUP(,-1/($Z$12:Z1463=1),$C$12:C1463)+LOOKUP(,-1/($Z$12:Z1463=1),$H$12:H1463)-IF(Z1462=1,0,SUM(INDIRECT("T"&amp;(MAX((1=Z$12:Z1462)*ROW(Z$12:Z1462)+1,ROW($T$12))&amp;":T"&amp;(ROW()-1))))),Первоначальный[[#This Row],[Полученный платеж]]+Y1462)
)
)
)</f>
        <v>0</v>
      </c>
      <c r="U146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платеж]]+Y1462-Первоначальный[[#This Row],[Полученный платёж по процентам]])</f>
        <v>0</v>
      </c>
      <c r="V1463" s="55">
        <f t="shared" ca="1" si="267"/>
        <v>0</v>
      </c>
      <c r="W1463" s="55" cm="1">
        <f t="array" aca="1" ref="W1463" ca="1">IF(Первоначальный[[#This Row],[Итого остаток на начало периода]]&lt;1,0,
_xlfn.IFS(
AND(TYPE(VLOOKUP(1,$Z$12:Z1463,1,0))=16,Первоначальный[[#This Row],[Досрочное погашение (да/"")]]=""),0,
AND(S1462=0,Первоначальный[[#This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платеж]]+Y1462-SUM(Первоначальный[[#This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комиссиям]]),VLOOKUP(LOOKUP(,-1/($Z$12:Z1463=1),$A$12:A1463),График[[Срок конец]:[Возврат основной суммы долга]],3,0)),
AND(S1462=0,Первоначальный[[#This Row],[Дата платежа из графика]]="",Первоначальный[[#This Row],[Досрочное погашение (да/"")]]&lt;&gt;"Да"),0,
AND(S1462=0,Первоначальный[[#This Row],[Досрочное погашение (да/"")]]=""),MIN(Первоначальный[[#This Row],[Полученный платеж]]+Y1462-SUM(Первоначальный[[#This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комиссиям]]),VLOOKUP(LOOKUP(,-1/($Z$12:Z1463=1),$A$12:A1463),График[[Срок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платеж]]+Y1462-SUM(Первоначальный[[#This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S1462&gt;0,MIN(Первоначальный[[#This Row],[Полученный платеж]]+Y1462-SUM(Первоначальный[[#This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комиссиям]]),SUM(INDIRECT("M"&amp;(MAX((1=S$12:S1462)*ROW(S$12:S1462),ROW($W$12))&amp;":M"&amp;(ROW()))))-SUM(INDIRECT("W"&amp;(MAX((1=S$12:S1462)*ROW(S$12:S1462),ROW($W$12))&amp;":W"&amp;(ROW()-1)))))
)
)</f>
        <v>0</v>
      </c>
      <c r="X1463" s="55">
        <f t="shared" ca="1" si="268"/>
        <v>0</v>
      </c>
      <c r="Y1463" s="101">
        <f t="shared" ca="1" si="275"/>
        <v>0</v>
      </c>
      <c r="Z1463" s="133" t="str">
        <f>IF(TYPE((VLOOKUP(Первоначальный[[#This Row],[Дата платежа]],График[Срок конец],1,0)))=16,"",1)</f>
        <v/>
      </c>
      <c r="AA1463" s="57"/>
      <c r="AB1463" s="134"/>
      <c r="AC146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6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104099.85000000024</v>
      </c>
      <c r="AE146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9135.2900000000172</v>
      </c>
      <c r="AF146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6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450103.43095573806</v>
      </c>
      <c r="AH1463" s="55"/>
      <c r="AI1463" s="55"/>
      <c r="AJ1463" s="55"/>
      <c r="AK1463" s="101">
        <f t="shared" ca="1" si="276"/>
        <v>712971.91095573828</v>
      </c>
      <c r="AL1463" s="129">
        <f t="array" ref="AL1463">MAX((УслРестрактов[Характеристика]="Дата реструктуризации")*(УслРестрактов[Значение]=Первоначальный!$A1463),0)</f>
        <v>0</v>
      </c>
    </row>
    <row r="1464" spans="1:38" x14ac:dyDescent="0.25">
      <c r="A1464" s="97">
        <f t="shared" si="269"/>
        <v>45595</v>
      </c>
      <c r="B1464" s="100">
        <f t="shared" ca="1" si="270"/>
        <v>149633.34</v>
      </c>
      <c r="C1464" s="55">
        <f t="shared" ca="1" si="266"/>
        <v>104099.85000000024</v>
      </c>
      <c r="D1464" s="55">
        <f t="shared" ca="1" si="266"/>
        <v>9135.2900000000172</v>
      </c>
      <c r="E1464" s="55">
        <f t="shared" ca="1" si="271"/>
        <v>0</v>
      </c>
      <c r="F1464" s="55">
        <f t="shared" ca="1" si="272"/>
        <v>450103.43095573806</v>
      </c>
      <c r="G1464" s="101">
        <f t="shared" ca="1" si="273"/>
        <v>712971.91095573828</v>
      </c>
      <c r="H1464" s="100">
        <f ca="1">ROUND($B1464*VLOOKUP($A1464,$A$1:$B$10,2,1)/(365+IF(MOD(YEAR($A1464),4),0,1)*($A1464-$A1463)),2)-Первоначальный[[#This Row],[Проценты на просроченный платеж по ОД за период]]</f>
        <v>66.36</v>
      </c>
      <c r="I1464" s="55">
        <f t="shared" ca="1" si="274"/>
        <v>15</v>
      </c>
      <c r="J1464" s="55">
        <v>0</v>
      </c>
      <c r="K1464" s="55">
        <f t="shared" ca="1" si="277"/>
        <v>651.75850327868852</v>
      </c>
      <c r="L1464" s="55">
        <v>0</v>
      </c>
      <c r="M1464" s="113">
        <f>SUMIFS(График[Возврат основной суммы долга],График[Дата с учетом нерабочих дней],$A1464)</f>
        <v>0</v>
      </c>
      <c r="N1464" s="56">
        <f>SUMIFS(График[Возврат начисленных %],График[Дата с учетом нерабочих дней],$A1464)</f>
        <v>0</v>
      </c>
      <c r="O1464" s="101">
        <v>0</v>
      </c>
      <c r="P1464" s="100" cm="1">
        <f t="array" aca="1" ref="P1464" ca="1">MAX(IF(AA1463="Да",0,SUM(INDIRECT("M"&amp;(MAX(("Да"=AA$12:AA1463)*ROW(AA$12:AA1463)+1,ROW($P$12))&amp;":M"&amp;(ROW()))))-SUM(INDIRECT("W"&amp;(MAX(("Да"=AA$12:AA1463)*ROW(AA$12:AA1463)+1,ROW($P$12))&amp;":W"&amp;(ROW()))))),0)</f>
        <v>27584.94</v>
      </c>
      <c r="Q1464" s="99">
        <f ca="1">MAX(SUM($N$13:N1464)-SUM($T$13:T1464),0)</f>
        <v>102766.7606557377</v>
      </c>
      <c r="R1464" s="99">
        <f ca="1">Первоначальный[[#This Row],[Просроченный платеж по ОД]]+Первоначальный[[#This Row],[Просроченный платеж по процентам]]</f>
        <v>130351.7006557377</v>
      </c>
      <c r="S1464" s="120">
        <f ca="1">IF(Первоначальный[[#This Row],[Просроченный платеж]]&lt;1,0,S1463+1)</f>
        <v>1360</v>
      </c>
      <c r="T1464" s="100" cm="1">
        <f t="array" aca="1" ref="T1464" ca="1">IF(Первоначальный[[#This Row],[Итого остаток на начало периода]]&lt;1,0,
IF(
AND(TYPE(VLOOKUP(1,$Z$12:Z1464,1,0))=16,Первоначальный[[#This Row],[Досрочное погашение (да/"")]]=""),0,
_xlfn.IFS(AND(S1463=0,Первоначальный[[#This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платеж]]&lt;&gt;0),MIN(LOOKUP(,-1/($Z$12:Z1464=1),$C$12:C1464)+LOOKUP(,-1/($Z$12:Z1464=1),$H$12:H1464),Первоначальный[[#This Row],[Полученный платеж]]+Y1463),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платеж]]+Y1463,SUM(Первоначальный[[#This Row],[Остаток процентов на начало периода]],Первоначальный[[#This Row],[Проценты за период]])),
AND(S1463=0,Первоначальный[[#This Row],[Дата платежа из графика]]=""),0,
AND(S1463=0,Первоначальный[[#This Row],[Дата платежа из графика]]=1,MAX((0&lt;&gt;S$12:S1463)*ROW(S$12:S1463),ROW($S$12))&gt;=MAX((1=Z$12:Z1463)*ROW(Z$12:Z1463),ROW($T$12)),TYPE(VLOOKUP("Да",(INDIRECT("AA"&amp;(MAX((1=Z$12:Z1463)*ROW(Z$12:Z1463),ROW($T$12))&amp;":AA"&amp;(ROW()-1)))),1,0))=16),MIN(LOOKUP(,-1/($Z$12:Z1464=1),$C$12:C1464)+LOOKUP(,-1/($Z$12:Z1464=1),$H$12:H1464),Первоначальный[[#This Row],[Полученный платеж]]+Y1463),
AND(S1463=0,TYPE(VLOOKUP("Да",(INDIRECT("AA"&amp;(MAX((1=Z$12:Z1463)*ROW(Z$12:Z1463),ROW($T$12))&amp;":AA"&amp;(ROW()-1)))),1,0))&lt;&gt;16),MIN(LOOKUP(,-1/($Z$12:Z1464=1),$C$12:C1464)+LOOKUP(,-1/($Z$12:Z1464=1),$H$12:H1464)-IF(AA1463="Да",0,SUM(INDIRECT("T"&amp;(MAX(("Да"=AA$12:AA1463)*ROW(AA$12:AA1463)+1,ROW($T$12))&amp;":T"&amp;(ROW()-1))))),Первоначальный[[#This Row],[Полученный платеж]]+Y1463),
AND(S1463=0,MAX((0&lt;&gt;N$12:N1463)*ROW(N$12:N1463),ROW($S$12))&gt;=MAX((1=Z$12:Z1463)*ROW(Z$12:Z1463),ROW($T$12))),MIN(LOOKUP(,-1/($Z$12:Z1464=1),$C$12:C1464)+LOOKUP(,-1/($Z$12:Z1464=1),$H$12:H1464)-IF(N1463&lt;&gt;0,0,SUM(INDIRECT("T"&amp;(MAX((0&lt;&gt;N$12:N1463)*ROW(N$12:N1463)+1,ROW($T$12))&amp;":T"&amp;(ROW()-1))))),Первоначальный[[#This Row],[Полученный платеж]]+Y1463),
AND(S1463=0,Первоначальный[[#This Row],[Дата платежа из графика]]=1),MIN(LOOKUP(,-1/($Z$12:Z1464=1),$C$12:C1464)+LOOKUP(,-1/($Z$12:Z1464=1),$H$12:H1464)-IF(Z1463=1,0,SUM(INDIRECT("T"&amp;(MAX((1=Z$12:Z1463)*ROW(Z$12:Z1463)+1,ROW($T$12))&amp;":T"&amp;(ROW()-1))))),Первоначальный[[#This Row],[Полученный платеж]]+Y1463),
AND(Z1463&gt;0,Первоначальный[[#This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платеж]]+Y1463),
AND(S1463&gt;0,MAX((0&lt;&gt;S$12:S1463)*ROW(S$12:S1463),ROW($S$12))&gt;=MAX((1=Z$12:Z1463)*ROW(Z$12:Z1463),ROW($T$12)),TYPE(VLOOKUP("Да",(INDIRECT("AA"&amp;(MAX((1=Z$12:Z1463)*ROW(Z$12:Z1463),ROW($T$12))&amp;":AA"&amp;(ROW()-1)))),1,0))=16),MIN(LOOKUP(,-1/($Z$12:Z1464=1),$C$12:C1464)+LOOKUP(,-1/($Z$12:Z1464=1),$H$12:H1464)-SUM(INDIRECT("T"&amp;(MAX((1=Z$12:Z1463)*ROW(Z$12:Z1463),ROW($T$12))&amp;":T"&amp;(ROW()-1)))),Первоначальный[[#This Row],[Полученный платеж]]+Y1463),
S1463&gt;0,MIN(LOOKUP(,-1/($Z$12:Z1464=1),$C$12:C1464)+LOOKUP(,-1/($Z$12:Z1464=1),$H$12:H1464)-IF(Z1463=1,0,SUM(INDIRECT("T"&amp;(MAX((1=Z$12:Z1463)*ROW(Z$12:Z1463)+1,ROW($T$12))&amp;":T"&amp;(ROW()-1))))),Первоначальный[[#This Row],[Полученный платеж]]+Y1463)
)
)
)</f>
        <v>0</v>
      </c>
      <c r="U146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платеж]]+Y1463-Первоначальный[[#This Row],[Полученный платёж по процентам]])</f>
        <v>0</v>
      </c>
      <c r="V1464" s="55">
        <f t="shared" ca="1" si="267"/>
        <v>0</v>
      </c>
      <c r="W1464" s="55" cm="1">
        <f t="array" aca="1" ref="W1464" ca="1">IF(Первоначальный[[#This Row],[Итого остаток на начало периода]]&lt;1,0,
_xlfn.IFS(
AND(TYPE(VLOOKUP(1,$Z$12:Z1464,1,0))=16,Первоначальный[[#This Row],[Досрочное погашение (да/"")]]=""),0,
AND(S1463=0,Первоначальный[[#This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платеж]]+Y1463-SUM(Первоначальный[[#This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комиссиям]]),VLOOKUP(LOOKUP(,-1/($Z$12:Z1464=1),$A$12:A1464),График[[Срок конец]:[Возврат основной суммы долга]],3,0)),
AND(S1463=0,Первоначальный[[#This Row],[Дата платежа из графика]]="",Первоначальный[[#This Row],[Досрочное погашение (да/"")]]&lt;&gt;"Да"),0,
AND(S1463=0,Первоначальный[[#This Row],[Досрочное погашение (да/"")]]=""),MIN(Первоначальный[[#This Row],[Полученный платеж]]+Y1463-SUM(Первоначальный[[#This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комиссиям]]),VLOOKUP(LOOKUP(,-1/($Z$12:Z1464=1),$A$12:A1464),График[[Срок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платеж]]+Y1463-SUM(Первоначальный[[#This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S1463&gt;0,MIN(Первоначальный[[#This Row],[Полученный платеж]]+Y1463-SUM(Первоначальный[[#This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комиссиям]]),SUM(INDIRECT("M"&amp;(MAX((1=S$12:S1463)*ROW(S$12:S1463),ROW($W$12))&amp;":M"&amp;(ROW()))))-SUM(INDIRECT("W"&amp;(MAX((1=S$12:S1463)*ROW(S$12:S1463),ROW($W$12))&amp;":W"&amp;(ROW()-1)))))
)
)</f>
        <v>0</v>
      </c>
      <c r="X1464" s="55">
        <f t="shared" ca="1" si="268"/>
        <v>0</v>
      </c>
      <c r="Y1464" s="101">
        <f t="shared" ca="1" si="275"/>
        <v>0</v>
      </c>
      <c r="Z1464" s="133" t="str">
        <f>IF(TYPE((VLOOKUP(Первоначальный[[#This Row],[Дата платежа]],График[Срок конец],1,0)))=16,"",1)</f>
        <v/>
      </c>
      <c r="AA1464" s="57"/>
      <c r="AB1464" s="134"/>
      <c r="AC146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6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104166.21000000024</v>
      </c>
      <c r="AE146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9150.2900000000172</v>
      </c>
      <c r="AF146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6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450755.18945901678</v>
      </c>
      <c r="AH1464" s="55"/>
      <c r="AI1464" s="55"/>
      <c r="AJ1464" s="55"/>
      <c r="AK1464" s="101">
        <f t="shared" ca="1" si="276"/>
        <v>713705.0294590171</v>
      </c>
      <c r="AL1464" s="129">
        <f t="array" ref="AL1464">MAX((УслРестрактов[Характеристика]="Дата реструктуризации")*(УслРестрактов[Значение]=Первоначальный!$A1464),0)</f>
        <v>0</v>
      </c>
    </row>
    <row r="1465" spans="1:38" x14ac:dyDescent="0.25">
      <c r="A1465" s="97">
        <f t="shared" si="269"/>
        <v>45596</v>
      </c>
      <c r="B1465" s="100">
        <f t="shared" ca="1" si="270"/>
        <v>149633.34</v>
      </c>
      <c r="C1465" s="55">
        <f t="shared" ca="1" si="266"/>
        <v>104166.21000000024</v>
      </c>
      <c r="D1465" s="55">
        <f t="shared" ca="1" si="266"/>
        <v>9150.2900000000172</v>
      </c>
      <c r="E1465" s="55">
        <f t="shared" ca="1" si="271"/>
        <v>0</v>
      </c>
      <c r="F1465" s="55">
        <f t="shared" ca="1" si="272"/>
        <v>450755.18945901678</v>
      </c>
      <c r="G1465" s="101">
        <f t="shared" ca="1" si="273"/>
        <v>713705.0294590171</v>
      </c>
      <c r="H1465" s="100">
        <f ca="1">ROUND($B1465*VLOOKUP($A1465,$A$1:$B$10,2,1)/(365+IF(MOD(YEAR($A1465),4),0,1)*($A1465-$A1464)),2)-Первоначальный[[#This Row],[Проценты на просроченный платеж по ОД за период]]</f>
        <v>66.36</v>
      </c>
      <c r="I1465" s="55">
        <f t="shared" ca="1" si="274"/>
        <v>15</v>
      </c>
      <c r="J1465" s="55">
        <v>0</v>
      </c>
      <c r="K1465" s="55">
        <f t="shared" ca="1" si="277"/>
        <v>651.75850327868852</v>
      </c>
      <c r="L1465" s="55">
        <v>0</v>
      </c>
      <c r="M1465" s="113">
        <f>SUMIFS(График[Возврат основной суммы долга],График[Дата с учетом нерабочих дней],$A1465)</f>
        <v>0</v>
      </c>
      <c r="N1465" s="56">
        <f>SUMIFS(График[Возврат начисленных %],График[Дата с учетом нерабочих дней],$A1465)</f>
        <v>0</v>
      </c>
      <c r="O1465" s="101">
        <v>0</v>
      </c>
      <c r="P1465" s="100" cm="1">
        <f t="array" aca="1" ref="P1465" ca="1">MAX(IF(AA1464="Да",0,SUM(INDIRECT("M"&amp;(MAX(("Да"=AA$12:AA1464)*ROW(AA$12:AA1464)+1,ROW($P$12))&amp;":M"&amp;(ROW()))))-SUM(INDIRECT("W"&amp;(MAX(("Да"=AA$12:AA1464)*ROW(AA$12:AA1464)+1,ROW($P$12))&amp;":W"&amp;(ROW()))))),0)</f>
        <v>27584.94</v>
      </c>
      <c r="Q1465" s="99">
        <f ca="1">MAX(SUM($N$13:N1465)-SUM($T$13:T1465),0)</f>
        <v>102766.7606557377</v>
      </c>
      <c r="R1465" s="99">
        <f ca="1">Первоначальный[[#This Row],[Просроченный платеж по ОД]]+Первоначальный[[#This Row],[Просроченный платеж по процентам]]</f>
        <v>130351.7006557377</v>
      </c>
      <c r="S1465" s="120">
        <f ca="1">IF(Первоначальный[[#This Row],[Просроченный платеж]]&lt;1,0,S1464+1)</f>
        <v>1361</v>
      </c>
      <c r="T1465" s="100" cm="1">
        <f t="array" aca="1" ref="T1465" ca="1">IF(Первоначальный[[#This Row],[Итого остаток на начало периода]]&lt;1,0,
IF(
AND(TYPE(VLOOKUP(1,$Z$12:Z1465,1,0))=16,Первоначальный[[#This Row],[Досрочное погашение (да/"")]]=""),0,
_xlfn.IFS(AND(S1464=0,Первоначальный[[#This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платеж]]&lt;&gt;0),MIN(LOOKUP(,-1/($Z$12:Z1465=1),$C$12:C1465)+LOOKUP(,-1/($Z$12:Z1465=1),$H$12:H1465),Первоначальный[[#This Row],[Полученный платеж]]+Y1464),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платеж]]+Y1464,SUM(Первоначальный[[#This Row],[Остаток процентов на начало периода]],Первоначальный[[#This Row],[Проценты за период]])),
AND(S1464=0,Первоначальный[[#This Row],[Дата платежа из графика]]=""),0,
AND(S1464=0,Первоначальный[[#This Row],[Дата платежа из графика]]=1,MAX((0&lt;&gt;S$12:S1464)*ROW(S$12:S1464),ROW($S$12))&gt;=MAX((1=Z$12:Z1464)*ROW(Z$12:Z1464),ROW($T$12)),TYPE(VLOOKUP("Да",(INDIRECT("AA"&amp;(MAX((1=Z$12:Z1464)*ROW(Z$12:Z1464),ROW($T$12))&amp;":AA"&amp;(ROW()-1)))),1,0))=16),MIN(LOOKUP(,-1/($Z$12:Z1465=1),$C$12:C1465)+LOOKUP(,-1/($Z$12:Z1465=1),$H$12:H1465),Первоначальный[[#This Row],[Полученный платеж]]+Y1464),
AND(S1464=0,TYPE(VLOOKUP("Да",(INDIRECT("AA"&amp;(MAX((1=Z$12:Z1464)*ROW(Z$12:Z1464),ROW($T$12))&amp;":AA"&amp;(ROW()-1)))),1,0))&lt;&gt;16),MIN(LOOKUP(,-1/($Z$12:Z1465=1),$C$12:C1465)+LOOKUP(,-1/($Z$12:Z1465=1),$H$12:H1465)-IF(AA1464="Да",0,SUM(INDIRECT("T"&amp;(MAX(("Да"=AA$12:AA1464)*ROW(AA$12:AA1464)+1,ROW($T$12))&amp;":T"&amp;(ROW()-1))))),Первоначальный[[#This Row],[Полученный платеж]]+Y1464),
AND(S1464=0,MAX((0&lt;&gt;N$12:N1464)*ROW(N$12:N1464),ROW($S$12))&gt;=MAX((1=Z$12:Z1464)*ROW(Z$12:Z1464),ROW($T$12))),MIN(LOOKUP(,-1/($Z$12:Z1465=1),$C$12:C1465)+LOOKUP(,-1/($Z$12:Z1465=1),$H$12:H1465)-IF(N1464&lt;&gt;0,0,SUM(INDIRECT("T"&amp;(MAX((0&lt;&gt;N$12:N1464)*ROW(N$12:N1464)+1,ROW($T$12))&amp;":T"&amp;(ROW()-1))))),Первоначальный[[#This Row],[Полученный платеж]]+Y1464),
AND(S1464=0,Первоначальный[[#This Row],[Дата платежа из графика]]=1),MIN(LOOKUP(,-1/($Z$12:Z1465=1),$C$12:C1465)+LOOKUP(,-1/($Z$12:Z1465=1),$H$12:H1465)-IF(Z1464=1,0,SUM(INDIRECT("T"&amp;(MAX((1=Z$12:Z1464)*ROW(Z$12:Z1464)+1,ROW($T$12))&amp;":T"&amp;(ROW()-1))))),Первоначальный[[#This Row],[Полученный платеж]]+Y1464),
AND(Z1464&gt;0,Первоначальный[[#This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платеж]]+Y1464),
AND(S1464&gt;0,MAX((0&lt;&gt;S$12:S1464)*ROW(S$12:S1464),ROW($S$12))&gt;=MAX((1=Z$12:Z1464)*ROW(Z$12:Z1464),ROW($T$12)),TYPE(VLOOKUP("Да",(INDIRECT("AA"&amp;(MAX((1=Z$12:Z1464)*ROW(Z$12:Z1464),ROW($T$12))&amp;":AA"&amp;(ROW()-1)))),1,0))=16),MIN(LOOKUP(,-1/($Z$12:Z1465=1),$C$12:C1465)+LOOKUP(,-1/($Z$12:Z1465=1),$H$12:H1465)-SUM(INDIRECT("T"&amp;(MAX((1=Z$12:Z1464)*ROW(Z$12:Z1464),ROW($T$12))&amp;":T"&amp;(ROW()-1)))),Первоначальный[[#This Row],[Полученный платеж]]+Y1464),
S1464&gt;0,MIN(LOOKUP(,-1/($Z$12:Z1465=1),$C$12:C1465)+LOOKUP(,-1/($Z$12:Z1465=1),$H$12:H1465)-IF(Z1464=1,0,SUM(INDIRECT("T"&amp;(MAX((1=Z$12:Z1464)*ROW(Z$12:Z1464)+1,ROW($T$12))&amp;":T"&amp;(ROW()-1))))),Первоначальный[[#This Row],[Полученный платеж]]+Y1464)
)
)
)</f>
        <v>0</v>
      </c>
      <c r="U146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платеж]]+Y1464-Первоначальный[[#This Row],[Полученный платёж по процентам]])</f>
        <v>0</v>
      </c>
      <c r="V1465" s="55">
        <f t="shared" ca="1" si="267"/>
        <v>0</v>
      </c>
      <c r="W1465" s="55" cm="1">
        <f t="array" aca="1" ref="W1465" ca="1">IF(Первоначальный[[#This Row],[Итого остаток на начало периода]]&lt;1,0,
_xlfn.IFS(
AND(TYPE(VLOOKUP(1,$Z$12:Z1465,1,0))=16,Первоначальный[[#This Row],[Досрочное погашение (да/"")]]=""),0,
AND(S1464=0,Первоначальный[[#This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платеж]]+Y1464-SUM(Первоначальный[[#This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комиссиям]]),VLOOKUP(LOOKUP(,-1/($Z$12:Z1465=1),$A$12:A1465),График[[Срок конец]:[Возврат основной суммы долга]],3,0)),
AND(S1464=0,Первоначальный[[#This Row],[Дата платежа из графика]]="",Первоначальный[[#This Row],[Досрочное погашение (да/"")]]&lt;&gt;"Да"),0,
AND(S1464=0,Первоначальный[[#This Row],[Досрочное погашение (да/"")]]=""),MIN(Первоначальный[[#This Row],[Полученный платеж]]+Y1464-SUM(Первоначальный[[#This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комиссиям]]),VLOOKUP(LOOKUP(,-1/($Z$12:Z1465=1),$A$12:A1465),График[[Срок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платеж]]+Y1464-SUM(Первоначальный[[#This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S1464&gt;0,MIN(Первоначальный[[#This Row],[Полученный платеж]]+Y1464-SUM(Первоначальный[[#This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комиссиям]]),SUM(INDIRECT("M"&amp;(MAX((1=S$12:S1464)*ROW(S$12:S1464),ROW($W$12))&amp;":M"&amp;(ROW()))))-SUM(INDIRECT("W"&amp;(MAX((1=S$12:S1464)*ROW(S$12:S1464),ROW($W$12))&amp;":W"&amp;(ROW()-1)))))
)
)</f>
        <v>0</v>
      </c>
      <c r="X1465" s="55">
        <f t="shared" ca="1" si="268"/>
        <v>0</v>
      </c>
      <c r="Y1465" s="101">
        <f t="shared" ca="1" si="275"/>
        <v>0</v>
      </c>
      <c r="Z1465" s="133" t="str">
        <f>IF(TYPE((VLOOKUP(Первоначальный[[#This Row],[Дата платежа]],График[Срок конец],1,0)))=16,"",1)</f>
        <v/>
      </c>
      <c r="AA1465" s="57"/>
      <c r="AB1465" s="134"/>
      <c r="AC146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6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104232.57000000024</v>
      </c>
      <c r="AE146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9165.2900000000172</v>
      </c>
      <c r="AF146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6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451406.9479622955</v>
      </c>
      <c r="AH1465" s="55"/>
      <c r="AI1465" s="55"/>
      <c r="AJ1465" s="55"/>
      <c r="AK1465" s="101">
        <f t="shared" ca="1" si="276"/>
        <v>714438.14796229568</v>
      </c>
      <c r="AL1465" s="129">
        <f t="array" ref="AL1465">MAX((УслРестрактов[Характеристика]="Дата реструктуризации")*(УслРестрактов[Значение]=Первоначальный!$A1465),0)</f>
        <v>0</v>
      </c>
    </row>
    <row r="1466" spans="1:38" x14ac:dyDescent="0.25">
      <c r="A1466" s="97">
        <f t="shared" si="269"/>
        <v>45597</v>
      </c>
      <c r="B1466" s="100">
        <f t="shared" ca="1" si="270"/>
        <v>149633.34</v>
      </c>
      <c r="C1466" s="55">
        <f t="shared" ca="1" si="266"/>
        <v>104232.57000000024</v>
      </c>
      <c r="D1466" s="55">
        <f t="shared" ca="1" si="266"/>
        <v>9165.2900000000172</v>
      </c>
      <c r="E1466" s="55">
        <f t="shared" ca="1" si="271"/>
        <v>0</v>
      </c>
      <c r="F1466" s="55">
        <f t="shared" ca="1" si="272"/>
        <v>451406.9479622955</v>
      </c>
      <c r="G1466" s="101">
        <f t="shared" ca="1" si="273"/>
        <v>714438.14796229568</v>
      </c>
      <c r="H1466" s="100">
        <f ca="1">ROUND($B1466*VLOOKUP($A1466,$A$1:$B$10,2,1)/(365+IF(MOD(YEAR($A1466),4),0,1)*($A1466-$A1465)),2)-Первоначальный[[#This Row],[Проценты на просроченный платеж по ОД за период]]</f>
        <v>66.36</v>
      </c>
      <c r="I1466" s="55">
        <f t="shared" ca="1" si="274"/>
        <v>15</v>
      </c>
      <c r="J1466" s="55">
        <v>0</v>
      </c>
      <c r="K1466" s="55">
        <f t="shared" ca="1" si="277"/>
        <v>651.75850327868852</v>
      </c>
      <c r="L1466" s="55">
        <v>0</v>
      </c>
      <c r="M1466" s="113">
        <f>SUMIFS(График[Возврат основной суммы долга],График[Дата с учетом нерабочих дней],$A1466)</f>
        <v>0</v>
      </c>
      <c r="N1466" s="56">
        <f>SUMIFS(График[Возврат начисленных %],График[Дата с учетом нерабочих дней],$A1466)</f>
        <v>0</v>
      </c>
      <c r="O1466" s="101">
        <v>0</v>
      </c>
      <c r="P1466" s="100" cm="1">
        <f t="array" aca="1" ref="P1466" ca="1">MAX(IF(AA1465="Да",0,SUM(INDIRECT("M"&amp;(MAX(("Да"=AA$12:AA1465)*ROW(AA$12:AA1465)+1,ROW($P$12))&amp;":M"&amp;(ROW()))))-SUM(INDIRECT("W"&amp;(MAX(("Да"=AA$12:AA1465)*ROW(AA$12:AA1465)+1,ROW($P$12))&amp;":W"&amp;(ROW()))))),0)</f>
        <v>27584.94</v>
      </c>
      <c r="Q1466" s="99">
        <f ca="1">MAX(SUM($N$13:N1466)-SUM($T$13:T1466),0)</f>
        <v>102766.7606557377</v>
      </c>
      <c r="R1466" s="99">
        <f ca="1">Первоначальный[[#This Row],[Просроченный платеж по ОД]]+Первоначальный[[#This Row],[Просроченный платеж по процентам]]</f>
        <v>130351.7006557377</v>
      </c>
      <c r="S1466" s="120">
        <f ca="1">IF(Первоначальный[[#This Row],[Просроченный платеж]]&lt;1,0,S1465+1)</f>
        <v>1362</v>
      </c>
      <c r="T1466" s="100" cm="1">
        <f t="array" aca="1" ref="T1466" ca="1">IF(Первоначальный[[#This Row],[Итого остаток на начало периода]]&lt;1,0,
IF(
AND(TYPE(VLOOKUP(1,$Z$12:Z1466,1,0))=16,Первоначальный[[#This Row],[Досрочное погашение (да/"")]]=""),0,
_xlfn.IFS(AND(S1465=0,Первоначальный[[#This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платеж]]&lt;&gt;0),MIN(LOOKUP(,-1/($Z$12:Z1466=1),$C$12:C1466)+LOOKUP(,-1/($Z$12:Z1466=1),$H$12:H1466),Первоначальный[[#This Row],[Полученный платеж]]+Y1465),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платеж]]+Y1465,SUM(Первоначальный[[#This Row],[Остаток процентов на начало периода]],Первоначальный[[#This Row],[Проценты за период]])),
AND(S1465=0,Первоначальный[[#This Row],[Дата платежа из графика]]=""),0,
AND(S1465=0,Первоначальный[[#This Row],[Дата платежа из графика]]=1,MAX((0&lt;&gt;S$12:S1465)*ROW(S$12:S1465),ROW($S$12))&gt;=MAX((1=Z$12:Z1465)*ROW(Z$12:Z1465),ROW($T$12)),TYPE(VLOOKUP("Да",(INDIRECT("AA"&amp;(MAX((1=Z$12:Z1465)*ROW(Z$12:Z1465),ROW($T$12))&amp;":AA"&amp;(ROW()-1)))),1,0))=16),MIN(LOOKUP(,-1/($Z$12:Z1466=1),$C$12:C1466)+LOOKUP(,-1/($Z$12:Z1466=1),$H$12:H1466),Первоначальный[[#This Row],[Полученный платеж]]+Y1465),
AND(S1465=0,TYPE(VLOOKUP("Да",(INDIRECT("AA"&amp;(MAX((1=Z$12:Z1465)*ROW(Z$12:Z1465),ROW($T$12))&amp;":AA"&amp;(ROW()-1)))),1,0))&lt;&gt;16),MIN(LOOKUP(,-1/($Z$12:Z1466=1),$C$12:C1466)+LOOKUP(,-1/($Z$12:Z1466=1),$H$12:H1466)-IF(AA1465="Да",0,SUM(INDIRECT("T"&amp;(MAX(("Да"=AA$12:AA1465)*ROW(AA$12:AA1465)+1,ROW($T$12))&amp;":T"&amp;(ROW()-1))))),Первоначальный[[#This Row],[Полученный платеж]]+Y1465),
AND(S1465=0,MAX((0&lt;&gt;N$12:N1465)*ROW(N$12:N1465),ROW($S$12))&gt;=MAX((1=Z$12:Z1465)*ROW(Z$12:Z1465),ROW($T$12))),MIN(LOOKUP(,-1/($Z$12:Z1466=1),$C$12:C1466)+LOOKUP(,-1/($Z$12:Z1466=1),$H$12:H1466)-IF(N1465&lt;&gt;0,0,SUM(INDIRECT("T"&amp;(MAX((0&lt;&gt;N$12:N1465)*ROW(N$12:N1465)+1,ROW($T$12))&amp;":T"&amp;(ROW()-1))))),Первоначальный[[#This Row],[Полученный платеж]]+Y1465),
AND(S1465=0,Первоначальный[[#This Row],[Дата платежа из графика]]=1),MIN(LOOKUP(,-1/($Z$12:Z1466=1),$C$12:C1466)+LOOKUP(,-1/($Z$12:Z1466=1),$H$12:H1466)-IF(Z1465=1,0,SUM(INDIRECT("T"&amp;(MAX((1=Z$12:Z1465)*ROW(Z$12:Z1465)+1,ROW($T$12))&amp;":T"&amp;(ROW()-1))))),Первоначальный[[#This Row],[Полученный платеж]]+Y1465),
AND(Z1465&gt;0,Первоначальный[[#This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платеж]]+Y1465),
AND(S1465&gt;0,MAX((0&lt;&gt;S$12:S1465)*ROW(S$12:S1465),ROW($S$12))&gt;=MAX((1=Z$12:Z1465)*ROW(Z$12:Z1465),ROW($T$12)),TYPE(VLOOKUP("Да",(INDIRECT("AA"&amp;(MAX((1=Z$12:Z1465)*ROW(Z$12:Z1465),ROW($T$12))&amp;":AA"&amp;(ROW()-1)))),1,0))=16),MIN(LOOKUP(,-1/($Z$12:Z1466=1),$C$12:C1466)+LOOKUP(,-1/($Z$12:Z1466=1),$H$12:H1466)-SUM(INDIRECT("T"&amp;(MAX((1=Z$12:Z1465)*ROW(Z$12:Z1465),ROW($T$12))&amp;":T"&amp;(ROW()-1)))),Первоначальный[[#This Row],[Полученный платеж]]+Y1465),
S1465&gt;0,MIN(LOOKUP(,-1/($Z$12:Z1466=1),$C$12:C1466)+LOOKUP(,-1/($Z$12:Z1466=1),$H$12:H1466)-IF(Z1465=1,0,SUM(INDIRECT("T"&amp;(MAX((1=Z$12:Z1465)*ROW(Z$12:Z1465)+1,ROW($T$12))&amp;":T"&amp;(ROW()-1))))),Первоначальный[[#This Row],[Полученный платеж]]+Y1465)
)
)
)</f>
        <v>0</v>
      </c>
      <c r="U146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платеж]]+Y1465-Первоначальный[[#This Row],[Полученный платёж по процентам]])</f>
        <v>0</v>
      </c>
      <c r="V1466" s="55">
        <f t="shared" ca="1" si="267"/>
        <v>0</v>
      </c>
      <c r="W1466" s="55" cm="1">
        <f t="array" aca="1" ref="W1466" ca="1">IF(Первоначальный[[#This Row],[Итого остаток на начало периода]]&lt;1,0,
_xlfn.IFS(
AND(TYPE(VLOOKUP(1,$Z$12:Z1466,1,0))=16,Первоначальный[[#This Row],[Досрочное погашение (да/"")]]=""),0,
AND(S1465=0,Первоначальный[[#This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платеж]]+Y1465-SUM(Первоначальный[[#This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комиссиям]]),VLOOKUP(LOOKUP(,-1/($Z$12:Z1466=1),$A$12:A1466),График[[Срок конец]:[Возврат основной суммы долга]],3,0)),
AND(S1465=0,Первоначальный[[#This Row],[Дата платежа из графика]]="",Первоначальный[[#This Row],[Досрочное погашение (да/"")]]&lt;&gt;"Да"),0,
AND(S1465=0,Первоначальный[[#This Row],[Досрочное погашение (да/"")]]=""),MIN(Первоначальный[[#This Row],[Полученный платеж]]+Y1465-SUM(Первоначальный[[#This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комиссиям]]),VLOOKUP(LOOKUP(,-1/($Z$12:Z1466=1),$A$12:A1466),График[[Срок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платеж]]+Y1465-SUM(Первоначальный[[#This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S1465&gt;0,MIN(Первоначальный[[#This Row],[Полученный платеж]]+Y1465-SUM(Первоначальный[[#This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комиссиям]]),SUM(INDIRECT("M"&amp;(MAX((1=S$12:S1465)*ROW(S$12:S1465),ROW($W$12))&amp;":M"&amp;(ROW()))))-SUM(INDIRECT("W"&amp;(MAX((1=S$12:S1465)*ROW(S$12:S1465),ROW($W$12))&amp;":W"&amp;(ROW()-1)))))
)
)</f>
        <v>0</v>
      </c>
      <c r="X1466" s="55">
        <f t="shared" ca="1" si="268"/>
        <v>0</v>
      </c>
      <c r="Y1466" s="101">
        <f t="shared" ca="1" si="275"/>
        <v>0</v>
      </c>
      <c r="Z1466" s="133" t="str">
        <f>IF(TYPE((VLOOKUP(Первоначальный[[#This Row],[Дата платежа]],График[Срок конец],1,0)))=16,"",1)</f>
        <v/>
      </c>
      <c r="AA1466" s="57"/>
      <c r="AB1466" s="134"/>
      <c r="AC146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6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104298.93000000024</v>
      </c>
      <c r="AE146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9180.2900000000172</v>
      </c>
      <c r="AF146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6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452058.70646557421</v>
      </c>
      <c r="AH1466" s="55"/>
      <c r="AI1466" s="55"/>
      <c r="AJ1466" s="55"/>
      <c r="AK1466" s="101">
        <f t="shared" ca="1" si="276"/>
        <v>715171.2664655745</v>
      </c>
      <c r="AL1466" s="129">
        <f t="array" ref="AL1466">MAX((УслРестрактов[Характеристика]="Дата реструктуризации")*(УслРестрактов[Значение]=Первоначальный!$A1466),0)</f>
        <v>0</v>
      </c>
    </row>
    <row r="1467" spans="1:38" x14ac:dyDescent="0.25">
      <c r="A1467" s="97">
        <f t="shared" si="269"/>
        <v>45598</v>
      </c>
      <c r="B1467" s="100">
        <f t="shared" ca="1" si="270"/>
        <v>149633.34</v>
      </c>
      <c r="C1467" s="55">
        <f t="shared" ca="1" si="266"/>
        <v>104298.93000000024</v>
      </c>
      <c r="D1467" s="55">
        <f t="shared" ca="1" si="266"/>
        <v>9180.2900000000172</v>
      </c>
      <c r="E1467" s="55">
        <f t="shared" ca="1" si="271"/>
        <v>0</v>
      </c>
      <c r="F1467" s="55">
        <f t="shared" ca="1" si="272"/>
        <v>452058.70646557421</v>
      </c>
      <c r="G1467" s="101">
        <f t="shared" ca="1" si="273"/>
        <v>715171.2664655745</v>
      </c>
      <c r="H1467" s="100">
        <f ca="1">ROUND($B1467*VLOOKUP($A1467,$A$1:$B$10,2,1)/(365+IF(MOD(YEAR($A1467),4),0,1)*($A1467-$A1466)),2)-Первоначальный[[#This Row],[Проценты на просроченный платеж по ОД за период]]</f>
        <v>66.36</v>
      </c>
      <c r="I1467" s="55">
        <f t="shared" ca="1" si="274"/>
        <v>15</v>
      </c>
      <c r="J1467" s="55">
        <v>0</v>
      </c>
      <c r="K1467" s="55">
        <f t="shared" ca="1" si="277"/>
        <v>651.75850327868852</v>
      </c>
      <c r="L1467" s="55">
        <v>0</v>
      </c>
      <c r="M1467" s="113">
        <f>SUMIFS(График[Возврат основной суммы долга],График[Дата с учетом нерабочих дней],$A1467)</f>
        <v>0</v>
      </c>
      <c r="N1467" s="56">
        <f>SUMIFS(График[Возврат начисленных %],График[Дата с учетом нерабочих дней],$A1467)</f>
        <v>0</v>
      </c>
      <c r="O1467" s="101">
        <v>0</v>
      </c>
      <c r="P1467" s="100" cm="1">
        <f t="array" aca="1" ref="P1467" ca="1">MAX(IF(AA1466="Да",0,SUM(INDIRECT("M"&amp;(MAX(("Да"=AA$12:AA1466)*ROW(AA$12:AA1466)+1,ROW($P$12))&amp;":M"&amp;(ROW()))))-SUM(INDIRECT("W"&amp;(MAX(("Да"=AA$12:AA1466)*ROW(AA$12:AA1466)+1,ROW($P$12))&amp;":W"&amp;(ROW()))))),0)</f>
        <v>27584.94</v>
      </c>
      <c r="Q1467" s="99">
        <f ca="1">MAX(SUM($N$13:N1467)-SUM($T$13:T1467),0)</f>
        <v>102766.7606557377</v>
      </c>
      <c r="R1467" s="99">
        <f ca="1">Первоначальный[[#This Row],[Просроченный платеж по ОД]]+Первоначальный[[#This Row],[Просроченный платеж по процентам]]</f>
        <v>130351.7006557377</v>
      </c>
      <c r="S1467" s="120">
        <f ca="1">IF(Первоначальный[[#This Row],[Просроченный платеж]]&lt;1,0,S1466+1)</f>
        <v>1363</v>
      </c>
      <c r="T1467" s="100" cm="1">
        <f t="array" aca="1" ref="T1467" ca="1">IF(Первоначальный[[#This Row],[Итого остаток на начало периода]]&lt;1,0,
IF(
AND(TYPE(VLOOKUP(1,$Z$12:Z1467,1,0))=16,Первоначальный[[#This Row],[Досрочное погашение (да/"")]]=""),0,
_xlfn.IFS(AND(S1466=0,Первоначальный[[#This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платеж]]&lt;&gt;0),MIN(LOOKUP(,-1/($Z$12:Z1467=1),$C$12:C1467)+LOOKUP(,-1/($Z$12:Z1467=1),$H$12:H1467),Первоначальный[[#This Row],[Полученный платеж]]+Y1466),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платеж]]+Y1466,SUM(Первоначальный[[#This Row],[Остаток процентов на начало периода]],Первоначальный[[#This Row],[Проценты за период]])),
AND(S1466=0,Первоначальный[[#This Row],[Дата платежа из графика]]=""),0,
AND(S1466=0,Первоначальный[[#This Row],[Дата платежа из графика]]=1,MAX((0&lt;&gt;S$12:S1466)*ROW(S$12:S1466),ROW($S$12))&gt;=MAX((1=Z$12:Z1466)*ROW(Z$12:Z1466),ROW($T$12)),TYPE(VLOOKUP("Да",(INDIRECT("AA"&amp;(MAX((1=Z$12:Z1466)*ROW(Z$12:Z1466),ROW($T$12))&amp;":AA"&amp;(ROW()-1)))),1,0))=16),MIN(LOOKUP(,-1/($Z$12:Z1467=1),$C$12:C1467)+LOOKUP(,-1/($Z$12:Z1467=1),$H$12:H1467),Первоначальный[[#This Row],[Полученный платеж]]+Y1466),
AND(S1466=0,TYPE(VLOOKUP("Да",(INDIRECT("AA"&amp;(MAX((1=Z$12:Z1466)*ROW(Z$12:Z1466),ROW($T$12))&amp;":AA"&amp;(ROW()-1)))),1,0))&lt;&gt;16),MIN(LOOKUP(,-1/($Z$12:Z1467=1),$C$12:C1467)+LOOKUP(,-1/($Z$12:Z1467=1),$H$12:H1467)-IF(AA1466="Да",0,SUM(INDIRECT("T"&amp;(MAX(("Да"=AA$12:AA1466)*ROW(AA$12:AA1466)+1,ROW($T$12))&amp;":T"&amp;(ROW()-1))))),Первоначальный[[#This Row],[Полученный платеж]]+Y1466),
AND(S1466=0,MAX((0&lt;&gt;N$12:N1466)*ROW(N$12:N1466),ROW($S$12))&gt;=MAX((1=Z$12:Z1466)*ROW(Z$12:Z1466),ROW($T$12))),MIN(LOOKUP(,-1/($Z$12:Z1467=1),$C$12:C1467)+LOOKUP(,-1/($Z$12:Z1467=1),$H$12:H1467)-IF(N1466&lt;&gt;0,0,SUM(INDIRECT("T"&amp;(MAX((0&lt;&gt;N$12:N1466)*ROW(N$12:N1466)+1,ROW($T$12))&amp;":T"&amp;(ROW()-1))))),Первоначальный[[#This Row],[Полученный платеж]]+Y1466),
AND(S1466=0,Первоначальный[[#This Row],[Дата платежа из графика]]=1),MIN(LOOKUP(,-1/($Z$12:Z1467=1),$C$12:C1467)+LOOKUP(,-1/($Z$12:Z1467=1),$H$12:H1467)-IF(Z1466=1,0,SUM(INDIRECT("T"&amp;(MAX((1=Z$12:Z1466)*ROW(Z$12:Z1466)+1,ROW($T$12))&amp;":T"&amp;(ROW()-1))))),Первоначальный[[#This Row],[Полученный платеж]]+Y1466),
AND(Z1466&gt;0,Первоначальный[[#This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платеж]]+Y1466),
AND(S1466&gt;0,MAX((0&lt;&gt;S$12:S1466)*ROW(S$12:S1466),ROW($S$12))&gt;=MAX((1=Z$12:Z1466)*ROW(Z$12:Z1466),ROW($T$12)),TYPE(VLOOKUP("Да",(INDIRECT("AA"&amp;(MAX((1=Z$12:Z1466)*ROW(Z$12:Z1466),ROW($T$12))&amp;":AA"&amp;(ROW()-1)))),1,0))=16),MIN(LOOKUP(,-1/($Z$12:Z1467=1),$C$12:C1467)+LOOKUP(,-1/($Z$12:Z1467=1),$H$12:H1467)-SUM(INDIRECT("T"&amp;(MAX((1=Z$12:Z1466)*ROW(Z$12:Z1466),ROW($T$12))&amp;":T"&amp;(ROW()-1)))),Первоначальный[[#This Row],[Полученный платеж]]+Y1466),
S1466&gt;0,MIN(LOOKUP(,-1/($Z$12:Z1467=1),$C$12:C1467)+LOOKUP(,-1/($Z$12:Z1467=1),$H$12:H1467)-IF(Z1466=1,0,SUM(INDIRECT("T"&amp;(MAX((1=Z$12:Z1466)*ROW(Z$12:Z1466)+1,ROW($T$12))&amp;":T"&amp;(ROW()-1))))),Первоначальный[[#This Row],[Полученный платеж]]+Y1466)
)
)
)</f>
        <v>0</v>
      </c>
      <c r="U146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платеж]]+Y1466-Первоначальный[[#This Row],[Полученный платёж по процентам]])</f>
        <v>0</v>
      </c>
      <c r="V1467" s="55">
        <f t="shared" ca="1" si="267"/>
        <v>0</v>
      </c>
      <c r="W1467" s="55" cm="1">
        <f t="array" aca="1" ref="W1467" ca="1">IF(Первоначальный[[#This Row],[Итого остаток на начало периода]]&lt;1,0,
_xlfn.IFS(
AND(TYPE(VLOOKUP(1,$Z$12:Z1467,1,0))=16,Первоначальный[[#This Row],[Досрочное погашение (да/"")]]=""),0,
AND(S1466=0,Первоначальный[[#This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платеж]]+Y1466-SUM(Первоначальный[[#This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комиссиям]]),VLOOKUP(LOOKUP(,-1/($Z$12:Z1467=1),$A$12:A1467),График[[Срок конец]:[Возврат основной суммы долга]],3,0)),
AND(S1466=0,Первоначальный[[#This Row],[Дата платежа из графика]]="",Первоначальный[[#This Row],[Досрочное погашение (да/"")]]&lt;&gt;"Да"),0,
AND(S1466=0,Первоначальный[[#This Row],[Досрочное погашение (да/"")]]=""),MIN(Первоначальный[[#This Row],[Полученный платеж]]+Y1466-SUM(Первоначальный[[#This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комиссиям]]),VLOOKUP(LOOKUP(,-1/($Z$12:Z1467=1),$A$12:A1467),График[[Срок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платеж]]+Y1466-SUM(Первоначальный[[#This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S1466&gt;0,MIN(Первоначальный[[#This Row],[Полученный платеж]]+Y1466-SUM(Первоначальный[[#This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комиссиям]]),SUM(INDIRECT("M"&amp;(MAX((1=S$12:S1466)*ROW(S$12:S1466),ROW($W$12))&amp;":M"&amp;(ROW()))))-SUM(INDIRECT("W"&amp;(MAX((1=S$12:S1466)*ROW(S$12:S1466),ROW($W$12))&amp;":W"&amp;(ROW()-1)))))
)
)</f>
        <v>0</v>
      </c>
      <c r="X1467" s="55">
        <f t="shared" ca="1" si="268"/>
        <v>0</v>
      </c>
      <c r="Y1467" s="101">
        <f t="shared" ca="1" si="275"/>
        <v>0</v>
      </c>
      <c r="Z1467" s="133" t="str">
        <f>IF(TYPE((VLOOKUP(Первоначальный[[#This Row],[Дата платежа]],График[Срок конец],1,0)))=16,"",1)</f>
        <v/>
      </c>
      <c r="AA1467" s="57"/>
      <c r="AB1467" s="134"/>
      <c r="AC146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6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104365.29000000024</v>
      </c>
      <c r="AE146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9195.2900000000172</v>
      </c>
      <c r="AF146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6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452710.46496885293</v>
      </c>
      <c r="AH1467" s="55"/>
      <c r="AI1467" s="55"/>
      <c r="AJ1467" s="55"/>
      <c r="AK1467" s="101">
        <f t="shared" ca="1" si="276"/>
        <v>715904.38496885321</v>
      </c>
      <c r="AL1467" s="129">
        <f t="array" ref="AL1467">MAX((УслРестрактов[Характеристика]="Дата реструктуризации")*(УслРестрактов[Значение]=Первоначальный!$A1467),0)</f>
        <v>0</v>
      </c>
    </row>
    <row r="1468" spans="1:38" x14ac:dyDescent="0.25">
      <c r="A1468" s="97">
        <f t="shared" si="269"/>
        <v>45599</v>
      </c>
      <c r="B1468" s="100">
        <f t="shared" ca="1" si="270"/>
        <v>149633.34</v>
      </c>
      <c r="C1468" s="55">
        <f t="shared" ca="1" si="266"/>
        <v>104365.29000000024</v>
      </c>
      <c r="D1468" s="55">
        <f t="shared" ca="1" si="266"/>
        <v>9195.2900000000172</v>
      </c>
      <c r="E1468" s="55">
        <f t="shared" ca="1" si="271"/>
        <v>0</v>
      </c>
      <c r="F1468" s="55">
        <f t="shared" ca="1" si="272"/>
        <v>452710.46496885293</v>
      </c>
      <c r="G1468" s="101">
        <f t="shared" ca="1" si="273"/>
        <v>715904.38496885321</v>
      </c>
      <c r="H1468" s="100">
        <f ca="1">ROUND($B1468*VLOOKUP($A1468,$A$1:$B$10,2,1)/(365+IF(MOD(YEAR($A1468),4),0,1)*($A1468-$A1467)),2)-Первоначальный[[#This Row],[Проценты на просроченный платеж по ОД за период]]</f>
        <v>66.36</v>
      </c>
      <c r="I1468" s="55">
        <f t="shared" ca="1" si="274"/>
        <v>15</v>
      </c>
      <c r="J1468" s="55">
        <v>0</v>
      </c>
      <c r="K1468" s="55">
        <f t="shared" ca="1" si="277"/>
        <v>651.75850327868852</v>
      </c>
      <c r="L1468" s="55">
        <v>0</v>
      </c>
      <c r="M1468" s="113">
        <f>SUMIFS(График[Возврат основной суммы долга],График[Дата с учетом нерабочих дней],$A1468)</f>
        <v>0</v>
      </c>
      <c r="N1468" s="56">
        <f>SUMIFS(График[Возврат начисленных %],График[Дата с учетом нерабочих дней],$A1468)</f>
        <v>0</v>
      </c>
      <c r="O1468" s="101">
        <v>0</v>
      </c>
      <c r="P1468" s="100" cm="1">
        <f t="array" aca="1" ref="P1468" ca="1">MAX(IF(AA1467="Да",0,SUM(INDIRECT("M"&amp;(MAX(("Да"=AA$12:AA1467)*ROW(AA$12:AA1467)+1,ROW($P$12))&amp;":M"&amp;(ROW()))))-SUM(INDIRECT("W"&amp;(MAX(("Да"=AA$12:AA1467)*ROW(AA$12:AA1467)+1,ROW($P$12))&amp;":W"&amp;(ROW()))))),0)</f>
        <v>27584.94</v>
      </c>
      <c r="Q1468" s="99">
        <f ca="1">MAX(SUM($N$13:N1468)-SUM($T$13:T1468),0)</f>
        <v>102766.7606557377</v>
      </c>
      <c r="R1468" s="99">
        <f ca="1">Первоначальный[[#This Row],[Просроченный платеж по ОД]]+Первоначальный[[#This Row],[Просроченный платеж по процентам]]</f>
        <v>130351.7006557377</v>
      </c>
      <c r="S1468" s="120">
        <f ca="1">IF(Первоначальный[[#This Row],[Просроченный платеж]]&lt;1,0,S1467+1)</f>
        <v>1364</v>
      </c>
      <c r="T1468" s="100" cm="1">
        <f t="array" aca="1" ref="T1468" ca="1">IF(Первоначальный[[#This Row],[Итого остаток на начало периода]]&lt;1,0,
IF(
AND(TYPE(VLOOKUP(1,$Z$12:Z1468,1,0))=16,Первоначальный[[#This Row],[Досрочное погашение (да/"")]]=""),0,
_xlfn.IFS(AND(S1467=0,Первоначальный[[#This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платеж]]&lt;&gt;0),MIN(LOOKUP(,-1/($Z$12:Z1468=1),$C$12:C1468)+LOOKUP(,-1/($Z$12:Z1468=1),$H$12:H1468),Первоначальный[[#This Row],[Полученный платеж]]+Y1467),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платеж]]+Y1467,SUM(Первоначальный[[#This Row],[Остаток процентов на начало периода]],Первоначальный[[#This Row],[Проценты за период]])),
AND(S1467=0,Первоначальный[[#This Row],[Дата платежа из графика]]=""),0,
AND(S1467=0,Первоначальный[[#This Row],[Дата платежа из графика]]=1,MAX((0&lt;&gt;S$12:S1467)*ROW(S$12:S1467),ROW($S$12))&gt;=MAX((1=Z$12:Z1467)*ROW(Z$12:Z1467),ROW($T$12)),TYPE(VLOOKUP("Да",(INDIRECT("AA"&amp;(MAX((1=Z$12:Z1467)*ROW(Z$12:Z1467),ROW($T$12))&amp;":AA"&amp;(ROW()-1)))),1,0))=16),MIN(LOOKUP(,-1/($Z$12:Z1468=1),$C$12:C1468)+LOOKUP(,-1/($Z$12:Z1468=1),$H$12:H1468),Первоначальный[[#This Row],[Полученный платеж]]+Y1467),
AND(S1467=0,TYPE(VLOOKUP("Да",(INDIRECT("AA"&amp;(MAX((1=Z$12:Z1467)*ROW(Z$12:Z1467),ROW($T$12))&amp;":AA"&amp;(ROW()-1)))),1,0))&lt;&gt;16),MIN(LOOKUP(,-1/($Z$12:Z1468=1),$C$12:C1468)+LOOKUP(,-1/($Z$12:Z1468=1),$H$12:H1468)-IF(AA1467="Да",0,SUM(INDIRECT("T"&amp;(MAX(("Да"=AA$12:AA1467)*ROW(AA$12:AA1467)+1,ROW($T$12))&amp;":T"&amp;(ROW()-1))))),Первоначальный[[#This Row],[Полученный платеж]]+Y1467),
AND(S1467=0,MAX((0&lt;&gt;N$12:N1467)*ROW(N$12:N1467),ROW($S$12))&gt;=MAX((1=Z$12:Z1467)*ROW(Z$12:Z1467),ROW($T$12))),MIN(LOOKUP(,-1/($Z$12:Z1468=1),$C$12:C1468)+LOOKUP(,-1/($Z$12:Z1468=1),$H$12:H1468)-IF(N1467&lt;&gt;0,0,SUM(INDIRECT("T"&amp;(MAX((0&lt;&gt;N$12:N1467)*ROW(N$12:N1467)+1,ROW($T$12))&amp;":T"&amp;(ROW()-1))))),Первоначальный[[#This Row],[Полученный платеж]]+Y1467),
AND(S1467=0,Первоначальный[[#This Row],[Дата платежа из графика]]=1),MIN(LOOKUP(,-1/($Z$12:Z1468=1),$C$12:C1468)+LOOKUP(,-1/($Z$12:Z1468=1),$H$12:H1468)-IF(Z1467=1,0,SUM(INDIRECT("T"&amp;(MAX((1=Z$12:Z1467)*ROW(Z$12:Z1467)+1,ROW($T$12))&amp;":T"&amp;(ROW()-1))))),Первоначальный[[#This Row],[Полученный платеж]]+Y1467),
AND(Z1467&gt;0,Первоначальный[[#This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платеж]]+Y1467),
AND(S1467&gt;0,MAX((0&lt;&gt;S$12:S1467)*ROW(S$12:S1467),ROW($S$12))&gt;=MAX((1=Z$12:Z1467)*ROW(Z$12:Z1467),ROW($T$12)),TYPE(VLOOKUP("Да",(INDIRECT("AA"&amp;(MAX((1=Z$12:Z1467)*ROW(Z$12:Z1467),ROW($T$12))&amp;":AA"&amp;(ROW()-1)))),1,0))=16),MIN(LOOKUP(,-1/($Z$12:Z1468=1),$C$12:C1468)+LOOKUP(,-1/($Z$12:Z1468=1),$H$12:H1468)-SUM(INDIRECT("T"&amp;(MAX((1=Z$12:Z1467)*ROW(Z$12:Z1467),ROW($T$12))&amp;":T"&amp;(ROW()-1)))),Первоначальный[[#This Row],[Полученный платеж]]+Y1467),
S1467&gt;0,MIN(LOOKUP(,-1/($Z$12:Z1468=1),$C$12:C1468)+LOOKUP(,-1/($Z$12:Z1468=1),$H$12:H1468)-IF(Z1467=1,0,SUM(INDIRECT("T"&amp;(MAX((1=Z$12:Z1467)*ROW(Z$12:Z1467)+1,ROW($T$12))&amp;":T"&amp;(ROW()-1))))),Первоначальный[[#This Row],[Полученный платеж]]+Y1467)
)
)
)</f>
        <v>0</v>
      </c>
      <c r="U146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платеж]]+Y1467-Первоначальный[[#This Row],[Полученный платёж по процентам]])</f>
        <v>0</v>
      </c>
      <c r="V1468" s="55">
        <f t="shared" ca="1" si="267"/>
        <v>0</v>
      </c>
      <c r="W1468" s="55" cm="1">
        <f t="array" aca="1" ref="W1468" ca="1">IF(Первоначальный[[#This Row],[Итого остаток на начало периода]]&lt;1,0,
_xlfn.IFS(
AND(TYPE(VLOOKUP(1,$Z$12:Z1468,1,0))=16,Первоначальный[[#This Row],[Досрочное погашение (да/"")]]=""),0,
AND(S1467=0,Первоначальный[[#This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платеж]]+Y1467-SUM(Первоначальный[[#This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комиссиям]]),VLOOKUP(LOOKUP(,-1/($Z$12:Z1468=1),$A$12:A1468),График[[Срок конец]:[Возврат основной суммы долга]],3,0)),
AND(S1467=0,Первоначальный[[#This Row],[Дата платежа из графика]]="",Первоначальный[[#This Row],[Досрочное погашение (да/"")]]&lt;&gt;"Да"),0,
AND(S1467=0,Первоначальный[[#This Row],[Досрочное погашение (да/"")]]=""),MIN(Первоначальный[[#This Row],[Полученный платеж]]+Y1467-SUM(Первоначальный[[#This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комиссиям]]),VLOOKUP(LOOKUP(,-1/($Z$12:Z1468=1),$A$12:A1468),График[[Срок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платеж]]+Y1467-SUM(Первоначальный[[#This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S1467&gt;0,MIN(Первоначальный[[#This Row],[Полученный платеж]]+Y1467-SUM(Первоначальный[[#This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комиссиям]]),SUM(INDIRECT("M"&amp;(MAX((1=S$12:S1467)*ROW(S$12:S1467),ROW($W$12))&amp;":M"&amp;(ROW()))))-SUM(INDIRECT("W"&amp;(MAX((1=S$12:S1467)*ROW(S$12:S1467),ROW($W$12))&amp;":W"&amp;(ROW()-1)))))
)
)</f>
        <v>0</v>
      </c>
      <c r="X1468" s="55">
        <f t="shared" ca="1" si="268"/>
        <v>0</v>
      </c>
      <c r="Y1468" s="101">
        <f t="shared" ca="1" si="275"/>
        <v>0</v>
      </c>
      <c r="Z1468" s="133" t="str">
        <f>IF(TYPE((VLOOKUP(Первоначальный[[#This Row],[Дата платежа]],График[Срок конец],1,0)))=16,"",1)</f>
        <v/>
      </c>
      <c r="AA1468" s="57"/>
      <c r="AB1468" s="134"/>
      <c r="AC146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6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104431.65000000024</v>
      </c>
      <c r="AE146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9210.2900000000172</v>
      </c>
      <c r="AF146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6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453362.22347213165</v>
      </c>
      <c r="AH1468" s="55"/>
      <c r="AI1468" s="55"/>
      <c r="AJ1468" s="55"/>
      <c r="AK1468" s="101">
        <f t="shared" ca="1" si="276"/>
        <v>716637.50347213191</v>
      </c>
      <c r="AL1468" s="129">
        <f t="array" ref="AL1468">MAX((УслРестрактов[Характеристика]="Дата реструктуризации")*(УслРестрактов[Значение]=Первоначальный!$A1468),0)</f>
        <v>0</v>
      </c>
    </row>
    <row r="1469" spans="1:38" x14ac:dyDescent="0.25">
      <c r="A1469" s="97">
        <f t="shared" si="269"/>
        <v>45600</v>
      </c>
      <c r="B1469" s="100">
        <f t="shared" ca="1" si="270"/>
        <v>149633.34</v>
      </c>
      <c r="C1469" s="55">
        <f t="shared" ca="1" si="266"/>
        <v>104431.65000000024</v>
      </c>
      <c r="D1469" s="55">
        <f t="shared" ca="1" si="266"/>
        <v>9210.2900000000172</v>
      </c>
      <c r="E1469" s="55">
        <f t="shared" ca="1" si="271"/>
        <v>0</v>
      </c>
      <c r="F1469" s="55">
        <f t="shared" ca="1" si="272"/>
        <v>453362.22347213165</v>
      </c>
      <c r="G1469" s="101">
        <f t="shared" ca="1" si="273"/>
        <v>716637.50347213191</v>
      </c>
      <c r="H1469" s="100">
        <f ca="1">ROUND($B1469*VLOOKUP($A1469,$A$1:$B$10,2,1)/(365+IF(MOD(YEAR($A1469),4),0,1)*($A1469-$A1468)),2)-Первоначальный[[#This Row],[Проценты на просроченный платеж по ОД за период]]</f>
        <v>66.36</v>
      </c>
      <c r="I1469" s="55">
        <f t="shared" ca="1" si="274"/>
        <v>15</v>
      </c>
      <c r="J1469" s="55">
        <v>0</v>
      </c>
      <c r="K1469" s="55">
        <f t="shared" ca="1" si="277"/>
        <v>651.75850327868852</v>
      </c>
      <c r="L1469" s="55">
        <v>0</v>
      </c>
      <c r="M1469" s="113">
        <f>SUMIFS(График[Возврат основной суммы долга],График[Дата с учетом нерабочих дней],$A1469)</f>
        <v>0</v>
      </c>
      <c r="N1469" s="56">
        <f>SUMIFS(График[Возврат начисленных %],График[Дата с учетом нерабочих дней],$A1469)</f>
        <v>0</v>
      </c>
      <c r="O1469" s="101">
        <v>0</v>
      </c>
      <c r="P1469" s="100" cm="1">
        <f t="array" aca="1" ref="P1469" ca="1">MAX(IF(AA1468="Да",0,SUM(INDIRECT("M"&amp;(MAX(("Да"=AA$12:AA1468)*ROW(AA$12:AA1468)+1,ROW($P$12))&amp;":M"&amp;(ROW()))))-SUM(INDIRECT("W"&amp;(MAX(("Да"=AA$12:AA1468)*ROW(AA$12:AA1468)+1,ROW($P$12))&amp;":W"&amp;(ROW()))))),0)</f>
        <v>27584.94</v>
      </c>
      <c r="Q1469" s="99">
        <f ca="1">MAX(SUM($N$13:N1469)-SUM($T$13:T1469),0)</f>
        <v>102766.7606557377</v>
      </c>
      <c r="R1469" s="99">
        <f ca="1">Первоначальный[[#This Row],[Просроченный платеж по ОД]]+Первоначальный[[#This Row],[Просроченный платеж по процентам]]</f>
        <v>130351.7006557377</v>
      </c>
      <c r="S1469" s="120">
        <f ca="1">IF(Первоначальный[[#This Row],[Просроченный платеж]]&lt;1,0,S1468+1)</f>
        <v>1365</v>
      </c>
      <c r="T1469" s="100" cm="1">
        <f t="array" aca="1" ref="T1469" ca="1">IF(Первоначальный[[#This Row],[Итого остаток на начало периода]]&lt;1,0,
IF(
AND(TYPE(VLOOKUP(1,$Z$12:Z1469,1,0))=16,Первоначальный[[#This Row],[Досрочное погашение (да/"")]]=""),0,
_xlfn.IFS(AND(S1468=0,Первоначальный[[#This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платеж]]&lt;&gt;0),MIN(LOOKUP(,-1/($Z$12:Z1469=1),$C$12:C1469)+LOOKUP(,-1/($Z$12:Z1469=1),$H$12:H1469),Первоначальный[[#This Row],[Полученный платеж]]+Y1468),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платеж]]+Y1468,SUM(Первоначальный[[#This Row],[Остаток процентов на начало периода]],Первоначальный[[#This Row],[Проценты за период]])),
AND(S1468=0,Первоначальный[[#This Row],[Дата платежа из графика]]=""),0,
AND(S1468=0,Первоначальный[[#This Row],[Дата платежа из графика]]=1,MAX((0&lt;&gt;S$12:S1468)*ROW(S$12:S1468),ROW($S$12))&gt;=MAX((1=Z$12:Z1468)*ROW(Z$12:Z1468),ROW($T$12)),TYPE(VLOOKUP("Да",(INDIRECT("AA"&amp;(MAX((1=Z$12:Z1468)*ROW(Z$12:Z1468),ROW($T$12))&amp;":AA"&amp;(ROW()-1)))),1,0))=16),MIN(LOOKUP(,-1/($Z$12:Z1469=1),$C$12:C1469)+LOOKUP(,-1/($Z$12:Z1469=1),$H$12:H1469),Первоначальный[[#This Row],[Полученный платеж]]+Y1468),
AND(S1468=0,TYPE(VLOOKUP("Да",(INDIRECT("AA"&amp;(MAX((1=Z$12:Z1468)*ROW(Z$12:Z1468),ROW($T$12))&amp;":AA"&amp;(ROW()-1)))),1,0))&lt;&gt;16),MIN(LOOKUP(,-1/($Z$12:Z1469=1),$C$12:C1469)+LOOKUP(,-1/($Z$12:Z1469=1),$H$12:H1469)-IF(AA1468="Да",0,SUM(INDIRECT("T"&amp;(MAX(("Да"=AA$12:AA1468)*ROW(AA$12:AA1468)+1,ROW($T$12))&amp;":T"&amp;(ROW()-1))))),Первоначальный[[#This Row],[Полученный платеж]]+Y1468),
AND(S1468=0,MAX((0&lt;&gt;N$12:N1468)*ROW(N$12:N1468),ROW($S$12))&gt;=MAX((1=Z$12:Z1468)*ROW(Z$12:Z1468),ROW($T$12))),MIN(LOOKUP(,-1/($Z$12:Z1469=1),$C$12:C1469)+LOOKUP(,-1/($Z$12:Z1469=1),$H$12:H1469)-IF(N1468&lt;&gt;0,0,SUM(INDIRECT("T"&amp;(MAX((0&lt;&gt;N$12:N1468)*ROW(N$12:N1468)+1,ROW($T$12))&amp;":T"&amp;(ROW()-1))))),Первоначальный[[#This Row],[Полученный платеж]]+Y1468),
AND(S1468=0,Первоначальный[[#This Row],[Дата платежа из графика]]=1),MIN(LOOKUP(,-1/($Z$12:Z1469=1),$C$12:C1469)+LOOKUP(,-1/($Z$12:Z1469=1),$H$12:H1469)-IF(Z1468=1,0,SUM(INDIRECT("T"&amp;(MAX((1=Z$12:Z1468)*ROW(Z$12:Z1468)+1,ROW($T$12))&amp;":T"&amp;(ROW()-1))))),Первоначальный[[#This Row],[Полученный платеж]]+Y1468),
AND(Z1468&gt;0,Первоначальный[[#This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платеж]]+Y1468),
AND(S1468&gt;0,MAX((0&lt;&gt;S$12:S1468)*ROW(S$12:S1468),ROW($S$12))&gt;=MAX((1=Z$12:Z1468)*ROW(Z$12:Z1468),ROW($T$12)),TYPE(VLOOKUP("Да",(INDIRECT("AA"&amp;(MAX((1=Z$12:Z1468)*ROW(Z$12:Z1468),ROW($T$12))&amp;":AA"&amp;(ROW()-1)))),1,0))=16),MIN(LOOKUP(,-1/($Z$12:Z1469=1),$C$12:C1469)+LOOKUP(,-1/($Z$12:Z1469=1),$H$12:H1469)-SUM(INDIRECT("T"&amp;(MAX((1=Z$12:Z1468)*ROW(Z$12:Z1468),ROW($T$12))&amp;":T"&amp;(ROW()-1)))),Первоначальный[[#This Row],[Полученный платеж]]+Y1468),
S1468&gt;0,MIN(LOOKUP(,-1/($Z$12:Z1469=1),$C$12:C1469)+LOOKUP(,-1/($Z$12:Z1469=1),$H$12:H1469)-IF(Z1468=1,0,SUM(INDIRECT("T"&amp;(MAX((1=Z$12:Z1468)*ROW(Z$12:Z1468)+1,ROW($T$12))&amp;":T"&amp;(ROW()-1))))),Первоначальный[[#This Row],[Полученный платеж]]+Y1468)
)
)
)</f>
        <v>0</v>
      </c>
      <c r="U146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платеж]]+Y1468-Первоначальный[[#This Row],[Полученный платёж по процентам]])</f>
        <v>0</v>
      </c>
      <c r="V1469" s="55">
        <f t="shared" ca="1" si="267"/>
        <v>0</v>
      </c>
      <c r="W1469" s="55" cm="1">
        <f t="array" aca="1" ref="W1469" ca="1">IF(Первоначальный[[#This Row],[Итого остаток на начало периода]]&lt;1,0,
_xlfn.IFS(
AND(TYPE(VLOOKUP(1,$Z$12:Z1469,1,0))=16,Первоначальный[[#This Row],[Досрочное погашение (да/"")]]=""),0,
AND(S1468=0,Первоначальный[[#This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платеж]]+Y1468-SUM(Первоначальный[[#This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комиссиям]]),VLOOKUP(LOOKUP(,-1/($Z$12:Z1469=1),$A$12:A1469),График[[Срок конец]:[Возврат основной суммы долга]],3,0)),
AND(S1468=0,Первоначальный[[#This Row],[Дата платежа из графика]]="",Первоначальный[[#This Row],[Досрочное погашение (да/"")]]&lt;&gt;"Да"),0,
AND(S1468=0,Первоначальный[[#This Row],[Досрочное погашение (да/"")]]=""),MIN(Первоначальный[[#This Row],[Полученный платеж]]+Y1468-SUM(Первоначальный[[#This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комиссиям]]),VLOOKUP(LOOKUP(,-1/($Z$12:Z1469=1),$A$12:A1469),График[[Срок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платеж]]+Y1468-SUM(Первоначальный[[#This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S1468&gt;0,MIN(Первоначальный[[#This Row],[Полученный платеж]]+Y1468-SUM(Первоначальный[[#This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комиссиям]]),SUM(INDIRECT("M"&amp;(MAX((1=S$12:S1468)*ROW(S$12:S1468),ROW($W$12))&amp;":M"&amp;(ROW()))))-SUM(INDIRECT("W"&amp;(MAX((1=S$12:S1468)*ROW(S$12:S1468),ROW($W$12))&amp;":W"&amp;(ROW()-1)))))
)
)</f>
        <v>0</v>
      </c>
      <c r="X1469" s="55">
        <f t="shared" ca="1" si="268"/>
        <v>0</v>
      </c>
      <c r="Y1469" s="101">
        <f t="shared" ca="1" si="275"/>
        <v>0</v>
      </c>
      <c r="Z1469" s="133" t="str">
        <f>IF(TYPE((VLOOKUP(Первоначальный[[#This Row],[Дата платежа]],График[Срок конец],1,0)))=16,"",1)</f>
        <v/>
      </c>
      <c r="AA1469" s="57"/>
      <c r="AB1469" s="134"/>
      <c r="AC146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6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104498.01000000024</v>
      </c>
      <c r="AE146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9225.2900000000172</v>
      </c>
      <c r="AF146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6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454013.98197541037</v>
      </c>
      <c r="AH1469" s="55"/>
      <c r="AI1469" s="55"/>
      <c r="AJ1469" s="55"/>
      <c r="AK1469" s="101">
        <f t="shared" ca="1" si="276"/>
        <v>717370.62197541061</v>
      </c>
      <c r="AL1469" s="129">
        <f t="array" ref="AL1469">MAX((УслРестрактов[Характеристика]="Дата реструктуризации")*(УслРестрактов[Значение]=Первоначальный!$A1469),0)</f>
        <v>0</v>
      </c>
    </row>
    <row r="1470" spans="1:38" x14ac:dyDescent="0.25">
      <c r="A1470" s="97">
        <f t="shared" si="269"/>
        <v>45601</v>
      </c>
      <c r="B1470" s="100">
        <f t="shared" ca="1" si="270"/>
        <v>149633.34</v>
      </c>
      <c r="C1470" s="55">
        <f t="shared" ca="1" si="266"/>
        <v>104498.01000000024</v>
      </c>
      <c r="D1470" s="55">
        <f t="shared" ca="1" si="266"/>
        <v>9225.2900000000172</v>
      </c>
      <c r="E1470" s="55">
        <f t="shared" ca="1" si="271"/>
        <v>0</v>
      </c>
      <c r="F1470" s="55">
        <f t="shared" ca="1" si="272"/>
        <v>454013.98197541037</v>
      </c>
      <c r="G1470" s="101">
        <f t="shared" ca="1" si="273"/>
        <v>717370.62197541061</v>
      </c>
      <c r="H1470" s="100">
        <f ca="1">ROUND($B1470*VLOOKUP($A1470,$A$1:$B$10,2,1)/(365+IF(MOD(YEAR($A1470),4),0,1)*($A1470-$A1469)),2)-Первоначальный[[#This Row],[Проценты на просроченный платеж по ОД за период]]</f>
        <v>66.36</v>
      </c>
      <c r="I1470" s="55">
        <f t="shared" ca="1" si="274"/>
        <v>15</v>
      </c>
      <c r="J1470" s="55">
        <v>0</v>
      </c>
      <c r="K1470" s="55">
        <f t="shared" ca="1" si="277"/>
        <v>651.75850327868852</v>
      </c>
      <c r="L1470" s="55">
        <v>0</v>
      </c>
      <c r="M1470" s="113">
        <f>SUMIFS(График[Возврат основной суммы долга],График[Дата с учетом нерабочих дней],$A1470)</f>
        <v>0</v>
      </c>
      <c r="N1470" s="56">
        <f>SUMIFS(График[Возврат начисленных %],График[Дата с учетом нерабочих дней],$A1470)</f>
        <v>0</v>
      </c>
      <c r="O1470" s="101">
        <v>0</v>
      </c>
      <c r="P1470" s="100" cm="1">
        <f t="array" aca="1" ref="P1470" ca="1">MAX(IF(AA1469="Да",0,SUM(INDIRECT("M"&amp;(MAX(("Да"=AA$12:AA1469)*ROW(AA$12:AA1469)+1,ROW($P$12))&amp;":M"&amp;(ROW()))))-SUM(INDIRECT("W"&amp;(MAX(("Да"=AA$12:AA1469)*ROW(AA$12:AA1469)+1,ROW($P$12))&amp;":W"&amp;(ROW()))))),0)</f>
        <v>27584.94</v>
      </c>
      <c r="Q1470" s="99">
        <f ca="1">MAX(SUM($N$13:N1470)-SUM($T$13:T1470),0)</f>
        <v>102766.7606557377</v>
      </c>
      <c r="R1470" s="99">
        <f ca="1">Первоначальный[[#This Row],[Просроченный платеж по ОД]]+Первоначальный[[#This Row],[Просроченный платеж по процентам]]</f>
        <v>130351.7006557377</v>
      </c>
      <c r="S1470" s="120">
        <f ca="1">IF(Первоначальный[[#This Row],[Просроченный платеж]]&lt;1,0,S1469+1)</f>
        <v>1366</v>
      </c>
      <c r="T1470" s="100" cm="1">
        <f t="array" aca="1" ref="T1470" ca="1">IF(Первоначальный[[#This Row],[Итого остаток на начало периода]]&lt;1,0,
IF(
AND(TYPE(VLOOKUP(1,$Z$12:Z1470,1,0))=16,Первоначальный[[#This Row],[Досрочное погашение (да/"")]]=""),0,
_xlfn.IFS(AND(S1469=0,Первоначальный[[#This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платеж]]&lt;&gt;0),MIN(LOOKUP(,-1/($Z$12:Z1470=1),$C$12:C1470)+LOOKUP(,-1/($Z$12:Z1470=1),$H$12:H1470),Первоначальный[[#This Row],[Полученный платеж]]+Y1469),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платеж]]+Y1469,SUM(Первоначальный[[#This Row],[Остаток процентов на начало периода]],Первоначальный[[#This Row],[Проценты за период]])),
AND(S1469=0,Первоначальный[[#This Row],[Дата платежа из графика]]=""),0,
AND(S1469=0,Первоначальный[[#This Row],[Дата платежа из графика]]=1,MAX((0&lt;&gt;S$12:S1469)*ROW(S$12:S1469),ROW($S$12))&gt;=MAX((1=Z$12:Z1469)*ROW(Z$12:Z1469),ROW($T$12)),TYPE(VLOOKUP("Да",(INDIRECT("AA"&amp;(MAX((1=Z$12:Z1469)*ROW(Z$12:Z1469),ROW($T$12))&amp;":AA"&amp;(ROW()-1)))),1,0))=16),MIN(LOOKUP(,-1/($Z$12:Z1470=1),$C$12:C1470)+LOOKUP(,-1/($Z$12:Z1470=1),$H$12:H1470),Первоначальный[[#This Row],[Полученный платеж]]+Y1469),
AND(S1469=0,TYPE(VLOOKUP("Да",(INDIRECT("AA"&amp;(MAX((1=Z$12:Z1469)*ROW(Z$12:Z1469),ROW($T$12))&amp;":AA"&amp;(ROW()-1)))),1,0))&lt;&gt;16),MIN(LOOKUP(,-1/($Z$12:Z1470=1),$C$12:C1470)+LOOKUP(,-1/($Z$12:Z1470=1),$H$12:H1470)-IF(AA1469="Да",0,SUM(INDIRECT("T"&amp;(MAX(("Да"=AA$12:AA1469)*ROW(AA$12:AA1469)+1,ROW($T$12))&amp;":T"&amp;(ROW()-1))))),Первоначальный[[#This Row],[Полученный платеж]]+Y1469),
AND(S1469=0,MAX((0&lt;&gt;N$12:N1469)*ROW(N$12:N1469),ROW($S$12))&gt;=MAX((1=Z$12:Z1469)*ROW(Z$12:Z1469),ROW($T$12))),MIN(LOOKUP(,-1/($Z$12:Z1470=1),$C$12:C1470)+LOOKUP(,-1/($Z$12:Z1470=1),$H$12:H1470)-IF(N1469&lt;&gt;0,0,SUM(INDIRECT("T"&amp;(MAX((0&lt;&gt;N$12:N1469)*ROW(N$12:N1469)+1,ROW($T$12))&amp;":T"&amp;(ROW()-1))))),Первоначальный[[#This Row],[Полученный платеж]]+Y1469),
AND(S1469=0,Первоначальный[[#This Row],[Дата платежа из графика]]=1),MIN(LOOKUP(,-1/($Z$12:Z1470=1),$C$12:C1470)+LOOKUP(,-1/($Z$12:Z1470=1),$H$12:H1470)-IF(Z1469=1,0,SUM(INDIRECT("T"&amp;(MAX((1=Z$12:Z1469)*ROW(Z$12:Z1469)+1,ROW($T$12))&amp;":T"&amp;(ROW()-1))))),Первоначальный[[#This Row],[Полученный платеж]]+Y1469),
AND(Z1469&gt;0,Первоначальный[[#This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платеж]]+Y1469),
AND(S1469&gt;0,MAX((0&lt;&gt;S$12:S1469)*ROW(S$12:S1469),ROW($S$12))&gt;=MAX((1=Z$12:Z1469)*ROW(Z$12:Z1469),ROW($T$12)),TYPE(VLOOKUP("Да",(INDIRECT("AA"&amp;(MAX((1=Z$12:Z1469)*ROW(Z$12:Z1469),ROW($T$12))&amp;":AA"&amp;(ROW()-1)))),1,0))=16),MIN(LOOKUP(,-1/($Z$12:Z1470=1),$C$12:C1470)+LOOKUP(,-1/($Z$12:Z1470=1),$H$12:H1470)-SUM(INDIRECT("T"&amp;(MAX((1=Z$12:Z1469)*ROW(Z$12:Z1469),ROW($T$12))&amp;":T"&amp;(ROW()-1)))),Первоначальный[[#This Row],[Полученный платеж]]+Y1469),
S1469&gt;0,MIN(LOOKUP(,-1/($Z$12:Z1470=1),$C$12:C1470)+LOOKUP(,-1/($Z$12:Z1470=1),$H$12:H1470)-IF(Z1469=1,0,SUM(INDIRECT("T"&amp;(MAX((1=Z$12:Z1469)*ROW(Z$12:Z1469)+1,ROW($T$12))&amp;":T"&amp;(ROW()-1))))),Первоначальный[[#This Row],[Полученный платеж]]+Y1469)
)
)
)</f>
        <v>0</v>
      </c>
      <c r="U147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платеж]]+Y1469-Первоначальный[[#This Row],[Полученный платёж по процентам]])</f>
        <v>0</v>
      </c>
      <c r="V1470" s="55">
        <f t="shared" ca="1" si="267"/>
        <v>0</v>
      </c>
      <c r="W1470" s="55" cm="1">
        <f t="array" aca="1" ref="W1470" ca="1">IF(Первоначальный[[#This Row],[Итого остаток на начало периода]]&lt;1,0,
_xlfn.IFS(
AND(TYPE(VLOOKUP(1,$Z$12:Z1470,1,0))=16,Первоначальный[[#This Row],[Досрочное погашение (да/"")]]=""),0,
AND(S1469=0,Первоначальный[[#This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платеж]]+Y1469-SUM(Первоначальный[[#This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комиссиям]]),VLOOKUP(LOOKUP(,-1/($Z$12:Z1470=1),$A$12:A1470),График[[Срок конец]:[Возврат основной суммы долга]],3,0)),
AND(S1469=0,Первоначальный[[#This Row],[Дата платежа из графика]]="",Первоначальный[[#This Row],[Досрочное погашение (да/"")]]&lt;&gt;"Да"),0,
AND(S1469=0,Первоначальный[[#This Row],[Досрочное погашение (да/"")]]=""),MIN(Первоначальный[[#This Row],[Полученный платеж]]+Y1469-SUM(Первоначальный[[#This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комиссиям]]),VLOOKUP(LOOKUP(,-1/($Z$12:Z1470=1),$A$12:A1470),График[[Срок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платеж]]+Y1469-SUM(Первоначальный[[#This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S1469&gt;0,MIN(Первоначальный[[#This Row],[Полученный платеж]]+Y1469-SUM(Первоначальный[[#This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комиссиям]]),SUM(INDIRECT("M"&amp;(MAX((1=S$12:S1469)*ROW(S$12:S1469),ROW($W$12))&amp;":M"&amp;(ROW()))))-SUM(INDIRECT("W"&amp;(MAX((1=S$12:S1469)*ROW(S$12:S1469),ROW($W$12))&amp;":W"&amp;(ROW()-1)))))
)
)</f>
        <v>0</v>
      </c>
      <c r="X1470" s="55">
        <f t="shared" ca="1" si="268"/>
        <v>0</v>
      </c>
      <c r="Y1470" s="101">
        <f t="shared" ca="1" si="275"/>
        <v>0</v>
      </c>
      <c r="Z1470" s="133" t="str">
        <f>IF(TYPE((VLOOKUP(Первоначальный[[#This Row],[Дата платежа]],График[Срок конец],1,0)))=16,"",1)</f>
        <v/>
      </c>
      <c r="AA1470" s="57"/>
      <c r="AB1470" s="134"/>
      <c r="AC147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7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104564.37000000024</v>
      </c>
      <c r="AE147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9240.2900000000172</v>
      </c>
      <c r="AF147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7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454665.74047868908</v>
      </c>
      <c r="AH1470" s="55"/>
      <c r="AI1470" s="55"/>
      <c r="AJ1470" s="55"/>
      <c r="AK1470" s="101">
        <f t="shared" ca="1" si="276"/>
        <v>718103.74047868932</v>
      </c>
      <c r="AL1470" s="129">
        <f t="array" ref="AL1470">MAX((УслРестрактов[Характеристика]="Дата реструктуризации")*(УслРестрактов[Значение]=Первоначальный!$A1470),0)</f>
        <v>0</v>
      </c>
    </row>
    <row r="1471" spans="1:38" x14ac:dyDescent="0.25">
      <c r="A1471" s="97">
        <f t="shared" si="269"/>
        <v>45602</v>
      </c>
      <c r="B1471" s="100">
        <f t="shared" ca="1" si="270"/>
        <v>149633.34</v>
      </c>
      <c r="C1471" s="55">
        <f t="shared" ca="1" si="266"/>
        <v>104564.37000000024</v>
      </c>
      <c r="D1471" s="55">
        <f t="shared" ca="1" si="266"/>
        <v>9240.2900000000172</v>
      </c>
      <c r="E1471" s="55">
        <f t="shared" ca="1" si="271"/>
        <v>0</v>
      </c>
      <c r="F1471" s="55">
        <f t="shared" ca="1" si="272"/>
        <v>454665.74047868908</v>
      </c>
      <c r="G1471" s="101">
        <f t="shared" ca="1" si="273"/>
        <v>718103.74047868932</v>
      </c>
      <c r="H1471" s="100">
        <f ca="1">ROUND($B1471*VLOOKUP($A1471,$A$1:$B$10,2,1)/(365+IF(MOD(YEAR($A1471),4),0,1)*($A1471-$A1470)),2)-Первоначальный[[#This Row],[Проценты на просроченный платеж по ОД за период]]</f>
        <v>66.36</v>
      </c>
      <c r="I1471" s="55">
        <f t="shared" ca="1" si="274"/>
        <v>15</v>
      </c>
      <c r="J1471" s="55">
        <v>0</v>
      </c>
      <c r="K1471" s="55">
        <f t="shared" ca="1" si="277"/>
        <v>651.75850327868852</v>
      </c>
      <c r="L1471" s="55">
        <v>0</v>
      </c>
      <c r="M1471" s="113">
        <f>SUMIFS(График[Возврат основной суммы долга],График[Дата с учетом нерабочих дней],$A1471)</f>
        <v>0</v>
      </c>
      <c r="N1471" s="56">
        <f>SUMIFS(График[Возврат начисленных %],График[Дата с учетом нерабочих дней],$A1471)</f>
        <v>0</v>
      </c>
      <c r="O1471" s="101">
        <v>0</v>
      </c>
      <c r="P1471" s="100" cm="1">
        <f t="array" aca="1" ref="P1471" ca="1">MAX(IF(AA1470="Да",0,SUM(INDIRECT("M"&amp;(MAX(("Да"=AA$12:AA1470)*ROW(AA$12:AA1470)+1,ROW($P$12))&amp;":M"&amp;(ROW()))))-SUM(INDIRECT("W"&amp;(MAX(("Да"=AA$12:AA1470)*ROW(AA$12:AA1470)+1,ROW($P$12))&amp;":W"&amp;(ROW()))))),0)</f>
        <v>27584.94</v>
      </c>
      <c r="Q1471" s="99">
        <f ca="1">MAX(SUM($N$13:N1471)-SUM($T$13:T1471),0)</f>
        <v>102766.7606557377</v>
      </c>
      <c r="R1471" s="99">
        <f ca="1">Первоначальный[[#This Row],[Просроченный платеж по ОД]]+Первоначальный[[#This Row],[Просроченный платеж по процентам]]</f>
        <v>130351.7006557377</v>
      </c>
      <c r="S1471" s="120">
        <f ca="1">IF(Первоначальный[[#This Row],[Просроченный платеж]]&lt;1,0,S1470+1)</f>
        <v>1367</v>
      </c>
      <c r="T1471" s="100" cm="1">
        <f t="array" aca="1" ref="T1471" ca="1">IF(Первоначальный[[#This Row],[Итого остаток на начало периода]]&lt;1,0,
IF(
AND(TYPE(VLOOKUP(1,$Z$12:Z1471,1,0))=16,Первоначальный[[#This Row],[Досрочное погашение (да/"")]]=""),0,
_xlfn.IFS(AND(S1470=0,Первоначальный[[#This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платеж]]&lt;&gt;0),MIN(LOOKUP(,-1/($Z$12:Z1471=1),$C$12:C1471)+LOOKUP(,-1/($Z$12:Z1471=1),$H$12:H1471),Первоначальный[[#This Row],[Полученный платеж]]+Y1470),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платеж]]+Y1470,SUM(Первоначальный[[#This Row],[Остаток процентов на начало периода]],Первоначальный[[#This Row],[Проценты за период]])),
AND(S1470=0,Первоначальный[[#This Row],[Дата платежа из графика]]=""),0,
AND(S1470=0,Первоначальный[[#This Row],[Дата платежа из графика]]=1,MAX((0&lt;&gt;S$12:S1470)*ROW(S$12:S1470),ROW($S$12))&gt;=MAX((1=Z$12:Z1470)*ROW(Z$12:Z1470),ROW($T$12)),TYPE(VLOOKUP("Да",(INDIRECT("AA"&amp;(MAX((1=Z$12:Z1470)*ROW(Z$12:Z1470),ROW($T$12))&amp;":AA"&amp;(ROW()-1)))),1,0))=16),MIN(LOOKUP(,-1/($Z$12:Z1471=1),$C$12:C1471)+LOOKUP(,-1/($Z$12:Z1471=1),$H$12:H1471),Первоначальный[[#This Row],[Полученный платеж]]+Y1470),
AND(S1470=0,TYPE(VLOOKUP("Да",(INDIRECT("AA"&amp;(MAX((1=Z$12:Z1470)*ROW(Z$12:Z1470),ROW($T$12))&amp;":AA"&amp;(ROW()-1)))),1,0))&lt;&gt;16),MIN(LOOKUP(,-1/($Z$12:Z1471=1),$C$12:C1471)+LOOKUP(,-1/($Z$12:Z1471=1),$H$12:H1471)-IF(AA1470="Да",0,SUM(INDIRECT("T"&amp;(MAX(("Да"=AA$12:AA1470)*ROW(AA$12:AA1470)+1,ROW($T$12))&amp;":T"&amp;(ROW()-1))))),Первоначальный[[#This Row],[Полученный платеж]]+Y1470),
AND(S1470=0,MAX((0&lt;&gt;N$12:N1470)*ROW(N$12:N1470),ROW($S$12))&gt;=MAX((1=Z$12:Z1470)*ROW(Z$12:Z1470),ROW($T$12))),MIN(LOOKUP(,-1/($Z$12:Z1471=1),$C$12:C1471)+LOOKUP(,-1/($Z$12:Z1471=1),$H$12:H1471)-IF(N1470&lt;&gt;0,0,SUM(INDIRECT("T"&amp;(MAX((0&lt;&gt;N$12:N1470)*ROW(N$12:N1470)+1,ROW($T$12))&amp;":T"&amp;(ROW()-1))))),Первоначальный[[#This Row],[Полученный платеж]]+Y1470),
AND(S1470=0,Первоначальный[[#This Row],[Дата платежа из графика]]=1),MIN(LOOKUP(,-1/($Z$12:Z1471=1),$C$12:C1471)+LOOKUP(,-1/($Z$12:Z1471=1),$H$12:H1471)-IF(Z1470=1,0,SUM(INDIRECT("T"&amp;(MAX((1=Z$12:Z1470)*ROW(Z$12:Z1470)+1,ROW($T$12))&amp;":T"&amp;(ROW()-1))))),Первоначальный[[#This Row],[Полученный платеж]]+Y1470),
AND(Z1470&gt;0,Первоначальный[[#This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платеж]]+Y1470),
AND(S1470&gt;0,MAX((0&lt;&gt;S$12:S1470)*ROW(S$12:S1470),ROW($S$12))&gt;=MAX((1=Z$12:Z1470)*ROW(Z$12:Z1470),ROW($T$12)),TYPE(VLOOKUP("Да",(INDIRECT("AA"&amp;(MAX((1=Z$12:Z1470)*ROW(Z$12:Z1470),ROW($T$12))&amp;":AA"&amp;(ROW()-1)))),1,0))=16),MIN(LOOKUP(,-1/($Z$12:Z1471=1),$C$12:C1471)+LOOKUP(,-1/($Z$12:Z1471=1),$H$12:H1471)-SUM(INDIRECT("T"&amp;(MAX((1=Z$12:Z1470)*ROW(Z$12:Z1470),ROW($T$12))&amp;":T"&amp;(ROW()-1)))),Первоначальный[[#This Row],[Полученный платеж]]+Y1470),
S1470&gt;0,MIN(LOOKUP(,-1/($Z$12:Z1471=1),$C$12:C1471)+LOOKUP(,-1/($Z$12:Z1471=1),$H$12:H1471)-IF(Z1470=1,0,SUM(INDIRECT("T"&amp;(MAX((1=Z$12:Z1470)*ROW(Z$12:Z1470)+1,ROW($T$12))&amp;":T"&amp;(ROW()-1))))),Первоначальный[[#This Row],[Полученный платеж]]+Y1470)
)
)
)</f>
        <v>0</v>
      </c>
      <c r="U147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платеж]]+Y1470-Первоначальный[[#This Row],[Полученный платёж по процентам]])</f>
        <v>0</v>
      </c>
      <c r="V1471" s="55">
        <f t="shared" ca="1" si="267"/>
        <v>0</v>
      </c>
      <c r="W1471" s="55" cm="1">
        <f t="array" aca="1" ref="W1471" ca="1">IF(Первоначальный[[#This Row],[Итого остаток на начало периода]]&lt;1,0,
_xlfn.IFS(
AND(TYPE(VLOOKUP(1,$Z$12:Z1471,1,0))=16,Первоначальный[[#This Row],[Досрочное погашение (да/"")]]=""),0,
AND(S1470=0,Первоначальный[[#This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платеж]]+Y1470-SUM(Первоначальный[[#This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комиссиям]]),VLOOKUP(LOOKUP(,-1/($Z$12:Z1471=1),$A$12:A1471),График[[Срок конец]:[Возврат основной суммы долга]],3,0)),
AND(S1470=0,Первоначальный[[#This Row],[Дата платежа из графика]]="",Первоначальный[[#This Row],[Досрочное погашение (да/"")]]&lt;&gt;"Да"),0,
AND(S1470=0,Первоначальный[[#This Row],[Досрочное погашение (да/"")]]=""),MIN(Первоначальный[[#This Row],[Полученный платеж]]+Y1470-SUM(Первоначальный[[#This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комиссиям]]),VLOOKUP(LOOKUP(,-1/($Z$12:Z1471=1),$A$12:A1471),График[[Срок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платеж]]+Y1470-SUM(Первоначальный[[#This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S1470&gt;0,MIN(Первоначальный[[#This Row],[Полученный платеж]]+Y1470-SUM(Первоначальный[[#This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комиссиям]]),SUM(INDIRECT("M"&amp;(MAX((1=S$12:S1470)*ROW(S$12:S1470),ROW($W$12))&amp;":M"&amp;(ROW()))))-SUM(INDIRECT("W"&amp;(MAX((1=S$12:S1470)*ROW(S$12:S1470),ROW($W$12))&amp;":W"&amp;(ROW()-1)))))
)
)</f>
        <v>0</v>
      </c>
      <c r="X1471" s="55">
        <f t="shared" ca="1" si="268"/>
        <v>0</v>
      </c>
      <c r="Y1471" s="101">
        <f t="shared" ca="1" si="275"/>
        <v>0</v>
      </c>
      <c r="Z1471" s="133" t="str">
        <f>IF(TYPE((VLOOKUP(Первоначальный[[#This Row],[Дата платежа]],График[Срок конец],1,0)))=16,"",1)</f>
        <v/>
      </c>
      <c r="AA1471" s="57"/>
      <c r="AB1471" s="134"/>
      <c r="AC147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7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104630.73000000024</v>
      </c>
      <c r="AE147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9255.2900000000172</v>
      </c>
      <c r="AF147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7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455317.4989819678</v>
      </c>
      <c r="AH1471" s="55"/>
      <c r="AI1471" s="55"/>
      <c r="AJ1471" s="55"/>
      <c r="AK1471" s="101">
        <f t="shared" ca="1" si="276"/>
        <v>718836.85898196814</v>
      </c>
      <c r="AL1471" s="129">
        <f t="array" ref="AL1471">MAX((УслРестрактов[Характеристика]="Дата реструктуризации")*(УслРестрактов[Значение]=Первоначальный!$A1471),0)</f>
        <v>0</v>
      </c>
    </row>
    <row r="1472" spans="1:38" x14ac:dyDescent="0.25">
      <c r="A1472" s="97">
        <f t="shared" si="269"/>
        <v>45603</v>
      </c>
      <c r="B1472" s="100">
        <f t="shared" ca="1" si="270"/>
        <v>149633.34</v>
      </c>
      <c r="C1472" s="55">
        <f t="shared" ca="1" si="266"/>
        <v>104630.73000000024</v>
      </c>
      <c r="D1472" s="55">
        <f t="shared" ca="1" si="266"/>
        <v>9255.2900000000172</v>
      </c>
      <c r="E1472" s="55">
        <f t="shared" ca="1" si="271"/>
        <v>0</v>
      </c>
      <c r="F1472" s="55">
        <f t="shared" ca="1" si="272"/>
        <v>455317.4989819678</v>
      </c>
      <c r="G1472" s="101">
        <f t="shared" ca="1" si="273"/>
        <v>718836.85898196814</v>
      </c>
      <c r="H1472" s="100">
        <f ca="1">ROUND($B1472*VLOOKUP($A1472,$A$1:$B$10,2,1)/(365+IF(MOD(YEAR($A1472),4),0,1)*($A1472-$A1471)),2)-Первоначальный[[#This Row],[Проценты на просроченный платеж по ОД за период]]</f>
        <v>66.36</v>
      </c>
      <c r="I1472" s="55">
        <f t="shared" ca="1" si="274"/>
        <v>15</v>
      </c>
      <c r="J1472" s="55">
        <v>0</v>
      </c>
      <c r="K1472" s="55">
        <f t="shared" ca="1" si="277"/>
        <v>651.75850327868852</v>
      </c>
      <c r="L1472" s="55">
        <v>0</v>
      </c>
      <c r="M1472" s="113">
        <f>SUMIFS(График[Возврат основной суммы долга],График[Дата с учетом нерабочих дней],$A1472)</f>
        <v>0</v>
      </c>
      <c r="N1472" s="56">
        <f>SUMIFS(График[Возврат начисленных %],График[Дата с учетом нерабочих дней],$A1472)</f>
        <v>0</v>
      </c>
      <c r="O1472" s="101">
        <v>0</v>
      </c>
      <c r="P1472" s="100" cm="1">
        <f t="array" aca="1" ref="P1472" ca="1">MAX(IF(AA1471="Да",0,SUM(INDIRECT("M"&amp;(MAX(("Да"=AA$12:AA1471)*ROW(AA$12:AA1471)+1,ROW($P$12))&amp;":M"&amp;(ROW()))))-SUM(INDIRECT("W"&amp;(MAX(("Да"=AA$12:AA1471)*ROW(AA$12:AA1471)+1,ROW($P$12))&amp;":W"&amp;(ROW()))))),0)</f>
        <v>27584.94</v>
      </c>
      <c r="Q1472" s="99">
        <f ca="1">MAX(SUM($N$13:N1472)-SUM($T$13:T1472),0)</f>
        <v>102766.7606557377</v>
      </c>
      <c r="R1472" s="99">
        <f ca="1">Первоначальный[[#This Row],[Просроченный платеж по ОД]]+Первоначальный[[#This Row],[Просроченный платеж по процентам]]</f>
        <v>130351.7006557377</v>
      </c>
      <c r="S1472" s="120">
        <f ca="1">IF(Первоначальный[[#This Row],[Просроченный платеж]]&lt;1,0,S1471+1)</f>
        <v>1368</v>
      </c>
      <c r="T1472" s="100" cm="1">
        <f t="array" aca="1" ref="T1472" ca="1">IF(Первоначальный[[#This Row],[Итого остаток на начало периода]]&lt;1,0,
IF(
AND(TYPE(VLOOKUP(1,$Z$12:Z1472,1,0))=16,Первоначальный[[#This Row],[Досрочное погашение (да/"")]]=""),0,
_xlfn.IFS(AND(S1471=0,Первоначальный[[#This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платеж]]&lt;&gt;0),MIN(LOOKUP(,-1/($Z$12:Z1472=1),$C$12:C1472)+LOOKUP(,-1/($Z$12:Z1472=1),$H$12:H1472),Первоначальный[[#This Row],[Полученный платеж]]+Y1471),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платеж]]+Y1471,SUM(Первоначальный[[#This Row],[Остаток процентов на начало периода]],Первоначальный[[#This Row],[Проценты за период]])),
AND(S1471=0,Первоначальный[[#This Row],[Дата платежа из графика]]=""),0,
AND(S1471=0,Первоначальный[[#This Row],[Дата платежа из графика]]=1,MAX((0&lt;&gt;S$12:S1471)*ROW(S$12:S1471),ROW($S$12))&gt;=MAX((1=Z$12:Z1471)*ROW(Z$12:Z1471),ROW($T$12)),TYPE(VLOOKUP("Да",(INDIRECT("AA"&amp;(MAX((1=Z$12:Z1471)*ROW(Z$12:Z1471),ROW($T$12))&amp;":AA"&amp;(ROW()-1)))),1,0))=16),MIN(LOOKUP(,-1/($Z$12:Z1472=1),$C$12:C1472)+LOOKUP(,-1/($Z$12:Z1472=1),$H$12:H1472),Первоначальный[[#This Row],[Полученный платеж]]+Y1471),
AND(S1471=0,TYPE(VLOOKUP("Да",(INDIRECT("AA"&amp;(MAX((1=Z$12:Z1471)*ROW(Z$12:Z1471),ROW($T$12))&amp;":AA"&amp;(ROW()-1)))),1,0))&lt;&gt;16),MIN(LOOKUP(,-1/($Z$12:Z1472=1),$C$12:C1472)+LOOKUP(,-1/($Z$12:Z1472=1),$H$12:H1472)-IF(AA1471="Да",0,SUM(INDIRECT("T"&amp;(MAX(("Да"=AA$12:AA1471)*ROW(AA$12:AA1471)+1,ROW($T$12))&amp;":T"&amp;(ROW()-1))))),Первоначальный[[#This Row],[Полученный платеж]]+Y1471),
AND(S1471=0,MAX((0&lt;&gt;N$12:N1471)*ROW(N$12:N1471),ROW($S$12))&gt;=MAX((1=Z$12:Z1471)*ROW(Z$12:Z1471),ROW($T$12))),MIN(LOOKUP(,-1/($Z$12:Z1472=1),$C$12:C1472)+LOOKUP(,-1/($Z$12:Z1472=1),$H$12:H1472)-IF(N1471&lt;&gt;0,0,SUM(INDIRECT("T"&amp;(MAX((0&lt;&gt;N$12:N1471)*ROW(N$12:N1471)+1,ROW($T$12))&amp;":T"&amp;(ROW()-1))))),Первоначальный[[#This Row],[Полученный платеж]]+Y1471),
AND(S1471=0,Первоначальный[[#This Row],[Дата платежа из графика]]=1),MIN(LOOKUP(,-1/($Z$12:Z1472=1),$C$12:C1472)+LOOKUP(,-1/($Z$12:Z1472=1),$H$12:H1472)-IF(Z1471=1,0,SUM(INDIRECT("T"&amp;(MAX((1=Z$12:Z1471)*ROW(Z$12:Z1471)+1,ROW($T$12))&amp;":T"&amp;(ROW()-1))))),Первоначальный[[#This Row],[Полученный платеж]]+Y1471),
AND(Z1471&gt;0,Первоначальный[[#This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платеж]]+Y1471),
AND(S1471&gt;0,MAX((0&lt;&gt;S$12:S1471)*ROW(S$12:S1471),ROW($S$12))&gt;=MAX((1=Z$12:Z1471)*ROW(Z$12:Z1471),ROW($T$12)),TYPE(VLOOKUP("Да",(INDIRECT("AA"&amp;(MAX((1=Z$12:Z1471)*ROW(Z$12:Z1471),ROW($T$12))&amp;":AA"&amp;(ROW()-1)))),1,0))=16),MIN(LOOKUP(,-1/($Z$12:Z1472=1),$C$12:C1472)+LOOKUP(,-1/($Z$12:Z1472=1),$H$12:H1472)-SUM(INDIRECT("T"&amp;(MAX((1=Z$12:Z1471)*ROW(Z$12:Z1471),ROW($T$12))&amp;":T"&amp;(ROW()-1)))),Первоначальный[[#This Row],[Полученный платеж]]+Y1471),
S1471&gt;0,MIN(LOOKUP(,-1/($Z$12:Z1472=1),$C$12:C1472)+LOOKUP(,-1/($Z$12:Z1472=1),$H$12:H1472)-IF(Z1471=1,0,SUM(INDIRECT("T"&amp;(MAX((1=Z$12:Z1471)*ROW(Z$12:Z1471)+1,ROW($T$12))&amp;":T"&amp;(ROW()-1))))),Первоначальный[[#This Row],[Полученный платеж]]+Y1471)
)
)
)</f>
        <v>0</v>
      </c>
      <c r="U147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платеж]]+Y1471-Первоначальный[[#This Row],[Полученный платёж по процентам]])</f>
        <v>0</v>
      </c>
      <c r="V1472" s="55">
        <f t="shared" ca="1" si="267"/>
        <v>0</v>
      </c>
      <c r="W1472" s="55" cm="1">
        <f t="array" aca="1" ref="W1472" ca="1">IF(Первоначальный[[#This Row],[Итого остаток на начало периода]]&lt;1,0,
_xlfn.IFS(
AND(TYPE(VLOOKUP(1,$Z$12:Z1472,1,0))=16,Первоначальный[[#This Row],[Досрочное погашение (да/"")]]=""),0,
AND(S1471=0,Первоначальный[[#This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платеж]]+Y1471-SUM(Первоначальный[[#This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комиссиям]]),VLOOKUP(LOOKUP(,-1/($Z$12:Z1472=1),$A$12:A1472),График[[Срок конец]:[Возврат основной суммы долга]],3,0)),
AND(S1471=0,Первоначальный[[#This Row],[Дата платежа из графика]]="",Первоначальный[[#This Row],[Досрочное погашение (да/"")]]&lt;&gt;"Да"),0,
AND(S1471=0,Первоначальный[[#This Row],[Досрочное погашение (да/"")]]=""),MIN(Первоначальный[[#This Row],[Полученный платеж]]+Y1471-SUM(Первоначальный[[#This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комиссиям]]),VLOOKUP(LOOKUP(,-1/($Z$12:Z1472=1),$A$12:A1472),График[[Срок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платеж]]+Y1471-SUM(Первоначальный[[#This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S1471&gt;0,MIN(Первоначальный[[#This Row],[Полученный платеж]]+Y1471-SUM(Первоначальный[[#This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комиссиям]]),SUM(INDIRECT("M"&amp;(MAX((1=S$12:S1471)*ROW(S$12:S1471),ROW($W$12))&amp;":M"&amp;(ROW()))))-SUM(INDIRECT("W"&amp;(MAX((1=S$12:S1471)*ROW(S$12:S1471),ROW($W$12))&amp;":W"&amp;(ROW()-1)))))
)
)</f>
        <v>0</v>
      </c>
      <c r="X1472" s="55">
        <f t="shared" ca="1" si="268"/>
        <v>0</v>
      </c>
      <c r="Y1472" s="101">
        <f t="shared" ca="1" si="275"/>
        <v>0</v>
      </c>
      <c r="Z1472" s="133" t="str">
        <f>IF(TYPE((VLOOKUP(Первоначальный[[#This Row],[Дата платежа]],График[Срок конец],1,0)))=16,"",1)</f>
        <v/>
      </c>
      <c r="AA1472" s="57"/>
      <c r="AB1472" s="134"/>
      <c r="AC147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7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104697.09000000024</v>
      </c>
      <c r="AE147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9270.2900000000172</v>
      </c>
      <c r="AF147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7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455969.25748524652</v>
      </c>
      <c r="AH1472" s="55"/>
      <c r="AI1472" s="55"/>
      <c r="AJ1472" s="55"/>
      <c r="AK1472" s="101">
        <f t="shared" ca="1" si="276"/>
        <v>719569.97748524672</v>
      </c>
      <c r="AL1472" s="129">
        <f t="array" ref="AL1472">MAX((УслРестрактов[Характеристика]="Дата реструктуризации")*(УслРестрактов[Значение]=Первоначальный!$A1472),0)</f>
        <v>0</v>
      </c>
    </row>
    <row r="1473" spans="1:38" x14ac:dyDescent="0.25">
      <c r="A1473" s="97">
        <f t="shared" si="269"/>
        <v>45604</v>
      </c>
      <c r="B1473" s="100">
        <f t="shared" ca="1" si="270"/>
        <v>149633.34</v>
      </c>
      <c r="C1473" s="55">
        <f t="shared" ref="C1473:D1536" ca="1" si="278">AD1472+AI1472</f>
        <v>104697.09000000024</v>
      </c>
      <c r="D1473" s="55">
        <f t="shared" ca="1" si="278"/>
        <v>9270.2900000000172</v>
      </c>
      <c r="E1473" s="55">
        <f t="shared" ca="1" si="271"/>
        <v>0</v>
      </c>
      <c r="F1473" s="55">
        <f t="shared" ca="1" si="272"/>
        <v>455969.25748524652</v>
      </c>
      <c r="G1473" s="101">
        <f t="shared" ca="1" si="273"/>
        <v>719569.97748524672</v>
      </c>
      <c r="H1473" s="100">
        <f ca="1">ROUND($B1473*VLOOKUP($A1473,$A$1:$B$10,2,1)/(365+IF(MOD(YEAR($A1473),4),0,1)*($A1473-$A1472)),2)-Первоначальный[[#This Row],[Проценты на просроченный платеж по ОД за период]]</f>
        <v>66.36</v>
      </c>
      <c r="I1473" s="55">
        <f t="shared" ca="1" si="274"/>
        <v>15</v>
      </c>
      <c r="J1473" s="55">
        <v>0</v>
      </c>
      <c r="K1473" s="55">
        <f t="shared" ca="1" si="277"/>
        <v>651.75850327868852</v>
      </c>
      <c r="L1473" s="55">
        <v>0</v>
      </c>
      <c r="M1473" s="113">
        <f>SUMIFS(График[Возврат основной суммы долга],График[Дата с учетом нерабочих дней],$A1473)</f>
        <v>0</v>
      </c>
      <c r="N1473" s="56">
        <f>SUMIFS(График[Возврат начисленных %],График[Дата с учетом нерабочих дней],$A1473)</f>
        <v>0</v>
      </c>
      <c r="O1473" s="101">
        <v>0</v>
      </c>
      <c r="P1473" s="100" cm="1">
        <f t="array" aca="1" ref="P1473" ca="1">MAX(IF(AA1472="Да",0,SUM(INDIRECT("M"&amp;(MAX(("Да"=AA$12:AA1472)*ROW(AA$12:AA1472)+1,ROW($P$12))&amp;":M"&amp;(ROW()))))-SUM(INDIRECT("W"&amp;(MAX(("Да"=AA$12:AA1472)*ROW(AA$12:AA1472)+1,ROW($P$12))&amp;":W"&amp;(ROW()))))),0)</f>
        <v>27584.94</v>
      </c>
      <c r="Q1473" s="99">
        <f ca="1">MAX(SUM($N$13:N1473)-SUM($T$13:T1473),0)</f>
        <v>102766.7606557377</v>
      </c>
      <c r="R1473" s="99">
        <f ca="1">Первоначальный[[#This Row],[Просроченный платеж по ОД]]+Первоначальный[[#This Row],[Просроченный платеж по процентам]]</f>
        <v>130351.7006557377</v>
      </c>
      <c r="S1473" s="120">
        <f ca="1">IF(Первоначальный[[#This Row],[Просроченный платеж]]&lt;1,0,S1472+1)</f>
        <v>1369</v>
      </c>
      <c r="T1473" s="100" cm="1">
        <f t="array" aca="1" ref="T1473" ca="1">IF(Первоначальный[[#This Row],[Итого остаток на начало периода]]&lt;1,0,
IF(
AND(TYPE(VLOOKUP(1,$Z$12:Z1473,1,0))=16,Первоначальный[[#This Row],[Досрочное погашение (да/"")]]=""),0,
_xlfn.IFS(AND(S1472=0,Первоначальный[[#This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платеж]]&lt;&gt;0),MIN(LOOKUP(,-1/($Z$12:Z1473=1),$C$12:C1473)+LOOKUP(,-1/($Z$12:Z1473=1),$H$12:H1473),Первоначальный[[#This Row],[Полученный платеж]]+Y1472),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платеж]]+Y1472,SUM(Первоначальный[[#This Row],[Остаток процентов на начало периода]],Первоначальный[[#This Row],[Проценты за период]])),
AND(S1472=0,Первоначальный[[#This Row],[Дата платежа из графика]]=""),0,
AND(S1472=0,Первоначальный[[#This Row],[Дата платежа из графика]]=1,MAX((0&lt;&gt;S$12:S1472)*ROW(S$12:S1472),ROW($S$12))&gt;=MAX((1=Z$12:Z1472)*ROW(Z$12:Z1472),ROW($T$12)),TYPE(VLOOKUP("Да",(INDIRECT("AA"&amp;(MAX((1=Z$12:Z1472)*ROW(Z$12:Z1472),ROW($T$12))&amp;":AA"&amp;(ROW()-1)))),1,0))=16),MIN(LOOKUP(,-1/($Z$12:Z1473=1),$C$12:C1473)+LOOKUP(,-1/($Z$12:Z1473=1),$H$12:H1473),Первоначальный[[#This Row],[Полученный платеж]]+Y1472),
AND(S1472=0,TYPE(VLOOKUP("Да",(INDIRECT("AA"&amp;(MAX((1=Z$12:Z1472)*ROW(Z$12:Z1472),ROW($T$12))&amp;":AA"&amp;(ROW()-1)))),1,0))&lt;&gt;16),MIN(LOOKUP(,-1/($Z$12:Z1473=1),$C$12:C1473)+LOOKUP(,-1/($Z$12:Z1473=1),$H$12:H1473)-IF(AA1472="Да",0,SUM(INDIRECT("T"&amp;(MAX(("Да"=AA$12:AA1472)*ROW(AA$12:AA1472)+1,ROW($T$12))&amp;":T"&amp;(ROW()-1))))),Первоначальный[[#This Row],[Полученный платеж]]+Y1472),
AND(S1472=0,MAX((0&lt;&gt;N$12:N1472)*ROW(N$12:N1472),ROW($S$12))&gt;=MAX((1=Z$12:Z1472)*ROW(Z$12:Z1472),ROW($T$12))),MIN(LOOKUP(,-1/($Z$12:Z1473=1),$C$12:C1473)+LOOKUP(,-1/($Z$12:Z1473=1),$H$12:H1473)-IF(N1472&lt;&gt;0,0,SUM(INDIRECT("T"&amp;(MAX((0&lt;&gt;N$12:N1472)*ROW(N$12:N1472)+1,ROW($T$12))&amp;":T"&amp;(ROW()-1))))),Первоначальный[[#This Row],[Полученный платеж]]+Y1472),
AND(S1472=0,Первоначальный[[#This Row],[Дата платежа из графика]]=1),MIN(LOOKUP(,-1/($Z$12:Z1473=1),$C$12:C1473)+LOOKUP(,-1/($Z$12:Z1473=1),$H$12:H1473)-IF(Z1472=1,0,SUM(INDIRECT("T"&amp;(MAX((1=Z$12:Z1472)*ROW(Z$12:Z1472)+1,ROW($T$12))&amp;":T"&amp;(ROW()-1))))),Первоначальный[[#This Row],[Полученный платеж]]+Y1472),
AND(Z1472&gt;0,Первоначальный[[#This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платеж]]+Y1472),
AND(S1472&gt;0,MAX((0&lt;&gt;S$12:S1472)*ROW(S$12:S1472),ROW($S$12))&gt;=MAX((1=Z$12:Z1472)*ROW(Z$12:Z1472),ROW($T$12)),TYPE(VLOOKUP("Да",(INDIRECT("AA"&amp;(MAX((1=Z$12:Z1472)*ROW(Z$12:Z1472),ROW($T$12))&amp;":AA"&amp;(ROW()-1)))),1,0))=16),MIN(LOOKUP(,-1/($Z$12:Z1473=1),$C$12:C1473)+LOOKUP(,-1/($Z$12:Z1473=1),$H$12:H1473)-SUM(INDIRECT("T"&amp;(MAX((1=Z$12:Z1472)*ROW(Z$12:Z1472),ROW($T$12))&amp;":T"&amp;(ROW()-1)))),Первоначальный[[#This Row],[Полученный платеж]]+Y1472),
S1472&gt;0,MIN(LOOKUP(,-1/($Z$12:Z1473=1),$C$12:C1473)+LOOKUP(,-1/($Z$12:Z1473=1),$H$12:H1473)-IF(Z1472=1,0,SUM(INDIRECT("T"&amp;(MAX((1=Z$12:Z1472)*ROW(Z$12:Z1472)+1,ROW($T$12))&amp;":T"&amp;(ROW()-1))))),Первоначальный[[#This Row],[Полученный платеж]]+Y1472)
)
)
)</f>
        <v>0</v>
      </c>
      <c r="U147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платеж]]+Y1472-Первоначальный[[#This Row],[Полученный платёж по процентам]])</f>
        <v>0</v>
      </c>
      <c r="V1473" s="55">
        <f t="shared" ca="1" si="267"/>
        <v>0</v>
      </c>
      <c r="W1473" s="55" cm="1">
        <f t="array" aca="1" ref="W1473" ca="1">IF(Первоначальный[[#This Row],[Итого остаток на начало периода]]&lt;1,0,
_xlfn.IFS(
AND(TYPE(VLOOKUP(1,$Z$12:Z1473,1,0))=16,Первоначальный[[#This Row],[Досрочное погашение (да/"")]]=""),0,
AND(S1472=0,Первоначальный[[#This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платеж]]+Y1472-SUM(Первоначальный[[#This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комиссиям]]),VLOOKUP(LOOKUP(,-1/($Z$12:Z1473=1),$A$12:A1473),График[[Срок конец]:[Возврат основной суммы долга]],3,0)),
AND(S1472=0,Первоначальный[[#This Row],[Дата платежа из графика]]="",Первоначальный[[#This Row],[Досрочное погашение (да/"")]]&lt;&gt;"Да"),0,
AND(S1472=0,Первоначальный[[#This Row],[Досрочное погашение (да/"")]]=""),MIN(Первоначальный[[#This Row],[Полученный платеж]]+Y1472-SUM(Первоначальный[[#This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комиссиям]]),VLOOKUP(LOOKUP(,-1/($Z$12:Z1473=1),$A$12:A1473),График[[Срок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платеж]]+Y1472-SUM(Первоначальный[[#This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S1472&gt;0,MIN(Первоначальный[[#This Row],[Полученный платеж]]+Y1472-SUM(Первоначальный[[#This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комиссиям]]),SUM(INDIRECT("M"&amp;(MAX((1=S$12:S1472)*ROW(S$12:S1472),ROW($W$12))&amp;":M"&amp;(ROW()))))-SUM(INDIRECT("W"&amp;(MAX((1=S$12:S1472)*ROW(S$12:S1472),ROW($W$12))&amp;":W"&amp;(ROW()-1)))))
)
)</f>
        <v>0</v>
      </c>
      <c r="X1473" s="55">
        <f t="shared" ca="1" si="268"/>
        <v>0</v>
      </c>
      <c r="Y1473" s="101">
        <f t="shared" ca="1" si="275"/>
        <v>0</v>
      </c>
      <c r="Z1473" s="133" t="str">
        <f>IF(TYPE((VLOOKUP(Первоначальный[[#This Row],[Дата платежа]],График[Срок конец],1,0)))=16,"",1)</f>
        <v/>
      </c>
      <c r="AA1473" s="57"/>
      <c r="AB1473" s="134"/>
      <c r="AC147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7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104763.45000000024</v>
      </c>
      <c r="AE147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9285.2900000000172</v>
      </c>
      <c r="AF147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7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456621.01598852524</v>
      </c>
      <c r="AH1473" s="55"/>
      <c r="AI1473" s="55"/>
      <c r="AJ1473" s="55"/>
      <c r="AK1473" s="101">
        <f t="shared" ca="1" si="276"/>
        <v>720303.09598852554</v>
      </c>
      <c r="AL1473" s="129">
        <f t="array" ref="AL1473">MAX((УслРестрактов[Характеристика]="Дата реструктуризации")*(УслРестрактов[Значение]=Первоначальный!$A1473),0)</f>
        <v>0</v>
      </c>
    </row>
    <row r="1474" spans="1:38" x14ac:dyDescent="0.25">
      <c r="A1474" s="97">
        <f t="shared" si="269"/>
        <v>45605</v>
      </c>
      <c r="B1474" s="100">
        <f t="shared" ca="1" si="270"/>
        <v>149633.34</v>
      </c>
      <c r="C1474" s="55">
        <f t="shared" ca="1" si="278"/>
        <v>104763.45000000024</v>
      </c>
      <c r="D1474" s="55">
        <f t="shared" ca="1" si="278"/>
        <v>9285.2900000000172</v>
      </c>
      <c r="E1474" s="55">
        <f t="shared" ca="1" si="271"/>
        <v>0</v>
      </c>
      <c r="F1474" s="55">
        <f t="shared" ca="1" si="272"/>
        <v>456621.01598852524</v>
      </c>
      <c r="G1474" s="101">
        <f t="shared" ca="1" si="273"/>
        <v>720303.09598852554</v>
      </c>
      <c r="H1474" s="100">
        <f ca="1">ROUND($B1474*VLOOKUP($A1474,$A$1:$B$10,2,1)/(365+IF(MOD(YEAR($A1474),4),0,1)*($A1474-$A1473)),2)-Первоначальный[[#This Row],[Проценты на просроченный платеж по ОД за период]]</f>
        <v>66.36</v>
      </c>
      <c r="I1474" s="55">
        <f t="shared" ca="1" si="274"/>
        <v>15</v>
      </c>
      <c r="J1474" s="55">
        <v>0</v>
      </c>
      <c r="K1474" s="55">
        <f t="shared" ca="1" si="277"/>
        <v>651.75850327868852</v>
      </c>
      <c r="L1474" s="55">
        <v>0</v>
      </c>
      <c r="M1474" s="113">
        <f>SUMIFS(График[Возврат основной суммы долга],График[Дата с учетом нерабочих дней],$A1474)</f>
        <v>0</v>
      </c>
      <c r="N1474" s="56">
        <f>SUMIFS(График[Возврат начисленных %],График[Дата с учетом нерабочих дней],$A1474)</f>
        <v>0</v>
      </c>
      <c r="O1474" s="101">
        <v>0</v>
      </c>
      <c r="P1474" s="100" cm="1">
        <f t="array" aca="1" ref="P1474" ca="1">MAX(IF(AA1473="Да",0,SUM(INDIRECT("M"&amp;(MAX(("Да"=AA$12:AA1473)*ROW(AA$12:AA1473)+1,ROW($P$12))&amp;":M"&amp;(ROW()))))-SUM(INDIRECT("W"&amp;(MAX(("Да"=AA$12:AA1473)*ROW(AA$12:AA1473)+1,ROW($P$12))&amp;":W"&amp;(ROW()))))),0)</f>
        <v>27584.94</v>
      </c>
      <c r="Q1474" s="99">
        <f ca="1">MAX(SUM($N$13:N1474)-SUM($T$13:T1474),0)</f>
        <v>102766.7606557377</v>
      </c>
      <c r="R1474" s="99">
        <f ca="1">Первоначальный[[#This Row],[Просроченный платеж по ОД]]+Первоначальный[[#This Row],[Просроченный платеж по процентам]]</f>
        <v>130351.7006557377</v>
      </c>
      <c r="S1474" s="120">
        <f ca="1">IF(Первоначальный[[#This Row],[Просроченный платеж]]&lt;1,0,S1473+1)</f>
        <v>1370</v>
      </c>
      <c r="T1474" s="100" cm="1">
        <f t="array" aca="1" ref="T1474" ca="1">IF(Первоначальный[[#This Row],[Итого остаток на начало периода]]&lt;1,0,
IF(
AND(TYPE(VLOOKUP(1,$Z$12:Z1474,1,0))=16,Первоначальный[[#This Row],[Досрочное погашение (да/"")]]=""),0,
_xlfn.IFS(AND(S1473=0,Первоначальный[[#This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платеж]]&lt;&gt;0),MIN(LOOKUP(,-1/($Z$12:Z1474=1),$C$12:C1474)+LOOKUP(,-1/($Z$12:Z1474=1),$H$12:H1474),Первоначальный[[#This Row],[Полученный платеж]]+Y1473),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платеж]]+Y1473,SUM(Первоначальный[[#This Row],[Остаток процентов на начало периода]],Первоначальный[[#This Row],[Проценты за период]])),
AND(S1473=0,Первоначальный[[#This Row],[Дата платежа из графика]]=""),0,
AND(S1473=0,Первоначальный[[#This Row],[Дата платежа из графика]]=1,MAX((0&lt;&gt;S$12:S1473)*ROW(S$12:S1473),ROW($S$12))&gt;=MAX((1=Z$12:Z1473)*ROW(Z$12:Z1473),ROW($T$12)),TYPE(VLOOKUP("Да",(INDIRECT("AA"&amp;(MAX((1=Z$12:Z1473)*ROW(Z$12:Z1473),ROW($T$12))&amp;":AA"&amp;(ROW()-1)))),1,0))=16),MIN(LOOKUP(,-1/($Z$12:Z1474=1),$C$12:C1474)+LOOKUP(,-1/($Z$12:Z1474=1),$H$12:H1474),Первоначальный[[#This Row],[Полученный платеж]]+Y1473),
AND(S1473=0,TYPE(VLOOKUP("Да",(INDIRECT("AA"&amp;(MAX((1=Z$12:Z1473)*ROW(Z$12:Z1473),ROW($T$12))&amp;":AA"&amp;(ROW()-1)))),1,0))&lt;&gt;16),MIN(LOOKUP(,-1/($Z$12:Z1474=1),$C$12:C1474)+LOOKUP(,-1/($Z$12:Z1474=1),$H$12:H1474)-IF(AA1473="Да",0,SUM(INDIRECT("T"&amp;(MAX(("Да"=AA$12:AA1473)*ROW(AA$12:AA1473)+1,ROW($T$12))&amp;":T"&amp;(ROW()-1))))),Первоначальный[[#This Row],[Полученный платеж]]+Y1473),
AND(S1473=0,MAX((0&lt;&gt;N$12:N1473)*ROW(N$12:N1473),ROW($S$12))&gt;=MAX((1=Z$12:Z1473)*ROW(Z$12:Z1473),ROW($T$12))),MIN(LOOKUP(,-1/($Z$12:Z1474=1),$C$12:C1474)+LOOKUP(,-1/($Z$12:Z1474=1),$H$12:H1474)-IF(N1473&lt;&gt;0,0,SUM(INDIRECT("T"&amp;(MAX((0&lt;&gt;N$12:N1473)*ROW(N$12:N1473)+1,ROW($T$12))&amp;":T"&amp;(ROW()-1))))),Первоначальный[[#This Row],[Полученный платеж]]+Y1473),
AND(S1473=0,Первоначальный[[#This Row],[Дата платежа из графика]]=1),MIN(LOOKUP(,-1/($Z$12:Z1474=1),$C$12:C1474)+LOOKUP(,-1/($Z$12:Z1474=1),$H$12:H1474)-IF(Z1473=1,0,SUM(INDIRECT("T"&amp;(MAX((1=Z$12:Z1473)*ROW(Z$12:Z1473)+1,ROW($T$12))&amp;":T"&amp;(ROW()-1))))),Первоначальный[[#This Row],[Полученный платеж]]+Y1473),
AND(Z1473&gt;0,Первоначальный[[#This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платеж]]+Y1473),
AND(S1473&gt;0,MAX((0&lt;&gt;S$12:S1473)*ROW(S$12:S1473),ROW($S$12))&gt;=MAX((1=Z$12:Z1473)*ROW(Z$12:Z1473),ROW($T$12)),TYPE(VLOOKUP("Да",(INDIRECT("AA"&amp;(MAX((1=Z$12:Z1473)*ROW(Z$12:Z1473),ROW($T$12))&amp;":AA"&amp;(ROW()-1)))),1,0))=16),MIN(LOOKUP(,-1/($Z$12:Z1474=1),$C$12:C1474)+LOOKUP(,-1/($Z$12:Z1474=1),$H$12:H1474)-SUM(INDIRECT("T"&amp;(MAX((1=Z$12:Z1473)*ROW(Z$12:Z1473),ROW($T$12))&amp;":T"&amp;(ROW()-1)))),Первоначальный[[#This Row],[Полученный платеж]]+Y1473),
S1473&gt;0,MIN(LOOKUP(,-1/($Z$12:Z1474=1),$C$12:C1474)+LOOKUP(,-1/($Z$12:Z1474=1),$H$12:H1474)-IF(Z1473=1,0,SUM(INDIRECT("T"&amp;(MAX((1=Z$12:Z1473)*ROW(Z$12:Z1473)+1,ROW($T$12))&amp;":T"&amp;(ROW()-1))))),Первоначальный[[#This Row],[Полученный платеж]]+Y1473)
)
)
)</f>
        <v>0</v>
      </c>
      <c r="U147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платеж]]+Y1473-Первоначальный[[#This Row],[Полученный платёж по процентам]])</f>
        <v>0</v>
      </c>
      <c r="V1474" s="55">
        <f t="shared" ca="1" si="267"/>
        <v>0</v>
      </c>
      <c r="W1474" s="55" cm="1">
        <f t="array" aca="1" ref="W1474" ca="1">IF(Первоначальный[[#This Row],[Итого остаток на начало периода]]&lt;1,0,
_xlfn.IFS(
AND(TYPE(VLOOKUP(1,$Z$12:Z1474,1,0))=16,Первоначальный[[#This Row],[Досрочное погашение (да/"")]]=""),0,
AND(S1473=0,Первоначальный[[#This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платеж]]+Y1473-SUM(Первоначальный[[#This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комиссиям]]),VLOOKUP(LOOKUP(,-1/($Z$12:Z1474=1),$A$12:A1474),График[[Срок конец]:[Возврат основной суммы долга]],3,0)),
AND(S1473=0,Первоначальный[[#This Row],[Дата платежа из графика]]="",Первоначальный[[#This Row],[Досрочное погашение (да/"")]]&lt;&gt;"Да"),0,
AND(S1473=0,Первоначальный[[#This Row],[Досрочное погашение (да/"")]]=""),MIN(Первоначальный[[#This Row],[Полученный платеж]]+Y1473-SUM(Первоначальный[[#This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комиссиям]]),VLOOKUP(LOOKUP(,-1/($Z$12:Z1474=1),$A$12:A1474),График[[Срок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платеж]]+Y1473-SUM(Первоначальный[[#This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S1473&gt;0,MIN(Первоначальный[[#This Row],[Полученный платеж]]+Y1473-SUM(Первоначальный[[#This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комиссиям]]),SUM(INDIRECT("M"&amp;(MAX((1=S$12:S1473)*ROW(S$12:S1473),ROW($W$12))&amp;":M"&amp;(ROW()))))-SUM(INDIRECT("W"&amp;(MAX((1=S$12:S1473)*ROW(S$12:S1473),ROW($W$12))&amp;":W"&amp;(ROW()-1)))))
)
)</f>
        <v>0</v>
      </c>
      <c r="X1474" s="55">
        <f t="shared" ca="1" si="268"/>
        <v>0</v>
      </c>
      <c r="Y1474" s="101">
        <f t="shared" ca="1" si="275"/>
        <v>0</v>
      </c>
      <c r="Z1474" s="133">
        <f>IF(TYPE((VLOOKUP(Первоначальный[[#This Row],[Дата платежа]],График[Срок конец],1,0)))=16,"",1)</f>
        <v>1</v>
      </c>
      <c r="AA1474" s="57"/>
      <c r="AB1474" s="134"/>
      <c r="AC147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7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104829.81000000025</v>
      </c>
      <c r="AE147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9300.2900000000172</v>
      </c>
      <c r="AF147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7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457272.77449180395</v>
      </c>
      <c r="AH1474" s="55"/>
      <c r="AI1474" s="55"/>
      <c r="AJ1474" s="55"/>
      <c r="AK1474" s="101">
        <f t="shared" ca="1" si="276"/>
        <v>721036.21449180425</v>
      </c>
      <c r="AL1474" s="129">
        <f t="array" ref="AL1474">MAX((УслРестрактов[Характеристика]="Дата реструктуризации")*(УслРестрактов[Значение]=Первоначальный!$A1474),0)</f>
        <v>0</v>
      </c>
    </row>
    <row r="1475" spans="1:38" x14ac:dyDescent="0.25">
      <c r="A1475" s="97">
        <f t="shared" si="269"/>
        <v>45606</v>
      </c>
      <c r="B1475" s="100">
        <f t="shared" ca="1" si="270"/>
        <v>149633.34</v>
      </c>
      <c r="C1475" s="55">
        <f t="shared" ca="1" si="278"/>
        <v>104829.81000000025</v>
      </c>
      <c r="D1475" s="55">
        <f t="shared" ca="1" si="278"/>
        <v>9300.2900000000172</v>
      </c>
      <c r="E1475" s="55">
        <f t="shared" ca="1" si="271"/>
        <v>0</v>
      </c>
      <c r="F1475" s="55">
        <f t="shared" ca="1" si="272"/>
        <v>457272.77449180395</v>
      </c>
      <c r="G1475" s="101">
        <f t="shared" ca="1" si="273"/>
        <v>721036.21449180425</v>
      </c>
      <c r="H1475" s="100">
        <f ca="1">ROUND($B1475*VLOOKUP($A1475,$A$1:$B$10,2,1)/(365+IF(MOD(YEAR($A1475),4),0,1)*($A1475-$A1474)),2)-Первоначальный[[#This Row],[Проценты на просроченный платеж по ОД за период]]</f>
        <v>66.36</v>
      </c>
      <c r="I1475" s="55">
        <f t="shared" ca="1" si="274"/>
        <v>15</v>
      </c>
      <c r="J1475" s="55">
        <v>0</v>
      </c>
      <c r="K1475" s="55">
        <f t="shared" ca="1" si="277"/>
        <v>651.75850327868852</v>
      </c>
      <c r="L1475" s="55">
        <v>0</v>
      </c>
      <c r="M1475" s="113">
        <f>SUMIFS(График[Возврат основной суммы долга],График[Дата с учетом нерабочих дней],$A1475)</f>
        <v>0</v>
      </c>
      <c r="N1475" s="56">
        <f>SUMIFS(График[Возврат начисленных %],График[Дата с учетом нерабочих дней],$A1475)</f>
        <v>0</v>
      </c>
      <c r="O1475" s="101">
        <v>0</v>
      </c>
      <c r="P1475" s="100" cm="1">
        <f t="array" aca="1" ref="P1475" ca="1">MAX(IF(AA1474="Да",0,SUM(INDIRECT("M"&amp;(MAX(("Да"=AA$12:AA1474)*ROW(AA$12:AA1474)+1,ROW($P$12))&amp;":M"&amp;(ROW()))))-SUM(INDIRECT("W"&amp;(MAX(("Да"=AA$12:AA1474)*ROW(AA$12:AA1474)+1,ROW($P$12))&amp;":W"&amp;(ROW()))))),0)</f>
        <v>27584.94</v>
      </c>
      <c r="Q1475" s="99">
        <f ca="1">MAX(SUM($N$13:N1475)-SUM($T$13:T1475),0)</f>
        <v>102766.7606557377</v>
      </c>
      <c r="R1475" s="99">
        <f ca="1">Первоначальный[[#This Row],[Просроченный платеж по ОД]]+Первоначальный[[#This Row],[Просроченный платеж по процентам]]</f>
        <v>130351.7006557377</v>
      </c>
      <c r="S1475" s="120">
        <f ca="1">IF(Первоначальный[[#This Row],[Просроченный платеж]]&lt;1,0,S1474+1)</f>
        <v>1371</v>
      </c>
      <c r="T1475" s="100" cm="1">
        <f t="array" aca="1" ref="T1475" ca="1">IF(Первоначальный[[#This Row],[Итого остаток на начало периода]]&lt;1,0,
IF(
AND(TYPE(VLOOKUP(1,$Z$12:Z1475,1,0))=16,Первоначальный[[#This Row],[Досрочное погашение (да/"")]]=""),0,
_xlfn.IFS(AND(S1474=0,Первоначальный[[#This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платеж]]&lt;&gt;0),MIN(LOOKUP(,-1/($Z$12:Z1475=1),$C$12:C1475)+LOOKUP(,-1/($Z$12:Z1475=1),$H$12:H1475),Первоначальный[[#This Row],[Полученный платеж]]+Y1474),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платеж]]+Y1474,SUM(Первоначальный[[#This Row],[Остаток процентов на начало периода]],Первоначальный[[#This Row],[Проценты за период]])),
AND(S1474=0,Первоначальный[[#This Row],[Дата платежа из графика]]=""),0,
AND(S1474=0,Первоначальный[[#This Row],[Дата платежа из графика]]=1,MAX((0&lt;&gt;S$12:S1474)*ROW(S$12:S1474),ROW($S$12))&gt;=MAX((1=Z$12:Z1474)*ROW(Z$12:Z1474),ROW($T$12)),TYPE(VLOOKUP("Да",(INDIRECT("AA"&amp;(MAX((1=Z$12:Z1474)*ROW(Z$12:Z1474),ROW($T$12))&amp;":AA"&amp;(ROW()-1)))),1,0))=16),MIN(LOOKUP(,-1/($Z$12:Z1475=1),$C$12:C1475)+LOOKUP(,-1/($Z$12:Z1475=1),$H$12:H1475),Первоначальный[[#This Row],[Полученный платеж]]+Y1474),
AND(S1474=0,TYPE(VLOOKUP("Да",(INDIRECT("AA"&amp;(MAX((1=Z$12:Z1474)*ROW(Z$12:Z1474),ROW($T$12))&amp;":AA"&amp;(ROW()-1)))),1,0))&lt;&gt;16),MIN(LOOKUP(,-1/($Z$12:Z1475=1),$C$12:C1475)+LOOKUP(,-1/($Z$12:Z1475=1),$H$12:H1475)-IF(AA1474="Да",0,SUM(INDIRECT("T"&amp;(MAX(("Да"=AA$12:AA1474)*ROW(AA$12:AA1474)+1,ROW($T$12))&amp;":T"&amp;(ROW()-1))))),Первоначальный[[#This Row],[Полученный платеж]]+Y1474),
AND(S1474=0,MAX((0&lt;&gt;N$12:N1474)*ROW(N$12:N1474),ROW($S$12))&gt;=MAX((1=Z$12:Z1474)*ROW(Z$12:Z1474),ROW($T$12))),MIN(LOOKUP(,-1/($Z$12:Z1475=1),$C$12:C1475)+LOOKUP(,-1/($Z$12:Z1475=1),$H$12:H1475)-IF(N1474&lt;&gt;0,0,SUM(INDIRECT("T"&amp;(MAX((0&lt;&gt;N$12:N1474)*ROW(N$12:N1474)+1,ROW($T$12))&amp;":T"&amp;(ROW()-1))))),Первоначальный[[#This Row],[Полученный платеж]]+Y1474),
AND(S1474=0,Первоначальный[[#This Row],[Дата платежа из графика]]=1),MIN(LOOKUP(,-1/($Z$12:Z1475=1),$C$12:C1475)+LOOKUP(,-1/($Z$12:Z1475=1),$H$12:H1475)-IF(Z1474=1,0,SUM(INDIRECT("T"&amp;(MAX((1=Z$12:Z1474)*ROW(Z$12:Z1474)+1,ROW($T$12))&amp;":T"&amp;(ROW()-1))))),Первоначальный[[#This Row],[Полученный платеж]]+Y1474),
AND(Z1474&gt;0,Первоначальный[[#This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платеж]]+Y1474),
AND(S1474&gt;0,MAX((0&lt;&gt;S$12:S1474)*ROW(S$12:S1474),ROW($S$12))&gt;=MAX((1=Z$12:Z1474)*ROW(Z$12:Z1474),ROW($T$12)),TYPE(VLOOKUP("Да",(INDIRECT("AA"&amp;(MAX((1=Z$12:Z1474)*ROW(Z$12:Z1474),ROW($T$12))&amp;":AA"&amp;(ROW()-1)))),1,0))=16),MIN(LOOKUP(,-1/($Z$12:Z1475=1),$C$12:C1475)+LOOKUP(,-1/($Z$12:Z1475=1),$H$12:H1475)-SUM(INDIRECT("T"&amp;(MAX((1=Z$12:Z1474)*ROW(Z$12:Z1474),ROW($T$12))&amp;":T"&amp;(ROW()-1)))),Первоначальный[[#This Row],[Полученный платеж]]+Y1474),
S1474&gt;0,MIN(LOOKUP(,-1/($Z$12:Z1475=1),$C$12:C1475)+LOOKUP(,-1/($Z$12:Z1475=1),$H$12:H1475)-IF(Z1474=1,0,SUM(INDIRECT("T"&amp;(MAX((1=Z$12:Z1474)*ROW(Z$12:Z1474)+1,ROW($T$12))&amp;":T"&amp;(ROW()-1))))),Первоначальный[[#This Row],[Полученный платеж]]+Y1474)
)
)
)</f>
        <v>0</v>
      </c>
      <c r="U147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платеж]]+Y1474-Первоначальный[[#This Row],[Полученный платёж по процентам]])</f>
        <v>0</v>
      </c>
      <c r="V1475" s="55">
        <f t="shared" ca="1" si="267"/>
        <v>0</v>
      </c>
      <c r="W1475" s="55" cm="1">
        <f t="array" aca="1" ref="W1475" ca="1">IF(Первоначальный[[#This Row],[Итого остаток на начало периода]]&lt;1,0,
_xlfn.IFS(
AND(TYPE(VLOOKUP(1,$Z$12:Z1475,1,0))=16,Первоначальный[[#This Row],[Досрочное погашение (да/"")]]=""),0,
AND(S1474=0,Первоначальный[[#This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платеж]]+Y1474-SUM(Первоначальный[[#This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комиссиям]]),VLOOKUP(LOOKUP(,-1/($Z$12:Z1475=1),$A$12:A1475),График[[Срок конец]:[Возврат основной суммы долга]],3,0)),
AND(S1474=0,Первоначальный[[#This Row],[Дата платежа из графика]]="",Первоначальный[[#This Row],[Досрочное погашение (да/"")]]&lt;&gt;"Да"),0,
AND(S1474=0,Первоначальный[[#This Row],[Досрочное погашение (да/"")]]=""),MIN(Первоначальный[[#This Row],[Полученный платеж]]+Y1474-SUM(Первоначальный[[#This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комиссиям]]),VLOOKUP(LOOKUP(,-1/($Z$12:Z1475=1),$A$12:A1475),График[[Срок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платеж]]+Y1474-SUM(Первоначальный[[#This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S1474&gt;0,MIN(Первоначальный[[#This Row],[Полученный платеж]]+Y1474-SUM(Первоначальный[[#This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комиссиям]]),SUM(INDIRECT("M"&amp;(MAX((1=S$12:S1474)*ROW(S$12:S1474),ROW($W$12))&amp;":M"&amp;(ROW()))))-SUM(INDIRECT("W"&amp;(MAX((1=S$12:S1474)*ROW(S$12:S1474),ROW($W$12))&amp;":W"&amp;(ROW()-1)))))
)
)</f>
        <v>0</v>
      </c>
      <c r="X1475" s="55">
        <f t="shared" ca="1" si="268"/>
        <v>0</v>
      </c>
      <c r="Y1475" s="101">
        <f t="shared" ca="1" si="275"/>
        <v>0</v>
      </c>
      <c r="Z1475" s="133" t="str">
        <f>IF(TYPE((VLOOKUP(Первоначальный[[#This Row],[Дата платежа]],График[Срок конец],1,0)))=16,"",1)</f>
        <v/>
      </c>
      <c r="AA1475" s="57"/>
      <c r="AB1475" s="134"/>
      <c r="AC147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7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104896.17000000025</v>
      </c>
      <c r="AE147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9315.2900000000172</v>
      </c>
      <c r="AF147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7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457924.53299508267</v>
      </c>
      <c r="AH1475" s="55"/>
      <c r="AI1475" s="55"/>
      <c r="AJ1475" s="55"/>
      <c r="AK1475" s="101">
        <f t="shared" ca="1" si="276"/>
        <v>721769.33299508295</v>
      </c>
      <c r="AL1475" s="129">
        <f t="array" ref="AL1475">MAX((УслРестрактов[Характеристика]="Дата реструктуризации")*(УслРестрактов[Значение]=Первоначальный!$A1475),0)</f>
        <v>0</v>
      </c>
    </row>
    <row r="1476" spans="1:38" x14ac:dyDescent="0.25">
      <c r="A1476" s="97">
        <f t="shared" si="269"/>
        <v>45607</v>
      </c>
      <c r="B1476" s="100">
        <f t="shared" ca="1" si="270"/>
        <v>149633.34</v>
      </c>
      <c r="C1476" s="55">
        <f t="shared" ca="1" si="278"/>
        <v>104896.17000000025</v>
      </c>
      <c r="D1476" s="55">
        <f t="shared" ca="1" si="278"/>
        <v>9315.2900000000172</v>
      </c>
      <c r="E1476" s="55">
        <f t="shared" ca="1" si="271"/>
        <v>0</v>
      </c>
      <c r="F1476" s="55">
        <f t="shared" ca="1" si="272"/>
        <v>457924.53299508267</v>
      </c>
      <c r="G1476" s="101">
        <f t="shared" ca="1" si="273"/>
        <v>721769.33299508295</v>
      </c>
      <c r="H1476" s="100">
        <f ca="1">ROUND($B1476*VLOOKUP($A1476,$A$1:$B$10,2,1)/(365+IF(MOD(YEAR($A1476),4),0,1)*($A1476-$A1475)),2)-Первоначальный[[#This Row],[Проценты на просроченный платеж по ОД за период]]</f>
        <v>66.36</v>
      </c>
      <c r="I1476" s="55">
        <f t="shared" ca="1" si="274"/>
        <v>15</v>
      </c>
      <c r="J1476" s="55">
        <v>0</v>
      </c>
      <c r="K1476" s="55">
        <f t="shared" ca="1" si="277"/>
        <v>666.24350327868842</v>
      </c>
      <c r="L1476" s="55">
        <v>0</v>
      </c>
      <c r="M1476" s="113">
        <f>SUMIFS(График[Возврат основной суммы долга],График[Дата с учетом нерабочих дней],$A1476)</f>
        <v>839.84999999999991</v>
      </c>
      <c r="N1476" s="56">
        <f>SUMIFS(График[Возврат начисленных %],График[Дата с учетом нерабочих дней],$A1476)</f>
        <v>2057.15</v>
      </c>
      <c r="O1476" s="101">
        <v>0</v>
      </c>
      <c r="P1476" s="100" cm="1">
        <f t="array" aca="1" ref="P1476" ca="1">MAX(IF(AA1475="Да",0,SUM(INDIRECT("M"&amp;(MAX(("Да"=AA$12:AA1475)*ROW(AA$12:AA1475)+1,ROW($P$12))&amp;":M"&amp;(ROW()))))-SUM(INDIRECT("W"&amp;(MAX(("Да"=AA$12:AA1475)*ROW(AA$12:AA1475)+1,ROW($P$12))&amp;":W"&amp;(ROW()))))),0)</f>
        <v>28424.789999999997</v>
      </c>
      <c r="Q1476" s="99">
        <f ca="1">MAX(SUM($N$13:N1476)-SUM($T$13:T1476),0)</f>
        <v>104823.91065573769</v>
      </c>
      <c r="R1476" s="99">
        <f ca="1">Первоначальный[[#This Row],[Просроченный платеж по ОД]]+Первоначальный[[#This Row],[Просроченный платеж по процентам]]</f>
        <v>133248.70065573769</v>
      </c>
      <c r="S1476" s="120">
        <f ca="1">IF(Первоначальный[[#This Row],[Просроченный платеж]]&lt;1,0,S1475+1)</f>
        <v>1372</v>
      </c>
      <c r="T1476" s="100" cm="1">
        <f t="array" aca="1" ref="T1476" ca="1">IF(Первоначальный[[#This Row],[Итого остаток на начало периода]]&lt;1,0,
IF(
AND(TYPE(VLOOKUP(1,$Z$12:Z1476,1,0))=16,Первоначальный[[#This Row],[Досрочное погашение (да/"")]]=""),0,
_xlfn.IFS(AND(S1475=0,Первоначальный[[#This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платеж]]&lt;&gt;0),MIN(LOOKUP(,-1/($Z$12:Z1476=1),$C$12:C1476)+LOOKUP(,-1/($Z$12:Z1476=1),$H$12:H1476),Первоначальный[[#This Row],[Полученный платеж]]+Y1475),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платеж]]+Y1475,SUM(Первоначальный[[#This Row],[Остаток процентов на начало периода]],Первоначальный[[#This Row],[Проценты за период]])),
AND(S1475=0,Первоначальный[[#This Row],[Дата платежа из графика]]=""),0,
AND(S1475=0,Первоначальный[[#This Row],[Дата платежа из графика]]=1,MAX((0&lt;&gt;S$12:S1475)*ROW(S$12:S1475),ROW($S$12))&gt;=MAX((1=Z$12:Z1475)*ROW(Z$12:Z1475),ROW($T$12)),TYPE(VLOOKUP("Да",(INDIRECT("AA"&amp;(MAX((1=Z$12:Z1475)*ROW(Z$12:Z1475),ROW($T$12))&amp;":AA"&amp;(ROW()-1)))),1,0))=16),MIN(LOOKUP(,-1/($Z$12:Z1476=1),$C$12:C1476)+LOOKUP(,-1/($Z$12:Z1476=1),$H$12:H1476),Первоначальный[[#This Row],[Полученный платеж]]+Y1475),
AND(S1475=0,TYPE(VLOOKUP("Да",(INDIRECT("AA"&amp;(MAX((1=Z$12:Z1475)*ROW(Z$12:Z1475),ROW($T$12))&amp;":AA"&amp;(ROW()-1)))),1,0))&lt;&gt;16),MIN(LOOKUP(,-1/($Z$12:Z1476=1),$C$12:C1476)+LOOKUP(,-1/($Z$12:Z1476=1),$H$12:H1476)-IF(AA1475="Да",0,SUM(INDIRECT("T"&amp;(MAX(("Да"=AA$12:AA1475)*ROW(AA$12:AA1475)+1,ROW($T$12))&amp;":T"&amp;(ROW()-1))))),Первоначальный[[#This Row],[Полученный платеж]]+Y1475),
AND(S1475=0,MAX((0&lt;&gt;N$12:N1475)*ROW(N$12:N1475),ROW($S$12))&gt;=MAX((1=Z$12:Z1475)*ROW(Z$12:Z1475),ROW($T$12))),MIN(LOOKUP(,-1/($Z$12:Z1476=1),$C$12:C1476)+LOOKUP(,-1/($Z$12:Z1476=1),$H$12:H1476)-IF(N1475&lt;&gt;0,0,SUM(INDIRECT("T"&amp;(MAX((0&lt;&gt;N$12:N1475)*ROW(N$12:N1475)+1,ROW($T$12))&amp;":T"&amp;(ROW()-1))))),Первоначальный[[#This Row],[Полученный платеж]]+Y1475),
AND(S1475=0,Первоначальный[[#This Row],[Дата платежа из графика]]=1),MIN(LOOKUP(,-1/($Z$12:Z1476=1),$C$12:C1476)+LOOKUP(,-1/($Z$12:Z1476=1),$H$12:H1476)-IF(Z1475=1,0,SUM(INDIRECT("T"&amp;(MAX((1=Z$12:Z1475)*ROW(Z$12:Z1475)+1,ROW($T$12))&amp;":T"&amp;(ROW()-1))))),Первоначальный[[#This Row],[Полученный платеж]]+Y1475),
AND(Z1475&gt;0,Первоначальный[[#This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платеж]]+Y1475),
AND(S1475&gt;0,MAX((0&lt;&gt;S$12:S1475)*ROW(S$12:S1475),ROW($S$12))&gt;=MAX((1=Z$12:Z1475)*ROW(Z$12:Z1475),ROW($T$12)),TYPE(VLOOKUP("Да",(INDIRECT("AA"&amp;(MAX((1=Z$12:Z1475)*ROW(Z$12:Z1475),ROW($T$12))&amp;":AA"&amp;(ROW()-1)))),1,0))=16),MIN(LOOKUP(,-1/($Z$12:Z1476=1),$C$12:C1476)+LOOKUP(,-1/($Z$12:Z1476=1),$H$12:H1476)-SUM(INDIRECT("T"&amp;(MAX((1=Z$12:Z1475)*ROW(Z$12:Z1475),ROW($T$12))&amp;":T"&amp;(ROW()-1)))),Первоначальный[[#This Row],[Полученный платеж]]+Y1475),
S1475&gt;0,MIN(LOOKUP(,-1/($Z$12:Z1476=1),$C$12:C1476)+LOOKUP(,-1/($Z$12:Z1476=1),$H$12:H1476)-IF(Z1475=1,0,SUM(INDIRECT("T"&amp;(MAX((1=Z$12:Z1475)*ROW(Z$12:Z1475)+1,ROW($T$12))&amp;":T"&amp;(ROW()-1))))),Первоначальный[[#This Row],[Полученный платеж]]+Y1475)
)
)
)</f>
        <v>0</v>
      </c>
      <c r="U147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платеж]]+Y1475-Первоначальный[[#This Row],[Полученный платёж по процентам]])</f>
        <v>0</v>
      </c>
      <c r="V1476" s="55">
        <f t="shared" ca="1" si="267"/>
        <v>0</v>
      </c>
      <c r="W1476" s="55" cm="1">
        <f t="array" aca="1" ref="W1476" ca="1">IF(Первоначальный[[#This Row],[Итого остаток на начало периода]]&lt;1,0,
_xlfn.IFS(
AND(TYPE(VLOOKUP(1,$Z$12:Z1476,1,0))=16,Первоначальный[[#This Row],[Досрочное погашение (да/"")]]=""),0,
AND(S1475=0,Первоначальный[[#This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платеж]]+Y1475-SUM(Первоначальный[[#This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комиссиям]]),VLOOKUP(LOOKUP(,-1/($Z$12:Z1476=1),$A$12:A1476),График[[Срок конец]:[Возврат основной суммы долга]],3,0)),
AND(S1475=0,Первоначальный[[#This Row],[Дата платежа из графика]]="",Первоначальный[[#This Row],[Досрочное погашение (да/"")]]&lt;&gt;"Да"),0,
AND(S1475=0,Первоначальный[[#This Row],[Досрочное погашение (да/"")]]=""),MIN(Первоначальный[[#This Row],[Полученный платеж]]+Y1475-SUM(Первоначальный[[#This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комиссиям]]),VLOOKUP(LOOKUP(,-1/($Z$12:Z1476=1),$A$12:A1476),График[[Срок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платеж]]+Y1475-SUM(Первоначальный[[#This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S1475&gt;0,MIN(Первоначальный[[#This Row],[Полученный платеж]]+Y1475-SUM(Первоначальный[[#This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комиссиям]]),SUM(INDIRECT("M"&amp;(MAX((1=S$12:S1475)*ROW(S$12:S1475),ROW($W$12))&amp;":M"&amp;(ROW()))))-SUM(INDIRECT("W"&amp;(MAX((1=S$12:S1475)*ROW(S$12:S1475),ROW($W$12))&amp;":W"&amp;(ROW()-1)))))
)
)</f>
        <v>0</v>
      </c>
      <c r="X1476" s="55">
        <f t="shared" ca="1" si="268"/>
        <v>0</v>
      </c>
      <c r="Y1476" s="101">
        <f t="shared" ca="1" si="275"/>
        <v>0</v>
      </c>
      <c r="Z1476" s="133" t="str">
        <f>IF(TYPE((VLOOKUP(Первоначальный[[#This Row],[Дата платежа]],График[Срок конец],1,0)))=16,"",1)</f>
        <v/>
      </c>
      <c r="AA1476" s="57"/>
      <c r="AB1476" s="134"/>
      <c r="AC147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7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104962.53000000025</v>
      </c>
      <c r="AE147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9330.2900000000172</v>
      </c>
      <c r="AF147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7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458590.77649836137</v>
      </c>
      <c r="AH1476" s="55"/>
      <c r="AI1476" s="55"/>
      <c r="AJ1476" s="55"/>
      <c r="AK1476" s="101">
        <f t="shared" ca="1" si="276"/>
        <v>722516.93649836164</v>
      </c>
      <c r="AL1476" s="129">
        <f t="array" ref="AL1476">MAX((УслРестрактов[Характеристика]="Дата реструктуризации")*(УслРестрактов[Значение]=Первоначальный!$A1476),0)</f>
        <v>0</v>
      </c>
    </row>
    <row r="1477" spans="1:38" x14ac:dyDescent="0.25">
      <c r="A1477" s="97">
        <f t="shared" si="269"/>
        <v>45608</v>
      </c>
      <c r="B1477" s="100">
        <f t="shared" ca="1" si="270"/>
        <v>149633.34</v>
      </c>
      <c r="C1477" s="55">
        <f t="shared" ca="1" si="278"/>
        <v>104962.53000000025</v>
      </c>
      <c r="D1477" s="55">
        <f t="shared" ca="1" si="278"/>
        <v>9330.2900000000172</v>
      </c>
      <c r="E1477" s="55">
        <f t="shared" ca="1" si="271"/>
        <v>0</v>
      </c>
      <c r="F1477" s="55">
        <f t="shared" ca="1" si="272"/>
        <v>458590.77649836137</v>
      </c>
      <c r="G1477" s="101">
        <f t="shared" ca="1" si="273"/>
        <v>722516.93649836164</v>
      </c>
      <c r="H1477" s="100">
        <f ca="1">ROUND($B1477*VLOOKUP($A1477,$A$1:$B$10,2,1)/(365+IF(MOD(YEAR($A1477),4),0,1)*($A1477-$A1476)),2)-Первоначальный[[#This Row],[Проценты на просроченный платеж по ОД за период]]</f>
        <v>65.900000000000006</v>
      </c>
      <c r="I1477" s="55">
        <f t="shared" ca="1" si="274"/>
        <v>15.46</v>
      </c>
      <c r="J1477" s="55">
        <v>0</v>
      </c>
      <c r="K1477" s="55">
        <f t="shared" ca="1" si="277"/>
        <v>666.24350327868842</v>
      </c>
      <c r="L1477" s="55">
        <v>0</v>
      </c>
      <c r="M1477" s="113">
        <f>SUMIFS(График[Возврат основной суммы долга],График[Дата с учетом нерабочих дней],$A1477)</f>
        <v>0</v>
      </c>
      <c r="N1477" s="56">
        <f>SUMIFS(График[Возврат начисленных %],График[Дата с учетом нерабочих дней],$A1477)</f>
        <v>0</v>
      </c>
      <c r="O1477" s="101">
        <v>0</v>
      </c>
      <c r="P1477" s="100" cm="1">
        <f t="array" aca="1" ref="P1477" ca="1">MAX(IF(AA1476="Да",0,SUM(INDIRECT("M"&amp;(MAX(("Да"=AA$12:AA1476)*ROW(AA$12:AA1476)+1,ROW($P$12))&amp;":M"&amp;(ROW()))))-SUM(INDIRECT("W"&amp;(MAX(("Да"=AA$12:AA1476)*ROW(AA$12:AA1476)+1,ROW($P$12))&amp;":W"&amp;(ROW()))))),0)</f>
        <v>28424.789999999997</v>
      </c>
      <c r="Q1477" s="99">
        <f ca="1">MAX(SUM($N$13:N1477)-SUM($T$13:T1477),0)</f>
        <v>104823.91065573769</v>
      </c>
      <c r="R1477" s="99">
        <f ca="1">Первоначальный[[#This Row],[Просроченный платеж по ОД]]+Первоначальный[[#This Row],[Просроченный платеж по процентам]]</f>
        <v>133248.70065573769</v>
      </c>
      <c r="S1477" s="120">
        <f ca="1">IF(Первоначальный[[#This Row],[Просроченный платеж]]&lt;1,0,S1476+1)</f>
        <v>1373</v>
      </c>
      <c r="T1477" s="100" cm="1">
        <f t="array" aca="1" ref="T1477" ca="1">IF(Первоначальный[[#This Row],[Итого остаток на начало периода]]&lt;1,0,
IF(
AND(TYPE(VLOOKUP(1,$Z$12:Z1477,1,0))=16,Первоначальный[[#This Row],[Досрочное погашение (да/"")]]=""),0,
_xlfn.IFS(AND(S1476=0,Первоначальный[[#This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платеж]]&lt;&gt;0),MIN(LOOKUP(,-1/($Z$12:Z1477=1),$C$12:C1477)+LOOKUP(,-1/($Z$12:Z1477=1),$H$12:H1477),Первоначальный[[#This Row],[Полученный платеж]]+Y1476),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платеж]]+Y1476,SUM(Первоначальный[[#This Row],[Остаток процентов на начало периода]],Первоначальный[[#This Row],[Проценты за период]])),
AND(S1476=0,Первоначальный[[#This Row],[Дата платежа из графика]]=""),0,
AND(S1476=0,Первоначальный[[#This Row],[Дата платежа из графика]]=1,MAX((0&lt;&gt;S$12:S1476)*ROW(S$12:S1476),ROW($S$12))&gt;=MAX((1=Z$12:Z1476)*ROW(Z$12:Z1476),ROW($T$12)),TYPE(VLOOKUP("Да",(INDIRECT("AA"&amp;(MAX((1=Z$12:Z1476)*ROW(Z$12:Z1476),ROW($T$12))&amp;":AA"&amp;(ROW()-1)))),1,0))=16),MIN(LOOKUP(,-1/($Z$12:Z1477=1),$C$12:C1477)+LOOKUP(,-1/($Z$12:Z1477=1),$H$12:H1477),Первоначальный[[#This Row],[Полученный платеж]]+Y1476),
AND(S1476=0,TYPE(VLOOKUP("Да",(INDIRECT("AA"&amp;(MAX((1=Z$12:Z1476)*ROW(Z$12:Z1476),ROW($T$12))&amp;":AA"&amp;(ROW()-1)))),1,0))&lt;&gt;16),MIN(LOOKUP(,-1/($Z$12:Z1477=1),$C$12:C1477)+LOOKUP(,-1/($Z$12:Z1477=1),$H$12:H1477)-IF(AA1476="Да",0,SUM(INDIRECT("T"&amp;(MAX(("Да"=AA$12:AA1476)*ROW(AA$12:AA1476)+1,ROW($T$12))&amp;":T"&amp;(ROW()-1))))),Первоначальный[[#This Row],[Полученный платеж]]+Y1476),
AND(S1476=0,MAX((0&lt;&gt;N$12:N1476)*ROW(N$12:N1476),ROW($S$12))&gt;=MAX((1=Z$12:Z1476)*ROW(Z$12:Z1476),ROW($T$12))),MIN(LOOKUP(,-1/($Z$12:Z1477=1),$C$12:C1477)+LOOKUP(,-1/($Z$12:Z1477=1),$H$12:H1477)-IF(N1476&lt;&gt;0,0,SUM(INDIRECT("T"&amp;(MAX((0&lt;&gt;N$12:N1476)*ROW(N$12:N1476)+1,ROW($T$12))&amp;":T"&amp;(ROW()-1))))),Первоначальный[[#This Row],[Полученный платеж]]+Y1476),
AND(S1476=0,Первоначальный[[#This Row],[Дата платежа из графика]]=1),MIN(LOOKUP(,-1/($Z$12:Z1477=1),$C$12:C1477)+LOOKUP(,-1/($Z$12:Z1477=1),$H$12:H1477)-IF(Z1476=1,0,SUM(INDIRECT("T"&amp;(MAX((1=Z$12:Z1476)*ROW(Z$12:Z1476)+1,ROW($T$12))&amp;":T"&amp;(ROW()-1))))),Первоначальный[[#This Row],[Полученный платеж]]+Y1476),
AND(Z1476&gt;0,Первоначальный[[#This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платеж]]+Y1476),
AND(S1476&gt;0,MAX((0&lt;&gt;S$12:S1476)*ROW(S$12:S1476),ROW($S$12))&gt;=MAX((1=Z$12:Z1476)*ROW(Z$12:Z1476),ROW($T$12)),TYPE(VLOOKUP("Да",(INDIRECT("AA"&amp;(MAX((1=Z$12:Z1476)*ROW(Z$12:Z1476),ROW($T$12))&amp;":AA"&amp;(ROW()-1)))),1,0))=16),MIN(LOOKUP(,-1/($Z$12:Z1477=1),$C$12:C1477)+LOOKUP(,-1/($Z$12:Z1477=1),$H$12:H1477)-SUM(INDIRECT("T"&amp;(MAX((1=Z$12:Z1476)*ROW(Z$12:Z1476),ROW($T$12))&amp;":T"&amp;(ROW()-1)))),Первоначальный[[#This Row],[Полученный платеж]]+Y1476),
S1476&gt;0,MIN(LOOKUP(,-1/($Z$12:Z1477=1),$C$12:C1477)+LOOKUP(,-1/($Z$12:Z1477=1),$H$12:H1477)-IF(Z1476=1,0,SUM(INDIRECT("T"&amp;(MAX((1=Z$12:Z1476)*ROW(Z$12:Z1476)+1,ROW($T$12))&amp;":T"&amp;(ROW()-1))))),Первоначальный[[#This Row],[Полученный платеж]]+Y1476)
)
)
)</f>
        <v>0</v>
      </c>
      <c r="U147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платеж]]+Y1476-Первоначальный[[#This Row],[Полученный платёж по процентам]])</f>
        <v>0</v>
      </c>
      <c r="V1477" s="55">
        <f t="shared" ca="1" si="267"/>
        <v>0</v>
      </c>
      <c r="W1477" s="55" cm="1">
        <f t="array" aca="1" ref="W1477" ca="1">IF(Первоначальный[[#This Row],[Итого остаток на начало периода]]&lt;1,0,
_xlfn.IFS(
AND(TYPE(VLOOKUP(1,$Z$12:Z1477,1,0))=16,Первоначальный[[#This Row],[Досрочное погашение (да/"")]]=""),0,
AND(S1476=0,Первоначальный[[#This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платеж]]+Y1476-SUM(Первоначальный[[#This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комиссиям]]),VLOOKUP(LOOKUP(,-1/($Z$12:Z1477=1),$A$12:A1477),График[[Срок конец]:[Возврат основной суммы долга]],3,0)),
AND(S1476=0,Первоначальный[[#This Row],[Дата платежа из графика]]="",Первоначальный[[#This Row],[Досрочное погашение (да/"")]]&lt;&gt;"Да"),0,
AND(S1476=0,Первоначальный[[#This Row],[Досрочное погашение (да/"")]]=""),MIN(Первоначальный[[#This Row],[Полученный платеж]]+Y1476-SUM(Первоначальный[[#This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комиссиям]]),VLOOKUP(LOOKUP(,-1/($Z$12:Z1477=1),$A$12:A1477),График[[Срок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платеж]]+Y1476-SUM(Первоначальный[[#This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S1476&gt;0,MIN(Первоначальный[[#This Row],[Полученный платеж]]+Y1476-SUM(Первоначальный[[#This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комиссиям]]),SUM(INDIRECT("M"&amp;(MAX((1=S$12:S1476)*ROW(S$12:S1476),ROW($W$12))&amp;":M"&amp;(ROW()))))-SUM(INDIRECT("W"&amp;(MAX((1=S$12:S1476)*ROW(S$12:S1476),ROW($W$12))&amp;":W"&amp;(ROW()-1)))))
)
)</f>
        <v>0</v>
      </c>
      <c r="X1477" s="55">
        <f t="shared" ca="1" si="268"/>
        <v>0</v>
      </c>
      <c r="Y1477" s="101">
        <f t="shared" ca="1" si="275"/>
        <v>0</v>
      </c>
      <c r="Z1477" s="133" t="str">
        <f>IF(TYPE((VLOOKUP(Первоначальный[[#This Row],[Дата платежа]],График[Срок конец],1,0)))=16,"",1)</f>
        <v/>
      </c>
      <c r="AA1477" s="57"/>
      <c r="AB1477" s="134"/>
      <c r="AC147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7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105028.43000000024</v>
      </c>
      <c r="AE147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9345.7500000000164</v>
      </c>
      <c r="AF147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7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459257.02000164008</v>
      </c>
      <c r="AH1477" s="55"/>
      <c r="AI1477" s="55"/>
      <c r="AJ1477" s="55"/>
      <c r="AK1477" s="101">
        <f t="shared" ca="1" si="276"/>
        <v>723264.54000164033</v>
      </c>
      <c r="AL1477" s="129">
        <f t="array" ref="AL1477">MAX((УслРестрактов[Характеристика]="Дата реструктуризации")*(УслРестрактов[Значение]=Первоначальный!$A1477),0)</f>
        <v>0</v>
      </c>
    </row>
    <row r="1478" spans="1:38" x14ac:dyDescent="0.25">
      <c r="A1478" s="97">
        <f t="shared" si="269"/>
        <v>45609</v>
      </c>
      <c r="B1478" s="100">
        <f t="shared" ca="1" si="270"/>
        <v>149633.34</v>
      </c>
      <c r="C1478" s="55">
        <f t="shared" ca="1" si="278"/>
        <v>105028.43000000024</v>
      </c>
      <c r="D1478" s="55">
        <f t="shared" ca="1" si="278"/>
        <v>9345.7500000000164</v>
      </c>
      <c r="E1478" s="55">
        <f t="shared" ca="1" si="271"/>
        <v>0</v>
      </c>
      <c r="F1478" s="55">
        <f t="shared" ca="1" si="272"/>
        <v>459257.02000164008</v>
      </c>
      <c r="G1478" s="101">
        <f t="shared" ca="1" si="273"/>
        <v>723264.54000164033</v>
      </c>
      <c r="H1478" s="100">
        <f ca="1">ROUND($B1478*VLOOKUP($A1478,$A$1:$B$10,2,1)/(365+IF(MOD(YEAR($A1478),4),0,1)*($A1478-$A1477)),2)-Первоначальный[[#This Row],[Проценты на просроченный платеж по ОД за период]]</f>
        <v>65.900000000000006</v>
      </c>
      <c r="I1478" s="55">
        <f t="shared" ca="1" si="274"/>
        <v>15.46</v>
      </c>
      <c r="J1478" s="55">
        <v>0</v>
      </c>
      <c r="K1478" s="55">
        <f t="shared" ca="1" si="277"/>
        <v>666.24350327868842</v>
      </c>
      <c r="L1478" s="55">
        <v>0</v>
      </c>
      <c r="M1478" s="113">
        <f>SUMIFS(График[Возврат основной суммы долга],График[Дата с учетом нерабочих дней],$A1478)</f>
        <v>0</v>
      </c>
      <c r="N1478" s="56">
        <f>SUMIFS(График[Возврат начисленных %],График[Дата с учетом нерабочих дней],$A1478)</f>
        <v>0</v>
      </c>
      <c r="O1478" s="101">
        <v>0</v>
      </c>
      <c r="P1478" s="100" cm="1">
        <f t="array" aca="1" ref="P1478" ca="1">MAX(IF(AA1477="Да",0,SUM(INDIRECT("M"&amp;(MAX(("Да"=AA$12:AA1477)*ROW(AA$12:AA1477)+1,ROW($P$12))&amp;":M"&amp;(ROW()))))-SUM(INDIRECT("W"&amp;(MAX(("Да"=AA$12:AA1477)*ROW(AA$12:AA1477)+1,ROW($P$12))&amp;":W"&amp;(ROW()))))),0)</f>
        <v>28424.789999999997</v>
      </c>
      <c r="Q1478" s="99">
        <f ca="1">MAX(SUM($N$13:N1478)-SUM($T$13:T1478),0)</f>
        <v>104823.91065573769</v>
      </c>
      <c r="R1478" s="99">
        <f ca="1">Первоначальный[[#This Row],[Просроченный платеж по ОД]]+Первоначальный[[#This Row],[Просроченный платеж по процентам]]</f>
        <v>133248.70065573769</v>
      </c>
      <c r="S1478" s="120">
        <f ca="1">IF(Первоначальный[[#This Row],[Просроченный платеж]]&lt;1,0,S1477+1)</f>
        <v>1374</v>
      </c>
      <c r="T1478" s="100" cm="1">
        <f t="array" aca="1" ref="T1478" ca="1">IF(Первоначальный[[#This Row],[Итого остаток на начало периода]]&lt;1,0,
IF(
AND(TYPE(VLOOKUP(1,$Z$12:Z1478,1,0))=16,Первоначальный[[#This Row],[Досрочное погашение (да/"")]]=""),0,
_xlfn.IFS(AND(S1477=0,Первоначальный[[#This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платеж]]&lt;&gt;0),MIN(LOOKUP(,-1/($Z$12:Z1478=1),$C$12:C1478)+LOOKUP(,-1/($Z$12:Z1478=1),$H$12:H1478),Первоначальный[[#This Row],[Полученный платеж]]+Y1477),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платеж]]+Y1477,SUM(Первоначальный[[#This Row],[Остаток процентов на начало периода]],Первоначальный[[#This Row],[Проценты за период]])),
AND(S1477=0,Первоначальный[[#This Row],[Дата платежа из графика]]=""),0,
AND(S1477=0,Первоначальный[[#This Row],[Дата платежа из графика]]=1,MAX((0&lt;&gt;S$12:S1477)*ROW(S$12:S1477),ROW($S$12))&gt;=MAX((1=Z$12:Z1477)*ROW(Z$12:Z1477),ROW($T$12)),TYPE(VLOOKUP("Да",(INDIRECT("AA"&amp;(MAX((1=Z$12:Z1477)*ROW(Z$12:Z1477),ROW($T$12))&amp;":AA"&amp;(ROW()-1)))),1,0))=16),MIN(LOOKUP(,-1/($Z$12:Z1478=1),$C$12:C1478)+LOOKUP(,-1/($Z$12:Z1478=1),$H$12:H1478),Первоначальный[[#This Row],[Полученный платеж]]+Y1477),
AND(S1477=0,TYPE(VLOOKUP("Да",(INDIRECT("AA"&amp;(MAX((1=Z$12:Z1477)*ROW(Z$12:Z1477),ROW($T$12))&amp;":AA"&amp;(ROW()-1)))),1,0))&lt;&gt;16),MIN(LOOKUP(,-1/($Z$12:Z1478=1),$C$12:C1478)+LOOKUP(,-1/($Z$12:Z1478=1),$H$12:H1478)-IF(AA1477="Да",0,SUM(INDIRECT("T"&amp;(MAX(("Да"=AA$12:AA1477)*ROW(AA$12:AA1477)+1,ROW($T$12))&amp;":T"&amp;(ROW()-1))))),Первоначальный[[#This Row],[Полученный платеж]]+Y1477),
AND(S1477=0,MAX((0&lt;&gt;N$12:N1477)*ROW(N$12:N1477),ROW($S$12))&gt;=MAX((1=Z$12:Z1477)*ROW(Z$12:Z1477),ROW($T$12))),MIN(LOOKUP(,-1/($Z$12:Z1478=1),$C$12:C1478)+LOOKUP(,-1/($Z$12:Z1478=1),$H$12:H1478)-IF(N1477&lt;&gt;0,0,SUM(INDIRECT("T"&amp;(MAX((0&lt;&gt;N$12:N1477)*ROW(N$12:N1477)+1,ROW($T$12))&amp;":T"&amp;(ROW()-1))))),Первоначальный[[#This Row],[Полученный платеж]]+Y1477),
AND(S1477=0,Первоначальный[[#This Row],[Дата платежа из графика]]=1),MIN(LOOKUP(,-1/($Z$12:Z1478=1),$C$12:C1478)+LOOKUP(,-1/($Z$12:Z1478=1),$H$12:H1478)-IF(Z1477=1,0,SUM(INDIRECT("T"&amp;(MAX((1=Z$12:Z1477)*ROW(Z$12:Z1477)+1,ROW($T$12))&amp;":T"&amp;(ROW()-1))))),Первоначальный[[#This Row],[Полученный платеж]]+Y1477),
AND(Z1477&gt;0,Первоначальный[[#This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платеж]]+Y1477),
AND(S1477&gt;0,MAX((0&lt;&gt;S$12:S1477)*ROW(S$12:S1477),ROW($S$12))&gt;=MAX((1=Z$12:Z1477)*ROW(Z$12:Z1477),ROW($T$12)),TYPE(VLOOKUP("Да",(INDIRECT("AA"&amp;(MAX((1=Z$12:Z1477)*ROW(Z$12:Z1477),ROW($T$12))&amp;":AA"&amp;(ROW()-1)))),1,0))=16),MIN(LOOKUP(,-1/($Z$12:Z1478=1),$C$12:C1478)+LOOKUP(,-1/($Z$12:Z1478=1),$H$12:H1478)-SUM(INDIRECT("T"&amp;(MAX((1=Z$12:Z1477)*ROW(Z$12:Z1477),ROW($T$12))&amp;":T"&amp;(ROW()-1)))),Первоначальный[[#This Row],[Полученный платеж]]+Y1477),
S1477&gt;0,MIN(LOOKUP(,-1/($Z$12:Z1478=1),$C$12:C1478)+LOOKUP(,-1/($Z$12:Z1478=1),$H$12:H1478)-IF(Z1477=1,0,SUM(INDIRECT("T"&amp;(MAX((1=Z$12:Z1477)*ROW(Z$12:Z1477)+1,ROW($T$12))&amp;":T"&amp;(ROW()-1))))),Первоначальный[[#This Row],[Полученный платеж]]+Y1477)
)
)
)</f>
        <v>0</v>
      </c>
      <c r="U147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платеж]]+Y1477-Первоначальный[[#This Row],[Полученный платёж по процентам]])</f>
        <v>0</v>
      </c>
      <c r="V1478" s="55">
        <f t="shared" ca="1" si="267"/>
        <v>0</v>
      </c>
      <c r="W1478" s="55" cm="1">
        <f t="array" aca="1" ref="W1478" ca="1">IF(Первоначальный[[#This Row],[Итого остаток на начало периода]]&lt;1,0,
_xlfn.IFS(
AND(TYPE(VLOOKUP(1,$Z$12:Z1478,1,0))=16,Первоначальный[[#This Row],[Досрочное погашение (да/"")]]=""),0,
AND(S1477=0,Первоначальный[[#This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платеж]]+Y1477-SUM(Первоначальный[[#This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комиссиям]]),VLOOKUP(LOOKUP(,-1/($Z$12:Z1478=1),$A$12:A1478),График[[Срок конец]:[Возврат основной суммы долга]],3,0)),
AND(S1477=0,Первоначальный[[#This Row],[Дата платежа из графика]]="",Первоначальный[[#This Row],[Досрочное погашение (да/"")]]&lt;&gt;"Да"),0,
AND(S1477=0,Первоначальный[[#This Row],[Досрочное погашение (да/"")]]=""),MIN(Первоначальный[[#This Row],[Полученный платеж]]+Y1477-SUM(Первоначальный[[#This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комиссиям]]),VLOOKUP(LOOKUP(,-1/($Z$12:Z1478=1),$A$12:A1478),График[[Срок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платеж]]+Y1477-SUM(Первоначальный[[#This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S1477&gt;0,MIN(Первоначальный[[#This Row],[Полученный платеж]]+Y1477-SUM(Первоначальный[[#This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комиссиям]]),SUM(INDIRECT("M"&amp;(MAX((1=S$12:S1477)*ROW(S$12:S1477),ROW($W$12))&amp;":M"&amp;(ROW()))))-SUM(INDIRECT("W"&amp;(MAX((1=S$12:S1477)*ROW(S$12:S1477),ROW($W$12))&amp;":W"&amp;(ROW()-1)))))
)
)</f>
        <v>0</v>
      </c>
      <c r="X1478" s="55">
        <f t="shared" ca="1" si="268"/>
        <v>0</v>
      </c>
      <c r="Y1478" s="101">
        <f t="shared" ca="1" si="275"/>
        <v>0</v>
      </c>
      <c r="Z1478" s="133" t="str">
        <f>IF(TYPE((VLOOKUP(Первоначальный[[#This Row],[Дата платежа]],График[Срок конец],1,0)))=16,"",1)</f>
        <v/>
      </c>
      <c r="AA1478" s="57"/>
      <c r="AB1478" s="134"/>
      <c r="AC147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7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105094.33000000023</v>
      </c>
      <c r="AE147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9361.2100000000155</v>
      </c>
      <c r="AF147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7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459923.26350491878</v>
      </c>
      <c r="AH1478" s="55"/>
      <c r="AI1478" s="55"/>
      <c r="AJ1478" s="55"/>
      <c r="AK1478" s="101">
        <f t="shared" ca="1" si="276"/>
        <v>724012.14350491902</v>
      </c>
      <c r="AL1478" s="129">
        <f t="array" ref="AL1478">MAX((УслРестрактов[Характеристика]="Дата реструктуризации")*(УслРестрактов[Значение]=Первоначальный!$A1478),0)</f>
        <v>0</v>
      </c>
    </row>
    <row r="1479" spans="1:38" x14ac:dyDescent="0.25">
      <c r="A1479" s="97">
        <f t="shared" si="269"/>
        <v>45610</v>
      </c>
      <c r="B1479" s="100">
        <f t="shared" ca="1" si="270"/>
        <v>149633.34</v>
      </c>
      <c r="C1479" s="55">
        <f t="shared" ca="1" si="278"/>
        <v>105094.33000000023</v>
      </c>
      <c r="D1479" s="55">
        <f t="shared" ca="1" si="278"/>
        <v>9361.2100000000155</v>
      </c>
      <c r="E1479" s="55">
        <f t="shared" ca="1" si="271"/>
        <v>0</v>
      </c>
      <c r="F1479" s="55">
        <f t="shared" ca="1" si="272"/>
        <v>459923.26350491878</v>
      </c>
      <c r="G1479" s="101">
        <f t="shared" ca="1" si="273"/>
        <v>724012.14350491902</v>
      </c>
      <c r="H1479" s="100">
        <f ca="1">ROUND($B1479*VLOOKUP($A1479,$A$1:$B$10,2,1)/(365+IF(MOD(YEAR($A1479),4),0,1)*($A1479-$A1478)),2)-Первоначальный[[#This Row],[Проценты на просроченный платеж по ОД за период]]</f>
        <v>65.900000000000006</v>
      </c>
      <c r="I1479" s="55">
        <f t="shared" ca="1" si="274"/>
        <v>15.46</v>
      </c>
      <c r="J1479" s="55">
        <v>0</v>
      </c>
      <c r="K1479" s="55">
        <f t="shared" ca="1" si="277"/>
        <v>666.24350327868842</v>
      </c>
      <c r="L1479" s="55">
        <v>0</v>
      </c>
      <c r="M1479" s="113">
        <f>SUMIFS(График[Возврат основной суммы долга],График[Дата с учетом нерабочих дней],$A1479)</f>
        <v>0</v>
      </c>
      <c r="N1479" s="56">
        <f>SUMIFS(График[Возврат начисленных %],График[Дата с учетом нерабочих дней],$A1479)</f>
        <v>0</v>
      </c>
      <c r="O1479" s="101">
        <v>0</v>
      </c>
      <c r="P1479" s="100" cm="1">
        <f t="array" aca="1" ref="P1479" ca="1">MAX(IF(AA1478="Да",0,SUM(INDIRECT("M"&amp;(MAX(("Да"=AA$12:AA1478)*ROW(AA$12:AA1478)+1,ROW($P$12))&amp;":M"&amp;(ROW()))))-SUM(INDIRECT("W"&amp;(MAX(("Да"=AA$12:AA1478)*ROW(AA$12:AA1478)+1,ROW($P$12))&amp;":W"&amp;(ROW()))))),0)</f>
        <v>28424.789999999997</v>
      </c>
      <c r="Q1479" s="99">
        <f ca="1">MAX(SUM($N$13:N1479)-SUM($T$13:T1479),0)</f>
        <v>104823.91065573769</v>
      </c>
      <c r="R1479" s="99">
        <f ca="1">Первоначальный[[#This Row],[Просроченный платеж по ОД]]+Первоначальный[[#This Row],[Просроченный платеж по процентам]]</f>
        <v>133248.70065573769</v>
      </c>
      <c r="S1479" s="120">
        <f ca="1">IF(Первоначальный[[#This Row],[Просроченный платеж]]&lt;1,0,S1478+1)</f>
        <v>1375</v>
      </c>
      <c r="T1479" s="100" cm="1">
        <f t="array" aca="1" ref="T1479" ca="1">IF(Первоначальный[[#This Row],[Итого остаток на начало периода]]&lt;1,0,
IF(
AND(TYPE(VLOOKUP(1,$Z$12:Z1479,1,0))=16,Первоначальный[[#This Row],[Досрочное погашение (да/"")]]=""),0,
_xlfn.IFS(AND(S1478=0,Первоначальный[[#This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платеж]]&lt;&gt;0),MIN(LOOKUP(,-1/($Z$12:Z1479=1),$C$12:C1479)+LOOKUP(,-1/($Z$12:Z1479=1),$H$12:H1479),Первоначальный[[#This Row],[Полученный платеж]]+Y1478),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платеж]]+Y1478,SUM(Первоначальный[[#This Row],[Остаток процентов на начало периода]],Первоначальный[[#This Row],[Проценты за период]])),
AND(S1478=0,Первоначальный[[#This Row],[Дата платежа из графика]]=""),0,
AND(S1478=0,Первоначальный[[#This Row],[Дата платежа из графика]]=1,MAX((0&lt;&gt;S$12:S1478)*ROW(S$12:S1478),ROW($S$12))&gt;=MAX((1=Z$12:Z1478)*ROW(Z$12:Z1478),ROW($T$12)),TYPE(VLOOKUP("Да",(INDIRECT("AA"&amp;(MAX((1=Z$12:Z1478)*ROW(Z$12:Z1478),ROW($T$12))&amp;":AA"&amp;(ROW()-1)))),1,0))=16),MIN(LOOKUP(,-1/($Z$12:Z1479=1),$C$12:C1479)+LOOKUP(,-1/($Z$12:Z1479=1),$H$12:H1479),Первоначальный[[#This Row],[Полученный платеж]]+Y1478),
AND(S1478=0,TYPE(VLOOKUP("Да",(INDIRECT("AA"&amp;(MAX((1=Z$12:Z1478)*ROW(Z$12:Z1478),ROW($T$12))&amp;":AA"&amp;(ROW()-1)))),1,0))&lt;&gt;16),MIN(LOOKUP(,-1/($Z$12:Z1479=1),$C$12:C1479)+LOOKUP(,-1/($Z$12:Z1479=1),$H$12:H1479)-IF(AA1478="Да",0,SUM(INDIRECT("T"&amp;(MAX(("Да"=AA$12:AA1478)*ROW(AA$12:AA1478)+1,ROW($T$12))&amp;":T"&amp;(ROW()-1))))),Первоначальный[[#This Row],[Полученный платеж]]+Y1478),
AND(S1478=0,MAX((0&lt;&gt;N$12:N1478)*ROW(N$12:N1478),ROW($S$12))&gt;=MAX((1=Z$12:Z1478)*ROW(Z$12:Z1478),ROW($T$12))),MIN(LOOKUP(,-1/($Z$12:Z1479=1),$C$12:C1479)+LOOKUP(,-1/($Z$12:Z1479=1),$H$12:H1479)-IF(N1478&lt;&gt;0,0,SUM(INDIRECT("T"&amp;(MAX((0&lt;&gt;N$12:N1478)*ROW(N$12:N1478)+1,ROW($T$12))&amp;":T"&amp;(ROW()-1))))),Первоначальный[[#This Row],[Полученный платеж]]+Y1478),
AND(S1478=0,Первоначальный[[#This Row],[Дата платежа из графика]]=1),MIN(LOOKUP(,-1/($Z$12:Z1479=1),$C$12:C1479)+LOOKUP(,-1/($Z$12:Z1479=1),$H$12:H1479)-IF(Z1478=1,0,SUM(INDIRECT("T"&amp;(MAX((1=Z$12:Z1478)*ROW(Z$12:Z1478)+1,ROW($T$12))&amp;":T"&amp;(ROW()-1))))),Первоначальный[[#This Row],[Полученный платеж]]+Y1478),
AND(Z1478&gt;0,Первоначальный[[#This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платеж]]+Y1478),
AND(S1478&gt;0,MAX((0&lt;&gt;S$12:S1478)*ROW(S$12:S1478),ROW($S$12))&gt;=MAX((1=Z$12:Z1478)*ROW(Z$12:Z1478),ROW($T$12)),TYPE(VLOOKUP("Да",(INDIRECT("AA"&amp;(MAX((1=Z$12:Z1478)*ROW(Z$12:Z1478),ROW($T$12))&amp;":AA"&amp;(ROW()-1)))),1,0))=16),MIN(LOOKUP(,-1/($Z$12:Z1479=1),$C$12:C1479)+LOOKUP(,-1/($Z$12:Z1479=1),$H$12:H1479)-SUM(INDIRECT("T"&amp;(MAX((1=Z$12:Z1478)*ROW(Z$12:Z1478),ROW($T$12))&amp;":T"&amp;(ROW()-1)))),Первоначальный[[#This Row],[Полученный платеж]]+Y1478),
S1478&gt;0,MIN(LOOKUP(,-1/($Z$12:Z1479=1),$C$12:C1479)+LOOKUP(,-1/($Z$12:Z1479=1),$H$12:H1479)-IF(Z1478=1,0,SUM(INDIRECT("T"&amp;(MAX((1=Z$12:Z1478)*ROW(Z$12:Z1478)+1,ROW($T$12))&amp;":T"&amp;(ROW()-1))))),Первоначальный[[#This Row],[Полученный платеж]]+Y1478)
)
)
)</f>
        <v>0</v>
      </c>
      <c r="U147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платеж]]+Y1478-Первоначальный[[#This Row],[Полученный платёж по процентам]])</f>
        <v>0</v>
      </c>
      <c r="V1479" s="55">
        <f t="shared" ca="1" si="267"/>
        <v>0</v>
      </c>
      <c r="W1479" s="55" cm="1">
        <f t="array" aca="1" ref="W1479" ca="1">IF(Первоначальный[[#This Row],[Итого остаток на начало периода]]&lt;1,0,
_xlfn.IFS(
AND(TYPE(VLOOKUP(1,$Z$12:Z1479,1,0))=16,Первоначальный[[#This Row],[Досрочное погашение (да/"")]]=""),0,
AND(S1478=0,Первоначальный[[#This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платеж]]+Y1478-SUM(Первоначальный[[#This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комиссиям]]),VLOOKUP(LOOKUP(,-1/($Z$12:Z1479=1),$A$12:A1479),График[[Срок конец]:[Возврат основной суммы долга]],3,0)),
AND(S1478=0,Первоначальный[[#This Row],[Дата платежа из графика]]="",Первоначальный[[#This Row],[Досрочное погашение (да/"")]]&lt;&gt;"Да"),0,
AND(S1478=0,Первоначальный[[#This Row],[Досрочное погашение (да/"")]]=""),MIN(Первоначальный[[#This Row],[Полученный платеж]]+Y1478-SUM(Первоначальный[[#This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комиссиям]]),VLOOKUP(LOOKUP(,-1/($Z$12:Z1479=1),$A$12:A1479),График[[Срок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платеж]]+Y1478-SUM(Первоначальный[[#This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S1478&gt;0,MIN(Первоначальный[[#This Row],[Полученный платеж]]+Y1478-SUM(Первоначальный[[#This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комиссиям]]),SUM(INDIRECT("M"&amp;(MAX((1=S$12:S1478)*ROW(S$12:S1478),ROW($W$12))&amp;":M"&amp;(ROW()))))-SUM(INDIRECT("W"&amp;(MAX((1=S$12:S1478)*ROW(S$12:S1478),ROW($W$12))&amp;":W"&amp;(ROW()-1)))))
)
)</f>
        <v>0</v>
      </c>
      <c r="X1479" s="55">
        <f t="shared" ca="1" si="268"/>
        <v>0</v>
      </c>
      <c r="Y1479" s="101">
        <f t="shared" ca="1" si="275"/>
        <v>0</v>
      </c>
      <c r="Z1479" s="133" t="str">
        <f>IF(TYPE((VLOOKUP(Первоначальный[[#This Row],[Дата платежа]],График[Срок конец],1,0)))=16,"",1)</f>
        <v/>
      </c>
      <c r="AA1479" s="57"/>
      <c r="AB1479" s="134"/>
      <c r="AC147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7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105160.23000000023</v>
      </c>
      <c r="AE147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9376.6700000000146</v>
      </c>
      <c r="AF147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7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460589.50700819748</v>
      </c>
      <c r="AH1479" s="55"/>
      <c r="AI1479" s="55"/>
      <c r="AJ1479" s="55"/>
      <c r="AK1479" s="101">
        <f t="shared" ca="1" si="276"/>
        <v>724759.74700819771</v>
      </c>
      <c r="AL1479" s="129">
        <f t="array" ref="AL1479">MAX((УслРестрактов[Характеристика]="Дата реструктуризации")*(УслРестрактов[Значение]=Первоначальный!$A1479),0)</f>
        <v>0</v>
      </c>
    </row>
    <row r="1480" spans="1:38" x14ac:dyDescent="0.25">
      <c r="A1480" s="97">
        <f t="shared" si="269"/>
        <v>45611</v>
      </c>
      <c r="B1480" s="100">
        <f t="shared" ca="1" si="270"/>
        <v>149633.34</v>
      </c>
      <c r="C1480" s="55">
        <f t="shared" ca="1" si="278"/>
        <v>105160.23000000023</v>
      </c>
      <c r="D1480" s="55">
        <f t="shared" ca="1" si="278"/>
        <v>9376.6700000000146</v>
      </c>
      <c r="E1480" s="55">
        <f t="shared" ca="1" si="271"/>
        <v>0</v>
      </c>
      <c r="F1480" s="55">
        <f t="shared" ca="1" si="272"/>
        <v>460589.50700819748</v>
      </c>
      <c r="G1480" s="101">
        <f t="shared" ca="1" si="273"/>
        <v>724759.74700819771</v>
      </c>
      <c r="H1480" s="100">
        <f ca="1">ROUND($B1480*VLOOKUP($A1480,$A$1:$B$10,2,1)/(365+IF(MOD(YEAR($A1480),4),0,1)*($A1480-$A1479)),2)-Первоначальный[[#This Row],[Проценты на просроченный платеж по ОД за период]]</f>
        <v>65.900000000000006</v>
      </c>
      <c r="I1480" s="55">
        <f t="shared" ca="1" si="274"/>
        <v>15.46</v>
      </c>
      <c r="J1480" s="55">
        <v>0</v>
      </c>
      <c r="K1480" s="55">
        <f t="shared" ca="1" si="277"/>
        <v>666.24350327868842</v>
      </c>
      <c r="L1480" s="55">
        <v>0</v>
      </c>
      <c r="M1480" s="113">
        <f>SUMIFS(График[Возврат основной суммы долга],График[Дата с учетом нерабочих дней],$A1480)</f>
        <v>0</v>
      </c>
      <c r="N1480" s="56">
        <f>SUMIFS(График[Возврат начисленных %],График[Дата с учетом нерабочих дней],$A1480)</f>
        <v>0</v>
      </c>
      <c r="O1480" s="101">
        <v>0</v>
      </c>
      <c r="P1480" s="100" cm="1">
        <f t="array" aca="1" ref="P1480" ca="1">MAX(IF(AA1479="Да",0,SUM(INDIRECT("M"&amp;(MAX(("Да"=AA$12:AA1479)*ROW(AA$12:AA1479)+1,ROW($P$12))&amp;":M"&amp;(ROW()))))-SUM(INDIRECT("W"&amp;(MAX(("Да"=AA$12:AA1479)*ROW(AA$12:AA1479)+1,ROW($P$12))&amp;":W"&amp;(ROW()))))),0)</f>
        <v>28424.789999999997</v>
      </c>
      <c r="Q1480" s="99">
        <f ca="1">MAX(SUM($N$13:N1480)-SUM($T$13:T1480),0)</f>
        <v>104823.91065573769</v>
      </c>
      <c r="R1480" s="99">
        <f ca="1">Первоначальный[[#This Row],[Просроченный платеж по ОД]]+Первоначальный[[#This Row],[Просроченный платеж по процентам]]</f>
        <v>133248.70065573769</v>
      </c>
      <c r="S1480" s="120">
        <f ca="1">IF(Первоначальный[[#This Row],[Просроченный платеж]]&lt;1,0,S1479+1)</f>
        <v>1376</v>
      </c>
      <c r="T1480" s="100" cm="1">
        <f t="array" aca="1" ref="T1480" ca="1">IF(Первоначальный[[#This Row],[Итого остаток на начало периода]]&lt;1,0,
IF(
AND(TYPE(VLOOKUP(1,$Z$12:Z1480,1,0))=16,Первоначальный[[#This Row],[Досрочное погашение (да/"")]]=""),0,
_xlfn.IFS(AND(S1479=0,Первоначальный[[#This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платеж]]&lt;&gt;0),MIN(LOOKUP(,-1/($Z$12:Z1480=1),$C$12:C1480)+LOOKUP(,-1/($Z$12:Z1480=1),$H$12:H1480),Первоначальный[[#This Row],[Полученный платеж]]+Y1479),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платеж]]+Y1479,SUM(Первоначальный[[#This Row],[Остаток процентов на начало периода]],Первоначальный[[#This Row],[Проценты за период]])),
AND(S1479=0,Первоначальный[[#This Row],[Дата платежа из графика]]=""),0,
AND(S1479=0,Первоначальный[[#This Row],[Дата платежа из графика]]=1,MAX((0&lt;&gt;S$12:S1479)*ROW(S$12:S1479),ROW($S$12))&gt;=MAX((1=Z$12:Z1479)*ROW(Z$12:Z1479),ROW($T$12)),TYPE(VLOOKUP("Да",(INDIRECT("AA"&amp;(MAX((1=Z$12:Z1479)*ROW(Z$12:Z1479),ROW($T$12))&amp;":AA"&amp;(ROW()-1)))),1,0))=16),MIN(LOOKUP(,-1/($Z$12:Z1480=1),$C$12:C1480)+LOOKUP(,-1/($Z$12:Z1480=1),$H$12:H1480),Первоначальный[[#This Row],[Полученный платеж]]+Y1479),
AND(S1479=0,TYPE(VLOOKUP("Да",(INDIRECT("AA"&amp;(MAX((1=Z$12:Z1479)*ROW(Z$12:Z1479),ROW($T$12))&amp;":AA"&amp;(ROW()-1)))),1,0))&lt;&gt;16),MIN(LOOKUP(,-1/($Z$12:Z1480=1),$C$12:C1480)+LOOKUP(,-1/($Z$12:Z1480=1),$H$12:H1480)-IF(AA1479="Да",0,SUM(INDIRECT("T"&amp;(MAX(("Да"=AA$12:AA1479)*ROW(AA$12:AA1479)+1,ROW($T$12))&amp;":T"&amp;(ROW()-1))))),Первоначальный[[#This Row],[Полученный платеж]]+Y1479),
AND(S1479=0,MAX((0&lt;&gt;N$12:N1479)*ROW(N$12:N1479),ROW($S$12))&gt;=MAX((1=Z$12:Z1479)*ROW(Z$12:Z1479),ROW($T$12))),MIN(LOOKUP(,-1/($Z$12:Z1480=1),$C$12:C1480)+LOOKUP(,-1/($Z$12:Z1480=1),$H$12:H1480)-IF(N1479&lt;&gt;0,0,SUM(INDIRECT("T"&amp;(MAX((0&lt;&gt;N$12:N1479)*ROW(N$12:N1479)+1,ROW($T$12))&amp;":T"&amp;(ROW()-1))))),Первоначальный[[#This Row],[Полученный платеж]]+Y1479),
AND(S1479=0,Первоначальный[[#This Row],[Дата платежа из графика]]=1),MIN(LOOKUP(,-1/($Z$12:Z1480=1),$C$12:C1480)+LOOKUP(,-1/($Z$12:Z1480=1),$H$12:H1480)-IF(Z1479=1,0,SUM(INDIRECT("T"&amp;(MAX((1=Z$12:Z1479)*ROW(Z$12:Z1479)+1,ROW($T$12))&amp;":T"&amp;(ROW()-1))))),Первоначальный[[#This Row],[Полученный платеж]]+Y1479),
AND(Z1479&gt;0,Первоначальный[[#This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платеж]]+Y1479),
AND(S1479&gt;0,MAX((0&lt;&gt;S$12:S1479)*ROW(S$12:S1479),ROW($S$12))&gt;=MAX((1=Z$12:Z1479)*ROW(Z$12:Z1479),ROW($T$12)),TYPE(VLOOKUP("Да",(INDIRECT("AA"&amp;(MAX((1=Z$12:Z1479)*ROW(Z$12:Z1479),ROW($T$12))&amp;":AA"&amp;(ROW()-1)))),1,0))=16),MIN(LOOKUP(,-1/($Z$12:Z1480=1),$C$12:C1480)+LOOKUP(,-1/($Z$12:Z1480=1),$H$12:H1480)-SUM(INDIRECT("T"&amp;(MAX((1=Z$12:Z1479)*ROW(Z$12:Z1479),ROW($T$12))&amp;":T"&amp;(ROW()-1)))),Первоначальный[[#This Row],[Полученный платеж]]+Y1479),
S1479&gt;0,MIN(LOOKUP(,-1/($Z$12:Z1480=1),$C$12:C1480)+LOOKUP(,-1/($Z$12:Z1480=1),$H$12:H1480)-IF(Z1479=1,0,SUM(INDIRECT("T"&amp;(MAX((1=Z$12:Z1479)*ROW(Z$12:Z1479)+1,ROW($T$12))&amp;":T"&amp;(ROW()-1))))),Первоначальный[[#This Row],[Полученный платеж]]+Y1479)
)
)
)</f>
        <v>0</v>
      </c>
      <c r="U148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платеж]]+Y1479-Первоначальный[[#This Row],[Полученный платёж по процентам]])</f>
        <v>0</v>
      </c>
      <c r="V1480" s="55">
        <f t="shared" ca="1" si="267"/>
        <v>0</v>
      </c>
      <c r="W1480" s="55" cm="1">
        <f t="array" aca="1" ref="W1480" ca="1">IF(Первоначальный[[#This Row],[Итого остаток на начало периода]]&lt;1,0,
_xlfn.IFS(
AND(TYPE(VLOOKUP(1,$Z$12:Z1480,1,0))=16,Первоначальный[[#This Row],[Досрочное погашение (да/"")]]=""),0,
AND(S1479=0,Первоначальный[[#This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платеж]]+Y1479-SUM(Первоначальный[[#This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комиссиям]]),VLOOKUP(LOOKUP(,-1/($Z$12:Z1480=1),$A$12:A1480),График[[Срок конец]:[Возврат основной суммы долга]],3,0)),
AND(S1479=0,Первоначальный[[#This Row],[Дата платежа из графика]]="",Первоначальный[[#This Row],[Досрочное погашение (да/"")]]&lt;&gt;"Да"),0,
AND(S1479=0,Первоначальный[[#This Row],[Досрочное погашение (да/"")]]=""),MIN(Первоначальный[[#This Row],[Полученный платеж]]+Y1479-SUM(Первоначальный[[#This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комиссиям]]),VLOOKUP(LOOKUP(,-1/($Z$12:Z1480=1),$A$12:A1480),График[[Срок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платеж]]+Y1479-SUM(Первоначальный[[#This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S1479&gt;0,MIN(Первоначальный[[#This Row],[Полученный платеж]]+Y1479-SUM(Первоначальный[[#This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комиссиям]]),SUM(INDIRECT("M"&amp;(MAX((1=S$12:S1479)*ROW(S$12:S1479),ROW($W$12))&amp;":M"&amp;(ROW()))))-SUM(INDIRECT("W"&amp;(MAX((1=S$12:S1479)*ROW(S$12:S1479),ROW($W$12))&amp;":W"&amp;(ROW()-1)))))
)
)</f>
        <v>0</v>
      </c>
      <c r="X1480" s="55">
        <f t="shared" ca="1" si="268"/>
        <v>0</v>
      </c>
      <c r="Y1480" s="101">
        <f t="shared" ca="1" si="275"/>
        <v>0</v>
      </c>
      <c r="Z1480" s="133" t="str">
        <f>IF(TYPE((VLOOKUP(Первоначальный[[#This Row],[Дата платежа]],График[Срок конец],1,0)))=16,"",1)</f>
        <v/>
      </c>
      <c r="AA1480" s="57"/>
      <c r="AB1480" s="134"/>
      <c r="AC148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8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105226.13000000022</v>
      </c>
      <c r="AE148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9392.1300000000138</v>
      </c>
      <c r="AF148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8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461255.75051147619</v>
      </c>
      <c r="AH1480" s="55"/>
      <c r="AI1480" s="55"/>
      <c r="AJ1480" s="55"/>
      <c r="AK1480" s="101">
        <f t="shared" ca="1" si="276"/>
        <v>725507.3505114764</v>
      </c>
      <c r="AL1480" s="129">
        <f t="array" ref="AL1480">MAX((УслРестрактов[Характеристика]="Дата реструктуризации")*(УслРестрактов[Значение]=Первоначальный!$A1480),0)</f>
        <v>0</v>
      </c>
    </row>
    <row r="1481" spans="1:38" x14ac:dyDescent="0.25">
      <c r="A1481" s="97">
        <f t="shared" si="269"/>
        <v>45612</v>
      </c>
      <c r="B1481" s="100">
        <f t="shared" ca="1" si="270"/>
        <v>149633.34</v>
      </c>
      <c r="C1481" s="55">
        <f t="shared" ca="1" si="278"/>
        <v>105226.13000000022</v>
      </c>
      <c r="D1481" s="55">
        <f t="shared" ca="1" si="278"/>
        <v>9392.1300000000138</v>
      </c>
      <c r="E1481" s="55">
        <f t="shared" ca="1" si="271"/>
        <v>0</v>
      </c>
      <c r="F1481" s="55">
        <f t="shared" ca="1" si="272"/>
        <v>461255.75051147619</v>
      </c>
      <c r="G1481" s="101">
        <f t="shared" ca="1" si="273"/>
        <v>725507.3505114764</v>
      </c>
      <c r="H1481" s="100">
        <f ca="1">ROUND($B1481*VLOOKUP($A1481,$A$1:$B$10,2,1)/(365+IF(MOD(YEAR($A1481),4),0,1)*($A1481-$A1480)),2)-Первоначальный[[#This Row],[Проценты на просроченный платеж по ОД за период]]</f>
        <v>65.900000000000006</v>
      </c>
      <c r="I1481" s="55">
        <f t="shared" ca="1" si="274"/>
        <v>15.46</v>
      </c>
      <c r="J1481" s="55">
        <v>0</v>
      </c>
      <c r="K1481" s="55">
        <f t="shared" ca="1" si="277"/>
        <v>666.24350327868842</v>
      </c>
      <c r="L1481" s="55">
        <v>0</v>
      </c>
      <c r="M1481" s="113">
        <f>SUMIFS(График[Возврат основной суммы долга],График[Дата с учетом нерабочих дней],$A1481)</f>
        <v>0</v>
      </c>
      <c r="N1481" s="56">
        <f>SUMIFS(График[Возврат начисленных %],График[Дата с учетом нерабочих дней],$A1481)</f>
        <v>0</v>
      </c>
      <c r="O1481" s="101">
        <v>0</v>
      </c>
      <c r="P1481" s="100" cm="1">
        <f t="array" aca="1" ref="P1481" ca="1">MAX(IF(AA1480="Да",0,SUM(INDIRECT("M"&amp;(MAX(("Да"=AA$12:AA1480)*ROW(AA$12:AA1480)+1,ROW($P$12))&amp;":M"&amp;(ROW()))))-SUM(INDIRECT("W"&amp;(MAX(("Да"=AA$12:AA1480)*ROW(AA$12:AA1480)+1,ROW($P$12))&amp;":W"&amp;(ROW()))))),0)</f>
        <v>28424.789999999997</v>
      </c>
      <c r="Q1481" s="99">
        <f ca="1">MAX(SUM($N$13:N1481)-SUM($T$13:T1481),0)</f>
        <v>104823.91065573769</v>
      </c>
      <c r="R1481" s="99">
        <f ca="1">Первоначальный[[#This Row],[Просроченный платеж по ОД]]+Первоначальный[[#This Row],[Просроченный платеж по процентам]]</f>
        <v>133248.70065573769</v>
      </c>
      <c r="S1481" s="120">
        <f ca="1">IF(Первоначальный[[#This Row],[Просроченный платеж]]&lt;1,0,S1480+1)</f>
        <v>1377</v>
      </c>
      <c r="T1481" s="100" cm="1">
        <f t="array" aca="1" ref="T1481" ca="1">IF(Первоначальный[[#This Row],[Итого остаток на начало периода]]&lt;1,0,
IF(
AND(TYPE(VLOOKUP(1,$Z$12:Z1481,1,0))=16,Первоначальный[[#This Row],[Досрочное погашение (да/"")]]=""),0,
_xlfn.IFS(AND(S1480=0,Первоначальный[[#This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платеж]]&lt;&gt;0),MIN(LOOKUP(,-1/($Z$12:Z1481=1),$C$12:C1481)+LOOKUP(,-1/($Z$12:Z1481=1),$H$12:H1481),Первоначальный[[#This Row],[Полученный платеж]]+Y1480),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платеж]]+Y1480,SUM(Первоначальный[[#This Row],[Остаток процентов на начало периода]],Первоначальный[[#This Row],[Проценты за период]])),
AND(S1480=0,Первоначальный[[#This Row],[Дата платежа из графика]]=""),0,
AND(S1480=0,Первоначальный[[#This Row],[Дата платежа из графика]]=1,MAX((0&lt;&gt;S$12:S1480)*ROW(S$12:S1480),ROW($S$12))&gt;=MAX((1=Z$12:Z1480)*ROW(Z$12:Z1480),ROW($T$12)),TYPE(VLOOKUP("Да",(INDIRECT("AA"&amp;(MAX((1=Z$12:Z1480)*ROW(Z$12:Z1480),ROW($T$12))&amp;":AA"&amp;(ROW()-1)))),1,0))=16),MIN(LOOKUP(,-1/($Z$12:Z1481=1),$C$12:C1481)+LOOKUP(,-1/($Z$12:Z1481=1),$H$12:H1481),Первоначальный[[#This Row],[Полученный платеж]]+Y1480),
AND(S1480=0,TYPE(VLOOKUP("Да",(INDIRECT("AA"&amp;(MAX((1=Z$12:Z1480)*ROW(Z$12:Z1480),ROW($T$12))&amp;":AA"&amp;(ROW()-1)))),1,0))&lt;&gt;16),MIN(LOOKUP(,-1/($Z$12:Z1481=1),$C$12:C1481)+LOOKUP(,-1/($Z$12:Z1481=1),$H$12:H1481)-IF(AA1480="Да",0,SUM(INDIRECT("T"&amp;(MAX(("Да"=AA$12:AA1480)*ROW(AA$12:AA1480)+1,ROW($T$12))&amp;":T"&amp;(ROW()-1))))),Первоначальный[[#This Row],[Полученный платеж]]+Y1480),
AND(S1480=0,MAX((0&lt;&gt;N$12:N1480)*ROW(N$12:N1480),ROW($S$12))&gt;=MAX((1=Z$12:Z1480)*ROW(Z$12:Z1480),ROW($T$12))),MIN(LOOKUP(,-1/($Z$12:Z1481=1),$C$12:C1481)+LOOKUP(,-1/($Z$12:Z1481=1),$H$12:H1481)-IF(N1480&lt;&gt;0,0,SUM(INDIRECT("T"&amp;(MAX((0&lt;&gt;N$12:N1480)*ROW(N$12:N1480)+1,ROW($T$12))&amp;":T"&amp;(ROW()-1))))),Первоначальный[[#This Row],[Полученный платеж]]+Y1480),
AND(S1480=0,Первоначальный[[#This Row],[Дата платежа из графика]]=1),MIN(LOOKUP(,-1/($Z$12:Z1481=1),$C$12:C1481)+LOOKUP(,-1/($Z$12:Z1481=1),$H$12:H1481)-IF(Z1480=1,0,SUM(INDIRECT("T"&amp;(MAX((1=Z$12:Z1480)*ROW(Z$12:Z1480)+1,ROW($T$12))&amp;":T"&amp;(ROW()-1))))),Первоначальный[[#This Row],[Полученный платеж]]+Y1480),
AND(Z1480&gt;0,Первоначальный[[#This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платеж]]+Y1480),
AND(S1480&gt;0,MAX((0&lt;&gt;S$12:S1480)*ROW(S$12:S1480),ROW($S$12))&gt;=MAX((1=Z$12:Z1480)*ROW(Z$12:Z1480),ROW($T$12)),TYPE(VLOOKUP("Да",(INDIRECT("AA"&amp;(MAX((1=Z$12:Z1480)*ROW(Z$12:Z1480),ROW($T$12))&amp;":AA"&amp;(ROW()-1)))),1,0))=16),MIN(LOOKUP(,-1/($Z$12:Z1481=1),$C$12:C1481)+LOOKUP(,-1/($Z$12:Z1481=1),$H$12:H1481)-SUM(INDIRECT("T"&amp;(MAX((1=Z$12:Z1480)*ROW(Z$12:Z1480),ROW($T$12))&amp;":T"&amp;(ROW()-1)))),Первоначальный[[#This Row],[Полученный платеж]]+Y1480),
S1480&gt;0,MIN(LOOKUP(,-1/($Z$12:Z1481=1),$C$12:C1481)+LOOKUP(,-1/($Z$12:Z1481=1),$H$12:H1481)-IF(Z1480=1,0,SUM(INDIRECT("T"&amp;(MAX((1=Z$12:Z1480)*ROW(Z$12:Z1480)+1,ROW($T$12))&amp;":T"&amp;(ROW()-1))))),Первоначальный[[#This Row],[Полученный платеж]]+Y1480)
)
)
)</f>
        <v>0</v>
      </c>
      <c r="U148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платеж]]+Y1480-Первоначальный[[#This Row],[Полученный платёж по процентам]])</f>
        <v>0</v>
      </c>
      <c r="V1481" s="55">
        <f t="shared" ca="1" si="267"/>
        <v>0</v>
      </c>
      <c r="W1481" s="55" cm="1">
        <f t="array" aca="1" ref="W1481" ca="1">IF(Первоначальный[[#This Row],[Итого остаток на начало периода]]&lt;1,0,
_xlfn.IFS(
AND(TYPE(VLOOKUP(1,$Z$12:Z1481,1,0))=16,Первоначальный[[#This Row],[Досрочное погашение (да/"")]]=""),0,
AND(S1480=0,Первоначальный[[#This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платеж]]+Y1480-SUM(Первоначальный[[#This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комиссиям]]),VLOOKUP(LOOKUP(,-1/($Z$12:Z1481=1),$A$12:A1481),График[[Срок конец]:[Возврат основной суммы долга]],3,0)),
AND(S1480=0,Первоначальный[[#This Row],[Дата платежа из графика]]="",Первоначальный[[#This Row],[Досрочное погашение (да/"")]]&lt;&gt;"Да"),0,
AND(S1480=0,Первоначальный[[#This Row],[Досрочное погашение (да/"")]]=""),MIN(Первоначальный[[#This Row],[Полученный платеж]]+Y1480-SUM(Первоначальный[[#This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комиссиям]]),VLOOKUP(LOOKUP(,-1/($Z$12:Z1481=1),$A$12:A1481),График[[Срок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платеж]]+Y1480-SUM(Первоначальный[[#This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S1480&gt;0,MIN(Первоначальный[[#This Row],[Полученный платеж]]+Y1480-SUM(Первоначальный[[#This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комиссиям]]),SUM(INDIRECT("M"&amp;(MAX((1=S$12:S1480)*ROW(S$12:S1480),ROW($W$12))&amp;":M"&amp;(ROW()))))-SUM(INDIRECT("W"&amp;(MAX((1=S$12:S1480)*ROW(S$12:S1480),ROW($W$12))&amp;":W"&amp;(ROW()-1)))))
)
)</f>
        <v>0</v>
      </c>
      <c r="X1481" s="55">
        <f t="shared" ca="1" si="268"/>
        <v>0</v>
      </c>
      <c r="Y1481" s="101">
        <f t="shared" ca="1" si="275"/>
        <v>0</v>
      </c>
      <c r="Z1481" s="133" t="str">
        <f>IF(TYPE((VLOOKUP(Первоначальный[[#This Row],[Дата платежа]],График[Срок конец],1,0)))=16,"",1)</f>
        <v/>
      </c>
      <c r="AA1481" s="57"/>
      <c r="AB1481" s="134"/>
      <c r="AC148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8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105292.03000000022</v>
      </c>
      <c r="AE148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9407.5900000000129</v>
      </c>
      <c r="AF148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8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461921.99401475489</v>
      </c>
      <c r="AH1481" s="55"/>
      <c r="AI1481" s="55"/>
      <c r="AJ1481" s="55"/>
      <c r="AK1481" s="101">
        <f t="shared" ca="1" si="276"/>
        <v>726254.95401475509</v>
      </c>
      <c r="AL1481" s="129">
        <f t="array" ref="AL1481">MAX((УслРестрактов[Характеристика]="Дата реструктуризации")*(УслРестрактов[Значение]=Первоначальный!$A1481),0)</f>
        <v>0</v>
      </c>
    </row>
    <row r="1482" spans="1:38" x14ac:dyDescent="0.25">
      <c r="A1482" s="97">
        <f t="shared" si="269"/>
        <v>45613</v>
      </c>
      <c r="B1482" s="100">
        <f t="shared" ca="1" si="270"/>
        <v>149633.34</v>
      </c>
      <c r="C1482" s="55">
        <f t="shared" ca="1" si="278"/>
        <v>105292.03000000022</v>
      </c>
      <c r="D1482" s="55">
        <f t="shared" ca="1" si="278"/>
        <v>9407.5900000000129</v>
      </c>
      <c r="E1482" s="55">
        <f t="shared" ca="1" si="271"/>
        <v>0</v>
      </c>
      <c r="F1482" s="55">
        <f t="shared" ca="1" si="272"/>
        <v>461921.99401475489</v>
      </c>
      <c r="G1482" s="101">
        <f t="shared" ca="1" si="273"/>
        <v>726254.95401475509</v>
      </c>
      <c r="H1482" s="100">
        <f ca="1">ROUND($B1482*VLOOKUP($A1482,$A$1:$B$10,2,1)/(365+IF(MOD(YEAR($A1482),4),0,1)*($A1482-$A1481)),2)-Первоначальный[[#This Row],[Проценты на просроченный платеж по ОД за период]]</f>
        <v>65.900000000000006</v>
      </c>
      <c r="I1482" s="55">
        <f t="shared" ca="1" si="274"/>
        <v>15.46</v>
      </c>
      <c r="J1482" s="55">
        <v>0</v>
      </c>
      <c r="K1482" s="55">
        <f t="shared" ca="1" si="277"/>
        <v>666.24350327868842</v>
      </c>
      <c r="L1482" s="55">
        <v>0</v>
      </c>
      <c r="M1482" s="113">
        <f>SUMIFS(График[Возврат основной суммы долга],График[Дата с учетом нерабочих дней],$A1482)</f>
        <v>0</v>
      </c>
      <c r="N1482" s="56">
        <f>SUMIFS(График[Возврат начисленных %],График[Дата с учетом нерабочих дней],$A1482)</f>
        <v>0</v>
      </c>
      <c r="O1482" s="101">
        <v>0</v>
      </c>
      <c r="P1482" s="100" cm="1">
        <f t="array" aca="1" ref="P1482" ca="1">MAX(IF(AA1481="Да",0,SUM(INDIRECT("M"&amp;(MAX(("Да"=AA$12:AA1481)*ROW(AA$12:AA1481)+1,ROW($P$12))&amp;":M"&amp;(ROW()))))-SUM(INDIRECT("W"&amp;(MAX(("Да"=AA$12:AA1481)*ROW(AA$12:AA1481)+1,ROW($P$12))&amp;":W"&amp;(ROW()))))),0)</f>
        <v>28424.789999999997</v>
      </c>
      <c r="Q1482" s="99">
        <f ca="1">MAX(SUM($N$13:N1482)-SUM($T$13:T1482),0)</f>
        <v>104823.91065573769</v>
      </c>
      <c r="R1482" s="99">
        <f ca="1">Первоначальный[[#This Row],[Просроченный платеж по ОД]]+Первоначальный[[#This Row],[Просроченный платеж по процентам]]</f>
        <v>133248.70065573769</v>
      </c>
      <c r="S1482" s="120">
        <f ca="1">IF(Первоначальный[[#This Row],[Просроченный платеж]]&lt;1,0,S1481+1)</f>
        <v>1378</v>
      </c>
      <c r="T1482" s="100" cm="1">
        <f t="array" aca="1" ref="T1482" ca="1">IF(Первоначальный[[#This Row],[Итого остаток на начало периода]]&lt;1,0,
IF(
AND(TYPE(VLOOKUP(1,$Z$12:Z1482,1,0))=16,Первоначальный[[#This Row],[Досрочное погашение (да/"")]]=""),0,
_xlfn.IFS(AND(S1481=0,Первоначальный[[#This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платеж]]&lt;&gt;0),MIN(LOOKUP(,-1/($Z$12:Z1482=1),$C$12:C1482)+LOOKUP(,-1/($Z$12:Z1482=1),$H$12:H1482),Первоначальный[[#This Row],[Полученный платеж]]+Y1481),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платеж]]+Y1481,SUM(Первоначальный[[#This Row],[Остаток процентов на начало периода]],Первоначальный[[#This Row],[Проценты за период]])),
AND(S1481=0,Первоначальный[[#This Row],[Дата платежа из графика]]=""),0,
AND(S1481=0,Первоначальный[[#This Row],[Дата платежа из графика]]=1,MAX((0&lt;&gt;S$12:S1481)*ROW(S$12:S1481),ROW($S$12))&gt;=MAX((1=Z$12:Z1481)*ROW(Z$12:Z1481),ROW($T$12)),TYPE(VLOOKUP("Да",(INDIRECT("AA"&amp;(MAX((1=Z$12:Z1481)*ROW(Z$12:Z1481),ROW($T$12))&amp;":AA"&amp;(ROW()-1)))),1,0))=16),MIN(LOOKUP(,-1/($Z$12:Z1482=1),$C$12:C1482)+LOOKUP(,-1/($Z$12:Z1482=1),$H$12:H1482),Первоначальный[[#This Row],[Полученный платеж]]+Y1481),
AND(S1481=0,TYPE(VLOOKUP("Да",(INDIRECT("AA"&amp;(MAX((1=Z$12:Z1481)*ROW(Z$12:Z1481),ROW($T$12))&amp;":AA"&amp;(ROW()-1)))),1,0))&lt;&gt;16),MIN(LOOKUP(,-1/($Z$12:Z1482=1),$C$12:C1482)+LOOKUP(,-1/($Z$12:Z1482=1),$H$12:H1482)-IF(AA1481="Да",0,SUM(INDIRECT("T"&amp;(MAX(("Да"=AA$12:AA1481)*ROW(AA$12:AA1481)+1,ROW($T$12))&amp;":T"&amp;(ROW()-1))))),Первоначальный[[#This Row],[Полученный платеж]]+Y1481),
AND(S1481=0,MAX((0&lt;&gt;N$12:N1481)*ROW(N$12:N1481),ROW($S$12))&gt;=MAX((1=Z$12:Z1481)*ROW(Z$12:Z1481),ROW($T$12))),MIN(LOOKUP(,-1/($Z$12:Z1482=1),$C$12:C1482)+LOOKUP(,-1/($Z$12:Z1482=1),$H$12:H1482)-IF(N1481&lt;&gt;0,0,SUM(INDIRECT("T"&amp;(MAX((0&lt;&gt;N$12:N1481)*ROW(N$12:N1481)+1,ROW($T$12))&amp;":T"&amp;(ROW()-1))))),Первоначальный[[#This Row],[Полученный платеж]]+Y1481),
AND(S1481=0,Первоначальный[[#This Row],[Дата платежа из графика]]=1),MIN(LOOKUP(,-1/($Z$12:Z1482=1),$C$12:C1482)+LOOKUP(,-1/($Z$12:Z1482=1),$H$12:H1482)-IF(Z1481=1,0,SUM(INDIRECT("T"&amp;(MAX((1=Z$12:Z1481)*ROW(Z$12:Z1481)+1,ROW($T$12))&amp;":T"&amp;(ROW()-1))))),Первоначальный[[#This Row],[Полученный платеж]]+Y1481),
AND(Z1481&gt;0,Первоначальный[[#This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платеж]]+Y1481),
AND(S1481&gt;0,MAX((0&lt;&gt;S$12:S1481)*ROW(S$12:S1481),ROW($S$12))&gt;=MAX((1=Z$12:Z1481)*ROW(Z$12:Z1481),ROW($T$12)),TYPE(VLOOKUP("Да",(INDIRECT("AA"&amp;(MAX((1=Z$12:Z1481)*ROW(Z$12:Z1481),ROW($T$12))&amp;":AA"&amp;(ROW()-1)))),1,0))=16),MIN(LOOKUP(,-1/($Z$12:Z1482=1),$C$12:C1482)+LOOKUP(,-1/($Z$12:Z1482=1),$H$12:H1482)-SUM(INDIRECT("T"&amp;(MAX((1=Z$12:Z1481)*ROW(Z$12:Z1481),ROW($T$12))&amp;":T"&amp;(ROW()-1)))),Первоначальный[[#This Row],[Полученный платеж]]+Y1481),
S1481&gt;0,MIN(LOOKUP(,-1/($Z$12:Z1482=1),$C$12:C1482)+LOOKUP(,-1/($Z$12:Z1482=1),$H$12:H1482)-IF(Z1481=1,0,SUM(INDIRECT("T"&amp;(MAX((1=Z$12:Z1481)*ROW(Z$12:Z1481)+1,ROW($T$12))&amp;":T"&amp;(ROW()-1))))),Первоначальный[[#This Row],[Полученный платеж]]+Y1481)
)
)
)</f>
        <v>0</v>
      </c>
      <c r="U148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платеж]]+Y1481-Первоначальный[[#This Row],[Полученный платёж по процентам]])</f>
        <v>0</v>
      </c>
      <c r="V1482" s="55">
        <f t="shared" ca="1" si="267"/>
        <v>0</v>
      </c>
      <c r="W1482" s="55" cm="1">
        <f t="array" aca="1" ref="W1482" ca="1">IF(Первоначальный[[#This Row],[Итого остаток на начало периода]]&lt;1,0,
_xlfn.IFS(
AND(TYPE(VLOOKUP(1,$Z$12:Z1482,1,0))=16,Первоначальный[[#This Row],[Досрочное погашение (да/"")]]=""),0,
AND(S1481=0,Первоначальный[[#This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платеж]]+Y1481-SUM(Первоначальный[[#This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комиссиям]]),VLOOKUP(LOOKUP(,-1/($Z$12:Z1482=1),$A$12:A1482),График[[Срок конец]:[Возврат основной суммы долга]],3,0)),
AND(S1481=0,Первоначальный[[#This Row],[Дата платежа из графика]]="",Первоначальный[[#This Row],[Досрочное погашение (да/"")]]&lt;&gt;"Да"),0,
AND(S1481=0,Первоначальный[[#This Row],[Досрочное погашение (да/"")]]=""),MIN(Первоначальный[[#This Row],[Полученный платеж]]+Y1481-SUM(Первоначальный[[#This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комиссиям]]),VLOOKUP(LOOKUP(,-1/($Z$12:Z1482=1),$A$12:A1482),График[[Срок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платеж]]+Y1481-SUM(Первоначальный[[#This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S1481&gt;0,MIN(Первоначальный[[#This Row],[Полученный платеж]]+Y1481-SUM(Первоначальный[[#This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комиссиям]]),SUM(INDIRECT("M"&amp;(MAX((1=S$12:S1481)*ROW(S$12:S1481),ROW($W$12))&amp;":M"&amp;(ROW()))))-SUM(INDIRECT("W"&amp;(MAX((1=S$12:S1481)*ROW(S$12:S1481),ROW($W$12))&amp;":W"&amp;(ROW()-1)))))
)
)</f>
        <v>0</v>
      </c>
      <c r="X1482" s="55">
        <f t="shared" ca="1" si="268"/>
        <v>0</v>
      </c>
      <c r="Y1482" s="101">
        <f t="shared" ca="1" si="275"/>
        <v>0</v>
      </c>
      <c r="Z1482" s="133" t="str">
        <f>IF(TYPE((VLOOKUP(Первоначальный[[#This Row],[Дата платежа]],График[Срок конец],1,0)))=16,"",1)</f>
        <v/>
      </c>
      <c r="AA1482" s="57"/>
      <c r="AB1482" s="134"/>
      <c r="AC148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8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105357.93000000021</v>
      </c>
      <c r="AE148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9423.050000000012</v>
      </c>
      <c r="AF148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8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462588.23751803359</v>
      </c>
      <c r="AH1482" s="55"/>
      <c r="AI1482" s="55"/>
      <c r="AJ1482" s="55"/>
      <c r="AK1482" s="101">
        <f t="shared" ca="1" si="276"/>
        <v>727002.55751803378</v>
      </c>
      <c r="AL1482" s="129">
        <f t="array" ref="AL1482">MAX((УслРестрактов[Характеристика]="Дата реструктуризации")*(УслРестрактов[Значение]=Первоначальный!$A1482),0)</f>
        <v>0</v>
      </c>
    </row>
    <row r="1483" spans="1:38" x14ac:dyDescent="0.25">
      <c r="A1483" s="97">
        <f t="shared" si="269"/>
        <v>45614</v>
      </c>
      <c r="B1483" s="100">
        <f t="shared" ca="1" si="270"/>
        <v>149633.34</v>
      </c>
      <c r="C1483" s="55">
        <f t="shared" ca="1" si="278"/>
        <v>105357.93000000021</v>
      </c>
      <c r="D1483" s="55">
        <f t="shared" ca="1" si="278"/>
        <v>9423.050000000012</v>
      </c>
      <c r="E1483" s="55">
        <f t="shared" ca="1" si="271"/>
        <v>0</v>
      </c>
      <c r="F1483" s="55">
        <f t="shared" ca="1" si="272"/>
        <v>462588.23751803359</v>
      </c>
      <c r="G1483" s="101">
        <f t="shared" ca="1" si="273"/>
        <v>727002.55751803378</v>
      </c>
      <c r="H1483" s="100">
        <f ca="1">ROUND($B1483*VLOOKUP($A1483,$A$1:$B$10,2,1)/(365+IF(MOD(YEAR($A1483),4),0,1)*($A1483-$A1482)),2)-Первоначальный[[#This Row],[Проценты на просроченный платеж по ОД за период]]</f>
        <v>65.900000000000006</v>
      </c>
      <c r="I1483" s="55">
        <f t="shared" ca="1" si="274"/>
        <v>15.46</v>
      </c>
      <c r="J1483" s="55">
        <v>0</v>
      </c>
      <c r="K1483" s="55">
        <f t="shared" ca="1" si="277"/>
        <v>666.24350327868842</v>
      </c>
      <c r="L1483" s="55">
        <v>0</v>
      </c>
      <c r="M1483" s="113">
        <f>SUMIFS(График[Возврат основной суммы долга],График[Дата с учетом нерабочих дней],$A1483)</f>
        <v>0</v>
      </c>
      <c r="N1483" s="56">
        <f>SUMIFS(График[Возврат начисленных %],График[Дата с учетом нерабочих дней],$A1483)</f>
        <v>0</v>
      </c>
      <c r="O1483" s="101">
        <v>0</v>
      </c>
      <c r="P1483" s="100" cm="1">
        <f t="array" aca="1" ref="P1483" ca="1">MAX(IF(AA1482="Да",0,SUM(INDIRECT("M"&amp;(MAX(("Да"=AA$12:AA1482)*ROW(AA$12:AA1482)+1,ROW($P$12))&amp;":M"&amp;(ROW()))))-SUM(INDIRECT("W"&amp;(MAX(("Да"=AA$12:AA1482)*ROW(AA$12:AA1482)+1,ROW($P$12))&amp;":W"&amp;(ROW()))))),0)</f>
        <v>28424.789999999997</v>
      </c>
      <c r="Q1483" s="99">
        <f ca="1">MAX(SUM($N$13:N1483)-SUM($T$13:T1483),0)</f>
        <v>104823.91065573769</v>
      </c>
      <c r="R1483" s="99">
        <f ca="1">Первоначальный[[#This Row],[Просроченный платеж по ОД]]+Первоначальный[[#This Row],[Просроченный платеж по процентам]]</f>
        <v>133248.70065573769</v>
      </c>
      <c r="S1483" s="120">
        <f ca="1">IF(Первоначальный[[#This Row],[Просроченный платеж]]&lt;1,0,S1482+1)</f>
        <v>1379</v>
      </c>
      <c r="T1483" s="100" cm="1">
        <f t="array" aca="1" ref="T1483" ca="1">IF(Первоначальный[[#This Row],[Итого остаток на начало периода]]&lt;1,0,
IF(
AND(TYPE(VLOOKUP(1,$Z$12:Z1483,1,0))=16,Первоначальный[[#This Row],[Досрочное погашение (да/"")]]=""),0,
_xlfn.IFS(AND(S1482=0,Первоначальный[[#This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платеж]]&lt;&gt;0),MIN(LOOKUP(,-1/($Z$12:Z1483=1),$C$12:C1483)+LOOKUP(,-1/($Z$12:Z1483=1),$H$12:H1483),Первоначальный[[#This Row],[Полученный платеж]]+Y1482),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платеж]]+Y1482,SUM(Первоначальный[[#This Row],[Остаток процентов на начало периода]],Первоначальный[[#This Row],[Проценты за период]])),
AND(S1482=0,Первоначальный[[#This Row],[Дата платежа из графика]]=""),0,
AND(S1482=0,Первоначальный[[#This Row],[Дата платежа из графика]]=1,MAX((0&lt;&gt;S$12:S1482)*ROW(S$12:S1482),ROW($S$12))&gt;=MAX((1=Z$12:Z1482)*ROW(Z$12:Z1482),ROW($T$12)),TYPE(VLOOKUP("Да",(INDIRECT("AA"&amp;(MAX((1=Z$12:Z1482)*ROW(Z$12:Z1482),ROW($T$12))&amp;":AA"&amp;(ROW()-1)))),1,0))=16),MIN(LOOKUP(,-1/($Z$12:Z1483=1),$C$12:C1483)+LOOKUP(,-1/($Z$12:Z1483=1),$H$12:H1483),Первоначальный[[#This Row],[Полученный платеж]]+Y1482),
AND(S1482=0,TYPE(VLOOKUP("Да",(INDIRECT("AA"&amp;(MAX((1=Z$12:Z1482)*ROW(Z$12:Z1482),ROW($T$12))&amp;":AA"&amp;(ROW()-1)))),1,0))&lt;&gt;16),MIN(LOOKUP(,-1/($Z$12:Z1483=1),$C$12:C1483)+LOOKUP(,-1/($Z$12:Z1483=1),$H$12:H1483)-IF(AA1482="Да",0,SUM(INDIRECT("T"&amp;(MAX(("Да"=AA$12:AA1482)*ROW(AA$12:AA1482)+1,ROW($T$12))&amp;":T"&amp;(ROW()-1))))),Первоначальный[[#This Row],[Полученный платеж]]+Y1482),
AND(S1482=0,MAX((0&lt;&gt;N$12:N1482)*ROW(N$12:N1482),ROW($S$12))&gt;=MAX((1=Z$12:Z1482)*ROW(Z$12:Z1482),ROW($T$12))),MIN(LOOKUP(,-1/($Z$12:Z1483=1),$C$12:C1483)+LOOKUP(,-1/($Z$12:Z1483=1),$H$12:H1483)-IF(N1482&lt;&gt;0,0,SUM(INDIRECT("T"&amp;(MAX((0&lt;&gt;N$12:N1482)*ROW(N$12:N1482)+1,ROW($T$12))&amp;":T"&amp;(ROW()-1))))),Первоначальный[[#This Row],[Полученный платеж]]+Y1482),
AND(S1482=0,Первоначальный[[#This Row],[Дата платежа из графика]]=1),MIN(LOOKUP(,-1/($Z$12:Z1483=1),$C$12:C1483)+LOOKUP(,-1/($Z$12:Z1483=1),$H$12:H1483)-IF(Z1482=1,0,SUM(INDIRECT("T"&amp;(MAX((1=Z$12:Z1482)*ROW(Z$12:Z1482)+1,ROW($T$12))&amp;":T"&amp;(ROW()-1))))),Первоначальный[[#This Row],[Полученный платеж]]+Y1482),
AND(Z1482&gt;0,Первоначальный[[#This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платеж]]+Y1482),
AND(S1482&gt;0,MAX((0&lt;&gt;S$12:S1482)*ROW(S$12:S1482),ROW($S$12))&gt;=MAX((1=Z$12:Z1482)*ROW(Z$12:Z1482),ROW($T$12)),TYPE(VLOOKUP("Да",(INDIRECT("AA"&amp;(MAX((1=Z$12:Z1482)*ROW(Z$12:Z1482),ROW($T$12))&amp;":AA"&amp;(ROW()-1)))),1,0))=16),MIN(LOOKUP(,-1/($Z$12:Z1483=1),$C$12:C1483)+LOOKUP(,-1/($Z$12:Z1483=1),$H$12:H1483)-SUM(INDIRECT("T"&amp;(MAX((1=Z$12:Z1482)*ROW(Z$12:Z1482),ROW($T$12))&amp;":T"&amp;(ROW()-1)))),Первоначальный[[#This Row],[Полученный платеж]]+Y1482),
S1482&gt;0,MIN(LOOKUP(,-1/($Z$12:Z1483=1),$C$12:C1483)+LOOKUP(,-1/($Z$12:Z1483=1),$H$12:H1483)-IF(Z1482=1,0,SUM(INDIRECT("T"&amp;(MAX((1=Z$12:Z1482)*ROW(Z$12:Z1482)+1,ROW($T$12))&amp;":T"&amp;(ROW()-1))))),Первоначальный[[#This Row],[Полученный платеж]]+Y1482)
)
)
)</f>
        <v>0</v>
      </c>
      <c r="U148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платеж]]+Y1482-Первоначальный[[#This Row],[Полученный платёж по процентам]])</f>
        <v>0</v>
      </c>
      <c r="V1483" s="55">
        <f t="shared" ca="1" si="267"/>
        <v>0</v>
      </c>
      <c r="W1483" s="55" cm="1">
        <f t="array" aca="1" ref="W1483" ca="1">IF(Первоначальный[[#This Row],[Итого остаток на начало периода]]&lt;1,0,
_xlfn.IFS(
AND(TYPE(VLOOKUP(1,$Z$12:Z1483,1,0))=16,Первоначальный[[#This Row],[Досрочное погашение (да/"")]]=""),0,
AND(S1482=0,Первоначальный[[#This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платеж]]+Y1482-SUM(Первоначальный[[#This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комиссиям]]),VLOOKUP(LOOKUP(,-1/($Z$12:Z1483=1),$A$12:A1483),График[[Срок конец]:[Возврат основной суммы долга]],3,0)),
AND(S1482=0,Первоначальный[[#This Row],[Дата платежа из графика]]="",Первоначальный[[#This Row],[Досрочное погашение (да/"")]]&lt;&gt;"Да"),0,
AND(S1482=0,Первоначальный[[#This Row],[Досрочное погашение (да/"")]]=""),MIN(Первоначальный[[#This Row],[Полученный платеж]]+Y1482-SUM(Первоначальный[[#This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комиссиям]]),VLOOKUP(LOOKUP(,-1/($Z$12:Z1483=1),$A$12:A1483),График[[Срок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платеж]]+Y1482-SUM(Первоначальный[[#This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S1482&gt;0,MIN(Первоначальный[[#This Row],[Полученный платеж]]+Y1482-SUM(Первоначальный[[#This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комиссиям]]),SUM(INDIRECT("M"&amp;(MAX((1=S$12:S1482)*ROW(S$12:S1482),ROW($W$12))&amp;":M"&amp;(ROW()))))-SUM(INDIRECT("W"&amp;(MAX((1=S$12:S1482)*ROW(S$12:S1482),ROW($W$12))&amp;":W"&amp;(ROW()-1)))))
)
)</f>
        <v>0</v>
      </c>
      <c r="X1483" s="55">
        <f t="shared" ca="1" si="268"/>
        <v>0</v>
      </c>
      <c r="Y1483" s="101">
        <f t="shared" ca="1" si="275"/>
        <v>0</v>
      </c>
      <c r="Z1483" s="133" t="str">
        <f>IF(TYPE((VLOOKUP(Первоначальный[[#This Row],[Дата платежа]],График[Срок конец],1,0)))=16,"",1)</f>
        <v/>
      </c>
      <c r="AA1483" s="57"/>
      <c r="AB1483" s="134"/>
      <c r="AC148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8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105423.83000000021</v>
      </c>
      <c r="AE148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9438.5100000000111</v>
      </c>
      <c r="AF148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8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463254.4810213123</v>
      </c>
      <c r="AH1483" s="55"/>
      <c r="AI1483" s="55"/>
      <c r="AJ1483" s="55"/>
      <c r="AK1483" s="101">
        <f t="shared" ca="1" si="276"/>
        <v>727750.16102131247</v>
      </c>
      <c r="AL1483" s="129">
        <f t="array" ref="AL1483">MAX((УслРестрактов[Характеристика]="Дата реструктуризации")*(УслРестрактов[Значение]=Первоначальный!$A1483),0)</f>
        <v>0</v>
      </c>
    </row>
    <row r="1484" spans="1:38" x14ac:dyDescent="0.25">
      <c r="A1484" s="97">
        <f t="shared" si="269"/>
        <v>45615</v>
      </c>
      <c r="B1484" s="100">
        <f t="shared" ca="1" si="270"/>
        <v>149633.34</v>
      </c>
      <c r="C1484" s="55">
        <f t="shared" ca="1" si="278"/>
        <v>105423.83000000021</v>
      </c>
      <c r="D1484" s="55">
        <f t="shared" ca="1" si="278"/>
        <v>9438.5100000000111</v>
      </c>
      <c r="E1484" s="55">
        <f t="shared" ca="1" si="271"/>
        <v>0</v>
      </c>
      <c r="F1484" s="55">
        <f t="shared" ca="1" si="272"/>
        <v>463254.4810213123</v>
      </c>
      <c r="G1484" s="101">
        <f t="shared" ca="1" si="273"/>
        <v>727750.16102131247</v>
      </c>
      <c r="H1484" s="100">
        <f ca="1">ROUND($B1484*VLOOKUP($A1484,$A$1:$B$10,2,1)/(365+IF(MOD(YEAR($A1484),4),0,1)*($A1484-$A1483)),2)-Первоначальный[[#This Row],[Проценты на просроченный платеж по ОД за период]]</f>
        <v>65.900000000000006</v>
      </c>
      <c r="I1484" s="55">
        <f t="shared" ca="1" si="274"/>
        <v>15.46</v>
      </c>
      <c r="J1484" s="55">
        <v>0</v>
      </c>
      <c r="K1484" s="55">
        <f t="shared" ca="1" si="277"/>
        <v>666.24350327868842</v>
      </c>
      <c r="L1484" s="55">
        <v>0</v>
      </c>
      <c r="M1484" s="113">
        <f>SUMIFS(График[Возврат основной суммы долга],График[Дата с учетом нерабочих дней],$A1484)</f>
        <v>0</v>
      </c>
      <c r="N1484" s="56">
        <f>SUMIFS(График[Возврат начисленных %],График[Дата с учетом нерабочих дней],$A1484)</f>
        <v>0</v>
      </c>
      <c r="O1484" s="101">
        <v>0</v>
      </c>
      <c r="P1484" s="100" cm="1">
        <f t="array" aca="1" ref="P1484" ca="1">MAX(IF(AA1483="Да",0,SUM(INDIRECT("M"&amp;(MAX(("Да"=AA$12:AA1483)*ROW(AA$12:AA1483)+1,ROW($P$12))&amp;":M"&amp;(ROW()))))-SUM(INDIRECT("W"&amp;(MAX(("Да"=AA$12:AA1483)*ROW(AA$12:AA1483)+1,ROW($P$12))&amp;":W"&amp;(ROW()))))),0)</f>
        <v>28424.789999999997</v>
      </c>
      <c r="Q1484" s="99">
        <f ca="1">MAX(SUM($N$13:N1484)-SUM($T$13:T1484),0)</f>
        <v>104823.91065573769</v>
      </c>
      <c r="R1484" s="99">
        <f ca="1">Первоначальный[[#This Row],[Просроченный платеж по ОД]]+Первоначальный[[#This Row],[Просроченный платеж по процентам]]</f>
        <v>133248.70065573769</v>
      </c>
      <c r="S1484" s="120">
        <f ca="1">IF(Первоначальный[[#This Row],[Просроченный платеж]]&lt;1,0,S1483+1)</f>
        <v>1380</v>
      </c>
      <c r="T1484" s="100" cm="1">
        <f t="array" aca="1" ref="T1484" ca="1">IF(Первоначальный[[#This Row],[Итого остаток на начало периода]]&lt;1,0,
IF(
AND(TYPE(VLOOKUP(1,$Z$12:Z1484,1,0))=16,Первоначальный[[#This Row],[Досрочное погашение (да/"")]]=""),0,
_xlfn.IFS(AND(S1483=0,Первоначальный[[#This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платеж]]&lt;&gt;0),MIN(LOOKUP(,-1/($Z$12:Z1484=1),$C$12:C1484)+LOOKUP(,-1/($Z$12:Z1484=1),$H$12:H1484),Первоначальный[[#This Row],[Полученный платеж]]+Y1483),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платеж]]+Y1483,SUM(Первоначальный[[#This Row],[Остаток процентов на начало периода]],Первоначальный[[#This Row],[Проценты за период]])),
AND(S1483=0,Первоначальный[[#This Row],[Дата платежа из графика]]=""),0,
AND(S1483=0,Первоначальный[[#This Row],[Дата платежа из графика]]=1,MAX((0&lt;&gt;S$12:S1483)*ROW(S$12:S1483),ROW($S$12))&gt;=MAX((1=Z$12:Z1483)*ROW(Z$12:Z1483),ROW($T$12)),TYPE(VLOOKUP("Да",(INDIRECT("AA"&amp;(MAX((1=Z$12:Z1483)*ROW(Z$12:Z1483),ROW($T$12))&amp;":AA"&amp;(ROW()-1)))),1,0))=16),MIN(LOOKUP(,-1/($Z$12:Z1484=1),$C$12:C1484)+LOOKUP(,-1/($Z$12:Z1484=1),$H$12:H1484),Первоначальный[[#This Row],[Полученный платеж]]+Y1483),
AND(S1483=0,TYPE(VLOOKUP("Да",(INDIRECT("AA"&amp;(MAX((1=Z$12:Z1483)*ROW(Z$12:Z1483),ROW($T$12))&amp;":AA"&amp;(ROW()-1)))),1,0))&lt;&gt;16),MIN(LOOKUP(,-1/($Z$12:Z1484=1),$C$12:C1484)+LOOKUP(,-1/($Z$12:Z1484=1),$H$12:H1484)-IF(AA1483="Да",0,SUM(INDIRECT("T"&amp;(MAX(("Да"=AA$12:AA1483)*ROW(AA$12:AA1483)+1,ROW($T$12))&amp;":T"&amp;(ROW()-1))))),Первоначальный[[#This Row],[Полученный платеж]]+Y1483),
AND(S1483=0,MAX((0&lt;&gt;N$12:N1483)*ROW(N$12:N1483),ROW($S$12))&gt;=MAX((1=Z$12:Z1483)*ROW(Z$12:Z1483),ROW($T$12))),MIN(LOOKUP(,-1/($Z$12:Z1484=1),$C$12:C1484)+LOOKUP(,-1/($Z$12:Z1484=1),$H$12:H1484)-IF(N1483&lt;&gt;0,0,SUM(INDIRECT("T"&amp;(MAX((0&lt;&gt;N$12:N1483)*ROW(N$12:N1483)+1,ROW($T$12))&amp;":T"&amp;(ROW()-1))))),Первоначальный[[#This Row],[Полученный платеж]]+Y1483),
AND(S1483=0,Первоначальный[[#This Row],[Дата платежа из графика]]=1),MIN(LOOKUP(,-1/($Z$12:Z1484=1),$C$12:C1484)+LOOKUP(,-1/($Z$12:Z1484=1),$H$12:H1484)-IF(Z1483=1,0,SUM(INDIRECT("T"&amp;(MAX((1=Z$12:Z1483)*ROW(Z$12:Z1483)+1,ROW($T$12))&amp;":T"&amp;(ROW()-1))))),Первоначальный[[#This Row],[Полученный платеж]]+Y1483),
AND(Z1483&gt;0,Первоначальный[[#This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платеж]]+Y1483),
AND(S1483&gt;0,MAX((0&lt;&gt;S$12:S1483)*ROW(S$12:S1483),ROW($S$12))&gt;=MAX((1=Z$12:Z1483)*ROW(Z$12:Z1483),ROW($T$12)),TYPE(VLOOKUP("Да",(INDIRECT("AA"&amp;(MAX((1=Z$12:Z1483)*ROW(Z$12:Z1483),ROW($T$12))&amp;":AA"&amp;(ROW()-1)))),1,0))=16),MIN(LOOKUP(,-1/($Z$12:Z1484=1),$C$12:C1484)+LOOKUP(,-1/($Z$12:Z1484=1),$H$12:H1484)-SUM(INDIRECT("T"&amp;(MAX((1=Z$12:Z1483)*ROW(Z$12:Z1483),ROW($T$12))&amp;":T"&amp;(ROW()-1)))),Первоначальный[[#This Row],[Полученный платеж]]+Y1483),
S1483&gt;0,MIN(LOOKUP(,-1/($Z$12:Z1484=1),$C$12:C1484)+LOOKUP(,-1/($Z$12:Z1484=1),$H$12:H1484)-IF(Z1483=1,0,SUM(INDIRECT("T"&amp;(MAX((1=Z$12:Z1483)*ROW(Z$12:Z1483)+1,ROW($T$12))&amp;":T"&amp;(ROW()-1))))),Первоначальный[[#This Row],[Полученный платеж]]+Y1483)
)
)
)</f>
        <v>0</v>
      </c>
      <c r="U148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платеж]]+Y1483-Первоначальный[[#This Row],[Полученный платёж по процентам]])</f>
        <v>0</v>
      </c>
      <c r="V1484" s="55">
        <f t="shared" ca="1" si="267"/>
        <v>0</v>
      </c>
      <c r="W1484" s="55" cm="1">
        <f t="array" aca="1" ref="W1484" ca="1">IF(Первоначальный[[#This Row],[Итого остаток на начало периода]]&lt;1,0,
_xlfn.IFS(
AND(TYPE(VLOOKUP(1,$Z$12:Z1484,1,0))=16,Первоначальный[[#This Row],[Досрочное погашение (да/"")]]=""),0,
AND(S1483=0,Первоначальный[[#This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платеж]]+Y1483-SUM(Первоначальный[[#This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комиссиям]]),VLOOKUP(LOOKUP(,-1/($Z$12:Z1484=1),$A$12:A1484),График[[Срок конец]:[Возврат основной суммы долга]],3,0)),
AND(S1483=0,Первоначальный[[#This Row],[Дата платежа из графика]]="",Первоначальный[[#This Row],[Досрочное погашение (да/"")]]&lt;&gt;"Да"),0,
AND(S1483=0,Первоначальный[[#This Row],[Досрочное погашение (да/"")]]=""),MIN(Первоначальный[[#This Row],[Полученный платеж]]+Y1483-SUM(Первоначальный[[#This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комиссиям]]),VLOOKUP(LOOKUP(,-1/($Z$12:Z1484=1),$A$12:A1484),График[[Срок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платеж]]+Y1483-SUM(Первоначальный[[#This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S1483&gt;0,MIN(Первоначальный[[#This Row],[Полученный платеж]]+Y1483-SUM(Первоначальный[[#This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комиссиям]]),SUM(INDIRECT("M"&amp;(MAX((1=S$12:S1483)*ROW(S$12:S1483),ROW($W$12))&amp;":M"&amp;(ROW()))))-SUM(INDIRECT("W"&amp;(MAX((1=S$12:S1483)*ROW(S$12:S1483),ROW($W$12))&amp;":W"&amp;(ROW()-1)))))
)
)</f>
        <v>0</v>
      </c>
      <c r="X1484" s="55">
        <f t="shared" ca="1" si="268"/>
        <v>0</v>
      </c>
      <c r="Y1484" s="101">
        <f t="shared" ca="1" si="275"/>
        <v>0</v>
      </c>
      <c r="Z1484" s="133" t="str">
        <f>IF(TYPE((VLOOKUP(Первоначальный[[#This Row],[Дата платежа]],График[Срок конец],1,0)))=16,"",1)</f>
        <v/>
      </c>
      <c r="AA1484" s="57"/>
      <c r="AB1484" s="134"/>
      <c r="AC148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8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105489.7300000002</v>
      </c>
      <c r="AE148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9453.9700000000103</v>
      </c>
      <c r="AF148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8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463920.724524591</v>
      </c>
      <c r="AH1484" s="55"/>
      <c r="AI1484" s="55"/>
      <c r="AJ1484" s="55"/>
      <c r="AK1484" s="101">
        <f t="shared" ca="1" si="276"/>
        <v>728497.76452459116</v>
      </c>
      <c r="AL1484" s="129">
        <f t="array" ref="AL1484">MAX((УслРестрактов[Характеристика]="Дата реструктуризации")*(УслРестрактов[Значение]=Первоначальный!$A1484),0)</f>
        <v>0</v>
      </c>
    </row>
    <row r="1485" spans="1:38" x14ac:dyDescent="0.25">
      <c r="A1485" s="97">
        <f t="shared" si="269"/>
        <v>45616</v>
      </c>
      <c r="B1485" s="100">
        <f t="shared" ca="1" si="270"/>
        <v>149633.34</v>
      </c>
      <c r="C1485" s="55">
        <f t="shared" ca="1" si="278"/>
        <v>105489.7300000002</v>
      </c>
      <c r="D1485" s="55">
        <f t="shared" ca="1" si="278"/>
        <v>9453.9700000000103</v>
      </c>
      <c r="E1485" s="55">
        <f t="shared" ca="1" si="271"/>
        <v>0</v>
      </c>
      <c r="F1485" s="55">
        <f t="shared" ca="1" si="272"/>
        <v>463920.724524591</v>
      </c>
      <c r="G1485" s="101">
        <f t="shared" ca="1" si="273"/>
        <v>728497.76452459116</v>
      </c>
      <c r="H1485" s="100">
        <f ca="1">ROUND($B1485*VLOOKUP($A1485,$A$1:$B$10,2,1)/(365+IF(MOD(YEAR($A1485),4),0,1)*($A1485-$A1484)),2)-Первоначальный[[#This Row],[Проценты на просроченный платеж по ОД за период]]</f>
        <v>65.900000000000006</v>
      </c>
      <c r="I1485" s="55">
        <f t="shared" ca="1" si="274"/>
        <v>15.46</v>
      </c>
      <c r="J1485" s="55">
        <v>0</v>
      </c>
      <c r="K1485" s="55">
        <f t="shared" ca="1" si="277"/>
        <v>666.24350327868842</v>
      </c>
      <c r="L1485" s="55">
        <v>0</v>
      </c>
      <c r="M1485" s="113">
        <f>SUMIFS(График[Возврат основной суммы долга],График[Дата с учетом нерабочих дней],$A1485)</f>
        <v>0</v>
      </c>
      <c r="N1485" s="56">
        <f>SUMIFS(График[Возврат начисленных %],График[Дата с учетом нерабочих дней],$A1485)</f>
        <v>0</v>
      </c>
      <c r="O1485" s="101">
        <v>0</v>
      </c>
      <c r="P1485" s="100" cm="1">
        <f t="array" aca="1" ref="P1485" ca="1">MAX(IF(AA1484="Да",0,SUM(INDIRECT("M"&amp;(MAX(("Да"=AA$12:AA1484)*ROW(AA$12:AA1484)+1,ROW($P$12))&amp;":M"&amp;(ROW()))))-SUM(INDIRECT("W"&amp;(MAX(("Да"=AA$12:AA1484)*ROW(AA$12:AA1484)+1,ROW($P$12))&amp;":W"&amp;(ROW()))))),0)</f>
        <v>28424.789999999997</v>
      </c>
      <c r="Q1485" s="99">
        <f ca="1">MAX(SUM($N$13:N1485)-SUM($T$13:T1485),0)</f>
        <v>104823.91065573769</v>
      </c>
      <c r="R1485" s="99">
        <f ca="1">Первоначальный[[#This Row],[Просроченный платеж по ОД]]+Первоначальный[[#This Row],[Просроченный платеж по процентам]]</f>
        <v>133248.70065573769</v>
      </c>
      <c r="S1485" s="120">
        <f ca="1">IF(Первоначальный[[#This Row],[Просроченный платеж]]&lt;1,0,S1484+1)</f>
        <v>1381</v>
      </c>
      <c r="T1485" s="100" cm="1">
        <f t="array" aca="1" ref="T1485" ca="1">IF(Первоначальный[[#This Row],[Итого остаток на начало периода]]&lt;1,0,
IF(
AND(TYPE(VLOOKUP(1,$Z$12:Z1485,1,0))=16,Первоначальный[[#This Row],[Досрочное погашение (да/"")]]=""),0,
_xlfn.IFS(AND(S1484=0,Первоначальный[[#This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платеж]]&lt;&gt;0),MIN(LOOKUP(,-1/($Z$12:Z1485=1),$C$12:C1485)+LOOKUP(,-1/($Z$12:Z1485=1),$H$12:H1485),Первоначальный[[#This Row],[Полученный платеж]]+Y1484),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платеж]]+Y1484,SUM(Первоначальный[[#This Row],[Остаток процентов на начало периода]],Первоначальный[[#This Row],[Проценты за период]])),
AND(S1484=0,Первоначальный[[#This Row],[Дата платежа из графика]]=""),0,
AND(S1484=0,Первоначальный[[#This Row],[Дата платежа из графика]]=1,MAX((0&lt;&gt;S$12:S1484)*ROW(S$12:S1484),ROW($S$12))&gt;=MAX((1=Z$12:Z1484)*ROW(Z$12:Z1484),ROW($T$12)),TYPE(VLOOKUP("Да",(INDIRECT("AA"&amp;(MAX((1=Z$12:Z1484)*ROW(Z$12:Z1484),ROW($T$12))&amp;":AA"&amp;(ROW()-1)))),1,0))=16),MIN(LOOKUP(,-1/($Z$12:Z1485=1),$C$12:C1485)+LOOKUP(,-1/($Z$12:Z1485=1),$H$12:H1485),Первоначальный[[#This Row],[Полученный платеж]]+Y1484),
AND(S1484=0,TYPE(VLOOKUP("Да",(INDIRECT("AA"&amp;(MAX((1=Z$12:Z1484)*ROW(Z$12:Z1484),ROW($T$12))&amp;":AA"&amp;(ROW()-1)))),1,0))&lt;&gt;16),MIN(LOOKUP(,-1/($Z$12:Z1485=1),$C$12:C1485)+LOOKUP(,-1/($Z$12:Z1485=1),$H$12:H1485)-IF(AA1484="Да",0,SUM(INDIRECT("T"&amp;(MAX(("Да"=AA$12:AA1484)*ROW(AA$12:AA1484)+1,ROW($T$12))&amp;":T"&amp;(ROW()-1))))),Первоначальный[[#This Row],[Полученный платеж]]+Y1484),
AND(S1484=0,MAX((0&lt;&gt;N$12:N1484)*ROW(N$12:N1484),ROW($S$12))&gt;=MAX((1=Z$12:Z1484)*ROW(Z$12:Z1484),ROW($T$12))),MIN(LOOKUP(,-1/($Z$12:Z1485=1),$C$12:C1485)+LOOKUP(,-1/($Z$12:Z1485=1),$H$12:H1485)-IF(N1484&lt;&gt;0,0,SUM(INDIRECT("T"&amp;(MAX((0&lt;&gt;N$12:N1484)*ROW(N$12:N1484)+1,ROW($T$12))&amp;":T"&amp;(ROW()-1))))),Первоначальный[[#This Row],[Полученный платеж]]+Y1484),
AND(S1484=0,Первоначальный[[#This Row],[Дата платежа из графика]]=1),MIN(LOOKUP(,-1/($Z$12:Z1485=1),$C$12:C1485)+LOOKUP(,-1/($Z$12:Z1485=1),$H$12:H1485)-IF(Z1484=1,0,SUM(INDIRECT("T"&amp;(MAX((1=Z$12:Z1484)*ROW(Z$12:Z1484)+1,ROW($T$12))&amp;":T"&amp;(ROW()-1))))),Первоначальный[[#This Row],[Полученный платеж]]+Y1484),
AND(Z1484&gt;0,Первоначальный[[#This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платеж]]+Y1484),
AND(S1484&gt;0,MAX((0&lt;&gt;S$12:S1484)*ROW(S$12:S1484),ROW($S$12))&gt;=MAX((1=Z$12:Z1484)*ROW(Z$12:Z1484),ROW($T$12)),TYPE(VLOOKUP("Да",(INDIRECT("AA"&amp;(MAX((1=Z$12:Z1484)*ROW(Z$12:Z1484),ROW($T$12))&amp;":AA"&amp;(ROW()-1)))),1,0))=16),MIN(LOOKUP(,-1/($Z$12:Z1485=1),$C$12:C1485)+LOOKUP(,-1/($Z$12:Z1485=1),$H$12:H1485)-SUM(INDIRECT("T"&amp;(MAX((1=Z$12:Z1484)*ROW(Z$12:Z1484),ROW($T$12))&amp;":T"&amp;(ROW()-1)))),Первоначальный[[#This Row],[Полученный платеж]]+Y1484),
S1484&gt;0,MIN(LOOKUP(,-1/($Z$12:Z1485=1),$C$12:C1485)+LOOKUP(,-1/($Z$12:Z1485=1),$H$12:H1485)-IF(Z1484=1,0,SUM(INDIRECT("T"&amp;(MAX((1=Z$12:Z1484)*ROW(Z$12:Z1484)+1,ROW($T$12))&amp;":T"&amp;(ROW()-1))))),Первоначальный[[#This Row],[Полученный платеж]]+Y1484)
)
)
)</f>
        <v>0</v>
      </c>
      <c r="U148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платеж]]+Y1484-Первоначальный[[#This Row],[Полученный платёж по процентам]])</f>
        <v>0</v>
      </c>
      <c r="V1485" s="55">
        <f t="shared" ref="V1485:V1548" ca="1" si="279">MAX(MIN(SUM(O1485,Y1484)-SUM(T1485:T1485),SUM(E1485,J1485)),0)</f>
        <v>0</v>
      </c>
      <c r="W1485" s="55" cm="1">
        <f t="array" aca="1" ref="W1485" ca="1">IF(Первоначальный[[#This Row],[Итого остаток на начало периода]]&lt;1,0,
_xlfn.IFS(
AND(TYPE(VLOOKUP(1,$Z$12:Z1485,1,0))=16,Первоначальный[[#This Row],[Досрочное погашение (да/"")]]=""),0,
AND(S1484=0,Первоначальный[[#This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платеж]]+Y1484-SUM(Первоначальный[[#This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комиссиям]]),VLOOKUP(LOOKUP(,-1/($Z$12:Z1485=1),$A$12:A1485),График[[Срок конец]:[Возврат основной суммы долга]],3,0)),
AND(S1484=0,Первоначальный[[#This Row],[Дата платежа из графика]]="",Первоначальный[[#This Row],[Досрочное погашение (да/"")]]&lt;&gt;"Да"),0,
AND(S1484=0,Первоначальный[[#This Row],[Досрочное погашение (да/"")]]=""),MIN(Первоначальный[[#This Row],[Полученный платеж]]+Y1484-SUM(Первоначальный[[#This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комиссиям]]),VLOOKUP(LOOKUP(,-1/($Z$12:Z1485=1),$A$12:A1485),График[[Срок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платеж]]+Y1484-SUM(Первоначальный[[#This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S1484&gt;0,MIN(Первоначальный[[#This Row],[Полученный платеж]]+Y1484-SUM(Первоначальный[[#This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комиссиям]]),SUM(INDIRECT("M"&amp;(MAX((1=S$12:S1484)*ROW(S$12:S1484),ROW($W$12))&amp;":M"&amp;(ROW()))))-SUM(INDIRECT("W"&amp;(MAX((1=S$12:S1484)*ROW(S$12:S1484),ROW($W$12))&amp;":W"&amp;(ROW()-1)))))
)
)</f>
        <v>0</v>
      </c>
      <c r="X1485" s="55">
        <f t="shared" ref="X1485:X1548" ca="1" si="280">MAX(MIN(SUM(O1485,Y1484)-SUM(T1485:W1485),SUM(F1485,K1485)),0)</f>
        <v>0</v>
      </c>
      <c r="Y1485" s="101">
        <f t="shared" ca="1" si="275"/>
        <v>0</v>
      </c>
      <c r="Z1485" s="133" t="str">
        <f>IF(TYPE((VLOOKUP(Первоначальный[[#This Row],[Дата платежа]],График[Срок конец],1,0)))=16,"",1)</f>
        <v/>
      </c>
      <c r="AA1485" s="57"/>
      <c r="AB1485" s="134"/>
      <c r="AC148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8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105555.63000000019</v>
      </c>
      <c r="AE148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9469.4300000000094</v>
      </c>
      <c r="AF148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8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464586.96802786971</v>
      </c>
      <c r="AH1485" s="55"/>
      <c r="AI1485" s="55"/>
      <c r="AJ1485" s="55"/>
      <c r="AK1485" s="101">
        <f t="shared" ca="1" si="276"/>
        <v>729245.36802786984</v>
      </c>
      <c r="AL1485" s="129">
        <f t="array" ref="AL1485">MAX((УслРестрактов[Характеристика]="Дата реструктуризации")*(УслРестрактов[Значение]=Первоначальный!$A1485),0)</f>
        <v>0</v>
      </c>
    </row>
    <row r="1486" spans="1:38" x14ac:dyDescent="0.25">
      <c r="A1486" s="97">
        <f t="shared" ref="A1486:A1549" si="281">A1485+1</f>
        <v>45617</v>
      </c>
      <c r="B1486" s="100">
        <f t="shared" ref="B1486:B1549" ca="1" si="282">AC1485</f>
        <v>149633.34</v>
      </c>
      <c r="C1486" s="55">
        <f t="shared" ca="1" si="278"/>
        <v>105555.63000000019</v>
      </c>
      <c r="D1486" s="55">
        <f t="shared" ca="1" si="278"/>
        <v>9469.4300000000094</v>
      </c>
      <c r="E1486" s="55">
        <f t="shared" ref="E1486:E1549" ca="1" si="283">AF1485</f>
        <v>0</v>
      </c>
      <c r="F1486" s="55">
        <f t="shared" ref="F1486:F1549" ca="1" si="284">AG1485+AH1485</f>
        <v>464586.96802786971</v>
      </c>
      <c r="G1486" s="101">
        <f t="shared" ref="G1486:G1549" ca="1" si="285">AK1485</f>
        <v>729245.36802786984</v>
      </c>
      <c r="H1486" s="100">
        <f ca="1">ROUND($B1486*VLOOKUP($A1486,$A$1:$B$10,2,1)/(365+IF(MOD(YEAR($A1486),4),0,1)*($A1486-$A1485)),2)-Первоначальный[[#This Row],[Проценты на просроченный платеж по ОД за период]]</f>
        <v>65.900000000000006</v>
      </c>
      <c r="I1486" s="55">
        <f t="shared" ref="I1486:I1549" ca="1" si="286">ROUND(P1485*VLOOKUP($A1486,$A$1:$B$10,2,1)/(365+IF(MOD(YEAR($A1486),4),0,1)*($A1486-$A1485)),2)</f>
        <v>15.46</v>
      </c>
      <c r="J1486" s="55">
        <v>0</v>
      </c>
      <c r="K1486" s="55">
        <f t="shared" ca="1" si="277"/>
        <v>666.24350327868842</v>
      </c>
      <c r="L1486" s="55">
        <v>0</v>
      </c>
      <c r="M1486" s="113">
        <f>SUMIFS(График[Возврат основной суммы долга],График[Дата с учетом нерабочих дней],$A1486)</f>
        <v>0</v>
      </c>
      <c r="N1486" s="56">
        <f>SUMIFS(График[Возврат начисленных %],График[Дата с учетом нерабочих дней],$A1486)</f>
        <v>0</v>
      </c>
      <c r="O1486" s="101">
        <v>0</v>
      </c>
      <c r="P1486" s="100" cm="1">
        <f t="array" aca="1" ref="P1486" ca="1">MAX(IF(AA1485="Да",0,SUM(INDIRECT("M"&amp;(MAX(("Да"=AA$12:AA1485)*ROW(AA$12:AA1485)+1,ROW($P$12))&amp;":M"&amp;(ROW()))))-SUM(INDIRECT("W"&amp;(MAX(("Да"=AA$12:AA1485)*ROW(AA$12:AA1485)+1,ROW($P$12))&amp;":W"&amp;(ROW()))))),0)</f>
        <v>28424.789999999997</v>
      </c>
      <c r="Q1486" s="99">
        <f ca="1">MAX(SUM($N$13:N1486)-SUM($T$13:T1486),0)</f>
        <v>104823.91065573769</v>
      </c>
      <c r="R1486" s="99">
        <f ca="1">Первоначальный[[#This Row],[Просроченный платеж по ОД]]+Первоначальный[[#This Row],[Просроченный платеж по процентам]]</f>
        <v>133248.70065573769</v>
      </c>
      <c r="S1486" s="120">
        <f ca="1">IF(Первоначальный[[#This Row],[Просроченный платеж]]&lt;1,0,S1485+1)</f>
        <v>1382</v>
      </c>
      <c r="T1486" s="100" cm="1">
        <f t="array" aca="1" ref="T1486" ca="1">IF(Первоначальный[[#This Row],[Итого остаток на начало периода]]&lt;1,0,
IF(
AND(TYPE(VLOOKUP(1,$Z$12:Z1486,1,0))=16,Первоначальный[[#This Row],[Досрочное погашение (да/"")]]=""),0,
_xlfn.IFS(AND(S1485=0,Первоначальный[[#This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платеж]]&lt;&gt;0),MIN(LOOKUP(,-1/($Z$12:Z1486=1),$C$12:C1486)+LOOKUP(,-1/($Z$12:Z1486=1),$H$12:H1486),Первоначальный[[#This Row],[Полученный платеж]]+Y1485),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платеж]]+Y1485,SUM(Первоначальный[[#This Row],[Остаток процентов на начало периода]],Первоначальный[[#This Row],[Проценты за период]])),
AND(S1485=0,Первоначальный[[#This Row],[Дата платежа из графика]]=""),0,
AND(S1485=0,Первоначальный[[#This Row],[Дата платежа из графика]]=1,MAX((0&lt;&gt;S$12:S1485)*ROW(S$12:S1485),ROW($S$12))&gt;=MAX((1=Z$12:Z1485)*ROW(Z$12:Z1485),ROW($T$12)),TYPE(VLOOKUP("Да",(INDIRECT("AA"&amp;(MAX((1=Z$12:Z1485)*ROW(Z$12:Z1485),ROW($T$12))&amp;":AA"&amp;(ROW()-1)))),1,0))=16),MIN(LOOKUP(,-1/($Z$12:Z1486=1),$C$12:C1486)+LOOKUP(,-1/($Z$12:Z1486=1),$H$12:H1486),Первоначальный[[#This Row],[Полученный платеж]]+Y1485),
AND(S1485=0,TYPE(VLOOKUP("Да",(INDIRECT("AA"&amp;(MAX((1=Z$12:Z1485)*ROW(Z$12:Z1485),ROW($T$12))&amp;":AA"&amp;(ROW()-1)))),1,0))&lt;&gt;16),MIN(LOOKUP(,-1/($Z$12:Z1486=1),$C$12:C1486)+LOOKUP(,-1/($Z$12:Z1486=1),$H$12:H1486)-IF(AA1485="Да",0,SUM(INDIRECT("T"&amp;(MAX(("Да"=AA$12:AA1485)*ROW(AA$12:AA1485)+1,ROW($T$12))&amp;":T"&amp;(ROW()-1))))),Первоначальный[[#This Row],[Полученный платеж]]+Y1485),
AND(S1485=0,MAX((0&lt;&gt;N$12:N1485)*ROW(N$12:N1485),ROW($S$12))&gt;=MAX((1=Z$12:Z1485)*ROW(Z$12:Z1485),ROW($T$12))),MIN(LOOKUP(,-1/($Z$12:Z1486=1),$C$12:C1486)+LOOKUP(,-1/($Z$12:Z1486=1),$H$12:H1486)-IF(N1485&lt;&gt;0,0,SUM(INDIRECT("T"&amp;(MAX((0&lt;&gt;N$12:N1485)*ROW(N$12:N1485)+1,ROW($T$12))&amp;":T"&amp;(ROW()-1))))),Первоначальный[[#This Row],[Полученный платеж]]+Y1485),
AND(S1485=0,Первоначальный[[#This Row],[Дата платежа из графика]]=1),MIN(LOOKUP(,-1/($Z$12:Z1486=1),$C$12:C1486)+LOOKUP(,-1/($Z$12:Z1486=1),$H$12:H1486)-IF(Z1485=1,0,SUM(INDIRECT("T"&amp;(MAX((1=Z$12:Z1485)*ROW(Z$12:Z1485)+1,ROW($T$12))&amp;":T"&amp;(ROW()-1))))),Первоначальный[[#This Row],[Полученный платеж]]+Y1485),
AND(Z1485&gt;0,Первоначальный[[#This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платеж]]+Y1485),
AND(S1485&gt;0,MAX((0&lt;&gt;S$12:S1485)*ROW(S$12:S1485),ROW($S$12))&gt;=MAX((1=Z$12:Z1485)*ROW(Z$12:Z1485),ROW($T$12)),TYPE(VLOOKUP("Да",(INDIRECT("AA"&amp;(MAX((1=Z$12:Z1485)*ROW(Z$12:Z1485),ROW($T$12))&amp;":AA"&amp;(ROW()-1)))),1,0))=16),MIN(LOOKUP(,-1/($Z$12:Z1486=1),$C$12:C1486)+LOOKUP(,-1/($Z$12:Z1486=1),$H$12:H1486)-SUM(INDIRECT("T"&amp;(MAX((1=Z$12:Z1485)*ROW(Z$12:Z1485),ROW($T$12))&amp;":T"&amp;(ROW()-1)))),Первоначальный[[#This Row],[Полученный платеж]]+Y1485),
S1485&gt;0,MIN(LOOKUP(,-1/($Z$12:Z1486=1),$C$12:C1486)+LOOKUP(,-1/($Z$12:Z1486=1),$H$12:H1486)-IF(Z1485=1,0,SUM(INDIRECT("T"&amp;(MAX((1=Z$12:Z1485)*ROW(Z$12:Z1485)+1,ROW($T$12))&amp;":T"&amp;(ROW()-1))))),Первоначальный[[#This Row],[Полученный платеж]]+Y1485)
)
)
)</f>
        <v>0</v>
      </c>
      <c r="U148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платеж]]+Y1485-Первоначальный[[#This Row],[Полученный платёж по процентам]])</f>
        <v>0</v>
      </c>
      <c r="V1486" s="55">
        <f t="shared" ca="1" si="279"/>
        <v>0</v>
      </c>
      <c r="W1486" s="55" cm="1">
        <f t="array" aca="1" ref="W1486" ca="1">IF(Первоначальный[[#This Row],[Итого остаток на начало периода]]&lt;1,0,
_xlfn.IFS(
AND(TYPE(VLOOKUP(1,$Z$12:Z1486,1,0))=16,Первоначальный[[#This Row],[Досрочное погашение (да/"")]]=""),0,
AND(S1485=0,Первоначальный[[#This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платеж]]+Y1485-SUM(Первоначальный[[#This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комиссиям]]),VLOOKUP(LOOKUP(,-1/($Z$12:Z1486=1),$A$12:A1486),График[[Срок конец]:[Возврат основной суммы долга]],3,0)),
AND(S1485=0,Первоначальный[[#This Row],[Дата платежа из графика]]="",Первоначальный[[#This Row],[Досрочное погашение (да/"")]]&lt;&gt;"Да"),0,
AND(S1485=0,Первоначальный[[#This Row],[Досрочное погашение (да/"")]]=""),MIN(Первоначальный[[#This Row],[Полученный платеж]]+Y1485-SUM(Первоначальный[[#This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комиссиям]]),VLOOKUP(LOOKUP(,-1/($Z$12:Z1486=1),$A$12:A1486),График[[Срок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платеж]]+Y1485-SUM(Первоначальный[[#This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S1485&gt;0,MIN(Первоначальный[[#This Row],[Полученный платеж]]+Y1485-SUM(Первоначальный[[#This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комиссиям]]),SUM(INDIRECT("M"&amp;(MAX((1=S$12:S1485)*ROW(S$12:S1485),ROW($W$12))&amp;":M"&amp;(ROW()))))-SUM(INDIRECT("W"&amp;(MAX((1=S$12:S1485)*ROW(S$12:S1485),ROW($W$12))&amp;":W"&amp;(ROW()-1)))))
)
)</f>
        <v>0</v>
      </c>
      <c r="X1486" s="55">
        <f t="shared" ca="1" si="280"/>
        <v>0</v>
      </c>
      <c r="Y1486" s="101">
        <f t="shared" ref="Y1486:Y1549" ca="1" si="287">ROUND(Y1485+O1486-SUM(T1486:X1486),2)</f>
        <v>0</v>
      </c>
      <c r="Z1486" s="133" t="str">
        <f>IF(TYPE((VLOOKUP(Первоначальный[[#This Row],[Дата платежа]],График[Срок конец],1,0)))=16,"",1)</f>
        <v/>
      </c>
      <c r="AA1486" s="57"/>
      <c r="AB1486" s="134"/>
      <c r="AC148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8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105621.53000000019</v>
      </c>
      <c r="AE148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9484.8900000000085</v>
      </c>
      <c r="AF148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8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465253.21153114841</v>
      </c>
      <c r="AH1486" s="55"/>
      <c r="AI1486" s="55"/>
      <c r="AJ1486" s="55"/>
      <c r="AK1486" s="101">
        <f t="shared" ref="AK1486:AK1549" ca="1" si="288">SUM(AC1486:AJ1486)</f>
        <v>729992.97153114853</v>
      </c>
      <c r="AL1486" s="129">
        <f t="array" ref="AL1486">MAX((УслРестрактов[Характеристика]="Дата реструктуризации")*(УслРестрактов[Значение]=Первоначальный!$A1486),0)</f>
        <v>0</v>
      </c>
    </row>
    <row r="1487" spans="1:38" x14ac:dyDescent="0.25">
      <c r="A1487" s="97">
        <f t="shared" si="281"/>
        <v>45618</v>
      </c>
      <c r="B1487" s="100">
        <f t="shared" ca="1" si="282"/>
        <v>149633.34</v>
      </c>
      <c r="C1487" s="55">
        <f t="shared" ca="1" si="278"/>
        <v>105621.53000000019</v>
      </c>
      <c r="D1487" s="55">
        <f t="shared" ca="1" si="278"/>
        <v>9484.8900000000085</v>
      </c>
      <c r="E1487" s="55">
        <f t="shared" ca="1" si="283"/>
        <v>0</v>
      </c>
      <c r="F1487" s="55">
        <f t="shared" ca="1" si="284"/>
        <v>465253.21153114841</v>
      </c>
      <c r="G1487" s="101">
        <f t="shared" ca="1" si="285"/>
        <v>729992.97153114853</v>
      </c>
      <c r="H1487" s="100">
        <f ca="1">ROUND($B1487*VLOOKUP($A1487,$A$1:$B$10,2,1)/(365+IF(MOD(YEAR($A1487),4),0,1)*($A1487-$A1486)),2)-Первоначальный[[#This Row],[Проценты на просроченный платеж по ОД за период]]</f>
        <v>65.900000000000006</v>
      </c>
      <c r="I1487" s="55">
        <f t="shared" ca="1" si="286"/>
        <v>15.46</v>
      </c>
      <c r="J1487" s="55">
        <v>0</v>
      </c>
      <c r="K1487" s="55">
        <f t="shared" ref="K1487:K1550" ca="1" si="289">IF(S1487&lt;&gt;0,R1487*$B$7,0)</f>
        <v>666.24350327868842</v>
      </c>
      <c r="L1487" s="55">
        <v>0</v>
      </c>
      <c r="M1487" s="113">
        <f>SUMIFS(График[Возврат основной суммы долга],График[Дата с учетом нерабочих дней],$A1487)</f>
        <v>0</v>
      </c>
      <c r="N1487" s="56">
        <f>SUMIFS(График[Возврат начисленных %],График[Дата с учетом нерабочих дней],$A1487)</f>
        <v>0</v>
      </c>
      <c r="O1487" s="101">
        <v>0</v>
      </c>
      <c r="P1487" s="100" cm="1">
        <f t="array" aca="1" ref="P1487" ca="1">MAX(IF(AA1486="Да",0,SUM(INDIRECT("M"&amp;(MAX(("Да"=AA$12:AA1486)*ROW(AA$12:AA1486)+1,ROW($P$12))&amp;":M"&amp;(ROW()))))-SUM(INDIRECT("W"&amp;(MAX(("Да"=AA$12:AA1486)*ROW(AA$12:AA1486)+1,ROW($P$12))&amp;":W"&amp;(ROW()))))),0)</f>
        <v>28424.789999999997</v>
      </c>
      <c r="Q1487" s="99">
        <f ca="1">MAX(SUM($N$13:N1487)-SUM($T$13:T1487),0)</f>
        <v>104823.91065573769</v>
      </c>
      <c r="R1487" s="99">
        <f ca="1">Первоначальный[[#This Row],[Просроченный платеж по ОД]]+Первоначальный[[#This Row],[Просроченный платеж по процентам]]</f>
        <v>133248.70065573769</v>
      </c>
      <c r="S1487" s="120">
        <f ca="1">IF(Первоначальный[[#This Row],[Просроченный платеж]]&lt;1,0,S1486+1)</f>
        <v>1383</v>
      </c>
      <c r="T1487" s="100" cm="1">
        <f t="array" aca="1" ref="T1487" ca="1">IF(Первоначальный[[#This Row],[Итого остаток на начало периода]]&lt;1,0,
IF(
AND(TYPE(VLOOKUP(1,$Z$12:Z1487,1,0))=16,Первоначальный[[#This Row],[Досрочное погашение (да/"")]]=""),0,
_xlfn.IFS(AND(S1486=0,Первоначальный[[#This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платеж]]&lt;&gt;0),MIN(LOOKUP(,-1/($Z$12:Z1487=1),$C$12:C1487)+LOOKUP(,-1/($Z$12:Z1487=1),$H$12:H1487),Первоначальный[[#This Row],[Полученный платеж]]+Y1486),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платеж]]+Y1486,SUM(Первоначальный[[#This Row],[Остаток процентов на начало периода]],Первоначальный[[#This Row],[Проценты за период]])),
AND(S1486=0,Первоначальный[[#This Row],[Дата платежа из графика]]=""),0,
AND(S1486=0,Первоначальный[[#This Row],[Дата платежа из графика]]=1,MAX((0&lt;&gt;S$12:S1486)*ROW(S$12:S1486),ROW($S$12))&gt;=MAX((1=Z$12:Z1486)*ROW(Z$12:Z1486),ROW($T$12)),TYPE(VLOOKUP("Да",(INDIRECT("AA"&amp;(MAX((1=Z$12:Z1486)*ROW(Z$12:Z1486),ROW($T$12))&amp;":AA"&amp;(ROW()-1)))),1,0))=16),MIN(LOOKUP(,-1/($Z$12:Z1487=1),$C$12:C1487)+LOOKUP(,-1/($Z$12:Z1487=1),$H$12:H1487),Первоначальный[[#This Row],[Полученный платеж]]+Y1486),
AND(S1486=0,TYPE(VLOOKUP("Да",(INDIRECT("AA"&amp;(MAX((1=Z$12:Z1486)*ROW(Z$12:Z1486),ROW($T$12))&amp;":AA"&amp;(ROW()-1)))),1,0))&lt;&gt;16),MIN(LOOKUP(,-1/($Z$12:Z1487=1),$C$12:C1487)+LOOKUP(,-1/($Z$12:Z1487=1),$H$12:H1487)-IF(AA1486="Да",0,SUM(INDIRECT("T"&amp;(MAX(("Да"=AA$12:AA1486)*ROW(AA$12:AA1486)+1,ROW($T$12))&amp;":T"&amp;(ROW()-1))))),Первоначальный[[#This Row],[Полученный платеж]]+Y1486),
AND(S1486=0,MAX((0&lt;&gt;N$12:N1486)*ROW(N$12:N1486),ROW($S$12))&gt;=MAX((1=Z$12:Z1486)*ROW(Z$12:Z1486),ROW($T$12))),MIN(LOOKUP(,-1/($Z$12:Z1487=1),$C$12:C1487)+LOOKUP(,-1/($Z$12:Z1487=1),$H$12:H1487)-IF(N1486&lt;&gt;0,0,SUM(INDIRECT("T"&amp;(MAX((0&lt;&gt;N$12:N1486)*ROW(N$12:N1486)+1,ROW($T$12))&amp;":T"&amp;(ROW()-1))))),Первоначальный[[#This Row],[Полученный платеж]]+Y1486),
AND(S1486=0,Первоначальный[[#This Row],[Дата платежа из графика]]=1),MIN(LOOKUP(,-1/($Z$12:Z1487=1),$C$12:C1487)+LOOKUP(,-1/($Z$12:Z1487=1),$H$12:H1487)-IF(Z1486=1,0,SUM(INDIRECT("T"&amp;(MAX((1=Z$12:Z1486)*ROW(Z$12:Z1486)+1,ROW($T$12))&amp;":T"&amp;(ROW()-1))))),Первоначальный[[#This Row],[Полученный платеж]]+Y1486),
AND(Z1486&gt;0,Первоначальный[[#This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платеж]]+Y1486),
AND(S1486&gt;0,MAX((0&lt;&gt;S$12:S1486)*ROW(S$12:S1486),ROW($S$12))&gt;=MAX((1=Z$12:Z1486)*ROW(Z$12:Z1486),ROW($T$12)),TYPE(VLOOKUP("Да",(INDIRECT("AA"&amp;(MAX((1=Z$12:Z1486)*ROW(Z$12:Z1486),ROW($T$12))&amp;":AA"&amp;(ROW()-1)))),1,0))=16),MIN(LOOKUP(,-1/($Z$12:Z1487=1),$C$12:C1487)+LOOKUP(,-1/($Z$12:Z1487=1),$H$12:H1487)-SUM(INDIRECT("T"&amp;(MAX((1=Z$12:Z1486)*ROW(Z$12:Z1486),ROW($T$12))&amp;":T"&amp;(ROW()-1)))),Первоначальный[[#This Row],[Полученный платеж]]+Y1486),
S1486&gt;0,MIN(LOOKUP(,-1/($Z$12:Z1487=1),$C$12:C1487)+LOOKUP(,-1/($Z$12:Z1487=1),$H$12:H1487)-IF(Z1486=1,0,SUM(INDIRECT("T"&amp;(MAX((1=Z$12:Z1486)*ROW(Z$12:Z1486)+1,ROW($T$12))&amp;":T"&amp;(ROW()-1))))),Первоначальный[[#This Row],[Полученный платеж]]+Y1486)
)
)
)</f>
        <v>0</v>
      </c>
      <c r="U148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платеж]]+Y1486-Первоначальный[[#This Row],[Полученный платёж по процентам]])</f>
        <v>0</v>
      </c>
      <c r="V1487" s="55">
        <f t="shared" ca="1" si="279"/>
        <v>0</v>
      </c>
      <c r="W1487" s="55" cm="1">
        <f t="array" aca="1" ref="W1487" ca="1">IF(Первоначальный[[#This Row],[Итого остаток на начало периода]]&lt;1,0,
_xlfn.IFS(
AND(TYPE(VLOOKUP(1,$Z$12:Z1487,1,0))=16,Первоначальный[[#This Row],[Досрочное погашение (да/"")]]=""),0,
AND(S1486=0,Первоначальный[[#This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платеж]]+Y1486-SUM(Первоначальный[[#This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комиссиям]]),VLOOKUP(LOOKUP(,-1/($Z$12:Z1487=1),$A$12:A1487),График[[Срок конец]:[Возврат основной суммы долга]],3,0)),
AND(S1486=0,Первоначальный[[#This Row],[Дата платежа из графика]]="",Первоначальный[[#This Row],[Досрочное погашение (да/"")]]&lt;&gt;"Да"),0,
AND(S1486=0,Первоначальный[[#This Row],[Досрочное погашение (да/"")]]=""),MIN(Первоначальный[[#This Row],[Полученный платеж]]+Y1486-SUM(Первоначальный[[#This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комиссиям]]),VLOOKUP(LOOKUP(,-1/($Z$12:Z1487=1),$A$12:A1487),График[[Срок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платеж]]+Y1486-SUM(Первоначальный[[#This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S1486&gt;0,MIN(Первоначальный[[#This Row],[Полученный платеж]]+Y1486-SUM(Первоначальный[[#This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комиссиям]]),SUM(INDIRECT("M"&amp;(MAX((1=S$12:S1486)*ROW(S$12:S1486),ROW($W$12))&amp;":M"&amp;(ROW()))))-SUM(INDIRECT("W"&amp;(MAX((1=S$12:S1486)*ROW(S$12:S1486),ROW($W$12))&amp;":W"&amp;(ROW()-1)))))
)
)</f>
        <v>0</v>
      </c>
      <c r="X1487" s="55">
        <f t="shared" ca="1" si="280"/>
        <v>0</v>
      </c>
      <c r="Y1487" s="101">
        <f t="shared" ca="1" si="287"/>
        <v>0</v>
      </c>
      <c r="Z1487" s="133" t="str">
        <f>IF(TYPE((VLOOKUP(Первоначальный[[#This Row],[Дата платежа]],График[Срок конец],1,0)))=16,"",1)</f>
        <v/>
      </c>
      <c r="AA1487" s="57"/>
      <c r="AB1487" s="134"/>
      <c r="AC148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8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105687.43000000018</v>
      </c>
      <c r="AE148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9500.3500000000076</v>
      </c>
      <c r="AF148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8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465919.45503442711</v>
      </c>
      <c r="AH1487" s="55"/>
      <c r="AI1487" s="55"/>
      <c r="AJ1487" s="55"/>
      <c r="AK1487" s="101">
        <f t="shared" ca="1" si="288"/>
        <v>730740.57503442734</v>
      </c>
      <c r="AL1487" s="129">
        <f t="array" ref="AL1487">MAX((УслРестрактов[Характеристика]="Дата реструктуризации")*(УслРестрактов[Значение]=Первоначальный!$A1487),0)</f>
        <v>0</v>
      </c>
    </row>
    <row r="1488" spans="1:38" x14ac:dyDescent="0.25">
      <c r="A1488" s="97">
        <f t="shared" si="281"/>
        <v>45619</v>
      </c>
      <c r="B1488" s="100">
        <f t="shared" ca="1" si="282"/>
        <v>149633.34</v>
      </c>
      <c r="C1488" s="55">
        <f t="shared" ca="1" si="278"/>
        <v>105687.43000000018</v>
      </c>
      <c r="D1488" s="55">
        <f t="shared" ca="1" si="278"/>
        <v>9500.3500000000076</v>
      </c>
      <c r="E1488" s="55">
        <f t="shared" ca="1" si="283"/>
        <v>0</v>
      </c>
      <c r="F1488" s="55">
        <f t="shared" ca="1" si="284"/>
        <v>465919.45503442711</v>
      </c>
      <c r="G1488" s="101">
        <f t="shared" ca="1" si="285"/>
        <v>730740.57503442734</v>
      </c>
      <c r="H1488" s="100">
        <f ca="1">ROUND($B1488*VLOOKUP($A1488,$A$1:$B$10,2,1)/(365+IF(MOD(YEAR($A1488),4),0,1)*($A1488-$A1487)),2)-Первоначальный[[#This Row],[Проценты на просроченный платеж по ОД за период]]</f>
        <v>65.900000000000006</v>
      </c>
      <c r="I1488" s="55">
        <f t="shared" ca="1" si="286"/>
        <v>15.46</v>
      </c>
      <c r="J1488" s="55">
        <v>0</v>
      </c>
      <c r="K1488" s="55">
        <f t="shared" ca="1" si="289"/>
        <v>666.24350327868842</v>
      </c>
      <c r="L1488" s="55">
        <v>0</v>
      </c>
      <c r="M1488" s="113">
        <f>SUMIFS(График[Возврат основной суммы долга],График[Дата с учетом нерабочих дней],$A1488)</f>
        <v>0</v>
      </c>
      <c r="N1488" s="56">
        <f>SUMIFS(График[Возврат начисленных %],График[Дата с учетом нерабочих дней],$A1488)</f>
        <v>0</v>
      </c>
      <c r="O1488" s="101">
        <v>0</v>
      </c>
      <c r="P1488" s="100" cm="1">
        <f t="array" aca="1" ref="P1488" ca="1">MAX(IF(AA1487="Да",0,SUM(INDIRECT("M"&amp;(MAX(("Да"=AA$12:AA1487)*ROW(AA$12:AA1487)+1,ROW($P$12))&amp;":M"&amp;(ROW()))))-SUM(INDIRECT("W"&amp;(MAX(("Да"=AA$12:AA1487)*ROW(AA$12:AA1487)+1,ROW($P$12))&amp;":W"&amp;(ROW()))))),0)</f>
        <v>28424.789999999997</v>
      </c>
      <c r="Q1488" s="99">
        <f ca="1">MAX(SUM($N$13:N1488)-SUM($T$13:T1488),0)</f>
        <v>104823.91065573769</v>
      </c>
      <c r="R1488" s="99">
        <f ca="1">Первоначальный[[#This Row],[Просроченный платеж по ОД]]+Первоначальный[[#This Row],[Просроченный платеж по процентам]]</f>
        <v>133248.70065573769</v>
      </c>
      <c r="S1488" s="120">
        <f ca="1">IF(Первоначальный[[#This Row],[Просроченный платеж]]&lt;1,0,S1487+1)</f>
        <v>1384</v>
      </c>
      <c r="T1488" s="100" cm="1">
        <f t="array" aca="1" ref="T1488" ca="1">IF(Первоначальный[[#This Row],[Итого остаток на начало периода]]&lt;1,0,
IF(
AND(TYPE(VLOOKUP(1,$Z$12:Z1488,1,0))=16,Первоначальный[[#This Row],[Досрочное погашение (да/"")]]=""),0,
_xlfn.IFS(AND(S1487=0,Первоначальный[[#This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платеж]]&lt;&gt;0),MIN(LOOKUP(,-1/($Z$12:Z1488=1),$C$12:C1488)+LOOKUP(,-1/($Z$12:Z1488=1),$H$12:H1488),Первоначальный[[#This Row],[Полученный платеж]]+Y1487),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платеж]]+Y1487,SUM(Первоначальный[[#This Row],[Остаток процентов на начало периода]],Первоначальный[[#This Row],[Проценты за период]])),
AND(S1487=0,Первоначальный[[#This Row],[Дата платежа из графика]]=""),0,
AND(S1487=0,Первоначальный[[#This Row],[Дата платежа из графика]]=1,MAX((0&lt;&gt;S$12:S1487)*ROW(S$12:S1487),ROW($S$12))&gt;=MAX((1=Z$12:Z1487)*ROW(Z$12:Z1487),ROW($T$12)),TYPE(VLOOKUP("Да",(INDIRECT("AA"&amp;(MAX((1=Z$12:Z1487)*ROW(Z$12:Z1487),ROW($T$12))&amp;":AA"&amp;(ROW()-1)))),1,0))=16),MIN(LOOKUP(,-1/($Z$12:Z1488=1),$C$12:C1488)+LOOKUP(,-1/($Z$12:Z1488=1),$H$12:H1488),Первоначальный[[#This Row],[Полученный платеж]]+Y1487),
AND(S1487=0,TYPE(VLOOKUP("Да",(INDIRECT("AA"&amp;(MAX((1=Z$12:Z1487)*ROW(Z$12:Z1487),ROW($T$12))&amp;":AA"&amp;(ROW()-1)))),1,0))&lt;&gt;16),MIN(LOOKUP(,-1/($Z$12:Z1488=1),$C$12:C1488)+LOOKUP(,-1/($Z$12:Z1488=1),$H$12:H1488)-IF(AA1487="Да",0,SUM(INDIRECT("T"&amp;(MAX(("Да"=AA$12:AA1487)*ROW(AA$12:AA1487)+1,ROW($T$12))&amp;":T"&amp;(ROW()-1))))),Первоначальный[[#This Row],[Полученный платеж]]+Y1487),
AND(S1487=0,MAX((0&lt;&gt;N$12:N1487)*ROW(N$12:N1487),ROW($S$12))&gt;=MAX((1=Z$12:Z1487)*ROW(Z$12:Z1487),ROW($T$12))),MIN(LOOKUP(,-1/($Z$12:Z1488=1),$C$12:C1488)+LOOKUP(,-1/($Z$12:Z1488=1),$H$12:H1488)-IF(N1487&lt;&gt;0,0,SUM(INDIRECT("T"&amp;(MAX((0&lt;&gt;N$12:N1487)*ROW(N$12:N1487)+1,ROW($T$12))&amp;":T"&amp;(ROW()-1))))),Первоначальный[[#This Row],[Полученный платеж]]+Y1487),
AND(S1487=0,Первоначальный[[#This Row],[Дата платежа из графика]]=1),MIN(LOOKUP(,-1/($Z$12:Z1488=1),$C$12:C1488)+LOOKUP(,-1/($Z$12:Z1488=1),$H$12:H1488)-IF(Z1487=1,0,SUM(INDIRECT("T"&amp;(MAX((1=Z$12:Z1487)*ROW(Z$12:Z1487)+1,ROW($T$12))&amp;":T"&amp;(ROW()-1))))),Первоначальный[[#This Row],[Полученный платеж]]+Y1487),
AND(Z1487&gt;0,Первоначальный[[#This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платеж]]+Y1487),
AND(S1487&gt;0,MAX((0&lt;&gt;S$12:S1487)*ROW(S$12:S1487),ROW($S$12))&gt;=MAX((1=Z$12:Z1487)*ROW(Z$12:Z1487),ROW($T$12)),TYPE(VLOOKUP("Да",(INDIRECT("AA"&amp;(MAX((1=Z$12:Z1487)*ROW(Z$12:Z1487),ROW($T$12))&amp;":AA"&amp;(ROW()-1)))),1,0))=16),MIN(LOOKUP(,-1/($Z$12:Z1488=1),$C$12:C1488)+LOOKUP(,-1/($Z$12:Z1488=1),$H$12:H1488)-SUM(INDIRECT("T"&amp;(MAX((1=Z$12:Z1487)*ROW(Z$12:Z1487),ROW($T$12))&amp;":T"&amp;(ROW()-1)))),Первоначальный[[#This Row],[Полученный платеж]]+Y1487),
S1487&gt;0,MIN(LOOKUP(,-1/($Z$12:Z1488=1),$C$12:C1488)+LOOKUP(,-1/($Z$12:Z1488=1),$H$12:H1488)-IF(Z1487=1,0,SUM(INDIRECT("T"&amp;(MAX((1=Z$12:Z1487)*ROW(Z$12:Z1487)+1,ROW($T$12))&amp;":T"&amp;(ROW()-1))))),Первоначальный[[#This Row],[Полученный платеж]]+Y1487)
)
)
)</f>
        <v>0</v>
      </c>
      <c r="U148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платеж]]+Y1487-Первоначальный[[#This Row],[Полученный платёж по процентам]])</f>
        <v>0</v>
      </c>
      <c r="V1488" s="55">
        <f t="shared" ca="1" si="279"/>
        <v>0</v>
      </c>
      <c r="W1488" s="55" cm="1">
        <f t="array" aca="1" ref="W1488" ca="1">IF(Первоначальный[[#This Row],[Итого остаток на начало периода]]&lt;1,0,
_xlfn.IFS(
AND(TYPE(VLOOKUP(1,$Z$12:Z1488,1,0))=16,Первоначальный[[#This Row],[Досрочное погашение (да/"")]]=""),0,
AND(S1487=0,Первоначальный[[#This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платеж]]+Y1487-SUM(Первоначальный[[#This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комиссиям]]),VLOOKUP(LOOKUP(,-1/($Z$12:Z1488=1),$A$12:A1488),График[[Срок конец]:[Возврат основной суммы долга]],3,0)),
AND(S1487=0,Первоначальный[[#This Row],[Дата платежа из графика]]="",Первоначальный[[#This Row],[Досрочное погашение (да/"")]]&lt;&gt;"Да"),0,
AND(S1487=0,Первоначальный[[#This Row],[Досрочное погашение (да/"")]]=""),MIN(Первоначальный[[#This Row],[Полученный платеж]]+Y1487-SUM(Первоначальный[[#This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комиссиям]]),VLOOKUP(LOOKUP(,-1/($Z$12:Z1488=1),$A$12:A1488),График[[Срок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платеж]]+Y1487-SUM(Первоначальный[[#This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S1487&gt;0,MIN(Первоначальный[[#This Row],[Полученный платеж]]+Y1487-SUM(Первоначальный[[#This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комиссиям]]),SUM(INDIRECT("M"&amp;(MAX((1=S$12:S1487)*ROW(S$12:S1487),ROW($W$12))&amp;":M"&amp;(ROW()))))-SUM(INDIRECT("W"&amp;(MAX((1=S$12:S1487)*ROW(S$12:S1487),ROW($W$12))&amp;":W"&amp;(ROW()-1)))))
)
)</f>
        <v>0</v>
      </c>
      <c r="X1488" s="55">
        <f t="shared" ca="1" si="280"/>
        <v>0</v>
      </c>
      <c r="Y1488" s="101">
        <f t="shared" ca="1" si="287"/>
        <v>0</v>
      </c>
      <c r="Z1488" s="133" t="str">
        <f>IF(TYPE((VLOOKUP(Первоначальный[[#This Row],[Дата платежа]],График[Срок конец],1,0)))=16,"",1)</f>
        <v/>
      </c>
      <c r="AA1488" s="57"/>
      <c r="AB1488" s="134"/>
      <c r="AC148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8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105753.33000000018</v>
      </c>
      <c r="AE148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9515.8100000000068</v>
      </c>
      <c r="AF148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8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466585.69853770582</v>
      </c>
      <c r="AH1488" s="55"/>
      <c r="AI1488" s="55"/>
      <c r="AJ1488" s="55"/>
      <c r="AK1488" s="101">
        <f t="shared" ca="1" si="288"/>
        <v>731488.17853770591</v>
      </c>
      <c r="AL1488" s="129">
        <f t="array" ref="AL1488">MAX((УслРестрактов[Характеристика]="Дата реструктуризации")*(УслРестрактов[Значение]=Первоначальный!$A1488),0)</f>
        <v>0</v>
      </c>
    </row>
    <row r="1489" spans="1:38" x14ac:dyDescent="0.25">
      <c r="A1489" s="97">
        <f t="shared" si="281"/>
        <v>45620</v>
      </c>
      <c r="B1489" s="100">
        <f t="shared" ca="1" si="282"/>
        <v>149633.34</v>
      </c>
      <c r="C1489" s="55">
        <f t="shared" ca="1" si="278"/>
        <v>105753.33000000018</v>
      </c>
      <c r="D1489" s="55">
        <f t="shared" ca="1" si="278"/>
        <v>9515.8100000000068</v>
      </c>
      <c r="E1489" s="55">
        <f t="shared" ca="1" si="283"/>
        <v>0</v>
      </c>
      <c r="F1489" s="55">
        <f t="shared" ca="1" si="284"/>
        <v>466585.69853770582</v>
      </c>
      <c r="G1489" s="101">
        <f t="shared" ca="1" si="285"/>
        <v>731488.17853770591</v>
      </c>
      <c r="H1489" s="100">
        <f ca="1">ROUND($B1489*VLOOKUP($A1489,$A$1:$B$10,2,1)/(365+IF(MOD(YEAR($A1489),4),0,1)*($A1489-$A1488)),2)-Первоначальный[[#This Row],[Проценты на просроченный платеж по ОД за период]]</f>
        <v>65.900000000000006</v>
      </c>
      <c r="I1489" s="55">
        <f t="shared" ca="1" si="286"/>
        <v>15.46</v>
      </c>
      <c r="J1489" s="55">
        <v>0</v>
      </c>
      <c r="K1489" s="55">
        <f t="shared" ca="1" si="289"/>
        <v>666.24350327868842</v>
      </c>
      <c r="L1489" s="55">
        <v>0</v>
      </c>
      <c r="M1489" s="113">
        <f>SUMIFS(График[Возврат основной суммы долга],График[Дата с учетом нерабочих дней],$A1489)</f>
        <v>0</v>
      </c>
      <c r="N1489" s="56">
        <f>SUMIFS(График[Возврат начисленных %],График[Дата с учетом нерабочих дней],$A1489)</f>
        <v>0</v>
      </c>
      <c r="O1489" s="101">
        <v>0</v>
      </c>
      <c r="P1489" s="100" cm="1">
        <f t="array" aca="1" ref="P1489" ca="1">MAX(IF(AA1488="Да",0,SUM(INDIRECT("M"&amp;(MAX(("Да"=AA$12:AA1488)*ROW(AA$12:AA1488)+1,ROW($P$12))&amp;":M"&amp;(ROW()))))-SUM(INDIRECT("W"&amp;(MAX(("Да"=AA$12:AA1488)*ROW(AA$12:AA1488)+1,ROW($P$12))&amp;":W"&amp;(ROW()))))),0)</f>
        <v>28424.789999999997</v>
      </c>
      <c r="Q1489" s="99">
        <f ca="1">MAX(SUM($N$13:N1489)-SUM($T$13:T1489),0)</f>
        <v>104823.91065573769</v>
      </c>
      <c r="R1489" s="99">
        <f ca="1">Первоначальный[[#This Row],[Просроченный платеж по ОД]]+Первоначальный[[#This Row],[Просроченный платеж по процентам]]</f>
        <v>133248.70065573769</v>
      </c>
      <c r="S1489" s="120">
        <f ca="1">IF(Первоначальный[[#This Row],[Просроченный платеж]]&lt;1,0,S1488+1)</f>
        <v>1385</v>
      </c>
      <c r="T1489" s="100" cm="1">
        <f t="array" aca="1" ref="T1489" ca="1">IF(Первоначальный[[#This Row],[Итого остаток на начало периода]]&lt;1,0,
IF(
AND(TYPE(VLOOKUP(1,$Z$12:Z1489,1,0))=16,Первоначальный[[#This Row],[Досрочное погашение (да/"")]]=""),0,
_xlfn.IFS(AND(S1488=0,Первоначальный[[#This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платеж]]&lt;&gt;0),MIN(LOOKUP(,-1/($Z$12:Z1489=1),$C$12:C1489)+LOOKUP(,-1/($Z$12:Z1489=1),$H$12:H1489),Первоначальный[[#This Row],[Полученный платеж]]+Y1488),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платеж]]+Y1488,SUM(Первоначальный[[#This Row],[Остаток процентов на начало периода]],Первоначальный[[#This Row],[Проценты за период]])),
AND(S1488=0,Первоначальный[[#This Row],[Дата платежа из графика]]=""),0,
AND(S1488=0,Первоначальный[[#This Row],[Дата платежа из графика]]=1,MAX((0&lt;&gt;S$12:S1488)*ROW(S$12:S1488),ROW($S$12))&gt;=MAX((1=Z$12:Z1488)*ROW(Z$12:Z1488),ROW($T$12)),TYPE(VLOOKUP("Да",(INDIRECT("AA"&amp;(MAX((1=Z$12:Z1488)*ROW(Z$12:Z1488),ROW($T$12))&amp;":AA"&amp;(ROW()-1)))),1,0))=16),MIN(LOOKUP(,-1/($Z$12:Z1489=1),$C$12:C1489)+LOOKUP(,-1/($Z$12:Z1489=1),$H$12:H1489),Первоначальный[[#This Row],[Полученный платеж]]+Y1488),
AND(S1488=0,TYPE(VLOOKUP("Да",(INDIRECT("AA"&amp;(MAX((1=Z$12:Z1488)*ROW(Z$12:Z1488),ROW($T$12))&amp;":AA"&amp;(ROW()-1)))),1,0))&lt;&gt;16),MIN(LOOKUP(,-1/($Z$12:Z1489=1),$C$12:C1489)+LOOKUP(,-1/($Z$12:Z1489=1),$H$12:H1489)-IF(AA1488="Да",0,SUM(INDIRECT("T"&amp;(MAX(("Да"=AA$12:AA1488)*ROW(AA$12:AA1488)+1,ROW($T$12))&amp;":T"&amp;(ROW()-1))))),Первоначальный[[#This Row],[Полученный платеж]]+Y1488),
AND(S1488=0,MAX((0&lt;&gt;N$12:N1488)*ROW(N$12:N1488),ROW($S$12))&gt;=MAX((1=Z$12:Z1488)*ROW(Z$12:Z1488),ROW($T$12))),MIN(LOOKUP(,-1/($Z$12:Z1489=1),$C$12:C1489)+LOOKUP(,-1/($Z$12:Z1489=1),$H$12:H1489)-IF(N1488&lt;&gt;0,0,SUM(INDIRECT("T"&amp;(MAX((0&lt;&gt;N$12:N1488)*ROW(N$12:N1488)+1,ROW($T$12))&amp;":T"&amp;(ROW()-1))))),Первоначальный[[#This Row],[Полученный платеж]]+Y1488),
AND(S1488=0,Первоначальный[[#This Row],[Дата платежа из графика]]=1),MIN(LOOKUP(,-1/($Z$12:Z1489=1),$C$12:C1489)+LOOKUP(,-1/($Z$12:Z1489=1),$H$12:H1489)-IF(Z1488=1,0,SUM(INDIRECT("T"&amp;(MAX((1=Z$12:Z1488)*ROW(Z$12:Z1488)+1,ROW($T$12))&amp;":T"&amp;(ROW()-1))))),Первоначальный[[#This Row],[Полученный платеж]]+Y1488),
AND(Z1488&gt;0,Первоначальный[[#This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платеж]]+Y1488),
AND(S1488&gt;0,MAX((0&lt;&gt;S$12:S1488)*ROW(S$12:S1488),ROW($S$12))&gt;=MAX((1=Z$12:Z1488)*ROW(Z$12:Z1488),ROW($T$12)),TYPE(VLOOKUP("Да",(INDIRECT("AA"&amp;(MAX((1=Z$12:Z1488)*ROW(Z$12:Z1488),ROW($T$12))&amp;":AA"&amp;(ROW()-1)))),1,0))=16),MIN(LOOKUP(,-1/($Z$12:Z1489=1),$C$12:C1489)+LOOKUP(,-1/($Z$12:Z1489=1),$H$12:H1489)-SUM(INDIRECT("T"&amp;(MAX((1=Z$12:Z1488)*ROW(Z$12:Z1488),ROW($T$12))&amp;":T"&amp;(ROW()-1)))),Первоначальный[[#This Row],[Полученный платеж]]+Y1488),
S1488&gt;0,MIN(LOOKUP(,-1/($Z$12:Z1489=1),$C$12:C1489)+LOOKUP(,-1/($Z$12:Z1489=1),$H$12:H1489)-IF(Z1488=1,0,SUM(INDIRECT("T"&amp;(MAX((1=Z$12:Z1488)*ROW(Z$12:Z1488)+1,ROW($T$12))&amp;":T"&amp;(ROW()-1))))),Первоначальный[[#This Row],[Полученный платеж]]+Y1488)
)
)
)</f>
        <v>0</v>
      </c>
      <c r="U148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платеж]]+Y1488-Первоначальный[[#This Row],[Полученный платёж по процентам]])</f>
        <v>0</v>
      </c>
      <c r="V1489" s="55">
        <f t="shared" ca="1" si="279"/>
        <v>0</v>
      </c>
      <c r="W1489" s="55" cm="1">
        <f t="array" aca="1" ref="W1489" ca="1">IF(Первоначальный[[#This Row],[Итого остаток на начало периода]]&lt;1,0,
_xlfn.IFS(
AND(TYPE(VLOOKUP(1,$Z$12:Z1489,1,0))=16,Первоначальный[[#This Row],[Досрочное погашение (да/"")]]=""),0,
AND(S1488=0,Первоначальный[[#This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платеж]]+Y1488-SUM(Первоначальный[[#This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комиссиям]]),VLOOKUP(LOOKUP(,-1/($Z$12:Z1489=1),$A$12:A1489),График[[Срок конец]:[Возврат основной суммы долга]],3,0)),
AND(S1488=0,Первоначальный[[#This Row],[Дата платежа из графика]]="",Первоначальный[[#This Row],[Досрочное погашение (да/"")]]&lt;&gt;"Да"),0,
AND(S1488=0,Первоначальный[[#This Row],[Досрочное погашение (да/"")]]=""),MIN(Первоначальный[[#This Row],[Полученный платеж]]+Y1488-SUM(Первоначальный[[#This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комиссиям]]),VLOOKUP(LOOKUP(,-1/($Z$12:Z1489=1),$A$12:A1489),График[[Срок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платеж]]+Y1488-SUM(Первоначальный[[#This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S1488&gt;0,MIN(Первоначальный[[#This Row],[Полученный платеж]]+Y1488-SUM(Первоначальный[[#This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комиссиям]]),SUM(INDIRECT("M"&amp;(MAX((1=S$12:S1488)*ROW(S$12:S1488),ROW($W$12))&amp;":M"&amp;(ROW()))))-SUM(INDIRECT("W"&amp;(MAX((1=S$12:S1488)*ROW(S$12:S1488),ROW($W$12))&amp;":W"&amp;(ROW()-1)))))
)
)</f>
        <v>0</v>
      </c>
      <c r="X1489" s="55">
        <f t="shared" ca="1" si="280"/>
        <v>0</v>
      </c>
      <c r="Y1489" s="101">
        <f t="shared" ca="1" si="287"/>
        <v>0</v>
      </c>
      <c r="Z1489" s="133" t="str">
        <f>IF(TYPE((VLOOKUP(Первоначальный[[#This Row],[Дата платежа]],График[Срок конец],1,0)))=16,"",1)</f>
        <v/>
      </c>
      <c r="AA1489" s="57"/>
      <c r="AB1489" s="134"/>
      <c r="AC148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8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105819.23000000017</v>
      </c>
      <c r="AE148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9531.2700000000059</v>
      </c>
      <c r="AF148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8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467251.94204098452</v>
      </c>
      <c r="AH1489" s="55"/>
      <c r="AI1489" s="55"/>
      <c r="AJ1489" s="55"/>
      <c r="AK1489" s="101">
        <f t="shared" ca="1" si="288"/>
        <v>732235.78204098472</v>
      </c>
      <c r="AL1489" s="129">
        <f t="array" ref="AL1489">MAX((УслРестрактов[Характеристика]="Дата реструктуризации")*(УслРестрактов[Значение]=Первоначальный!$A1489),0)</f>
        <v>0</v>
      </c>
    </row>
    <row r="1490" spans="1:38" x14ac:dyDescent="0.25">
      <c r="A1490" s="97">
        <f t="shared" si="281"/>
        <v>45621</v>
      </c>
      <c r="B1490" s="100">
        <f t="shared" ca="1" si="282"/>
        <v>149633.34</v>
      </c>
      <c r="C1490" s="55">
        <f t="shared" ca="1" si="278"/>
        <v>105819.23000000017</v>
      </c>
      <c r="D1490" s="55">
        <f t="shared" ca="1" si="278"/>
        <v>9531.2700000000059</v>
      </c>
      <c r="E1490" s="55">
        <f t="shared" ca="1" si="283"/>
        <v>0</v>
      </c>
      <c r="F1490" s="55">
        <f t="shared" ca="1" si="284"/>
        <v>467251.94204098452</v>
      </c>
      <c r="G1490" s="101">
        <f t="shared" ca="1" si="285"/>
        <v>732235.78204098472</v>
      </c>
      <c r="H1490" s="100">
        <f ca="1">ROUND($B1490*VLOOKUP($A1490,$A$1:$B$10,2,1)/(365+IF(MOD(YEAR($A1490),4),0,1)*($A1490-$A1489)),2)-Первоначальный[[#This Row],[Проценты на просроченный платеж по ОД за период]]</f>
        <v>65.900000000000006</v>
      </c>
      <c r="I1490" s="55">
        <f t="shared" ca="1" si="286"/>
        <v>15.46</v>
      </c>
      <c r="J1490" s="55">
        <v>0</v>
      </c>
      <c r="K1490" s="55">
        <f t="shared" ca="1" si="289"/>
        <v>666.24350327868842</v>
      </c>
      <c r="L1490" s="55">
        <v>0</v>
      </c>
      <c r="M1490" s="113">
        <f>SUMIFS(График[Возврат основной суммы долга],График[Дата с учетом нерабочих дней],$A1490)</f>
        <v>0</v>
      </c>
      <c r="N1490" s="56">
        <f>SUMIFS(График[Возврат начисленных %],График[Дата с учетом нерабочих дней],$A1490)</f>
        <v>0</v>
      </c>
      <c r="O1490" s="101">
        <v>0</v>
      </c>
      <c r="P1490" s="100" cm="1">
        <f t="array" aca="1" ref="P1490" ca="1">MAX(IF(AA1489="Да",0,SUM(INDIRECT("M"&amp;(MAX(("Да"=AA$12:AA1489)*ROW(AA$12:AA1489)+1,ROW($P$12))&amp;":M"&amp;(ROW()))))-SUM(INDIRECT("W"&amp;(MAX(("Да"=AA$12:AA1489)*ROW(AA$12:AA1489)+1,ROW($P$12))&amp;":W"&amp;(ROW()))))),0)</f>
        <v>28424.789999999997</v>
      </c>
      <c r="Q1490" s="99">
        <f ca="1">MAX(SUM($N$13:N1490)-SUM($T$13:T1490),0)</f>
        <v>104823.91065573769</v>
      </c>
      <c r="R1490" s="99">
        <f ca="1">Первоначальный[[#This Row],[Просроченный платеж по ОД]]+Первоначальный[[#This Row],[Просроченный платеж по процентам]]</f>
        <v>133248.70065573769</v>
      </c>
      <c r="S1490" s="120">
        <f ca="1">IF(Первоначальный[[#This Row],[Просроченный платеж]]&lt;1,0,S1489+1)</f>
        <v>1386</v>
      </c>
      <c r="T1490" s="100" cm="1">
        <f t="array" aca="1" ref="T1490" ca="1">IF(Первоначальный[[#This Row],[Итого остаток на начало периода]]&lt;1,0,
IF(
AND(TYPE(VLOOKUP(1,$Z$12:Z1490,1,0))=16,Первоначальный[[#This Row],[Досрочное погашение (да/"")]]=""),0,
_xlfn.IFS(AND(S1489=0,Первоначальный[[#This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платеж]]&lt;&gt;0),MIN(LOOKUP(,-1/($Z$12:Z1490=1),$C$12:C1490)+LOOKUP(,-1/($Z$12:Z1490=1),$H$12:H1490),Первоначальный[[#This Row],[Полученный платеж]]+Y1489),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платеж]]+Y1489,SUM(Первоначальный[[#This Row],[Остаток процентов на начало периода]],Первоначальный[[#This Row],[Проценты за период]])),
AND(S1489=0,Первоначальный[[#This Row],[Дата платежа из графика]]=""),0,
AND(S1489=0,Первоначальный[[#This Row],[Дата платежа из графика]]=1,MAX((0&lt;&gt;S$12:S1489)*ROW(S$12:S1489),ROW($S$12))&gt;=MAX((1=Z$12:Z1489)*ROW(Z$12:Z1489),ROW($T$12)),TYPE(VLOOKUP("Да",(INDIRECT("AA"&amp;(MAX((1=Z$12:Z1489)*ROW(Z$12:Z1489),ROW($T$12))&amp;":AA"&amp;(ROW()-1)))),1,0))=16),MIN(LOOKUP(,-1/($Z$12:Z1490=1),$C$12:C1490)+LOOKUP(,-1/($Z$12:Z1490=1),$H$12:H1490),Первоначальный[[#This Row],[Полученный платеж]]+Y1489),
AND(S1489=0,TYPE(VLOOKUP("Да",(INDIRECT("AA"&amp;(MAX((1=Z$12:Z1489)*ROW(Z$12:Z1489),ROW($T$12))&amp;":AA"&amp;(ROW()-1)))),1,0))&lt;&gt;16),MIN(LOOKUP(,-1/($Z$12:Z1490=1),$C$12:C1490)+LOOKUP(,-1/($Z$12:Z1490=1),$H$12:H1490)-IF(AA1489="Да",0,SUM(INDIRECT("T"&amp;(MAX(("Да"=AA$12:AA1489)*ROW(AA$12:AA1489)+1,ROW($T$12))&amp;":T"&amp;(ROW()-1))))),Первоначальный[[#This Row],[Полученный платеж]]+Y1489),
AND(S1489=0,MAX((0&lt;&gt;N$12:N1489)*ROW(N$12:N1489),ROW($S$12))&gt;=MAX((1=Z$12:Z1489)*ROW(Z$12:Z1489),ROW($T$12))),MIN(LOOKUP(,-1/($Z$12:Z1490=1),$C$12:C1490)+LOOKUP(,-1/($Z$12:Z1490=1),$H$12:H1490)-IF(N1489&lt;&gt;0,0,SUM(INDIRECT("T"&amp;(MAX((0&lt;&gt;N$12:N1489)*ROW(N$12:N1489)+1,ROW($T$12))&amp;":T"&amp;(ROW()-1))))),Первоначальный[[#This Row],[Полученный платеж]]+Y1489),
AND(S1489=0,Первоначальный[[#This Row],[Дата платежа из графика]]=1),MIN(LOOKUP(,-1/($Z$12:Z1490=1),$C$12:C1490)+LOOKUP(,-1/($Z$12:Z1490=1),$H$12:H1490)-IF(Z1489=1,0,SUM(INDIRECT("T"&amp;(MAX((1=Z$12:Z1489)*ROW(Z$12:Z1489)+1,ROW($T$12))&amp;":T"&amp;(ROW()-1))))),Первоначальный[[#This Row],[Полученный платеж]]+Y1489),
AND(Z1489&gt;0,Первоначальный[[#This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платеж]]+Y1489),
AND(S1489&gt;0,MAX((0&lt;&gt;S$12:S1489)*ROW(S$12:S1489),ROW($S$12))&gt;=MAX((1=Z$12:Z1489)*ROW(Z$12:Z1489),ROW($T$12)),TYPE(VLOOKUP("Да",(INDIRECT("AA"&amp;(MAX((1=Z$12:Z1489)*ROW(Z$12:Z1489),ROW($T$12))&amp;":AA"&amp;(ROW()-1)))),1,0))=16),MIN(LOOKUP(,-1/($Z$12:Z1490=1),$C$12:C1490)+LOOKUP(,-1/($Z$12:Z1490=1),$H$12:H1490)-SUM(INDIRECT("T"&amp;(MAX((1=Z$12:Z1489)*ROW(Z$12:Z1489),ROW($T$12))&amp;":T"&amp;(ROW()-1)))),Первоначальный[[#This Row],[Полученный платеж]]+Y1489),
S1489&gt;0,MIN(LOOKUP(,-1/($Z$12:Z1490=1),$C$12:C1490)+LOOKUP(,-1/($Z$12:Z1490=1),$H$12:H1490)-IF(Z1489=1,0,SUM(INDIRECT("T"&amp;(MAX((1=Z$12:Z1489)*ROW(Z$12:Z1489)+1,ROW($T$12))&amp;":T"&amp;(ROW()-1))))),Первоначальный[[#This Row],[Полученный платеж]]+Y1489)
)
)
)</f>
        <v>0</v>
      </c>
      <c r="U149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платеж]]+Y1489-Первоначальный[[#This Row],[Полученный платёж по процентам]])</f>
        <v>0</v>
      </c>
      <c r="V1490" s="55">
        <f t="shared" ca="1" si="279"/>
        <v>0</v>
      </c>
      <c r="W1490" s="55" cm="1">
        <f t="array" aca="1" ref="W1490" ca="1">IF(Первоначальный[[#This Row],[Итого остаток на начало периода]]&lt;1,0,
_xlfn.IFS(
AND(TYPE(VLOOKUP(1,$Z$12:Z1490,1,0))=16,Первоначальный[[#This Row],[Досрочное погашение (да/"")]]=""),0,
AND(S1489=0,Первоначальный[[#This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платеж]]+Y1489-SUM(Первоначальный[[#This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комиссиям]]),VLOOKUP(LOOKUP(,-1/($Z$12:Z1490=1),$A$12:A1490),График[[Срок конец]:[Возврат основной суммы долга]],3,0)),
AND(S1489=0,Первоначальный[[#This Row],[Дата платежа из графика]]="",Первоначальный[[#This Row],[Досрочное погашение (да/"")]]&lt;&gt;"Да"),0,
AND(S1489=0,Первоначальный[[#This Row],[Досрочное погашение (да/"")]]=""),MIN(Первоначальный[[#This Row],[Полученный платеж]]+Y1489-SUM(Первоначальный[[#This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комиссиям]]),VLOOKUP(LOOKUP(,-1/($Z$12:Z1490=1),$A$12:A1490),График[[Срок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платеж]]+Y1489-SUM(Первоначальный[[#This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S1489&gt;0,MIN(Первоначальный[[#This Row],[Полученный платеж]]+Y1489-SUM(Первоначальный[[#This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комиссиям]]),SUM(INDIRECT("M"&amp;(MAX((1=S$12:S1489)*ROW(S$12:S1489),ROW($W$12))&amp;":M"&amp;(ROW()))))-SUM(INDIRECT("W"&amp;(MAX((1=S$12:S1489)*ROW(S$12:S1489),ROW($W$12))&amp;":W"&amp;(ROW()-1)))))
)
)</f>
        <v>0</v>
      </c>
      <c r="X1490" s="55">
        <f t="shared" ca="1" si="280"/>
        <v>0</v>
      </c>
      <c r="Y1490" s="101">
        <f t="shared" ca="1" si="287"/>
        <v>0</v>
      </c>
      <c r="Z1490" s="133" t="str">
        <f>IF(TYPE((VLOOKUP(Первоначальный[[#This Row],[Дата платежа]],График[Срок конец],1,0)))=16,"",1)</f>
        <v/>
      </c>
      <c r="AA1490" s="57"/>
      <c r="AB1490" s="134"/>
      <c r="AC149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9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105885.13000000016</v>
      </c>
      <c r="AE149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9546.730000000005</v>
      </c>
      <c r="AF149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9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467918.18554426322</v>
      </c>
      <c r="AH1490" s="55"/>
      <c r="AI1490" s="55"/>
      <c r="AJ1490" s="55"/>
      <c r="AK1490" s="101">
        <f t="shared" ca="1" si="288"/>
        <v>732983.38554426329</v>
      </c>
      <c r="AL1490" s="129">
        <f t="array" ref="AL1490">MAX((УслРестрактов[Характеристика]="Дата реструктуризации")*(УслРестрактов[Значение]=Первоначальный!$A1490),0)</f>
        <v>0</v>
      </c>
    </row>
    <row r="1491" spans="1:38" x14ac:dyDescent="0.25">
      <c r="A1491" s="97">
        <f t="shared" si="281"/>
        <v>45622</v>
      </c>
      <c r="B1491" s="100">
        <f t="shared" ca="1" si="282"/>
        <v>149633.34</v>
      </c>
      <c r="C1491" s="55">
        <f t="shared" ca="1" si="278"/>
        <v>105885.13000000016</v>
      </c>
      <c r="D1491" s="55">
        <f t="shared" ca="1" si="278"/>
        <v>9546.730000000005</v>
      </c>
      <c r="E1491" s="55">
        <f t="shared" ca="1" si="283"/>
        <v>0</v>
      </c>
      <c r="F1491" s="55">
        <f t="shared" ca="1" si="284"/>
        <v>467918.18554426322</v>
      </c>
      <c r="G1491" s="101">
        <f t="shared" ca="1" si="285"/>
        <v>732983.38554426329</v>
      </c>
      <c r="H1491" s="100">
        <f ca="1">ROUND($B1491*VLOOKUP($A1491,$A$1:$B$10,2,1)/(365+IF(MOD(YEAR($A1491),4),0,1)*($A1491-$A1490)),2)-Первоначальный[[#This Row],[Проценты на просроченный платеж по ОД за период]]</f>
        <v>65.900000000000006</v>
      </c>
      <c r="I1491" s="55">
        <f t="shared" ca="1" si="286"/>
        <v>15.46</v>
      </c>
      <c r="J1491" s="55">
        <v>0</v>
      </c>
      <c r="K1491" s="55">
        <f t="shared" ca="1" si="289"/>
        <v>666.24350327868842</v>
      </c>
      <c r="L1491" s="55">
        <v>0</v>
      </c>
      <c r="M1491" s="113">
        <f>SUMIFS(График[Возврат основной суммы долга],График[Дата с учетом нерабочих дней],$A1491)</f>
        <v>0</v>
      </c>
      <c r="N1491" s="56">
        <f>SUMIFS(График[Возврат начисленных %],График[Дата с учетом нерабочих дней],$A1491)</f>
        <v>0</v>
      </c>
      <c r="O1491" s="101">
        <v>0</v>
      </c>
      <c r="P1491" s="100" cm="1">
        <f t="array" aca="1" ref="P1491" ca="1">MAX(IF(AA1490="Да",0,SUM(INDIRECT("M"&amp;(MAX(("Да"=AA$12:AA1490)*ROW(AA$12:AA1490)+1,ROW($P$12))&amp;":M"&amp;(ROW()))))-SUM(INDIRECT("W"&amp;(MAX(("Да"=AA$12:AA1490)*ROW(AA$12:AA1490)+1,ROW($P$12))&amp;":W"&amp;(ROW()))))),0)</f>
        <v>28424.789999999997</v>
      </c>
      <c r="Q1491" s="99">
        <f ca="1">MAX(SUM($N$13:N1491)-SUM($T$13:T1491),0)</f>
        <v>104823.91065573769</v>
      </c>
      <c r="R1491" s="99">
        <f ca="1">Первоначальный[[#This Row],[Просроченный платеж по ОД]]+Первоначальный[[#This Row],[Просроченный платеж по процентам]]</f>
        <v>133248.70065573769</v>
      </c>
      <c r="S1491" s="120">
        <f ca="1">IF(Первоначальный[[#This Row],[Просроченный платеж]]&lt;1,0,S1490+1)</f>
        <v>1387</v>
      </c>
      <c r="T1491" s="100" cm="1">
        <f t="array" aca="1" ref="T1491" ca="1">IF(Первоначальный[[#This Row],[Итого остаток на начало периода]]&lt;1,0,
IF(
AND(TYPE(VLOOKUP(1,$Z$12:Z1491,1,0))=16,Первоначальный[[#This Row],[Досрочное погашение (да/"")]]=""),0,
_xlfn.IFS(AND(S1490=0,Первоначальный[[#This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платеж]]&lt;&gt;0),MIN(LOOKUP(,-1/($Z$12:Z1491=1),$C$12:C1491)+LOOKUP(,-1/($Z$12:Z1491=1),$H$12:H1491),Первоначальный[[#This Row],[Полученный платеж]]+Y1490),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платеж]]+Y1490,SUM(Первоначальный[[#This Row],[Остаток процентов на начало периода]],Первоначальный[[#This Row],[Проценты за период]])),
AND(S1490=0,Первоначальный[[#This Row],[Дата платежа из графика]]=""),0,
AND(S1490=0,Первоначальный[[#This Row],[Дата платежа из графика]]=1,MAX((0&lt;&gt;S$12:S1490)*ROW(S$12:S1490),ROW($S$12))&gt;=MAX((1=Z$12:Z1490)*ROW(Z$12:Z1490),ROW($T$12)),TYPE(VLOOKUP("Да",(INDIRECT("AA"&amp;(MAX((1=Z$12:Z1490)*ROW(Z$12:Z1490),ROW($T$12))&amp;":AA"&amp;(ROW()-1)))),1,0))=16),MIN(LOOKUP(,-1/($Z$12:Z1491=1),$C$12:C1491)+LOOKUP(,-1/($Z$12:Z1491=1),$H$12:H1491),Первоначальный[[#This Row],[Полученный платеж]]+Y1490),
AND(S1490=0,TYPE(VLOOKUP("Да",(INDIRECT("AA"&amp;(MAX((1=Z$12:Z1490)*ROW(Z$12:Z1490),ROW($T$12))&amp;":AA"&amp;(ROW()-1)))),1,0))&lt;&gt;16),MIN(LOOKUP(,-1/($Z$12:Z1491=1),$C$12:C1491)+LOOKUP(,-1/($Z$12:Z1491=1),$H$12:H1491)-IF(AA1490="Да",0,SUM(INDIRECT("T"&amp;(MAX(("Да"=AA$12:AA1490)*ROW(AA$12:AA1490)+1,ROW($T$12))&amp;":T"&amp;(ROW()-1))))),Первоначальный[[#This Row],[Полученный платеж]]+Y1490),
AND(S1490=0,MAX((0&lt;&gt;N$12:N1490)*ROW(N$12:N1490),ROW($S$12))&gt;=MAX((1=Z$12:Z1490)*ROW(Z$12:Z1490),ROW($T$12))),MIN(LOOKUP(,-1/($Z$12:Z1491=1),$C$12:C1491)+LOOKUP(,-1/($Z$12:Z1491=1),$H$12:H1491)-IF(N1490&lt;&gt;0,0,SUM(INDIRECT("T"&amp;(MAX((0&lt;&gt;N$12:N1490)*ROW(N$12:N1490)+1,ROW($T$12))&amp;":T"&amp;(ROW()-1))))),Первоначальный[[#This Row],[Полученный платеж]]+Y1490),
AND(S1490=0,Первоначальный[[#This Row],[Дата платежа из графика]]=1),MIN(LOOKUP(,-1/($Z$12:Z1491=1),$C$12:C1491)+LOOKUP(,-1/($Z$12:Z1491=1),$H$12:H1491)-IF(Z1490=1,0,SUM(INDIRECT("T"&amp;(MAX((1=Z$12:Z1490)*ROW(Z$12:Z1490)+1,ROW($T$12))&amp;":T"&amp;(ROW()-1))))),Первоначальный[[#This Row],[Полученный платеж]]+Y1490),
AND(Z1490&gt;0,Первоначальный[[#This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платеж]]+Y1490),
AND(S1490&gt;0,MAX((0&lt;&gt;S$12:S1490)*ROW(S$12:S1490),ROW($S$12))&gt;=MAX((1=Z$12:Z1490)*ROW(Z$12:Z1490),ROW($T$12)),TYPE(VLOOKUP("Да",(INDIRECT("AA"&amp;(MAX((1=Z$12:Z1490)*ROW(Z$12:Z1490),ROW($T$12))&amp;":AA"&amp;(ROW()-1)))),1,0))=16),MIN(LOOKUP(,-1/($Z$12:Z1491=1),$C$12:C1491)+LOOKUP(,-1/($Z$12:Z1491=1),$H$12:H1491)-SUM(INDIRECT("T"&amp;(MAX((1=Z$12:Z1490)*ROW(Z$12:Z1490),ROW($T$12))&amp;":T"&amp;(ROW()-1)))),Первоначальный[[#This Row],[Полученный платеж]]+Y1490),
S1490&gt;0,MIN(LOOKUP(,-1/($Z$12:Z1491=1),$C$12:C1491)+LOOKUP(,-1/($Z$12:Z1491=1),$H$12:H1491)-IF(Z1490=1,0,SUM(INDIRECT("T"&amp;(MAX((1=Z$12:Z1490)*ROW(Z$12:Z1490)+1,ROW($T$12))&amp;":T"&amp;(ROW()-1))))),Первоначальный[[#This Row],[Полученный платеж]]+Y1490)
)
)
)</f>
        <v>0</v>
      </c>
      <c r="U149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платеж]]+Y1490-Первоначальный[[#This Row],[Полученный платёж по процентам]])</f>
        <v>0</v>
      </c>
      <c r="V1491" s="55">
        <f t="shared" ca="1" si="279"/>
        <v>0</v>
      </c>
      <c r="W1491" s="55" cm="1">
        <f t="array" aca="1" ref="W1491" ca="1">IF(Первоначальный[[#This Row],[Итого остаток на начало периода]]&lt;1,0,
_xlfn.IFS(
AND(TYPE(VLOOKUP(1,$Z$12:Z1491,1,0))=16,Первоначальный[[#This Row],[Досрочное погашение (да/"")]]=""),0,
AND(S1490=0,Первоначальный[[#This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платеж]]+Y1490-SUM(Первоначальный[[#This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комиссиям]]),VLOOKUP(LOOKUP(,-1/($Z$12:Z1491=1),$A$12:A1491),График[[Срок конец]:[Возврат основной суммы долга]],3,0)),
AND(S1490=0,Первоначальный[[#This Row],[Дата платежа из графика]]="",Первоначальный[[#This Row],[Досрочное погашение (да/"")]]&lt;&gt;"Да"),0,
AND(S1490=0,Первоначальный[[#This Row],[Досрочное погашение (да/"")]]=""),MIN(Первоначальный[[#This Row],[Полученный платеж]]+Y1490-SUM(Первоначальный[[#This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комиссиям]]),VLOOKUP(LOOKUP(,-1/($Z$12:Z1491=1),$A$12:A1491),График[[Срок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платеж]]+Y1490-SUM(Первоначальный[[#This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S1490&gt;0,MIN(Первоначальный[[#This Row],[Полученный платеж]]+Y1490-SUM(Первоначальный[[#This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комиссиям]]),SUM(INDIRECT("M"&amp;(MAX((1=S$12:S1490)*ROW(S$12:S1490),ROW($W$12))&amp;":M"&amp;(ROW()))))-SUM(INDIRECT("W"&amp;(MAX((1=S$12:S1490)*ROW(S$12:S1490),ROW($W$12))&amp;":W"&amp;(ROW()-1)))))
)
)</f>
        <v>0</v>
      </c>
      <c r="X1491" s="55">
        <f t="shared" ca="1" si="280"/>
        <v>0</v>
      </c>
      <c r="Y1491" s="101">
        <f t="shared" ca="1" si="287"/>
        <v>0</v>
      </c>
      <c r="Z1491" s="133" t="str">
        <f>IF(TYPE((VLOOKUP(Первоначальный[[#This Row],[Дата платежа]],График[Срок конец],1,0)))=16,"",1)</f>
        <v/>
      </c>
      <c r="AA1491" s="57"/>
      <c r="AB1491" s="134"/>
      <c r="AC149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9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105951.03000000016</v>
      </c>
      <c r="AE149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9562.1900000000041</v>
      </c>
      <c r="AF149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9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468584.42904754193</v>
      </c>
      <c r="AH1491" s="55"/>
      <c r="AI1491" s="55"/>
      <c r="AJ1491" s="55"/>
      <c r="AK1491" s="101">
        <f t="shared" ca="1" si="288"/>
        <v>733730.9890475421</v>
      </c>
      <c r="AL1491" s="129">
        <f t="array" ref="AL1491">MAX((УслРестрактов[Характеристика]="Дата реструктуризации")*(УслРестрактов[Значение]=Первоначальный!$A1491),0)</f>
        <v>0</v>
      </c>
    </row>
    <row r="1492" spans="1:38" x14ac:dyDescent="0.25">
      <c r="A1492" s="97">
        <f t="shared" si="281"/>
        <v>45623</v>
      </c>
      <c r="B1492" s="100">
        <f t="shared" ca="1" si="282"/>
        <v>149633.34</v>
      </c>
      <c r="C1492" s="55">
        <f t="shared" ca="1" si="278"/>
        <v>105951.03000000016</v>
      </c>
      <c r="D1492" s="55">
        <f t="shared" ca="1" si="278"/>
        <v>9562.1900000000041</v>
      </c>
      <c r="E1492" s="55">
        <f t="shared" ca="1" si="283"/>
        <v>0</v>
      </c>
      <c r="F1492" s="55">
        <f t="shared" ca="1" si="284"/>
        <v>468584.42904754193</v>
      </c>
      <c r="G1492" s="101">
        <f t="shared" ca="1" si="285"/>
        <v>733730.9890475421</v>
      </c>
      <c r="H1492" s="100">
        <f ca="1">ROUND($B1492*VLOOKUP($A1492,$A$1:$B$10,2,1)/(365+IF(MOD(YEAR($A1492),4),0,1)*($A1492-$A1491)),2)-Первоначальный[[#This Row],[Проценты на просроченный платеж по ОД за период]]</f>
        <v>65.900000000000006</v>
      </c>
      <c r="I1492" s="55">
        <f t="shared" ca="1" si="286"/>
        <v>15.46</v>
      </c>
      <c r="J1492" s="55">
        <v>0</v>
      </c>
      <c r="K1492" s="55">
        <f t="shared" ca="1" si="289"/>
        <v>666.24350327868842</v>
      </c>
      <c r="L1492" s="55">
        <v>0</v>
      </c>
      <c r="M1492" s="113">
        <f>SUMIFS(График[Возврат основной суммы долга],График[Дата с учетом нерабочих дней],$A1492)</f>
        <v>0</v>
      </c>
      <c r="N1492" s="56">
        <f>SUMIFS(График[Возврат начисленных %],График[Дата с учетом нерабочих дней],$A1492)</f>
        <v>0</v>
      </c>
      <c r="O1492" s="101">
        <v>0</v>
      </c>
      <c r="P1492" s="100" cm="1">
        <f t="array" aca="1" ref="P1492" ca="1">MAX(IF(AA1491="Да",0,SUM(INDIRECT("M"&amp;(MAX(("Да"=AA$12:AA1491)*ROW(AA$12:AA1491)+1,ROW($P$12))&amp;":M"&amp;(ROW()))))-SUM(INDIRECT("W"&amp;(MAX(("Да"=AA$12:AA1491)*ROW(AA$12:AA1491)+1,ROW($P$12))&amp;":W"&amp;(ROW()))))),0)</f>
        <v>28424.789999999997</v>
      </c>
      <c r="Q1492" s="99">
        <f ca="1">MAX(SUM($N$13:N1492)-SUM($T$13:T1492),0)</f>
        <v>104823.91065573769</v>
      </c>
      <c r="R1492" s="99">
        <f ca="1">Первоначальный[[#This Row],[Просроченный платеж по ОД]]+Первоначальный[[#This Row],[Просроченный платеж по процентам]]</f>
        <v>133248.70065573769</v>
      </c>
      <c r="S1492" s="120">
        <f ca="1">IF(Первоначальный[[#This Row],[Просроченный платеж]]&lt;1,0,S1491+1)</f>
        <v>1388</v>
      </c>
      <c r="T1492" s="100" cm="1">
        <f t="array" aca="1" ref="T1492" ca="1">IF(Первоначальный[[#This Row],[Итого остаток на начало периода]]&lt;1,0,
IF(
AND(TYPE(VLOOKUP(1,$Z$12:Z1492,1,0))=16,Первоначальный[[#This Row],[Досрочное погашение (да/"")]]=""),0,
_xlfn.IFS(AND(S1491=0,Первоначальный[[#This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платеж]]&lt;&gt;0),MIN(LOOKUP(,-1/($Z$12:Z1492=1),$C$12:C1492)+LOOKUP(,-1/($Z$12:Z1492=1),$H$12:H1492),Первоначальный[[#This Row],[Полученный платеж]]+Y1491),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платеж]]+Y1491,SUM(Первоначальный[[#This Row],[Остаток процентов на начало периода]],Первоначальный[[#This Row],[Проценты за период]])),
AND(S1491=0,Первоначальный[[#This Row],[Дата платежа из графика]]=""),0,
AND(S1491=0,Первоначальный[[#This Row],[Дата платежа из графика]]=1,MAX((0&lt;&gt;S$12:S1491)*ROW(S$12:S1491),ROW($S$12))&gt;=MAX((1=Z$12:Z1491)*ROW(Z$12:Z1491),ROW($T$12)),TYPE(VLOOKUP("Да",(INDIRECT("AA"&amp;(MAX((1=Z$12:Z1491)*ROW(Z$12:Z1491),ROW($T$12))&amp;":AA"&amp;(ROW()-1)))),1,0))=16),MIN(LOOKUP(,-1/($Z$12:Z1492=1),$C$12:C1492)+LOOKUP(,-1/($Z$12:Z1492=1),$H$12:H1492),Первоначальный[[#This Row],[Полученный платеж]]+Y1491),
AND(S1491=0,TYPE(VLOOKUP("Да",(INDIRECT("AA"&amp;(MAX((1=Z$12:Z1491)*ROW(Z$12:Z1491),ROW($T$12))&amp;":AA"&amp;(ROW()-1)))),1,0))&lt;&gt;16),MIN(LOOKUP(,-1/($Z$12:Z1492=1),$C$12:C1492)+LOOKUP(,-1/($Z$12:Z1492=1),$H$12:H1492)-IF(AA1491="Да",0,SUM(INDIRECT("T"&amp;(MAX(("Да"=AA$12:AA1491)*ROW(AA$12:AA1491)+1,ROW($T$12))&amp;":T"&amp;(ROW()-1))))),Первоначальный[[#This Row],[Полученный платеж]]+Y1491),
AND(S1491=0,MAX((0&lt;&gt;N$12:N1491)*ROW(N$12:N1491),ROW($S$12))&gt;=MAX((1=Z$12:Z1491)*ROW(Z$12:Z1491),ROW($T$12))),MIN(LOOKUP(,-1/($Z$12:Z1492=1),$C$12:C1492)+LOOKUP(,-1/($Z$12:Z1492=1),$H$12:H1492)-IF(N1491&lt;&gt;0,0,SUM(INDIRECT("T"&amp;(MAX((0&lt;&gt;N$12:N1491)*ROW(N$12:N1491)+1,ROW($T$12))&amp;":T"&amp;(ROW()-1))))),Первоначальный[[#This Row],[Полученный платеж]]+Y1491),
AND(S1491=0,Первоначальный[[#This Row],[Дата платежа из графика]]=1),MIN(LOOKUP(,-1/($Z$12:Z1492=1),$C$12:C1492)+LOOKUP(,-1/($Z$12:Z1492=1),$H$12:H1492)-IF(Z1491=1,0,SUM(INDIRECT("T"&amp;(MAX((1=Z$12:Z1491)*ROW(Z$12:Z1491)+1,ROW($T$12))&amp;":T"&amp;(ROW()-1))))),Первоначальный[[#This Row],[Полученный платеж]]+Y1491),
AND(Z1491&gt;0,Первоначальный[[#This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платеж]]+Y1491),
AND(S1491&gt;0,MAX((0&lt;&gt;S$12:S1491)*ROW(S$12:S1491),ROW($S$12))&gt;=MAX((1=Z$12:Z1491)*ROW(Z$12:Z1491),ROW($T$12)),TYPE(VLOOKUP("Да",(INDIRECT("AA"&amp;(MAX((1=Z$12:Z1491)*ROW(Z$12:Z1491),ROW($T$12))&amp;":AA"&amp;(ROW()-1)))),1,0))=16),MIN(LOOKUP(,-1/($Z$12:Z1492=1),$C$12:C1492)+LOOKUP(,-1/($Z$12:Z1492=1),$H$12:H1492)-SUM(INDIRECT("T"&amp;(MAX((1=Z$12:Z1491)*ROW(Z$12:Z1491),ROW($T$12))&amp;":T"&amp;(ROW()-1)))),Первоначальный[[#This Row],[Полученный платеж]]+Y1491),
S1491&gt;0,MIN(LOOKUP(,-1/($Z$12:Z1492=1),$C$12:C1492)+LOOKUP(,-1/($Z$12:Z1492=1),$H$12:H1492)-IF(Z1491=1,0,SUM(INDIRECT("T"&amp;(MAX((1=Z$12:Z1491)*ROW(Z$12:Z1491)+1,ROW($T$12))&amp;":T"&amp;(ROW()-1))))),Первоначальный[[#This Row],[Полученный платеж]]+Y1491)
)
)
)</f>
        <v>0</v>
      </c>
      <c r="U149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платеж]]+Y1491-Первоначальный[[#This Row],[Полученный платёж по процентам]])</f>
        <v>0</v>
      </c>
      <c r="V1492" s="55">
        <f t="shared" ca="1" si="279"/>
        <v>0</v>
      </c>
      <c r="W1492" s="55" cm="1">
        <f t="array" aca="1" ref="W1492" ca="1">IF(Первоначальный[[#This Row],[Итого остаток на начало периода]]&lt;1,0,
_xlfn.IFS(
AND(TYPE(VLOOKUP(1,$Z$12:Z1492,1,0))=16,Первоначальный[[#This Row],[Досрочное погашение (да/"")]]=""),0,
AND(S1491=0,Первоначальный[[#This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платеж]]+Y1491-SUM(Первоначальный[[#This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комиссиям]]),VLOOKUP(LOOKUP(,-1/($Z$12:Z1492=1),$A$12:A1492),График[[Срок конец]:[Возврат основной суммы долга]],3,0)),
AND(S1491=0,Первоначальный[[#This Row],[Дата платежа из графика]]="",Первоначальный[[#This Row],[Досрочное погашение (да/"")]]&lt;&gt;"Да"),0,
AND(S1491=0,Первоначальный[[#This Row],[Досрочное погашение (да/"")]]=""),MIN(Первоначальный[[#This Row],[Полученный платеж]]+Y1491-SUM(Первоначальный[[#This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комиссиям]]),VLOOKUP(LOOKUP(,-1/($Z$12:Z1492=1),$A$12:A1492),График[[Срок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платеж]]+Y1491-SUM(Первоначальный[[#This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S1491&gt;0,MIN(Первоначальный[[#This Row],[Полученный платеж]]+Y1491-SUM(Первоначальный[[#This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комиссиям]]),SUM(INDIRECT("M"&amp;(MAX((1=S$12:S1491)*ROW(S$12:S1491),ROW($W$12))&amp;":M"&amp;(ROW()))))-SUM(INDIRECT("W"&amp;(MAX((1=S$12:S1491)*ROW(S$12:S1491),ROW($W$12))&amp;":W"&amp;(ROW()-1)))))
)
)</f>
        <v>0</v>
      </c>
      <c r="X1492" s="55">
        <f t="shared" ca="1" si="280"/>
        <v>0</v>
      </c>
      <c r="Y1492" s="101">
        <f t="shared" ca="1" si="287"/>
        <v>0</v>
      </c>
      <c r="Z1492" s="133" t="str">
        <f>IF(TYPE((VLOOKUP(Первоначальный[[#This Row],[Дата платежа]],График[Срок конец],1,0)))=16,"",1)</f>
        <v/>
      </c>
      <c r="AA1492" s="57"/>
      <c r="AB1492" s="134"/>
      <c r="AC149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9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106016.93000000015</v>
      </c>
      <c r="AE149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9577.6500000000033</v>
      </c>
      <c r="AF149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9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469250.67255082063</v>
      </c>
      <c r="AH1492" s="55"/>
      <c r="AI1492" s="55"/>
      <c r="AJ1492" s="55"/>
      <c r="AK1492" s="101">
        <f t="shared" ca="1" si="288"/>
        <v>734478.59255082079</v>
      </c>
      <c r="AL1492" s="129">
        <f t="array" ref="AL1492">MAX((УслРестрактов[Характеристика]="Дата реструктуризации")*(УслРестрактов[Значение]=Первоначальный!$A1492),0)</f>
        <v>0</v>
      </c>
    </row>
    <row r="1493" spans="1:38" x14ac:dyDescent="0.25">
      <c r="A1493" s="97">
        <f t="shared" si="281"/>
        <v>45624</v>
      </c>
      <c r="B1493" s="100">
        <f t="shared" ca="1" si="282"/>
        <v>149633.34</v>
      </c>
      <c r="C1493" s="55">
        <f t="shared" ca="1" si="278"/>
        <v>106016.93000000015</v>
      </c>
      <c r="D1493" s="55">
        <f t="shared" ca="1" si="278"/>
        <v>9577.6500000000033</v>
      </c>
      <c r="E1493" s="55">
        <f t="shared" ca="1" si="283"/>
        <v>0</v>
      </c>
      <c r="F1493" s="55">
        <f t="shared" ca="1" si="284"/>
        <v>469250.67255082063</v>
      </c>
      <c r="G1493" s="101">
        <f t="shared" ca="1" si="285"/>
        <v>734478.59255082079</v>
      </c>
      <c r="H1493" s="100">
        <f ca="1">ROUND($B1493*VLOOKUP($A1493,$A$1:$B$10,2,1)/(365+IF(MOD(YEAR($A1493),4),0,1)*($A1493-$A1492)),2)-Первоначальный[[#This Row],[Проценты на просроченный платеж по ОД за период]]</f>
        <v>65.900000000000006</v>
      </c>
      <c r="I1493" s="55">
        <f t="shared" ca="1" si="286"/>
        <v>15.46</v>
      </c>
      <c r="J1493" s="55">
        <v>0</v>
      </c>
      <c r="K1493" s="55">
        <f t="shared" ca="1" si="289"/>
        <v>666.24350327868842</v>
      </c>
      <c r="L1493" s="55">
        <v>0</v>
      </c>
      <c r="M1493" s="113">
        <f>SUMIFS(График[Возврат основной суммы долга],График[Дата с учетом нерабочих дней],$A1493)</f>
        <v>0</v>
      </c>
      <c r="N1493" s="56">
        <f>SUMIFS(График[Возврат начисленных %],График[Дата с учетом нерабочих дней],$A1493)</f>
        <v>0</v>
      </c>
      <c r="O1493" s="101">
        <v>0</v>
      </c>
      <c r="P1493" s="100" cm="1">
        <f t="array" aca="1" ref="P1493" ca="1">MAX(IF(AA1492="Да",0,SUM(INDIRECT("M"&amp;(MAX(("Да"=AA$12:AA1492)*ROW(AA$12:AA1492)+1,ROW($P$12))&amp;":M"&amp;(ROW()))))-SUM(INDIRECT("W"&amp;(MAX(("Да"=AA$12:AA1492)*ROW(AA$12:AA1492)+1,ROW($P$12))&amp;":W"&amp;(ROW()))))),0)</f>
        <v>28424.789999999997</v>
      </c>
      <c r="Q1493" s="99">
        <f ca="1">MAX(SUM($N$13:N1493)-SUM($T$13:T1493),0)</f>
        <v>104823.91065573769</v>
      </c>
      <c r="R1493" s="99">
        <f ca="1">Первоначальный[[#This Row],[Просроченный платеж по ОД]]+Первоначальный[[#This Row],[Просроченный платеж по процентам]]</f>
        <v>133248.70065573769</v>
      </c>
      <c r="S1493" s="120">
        <f ca="1">IF(Первоначальный[[#This Row],[Просроченный платеж]]&lt;1,0,S1492+1)</f>
        <v>1389</v>
      </c>
      <c r="T1493" s="100" cm="1">
        <f t="array" aca="1" ref="T1493" ca="1">IF(Первоначальный[[#This Row],[Итого остаток на начало периода]]&lt;1,0,
IF(
AND(TYPE(VLOOKUP(1,$Z$12:Z1493,1,0))=16,Первоначальный[[#This Row],[Досрочное погашение (да/"")]]=""),0,
_xlfn.IFS(AND(S1492=0,Первоначальный[[#This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платеж]]&lt;&gt;0),MIN(LOOKUP(,-1/($Z$12:Z1493=1),$C$12:C1493)+LOOKUP(,-1/($Z$12:Z1493=1),$H$12:H1493),Первоначальный[[#This Row],[Полученный платеж]]+Y1492),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платеж]]+Y1492,SUM(Первоначальный[[#This Row],[Остаток процентов на начало периода]],Первоначальный[[#This Row],[Проценты за период]])),
AND(S1492=0,Первоначальный[[#This Row],[Дата платежа из графика]]=""),0,
AND(S1492=0,Первоначальный[[#This Row],[Дата платежа из графика]]=1,MAX((0&lt;&gt;S$12:S1492)*ROW(S$12:S1492),ROW($S$12))&gt;=MAX((1=Z$12:Z1492)*ROW(Z$12:Z1492),ROW($T$12)),TYPE(VLOOKUP("Да",(INDIRECT("AA"&amp;(MAX((1=Z$12:Z1492)*ROW(Z$12:Z1492),ROW($T$12))&amp;":AA"&amp;(ROW()-1)))),1,0))=16),MIN(LOOKUP(,-1/($Z$12:Z1493=1),$C$12:C1493)+LOOKUP(,-1/($Z$12:Z1493=1),$H$12:H1493),Первоначальный[[#This Row],[Полученный платеж]]+Y1492),
AND(S1492=0,TYPE(VLOOKUP("Да",(INDIRECT("AA"&amp;(MAX((1=Z$12:Z1492)*ROW(Z$12:Z1492),ROW($T$12))&amp;":AA"&amp;(ROW()-1)))),1,0))&lt;&gt;16),MIN(LOOKUP(,-1/($Z$12:Z1493=1),$C$12:C1493)+LOOKUP(,-1/($Z$12:Z1493=1),$H$12:H1493)-IF(AA1492="Да",0,SUM(INDIRECT("T"&amp;(MAX(("Да"=AA$12:AA1492)*ROW(AA$12:AA1492)+1,ROW($T$12))&amp;":T"&amp;(ROW()-1))))),Первоначальный[[#This Row],[Полученный платеж]]+Y1492),
AND(S1492=0,MAX((0&lt;&gt;N$12:N1492)*ROW(N$12:N1492),ROW($S$12))&gt;=MAX((1=Z$12:Z1492)*ROW(Z$12:Z1492),ROW($T$12))),MIN(LOOKUP(,-1/($Z$12:Z1493=1),$C$12:C1493)+LOOKUP(,-1/($Z$12:Z1493=1),$H$12:H1493)-IF(N1492&lt;&gt;0,0,SUM(INDIRECT("T"&amp;(MAX((0&lt;&gt;N$12:N1492)*ROW(N$12:N1492)+1,ROW($T$12))&amp;":T"&amp;(ROW()-1))))),Первоначальный[[#This Row],[Полученный платеж]]+Y1492),
AND(S1492=0,Первоначальный[[#This Row],[Дата платежа из графика]]=1),MIN(LOOKUP(,-1/($Z$12:Z1493=1),$C$12:C1493)+LOOKUP(,-1/($Z$12:Z1493=1),$H$12:H1493)-IF(Z1492=1,0,SUM(INDIRECT("T"&amp;(MAX((1=Z$12:Z1492)*ROW(Z$12:Z1492)+1,ROW($T$12))&amp;":T"&amp;(ROW()-1))))),Первоначальный[[#This Row],[Полученный платеж]]+Y1492),
AND(Z1492&gt;0,Первоначальный[[#This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платеж]]+Y1492),
AND(S1492&gt;0,MAX((0&lt;&gt;S$12:S1492)*ROW(S$12:S1492),ROW($S$12))&gt;=MAX((1=Z$12:Z1492)*ROW(Z$12:Z1492),ROW($T$12)),TYPE(VLOOKUP("Да",(INDIRECT("AA"&amp;(MAX((1=Z$12:Z1492)*ROW(Z$12:Z1492),ROW($T$12))&amp;":AA"&amp;(ROW()-1)))),1,0))=16),MIN(LOOKUP(,-1/($Z$12:Z1493=1),$C$12:C1493)+LOOKUP(,-1/($Z$12:Z1493=1),$H$12:H1493)-SUM(INDIRECT("T"&amp;(MAX((1=Z$12:Z1492)*ROW(Z$12:Z1492),ROW($T$12))&amp;":T"&amp;(ROW()-1)))),Первоначальный[[#This Row],[Полученный платеж]]+Y1492),
S1492&gt;0,MIN(LOOKUP(,-1/($Z$12:Z1493=1),$C$12:C1493)+LOOKUP(,-1/($Z$12:Z1493=1),$H$12:H1493)-IF(Z1492=1,0,SUM(INDIRECT("T"&amp;(MAX((1=Z$12:Z1492)*ROW(Z$12:Z1492)+1,ROW($T$12))&amp;":T"&amp;(ROW()-1))))),Первоначальный[[#This Row],[Полученный платеж]]+Y1492)
)
)
)</f>
        <v>0</v>
      </c>
      <c r="U149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платеж]]+Y1492-Первоначальный[[#This Row],[Полученный платёж по процентам]])</f>
        <v>0</v>
      </c>
      <c r="V1493" s="55">
        <f t="shared" ca="1" si="279"/>
        <v>0</v>
      </c>
      <c r="W1493" s="55" cm="1">
        <f t="array" aca="1" ref="W1493" ca="1">IF(Первоначальный[[#This Row],[Итого остаток на начало периода]]&lt;1,0,
_xlfn.IFS(
AND(TYPE(VLOOKUP(1,$Z$12:Z1493,1,0))=16,Первоначальный[[#This Row],[Досрочное погашение (да/"")]]=""),0,
AND(S1492=0,Первоначальный[[#This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платеж]]+Y1492-SUM(Первоначальный[[#This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комиссиям]]),VLOOKUP(LOOKUP(,-1/($Z$12:Z1493=1),$A$12:A1493),График[[Срок конец]:[Возврат основной суммы долга]],3,0)),
AND(S1492=0,Первоначальный[[#This Row],[Дата платежа из графика]]="",Первоначальный[[#This Row],[Досрочное погашение (да/"")]]&lt;&gt;"Да"),0,
AND(S1492=0,Первоначальный[[#This Row],[Досрочное погашение (да/"")]]=""),MIN(Первоначальный[[#This Row],[Полученный платеж]]+Y1492-SUM(Первоначальный[[#This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комиссиям]]),VLOOKUP(LOOKUP(,-1/($Z$12:Z1493=1),$A$12:A1493),График[[Срок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платеж]]+Y1492-SUM(Первоначальный[[#This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S1492&gt;0,MIN(Первоначальный[[#This Row],[Полученный платеж]]+Y1492-SUM(Первоначальный[[#This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комиссиям]]),SUM(INDIRECT("M"&amp;(MAX((1=S$12:S1492)*ROW(S$12:S1492),ROW($W$12))&amp;":M"&amp;(ROW()))))-SUM(INDIRECT("W"&amp;(MAX((1=S$12:S1492)*ROW(S$12:S1492),ROW($W$12))&amp;":W"&amp;(ROW()-1)))))
)
)</f>
        <v>0</v>
      </c>
      <c r="X1493" s="55">
        <f t="shared" ca="1" si="280"/>
        <v>0</v>
      </c>
      <c r="Y1493" s="101">
        <f t="shared" ca="1" si="287"/>
        <v>0</v>
      </c>
      <c r="Z1493" s="133" t="str">
        <f>IF(TYPE((VLOOKUP(Первоначальный[[#This Row],[Дата платежа]],График[Срок конец],1,0)))=16,"",1)</f>
        <v/>
      </c>
      <c r="AA1493" s="57"/>
      <c r="AB1493" s="134"/>
      <c r="AC149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9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106082.83000000015</v>
      </c>
      <c r="AE149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9593.1100000000024</v>
      </c>
      <c r="AF149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9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469916.91605409933</v>
      </c>
      <c r="AH1493" s="55"/>
      <c r="AI1493" s="55"/>
      <c r="AJ1493" s="55"/>
      <c r="AK1493" s="101">
        <f t="shared" ca="1" si="288"/>
        <v>735226.19605409948</v>
      </c>
      <c r="AL1493" s="129">
        <f t="array" ref="AL1493">MAX((УслРестрактов[Характеристика]="Дата реструктуризации")*(УслРестрактов[Значение]=Первоначальный!$A1493),0)</f>
        <v>0</v>
      </c>
    </row>
    <row r="1494" spans="1:38" x14ac:dyDescent="0.25">
      <c r="A1494" s="97">
        <f t="shared" si="281"/>
        <v>45625</v>
      </c>
      <c r="B1494" s="100">
        <f t="shared" ca="1" si="282"/>
        <v>149633.34</v>
      </c>
      <c r="C1494" s="55">
        <f t="shared" ca="1" si="278"/>
        <v>106082.83000000015</v>
      </c>
      <c r="D1494" s="55">
        <f t="shared" ca="1" si="278"/>
        <v>9593.1100000000024</v>
      </c>
      <c r="E1494" s="55">
        <f t="shared" ca="1" si="283"/>
        <v>0</v>
      </c>
      <c r="F1494" s="55">
        <f t="shared" ca="1" si="284"/>
        <v>469916.91605409933</v>
      </c>
      <c r="G1494" s="101">
        <f t="shared" ca="1" si="285"/>
        <v>735226.19605409948</v>
      </c>
      <c r="H1494" s="100">
        <f ca="1">ROUND($B1494*VLOOKUP($A1494,$A$1:$B$10,2,1)/(365+IF(MOD(YEAR($A1494),4),0,1)*($A1494-$A1493)),2)-Первоначальный[[#This Row],[Проценты на просроченный платеж по ОД за период]]</f>
        <v>65.900000000000006</v>
      </c>
      <c r="I1494" s="55">
        <f t="shared" ca="1" si="286"/>
        <v>15.46</v>
      </c>
      <c r="J1494" s="55">
        <v>0</v>
      </c>
      <c r="K1494" s="55">
        <f t="shared" ca="1" si="289"/>
        <v>666.24350327868842</v>
      </c>
      <c r="L1494" s="55">
        <v>0</v>
      </c>
      <c r="M1494" s="113">
        <f>SUMIFS(График[Возврат основной суммы долга],График[Дата с учетом нерабочих дней],$A1494)</f>
        <v>0</v>
      </c>
      <c r="N1494" s="56">
        <f>SUMIFS(График[Возврат начисленных %],График[Дата с учетом нерабочих дней],$A1494)</f>
        <v>0</v>
      </c>
      <c r="O1494" s="101">
        <v>0</v>
      </c>
      <c r="P1494" s="100" cm="1">
        <f t="array" aca="1" ref="P1494" ca="1">MAX(IF(AA1493="Да",0,SUM(INDIRECT("M"&amp;(MAX(("Да"=AA$12:AA1493)*ROW(AA$12:AA1493)+1,ROW($P$12))&amp;":M"&amp;(ROW()))))-SUM(INDIRECT("W"&amp;(MAX(("Да"=AA$12:AA1493)*ROW(AA$12:AA1493)+1,ROW($P$12))&amp;":W"&amp;(ROW()))))),0)</f>
        <v>28424.789999999997</v>
      </c>
      <c r="Q1494" s="99">
        <f ca="1">MAX(SUM($N$13:N1494)-SUM($T$13:T1494),0)</f>
        <v>104823.91065573769</v>
      </c>
      <c r="R1494" s="99">
        <f ca="1">Первоначальный[[#This Row],[Просроченный платеж по ОД]]+Первоначальный[[#This Row],[Просроченный платеж по процентам]]</f>
        <v>133248.70065573769</v>
      </c>
      <c r="S1494" s="120">
        <f ca="1">IF(Первоначальный[[#This Row],[Просроченный платеж]]&lt;1,0,S1493+1)</f>
        <v>1390</v>
      </c>
      <c r="T1494" s="100" cm="1">
        <f t="array" aca="1" ref="T1494" ca="1">IF(Первоначальный[[#This Row],[Итого остаток на начало периода]]&lt;1,0,
IF(
AND(TYPE(VLOOKUP(1,$Z$12:Z1494,1,0))=16,Первоначальный[[#This Row],[Досрочное погашение (да/"")]]=""),0,
_xlfn.IFS(AND(S1493=0,Первоначальный[[#This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платеж]]&lt;&gt;0),MIN(LOOKUP(,-1/($Z$12:Z1494=1),$C$12:C1494)+LOOKUP(,-1/($Z$12:Z1494=1),$H$12:H1494),Первоначальный[[#This Row],[Полученный платеж]]+Y1493),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платеж]]+Y1493,SUM(Первоначальный[[#This Row],[Остаток процентов на начало периода]],Первоначальный[[#This Row],[Проценты за период]])),
AND(S1493=0,Первоначальный[[#This Row],[Дата платежа из графика]]=""),0,
AND(S1493=0,Первоначальный[[#This Row],[Дата платежа из графика]]=1,MAX((0&lt;&gt;S$12:S1493)*ROW(S$12:S1493),ROW($S$12))&gt;=MAX((1=Z$12:Z1493)*ROW(Z$12:Z1493),ROW($T$12)),TYPE(VLOOKUP("Да",(INDIRECT("AA"&amp;(MAX((1=Z$12:Z1493)*ROW(Z$12:Z1493),ROW($T$12))&amp;":AA"&amp;(ROW()-1)))),1,0))=16),MIN(LOOKUP(,-1/($Z$12:Z1494=1),$C$12:C1494)+LOOKUP(,-1/($Z$12:Z1494=1),$H$12:H1494),Первоначальный[[#This Row],[Полученный платеж]]+Y1493),
AND(S1493=0,TYPE(VLOOKUP("Да",(INDIRECT("AA"&amp;(MAX((1=Z$12:Z1493)*ROW(Z$12:Z1493),ROW($T$12))&amp;":AA"&amp;(ROW()-1)))),1,0))&lt;&gt;16),MIN(LOOKUP(,-1/($Z$12:Z1494=1),$C$12:C1494)+LOOKUP(,-1/($Z$12:Z1494=1),$H$12:H1494)-IF(AA1493="Да",0,SUM(INDIRECT("T"&amp;(MAX(("Да"=AA$12:AA1493)*ROW(AA$12:AA1493)+1,ROW($T$12))&amp;":T"&amp;(ROW()-1))))),Первоначальный[[#This Row],[Полученный платеж]]+Y1493),
AND(S1493=0,MAX((0&lt;&gt;N$12:N1493)*ROW(N$12:N1493),ROW($S$12))&gt;=MAX((1=Z$12:Z1493)*ROW(Z$12:Z1493),ROW($T$12))),MIN(LOOKUP(,-1/($Z$12:Z1494=1),$C$12:C1494)+LOOKUP(,-1/($Z$12:Z1494=1),$H$12:H1494)-IF(N1493&lt;&gt;0,0,SUM(INDIRECT("T"&amp;(MAX((0&lt;&gt;N$12:N1493)*ROW(N$12:N1493)+1,ROW($T$12))&amp;":T"&amp;(ROW()-1))))),Первоначальный[[#This Row],[Полученный платеж]]+Y1493),
AND(S1493=0,Первоначальный[[#This Row],[Дата платежа из графика]]=1),MIN(LOOKUP(,-1/($Z$12:Z1494=1),$C$12:C1494)+LOOKUP(,-1/($Z$12:Z1494=1),$H$12:H1494)-IF(Z1493=1,0,SUM(INDIRECT("T"&amp;(MAX((1=Z$12:Z1493)*ROW(Z$12:Z1493)+1,ROW($T$12))&amp;":T"&amp;(ROW()-1))))),Первоначальный[[#This Row],[Полученный платеж]]+Y1493),
AND(Z1493&gt;0,Первоначальный[[#This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платеж]]+Y1493),
AND(S1493&gt;0,MAX((0&lt;&gt;S$12:S1493)*ROW(S$12:S1493),ROW($S$12))&gt;=MAX((1=Z$12:Z1493)*ROW(Z$12:Z1493),ROW($T$12)),TYPE(VLOOKUP("Да",(INDIRECT("AA"&amp;(MAX((1=Z$12:Z1493)*ROW(Z$12:Z1493),ROW($T$12))&amp;":AA"&amp;(ROW()-1)))),1,0))=16),MIN(LOOKUP(,-1/($Z$12:Z1494=1),$C$12:C1494)+LOOKUP(,-1/($Z$12:Z1494=1),$H$12:H1494)-SUM(INDIRECT("T"&amp;(MAX((1=Z$12:Z1493)*ROW(Z$12:Z1493),ROW($T$12))&amp;":T"&amp;(ROW()-1)))),Первоначальный[[#This Row],[Полученный платеж]]+Y1493),
S1493&gt;0,MIN(LOOKUP(,-1/($Z$12:Z1494=1),$C$12:C1494)+LOOKUP(,-1/($Z$12:Z1494=1),$H$12:H1494)-IF(Z1493=1,0,SUM(INDIRECT("T"&amp;(MAX((1=Z$12:Z1493)*ROW(Z$12:Z1493)+1,ROW($T$12))&amp;":T"&amp;(ROW()-1))))),Первоначальный[[#This Row],[Полученный платеж]]+Y1493)
)
)
)</f>
        <v>0</v>
      </c>
      <c r="U149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платеж]]+Y1493-Первоначальный[[#This Row],[Полученный платёж по процентам]])</f>
        <v>0</v>
      </c>
      <c r="V1494" s="55">
        <f t="shared" ca="1" si="279"/>
        <v>0</v>
      </c>
      <c r="W1494" s="55" cm="1">
        <f t="array" aca="1" ref="W1494" ca="1">IF(Первоначальный[[#This Row],[Итого остаток на начало периода]]&lt;1,0,
_xlfn.IFS(
AND(TYPE(VLOOKUP(1,$Z$12:Z1494,1,0))=16,Первоначальный[[#This Row],[Досрочное погашение (да/"")]]=""),0,
AND(S1493=0,Первоначальный[[#This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платеж]]+Y1493-SUM(Первоначальный[[#This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комиссиям]]),VLOOKUP(LOOKUP(,-1/($Z$12:Z1494=1),$A$12:A1494),График[[Срок конец]:[Возврат основной суммы долга]],3,0)),
AND(S1493=0,Первоначальный[[#This Row],[Дата платежа из графика]]="",Первоначальный[[#This Row],[Досрочное погашение (да/"")]]&lt;&gt;"Да"),0,
AND(S1493=0,Первоначальный[[#This Row],[Досрочное погашение (да/"")]]=""),MIN(Первоначальный[[#This Row],[Полученный платеж]]+Y1493-SUM(Первоначальный[[#This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комиссиям]]),VLOOKUP(LOOKUP(,-1/($Z$12:Z1494=1),$A$12:A1494),График[[Срок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платеж]]+Y1493-SUM(Первоначальный[[#This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S1493&gt;0,MIN(Первоначальный[[#This Row],[Полученный платеж]]+Y1493-SUM(Первоначальный[[#This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комиссиям]]),SUM(INDIRECT("M"&amp;(MAX((1=S$12:S1493)*ROW(S$12:S1493),ROW($W$12))&amp;":M"&amp;(ROW()))))-SUM(INDIRECT("W"&amp;(MAX((1=S$12:S1493)*ROW(S$12:S1493),ROW($W$12))&amp;":W"&amp;(ROW()-1)))))
)
)</f>
        <v>0</v>
      </c>
      <c r="X1494" s="55">
        <f t="shared" ca="1" si="280"/>
        <v>0</v>
      </c>
      <c r="Y1494" s="101">
        <f t="shared" ca="1" si="287"/>
        <v>0</v>
      </c>
      <c r="Z1494" s="133" t="str">
        <f>IF(TYPE((VLOOKUP(Первоначальный[[#This Row],[Дата платежа]],График[Срок конец],1,0)))=16,"",1)</f>
        <v/>
      </c>
      <c r="AA1494" s="57"/>
      <c r="AB1494" s="134"/>
      <c r="AC149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9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106148.73000000014</v>
      </c>
      <c r="AE149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9608.5700000000015</v>
      </c>
      <c r="AF149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9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470583.15955737804</v>
      </c>
      <c r="AH1494" s="55"/>
      <c r="AI1494" s="55"/>
      <c r="AJ1494" s="55"/>
      <c r="AK1494" s="101">
        <f t="shared" ca="1" si="288"/>
        <v>735973.79955737817</v>
      </c>
      <c r="AL1494" s="129">
        <f t="array" ref="AL1494">MAX((УслРестрактов[Характеристика]="Дата реструктуризации")*(УслРестрактов[Значение]=Первоначальный!$A1494),0)</f>
        <v>0</v>
      </c>
    </row>
    <row r="1495" spans="1:38" x14ac:dyDescent="0.25">
      <c r="A1495" s="97">
        <f t="shared" si="281"/>
        <v>45626</v>
      </c>
      <c r="B1495" s="100">
        <f t="shared" ca="1" si="282"/>
        <v>149633.34</v>
      </c>
      <c r="C1495" s="55">
        <f t="shared" ca="1" si="278"/>
        <v>106148.73000000014</v>
      </c>
      <c r="D1495" s="55">
        <f t="shared" ca="1" si="278"/>
        <v>9608.5700000000015</v>
      </c>
      <c r="E1495" s="55">
        <f t="shared" ca="1" si="283"/>
        <v>0</v>
      </c>
      <c r="F1495" s="55">
        <f t="shared" ca="1" si="284"/>
        <v>470583.15955737804</v>
      </c>
      <c r="G1495" s="101">
        <f t="shared" ca="1" si="285"/>
        <v>735973.79955737817</v>
      </c>
      <c r="H1495" s="100">
        <f ca="1">ROUND($B1495*VLOOKUP($A1495,$A$1:$B$10,2,1)/(365+IF(MOD(YEAR($A1495),4),0,1)*($A1495-$A1494)),2)-Первоначальный[[#This Row],[Проценты на просроченный платеж по ОД за период]]</f>
        <v>65.900000000000006</v>
      </c>
      <c r="I1495" s="55">
        <f t="shared" ca="1" si="286"/>
        <v>15.46</v>
      </c>
      <c r="J1495" s="55">
        <v>0</v>
      </c>
      <c r="K1495" s="55">
        <f t="shared" ca="1" si="289"/>
        <v>666.24350327868842</v>
      </c>
      <c r="L1495" s="55">
        <v>0</v>
      </c>
      <c r="M1495" s="113">
        <f>SUMIFS(График[Возврат основной суммы долга],График[Дата с учетом нерабочих дней],$A1495)</f>
        <v>0</v>
      </c>
      <c r="N1495" s="56">
        <f>SUMIFS(График[Возврат начисленных %],График[Дата с учетом нерабочих дней],$A1495)</f>
        <v>0</v>
      </c>
      <c r="O1495" s="101">
        <v>0</v>
      </c>
      <c r="P1495" s="100" cm="1">
        <f t="array" aca="1" ref="P1495" ca="1">MAX(IF(AA1494="Да",0,SUM(INDIRECT("M"&amp;(MAX(("Да"=AA$12:AA1494)*ROW(AA$12:AA1494)+1,ROW($P$12))&amp;":M"&amp;(ROW()))))-SUM(INDIRECT("W"&amp;(MAX(("Да"=AA$12:AA1494)*ROW(AA$12:AA1494)+1,ROW($P$12))&amp;":W"&amp;(ROW()))))),0)</f>
        <v>28424.789999999997</v>
      </c>
      <c r="Q1495" s="99">
        <f ca="1">MAX(SUM($N$13:N1495)-SUM($T$13:T1495),0)</f>
        <v>104823.91065573769</v>
      </c>
      <c r="R1495" s="99">
        <f ca="1">Первоначальный[[#This Row],[Просроченный платеж по ОД]]+Первоначальный[[#This Row],[Просроченный платеж по процентам]]</f>
        <v>133248.70065573769</v>
      </c>
      <c r="S1495" s="120">
        <f ca="1">IF(Первоначальный[[#This Row],[Просроченный платеж]]&lt;1,0,S1494+1)</f>
        <v>1391</v>
      </c>
      <c r="T1495" s="100" cm="1">
        <f t="array" aca="1" ref="T1495" ca="1">IF(Первоначальный[[#This Row],[Итого остаток на начало периода]]&lt;1,0,
IF(
AND(TYPE(VLOOKUP(1,$Z$12:Z1495,1,0))=16,Первоначальный[[#This Row],[Досрочное погашение (да/"")]]=""),0,
_xlfn.IFS(AND(S1494=0,Первоначальный[[#This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платеж]]&lt;&gt;0),MIN(LOOKUP(,-1/($Z$12:Z1495=1),$C$12:C1495)+LOOKUP(,-1/($Z$12:Z1495=1),$H$12:H1495),Первоначальный[[#This Row],[Полученный платеж]]+Y1494),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платеж]]+Y1494,SUM(Первоначальный[[#This Row],[Остаток процентов на начало периода]],Первоначальный[[#This Row],[Проценты за период]])),
AND(S1494=0,Первоначальный[[#This Row],[Дата платежа из графика]]=""),0,
AND(S1494=0,Первоначальный[[#This Row],[Дата платежа из графика]]=1,MAX((0&lt;&gt;S$12:S1494)*ROW(S$12:S1494),ROW($S$12))&gt;=MAX((1=Z$12:Z1494)*ROW(Z$12:Z1494),ROW($T$12)),TYPE(VLOOKUP("Да",(INDIRECT("AA"&amp;(MAX((1=Z$12:Z1494)*ROW(Z$12:Z1494),ROW($T$12))&amp;":AA"&amp;(ROW()-1)))),1,0))=16),MIN(LOOKUP(,-1/($Z$12:Z1495=1),$C$12:C1495)+LOOKUP(,-1/($Z$12:Z1495=1),$H$12:H1495),Первоначальный[[#This Row],[Полученный платеж]]+Y1494),
AND(S1494=0,TYPE(VLOOKUP("Да",(INDIRECT("AA"&amp;(MAX((1=Z$12:Z1494)*ROW(Z$12:Z1494),ROW($T$12))&amp;":AA"&amp;(ROW()-1)))),1,0))&lt;&gt;16),MIN(LOOKUP(,-1/($Z$12:Z1495=1),$C$12:C1495)+LOOKUP(,-1/($Z$12:Z1495=1),$H$12:H1495)-IF(AA1494="Да",0,SUM(INDIRECT("T"&amp;(MAX(("Да"=AA$12:AA1494)*ROW(AA$12:AA1494)+1,ROW($T$12))&amp;":T"&amp;(ROW()-1))))),Первоначальный[[#This Row],[Полученный платеж]]+Y1494),
AND(S1494=0,MAX((0&lt;&gt;N$12:N1494)*ROW(N$12:N1494),ROW($S$12))&gt;=MAX((1=Z$12:Z1494)*ROW(Z$12:Z1494),ROW($T$12))),MIN(LOOKUP(,-1/($Z$12:Z1495=1),$C$12:C1495)+LOOKUP(,-1/($Z$12:Z1495=1),$H$12:H1495)-IF(N1494&lt;&gt;0,0,SUM(INDIRECT("T"&amp;(MAX((0&lt;&gt;N$12:N1494)*ROW(N$12:N1494)+1,ROW($T$12))&amp;":T"&amp;(ROW()-1))))),Первоначальный[[#This Row],[Полученный платеж]]+Y1494),
AND(S1494=0,Первоначальный[[#This Row],[Дата платежа из графика]]=1),MIN(LOOKUP(,-1/($Z$12:Z1495=1),$C$12:C1495)+LOOKUP(,-1/($Z$12:Z1495=1),$H$12:H1495)-IF(Z1494=1,0,SUM(INDIRECT("T"&amp;(MAX((1=Z$12:Z1494)*ROW(Z$12:Z1494)+1,ROW($T$12))&amp;":T"&amp;(ROW()-1))))),Первоначальный[[#This Row],[Полученный платеж]]+Y1494),
AND(Z1494&gt;0,Первоначальный[[#This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платеж]]+Y1494),
AND(S1494&gt;0,MAX((0&lt;&gt;S$12:S1494)*ROW(S$12:S1494),ROW($S$12))&gt;=MAX((1=Z$12:Z1494)*ROW(Z$12:Z1494),ROW($T$12)),TYPE(VLOOKUP("Да",(INDIRECT("AA"&amp;(MAX((1=Z$12:Z1494)*ROW(Z$12:Z1494),ROW($T$12))&amp;":AA"&amp;(ROW()-1)))),1,0))=16),MIN(LOOKUP(,-1/($Z$12:Z1495=1),$C$12:C1495)+LOOKUP(,-1/($Z$12:Z1495=1),$H$12:H1495)-SUM(INDIRECT("T"&amp;(MAX((1=Z$12:Z1494)*ROW(Z$12:Z1494),ROW($T$12))&amp;":T"&amp;(ROW()-1)))),Первоначальный[[#This Row],[Полученный платеж]]+Y1494),
S1494&gt;0,MIN(LOOKUP(,-1/($Z$12:Z1495=1),$C$12:C1495)+LOOKUP(,-1/($Z$12:Z1495=1),$H$12:H1495)-IF(Z1494=1,0,SUM(INDIRECT("T"&amp;(MAX((1=Z$12:Z1494)*ROW(Z$12:Z1494)+1,ROW($T$12))&amp;":T"&amp;(ROW()-1))))),Первоначальный[[#This Row],[Полученный платеж]]+Y1494)
)
)
)</f>
        <v>0</v>
      </c>
      <c r="U149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платеж]]+Y1494-Первоначальный[[#This Row],[Полученный платёж по процентам]])</f>
        <v>0</v>
      </c>
      <c r="V1495" s="55">
        <f t="shared" ca="1" si="279"/>
        <v>0</v>
      </c>
      <c r="W1495" s="55" cm="1">
        <f t="array" aca="1" ref="W1495" ca="1">IF(Первоначальный[[#This Row],[Итого остаток на начало периода]]&lt;1,0,
_xlfn.IFS(
AND(TYPE(VLOOKUP(1,$Z$12:Z1495,1,0))=16,Первоначальный[[#This Row],[Досрочное погашение (да/"")]]=""),0,
AND(S1494=0,Первоначальный[[#This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платеж]]+Y1494-SUM(Первоначальный[[#This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комиссиям]]),VLOOKUP(LOOKUP(,-1/($Z$12:Z1495=1),$A$12:A1495),График[[Срок конец]:[Возврат основной суммы долга]],3,0)),
AND(S1494=0,Первоначальный[[#This Row],[Дата платежа из графика]]="",Первоначальный[[#This Row],[Досрочное погашение (да/"")]]&lt;&gt;"Да"),0,
AND(S1494=0,Первоначальный[[#This Row],[Досрочное погашение (да/"")]]=""),MIN(Первоначальный[[#This Row],[Полученный платеж]]+Y1494-SUM(Первоначальный[[#This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комиссиям]]),VLOOKUP(LOOKUP(,-1/($Z$12:Z1495=1),$A$12:A1495),График[[Срок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платеж]]+Y1494-SUM(Первоначальный[[#This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S1494&gt;0,MIN(Первоначальный[[#This Row],[Полученный платеж]]+Y1494-SUM(Первоначальный[[#This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комиссиям]]),SUM(INDIRECT("M"&amp;(MAX((1=S$12:S1494)*ROW(S$12:S1494),ROW($W$12))&amp;":M"&amp;(ROW()))))-SUM(INDIRECT("W"&amp;(MAX((1=S$12:S1494)*ROW(S$12:S1494),ROW($W$12))&amp;":W"&amp;(ROW()-1)))))
)
)</f>
        <v>0</v>
      </c>
      <c r="X1495" s="55">
        <f t="shared" ca="1" si="280"/>
        <v>0</v>
      </c>
      <c r="Y1495" s="101">
        <f t="shared" ca="1" si="287"/>
        <v>0</v>
      </c>
      <c r="Z1495" s="133" t="str">
        <f>IF(TYPE((VLOOKUP(Первоначальный[[#This Row],[Дата платежа]],График[Срок конец],1,0)))=16,"",1)</f>
        <v/>
      </c>
      <c r="AA1495" s="57"/>
      <c r="AB1495" s="134"/>
      <c r="AC149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9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106214.63000000014</v>
      </c>
      <c r="AE149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9624.0300000000007</v>
      </c>
      <c r="AF149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9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471249.40306065674</v>
      </c>
      <c r="AH1495" s="55"/>
      <c r="AI1495" s="55"/>
      <c r="AJ1495" s="55"/>
      <c r="AK1495" s="101">
        <f t="shared" ca="1" si="288"/>
        <v>736721.40306065697</v>
      </c>
      <c r="AL1495" s="129">
        <f t="array" ref="AL1495">MAX((УслРестрактов[Характеристика]="Дата реструктуризации")*(УслРестрактов[Значение]=Первоначальный!$A1495),0)</f>
        <v>0</v>
      </c>
    </row>
    <row r="1496" spans="1:38" x14ac:dyDescent="0.25">
      <c r="A1496" s="97">
        <f t="shared" si="281"/>
        <v>45627</v>
      </c>
      <c r="B1496" s="100">
        <f t="shared" ca="1" si="282"/>
        <v>149633.34</v>
      </c>
      <c r="C1496" s="55">
        <f t="shared" ca="1" si="278"/>
        <v>106214.63000000014</v>
      </c>
      <c r="D1496" s="55">
        <f t="shared" ca="1" si="278"/>
        <v>9624.0300000000007</v>
      </c>
      <c r="E1496" s="55">
        <f t="shared" ca="1" si="283"/>
        <v>0</v>
      </c>
      <c r="F1496" s="55">
        <f t="shared" ca="1" si="284"/>
        <v>471249.40306065674</v>
      </c>
      <c r="G1496" s="101">
        <f t="shared" ca="1" si="285"/>
        <v>736721.40306065697</v>
      </c>
      <c r="H1496" s="100">
        <f ca="1">ROUND($B1496*VLOOKUP($A1496,$A$1:$B$10,2,1)/(365+IF(MOD(YEAR($A1496),4),0,1)*($A1496-$A1495)),2)-Первоначальный[[#This Row],[Проценты на просроченный платеж по ОД за период]]</f>
        <v>65.900000000000006</v>
      </c>
      <c r="I1496" s="55">
        <f t="shared" ca="1" si="286"/>
        <v>15.46</v>
      </c>
      <c r="J1496" s="55">
        <v>0</v>
      </c>
      <c r="K1496" s="55">
        <f t="shared" ca="1" si="289"/>
        <v>666.24350327868842</v>
      </c>
      <c r="L1496" s="55">
        <v>0</v>
      </c>
      <c r="M1496" s="113">
        <f>SUMIFS(График[Возврат основной суммы долга],График[Дата с учетом нерабочих дней],$A1496)</f>
        <v>0</v>
      </c>
      <c r="N1496" s="56">
        <f>SUMIFS(График[Возврат начисленных %],График[Дата с учетом нерабочих дней],$A1496)</f>
        <v>0</v>
      </c>
      <c r="O1496" s="101">
        <v>0</v>
      </c>
      <c r="P1496" s="100" cm="1">
        <f t="array" aca="1" ref="P1496" ca="1">MAX(IF(AA1495="Да",0,SUM(INDIRECT("M"&amp;(MAX(("Да"=AA$12:AA1495)*ROW(AA$12:AA1495)+1,ROW($P$12))&amp;":M"&amp;(ROW()))))-SUM(INDIRECT("W"&amp;(MAX(("Да"=AA$12:AA1495)*ROW(AA$12:AA1495)+1,ROW($P$12))&amp;":W"&amp;(ROW()))))),0)</f>
        <v>28424.789999999997</v>
      </c>
      <c r="Q1496" s="99">
        <f ca="1">MAX(SUM($N$13:N1496)-SUM($T$13:T1496),0)</f>
        <v>104823.91065573769</v>
      </c>
      <c r="R1496" s="99">
        <f ca="1">Первоначальный[[#This Row],[Просроченный платеж по ОД]]+Первоначальный[[#This Row],[Просроченный платеж по процентам]]</f>
        <v>133248.70065573769</v>
      </c>
      <c r="S1496" s="120">
        <f ca="1">IF(Первоначальный[[#This Row],[Просроченный платеж]]&lt;1,0,S1495+1)</f>
        <v>1392</v>
      </c>
      <c r="T1496" s="100" cm="1">
        <f t="array" aca="1" ref="T1496" ca="1">IF(Первоначальный[[#This Row],[Итого остаток на начало периода]]&lt;1,0,
IF(
AND(TYPE(VLOOKUP(1,$Z$12:Z1496,1,0))=16,Первоначальный[[#This Row],[Досрочное погашение (да/"")]]=""),0,
_xlfn.IFS(AND(S1495=0,Первоначальный[[#This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платеж]]&lt;&gt;0),MIN(LOOKUP(,-1/($Z$12:Z1496=1),$C$12:C1496)+LOOKUP(,-1/($Z$12:Z1496=1),$H$12:H1496),Первоначальный[[#This Row],[Полученный платеж]]+Y1495),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платеж]]+Y1495,SUM(Первоначальный[[#This Row],[Остаток процентов на начало периода]],Первоначальный[[#This Row],[Проценты за период]])),
AND(S1495=0,Первоначальный[[#This Row],[Дата платежа из графика]]=""),0,
AND(S1495=0,Первоначальный[[#This Row],[Дата платежа из графика]]=1,MAX((0&lt;&gt;S$12:S1495)*ROW(S$12:S1495),ROW($S$12))&gt;=MAX((1=Z$12:Z1495)*ROW(Z$12:Z1495),ROW($T$12)),TYPE(VLOOKUP("Да",(INDIRECT("AA"&amp;(MAX((1=Z$12:Z1495)*ROW(Z$12:Z1495),ROW($T$12))&amp;":AA"&amp;(ROW()-1)))),1,0))=16),MIN(LOOKUP(,-1/($Z$12:Z1496=1),$C$12:C1496)+LOOKUP(,-1/($Z$12:Z1496=1),$H$12:H1496),Первоначальный[[#This Row],[Полученный платеж]]+Y1495),
AND(S1495=0,TYPE(VLOOKUP("Да",(INDIRECT("AA"&amp;(MAX((1=Z$12:Z1495)*ROW(Z$12:Z1495),ROW($T$12))&amp;":AA"&amp;(ROW()-1)))),1,0))&lt;&gt;16),MIN(LOOKUP(,-1/($Z$12:Z1496=1),$C$12:C1496)+LOOKUP(,-1/($Z$12:Z1496=1),$H$12:H1496)-IF(AA1495="Да",0,SUM(INDIRECT("T"&amp;(MAX(("Да"=AA$12:AA1495)*ROW(AA$12:AA1495)+1,ROW($T$12))&amp;":T"&amp;(ROW()-1))))),Первоначальный[[#This Row],[Полученный платеж]]+Y1495),
AND(S1495=0,MAX((0&lt;&gt;N$12:N1495)*ROW(N$12:N1495),ROW($S$12))&gt;=MAX((1=Z$12:Z1495)*ROW(Z$12:Z1495),ROW($T$12))),MIN(LOOKUP(,-1/($Z$12:Z1496=1),$C$12:C1496)+LOOKUP(,-1/($Z$12:Z1496=1),$H$12:H1496)-IF(N1495&lt;&gt;0,0,SUM(INDIRECT("T"&amp;(MAX((0&lt;&gt;N$12:N1495)*ROW(N$12:N1495)+1,ROW($T$12))&amp;":T"&amp;(ROW()-1))))),Первоначальный[[#This Row],[Полученный платеж]]+Y1495),
AND(S1495=0,Первоначальный[[#This Row],[Дата платежа из графика]]=1),MIN(LOOKUP(,-1/($Z$12:Z1496=1),$C$12:C1496)+LOOKUP(,-1/($Z$12:Z1496=1),$H$12:H1496)-IF(Z1495=1,0,SUM(INDIRECT("T"&amp;(MAX((1=Z$12:Z1495)*ROW(Z$12:Z1495)+1,ROW($T$12))&amp;":T"&amp;(ROW()-1))))),Первоначальный[[#This Row],[Полученный платеж]]+Y1495),
AND(Z1495&gt;0,Первоначальный[[#This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платеж]]+Y1495),
AND(S1495&gt;0,MAX((0&lt;&gt;S$12:S1495)*ROW(S$12:S1495),ROW($S$12))&gt;=MAX((1=Z$12:Z1495)*ROW(Z$12:Z1495),ROW($T$12)),TYPE(VLOOKUP("Да",(INDIRECT("AA"&amp;(MAX((1=Z$12:Z1495)*ROW(Z$12:Z1495),ROW($T$12))&amp;":AA"&amp;(ROW()-1)))),1,0))=16),MIN(LOOKUP(,-1/($Z$12:Z1496=1),$C$12:C1496)+LOOKUP(,-1/($Z$12:Z1496=1),$H$12:H1496)-SUM(INDIRECT("T"&amp;(MAX((1=Z$12:Z1495)*ROW(Z$12:Z1495),ROW($T$12))&amp;":T"&amp;(ROW()-1)))),Первоначальный[[#This Row],[Полученный платеж]]+Y1495),
S1495&gt;0,MIN(LOOKUP(,-1/($Z$12:Z1496=1),$C$12:C1496)+LOOKUP(,-1/($Z$12:Z1496=1),$H$12:H1496)-IF(Z1495=1,0,SUM(INDIRECT("T"&amp;(MAX((1=Z$12:Z1495)*ROW(Z$12:Z1495)+1,ROW($T$12))&amp;":T"&amp;(ROW()-1))))),Первоначальный[[#This Row],[Полученный платеж]]+Y1495)
)
)
)</f>
        <v>0</v>
      </c>
      <c r="U149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платеж]]+Y1495-Первоначальный[[#This Row],[Полученный платёж по процентам]])</f>
        <v>0</v>
      </c>
      <c r="V1496" s="55">
        <f t="shared" ca="1" si="279"/>
        <v>0</v>
      </c>
      <c r="W1496" s="55" cm="1">
        <f t="array" aca="1" ref="W1496" ca="1">IF(Первоначальный[[#This Row],[Итого остаток на начало периода]]&lt;1,0,
_xlfn.IFS(
AND(TYPE(VLOOKUP(1,$Z$12:Z1496,1,0))=16,Первоначальный[[#This Row],[Досрочное погашение (да/"")]]=""),0,
AND(S1495=0,Первоначальный[[#This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платеж]]+Y1495-SUM(Первоначальный[[#This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комиссиям]]),VLOOKUP(LOOKUP(,-1/($Z$12:Z1496=1),$A$12:A1496),График[[Срок конец]:[Возврат основной суммы долга]],3,0)),
AND(S1495=0,Первоначальный[[#This Row],[Дата платежа из графика]]="",Первоначальный[[#This Row],[Досрочное погашение (да/"")]]&lt;&gt;"Да"),0,
AND(S1495=0,Первоначальный[[#This Row],[Досрочное погашение (да/"")]]=""),MIN(Первоначальный[[#This Row],[Полученный платеж]]+Y1495-SUM(Первоначальный[[#This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комиссиям]]),VLOOKUP(LOOKUP(,-1/($Z$12:Z1496=1),$A$12:A1496),График[[Срок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платеж]]+Y1495-SUM(Первоначальный[[#This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S1495&gt;0,MIN(Первоначальный[[#This Row],[Полученный платеж]]+Y1495-SUM(Первоначальный[[#This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комиссиям]]),SUM(INDIRECT("M"&amp;(MAX((1=S$12:S1495)*ROW(S$12:S1495),ROW($W$12))&amp;":M"&amp;(ROW()))))-SUM(INDIRECT("W"&amp;(MAX((1=S$12:S1495)*ROW(S$12:S1495),ROW($W$12))&amp;":W"&amp;(ROW()-1)))))
)
)</f>
        <v>0</v>
      </c>
      <c r="X1496" s="55">
        <f t="shared" ca="1" si="280"/>
        <v>0</v>
      </c>
      <c r="Y1496" s="101">
        <f t="shared" ca="1" si="287"/>
        <v>0</v>
      </c>
      <c r="Z1496" s="133" t="str">
        <f>IF(TYPE((VLOOKUP(Первоначальный[[#This Row],[Дата платежа]],График[Срок конец],1,0)))=16,"",1)</f>
        <v/>
      </c>
      <c r="AA1496" s="57"/>
      <c r="AB1496" s="134"/>
      <c r="AC149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9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106280.53000000013</v>
      </c>
      <c r="AE149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9639.49</v>
      </c>
      <c r="AF149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9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471915.64656393544</v>
      </c>
      <c r="AH1496" s="55"/>
      <c r="AI1496" s="55"/>
      <c r="AJ1496" s="55"/>
      <c r="AK1496" s="101">
        <f t="shared" ca="1" si="288"/>
        <v>737469.00656393555</v>
      </c>
      <c r="AL1496" s="129">
        <f t="array" ref="AL1496">MAX((УслРестрактов[Характеристика]="Дата реструктуризации")*(УслРестрактов[Значение]=Первоначальный!$A1496),0)</f>
        <v>0</v>
      </c>
    </row>
    <row r="1497" spans="1:38" x14ac:dyDescent="0.25">
      <c r="A1497" s="97">
        <f t="shared" si="281"/>
        <v>45628</v>
      </c>
      <c r="B1497" s="100">
        <f t="shared" ca="1" si="282"/>
        <v>149633.34</v>
      </c>
      <c r="C1497" s="55">
        <f t="shared" ca="1" si="278"/>
        <v>106280.53000000013</v>
      </c>
      <c r="D1497" s="55">
        <f t="shared" ca="1" si="278"/>
        <v>9639.49</v>
      </c>
      <c r="E1497" s="55">
        <f t="shared" ca="1" si="283"/>
        <v>0</v>
      </c>
      <c r="F1497" s="55">
        <f t="shared" ca="1" si="284"/>
        <v>471915.64656393544</v>
      </c>
      <c r="G1497" s="101">
        <f t="shared" ca="1" si="285"/>
        <v>737469.00656393555</v>
      </c>
      <c r="H1497" s="100">
        <f ca="1">ROUND($B1497*VLOOKUP($A1497,$A$1:$B$10,2,1)/(365+IF(MOD(YEAR($A1497),4),0,1)*($A1497-$A1496)),2)-Первоначальный[[#This Row],[Проценты на просроченный платеж по ОД за период]]</f>
        <v>65.900000000000006</v>
      </c>
      <c r="I1497" s="55">
        <f t="shared" ca="1" si="286"/>
        <v>15.46</v>
      </c>
      <c r="J1497" s="55">
        <v>0</v>
      </c>
      <c r="K1497" s="55">
        <f t="shared" ca="1" si="289"/>
        <v>666.24350327868842</v>
      </c>
      <c r="L1497" s="55">
        <v>0</v>
      </c>
      <c r="M1497" s="113">
        <f>SUMIFS(График[Возврат основной суммы долга],График[Дата с учетом нерабочих дней],$A1497)</f>
        <v>0</v>
      </c>
      <c r="N1497" s="56">
        <f>SUMIFS(График[Возврат начисленных %],График[Дата с учетом нерабочих дней],$A1497)</f>
        <v>0</v>
      </c>
      <c r="O1497" s="101">
        <v>0</v>
      </c>
      <c r="P1497" s="100" cm="1">
        <f t="array" aca="1" ref="P1497" ca="1">MAX(IF(AA1496="Да",0,SUM(INDIRECT("M"&amp;(MAX(("Да"=AA$12:AA1496)*ROW(AA$12:AA1496)+1,ROW($P$12))&amp;":M"&amp;(ROW()))))-SUM(INDIRECT("W"&amp;(MAX(("Да"=AA$12:AA1496)*ROW(AA$12:AA1496)+1,ROW($P$12))&amp;":W"&amp;(ROW()))))),0)</f>
        <v>28424.789999999997</v>
      </c>
      <c r="Q1497" s="99">
        <f ca="1">MAX(SUM($N$13:N1497)-SUM($T$13:T1497),0)</f>
        <v>104823.91065573769</v>
      </c>
      <c r="R1497" s="99">
        <f ca="1">Первоначальный[[#This Row],[Просроченный платеж по ОД]]+Первоначальный[[#This Row],[Просроченный платеж по процентам]]</f>
        <v>133248.70065573769</v>
      </c>
      <c r="S1497" s="120">
        <f ca="1">IF(Первоначальный[[#This Row],[Просроченный платеж]]&lt;1,0,S1496+1)</f>
        <v>1393</v>
      </c>
      <c r="T1497" s="100" cm="1">
        <f t="array" aca="1" ref="T1497" ca="1">IF(Первоначальный[[#This Row],[Итого остаток на начало периода]]&lt;1,0,
IF(
AND(TYPE(VLOOKUP(1,$Z$12:Z1497,1,0))=16,Первоначальный[[#This Row],[Досрочное погашение (да/"")]]=""),0,
_xlfn.IFS(AND(S1496=0,Первоначальный[[#This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платеж]]&lt;&gt;0),MIN(LOOKUP(,-1/($Z$12:Z1497=1),$C$12:C1497)+LOOKUP(,-1/($Z$12:Z1497=1),$H$12:H1497),Первоначальный[[#This Row],[Полученный платеж]]+Y1496),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платеж]]+Y1496,SUM(Первоначальный[[#This Row],[Остаток процентов на начало периода]],Первоначальный[[#This Row],[Проценты за период]])),
AND(S1496=0,Первоначальный[[#This Row],[Дата платежа из графика]]=""),0,
AND(S1496=0,Первоначальный[[#This Row],[Дата платежа из графика]]=1,MAX((0&lt;&gt;S$12:S1496)*ROW(S$12:S1496),ROW($S$12))&gt;=MAX((1=Z$12:Z1496)*ROW(Z$12:Z1496),ROW($T$12)),TYPE(VLOOKUP("Да",(INDIRECT("AA"&amp;(MAX((1=Z$12:Z1496)*ROW(Z$12:Z1496),ROW($T$12))&amp;":AA"&amp;(ROW()-1)))),1,0))=16),MIN(LOOKUP(,-1/($Z$12:Z1497=1),$C$12:C1497)+LOOKUP(,-1/($Z$12:Z1497=1),$H$12:H1497),Первоначальный[[#This Row],[Полученный платеж]]+Y1496),
AND(S1496=0,TYPE(VLOOKUP("Да",(INDIRECT("AA"&amp;(MAX((1=Z$12:Z1496)*ROW(Z$12:Z1496),ROW($T$12))&amp;":AA"&amp;(ROW()-1)))),1,0))&lt;&gt;16),MIN(LOOKUP(,-1/($Z$12:Z1497=1),$C$12:C1497)+LOOKUP(,-1/($Z$12:Z1497=1),$H$12:H1497)-IF(AA1496="Да",0,SUM(INDIRECT("T"&amp;(MAX(("Да"=AA$12:AA1496)*ROW(AA$12:AA1496)+1,ROW($T$12))&amp;":T"&amp;(ROW()-1))))),Первоначальный[[#This Row],[Полученный платеж]]+Y1496),
AND(S1496=0,MAX((0&lt;&gt;N$12:N1496)*ROW(N$12:N1496),ROW($S$12))&gt;=MAX((1=Z$12:Z1496)*ROW(Z$12:Z1496),ROW($T$12))),MIN(LOOKUP(,-1/($Z$12:Z1497=1),$C$12:C1497)+LOOKUP(,-1/($Z$12:Z1497=1),$H$12:H1497)-IF(N1496&lt;&gt;0,0,SUM(INDIRECT("T"&amp;(MAX((0&lt;&gt;N$12:N1496)*ROW(N$12:N1496)+1,ROW($T$12))&amp;":T"&amp;(ROW()-1))))),Первоначальный[[#This Row],[Полученный платеж]]+Y1496),
AND(S1496=0,Первоначальный[[#This Row],[Дата платежа из графика]]=1),MIN(LOOKUP(,-1/($Z$12:Z1497=1),$C$12:C1497)+LOOKUP(,-1/($Z$12:Z1497=1),$H$12:H1497)-IF(Z1496=1,0,SUM(INDIRECT("T"&amp;(MAX((1=Z$12:Z1496)*ROW(Z$12:Z1496)+1,ROW($T$12))&amp;":T"&amp;(ROW()-1))))),Первоначальный[[#This Row],[Полученный платеж]]+Y1496),
AND(Z1496&gt;0,Первоначальный[[#This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платеж]]+Y1496),
AND(S1496&gt;0,MAX((0&lt;&gt;S$12:S1496)*ROW(S$12:S1496),ROW($S$12))&gt;=MAX((1=Z$12:Z1496)*ROW(Z$12:Z1496),ROW($T$12)),TYPE(VLOOKUP("Да",(INDIRECT("AA"&amp;(MAX((1=Z$12:Z1496)*ROW(Z$12:Z1496),ROW($T$12))&amp;":AA"&amp;(ROW()-1)))),1,0))=16),MIN(LOOKUP(,-1/($Z$12:Z1497=1),$C$12:C1497)+LOOKUP(,-1/($Z$12:Z1497=1),$H$12:H1497)-SUM(INDIRECT("T"&amp;(MAX((1=Z$12:Z1496)*ROW(Z$12:Z1496),ROW($T$12))&amp;":T"&amp;(ROW()-1)))),Первоначальный[[#This Row],[Полученный платеж]]+Y1496),
S1496&gt;0,MIN(LOOKUP(,-1/($Z$12:Z1497=1),$C$12:C1497)+LOOKUP(,-1/($Z$12:Z1497=1),$H$12:H1497)-IF(Z1496=1,0,SUM(INDIRECT("T"&amp;(MAX((1=Z$12:Z1496)*ROW(Z$12:Z1496)+1,ROW($T$12))&amp;":T"&amp;(ROW()-1))))),Первоначальный[[#This Row],[Полученный платеж]]+Y1496)
)
)
)</f>
        <v>0</v>
      </c>
      <c r="U149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платеж]]+Y1496-Первоначальный[[#This Row],[Полученный платёж по процентам]])</f>
        <v>0</v>
      </c>
      <c r="V1497" s="55">
        <f t="shared" ca="1" si="279"/>
        <v>0</v>
      </c>
      <c r="W1497" s="55" cm="1">
        <f t="array" aca="1" ref="W1497" ca="1">IF(Первоначальный[[#This Row],[Итого остаток на начало периода]]&lt;1,0,
_xlfn.IFS(
AND(TYPE(VLOOKUP(1,$Z$12:Z1497,1,0))=16,Первоначальный[[#This Row],[Досрочное погашение (да/"")]]=""),0,
AND(S1496=0,Первоначальный[[#This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платеж]]+Y1496-SUM(Первоначальный[[#This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комиссиям]]),VLOOKUP(LOOKUP(,-1/($Z$12:Z1497=1),$A$12:A1497),График[[Срок конец]:[Возврат основной суммы долга]],3,0)),
AND(S1496=0,Первоначальный[[#This Row],[Дата платежа из графика]]="",Первоначальный[[#This Row],[Досрочное погашение (да/"")]]&lt;&gt;"Да"),0,
AND(S1496=0,Первоначальный[[#This Row],[Досрочное погашение (да/"")]]=""),MIN(Первоначальный[[#This Row],[Полученный платеж]]+Y1496-SUM(Первоначальный[[#This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комиссиям]]),VLOOKUP(LOOKUP(,-1/($Z$12:Z1497=1),$A$12:A1497),График[[Срок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платеж]]+Y1496-SUM(Первоначальный[[#This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S1496&gt;0,MIN(Первоначальный[[#This Row],[Полученный платеж]]+Y1496-SUM(Первоначальный[[#This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комиссиям]]),SUM(INDIRECT("M"&amp;(MAX((1=S$12:S1496)*ROW(S$12:S1496),ROW($W$12))&amp;":M"&amp;(ROW()))))-SUM(INDIRECT("W"&amp;(MAX((1=S$12:S1496)*ROW(S$12:S1496),ROW($W$12))&amp;":W"&amp;(ROW()-1)))))
)
)</f>
        <v>0</v>
      </c>
      <c r="X1497" s="55">
        <f t="shared" ca="1" si="280"/>
        <v>0</v>
      </c>
      <c r="Y1497" s="101">
        <f t="shared" ca="1" si="287"/>
        <v>0</v>
      </c>
      <c r="Z1497" s="133" t="str">
        <f>IF(TYPE((VLOOKUP(Первоначальный[[#This Row],[Дата платежа]],График[Срок конец],1,0)))=16,"",1)</f>
        <v/>
      </c>
      <c r="AA1497" s="57"/>
      <c r="AB1497" s="134"/>
      <c r="AC149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9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106346.43000000012</v>
      </c>
      <c r="AE149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9654.9499999999989</v>
      </c>
      <c r="AF149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9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472581.89006721415</v>
      </c>
      <c r="AH1497" s="55"/>
      <c r="AI1497" s="55"/>
      <c r="AJ1497" s="55"/>
      <c r="AK1497" s="101">
        <f t="shared" ca="1" si="288"/>
        <v>738216.61006721435</v>
      </c>
      <c r="AL1497" s="129">
        <f t="array" ref="AL1497">MAX((УслРестрактов[Характеристика]="Дата реструктуризации")*(УслРестрактов[Значение]=Первоначальный!$A1497),0)</f>
        <v>0</v>
      </c>
    </row>
    <row r="1498" spans="1:38" x14ac:dyDescent="0.25">
      <c r="A1498" s="97">
        <f t="shared" si="281"/>
        <v>45629</v>
      </c>
      <c r="B1498" s="100">
        <f t="shared" ca="1" si="282"/>
        <v>149633.34</v>
      </c>
      <c r="C1498" s="55">
        <f t="shared" ca="1" si="278"/>
        <v>106346.43000000012</v>
      </c>
      <c r="D1498" s="55">
        <f t="shared" ca="1" si="278"/>
        <v>9654.9499999999989</v>
      </c>
      <c r="E1498" s="55">
        <f t="shared" ca="1" si="283"/>
        <v>0</v>
      </c>
      <c r="F1498" s="55">
        <f t="shared" ca="1" si="284"/>
        <v>472581.89006721415</v>
      </c>
      <c r="G1498" s="101">
        <f t="shared" ca="1" si="285"/>
        <v>738216.61006721435</v>
      </c>
      <c r="H1498" s="100">
        <f ca="1">ROUND($B1498*VLOOKUP($A1498,$A$1:$B$10,2,1)/(365+IF(MOD(YEAR($A1498),4),0,1)*($A1498-$A1497)),2)-Первоначальный[[#This Row],[Проценты на просроченный платеж по ОД за период]]</f>
        <v>65.900000000000006</v>
      </c>
      <c r="I1498" s="55">
        <f t="shared" ca="1" si="286"/>
        <v>15.46</v>
      </c>
      <c r="J1498" s="55">
        <v>0</v>
      </c>
      <c r="K1498" s="55">
        <f t="shared" ca="1" si="289"/>
        <v>666.24350327868842</v>
      </c>
      <c r="L1498" s="55">
        <v>0</v>
      </c>
      <c r="M1498" s="113">
        <f>SUMIFS(График[Возврат основной суммы долга],График[Дата с учетом нерабочих дней],$A1498)</f>
        <v>0</v>
      </c>
      <c r="N1498" s="56">
        <f>SUMIFS(График[Возврат начисленных %],График[Дата с учетом нерабочих дней],$A1498)</f>
        <v>0</v>
      </c>
      <c r="O1498" s="101">
        <v>0</v>
      </c>
      <c r="P1498" s="100" cm="1">
        <f t="array" aca="1" ref="P1498" ca="1">MAX(IF(AA1497="Да",0,SUM(INDIRECT("M"&amp;(MAX(("Да"=AA$12:AA1497)*ROW(AA$12:AA1497)+1,ROW($P$12))&amp;":M"&amp;(ROW()))))-SUM(INDIRECT("W"&amp;(MAX(("Да"=AA$12:AA1497)*ROW(AA$12:AA1497)+1,ROW($P$12))&amp;":W"&amp;(ROW()))))),0)</f>
        <v>28424.789999999997</v>
      </c>
      <c r="Q1498" s="99">
        <f ca="1">MAX(SUM($N$13:N1498)-SUM($T$13:T1498),0)</f>
        <v>104823.91065573769</v>
      </c>
      <c r="R1498" s="99">
        <f ca="1">Первоначальный[[#This Row],[Просроченный платеж по ОД]]+Первоначальный[[#This Row],[Просроченный платеж по процентам]]</f>
        <v>133248.70065573769</v>
      </c>
      <c r="S1498" s="120">
        <f ca="1">IF(Первоначальный[[#This Row],[Просроченный платеж]]&lt;1,0,S1497+1)</f>
        <v>1394</v>
      </c>
      <c r="T1498" s="100" cm="1">
        <f t="array" aca="1" ref="T1498" ca="1">IF(Первоначальный[[#This Row],[Итого остаток на начало периода]]&lt;1,0,
IF(
AND(TYPE(VLOOKUP(1,$Z$12:Z1498,1,0))=16,Первоначальный[[#This Row],[Досрочное погашение (да/"")]]=""),0,
_xlfn.IFS(AND(S1497=0,Первоначальный[[#This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платеж]]&lt;&gt;0),MIN(LOOKUP(,-1/($Z$12:Z1498=1),$C$12:C1498)+LOOKUP(,-1/($Z$12:Z1498=1),$H$12:H1498),Первоначальный[[#This Row],[Полученный платеж]]+Y1497),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платеж]]+Y1497,SUM(Первоначальный[[#This Row],[Остаток процентов на начало периода]],Первоначальный[[#This Row],[Проценты за период]])),
AND(S1497=0,Первоначальный[[#This Row],[Дата платежа из графика]]=""),0,
AND(S1497=0,Первоначальный[[#This Row],[Дата платежа из графика]]=1,MAX((0&lt;&gt;S$12:S1497)*ROW(S$12:S1497),ROW($S$12))&gt;=MAX((1=Z$12:Z1497)*ROW(Z$12:Z1497),ROW($T$12)),TYPE(VLOOKUP("Да",(INDIRECT("AA"&amp;(MAX((1=Z$12:Z1497)*ROW(Z$12:Z1497),ROW($T$12))&amp;":AA"&amp;(ROW()-1)))),1,0))=16),MIN(LOOKUP(,-1/($Z$12:Z1498=1),$C$12:C1498)+LOOKUP(,-1/($Z$12:Z1498=1),$H$12:H1498),Первоначальный[[#This Row],[Полученный платеж]]+Y1497),
AND(S1497=0,TYPE(VLOOKUP("Да",(INDIRECT("AA"&amp;(MAX((1=Z$12:Z1497)*ROW(Z$12:Z1497),ROW($T$12))&amp;":AA"&amp;(ROW()-1)))),1,0))&lt;&gt;16),MIN(LOOKUP(,-1/($Z$12:Z1498=1),$C$12:C1498)+LOOKUP(,-1/($Z$12:Z1498=1),$H$12:H1498)-IF(AA1497="Да",0,SUM(INDIRECT("T"&amp;(MAX(("Да"=AA$12:AA1497)*ROW(AA$12:AA1497)+1,ROW($T$12))&amp;":T"&amp;(ROW()-1))))),Первоначальный[[#This Row],[Полученный платеж]]+Y1497),
AND(S1497=0,MAX((0&lt;&gt;N$12:N1497)*ROW(N$12:N1497),ROW($S$12))&gt;=MAX((1=Z$12:Z1497)*ROW(Z$12:Z1497),ROW($T$12))),MIN(LOOKUP(,-1/($Z$12:Z1498=1),$C$12:C1498)+LOOKUP(,-1/($Z$12:Z1498=1),$H$12:H1498)-IF(N1497&lt;&gt;0,0,SUM(INDIRECT("T"&amp;(MAX((0&lt;&gt;N$12:N1497)*ROW(N$12:N1497)+1,ROW($T$12))&amp;":T"&amp;(ROW()-1))))),Первоначальный[[#This Row],[Полученный платеж]]+Y1497),
AND(S1497=0,Первоначальный[[#This Row],[Дата платежа из графика]]=1),MIN(LOOKUP(,-1/($Z$12:Z1498=1),$C$12:C1498)+LOOKUP(,-1/($Z$12:Z1498=1),$H$12:H1498)-IF(Z1497=1,0,SUM(INDIRECT("T"&amp;(MAX((1=Z$12:Z1497)*ROW(Z$12:Z1497)+1,ROW($T$12))&amp;":T"&amp;(ROW()-1))))),Первоначальный[[#This Row],[Полученный платеж]]+Y1497),
AND(Z1497&gt;0,Первоначальный[[#This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платеж]]+Y1497),
AND(S1497&gt;0,MAX((0&lt;&gt;S$12:S1497)*ROW(S$12:S1497),ROW($S$12))&gt;=MAX((1=Z$12:Z1497)*ROW(Z$12:Z1497),ROW($T$12)),TYPE(VLOOKUP("Да",(INDIRECT("AA"&amp;(MAX((1=Z$12:Z1497)*ROW(Z$12:Z1497),ROW($T$12))&amp;":AA"&amp;(ROW()-1)))),1,0))=16),MIN(LOOKUP(,-1/($Z$12:Z1498=1),$C$12:C1498)+LOOKUP(,-1/($Z$12:Z1498=1),$H$12:H1498)-SUM(INDIRECT("T"&amp;(MAX((1=Z$12:Z1497)*ROW(Z$12:Z1497),ROW($T$12))&amp;":T"&amp;(ROW()-1)))),Первоначальный[[#This Row],[Полученный платеж]]+Y1497),
S1497&gt;0,MIN(LOOKUP(,-1/($Z$12:Z1498=1),$C$12:C1498)+LOOKUP(,-1/($Z$12:Z1498=1),$H$12:H1498)-IF(Z1497=1,0,SUM(INDIRECT("T"&amp;(MAX((1=Z$12:Z1497)*ROW(Z$12:Z1497)+1,ROW($T$12))&amp;":T"&amp;(ROW()-1))))),Первоначальный[[#This Row],[Полученный платеж]]+Y1497)
)
)
)</f>
        <v>0</v>
      </c>
      <c r="U149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платеж]]+Y1497-Первоначальный[[#This Row],[Полученный платёж по процентам]])</f>
        <v>0</v>
      </c>
      <c r="V1498" s="55">
        <f t="shared" ca="1" si="279"/>
        <v>0</v>
      </c>
      <c r="W1498" s="55" cm="1">
        <f t="array" aca="1" ref="W1498" ca="1">IF(Первоначальный[[#This Row],[Итого остаток на начало периода]]&lt;1,0,
_xlfn.IFS(
AND(TYPE(VLOOKUP(1,$Z$12:Z1498,1,0))=16,Первоначальный[[#This Row],[Досрочное погашение (да/"")]]=""),0,
AND(S1497=0,Первоначальный[[#This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платеж]]+Y1497-SUM(Первоначальный[[#This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комиссиям]]),VLOOKUP(LOOKUP(,-1/($Z$12:Z1498=1),$A$12:A1498),График[[Срок конец]:[Возврат основной суммы долга]],3,0)),
AND(S1497=0,Первоначальный[[#This Row],[Дата платежа из графика]]="",Первоначальный[[#This Row],[Досрочное погашение (да/"")]]&lt;&gt;"Да"),0,
AND(S1497=0,Первоначальный[[#This Row],[Досрочное погашение (да/"")]]=""),MIN(Первоначальный[[#This Row],[Полученный платеж]]+Y1497-SUM(Первоначальный[[#This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комиссиям]]),VLOOKUP(LOOKUP(,-1/($Z$12:Z1498=1),$A$12:A1498),График[[Срок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платеж]]+Y1497-SUM(Первоначальный[[#This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S1497&gt;0,MIN(Первоначальный[[#This Row],[Полученный платеж]]+Y1497-SUM(Первоначальный[[#This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комиссиям]]),SUM(INDIRECT("M"&amp;(MAX((1=S$12:S1497)*ROW(S$12:S1497),ROW($W$12))&amp;":M"&amp;(ROW()))))-SUM(INDIRECT("W"&amp;(MAX((1=S$12:S1497)*ROW(S$12:S1497),ROW($W$12))&amp;":W"&amp;(ROW()-1)))))
)
)</f>
        <v>0</v>
      </c>
      <c r="X1498" s="55">
        <f t="shared" ca="1" si="280"/>
        <v>0</v>
      </c>
      <c r="Y1498" s="101">
        <f t="shared" ca="1" si="287"/>
        <v>0</v>
      </c>
      <c r="Z1498" s="133" t="str">
        <f>IF(TYPE((VLOOKUP(Первоначальный[[#This Row],[Дата платежа]],График[Срок конец],1,0)))=16,"",1)</f>
        <v/>
      </c>
      <c r="AA1498" s="57"/>
      <c r="AB1498" s="134"/>
      <c r="AC149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9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106412.33000000012</v>
      </c>
      <c r="AE149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9670.409999999998</v>
      </c>
      <c r="AF149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9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473248.13357049285</v>
      </c>
      <c r="AH1498" s="55"/>
      <c r="AI1498" s="55"/>
      <c r="AJ1498" s="55"/>
      <c r="AK1498" s="101">
        <f t="shared" ca="1" si="288"/>
        <v>738964.21357049292</v>
      </c>
      <c r="AL1498" s="129">
        <f t="array" ref="AL1498">MAX((УслРестрактов[Характеристика]="Дата реструктуризации")*(УслРестрактов[Значение]=Первоначальный!$A1498),0)</f>
        <v>0</v>
      </c>
    </row>
    <row r="1499" spans="1:38" x14ac:dyDescent="0.25">
      <c r="A1499" s="97">
        <f t="shared" si="281"/>
        <v>45630</v>
      </c>
      <c r="B1499" s="100">
        <f t="shared" ca="1" si="282"/>
        <v>149633.34</v>
      </c>
      <c r="C1499" s="55">
        <f t="shared" ca="1" si="278"/>
        <v>106412.33000000012</v>
      </c>
      <c r="D1499" s="55">
        <f t="shared" ca="1" si="278"/>
        <v>9670.409999999998</v>
      </c>
      <c r="E1499" s="55">
        <f t="shared" ca="1" si="283"/>
        <v>0</v>
      </c>
      <c r="F1499" s="55">
        <f t="shared" ca="1" si="284"/>
        <v>473248.13357049285</v>
      </c>
      <c r="G1499" s="101">
        <f t="shared" ca="1" si="285"/>
        <v>738964.21357049292</v>
      </c>
      <c r="H1499" s="100">
        <f ca="1">ROUND($B1499*VLOOKUP($A1499,$A$1:$B$10,2,1)/(365+IF(MOD(YEAR($A1499),4),0,1)*($A1499-$A1498)),2)-Первоначальный[[#This Row],[Проценты на просроченный платеж по ОД за период]]</f>
        <v>65.900000000000006</v>
      </c>
      <c r="I1499" s="55">
        <f t="shared" ca="1" si="286"/>
        <v>15.46</v>
      </c>
      <c r="J1499" s="55">
        <v>0</v>
      </c>
      <c r="K1499" s="55">
        <f t="shared" ca="1" si="289"/>
        <v>666.24350327868842</v>
      </c>
      <c r="L1499" s="55">
        <v>0</v>
      </c>
      <c r="M1499" s="113">
        <f>SUMIFS(График[Возврат основной суммы долга],График[Дата с учетом нерабочих дней],$A1499)</f>
        <v>0</v>
      </c>
      <c r="N1499" s="56">
        <f>SUMIFS(График[Возврат начисленных %],График[Дата с учетом нерабочих дней],$A1499)</f>
        <v>0</v>
      </c>
      <c r="O1499" s="101">
        <v>0</v>
      </c>
      <c r="P1499" s="100" cm="1">
        <f t="array" aca="1" ref="P1499" ca="1">MAX(IF(AA1498="Да",0,SUM(INDIRECT("M"&amp;(MAX(("Да"=AA$12:AA1498)*ROW(AA$12:AA1498)+1,ROW($P$12))&amp;":M"&amp;(ROW()))))-SUM(INDIRECT("W"&amp;(MAX(("Да"=AA$12:AA1498)*ROW(AA$12:AA1498)+1,ROW($P$12))&amp;":W"&amp;(ROW()))))),0)</f>
        <v>28424.789999999997</v>
      </c>
      <c r="Q1499" s="99">
        <f ca="1">MAX(SUM($N$13:N1499)-SUM($T$13:T1499),0)</f>
        <v>104823.91065573769</v>
      </c>
      <c r="R1499" s="99">
        <f ca="1">Первоначальный[[#This Row],[Просроченный платеж по ОД]]+Первоначальный[[#This Row],[Просроченный платеж по процентам]]</f>
        <v>133248.70065573769</v>
      </c>
      <c r="S1499" s="120">
        <f ca="1">IF(Первоначальный[[#This Row],[Просроченный платеж]]&lt;1,0,S1498+1)</f>
        <v>1395</v>
      </c>
      <c r="T1499" s="100" cm="1">
        <f t="array" aca="1" ref="T1499" ca="1">IF(Первоначальный[[#This Row],[Итого остаток на начало периода]]&lt;1,0,
IF(
AND(TYPE(VLOOKUP(1,$Z$12:Z1499,1,0))=16,Первоначальный[[#This Row],[Досрочное погашение (да/"")]]=""),0,
_xlfn.IFS(AND(S1498=0,Первоначальный[[#This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платеж]]&lt;&gt;0),MIN(LOOKUP(,-1/($Z$12:Z1499=1),$C$12:C1499)+LOOKUP(,-1/($Z$12:Z1499=1),$H$12:H1499),Первоначальный[[#This Row],[Полученный платеж]]+Y1498),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платеж]]+Y1498,SUM(Первоначальный[[#This Row],[Остаток процентов на начало периода]],Первоначальный[[#This Row],[Проценты за период]])),
AND(S1498=0,Первоначальный[[#This Row],[Дата платежа из графика]]=""),0,
AND(S1498=0,Первоначальный[[#This Row],[Дата платежа из графика]]=1,MAX((0&lt;&gt;S$12:S1498)*ROW(S$12:S1498),ROW($S$12))&gt;=MAX((1=Z$12:Z1498)*ROW(Z$12:Z1498),ROW($T$12)),TYPE(VLOOKUP("Да",(INDIRECT("AA"&amp;(MAX((1=Z$12:Z1498)*ROW(Z$12:Z1498),ROW($T$12))&amp;":AA"&amp;(ROW()-1)))),1,0))=16),MIN(LOOKUP(,-1/($Z$12:Z1499=1),$C$12:C1499)+LOOKUP(,-1/($Z$12:Z1499=1),$H$12:H1499),Первоначальный[[#This Row],[Полученный платеж]]+Y1498),
AND(S1498=0,TYPE(VLOOKUP("Да",(INDIRECT("AA"&amp;(MAX((1=Z$12:Z1498)*ROW(Z$12:Z1498),ROW($T$12))&amp;":AA"&amp;(ROW()-1)))),1,0))&lt;&gt;16),MIN(LOOKUP(,-1/($Z$12:Z1499=1),$C$12:C1499)+LOOKUP(,-1/($Z$12:Z1499=1),$H$12:H1499)-IF(AA1498="Да",0,SUM(INDIRECT("T"&amp;(MAX(("Да"=AA$12:AA1498)*ROW(AA$12:AA1498)+1,ROW($T$12))&amp;":T"&amp;(ROW()-1))))),Первоначальный[[#This Row],[Полученный платеж]]+Y1498),
AND(S1498=0,MAX((0&lt;&gt;N$12:N1498)*ROW(N$12:N1498),ROW($S$12))&gt;=MAX((1=Z$12:Z1498)*ROW(Z$12:Z1498),ROW($T$12))),MIN(LOOKUP(,-1/($Z$12:Z1499=1),$C$12:C1499)+LOOKUP(,-1/($Z$12:Z1499=1),$H$12:H1499)-IF(N1498&lt;&gt;0,0,SUM(INDIRECT("T"&amp;(MAX((0&lt;&gt;N$12:N1498)*ROW(N$12:N1498)+1,ROW($T$12))&amp;":T"&amp;(ROW()-1))))),Первоначальный[[#This Row],[Полученный платеж]]+Y1498),
AND(S1498=0,Первоначальный[[#This Row],[Дата платежа из графика]]=1),MIN(LOOKUP(,-1/($Z$12:Z1499=1),$C$12:C1499)+LOOKUP(,-1/($Z$12:Z1499=1),$H$12:H1499)-IF(Z1498=1,0,SUM(INDIRECT("T"&amp;(MAX((1=Z$12:Z1498)*ROW(Z$12:Z1498)+1,ROW($T$12))&amp;":T"&amp;(ROW()-1))))),Первоначальный[[#This Row],[Полученный платеж]]+Y1498),
AND(Z1498&gt;0,Первоначальный[[#This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платеж]]+Y1498),
AND(S1498&gt;0,MAX((0&lt;&gt;S$12:S1498)*ROW(S$12:S1498),ROW($S$12))&gt;=MAX((1=Z$12:Z1498)*ROW(Z$12:Z1498),ROW($T$12)),TYPE(VLOOKUP("Да",(INDIRECT("AA"&amp;(MAX((1=Z$12:Z1498)*ROW(Z$12:Z1498),ROW($T$12))&amp;":AA"&amp;(ROW()-1)))),1,0))=16),MIN(LOOKUP(,-1/($Z$12:Z1499=1),$C$12:C1499)+LOOKUP(,-1/($Z$12:Z1499=1),$H$12:H1499)-SUM(INDIRECT("T"&amp;(MAX((1=Z$12:Z1498)*ROW(Z$12:Z1498),ROW($T$12))&amp;":T"&amp;(ROW()-1)))),Первоначальный[[#This Row],[Полученный платеж]]+Y1498),
S1498&gt;0,MIN(LOOKUP(,-1/($Z$12:Z1499=1),$C$12:C1499)+LOOKUP(,-1/($Z$12:Z1499=1),$H$12:H1499)-IF(Z1498=1,0,SUM(INDIRECT("T"&amp;(MAX((1=Z$12:Z1498)*ROW(Z$12:Z1498)+1,ROW($T$12))&amp;":T"&amp;(ROW()-1))))),Первоначальный[[#This Row],[Полученный платеж]]+Y1498)
)
)
)</f>
        <v>0</v>
      </c>
      <c r="U149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платеж]]+Y1498-Первоначальный[[#This Row],[Полученный платёж по процентам]])</f>
        <v>0</v>
      </c>
      <c r="V1499" s="55">
        <f t="shared" ca="1" si="279"/>
        <v>0</v>
      </c>
      <c r="W1499" s="55" cm="1">
        <f t="array" aca="1" ref="W1499" ca="1">IF(Первоначальный[[#This Row],[Итого остаток на начало периода]]&lt;1,0,
_xlfn.IFS(
AND(TYPE(VLOOKUP(1,$Z$12:Z1499,1,0))=16,Первоначальный[[#This Row],[Досрочное погашение (да/"")]]=""),0,
AND(S1498=0,Первоначальный[[#This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платеж]]+Y1498-SUM(Первоначальный[[#This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комиссиям]]),VLOOKUP(LOOKUP(,-1/($Z$12:Z1499=1),$A$12:A1499),График[[Срок конец]:[Возврат основной суммы долга]],3,0)),
AND(S1498=0,Первоначальный[[#This Row],[Дата платежа из графика]]="",Первоначальный[[#This Row],[Досрочное погашение (да/"")]]&lt;&gt;"Да"),0,
AND(S1498=0,Первоначальный[[#This Row],[Досрочное погашение (да/"")]]=""),MIN(Первоначальный[[#This Row],[Полученный платеж]]+Y1498-SUM(Первоначальный[[#This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комиссиям]]),VLOOKUP(LOOKUP(,-1/($Z$12:Z1499=1),$A$12:A1499),График[[Срок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платеж]]+Y1498-SUM(Первоначальный[[#This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S1498&gt;0,MIN(Первоначальный[[#This Row],[Полученный платеж]]+Y1498-SUM(Первоначальный[[#This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комиссиям]]),SUM(INDIRECT("M"&amp;(MAX((1=S$12:S1498)*ROW(S$12:S1498),ROW($W$12))&amp;":M"&amp;(ROW()))))-SUM(INDIRECT("W"&amp;(MAX((1=S$12:S1498)*ROW(S$12:S1498),ROW($W$12))&amp;":W"&amp;(ROW()-1)))))
)
)</f>
        <v>0</v>
      </c>
      <c r="X1499" s="55">
        <f t="shared" ca="1" si="280"/>
        <v>0</v>
      </c>
      <c r="Y1499" s="101">
        <f t="shared" ca="1" si="287"/>
        <v>0</v>
      </c>
      <c r="Z1499" s="133" t="str">
        <f>IF(TYPE((VLOOKUP(Первоначальный[[#This Row],[Дата платежа]],График[Срок конец],1,0)))=16,"",1)</f>
        <v/>
      </c>
      <c r="AA1499" s="57"/>
      <c r="AB1499" s="134"/>
      <c r="AC149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49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106478.23000000011</v>
      </c>
      <c r="AE149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9685.8699999999972</v>
      </c>
      <c r="AF149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49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473914.37707377155</v>
      </c>
      <c r="AH1499" s="55"/>
      <c r="AI1499" s="55"/>
      <c r="AJ1499" s="55"/>
      <c r="AK1499" s="101">
        <f t="shared" ca="1" si="288"/>
        <v>739711.81707377173</v>
      </c>
      <c r="AL1499" s="129">
        <f t="array" ref="AL1499">MAX((УслРестрактов[Характеристика]="Дата реструктуризации")*(УслРестрактов[Значение]=Первоначальный!$A1499),0)</f>
        <v>0</v>
      </c>
    </row>
    <row r="1500" spans="1:38" x14ac:dyDescent="0.25">
      <c r="A1500" s="97">
        <f t="shared" si="281"/>
        <v>45631</v>
      </c>
      <c r="B1500" s="100">
        <f t="shared" ca="1" si="282"/>
        <v>149633.34</v>
      </c>
      <c r="C1500" s="55">
        <f t="shared" ca="1" si="278"/>
        <v>106478.23000000011</v>
      </c>
      <c r="D1500" s="55">
        <f t="shared" ca="1" si="278"/>
        <v>9685.8699999999972</v>
      </c>
      <c r="E1500" s="55">
        <f t="shared" ca="1" si="283"/>
        <v>0</v>
      </c>
      <c r="F1500" s="55">
        <f t="shared" ca="1" si="284"/>
        <v>473914.37707377155</v>
      </c>
      <c r="G1500" s="101">
        <f t="shared" ca="1" si="285"/>
        <v>739711.81707377173</v>
      </c>
      <c r="H1500" s="100">
        <f ca="1">ROUND($B1500*VLOOKUP($A1500,$A$1:$B$10,2,1)/(365+IF(MOD(YEAR($A1500),4),0,1)*($A1500-$A1499)),2)-Первоначальный[[#This Row],[Проценты на просроченный платеж по ОД за период]]</f>
        <v>65.900000000000006</v>
      </c>
      <c r="I1500" s="55">
        <f t="shared" ca="1" si="286"/>
        <v>15.46</v>
      </c>
      <c r="J1500" s="55">
        <v>0</v>
      </c>
      <c r="K1500" s="55">
        <f t="shared" ca="1" si="289"/>
        <v>666.24350327868842</v>
      </c>
      <c r="L1500" s="55">
        <v>0</v>
      </c>
      <c r="M1500" s="113">
        <f>SUMIFS(График[Возврат основной суммы долга],График[Дата с учетом нерабочих дней],$A1500)</f>
        <v>0</v>
      </c>
      <c r="N1500" s="56">
        <f>SUMIFS(График[Возврат начисленных %],График[Дата с учетом нерабочих дней],$A1500)</f>
        <v>0</v>
      </c>
      <c r="O1500" s="101">
        <v>0</v>
      </c>
      <c r="P1500" s="100" cm="1">
        <f t="array" aca="1" ref="P1500" ca="1">MAX(IF(AA1499="Да",0,SUM(INDIRECT("M"&amp;(MAX(("Да"=AA$12:AA1499)*ROW(AA$12:AA1499)+1,ROW($P$12))&amp;":M"&amp;(ROW()))))-SUM(INDIRECT("W"&amp;(MAX(("Да"=AA$12:AA1499)*ROW(AA$12:AA1499)+1,ROW($P$12))&amp;":W"&amp;(ROW()))))),0)</f>
        <v>28424.789999999997</v>
      </c>
      <c r="Q1500" s="99">
        <f ca="1">MAX(SUM($N$13:N1500)-SUM($T$13:T1500),0)</f>
        <v>104823.91065573769</v>
      </c>
      <c r="R1500" s="99">
        <f ca="1">Первоначальный[[#This Row],[Просроченный платеж по ОД]]+Первоначальный[[#This Row],[Просроченный платеж по процентам]]</f>
        <v>133248.70065573769</v>
      </c>
      <c r="S1500" s="120">
        <f ca="1">IF(Первоначальный[[#This Row],[Просроченный платеж]]&lt;1,0,S1499+1)</f>
        <v>1396</v>
      </c>
      <c r="T1500" s="100" cm="1">
        <f t="array" aca="1" ref="T1500" ca="1">IF(Первоначальный[[#This Row],[Итого остаток на начало периода]]&lt;1,0,
IF(
AND(TYPE(VLOOKUP(1,$Z$12:Z1500,1,0))=16,Первоначальный[[#This Row],[Досрочное погашение (да/"")]]=""),0,
_xlfn.IFS(AND(S1499=0,Первоначальный[[#This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платеж]]&lt;&gt;0),MIN(LOOKUP(,-1/($Z$12:Z1500=1),$C$12:C1500)+LOOKUP(,-1/($Z$12:Z1500=1),$H$12:H1500),Первоначальный[[#This Row],[Полученный платеж]]+Y1499),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платеж]]+Y1499,SUM(Первоначальный[[#This Row],[Остаток процентов на начало периода]],Первоначальный[[#This Row],[Проценты за период]])),
AND(S1499=0,Первоначальный[[#This Row],[Дата платежа из графика]]=""),0,
AND(S1499=0,Первоначальный[[#This Row],[Дата платежа из графика]]=1,MAX((0&lt;&gt;S$12:S1499)*ROW(S$12:S1499),ROW($S$12))&gt;=MAX((1=Z$12:Z1499)*ROW(Z$12:Z1499),ROW($T$12)),TYPE(VLOOKUP("Да",(INDIRECT("AA"&amp;(MAX((1=Z$12:Z1499)*ROW(Z$12:Z1499),ROW($T$12))&amp;":AA"&amp;(ROW()-1)))),1,0))=16),MIN(LOOKUP(,-1/($Z$12:Z1500=1),$C$12:C1500)+LOOKUP(,-1/($Z$12:Z1500=1),$H$12:H1500),Первоначальный[[#This Row],[Полученный платеж]]+Y1499),
AND(S1499=0,TYPE(VLOOKUP("Да",(INDIRECT("AA"&amp;(MAX((1=Z$12:Z1499)*ROW(Z$12:Z1499),ROW($T$12))&amp;":AA"&amp;(ROW()-1)))),1,0))&lt;&gt;16),MIN(LOOKUP(,-1/($Z$12:Z1500=1),$C$12:C1500)+LOOKUP(,-1/($Z$12:Z1500=1),$H$12:H1500)-IF(AA1499="Да",0,SUM(INDIRECT("T"&amp;(MAX(("Да"=AA$12:AA1499)*ROW(AA$12:AA1499)+1,ROW($T$12))&amp;":T"&amp;(ROW()-1))))),Первоначальный[[#This Row],[Полученный платеж]]+Y1499),
AND(S1499=0,MAX((0&lt;&gt;N$12:N1499)*ROW(N$12:N1499),ROW($S$12))&gt;=MAX((1=Z$12:Z1499)*ROW(Z$12:Z1499),ROW($T$12))),MIN(LOOKUP(,-1/($Z$12:Z1500=1),$C$12:C1500)+LOOKUP(,-1/($Z$12:Z1500=1),$H$12:H1500)-IF(N1499&lt;&gt;0,0,SUM(INDIRECT("T"&amp;(MAX((0&lt;&gt;N$12:N1499)*ROW(N$12:N1499)+1,ROW($T$12))&amp;":T"&amp;(ROW()-1))))),Первоначальный[[#This Row],[Полученный платеж]]+Y1499),
AND(S1499=0,Первоначальный[[#This Row],[Дата платежа из графика]]=1),MIN(LOOKUP(,-1/($Z$12:Z1500=1),$C$12:C1500)+LOOKUP(,-1/($Z$12:Z1500=1),$H$12:H1500)-IF(Z1499=1,0,SUM(INDIRECT("T"&amp;(MAX((1=Z$12:Z1499)*ROW(Z$12:Z1499)+1,ROW($T$12))&amp;":T"&amp;(ROW()-1))))),Первоначальный[[#This Row],[Полученный платеж]]+Y1499),
AND(Z1499&gt;0,Первоначальный[[#This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платеж]]+Y1499),
AND(S1499&gt;0,MAX((0&lt;&gt;S$12:S1499)*ROW(S$12:S1499),ROW($S$12))&gt;=MAX((1=Z$12:Z1499)*ROW(Z$12:Z1499),ROW($T$12)),TYPE(VLOOKUP("Да",(INDIRECT("AA"&amp;(MAX((1=Z$12:Z1499)*ROW(Z$12:Z1499),ROW($T$12))&amp;":AA"&amp;(ROW()-1)))),1,0))=16),MIN(LOOKUP(,-1/($Z$12:Z1500=1),$C$12:C1500)+LOOKUP(,-1/($Z$12:Z1500=1),$H$12:H1500)-SUM(INDIRECT("T"&amp;(MAX((1=Z$12:Z1499)*ROW(Z$12:Z1499),ROW($T$12))&amp;":T"&amp;(ROW()-1)))),Первоначальный[[#This Row],[Полученный платеж]]+Y1499),
S1499&gt;0,MIN(LOOKUP(,-1/($Z$12:Z1500=1),$C$12:C1500)+LOOKUP(,-1/($Z$12:Z1500=1),$H$12:H1500)-IF(Z1499=1,0,SUM(INDIRECT("T"&amp;(MAX((1=Z$12:Z1499)*ROW(Z$12:Z1499)+1,ROW($T$12))&amp;":T"&amp;(ROW()-1))))),Первоначальный[[#This Row],[Полученный платеж]]+Y1499)
)
)
)</f>
        <v>0</v>
      </c>
      <c r="U150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платеж]]+Y1499-Первоначальный[[#This Row],[Полученный платёж по процентам]])</f>
        <v>0</v>
      </c>
      <c r="V1500" s="55">
        <f t="shared" ca="1" si="279"/>
        <v>0</v>
      </c>
      <c r="W1500" s="55" cm="1">
        <f t="array" aca="1" ref="W1500" ca="1">IF(Первоначальный[[#This Row],[Итого остаток на начало периода]]&lt;1,0,
_xlfn.IFS(
AND(TYPE(VLOOKUP(1,$Z$12:Z1500,1,0))=16,Первоначальный[[#This Row],[Досрочное погашение (да/"")]]=""),0,
AND(S1499=0,Первоначальный[[#This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платеж]]+Y1499-SUM(Первоначальный[[#This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комиссиям]]),VLOOKUP(LOOKUP(,-1/($Z$12:Z1500=1),$A$12:A1500),График[[Срок конец]:[Возврат основной суммы долга]],3,0)),
AND(S1499=0,Первоначальный[[#This Row],[Дата платежа из графика]]="",Первоначальный[[#This Row],[Досрочное погашение (да/"")]]&lt;&gt;"Да"),0,
AND(S1499=0,Первоначальный[[#This Row],[Досрочное погашение (да/"")]]=""),MIN(Первоначальный[[#This Row],[Полученный платеж]]+Y1499-SUM(Первоначальный[[#This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комиссиям]]),VLOOKUP(LOOKUP(,-1/($Z$12:Z1500=1),$A$12:A1500),График[[Срок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платеж]]+Y1499-SUM(Первоначальный[[#This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S1499&gt;0,MIN(Первоначальный[[#This Row],[Полученный платеж]]+Y1499-SUM(Первоначальный[[#This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комиссиям]]),SUM(INDIRECT("M"&amp;(MAX((1=S$12:S1499)*ROW(S$12:S1499),ROW($W$12))&amp;":M"&amp;(ROW()))))-SUM(INDIRECT("W"&amp;(MAX((1=S$12:S1499)*ROW(S$12:S1499),ROW($W$12))&amp;":W"&amp;(ROW()-1)))))
)
)</f>
        <v>0</v>
      </c>
      <c r="X1500" s="55">
        <f t="shared" ca="1" si="280"/>
        <v>0</v>
      </c>
      <c r="Y1500" s="101">
        <f t="shared" ca="1" si="287"/>
        <v>0</v>
      </c>
      <c r="Z1500" s="133" t="str">
        <f>IF(TYPE((VLOOKUP(Первоначальный[[#This Row],[Дата платежа]],График[Срок конец],1,0)))=16,"",1)</f>
        <v/>
      </c>
      <c r="AA1500" s="57"/>
      <c r="AB1500" s="134"/>
      <c r="AC150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0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106544.13000000011</v>
      </c>
      <c r="AE150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9701.3299999999963</v>
      </c>
      <c r="AF150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0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474580.62057705026</v>
      </c>
      <c r="AH1500" s="55"/>
      <c r="AI1500" s="55"/>
      <c r="AJ1500" s="55"/>
      <c r="AK1500" s="101">
        <f t="shared" ca="1" si="288"/>
        <v>740459.42057705042</v>
      </c>
      <c r="AL1500" s="129">
        <f t="array" ref="AL1500">MAX((УслРестрактов[Характеристика]="Дата реструктуризации")*(УслРестрактов[Значение]=Первоначальный!$A1500),0)</f>
        <v>0</v>
      </c>
    </row>
    <row r="1501" spans="1:38" x14ac:dyDescent="0.25">
      <c r="A1501" s="97">
        <f t="shared" si="281"/>
        <v>45632</v>
      </c>
      <c r="B1501" s="100">
        <f t="shared" ca="1" si="282"/>
        <v>149633.34</v>
      </c>
      <c r="C1501" s="55">
        <f t="shared" ca="1" si="278"/>
        <v>106544.13000000011</v>
      </c>
      <c r="D1501" s="55">
        <f t="shared" ca="1" si="278"/>
        <v>9701.3299999999963</v>
      </c>
      <c r="E1501" s="55">
        <f t="shared" ca="1" si="283"/>
        <v>0</v>
      </c>
      <c r="F1501" s="55">
        <f t="shared" ca="1" si="284"/>
        <v>474580.62057705026</v>
      </c>
      <c r="G1501" s="101">
        <f t="shared" ca="1" si="285"/>
        <v>740459.42057705042</v>
      </c>
      <c r="H1501" s="100">
        <f ca="1">ROUND($B1501*VLOOKUP($A1501,$A$1:$B$10,2,1)/(365+IF(MOD(YEAR($A1501),4),0,1)*($A1501-$A1500)),2)-Первоначальный[[#This Row],[Проценты на просроченный платеж по ОД за период]]</f>
        <v>65.900000000000006</v>
      </c>
      <c r="I1501" s="55">
        <f t="shared" ca="1" si="286"/>
        <v>15.46</v>
      </c>
      <c r="J1501" s="55">
        <v>0</v>
      </c>
      <c r="K1501" s="55">
        <f t="shared" ca="1" si="289"/>
        <v>666.24350327868842</v>
      </c>
      <c r="L1501" s="55">
        <v>0</v>
      </c>
      <c r="M1501" s="113">
        <f>SUMIFS(График[Возврат основной суммы долга],График[Дата с учетом нерабочих дней],$A1501)</f>
        <v>0</v>
      </c>
      <c r="N1501" s="56">
        <f>SUMIFS(График[Возврат начисленных %],График[Дата с учетом нерабочих дней],$A1501)</f>
        <v>0</v>
      </c>
      <c r="O1501" s="101">
        <v>0</v>
      </c>
      <c r="P1501" s="100" cm="1">
        <f t="array" aca="1" ref="P1501" ca="1">MAX(IF(AA1500="Да",0,SUM(INDIRECT("M"&amp;(MAX(("Да"=AA$12:AA1500)*ROW(AA$12:AA1500)+1,ROW($P$12))&amp;":M"&amp;(ROW()))))-SUM(INDIRECT("W"&amp;(MAX(("Да"=AA$12:AA1500)*ROW(AA$12:AA1500)+1,ROW($P$12))&amp;":W"&amp;(ROW()))))),0)</f>
        <v>28424.789999999997</v>
      </c>
      <c r="Q1501" s="99">
        <f ca="1">MAX(SUM($N$13:N1501)-SUM($T$13:T1501),0)</f>
        <v>104823.91065573769</v>
      </c>
      <c r="R1501" s="99">
        <f ca="1">Первоначальный[[#This Row],[Просроченный платеж по ОД]]+Первоначальный[[#This Row],[Просроченный платеж по процентам]]</f>
        <v>133248.70065573769</v>
      </c>
      <c r="S1501" s="120">
        <f ca="1">IF(Первоначальный[[#This Row],[Просроченный платеж]]&lt;1,0,S1500+1)</f>
        <v>1397</v>
      </c>
      <c r="T1501" s="100" cm="1">
        <f t="array" aca="1" ref="T1501" ca="1">IF(Первоначальный[[#This Row],[Итого остаток на начало периода]]&lt;1,0,
IF(
AND(TYPE(VLOOKUP(1,$Z$12:Z1501,1,0))=16,Первоначальный[[#This Row],[Досрочное погашение (да/"")]]=""),0,
_xlfn.IFS(AND(S1500=0,Первоначальный[[#This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платеж]]&lt;&gt;0),MIN(LOOKUP(,-1/($Z$12:Z1501=1),$C$12:C1501)+LOOKUP(,-1/($Z$12:Z1501=1),$H$12:H1501),Первоначальный[[#This Row],[Полученный платеж]]+Y1500),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платеж]]+Y1500,SUM(Первоначальный[[#This Row],[Остаток процентов на начало периода]],Первоначальный[[#This Row],[Проценты за период]])),
AND(S1500=0,Первоначальный[[#This Row],[Дата платежа из графика]]=""),0,
AND(S1500=0,Первоначальный[[#This Row],[Дата платежа из графика]]=1,MAX((0&lt;&gt;S$12:S1500)*ROW(S$12:S1500),ROW($S$12))&gt;=MAX((1=Z$12:Z1500)*ROW(Z$12:Z1500),ROW($T$12)),TYPE(VLOOKUP("Да",(INDIRECT("AA"&amp;(MAX((1=Z$12:Z1500)*ROW(Z$12:Z1500),ROW($T$12))&amp;":AA"&amp;(ROW()-1)))),1,0))=16),MIN(LOOKUP(,-1/($Z$12:Z1501=1),$C$12:C1501)+LOOKUP(,-1/($Z$12:Z1501=1),$H$12:H1501),Первоначальный[[#This Row],[Полученный платеж]]+Y1500),
AND(S1500=0,TYPE(VLOOKUP("Да",(INDIRECT("AA"&amp;(MAX((1=Z$12:Z1500)*ROW(Z$12:Z1500),ROW($T$12))&amp;":AA"&amp;(ROW()-1)))),1,0))&lt;&gt;16),MIN(LOOKUP(,-1/($Z$12:Z1501=1),$C$12:C1501)+LOOKUP(,-1/($Z$12:Z1501=1),$H$12:H1501)-IF(AA1500="Да",0,SUM(INDIRECT("T"&amp;(MAX(("Да"=AA$12:AA1500)*ROW(AA$12:AA1500)+1,ROW($T$12))&amp;":T"&amp;(ROW()-1))))),Первоначальный[[#This Row],[Полученный платеж]]+Y1500),
AND(S1500=0,MAX((0&lt;&gt;N$12:N1500)*ROW(N$12:N1500),ROW($S$12))&gt;=MAX((1=Z$12:Z1500)*ROW(Z$12:Z1500),ROW($T$12))),MIN(LOOKUP(,-1/($Z$12:Z1501=1),$C$12:C1501)+LOOKUP(,-1/($Z$12:Z1501=1),$H$12:H1501)-IF(N1500&lt;&gt;0,0,SUM(INDIRECT("T"&amp;(MAX((0&lt;&gt;N$12:N1500)*ROW(N$12:N1500)+1,ROW($T$12))&amp;":T"&amp;(ROW()-1))))),Первоначальный[[#This Row],[Полученный платеж]]+Y1500),
AND(S1500=0,Первоначальный[[#This Row],[Дата платежа из графика]]=1),MIN(LOOKUP(,-1/($Z$12:Z1501=1),$C$12:C1501)+LOOKUP(,-1/($Z$12:Z1501=1),$H$12:H1501)-IF(Z1500=1,0,SUM(INDIRECT("T"&amp;(MAX((1=Z$12:Z1500)*ROW(Z$12:Z1500)+1,ROW($T$12))&amp;":T"&amp;(ROW()-1))))),Первоначальный[[#This Row],[Полученный платеж]]+Y1500),
AND(Z1500&gt;0,Первоначальный[[#This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платеж]]+Y1500),
AND(S1500&gt;0,MAX((0&lt;&gt;S$12:S1500)*ROW(S$12:S1500),ROW($S$12))&gt;=MAX((1=Z$12:Z1500)*ROW(Z$12:Z1500),ROW($T$12)),TYPE(VLOOKUP("Да",(INDIRECT("AA"&amp;(MAX((1=Z$12:Z1500)*ROW(Z$12:Z1500),ROW($T$12))&amp;":AA"&amp;(ROW()-1)))),1,0))=16),MIN(LOOKUP(,-1/($Z$12:Z1501=1),$C$12:C1501)+LOOKUP(,-1/($Z$12:Z1501=1),$H$12:H1501)-SUM(INDIRECT("T"&amp;(MAX((1=Z$12:Z1500)*ROW(Z$12:Z1500),ROW($T$12))&amp;":T"&amp;(ROW()-1)))),Первоначальный[[#This Row],[Полученный платеж]]+Y1500),
S1500&gt;0,MIN(LOOKUP(,-1/($Z$12:Z1501=1),$C$12:C1501)+LOOKUP(,-1/($Z$12:Z1501=1),$H$12:H1501)-IF(Z1500=1,0,SUM(INDIRECT("T"&amp;(MAX((1=Z$12:Z1500)*ROW(Z$12:Z1500)+1,ROW($T$12))&amp;":T"&amp;(ROW()-1))))),Первоначальный[[#This Row],[Полученный платеж]]+Y1500)
)
)
)</f>
        <v>0</v>
      </c>
      <c r="U150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платеж]]+Y1500-Первоначальный[[#This Row],[Полученный платёж по процентам]])</f>
        <v>0</v>
      </c>
      <c r="V1501" s="55">
        <f t="shared" ca="1" si="279"/>
        <v>0</v>
      </c>
      <c r="W1501" s="55" cm="1">
        <f t="array" aca="1" ref="W1501" ca="1">IF(Первоначальный[[#This Row],[Итого остаток на начало периода]]&lt;1,0,
_xlfn.IFS(
AND(TYPE(VLOOKUP(1,$Z$12:Z1501,1,0))=16,Первоначальный[[#This Row],[Досрочное погашение (да/"")]]=""),0,
AND(S1500=0,Первоначальный[[#This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платеж]]+Y1500-SUM(Первоначальный[[#This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комиссиям]]),VLOOKUP(LOOKUP(,-1/($Z$12:Z1501=1),$A$12:A1501),График[[Срок конец]:[Возврат основной суммы долга]],3,0)),
AND(S1500=0,Первоначальный[[#This Row],[Дата платежа из графика]]="",Первоначальный[[#This Row],[Досрочное погашение (да/"")]]&lt;&gt;"Да"),0,
AND(S1500=0,Первоначальный[[#This Row],[Досрочное погашение (да/"")]]=""),MIN(Первоначальный[[#This Row],[Полученный платеж]]+Y1500-SUM(Первоначальный[[#This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комиссиям]]),VLOOKUP(LOOKUP(,-1/($Z$12:Z1501=1),$A$12:A1501),График[[Срок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платеж]]+Y1500-SUM(Первоначальный[[#This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S1500&gt;0,MIN(Первоначальный[[#This Row],[Полученный платеж]]+Y1500-SUM(Первоначальный[[#This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комиссиям]]),SUM(INDIRECT("M"&amp;(MAX((1=S$12:S1500)*ROW(S$12:S1500),ROW($W$12))&amp;":M"&amp;(ROW()))))-SUM(INDIRECT("W"&amp;(MAX((1=S$12:S1500)*ROW(S$12:S1500),ROW($W$12))&amp;":W"&amp;(ROW()-1)))))
)
)</f>
        <v>0</v>
      </c>
      <c r="X1501" s="55">
        <f t="shared" ca="1" si="280"/>
        <v>0</v>
      </c>
      <c r="Y1501" s="101">
        <f t="shared" ca="1" si="287"/>
        <v>0</v>
      </c>
      <c r="Z1501" s="133" t="str">
        <f>IF(TYPE((VLOOKUP(Первоначальный[[#This Row],[Дата платежа]],График[Срок конец],1,0)))=16,"",1)</f>
        <v/>
      </c>
      <c r="AA1501" s="57"/>
      <c r="AB1501" s="134"/>
      <c r="AC150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0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106610.0300000001</v>
      </c>
      <c r="AE150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9716.7899999999954</v>
      </c>
      <c r="AF150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0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475246.86408032896</v>
      </c>
      <c r="AH1501" s="55"/>
      <c r="AI1501" s="55"/>
      <c r="AJ1501" s="55"/>
      <c r="AK1501" s="101">
        <f t="shared" ca="1" si="288"/>
        <v>741207.02408032911</v>
      </c>
      <c r="AL1501" s="129">
        <f t="array" ref="AL1501">MAX((УслРестрактов[Характеристика]="Дата реструктуризации")*(УслРестрактов[Значение]=Первоначальный!$A1501),0)</f>
        <v>0</v>
      </c>
    </row>
    <row r="1502" spans="1:38" x14ac:dyDescent="0.25">
      <c r="A1502" s="97">
        <f t="shared" si="281"/>
        <v>45633</v>
      </c>
      <c r="B1502" s="100">
        <f t="shared" ca="1" si="282"/>
        <v>149633.34</v>
      </c>
      <c r="C1502" s="55">
        <f t="shared" ca="1" si="278"/>
        <v>106610.0300000001</v>
      </c>
      <c r="D1502" s="55">
        <f t="shared" ca="1" si="278"/>
        <v>9716.7899999999954</v>
      </c>
      <c r="E1502" s="55">
        <f t="shared" ca="1" si="283"/>
        <v>0</v>
      </c>
      <c r="F1502" s="55">
        <f t="shared" ca="1" si="284"/>
        <v>475246.86408032896</v>
      </c>
      <c r="G1502" s="101">
        <f t="shared" ca="1" si="285"/>
        <v>741207.02408032911</v>
      </c>
      <c r="H1502" s="100">
        <f ca="1">ROUND($B1502*VLOOKUP($A1502,$A$1:$B$10,2,1)/(365+IF(MOD(YEAR($A1502),4),0,1)*($A1502-$A1501)),2)-Первоначальный[[#This Row],[Проценты на просроченный платеж по ОД за период]]</f>
        <v>65.900000000000006</v>
      </c>
      <c r="I1502" s="55">
        <f t="shared" ca="1" si="286"/>
        <v>15.46</v>
      </c>
      <c r="J1502" s="55">
        <v>0</v>
      </c>
      <c r="K1502" s="55">
        <f t="shared" ca="1" si="289"/>
        <v>666.24350327868842</v>
      </c>
      <c r="L1502" s="55">
        <v>0</v>
      </c>
      <c r="M1502" s="113">
        <f>SUMIFS(График[Возврат основной суммы долга],График[Дата с учетом нерабочих дней],$A1502)</f>
        <v>0</v>
      </c>
      <c r="N1502" s="56">
        <f>SUMIFS(График[Возврат начисленных %],График[Дата с учетом нерабочих дней],$A1502)</f>
        <v>0</v>
      </c>
      <c r="O1502" s="101">
        <v>0</v>
      </c>
      <c r="P1502" s="100" cm="1">
        <f t="array" aca="1" ref="P1502" ca="1">MAX(IF(AA1501="Да",0,SUM(INDIRECT("M"&amp;(MAX(("Да"=AA$12:AA1501)*ROW(AA$12:AA1501)+1,ROW($P$12))&amp;":M"&amp;(ROW()))))-SUM(INDIRECT("W"&amp;(MAX(("Да"=AA$12:AA1501)*ROW(AA$12:AA1501)+1,ROW($P$12))&amp;":W"&amp;(ROW()))))),0)</f>
        <v>28424.789999999997</v>
      </c>
      <c r="Q1502" s="99">
        <f ca="1">MAX(SUM($N$13:N1502)-SUM($T$13:T1502),0)</f>
        <v>104823.91065573769</v>
      </c>
      <c r="R1502" s="99">
        <f ca="1">Первоначальный[[#This Row],[Просроченный платеж по ОД]]+Первоначальный[[#This Row],[Просроченный платеж по процентам]]</f>
        <v>133248.70065573769</v>
      </c>
      <c r="S1502" s="120">
        <f ca="1">IF(Первоначальный[[#This Row],[Просроченный платеж]]&lt;1,0,S1501+1)</f>
        <v>1398</v>
      </c>
      <c r="T1502" s="100" cm="1">
        <f t="array" aca="1" ref="T1502" ca="1">IF(Первоначальный[[#This Row],[Итого остаток на начало периода]]&lt;1,0,
IF(
AND(TYPE(VLOOKUP(1,$Z$12:Z1502,1,0))=16,Первоначальный[[#This Row],[Досрочное погашение (да/"")]]=""),0,
_xlfn.IFS(AND(S1501=0,Первоначальный[[#This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платеж]]&lt;&gt;0),MIN(LOOKUP(,-1/($Z$12:Z1502=1),$C$12:C1502)+LOOKUP(,-1/($Z$12:Z1502=1),$H$12:H1502),Первоначальный[[#This Row],[Полученный платеж]]+Y1501),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платеж]]+Y1501,SUM(Первоначальный[[#This Row],[Остаток процентов на начало периода]],Первоначальный[[#This Row],[Проценты за период]])),
AND(S1501=0,Первоначальный[[#This Row],[Дата платежа из графика]]=""),0,
AND(S1501=0,Первоначальный[[#This Row],[Дата платежа из графика]]=1,MAX((0&lt;&gt;S$12:S1501)*ROW(S$12:S1501),ROW($S$12))&gt;=MAX((1=Z$12:Z1501)*ROW(Z$12:Z1501),ROW($T$12)),TYPE(VLOOKUP("Да",(INDIRECT("AA"&amp;(MAX((1=Z$12:Z1501)*ROW(Z$12:Z1501),ROW($T$12))&amp;":AA"&amp;(ROW()-1)))),1,0))=16),MIN(LOOKUP(,-1/($Z$12:Z1502=1),$C$12:C1502)+LOOKUP(,-1/($Z$12:Z1502=1),$H$12:H1502),Первоначальный[[#This Row],[Полученный платеж]]+Y1501),
AND(S1501=0,TYPE(VLOOKUP("Да",(INDIRECT("AA"&amp;(MAX((1=Z$12:Z1501)*ROW(Z$12:Z1501),ROW($T$12))&amp;":AA"&amp;(ROW()-1)))),1,0))&lt;&gt;16),MIN(LOOKUP(,-1/($Z$12:Z1502=1),$C$12:C1502)+LOOKUP(,-1/($Z$12:Z1502=1),$H$12:H1502)-IF(AA1501="Да",0,SUM(INDIRECT("T"&amp;(MAX(("Да"=AA$12:AA1501)*ROW(AA$12:AA1501)+1,ROW($T$12))&amp;":T"&amp;(ROW()-1))))),Первоначальный[[#This Row],[Полученный платеж]]+Y1501),
AND(S1501=0,MAX((0&lt;&gt;N$12:N1501)*ROW(N$12:N1501),ROW($S$12))&gt;=MAX((1=Z$12:Z1501)*ROW(Z$12:Z1501),ROW($T$12))),MIN(LOOKUP(,-1/($Z$12:Z1502=1),$C$12:C1502)+LOOKUP(,-1/($Z$12:Z1502=1),$H$12:H1502)-IF(N1501&lt;&gt;0,0,SUM(INDIRECT("T"&amp;(MAX((0&lt;&gt;N$12:N1501)*ROW(N$12:N1501)+1,ROW($T$12))&amp;":T"&amp;(ROW()-1))))),Первоначальный[[#This Row],[Полученный платеж]]+Y1501),
AND(S1501=0,Первоначальный[[#This Row],[Дата платежа из графика]]=1),MIN(LOOKUP(,-1/($Z$12:Z1502=1),$C$12:C1502)+LOOKUP(,-1/($Z$12:Z1502=1),$H$12:H1502)-IF(Z1501=1,0,SUM(INDIRECT("T"&amp;(MAX((1=Z$12:Z1501)*ROW(Z$12:Z1501)+1,ROW($T$12))&amp;":T"&amp;(ROW()-1))))),Первоначальный[[#This Row],[Полученный платеж]]+Y1501),
AND(Z1501&gt;0,Первоначальный[[#This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платеж]]+Y1501),
AND(S1501&gt;0,MAX((0&lt;&gt;S$12:S1501)*ROW(S$12:S1501),ROW($S$12))&gt;=MAX((1=Z$12:Z1501)*ROW(Z$12:Z1501),ROW($T$12)),TYPE(VLOOKUP("Да",(INDIRECT("AA"&amp;(MAX((1=Z$12:Z1501)*ROW(Z$12:Z1501),ROW($T$12))&amp;":AA"&amp;(ROW()-1)))),1,0))=16),MIN(LOOKUP(,-1/($Z$12:Z1502=1),$C$12:C1502)+LOOKUP(,-1/($Z$12:Z1502=1),$H$12:H1502)-SUM(INDIRECT("T"&amp;(MAX((1=Z$12:Z1501)*ROW(Z$12:Z1501),ROW($T$12))&amp;":T"&amp;(ROW()-1)))),Первоначальный[[#This Row],[Полученный платеж]]+Y1501),
S1501&gt;0,MIN(LOOKUP(,-1/($Z$12:Z1502=1),$C$12:C1502)+LOOKUP(,-1/($Z$12:Z1502=1),$H$12:H1502)-IF(Z1501=1,0,SUM(INDIRECT("T"&amp;(MAX((1=Z$12:Z1501)*ROW(Z$12:Z1501)+1,ROW($T$12))&amp;":T"&amp;(ROW()-1))))),Первоначальный[[#This Row],[Полученный платеж]]+Y1501)
)
)
)</f>
        <v>0</v>
      </c>
      <c r="U150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платеж]]+Y1501-Первоначальный[[#This Row],[Полученный платёж по процентам]])</f>
        <v>0</v>
      </c>
      <c r="V1502" s="55">
        <f t="shared" ca="1" si="279"/>
        <v>0</v>
      </c>
      <c r="W1502" s="55" cm="1">
        <f t="array" aca="1" ref="W1502" ca="1">IF(Первоначальный[[#This Row],[Итого остаток на начало периода]]&lt;1,0,
_xlfn.IFS(
AND(TYPE(VLOOKUP(1,$Z$12:Z1502,1,0))=16,Первоначальный[[#This Row],[Досрочное погашение (да/"")]]=""),0,
AND(S1501=0,Первоначальный[[#This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платеж]]+Y1501-SUM(Первоначальный[[#This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комиссиям]]),VLOOKUP(LOOKUP(,-1/($Z$12:Z1502=1),$A$12:A1502),График[[Срок конец]:[Возврат основной суммы долга]],3,0)),
AND(S1501=0,Первоначальный[[#This Row],[Дата платежа из графика]]="",Первоначальный[[#This Row],[Досрочное погашение (да/"")]]&lt;&gt;"Да"),0,
AND(S1501=0,Первоначальный[[#This Row],[Досрочное погашение (да/"")]]=""),MIN(Первоначальный[[#This Row],[Полученный платеж]]+Y1501-SUM(Первоначальный[[#This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комиссиям]]),VLOOKUP(LOOKUP(,-1/($Z$12:Z1502=1),$A$12:A1502),График[[Срок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платеж]]+Y1501-SUM(Первоначальный[[#This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S1501&gt;0,MIN(Первоначальный[[#This Row],[Полученный платеж]]+Y1501-SUM(Первоначальный[[#This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комиссиям]]),SUM(INDIRECT("M"&amp;(MAX((1=S$12:S1501)*ROW(S$12:S1501),ROW($W$12))&amp;":M"&amp;(ROW()))))-SUM(INDIRECT("W"&amp;(MAX((1=S$12:S1501)*ROW(S$12:S1501),ROW($W$12))&amp;":W"&amp;(ROW()-1)))))
)
)</f>
        <v>0</v>
      </c>
      <c r="X1502" s="55">
        <f t="shared" ca="1" si="280"/>
        <v>0</v>
      </c>
      <c r="Y1502" s="101">
        <f t="shared" ca="1" si="287"/>
        <v>0</v>
      </c>
      <c r="Z1502" s="133" t="str">
        <f>IF(TYPE((VLOOKUP(Первоначальный[[#This Row],[Дата платежа]],График[Срок конец],1,0)))=16,"",1)</f>
        <v/>
      </c>
      <c r="AA1502" s="57"/>
      <c r="AB1502" s="134"/>
      <c r="AC150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0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106675.93000000009</v>
      </c>
      <c r="AE150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9732.2499999999945</v>
      </c>
      <c r="AF150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0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475913.10758360766</v>
      </c>
      <c r="AH1502" s="55"/>
      <c r="AI1502" s="55"/>
      <c r="AJ1502" s="55"/>
      <c r="AK1502" s="101">
        <f t="shared" ca="1" si="288"/>
        <v>741954.6275836078</v>
      </c>
      <c r="AL1502" s="129">
        <f t="array" ref="AL1502">MAX((УслРестрактов[Характеристика]="Дата реструктуризации")*(УслРестрактов[Значение]=Первоначальный!$A1502),0)</f>
        <v>0</v>
      </c>
    </row>
    <row r="1503" spans="1:38" x14ac:dyDescent="0.25">
      <c r="A1503" s="97">
        <f t="shared" si="281"/>
        <v>45634</v>
      </c>
      <c r="B1503" s="100">
        <f t="shared" ca="1" si="282"/>
        <v>149633.34</v>
      </c>
      <c r="C1503" s="55">
        <f t="shared" ca="1" si="278"/>
        <v>106675.93000000009</v>
      </c>
      <c r="D1503" s="55">
        <f t="shared" ca="1" si="278"/>
        <v>9732.2499999999945</v>
      </c>
      <c r="E1503" s="55">
        <f t="shared" ca="1" si="283"/>
        <v>0</v>
      </c>
      <c r="F1503" s="55">
        <f t="shared" ca="1" si="284"/>
        <v>475913.10758360766</v>
      </c>
      <c r="G1503" s="101">
        <f t="shared" ca="1" si="285"/>
        <v>741954.6275836078</v>
      </c>
      <c r="H1503" s="100">
        <f ca="1">ROUND($B1503*VLOOKUP($A1503,$A$1:$B$10,2,1)/(365+IF(MOD(YEAR($A1503),4),0,1)*($A1503-$A1502)),2)-Первоначальный[[#This Row],[Проценты на просроченный платеж по ОД за период]]</f>
        <v>65.900000000000006</v>
      </c>
      <c r="I1503" s="55">
        <f t="shared" ca="1" si="286"/>
        <v>15.46</v>
      </c>
      <c r="J1503" s="55">
        <v>0</v>
      </c>
      <c r="K1503" s="55">
        <f t="shared" ca="1" si="289"/>
        <v>666.24350327868842</v>
      </c>
      <c r="L1503" s="55">
        <v>0</v>
      </c>
      <c r="M1503" s="113">
        <f>SUMIFS(График[Возврат основной суммы долга],График[Дата с учетом нерабочих дней],$A1503)</f>
        <v>0</v>
      </c>
      <c r="N1503" s="56">
        <f>SUMIFS(График[Возврат начисленных %],График[Дата с учетом нерабочих дней],$A1503)</f>
        <v>0</v>
      </c>
      <c r="O1503" s="101">
        <v>0</v>
      </c>
      <c r="P1503" s="100" cm="1">
        <f t="array" aca="1" ref="P1503" ca="1">MAX(IF(AA1502="Да",0,SUM(INDIRECT("M"&amp;(MAX(("Да"=AA$12:AA1502)*ROW(AA$12:AA1502)+1,ROW($P$12))&amp;":M"&amp;(ROW()))))-SUM(INDIRECT("W"&amp;(MAX(("Да"=AA$12:AA1502)*ROW(AA$12:AA1502)+1,ROW($P$12))&amp;":W"&amp;(ROW()))))),0)</f>
        <v>28424.789999999997</v>
      </c>
      <c r="Q1503" s="99">
        <f ca="1">MAX(SUM($N$13:N1503)-SUM($T$13:T1503),0)</f>
        <v>104823.91065573769</v>
      </c>
      <c r="R1503" s="99">
        <f ca="1">Первоначальный[[#This Row],[Просроченный платеж по ОД]]+Первоначальный[[#This Row],[Просроченный платеж по процентам]]</f>
        <v>133248.70065573769</v>
      </c>
      <c r="S1503" s="120">
        <f ca="1">IF(Первоначальный[[#This Row],[Просроченный платеж]]&lt;1,0,S1502+1)</f>
        <v>1399</v>
      </c>
      <c r="T1503" s="100" cm="1">
        <f t="array" aca="1" ref="T1503" ca="1">IF(Первоначальный[[#This Row],[Итого остаток на начало периода]]&lt;1,0,
IF(
AND(TYPE(VLOOKUP(1,$Z$12:Z1503,1,0))=16,Первоначальный[[#This Row],[Досрочное погашение (да/"")]]=""),0,
_xlfn.IFS(AND(S1502=0,Первоначальный[[#This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платеж]]&lt;&gt;0),MIN(LOOKUP(,-1/($Z$12:Z1503=1),$C$12:C1503)+LOOKUP(,-1/($Z$12:Z1503=1),$H$12:H1503),Первоначальный[[#This Row],[Полученный платеж]]+Y1502),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платеж]]+Y1502,SUM(Первоначальный[[#This Row],[Остаток процентов на начало периода]],Первоначальный[[#This Row],[Проценты за период]])),
AND(S1502=0,Первоначальный[[#This Row],[Дата платежа из графика]]=""),0,
AND(S1502=0,Первоначальный[[#This Row],[Дата платежа из графика]]=1,MAX((0&lt;&gt;S$12:S1502)*ROW(S$12:S1502),ROW($S$12))&gt;=MAX((1=Z$12:Z1502)*ROW(Z$12:Z1502),ROW($T$12)),TYPE(VLOOKUP("Да",(INDIRECT("AA"&amp;(MAX((1=Z$12:Z1502)*ROW(Z$12:Z1502),ROW($T$12))&amp;":AA"&amp;(ROW()-1)))),1,0))=16),MIN(LOOKUP(,-1/($Z$12:Z1503=1),$C$12:C1503)+LOOKUP(,-1/($Z$12:Z1503=1),$H$12:H1503),Первоначальный[[#This Row],[Полученный платеж]]+Y1502),
AND(S1502=0,TYPE(VLOOKUP("Да",(INDIRECT("AA"&amp;(MAX((1=Z$12:Z1502)*ROW(Z$12:Z1502),ROW($T$12))&amp;":AA"&amp;(ROW()-1)))),1,0))&lt;&gt;16),MIN(LOOKUP(,-1/($Z$12:Z1503=1),$C$12:C1503)+LOOKUP(,-1/($Z$12:Z1503=1),$H$12:H1503)-IF(AA1502="Да",0,SUM(INDIRECT("T"&amp;(MAX(("Да"=AA$12:AA1502)*ROW(AA$12:AA1502)+1,ROW($T$12))&amp;":T"&amp;(ROW()-1))))),Первоначальный[[#This Row],[Полученный платеж]]+Y1502),
AND(S1502=0,MAX((0&lt;&gt;N$12:N1502)*ROW(N$12:N1502),ROW($S$12))&gt;=MAX((1=Z$12:Z1502)*ROW(Z$12:Z1502),ROW($T$12))),MIN(LOOKUP(,-1/($Z$12:Z1503=1),$C$12:C1503)+LOOKUP(,-1/($Z$12:Z1503=1),$H$12:H1503)-IF(N1502&lt;&gt;0,0,SUM(INDIRECT("T"&amp;(MAX((0&lt;&gt;N$12:N1502)*ROW(N$12:N1502)+1,ROW($T$12))&amp;":T"&amp;(ROW()-1))))),Первоначальный[[#This Row],[Полученный платеж]]+Y1502),
AND(S1502=0,Первоначальный[[#This Row],[Дата платежа из графика]]=1),MIN(LOOKUP(,-1/($Z$12:Z1503=1),$C$12:C1503)+LOOKUP(,-1/($Z$12:Z1503=1),$H$12:H1503)-IF(Z1502=1,0,SUM(INDIRECT("T"&amp;(MAX((1=Z$12:Z1502)*ROW(Z$12:Z1502)+1,ROW($T$12))&amp;":T"&amp;(ROW()-1))))),Первоначальный[[#This Row],[Полученный платеж]]+Y1502),
AND(Z1502&gt;0,Первоначальный[[#This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платеж]]+Y1502),
AND(S1502&gt;0,MAX((0&lt;&gt;S$12:S1502)*ROW(S$12:S1502),ROW($S$12))&gt;=MAX((1=Z$12:Z1502)*ROW(Z$12:Z1502),ROW($T$12)),TYPE(VLOOKUP("Да",(INDIRECT("AA"&amp;(MAX((1=Z$12:Z1502)*ROW(Z$12:Z1502),ROW($T$12))&amp;":AA"&amp;(ROW()-1)))),1,0))=16),MIN(LOOKUP(,-1/($Z$12:Z1503=1),$C$12:C1503)+LOOKUP(,-1/($Z$12:Z1503=1),$H$12:H1503)-SUM(INDIRECT("T"&amp;(MAX((1=Z$12:Z1502)*ROW(Z$12:Z1502),ROW($T$12))&amp;":T"&amp;(ROW()-1)))),Первоначальный[[#This Row],[Полученный платеж]]+Y1502),
S1502&gt;0,MIN(LOOKUP(,-1/($Z$12:Z1503=1),$C$12:C1503)+LOOKUP(,-1/($Z$12:Z1503=1),$H$12:H1503)-IF(Z1502=1,0,SUM(INDIRECT("T"&amp;(MAX((1=Z$12:Z1502)*ROW(Z$12:Z1502)+1,ROW($T$12))&amp;":T"&amp;(ROW()-1))))),Первоначальный[[#This Row],[Полученный платеж]]+Y1502)
)
)
)</f>
        <v>0</v>
      </c>
      <c r="U150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платеж]]+Y1502-Первоначальный[[#This Row],[Полученный платёж по процентам]])</f>
        <v>0</v>
      </c>
      <c r="V1503" s="55">
        <f t="shared" ca="1" si="279"/>
        <v>0</v>
      </c>
      <c r="W1503" s="55" cm="1">
        <f t="array" aca="1" ref="W1503" ca="1">IF(Первоначальный[[#This Row],[Итого остаток на начало периода]]&lt;1,0,
_xlfn.IFS(
AND(TYPE(VLOOKUP(1,$Z$12:Z1503,1,0))=16,Первоначальный[[#This Row],[Досрочное погашение (да/"")]]=""),0,
AND(S1502=0,Первоначальный[[#This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платеж]]+Y1502-SUM(Первоначальный[[#This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комиссиям]]),VLOOKUP(LOOKUP(,-1/($Z$12:Z1503=1),$A$12:A1503),График[[Срок конец]:[Возврат основной суммы долга]],3,0)),
AND(S1502=0,Первоначальный[[#This Row],[Дата платежа из графика]]="",Первоначальный[[#This Row],[Досрочное погашение (да/"")]]&lt;&gt;"Да"),0,
AND(S1502=0,Первоначальный[[#This Row],[Досрочное погашение (да/"")]]=""),MIN(Первоначальный[[#This Row],[Полученный платеж]]+Y1502-SUM(Первоначальный[[#This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комиссиям]]),VLOOKUP(LOOKUP(,-1/($Z$12:Z1503=1),$A$12:A1503),График[[Срок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платеж]]+Y1502-SUM(Первоначальный[[#This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S1502&gt;0,MIN(Первоначальный[[#This Row],[Полученный платеж]]+Y1502-SUM(Первоначальный[[#This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комиссиям]]),SUM(INDIRECT("M"&amp;(MAX((1=S$12:S1502)*ROW(S$12:S1502),ROW($W$12))&amp;":M"&amp;(ROW()))))-SUM(INDIRECT("W"&amp;(MAX((1=S$12:S1502)*ROW(S$12:S1502),ROW($W$12))&amp;":W"&amp;(ROW()-1)))))
)
)</f>
        <v>0</v>
      </c>
      <c r="X1503" s="55">
        <f t="shared" ca="1" si="280"/>
        <v>0</v>
      </c>
      <c r="Y1503" s="101">
        <f t="shared" ca="1" si="287"/>
        <v>0</v>
      </c>
      <c r="Z1503" s="133" t="str">
        <f>IF(TYPE((VLOOKUP(Первоначальный[[#This Row],[Дата платежа]],График[Срок конец],1,0)))=16,"",1)</f>
        <v/>
      </c>
      <c r="AA1503" s="57"/>
      <c r="AB1503" s="134"/>
      <c r="AC150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0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106741.83000000009</v>
      </c>
      <c r="AE150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9747.7099999999937</v>
      </c>
      <c r="AF150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0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476579.35108688637</v>
      </c>
      <c r="AH1503" s="55"/>
      <c r="AI1503" s="55"/>
      <c r="AJ1503" s="55"/>
      <c r="AK1503" s="101">
        <f t="shared" ca="1" si="288"/>
        <v>742702.23108688649</v>
      </c>
      <c r="AL1503" s="129">
        <f t="array" ref="AL1503">MAX((УслРестрактов[Характеристика]="Дата реструктуризации")*(УслРестрактов[Значение]=Первоначальный!$A1503),0)</f>
        <v>0</v>
      </c>
    </row>
    <row r="1504" spans="1:38" x14ac:dyDescent="0.25">
      <c r="A1504" s="97">
        <f t="shared" si="281"/>
        <v>45635</v>
      </c>
      <c r="B1504" s="100">
        <f t="shared" ca="1" si="282"/>
        <v>149633.34</v>
      </c>
      <c r="C1504" s="55">
        <f t="shared" ca="1" si="278"/>
        <v>106741.83000000009</v>
      </c>
      <c r="D1504" s="55">
        <f t="shared" ca="1" si="278"/>
        <v>9747.7099999999937</v>
      </c>
      <c r="E1504" s="55">
        <f t="shared" ca="1" si="283"/>
        <v>0</v>
      </c>
      <c r="F1504" s="55">
        <f t="shared" ca="1" si="284"/>
        <v>476579.35108688637</v>
      </c>
      <c r="G1504" s="101">
        <f t="shared" ca="1" si="285"/>
        <v>742702.23108688649</v>
      </c>
      <c r="H1504" s="100">
        <f ca="1">ROUND($B1504*VLOOKUP($A1504,$A$1:$B$10,2,1)/(365+IF(MOD(YEAR($A1504),4),0,1)*($A1504-$A1503)),2)-Первоначальный[[#This Row],[Проценты на просроченный платеж по ОД за период]]</f>
        <v>65.900000000000006</v>
      </c>
      <c r="I1504" s="55">
        <f t="shared" ca="1" si="286"/>
        <v>15.46</v>
      </c>
      <c r="J1504" s="55">
        <v>0</v>
      </c>
      <c r="K1504" s="55">
        <f t="shared" ca="1" si="289"/>
        <v>680.72850327868844</v>
      </c>
      <c r="L1504" s="55">
        <v>0</v>
      </c>
      <c r="M1504" s="113">
        <f>SUMIFS(График[Возврат основной суммы долга],График[Дата с учетом нерабочих дней],$A1504)</f>
        <v>919.91000000000008</v>
      </c>
      <c r="N1504" s="56">
        <f>SUMIFS(График[Возврат начисленных %],График[Дата с учетом нерабочих дней],$A1504)</f>
        <v>1977.09</v>
      </c>
      <c r="O1504" s="101">
        <v>0</v>
      </c>
      <c r="P1504" s="100" cm="1">
        <f t="array" aca="1" ref="P1504" ca="1">MAX(IF(AA1503="Да",0,SUM(INDIRECT("M"&amp;(MAX(("Да"=AA$12:AA1503)*ROW(AA$12:AA1503)+1,ROW($P$12))&amp;":M"&amp;(ROW()))))-SUM(INDIRECT("W"&amp;(MAX(("Да"=AA$12:AA1503)*ROW(AA$12:AA1503)+1,ROW($P$12))&amp;":W"&amp;(ROW()))))),0)</f>
        <v>29344.699999999997</v>
      </c>
      <c r="Q1504" s="99">
        <f ca="1">MAX(SUM($N$13:N1504)-SUM($T$13:T1504),0)</f>
        <v>106801.00065573769</v>
      </c>
      <c r="R1504" s="99">
        <f ca="1">Первоначальный[[#This Row],[Просроченный платеж по ОД]]+Первоначальный[[#This Row],[Просроченный платеж по процентам]]</f>
        <v>136145.70065573769</v>
      </c>
      <c r="S1504" s="120">
        <f ca="1">IF(Первоначальный[[#This Row],[Просроченный платеж]]&lt;1,0,S1503+1)</f>
        <v>1400</v>
      </c>
      <c r="T1504" s="100" cm="1">
        <f t="array" aca="1" ref="T1504" ca="1">IF(Первоначальный[[#This Row],[Итого остаток на начало периода]]&lt;1,0,
IF(
AND(TYPE(VLOOKUP(1,$Z$12:Z1504,1,0))=16,Первоначальный[[#This Row],[Досрочное погашение (да/"")]]=""),0,
_xlfn.IFS(AND(S1503=0,Первоначальный[[#This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платеж]]&lt;&gt;0),MIN(LOOKUP(,-1/($Z$12:Z1504=1),$C$12:C1504)+LOOKUP(,-1/($Z$12:Z1504=1),$H$12:H1504),Первоначальный[[#This Row],[Полученный платеж]]+Y1503),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платеж]]+Y1503,SUM(Первоначальный[[#This Row],[Остаток процентов на начало периода]],Первоначальный[[#This Row],[Проценты за период]])),
AND(S1503=0,Первоначальный[[#This Row],[Дата платежа из графика]]=""),0,
AND(S1503=0,Первоначальный[[#This Row],[Дата платежа из графика]]=1,MAX((0&lt;&gt;S$12:S1503)*ROW(S$12:S1503),ROW($S$12))&gt;=MAX((1=Z$12:Z1503)*ROW(Z$12:Z1503),ROW($T$12)),TYPE(VLOOKUP("Да",(INDIRECT("AA"&amp;(MAX((1=Z$12:Z1503)*ROW(Z$12:Z1503),ROW($T$12))&amp;":AA"&amp;(ROW()-1)))),1,0))=16),MIN(LOOKUP(,-1/($Z$12:Z1504=1),$C$12:C1504)+LOOKUP(,-1/($Z$12:Z1504=1),$H$12:H1504),Первоначальный[[#This Row],[Полученный платеж]]+Y1503),
AND(S1503=0,TYPE(VLOOKUP("Да",(INDIRECT("AA"&amp;(MAX((1=Z$12:Z1503)*ROW(Z$12:Z1503),ROW($T$12))&amp;":AA"&amp;(ROW()-1)))),1,0))&lt;&gt;16),MIN(LOOKUP(,-1/($Z$12:Z1504=1),$C$12:C1504)+LOOKUP(,-1/($Z$12:Z1504=1),$H$12:H1504)-IF(AA1503="Да",0,SUM(INDIRECT("T"&amp;(MAX(("Да"=AA$12:AA1503)*ROW(AA$12:AA1503)+1,ROW($T$12))&amp;":T"&amp;(ROW()-1))))),Первоначальный[[#This Row],[Полученный платеж]]+Y1503),
AND(S1503=0,MAX((0&lt;&gt;N$12:N1503)*ROW(N$12:N1503),ROW($S$12))&gt;=MAX((1=Z$12:Z1503)*ROW(Z$12:Z1503),ROW($T$12))),MIN(LOOKUP(,-1/($Z$12:Z1504=1),$C$12:C1504)+LOOKUP(,-1/($Z$12:Z1504=1),$H$12:H1504)-IF(N1503&lt;&gt;0,0,SUM(INDIRECT("T"&amp;(MAX((0&lt;&gt;N$12:N1503)*ROW(N$12:N1503)+1,ROW($T$12))&amp;":T"&amp;(ROW()-1))))),Первоначальный[[#This Row],[Полученный платеж]]+Y1503),
AND(S1503=0,Первоначальный[[#This Row],[Дата платежа из графика]]=1),MIN(LOOKUP(,-1/($Z$12:Z1504=1),$C$12:C1504)+LOOKUP(,-1/($Z$12:Z1504=1),$H$12:H1504)-IF(Z1503=1,0,SUM(INDIRECT("T"&amp;(MAX((1=Z$12:Z1503)*ROW(Z$12:Z1503)+1,ROW($T$12))&amp;":T"&amp;(ROW()-1))))),Первоначальный[[#This Row],[Полученный платеж]]+Y1503),
AND(Z1503&gt;0,Первоначальный[[#This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платеж]]+Y1503),
AND(S1503&gt;0,MAX((0&lt;&gt;S$12:S1503)*ROW(S$12:S1503),ROW($S$12))&gt;=MAX((1=Z$12:Z1503)*ROW(Z$12:Z1503),ROW($T$12)),TYPE(VLOOKUP("Да",(INDIRECT("AA"&amp;(MAX((1=Z$12:Z1503)*ROW(Z$12:Z1503),ROW($T$12))&amp;":AA"&amp;(ROW()-1)))),1,0))=16),MIN(LOOKUP(,-1/($Z$12:Z1504=1),$C$12:C1504)+LOOKUP(,-1/($Z$12:Z1504=1),$H$12:H1504)-SUM(INDIRECT("T"&amp;(MAX((1=Z$12:Z1503)*ROW(Z$12:Z1503),ROW($T$12))&amp;":T"&amp;(ROW()-1)))),Первоначальный[[#This Row],[Полученный платеж]]+Y1503),
S1503&gt;0,MIN(LOOKUP(,-1/($Z$12:Z1504=1),$C$12:C1504)+LOOKUP(,-1/($Z$12:Z1504=1),$H$12:H1504)-IF(Z1503=1,0,SUM(INDIRECT("T"&amp;(MAX((1=Z$12:Z1503)*ROW(Z$12:Z1503)+1,ROW($T$12))&amp;":T"&amp;(ROW()-1))))),Первоначальный[[#This Row],[Полученный платеж]]+Y1503)
)
)
)</f>
        <v>0</v>
      </c>
      <c r="U150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платеж]]+Y1503-Первоначальный[[#This Row],[Полученный платёж по процентам]])</f>
        <v>0</v>
      </c>
      <c r="V1504" s="55">
        <f t="shared" ca="1" si="279"/>
        <v>0</v>
      </c>
      <c r="W1504" s="55" cm="1">
        <f t="array" aca="1" ref="W1504" ca="1">IF(Первоначальный[[#This Row],[Итого остаток на начало периода]]&lt;1,0,
_xlfn.IFS(
AND(TYPE(VLOOKUP(1,$Z$12:Z1504,1,0))=16,Первоначальный[[#This Row],[Досрочное погашение (да/"")]]=""),0,
AND(S1503=0,Первоначальный[[#This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платеж]]+Y1503-SUM(Первоначальный[[#This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комиссиям]]),VLOOKUP(LOOKUP(,-1/($Z$12:Z1504=1),$A$12:A1504),График[[Срок конец]:[Возврат основной суммы долга]],3,0)),
AND(S1503=0,Первоначальный[[#This Row],[Дата платежа из графика]]="",Первоначальный[[#This Row],[Досрочное погашение (да/"")]]&lt;&gt;"Да"),0,
AND(S1503=0,Первоначальный[[#This Row],[Досрочное погашение (да/"")]]=""),MIN(Первоначальный[[#This Row],[Полученный платеж]]+Y1503-SUM(Первоначальный[[#This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комиссиям]]),VLOOKUP(LOOKUP(,-1/($Z$12:Z1504=1),$A$12:A1504),График[[Срок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платеж]]+Y1503-SUM(Первоначальный[[#This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S1503&gt;0,MIN(Первоначальный[[#This Row],[Полученный платеж]]+Y1503-SUM(Первоначальный[[#This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комиссиям]]),SUM(INDIRECT("M"&amp;(MAX((1=S$12:S1503)*ROW(S$12:S1503),ROW($W$12))&amp;":M"&amp;(ROW()))))-SUM(INDIRECT("W"&amp;(MAX((1=S$12:S1503)*ROW(S$12:S1503),ROW($W$12))&amp;":W"&amp;(ROW()-1)))))
)
)</f>
        <v>0</v>
      </c>
      <c r="X1504" s="55">
        <f t="shared" ca="1" si="280"/>
        <v>0</v>
      </c>
      <c r="Y1504" s="101">
        <f t="shared" ca="1" si="287"/>
        <v>0</v>
      </c>
      <c r="Z1504" s="133">
        <f>IF(TYPE((VLOOKUP(Первоначальный[[#This Row],[Дата платежа]],График[Срок конец],1,0)))=16,"",1)</f>
        <v>1</v>
      </c>
      <c r="AA1504" s="57"/>
      <c r="AB1504" s="134"/>
      <c r="AC150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0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106807.73000000008</v>
      </c>
      <c r="AE150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9763.1699999999928</v>
      </c>
      <c r="AF150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0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477260.07959016506</v>
      </c>
      <c r="AH1504" s="55"/>
      <c r="AI1504" s="55"/>
      <c r="AJ1504" s="55"/>
      <c r="AK1504" s="101">
        <f t="shared" ca="1" si="288"/>
        <v>743464.31959016505</v>
      </c>
      <c r="AL1504" s="129">
        <f t="array" ref="AL1504">MAX((УслРестрактов[Характеристика]="Дата реструктуризации")*(УслРестрактов[Значение]=Первоначальный!$A1504),0)</f>
        <v>0</v>
      </c>
    </row>
    <row r="1505" spans="1:38" x14ac:dyDescent="0.25">
      <c r="A1505" s="97">
        <f t="shared" si="281"/>
        <v>45636</v>
      </c>
      <c r="B1505" s="100">
        <f t="shared" ca="1" si="282"/>
        <v>149633.34</v>
      </c>
      <c r="C1505" s="55">
        <f t="shared" ca="1" si="278"/>
        <v>106807.73000000008</v>
      </c>
      <c r="D1505" s="55">
        <f t="shared" ca="1" si="278"/>
        <v>9763.1699999999928</v>
      </c>
      <c r="E1505" s="55">
        <f t="shared" ca="1" si="283"/>
        <v>0</v>
      </c>
      <c r="F1505" s="55">
        <f t="shared" ca="1" si="284"/>
        <v>477260.07959016506</v>
      </c>
      <c r="G1505" s="101">
        <f t="shared" ca="1" si="285"/>
        <v>743464.31959016505</v>
      </c>
      <c r="H1505" s="100">
        <f ca="1">ROUND($B1505*VLOOKUP($A1505,$A$1:$B$10,2,1)/(365+IF(MOD(YEAR($A1505),4),0,1)*($A1505-$A1504)),2)-Первоначальный[[#This Row],[Проценты на просроченный платеж по ОД за период]]</f>
        <v>65.400000000000006</v>
      </c>
      <c r="I1505" s="55">
        <f t="shared" ca="1" si="286"/>
        <v>15.96</v>
      </c>
      <c r="J1505" s="55">
        <v>0</v>
      </c>
      <c r="K1505" s="55">
        <f t="shared" ca="1" si="289"/>
        <v>680.72850327868844</v>
      </c>
      <c r="L1505" s="55">
        <v>0</v>
      </c>
      <c r="M1505" s="113">
        <f>SUMIFS(График[Возврат основной суммы долга],График[Дата с учетом нерабочих дней],$A1505)</f>
        <v>0</v>
      </c>
      <c r="N1505" s="56">
        <f>SUMIFS(График[Возврат начисленных %],График[Дата с учетом нерабочих дней],$A1505)</f>
        <v>0</v>
      </c>
      <c r="O1505" s="101">
        <v>0</v>
      </c>
      <c r="P1505" s="100" cm="1">
        <f t="array" aca="1" ref="P1505" ca="1">MAX(IF(AA1504="Да",0,SUM(INDIRECT("M"&amp;(MAX(("Да"=AA$12:AA1504)*ROW(AA$12:AA1504)+1,ROW($P$12))&amp;":M"&amp;(ROW()))))-SUM(INDIRECT("W"&amp;(MAX(("Да"=AA$12:AA1504)*ROW(AA$12:AA1504)+1,ROW($P$12))&amp;":W"&amp;(ROW()))))),0)</f>
        <v>29344.699999999997</v>
      </c>
      <c r="Q1505" s="99">
        <f ca="1">MAX(SUM($N$13:N1505)-SUM($T$13:T1505),0)</f>
        <v>106801.00065573769</v>
      </c>
      <c r="R1505" s="99">
        <f ca="1">Первоначальный[[#This Row],[Просроченный платеж по ОД]]+Первоначальный[[#This Row],[Просроченный платеж по процентам]]</f>
        <v>136145.70065573769</v>
      </c>
      <c r="S1505" s="120">
        <f ca="1">IF(Первоначальный[[#This Row],[Просроченный платеж]]&lt;1,0,S1504+1)</f>
        <v>1401</v>
      </c>
      <c r="T1505" s="100" cm="1">
        <f t="array" aca="1" ref="T1505" ca="1">IF(Первоначальный[[#This Row],[Итого остаток на начало периода]]&lt;1,0,
IF(
AND(TYPE(VLOOKUP(1,$Z$12:Z1505,1,0))=16,Первоначальный[[#This Row],[Досрочное погашение (да/"")]]=""),0,
_xlfn.IFS(AND(S1504=0,Первоначальный[[#This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платеж]]&lt;&gt;0),MIN(LOOKUP(,-1/($Z$12:Z1505=1),$C$12:C1505)+LOOKUP(,-1/($Z$12:Z1505=1),$H$12:H1505),Первоначальный[[#This Row],[Полученный платеж]]+Y1504),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платеж]]+Y1504,SUM(Первоначальный[[#This Row],[Остаток процентов на начало периода]],Первоначальный[[#This Row],[Проценты за период]])),
AND(S1504=0,Первоначальный[[#This Row],[Дата платежа из графика]]=""),0,
AND(S1504=0,Первоначальный[[#This Row],[Дата платежа из графика]]=1,MAX((0&lt;&gt;S$12:S1504)*ROW(S$12:S1504),ROW($S$12))&gt;=MAX((1=Z$12:Z1504)*ROW(Z$12:Z1504),ROW($T$12)),TYPE(VLOOKUP("Да",(INDIRECT("AA"&amp;(MAX((1=Z$12:Z1504)*ROW(Z$12:Z1504),ROW($T$12))&amp;":AA"&amp;(ROW()-1)))),1,0))=16),MIN(LOOKUP(,-1/($Z$12:Z1505=1),$C$12:C1505)+LOOKUP(,-1/($Z$12:Z1505=1),$H$12:H1505),Первоначальный[[#This Row],[Полученный платеж]]+Y1504),
AND(S1504=0,TYPE(VLOOKUP("Да",(INDIRECT("AA"&amp;(MAX((1=Z$12:Z1504)*ROW(Z$12:Z1504),ROW($T$12))&amp;":AA"&amp;(ROW()-1)))),1,0))&lt;&gt;16),MIN(LOOKUP(,-1/($Z$12:Z1505=1),$C$12:C1505)+LOOKUP(,-1/($Z$12:Z1505=1),$H$12:H1505)-IF(AA1504="Да",0,SUM(INDIRECT("T"&amp;(MAX(("Да"=AA$12:AA1504)*ROW(AA$12:AA1504)+1,ROW($T$12))&amp;":T"&amp;(ROW()-1))))),Первоначальный[[#This Row],[Полученный платеж]]+Y1504),
AND(S1504=0,MAX((0&lt;&gt;N$12:N1504)*ROW(N$12:N1504),ROW($S$12))&gt;=MAX((1=Z$12:Z1504)*ROW(Z$12:Z1504),ROW($T$12))),MIN(LOOKUP(,-1/($Z$12:Z1505=1),$C$12:C1505)+LOOKUP(,-1/($Z$12:Z1505=1),$H$12:H1505)-IF(N1504&lt;&gt;0,0,SUM(INDIRECT("T"&amp;(MAX((0&lt;&gt;N$12:N1504)*ROW(N$12:N1504)+1,ROW($T$12))&amp;":T"&amp;(ROW()-1))))),Первоначальный[[#This Row],[Полученный платеж]]+Y1504),
AND(S1504=0,Первоначальный[[#This Row],[Дата платежа из графика]]=1),MIN(LOOKUP(,-1/($Z$12:Z1505=1),$C$12:C1505)+LOOKUP(,-1/($Z$12:Z1505=1),$H$12:H1505)-IF(Z1504=1,0,SUM(INDIRECT("T"&amp;(MAX((1=Z$12:Z1504)*ROW(Z$12:Z1504)+1,ROW($T$12))&amp;":T"&amp;(ROW()-1))))),Первоначальный[[#This Row],[Полученный платеж]]+Y1504),
AND(Z1504&gt;0,Первоначальный[[#This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платеж]]+Y1504),
AND(S1504&gt;0,MAX((0&lt;&gt;S$12:S1504)*ROW(S$12:S1504),ROW($S$12))&gt;=MAX((1=Z$12:Z1504)*ROW(Z$12:Z1504),ROW($T$12)),TYPE(VLOOKUP("Да",(INDIRECT("AA"&amp;(MAX((1=Z$12:Z1504)*ROW(Z$12:Z1504),ROW($T$12))&amp;":AA"&amp;(ROW()-1)))),1,0))=16),MIN(LOOKUP(,-1/($Z$12:Z1505=1),$C$12:C1505)+LOOKUP(,-1/($Z$12:Z1505=1),$H$12:H1505)-SUM(INDIRECT("T"&amp;(MAX((1=Z$12:Z1504)*ROW(Z$12:Z1504),ROW($T$12))&amp;":T"&amp;(ROW()-1)))),Первоначальный[[#This Row],[Полученный платеж]]+Y1504),
S1504&gt;0,MIN(LOOKUP(,-1/($Z$12:Z1505=1),$C$12:C1505)+LOOKUP(,-1/($Z$12:Z1505=1),$H$12:H1505)-IF(Z1504=1,0,SUM(INDIRECT("T"&amp;(MAX((1=Z$12:Z1504)*ROW(Z$12:Z1504)+1,ROW($T$12))&amp;":T"&amp;(ROW()-1))))),Первоначальный[[#This Row],[Полученный платеж]]+Y1504)
)
)
)</f>
        <v>0</v>
      </c>
      <c r="U150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платеж]]+Y1504-Первоначальный[[#This Row],[Полученный платёж по процентам]])</f>
        <v>0</v>
      </c>
      <c r="V1505" s="55">
        <f t="shared" ca="1" si="279"/>
        <v>0</v>
      </c>
      <c r="W1505" s="55" cm="1">
        <f t="array" aca="1" ref="W1505" ca="1">IF(Первоначальный[[#This Row],[Итого остаток на начало периода]]&lt;1,0,
_xlfn.IFS(
AND(TYPE(VLOOKUP(1,$Z$12:Z1505,1,0))=16,Первоначальный[[#This Row],[Досрочное погашение (да/"")]]=""),0,
AND(S1504=0,Первоначальный[[#This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платеж]]+Y1504-SUM(Первоначальный[[#This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комиссиям]]),VLOOKUP(LOOKUP(,-1/($Z$12:Z1505=1),$A$12:A1505),График[[Срок конец]:[Возврат основной суммы долга]],3,0)),
AND(S1504=0,Первоначальный[[#This Row],[Дата платежа из графика]]="",Первоначальный[[#This Row],[Досрочное погашение (да/"")]]&lt;&gt;"Да"),0,
AND(S1504=0,Первоначальный[[#This Row],[Досрочное погашение (да/"")]]=""),MIN(Первоначальный[[#This Row],[Полученный платеж]]+Y1504-SUM(Первоначальный[[#This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комиссиям]]),VLOOKUP(LOOKUP(,-1/($Z$12:Z1505=1),$A$12:A1505),График[[Срок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платеж]]+Y1504-SUM(Первоначальный[[#This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S1504&gt;0,MIN(Первоначальный[[#This Row],[Полученный платеж]]+Y1504-SUM(Первоначальный[[#This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комиссиям]]),SUM(INDIRECT("M"&amp;(MAX((1=S$12:S1504)*ROW(S$12:S1504),ROW($W$12))&amp;":M"&amp;(ROW()))))-SUM(INDIRECT("W"&amp;(MAX((1=S$12:S1504)*ROW(S$12:S1504),ROW($W$12))&amp;":W"&amp;(ROW()-1)))))
)
)</f>
        <v>0</v>
      </c>
      <c r="X1505" s="55">
        <f t="shared" ca="1" si="280"/>
        <v>0</v>
      </c>
      <c r="Y1505" s="101">
        <f t="shared" ca="1" si="287"/>
        <v>0</v>
      </c>
      <c r="Z1505" s="133" t="str">
        <f>IF(TYPE((VLOOKUP(Первоначальный[[#This Row],[Дата платежа]],График[Срок конец],1,0)))=16,"",1)</f>
        <v/>
      </c>
      <c r="AA1505" s="57"/>
      <c r="AB1505" s="134"/>
      <c r="AC150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0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106873.13000000008</v>
      </c>
      <c r="AE150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9779.1299999999919</v>
      </c>
      <c r="AF150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0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477940.80809344375</v>
      </c>
      <c r="AH1505" s="55"/>
      <c r="AI1505" s="55"/>
      <c r="AJ1505" s="55"/>
      <c r="AK1505" s="101">
        <f t="shared" ca="1" si="288"/>
        <v>744226.40809344384</v>
      </c>
      <c r="AL1505" s="129">
        <f t="array" ref="AL1505">MAX((УслРестрактов[Характеристика]="Дата реструктуризации")*(УслРестрактов[Значение]=Первоначальный!$A1505),0)</f>
        <v>0</v>
      </c>
    </row>
    <row r="1506" spans="1:38" x14ac:dyDescent="0.25">
      <c r="A1506" s="97">
        <f t="shared" si="281"/>
        <v>45637</v>
      </c>
      <c r="B1506" s="100">
        <f t="shared" ca="1" si="282"/>
        <v>149633.34</v>
      </c>
      <c r="C1506" s="55">
        <f t="shared" ca="1" si="278"/>
        <v>106873.13000000008</v>
      </c>
      <c r="D1506" s="55">
        <f t="shared" ca="1" si="278"/>
        <v>9779.1299999999919</v>
      </c>
      <c r="E1506" s="55">
        <f t="shared" ca="1" si="283"/>
        <v>0</v>
      </c>
      <c r="F1506" s="55">
        <f t="shared" ca="1" si="284"/>
        <v>477940.80809344375</v>
      </c>
      <c r="G1506" s="101">
        <f t="shared" ca="1" si="285"/>
        <v>744226.40809344384</v>
      </c>
      <c r="H1506" s="100">
        <f ca="1">ROUND($B1506*VLOOKUP($A1506,$A$1:$B$10,2,1)/(365+IF(MOD(YEAR($A1506),4),0,1)*($A1506-$A1505)),2)-Первоначальный[[#This Row],[Проценты на просроченный платеж по ОД за период]]</f>
        <v>65.400000000000006</v>
      </c>
      <c r="I1506" s="55">
        <f t="shared" ca="1" si="286"/>
        <v>15.96</v>
      </c>
      <c r="J1506" s="55">
        <v>0</v>
      </c>
      <c r="K1506" s="55">
        <f t="shared" ca="1" si="289"/>
        <v>680.72850327868844</v>
      </c>
      <c r="L1506" s="55">
        <v>0</v>
      </c>
      <c r="M1506" s="113">
        <f>SUMIFS(График[Возврат основной суммы долга],График[Дата с учетом нерабочих дней],$A1506)</f>
        <v>0</v>
      </c>
      <c r="N1506" s="56">
        <f>SUMIFS(График[Возврат начисленных %],График[Дата с учетом нерабочих дней],$A1506)</f>
        <v>0</v>
      </c>
      <c r="O1506" s="101">
        <v>0</v>
      </c>
      <c r="P1506" s="100" cm="1">
        <f t="array" aca="1" ref="P1506" ca="1">MAX(IF(AA1505="Да",0,SUM(INDIRECT("M"&amp;(MAX(("Да"=AA$12:AA1505)*ROW(AA$12:AA1505)+1,ROW($P$12))&amp;":M"&amp;(ROW()))))-SUM(INDIRECT("W"&amp;(MAX(("Да"=AA$12:AA1505)*ROW(AA$12:AA1505)+1,ROW($P$12))&amp;":W"&amp;(ROW()))))),0)</f>
        <v>29344.699999999997</v>
      </c>
      <c r="Q1506" s="99">
        <f ca="1">MAX(SUM($N$13:N1506)-SUM($T$13:T1506),0)</f>
        <v>106801.00065573769</v>
      </c>
      <c r="R1506" s="99">
        <f ca="1">Первоначальный[[#This Row],[Просроченный платеж по ОД]]+Первоначальный[[#This Row],[Просроченный платеж по процентам]]</f>
        <v>136145.70065573769</v>
      </c>
      <c r="S1506" s="120">
        <f ca="1">IF(Первоначальный[[#This Row],[Просроченный платеж]]&lt;1,0,S1505+1)</f>
        <v>1402</v>
      </c>
      <c r="T1506" s="100" cm="1">
        <f t="array" aca="1" ref="T1506" ca="1">IF(Первоначальный[[#This Row],[Итого остаток на начало периода]]&lt;1,0,
IF(
AND(TYPE(VLOOKUP(1,$Z$12:Z1506,1,0))=16,Первоначальный[[#This Row],[Досрочное погашение (да/"")]]=""),0,
_xlfn.IFS(AND(S1505=0,Первоначальный[[#This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платеж]]&lt;&gt;0),MIN(LOOKUP(,-1/($Z$12:Z1506=1),$C$12:C1506)+LOOKUP(,-1/($Z$12:Z1506=1),$H$12:H1506),Первоначальный[[#This Row],[Полученный платеж]]+Y1505),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платеж]]+Y1505,SUM(Первоначальный[[#This Row],[Остаток процентов на начало периода]],Первоначальный[[#This Row],[Проценты за период]])),
AND(S1505=0,Первоначальный[[#This Row],[Дата платежа из графика]]=""),0,
AND(S1505=0,Первоначальный[[#This Row],[Дата платежа из графика]]=1,MAX((0&lt;&gt;S$12:S1505)*ROW(S$12:S1505),ROW($S$12))&gt;=MAX((1=Z$12:Z1505)*ROW(Z$12:Z1505),ROW($T$12)),TYPE(VLOOKUP("Да",(INDIRECT("AA"&amp;(MAX((1=Z$12:Z1505)*ROW(Z$12:Z1505),ROW($T$12))&amp;":AA"&amp;(ROW()-1)))),1,0))=16),MIN(LOOKUP(,-1/($Z$12:Z1506=1),$C$12:C1506)+LOOKUP(,-1/($Z$12:Z1506=1),$H$12:H1506),Первоначальный[[#This Row],[Полученный платеж]]+Y1505),
AND(S1505=0,TYPE(VLOOKUP("Да",(INDIRECT("AA"&amp;(MAX((1=Z$12:Z1505)*ROW(Z$12:Z1505),ROW($T$12))&amp;":AA"&amp;(ROW()-1)))),1,0))&lt;&gt;16),MIN(LOOKUP(,-1/($Z$12:Z1506=1),$C$12:C1506)+LOOKUP(,-1/($Z$12:Z1506=1),$H$12:H1506)-IF(AA1505="Да",0,SUM(INDIRECT("T"&amp;(MAX(("Да"=AA$12:AA1505)*ROW(AA$12:AA1505)+1,ROW($T$12))&amp;":T"&amp;(ROW()-1))))),Первоначальный[[#This Row],[Полученный платеж]]+Y1505),
AND(S1505=0,MAX((0&lt;&gt;N$12:N1505)*ROW(N$12:N1505),ROW($S$12))&gt;=MAX((1=Z$12:Z1505)*ROW(Z$12:Z1505),ROW($T$12))),MIN(LOOKUP(,-1/($Z$12:Z1506=1),$C$12:C1506)+LOOKUP(,-1/($Z$12:Z1506=1),$H$12:H1506)-IF(N1505&lt;&gt;0,0,SUM(INDIRECT("T"&amp;(MAX((0&lt;&gt;N$12:N1505)*ROW(N$12:N1505)+1,ROW($T$12))&amp;":T"&amp;(ROW()-1))))),Первоначальный[[#This Row],[Полученный платеж]]+Y1505),
AND(S1505=0,Первоначальный[[#This Row],[Дата платежа из графика]]=1),MIN(LOOKUP(,-1/($Z$12:Z1506=1),$C$12:C1506)+LOOKUP(,-1/($Z$12:Z1506=1),$H$12:H1506)-IF(Z1505=1,0,SUM(INDIRECT("T"&amp;(MAX((1=Z$12:Z1505)*ROW(Z$12:Z1505)+1,ROW($T$12))&amp;":T"&amp;(ROW()-1))))),Первоначальный[[#This Row],[Полученный платеж]]+Y1505),
AND(Z1505&gt;0,Первоначальный[[#This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платеж]]+Y1505),
AND(S1505&gt;0,MAX((0&lt;&gt;S$12:S1505)*ROW(S$12:S1505),ROW($S$12))&gt;=MAX((1=Z$12:Z1505)*ROW(Z$12:Z1505),ROW($T$12)),TYPE(VLOOKUP("Да",(INDIRECT("AA"&amp;(MAX((1=Z$12:Z1505)*ROW(Z$12:Z1505),ROW($T$12))&amp;":AA"&amp;(ROW()-1)))),1,0))=16),MIN(LOOKUP(,-1/($Z$12:Z1506=1),$C$12:C1506)+LOOKUP(,-1/($Z$12:Z1506=1),$H$12:H1506)-SUM(INDIRECT("T"&amp;(MAX((1=Z$12:Z1505)*ROW(Z$12:Z1505),ROW($T$12))&amp;":T"&amp;(ROW()-1)))),Первоначальный[[#This Row],[Полученный платеж]]+Y1505),
S1505&gt;0,MIN(LOOKUP(,-1/($Z$12:Z1506=1),$C$12:C1506)+LOOKUP(,-1/($Z$12:Z1506=1),$H$12:H1506)-IF(Z1505=1,0,SUM(INDIRECT("T"&amp;(MAX((1=Z$12:Z1505)*ROW(Z$12:Z1505)+1,ROW($T$12))&amp;":T"&amp;(ROW()-1))))),Первоначальный[[#This Row],[Полученный платеж]]+Y1505)
)
)
)</f>
        <v>0</v>
      </c>
      <c r="U150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платеж]]+Y1505-Первоначальный[[#This Row],[Полученный платёж по процентам]])</f>
        <v>0</v>
      </c>
      <c r="V1506" s="55">
        <f t="shared" ca="1" si="279"/>
        <v>0</v>
      </c>
      <c r="W1506" s="55" cm="1">
        <f t="array" aca="1" ref="W1506" ca="1">IF(Первоначальный[[#This Row],[Итого остаток на начало периода]]&lt;1,0,
_xlfn.IFS(
AND(TYPE(VLOOKUP(1,$Z$12:Z1506,1,0))=16,Первоначальный[[#This Row],[Досрочное погашение (да/"")]]=""),0,
AND(S1505=0,Первоначальный[[#This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платеж]]+Y1505-SUM(Первоначальный[[#This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комиссиям]]),VLOOKUP(LOOKUP(,-1/($Z$12:Z1506=1),$A$12:A1506),График[[Срок конец]:[Возврат основной суммы долга]],3,0)),
AND(S1505=0,Первоначальный[[#This Row],[Дата платежа из графика]]="",Первоначальный[[#This Row],[Досрочное погашение (да/"")]]&lt;&gt;"Да"),0,
AND(S1505=0,Первоначальный[[#This Row],[Досрочное погашение (да/"")]]=""),MIN(Первоначальный[[#This Row],[Полученный платеж]]+Y1505-SUM(Первоначальный[[#This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комиссиям]]),VLOOKUP(LOOKUP(,-1/($Z$12:Z1506=1),$A$12:A1506),График[[Срок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платеж]]+Y1505-SUM(Первоначальный[[#This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S1505&gt;0,MIN(Первоначальный[[#This Row],[Полученный платеж]]+Y1505-SUM(Первоначальный[[#This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комиссиям]]),SUM(INDIRECT("M"&amp;(MAX((1=S$12:S1505)*ROW(S$12:S1505),ROW($W$12))&amp;":M"&amp;(ROW()))))-SUM(INDIRECT("W"&amp;(MAX((1=S$12:S1505)*ROW(S$12:S1505),ROW($W$12))&amp;":W"&amp;(ROW()-1)))))
)
)</f>
        <v>0</v>
      </c>
      <c r="X1506" s="55">
        <f t="shared" ca="1" si="280"/>
        <v>0</v>
      </c>
      <c r="Y1506" s="101">
        <f t="shared" ca="1" si="287"/>
        <v>0</v>
      </c>
      <c r="Z1506" s="133" t="str">
        <f>IF(TYPE((VLOOKUP(Первоначальный[[#This Row],[Дата платежа]],График[Срок конец],1,0)))=16,"",1)</f>
        <v/>
      </c>
      <c r="AA1506" s="57"/>
      <c r="AB1506" s="134"/>
      <c r="AC150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0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106938.53000000007</v>
      </c>
      <c r="AE150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9795.0899999999911</v>
      </c>
      <c r="AF150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0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478621.53659672244</v>
      </c>
      <c r="AH1506" s="55"/>
      <c r="AI1506" s="55"/>
      <c r="AJ1506" s="55"/>
      <c r="AK1506" s="101">
        <f t="shared" ca="1" si="288"/>
        <v>744988.4965967224</v>
      </c>
      <c r="AL1506" s="129">
        <f t="array" ref="AL1506">MAX((УслРестрактов[Характеристика]="Дата реструктуризации")*(УслРестрактов[Значение]=Первоначальный!$A1506),0)</f>
        <v>0</v>
      </c>
    </row>
    <row r="1507" spans="1:38" x14ac:dyDescent="0.25">
      <c r="A1507" s="97">
        <f t="shared" si="281"/>
        <v>45638</v>
      </c>
      <c r="B1507" s="100">
        <f t="shared" ca="1" si="282"/>
        <v>149633.34</v>
      </c>
      <c r="C1507" s="55">
        <f t="shared" ca="1" si="278"/>
        <v>106938.53000000007</v>
      </c>
      <c r="D1507" s="55">
        <f t="shared" ca="1" si="278"/>
        <v>9795.0899999999911</v>
      </c>
      <c r="E1507" s="55">
        <f t="shared" ca="1" si="283"/>
        <v>0</v>
      </c>
      <c r="F1507" s="55">
        <f t="shared" ca="1" si="284"/>
        <v>478621.53659672244</v>
      </c>
      <c r="G1507" s="101">
        <f t="shared" ca="1" si="285"/>
        <v>744988.4965967224</v>
      </c>
      <c r="H1507" s="100">
        <f ca="1">ROUND($B1507*VLOOKUP($A1507,$A$1:$B$10,2,1)/(365+IF(MOD(YEAR($A1507),4),0,1)*($A1507-$A1506)),2)-Первоначальный[[#This Row],[Проценты на просроченный платеж по ОД за период]]</f>
        <v>65.400000000000006</v>
      </c>
      <c r="I1507" s="55">
        <f t="shared" ca="1" si="286"/>
        <v>15.96</v>
      </c>
      <c r="J1507" s="55">
        <v>0</v>
      </c>
      <c r="K1507" s="55">
        <f t="shared" ca="1" si="289"/>
        <v>680.72850327868844</v>
      </c>
      <c r="L1507" s="55">
        <v>0</v>
      </c>
      <c r="M1507" s="113">
        <f>SUMIFS(График[Возврат основной суммы долга],График[Дата с учетом нерабочих дней],$A1507)</f>
        <v>0</v>
      </c>
      <c r="N1507" s="56">
        <f>SUMIFS(График[Возврат начисленных %],График[Дата с учетом нерабочих дней],$A1507)</f>
        <v>0</v>
      </c>
      <c r="O1507" s="101">
        <v>0</v>
      </c>
      <c r="P1507" s="100" cm="1">
        <f t="array" aca="1" ref="P1507" ca="1">MAX(IF(AA1506="Да",0,SUM(INDIRECT("M"&amp;(MAX(("Да"=AA$12:AA1506)*ROW(AA$12:AA1506)+1,ROW($P$12))&amp;":M"&amp;(ROW()))))-SUM(INDIRECT("W"&amp;(MAX(("Да"=AA$12:AA1506)*ROW(AA$12:AA1506)+1,ROW($P$12))&amp;":W"&amp;(ROW()))))),0)</f>
        <v>29344.699999999997</v>
      </c>
      <c r="Q1507" s="99">
        <f ca="1">MAX(SUM($N$13:N1507)-SUM($T$13:T1507),0)</f>
        <v>106801.00065573769</v>
      </c>
      <c r="R1507" s="99">
        <f ca="1">Первоначальный[[#This Row],[Просроченный платеж по ОД]]+Первоначальный[[#This Row],[Просроченный платеж по процентам]]</f>
        <v>136145.70065573769</v>
      </c>
      <c r="S1507" s="120">
        <f ca="1">IF(Первоначальный[[#This Row],[Просроченный платеж]]&lt;1,0,S1506+1)</f>
        <v>1403</v>
      </c>
      <c r="T1507" s="100" cm="1">
        <f t="array" aca="1" ref="T1507" ca="1">IF(Первоначальный[[#This Row],[Итого остаток на начало периода]]&lt;1,0,
IF(
AND(TYPE(VLOOKUP(1,$Z$12:Z1507,1,0))=16,Первоначальный[[#This Row],[Досрочное погашение (да/"")]]=""),0,
_xlfn.IFS(AND(S1506=0,Первоначальный[[#This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платеж]]&lt;&gt;0),MIN(LOOKUP(,-1/($Z$12:Z1507=1),$C$12:C1507)+LOOKUP(,-1/($Z$12:Z1507=1),$H$12:H1507),Первоначальный[[#This Row],[Полученный платеж]]+Y1506),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платеж]]+Y1506,SUM(Первоначальный[[#This Row],[Остаток процентов на начало периода]],Первоначальный[[#This Row],[Проценты за период]])),
AND(S1506=0,Первоначальный[[#This Row],[Дата платежа из графика]]=""),0,
AND(S1506=0,Первоначальный[[#This Row],[Дата платежа из графика]]=1,MAX((0&lt;&gt;S$12:S1506)*ROW(S$12:S1506),ROW($S$12))&gt;=MAX((1=Z$12:Z1506)*ROW(Z$12:Z1506),ROW($T$12)),TYPE(VLOOKUP("Да",(INDIRECT("AA"&amp;(MAX((1=Z$12:Z1506)*ROW(Z$12:Z1506),ROW($T$12))&amp;":AA"&amp;(ROW()-1)))),1,0))=16),MIN(LOOKUP(,-1/($Z$12:Z1507=1),$C$12:C1507)+LOOKUP(,-1/($Z$12:Z1507=1),$H$12:H1507),Первоначальный[[#This Row],[Полученный платеж]]+Y1506),
AND(S1506=0,TYPE(VLOOKUP("Да",(INDIRECT("AA"&amp;(MAX((1=Z$12:Z1506)*ROW(Z$12:Z1506),ROW($T$12))&amp;":AA"&amp;(ROW()-1)))),1,0))&lt;&gt;16),MIN(LOOKUP(,-1/($Z$12:Z1507=1),$C$12:C1507)+LOOKUP(,-1/($Z$12:Z1507=1),$H$12:H1507)-IF(AA1506="Да",0,SUM(INDIRECT("T"&amp;(MAX(("Да"=AA$12:AA1506)*ROW(AA$12:AA1506)+1,ROW($T$12))&amp;":T"&amp;(ROW()-1))))),Первоначальный[[#This Row],[Полученный платеж]]+Y1506),
AND(S1506=0,MAX((0&lt;&gt;N$12:N1506)*ROW(N$12:N1506),ROW($S$12))&gt;=MAX((1=Z$12:Z1506)*ROW(Z$12:Z1506),ROW($T$12))),MIN(LOOKUP(,-1/($Z$12:Z1507=1),$C$12:C1507)+LOOKUP(,-1/($Z$12:Z1507=1),$H$12:H1507)-IF(N1506&lt;&gt;0,0,SUM(INDIRECT("T"&amp;(MAX((0&lt;&gt;N$12:N1506)*ROW(N$12:N1506)+1,ROW($T$12))&amp;":T"&amp;(ROW()-1))))),Первоначальный[[#This Row],[Полученный платеж]]+Y1506),
AND(S1506=0,Первоначальный[[#This Row],[Дата платежа из графика]]=1),MIN(LOOKUP(,-1/($Z$12:Z1507=1),$C$12:C1507)+LOOKUP(,-1/($Z$12:Z1507=1),$H$12:H1507)-IF(Z1506=1,0,SUM(INDIRECT("T"&amp;(MAX((1=Z$12:Z1506)*ROW(Z$12:Z1506)+1,ROW($T$12))&amp;":T"&amp;(ROW()-1))))),Первоначальный[[#This Row],[Полученный платеж]]+Y1506),
AND(Z1506&gt;0,Первоначальный[[#This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платеж]]+Y1506),
AND(S1506&gt;0,MAX((0&lt;&gt;S$12:S1506)*ROW(S$12:S1506),ROW($S$12))&gt;=MAX((1=Z$12:Z1506)*ROW(Z$12:Z1506),ROW($T$12)),TYPE(VLOOKUP("Да",(INDIRECT("AA"&amp;(MAX((1=Z$12:Z1506)*ROW(Z$12:Z1506),ROW($T$12))&amp;":AA"&amp;(ROW()-1)))),1,0))=16),MIN(LOOKUP(,-1/($Z$12:Z1507=1),$C$12:C1507)+LOOKUP(,-1/($Z$12:Z1507=1),$H$12:H1507)-SUM(INDIRECT("T"&amp;(MAX((1=Z$12:Z1506)*ROW(Z$12:Z1506),ROW($T$12))&amp;":T"&amp;(ROW()-1)))),Первоначальный[[#This Row],[Полученный платеж]]+Y1506),
S1506&gt;0,MIN(LOOKUP(,-1/($Z$12:Z1507=1),$C$12:C1507)+LOOKUP(,-1/($Z$12:Z1507=1),$H$12:H1507)-IF(Z1506=1,0,SUM(INDIRECT("T"&amp;(MAX((1=Z$12:Z1506)*ROW(Z$12:Z1506)+1,ROW($T$12))&amp;":T"&amp;(ROW()-1))))),Первоначальный[[#This Row],[Полученный платеж]]+Y1506)
)
)
)</f>
        <v>0</v>
      </c>
      <c r="U150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платеж]]+Y1506-Первоначальный[[#This Row],[Полученный платёж по процентам]])</f>
        <v>0</v>
      </c>
      <c r="V1507" s="55">
        <f t="shared" ca="1" si="279"/>
        <v>0</v>
      </c>
      <c r="W1507" s="55" cm="1">
        <f t="array" aca="1" ref="W1507" ca="1">IF(Первоначальный[[#This Row],[Итого остаток на начало периода]]&lt;1,0,
_xlfn.IFS(
AND(TYPE(VLOOKUP(1,$Z$12:Z1507,1,0))=16,Первоначальный[[#This Row],[Досрочное погашение (да/"")]]=""),0,
AND(S1506=0,Первоначальный[[#This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платеж]]+Y1506-SUM(Первоначальный[[#This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комиссиям]]),VLOOKUP(LOOKUP(,-1/($Z$12:Z1507=1),$A$12:A1507),График[[Срок конец]:[Возврат основной суммы долга]],3,0)),
AND(S1506=0,Первоначальный[[#This Row],[Дата платежа из графика]]="",Первоначальный[[#This Row],[Досрочное погашение (да/"")]]&lt;&gt;"Да"),0,
AND(S1506=0,Первоначальный[[#This Row],[Досрочное погашение (да/"")]]=""),MIN(Первоначальный[[#This Row],[Полученный платеж]]+Y1506-SUM(Первоначальный[[#This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комиссиям]]),VLOOKUP(LOOKUP(,-1/($Z$12:Z1507=1),$A$12:A1507),График[[Срок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платеж]]+Y1506-SUM(Первоначальный[[#This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S1506&gt;0,MIN(Первоначальный[[#This Row],[Полученный платеж]]+Y1506-SUM(Первоначальный[[#This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комиссиям]]),SUM(INDIRECT("M"&amp;(MAX((1=S$12:S1506)*ROW(S$12:S1506),ROW($W$12))&amp;":M"&amp;(ROW()))))-SUM(INDIRECT("W"&amp;(MAX((1=S$12:S1506)*ROW(S$12:S1506),ROW($W$12))&amp;":W"&amp;(ROW()-1)))))
)
)</f>
        <v>0</v>
      </c>
      <c r="X1507" s="55">
        <f t="shared" ca="1" si="280"/>
        <v>0</v>
      </c>
      <c r="Y1507" s="101">
        <f t="shared" ca="1" si="287"/>
        <v>0</v>
      </c>
      <c r="Z1507" s="133" t="str">
        <f>IF(TYPE((VLOOKUP(Первоначальный[[#This Row],[Дата платежа]],График[Срок конец],1,0)))=16,"",1)</f>
        <v/>
      </c>
      <c r="AA1507" s="57"/>
      <c r="AB1507" s="134"/>
      <c r="AC150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0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107003.93000000007</v>
      </c>
      <c r="AE150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9811.0499999999902</v>
      </c>
      <c r="AF150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0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479302.26510000112</v>
      </c>
      <c r="AH1507" s="55"/>
      <c r="AI1507" s="55"/>
      <c r="AJ1507" s="55"/>
      <c r="AK1507" s="101">
        <f t="shared" ca="1" si="288"/>
        <v>745750.58510000119</v>
      </c>
      <c r="AL1507" s="129">
        <f t="array" ref="AL1507">MAX((УслРестрактов[Характеристика]="Дата реструктуризации")*(УслРестрактов[Значение]=Первоначальный!$A1507),0)</f>
        <v>0</v>
      </c>
    </row>
    <row r="1508" spans="1:38" x14ac:dyDescent="0.25">
      <c r="A1508" s="97">
        <f t="shared" si="281"/>
        <v>45639</v>
      </c>
      <c r="B1508" s="100">
        <f t="shared" ca="1" si="282"/>
        <v>149633.34</v>
      </c>
      <c r="C1508" s="55">
        <f t="shared" ca="1" si="278"/>
        <v>107003.93000000007</v>
      </c>
      <c r="D1508" s="55">
        <f t="shared" ca="1" si="278"/>
        <v>9811.0499999999902</v>
      </c>
      <c r="E1508" s="55">
        <f t="shared" ca="1" si="283"/>
        <v>0</v>
      </c>
      <c r="F1508" s="55">
        <f t="shared" ca="1" si="284"/>
        <v>479302.26510000112</v>
      </c>
      <c r="G1508" s="101">
        <f t="shared" ca="1" si="285"/>
        <v>745750.58510000119</v>
      </c>
      <c r="H1508" s="100">
        <f ca="1">ROUND($B1508*VLOOKUP($A1508,$A$1:$B$10,2,1)/(365+IF(MOD(YEAR($A1508),4),0,1)*($A1508-$A1507)),2)-Первоначальный[[#This Row],[Проценты на просроченный платеж по ОД за период]]</f>
        <v>65.400000000000006</v>
      </c>
      <c r="I1508" s="55">
        <f t="shared" ca="1" si="286"/>
        <v>15.96</v>
      </c>
      <c r="J1508" s="55">
        <v>0</v>
      </c>
      <c r="K1508" s="55">
        <f t="shared" ca="1" si="289"/>
        <v>680.72850327868844</v>
      </c>
      <c r="L1508" s="55">
        <v>0</v>
      </c>
      <c r="M1508" s="113">
        <f>SUMIFS(График[Возврат основной суммы долга],График[Дата с учетом нерабочих дней],$A1508)</f>
        <v>0</v>
      </c>
      <c r="N1508" s="56">
        <f>SUMIFS(График[Возврат начисленных %],График[Дата с учетом нерабочих дней],$A1508)</f>
        <v>0</v>
      </c>
      <c r="O1508" s="101">
        <v>0</v>
      </c>
      <c r="P1508" s="100" cm="1">
        <f t="array" aca="1" ref="P1508" ca="1">MAX(IF(AA1507="Да",0,SUM(INDIRECT("M"&amp;(MAX(("Да"=AA$12:AA1507)*ROW(AA$12:AA1507)+1,ROW($P$12))&amp;":M"&amp;(ROW()))))-SUM(INDIRECT("W"&amp;(MAX(("Да"=AA$12:AA1507)*ROW(AA$12:AA1507)+1,ROW($P$12))&amp;":W"&amp;(ROW()))))),0)</f>
        <v>29344.699999999997</v>
      </c>
      <c r="Q1508" s="99">
        <f ca="1">MAX(SUM($N$13:N1508)-SUM($T$13:T1508),0)</f>
        <v>106801.00065573769</v>
      </c>
      <c r="R1508" s="99">
        <f ca="1">Первоначальный[[#This Row],[Просроченный платеж по ОД]]+Первоначальный[[#This Row],[Просроченный платеж по процентам]]</f>
        <v>136145.70065573769</v>
      </c>
      <c r="S1508" s="120">
        <f ca="1">IF(Первоначальный[[#This Row],[Просроченный платеж]]&lt;1,0,S1507+1)</f>
        <v>1404</v>
      </c>
      <c r="T1508" s="100" cm="1">
        <f t="array" aca="1" ref="T1508" ca="1">IF(Первоначальный[[#This Row],[Итого остаток на начало периода]]&lt;1,0,
IF(
AND(TYPE(VLOOKUP(1,$Z$12:Z1508,1,0))=16,Первоначальный[[#This Row],[Досрочное погашение (да/"")]]=""),0,
_xlfn.IFS(AND(S1507=0,Первоначальный[[#This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платеж]]&lt;&gt;0),MIN(LOOKUP(,-1/($Z$12:Z1508=1),$C$12:C1508)+LOOKUP(,-1/($Z$12:Z1508=1),$H$12:H1508),Первоначальный[[#This Row],[Полученный платеж]]+Y1507),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платеж]]+Y1507,SUM(Первоначальный[[#This Row],[Остаток процентов на начало периода]],Первоначальный[[#This Row],[Проценты за период]])),
AND(S1507=0,Первоначальный[[#This Row],[Дата платежа из графика]]=""),0,
AND(S1507=0,Первоначальный[[#This Row],[Дата платежа из графика]]=1,MAX((0&lt;&gt;S$12:S1507)*ROW(S$12:S1507),ROW($S$12))&gt;=MAX((1=Z$12:Z1507)*ROW(Z$12:Z1507),ROW($T$12)),TYPE(VLOOKUP("Да",(INDIRECT("AA"&amp;(MAX((1=Z$12:Z1507)*ROW(Z$12:Z1507),ROW($T$12))&amp;":AA"&amp;(ROW()-1)))),1,0))=16),MIN(LOOKUP(,-1/($Z$12:Z1508=1),$C$12:C1508)+LOOKUP(,-1/($Z$12:Z1508=1),$H$12:H1508),Первоначальный[[#This Row],[Полученный платеж]]+Y1507),
AND(S1507=0,TYPE(VLOOKUP("Да",(INDIRECT("AA"&amp;(MAX((1=Z$12:Z1507)*ROW(Z$12:Z1507),ROW($T$12))&amp;":AA"&amp;(ROW()-1)))),1,0))&lt;&gt;16),MIN(LOOKUP(,-1/($Z$12:Z1508=1),$C$12:C1508)+LOOKUP(,-1/($Z$12:Z1508=1),$H$12:H1508)-IF(AA1507="Да",0,SUM(INDIRECT("T"&amp;(MAX(("Да"=AA$12:AA1507)*ROW(AA$12:AA1507)+1,ROW($T$12))&amp;":T"&amp;(ROW()-1))))),Первоначальный[[#This Row],[Полученный платеж]]+Y1507),
AND(S1507=0,MAX((0&lt;&gt;N$12:N1507)*ROW(N$12:N1507),ROW($S$12))&gt;=MAX((1=Z$12:Z1507)*ROW(Z$12:Z1507),ROW($T$12))),MIN(LOOKUP(,-1/($Z$12:Z1508=1),$C$12:C1508)+LOOKUP(,-1/($Z$12:Z1508=1),$H$12:H1508)-IF(N1507&lt;&gt;0,0,SUM(INDIRECT("T"&amp;(MAX((0&lt;&gt;N$12:N1507)*ROW(N$12:N1507)+1,ROW($T$12))&amp;":T"&amp;(ROW()-1))))),Первоначальный[[#This Row],[Полученный платеж]]+Y1507),
AND(S1507=0,Первоначальный[[#This Row],[Дата платежа из графика]]=1),MIN(LOOKUP(,-1/($Z$12:Z1508=1),$C$12:C1508)+LOOKUP(,-1/($Z$12:Z1508=1),$H$12:H1508)-IF(Z1507=1,0,SUM(INDIRECT("T"&amp;(MAX((1=Z$12:Z1507)*ROW(Z$12:Z1507)+1,ROW($T$12))&amp;":T"&amp;(ROW()-1))))),Первоначальный[[#This Row],[Полученный платеж]]+Y1507),
AND(Z1507&gt;0,Первоначальный[[#This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платеж]]+Y1507),
AND(S1507&gt;0,MAX((0&lt;&gt;S$12:S1507)*ROW(S$12:S1507),ROW($S$12))&gt;=MAX((1=Z$12:Z1507)*ROW(Z$12:Z1507),ROW($T$12)),TYPE(VLOOKUP("Да",(INDIRECT("AA"&amp;(MAX((1=Z$12:Z1507)*ROW(Z$12:Z1507),ROW($T$12))&amp;":AA"&amp;(ROW()-1)))),1,0))=16),MIN(LOOKUP(,-1/($Z$12:Z1508=1),$C$12:C1508)+LOOKUP(,-1/($Z$12:Z1508=1),$H$12:H1508)-SUM(INDIRECT("T"&amp;(MAX((1=Z$12:Z1507)*ROW(Z$12:Z1507),ROW($T$12))&amp;":T"&amp;(ROW()-1)))),Первоначальный[[#This Row],[Полученный платеж]]+Y1507),
S1507&gt;0,MIN(LOOKUP(,-1/($Z$12:Z1508=1),$C$12:C1508)+LOOKUP(,-1/($Z$12:Z1508=1),$H$12:H1508)-IF(Z1507=1,0,SUM(INDIRECT("T"&amp;(MAX((1=Z$12:Z1507)*ROW(Z$12:Z1507)+1,ROW($T$12))&amp;":T"&amp;(ROW()-1))))),Первоначальный[[#This Row],[Полученный платеж]]+Y1507)
)
)
)</f>
        <v>0</v>
      </c>
      <c r="U150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платеж]]+Y1507-Первоначальный[[#This Row],[Полученный платёж по процентам]])</f>
        <v>0</v>
      </c>
      <c r="V1508" s="55">
        <f t="shared" ca="1" si="279"/>
        <v>0</v>
      </c>
      <c r="W1508" s="55" cm="1">
        <f t="array" aca="1" ref="W1508" ca="1">IF(Первоначальный[[#This Row],[Итого остаток на начало периода]]&lt;1,0,
_xlfn.IFS(
AND(TYPE(VLOOKUP(1,$Z$12:Z1508,1,0))=16,Первоначальный[[#This Row],[Досрочное погашение (да/"")]]=""),0,
AND(S1507=0,Первоначальный[[#This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платеж]]+Y1507-SUM(Первоначальный[[#This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комиссиям]]),VLOOKUP(LOOKUP(,-1/($Z$12:Z1508=1),$A$12:A1508),График[[Срок конец]:[Возврат основной суммы долга]],3,0)),
AND(S1507=0,Первоначальный[[#This Row],[Дата платежа из графика]]="",Первоначальный[[#This Row],[Досрочное погашение (да/"")]]&lt;&gt;"Да"),0,
AND(S1507=0,Первоначальный[[#This Row],[Досрочное погашение (да/"")]]=""),MIN(Первоначальный[[#This Row],[Полученный платеж]]+Y1507-SUM(Первоначальный[[#This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комиссиям]]),VLOOKUP(LOOKUP(,-1/($Z$12:Z1508=1),$A$12:A1508),График[[Срок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платеж]]+Y1507-SUM(Первоначальный[[#This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S1507&gt;0,MIN(Первоначальный[[#This Row],[Полученный платеж]]+Y1507-SUM(Первоначальный[[#This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комиссиям]]),SUM(INDIRECT("M"&amp;(MAX((1=S$12:S1507)*ROW(S$12:S1507),ROW($W$12))&amp;":M"&amp;(ROW()))))-SUM(INDIRECT("W"&amp;(MAX((1=S$12:S1507)*ROW(S$12:S1507),ROW($W$12))&amp;":W"&amp;(ROW()-1)))))
)
)</f>
        <v>0</v>
      </c>
      <c r="X1508" s="55">
        <f t="shared" ca="1" si="280"/>
        <v>0</v>
      </c>
      <c r="Y1508" s="101">
        <f t="shared" ca="1" si="287"/>
        <v>0</v>
      </c>
      <c r="Z1508" s="133" t="str">
        <f>IF(TYPE((VLOOKUP(Первоначальный[[#This Row],[Дата платежа]],График[Срок конец],1,0)))=16,"",1)</f>
        <v/>
      </c>
      <c r="AA1508" s="57"/>
      <c r="AB1508" s="134"/>
      <c r="AC150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0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107069.33000000006</v>
      </c>
      <c r="AE150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9827.0099999999893</v>
      </c>
      <c r="AF150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0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479982.99360327981</v>
      </c>
      <c r="AH1508" s="55"/>
      <c r="AI1508" s="55"/>
      <c r="AJ1508" s="55"/>
      <c r="AK1508" s="101">
        <f t="shared" ca="1" si="288"/>
        <v>746512.67360327987</v>
      </c>
      <c r="AL1508" s="129">
        <f t="array" ref="AL1508">MAX((УслРестрактов[Характеристика]="Дата реструктуризации")*(УслРестрактов[Значение]=Первоначальный!$A1508),0)</f>
        <v>0</v>
      </c>
    </row>
    <row r="1509" spans="1:38" x14ac:dyDescent="0.25">
      <c r="A1509" s="97">
        <f t="shared" si="281"/>
        <v>45640</v>
      </c>
      <c r="B1509" s="100">
        <f t="shared" ca="1" si="282"/>
        <v>149633.34</v>
      </c>
      <c r="C1509" s="55">
        <f t="shared" ca="1" si="278"/>
        <v>107069.33000000006</v>
      </c>
      <c r="D1509" s="55">
        <f t="shared" ca="1" si="278"/>
        <v>9827.0099999999893</v>
      </c>
      <c r="E1509" s="55">
        <f t="shared" ca="1" si="283"/>
        <v>0</v>
      </c>
      <c r="F1509" s="55">
        <f t="shared" ca="1" si="284"/>
        <v>479982.99360327981</v>
      </c>
      <c r="G1509" s="101">
        <f t="shared" ca="1" si="285"/>
        <v>746512.67360327987</v>
      </c>
      <c r="H1509" s="100">
        <f ca="1">ROUND($B1509*VLOOKUP($A1509,$A$1:$B$10,2,1)/(365+IF(MOD(YEAR($A1509),4),0,1)*($A1509-$A1508)),2)-Первоначальный[[#This Row],[Проценты на просроченный платеж по ОД за период]]</f>
        <v>65.400000000000006</v>
      </c>
      <c r="I1509" s="55">
        <f t="shared" ca="1" si="286"/>
        <v>15.96</v>
      </c>
      <c r="J1509" s="55">
        <v>0</v>
      </c>
      <c r="K1509" s="55">
        <f t="shared" ca="1" si="289"/>
        <v>680.72850327868844</v>
      </c>
      <c r="L1509" s="55">
        <v>0</v>
      </c>
      <c r="M1509" s="113">
        <f>SUMIFS(График[Возврат основной суммы долга],График[Дата с учетом нерабочих дней],$A1509)</f>
        <v>0</v>
      </c>
      <c r="N1509" s="56">
        <f>SUMIFS(График[Возврат начисленных %],График[Дата с учетом нерабочих дней],$A1509)</f>
        <v>0</v>
      </c>
      <c r="O1509" s="101">
        <v>0</v>
      </c>
      <c r="P1509" s="100" cm="1">
        <f t="array" aca="1" ref="P1509" ca="1">MAX(IF(AA1508="Да",0,SUM(INDIRECT("M"&amp;(MAX(("Да"=AA$12:AA1508)*ROW(AA$12:AA1508)+1,ROW($P$12))&amp;":M"&amp;(ROW()))))-SUM(INDIRECT("W"&amp;(MAX(("Да"=AA$12:AA1508)*ROW(AA$12:AA1508)+1,ROW($P$12))&amp;":W"&amp;(ROW()))))),0)</f>
        <v>29344.699999999997</v>
      </c>
      <c r="Q1509" s="99">
        <f ca="1">MAX(SUM($N$13:N1509)-SUM($T$13:T1509),0)</f>
        <v>106801.00065573769</v>
      </c>
      <c r="R1509" s="99">
        <f ca="1">Первоначальный[[#This Row],[Просроченный платеж по ОД]]+Первоначальный[[#This Row],[Просроченный платеж по процентам]]</f>
        <v>136145.70065573769</v>
      </c>
      <c r="S1509" s="120">
        <f ca="1">IF(Первоначальный[[#This Row],[Просроченный платеж]]&lt;1,0,S1508+1)</f>
        <v>1405</v>
      </c>
      <c r="T1509" s="100" cm="1">
        <f t="array" aca="1" ref="T1509" ca="1">IF(Первоначальный[[#This Row],[Итого остаток на начало периода]]&lt;1,0,
IF(
AND(TYPE(VLOOKUP(1,$Z$12:Z1509,1,0))=16,Первоначальный[[#This Row],[Досрочное погашение (да/"")]]=""),0,
_xlfn.IFS(AND(S1508=0,Первоначальный[[#This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платеж]]&lt;&gt;0),MIN(LOOKUP(,-1/($Z$12:Z1509=1),$C$12:C1509)+LOOKUP(,-1/($Z$12:Z1509=1),$H$12:H1509),Первоначальный[[#This Row],[Полученный платеж]]+Y1508),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платеж]]+Y1508,SUM(Первоначальный[[#This Row],[Остаток процентов на начало периода]],Первоначальный[[#This Row],[Проценты за период]])),
AND(S1508=0,Первоначальный[[#This Row],[Дата платежа из графика]]=""),0,
AND(S1508=0,Первоначальный[[#This Row],[Дата платежа из графика]]=1,MAX((0&lt;&gt;S$12:S1508)*ROW(S$12:S1508),ROW($S$12))&gt;=MAX((1=Z$12:Z1508)*ROW(Z$12:Z1508),ROW($T$12)),TYPE(VLOOKUP("Да",(INDIRECT("AA"&amp;(MAX((1=Z$12:Z1508)*ROW(Z$12:Z1508),ROW($T$12))&amp;":AA"&amp;(ROW()-1)))),1,0))=16),MIN(LOOKUP(,-1/($Z$12:Z1509=1),$C$12:C1509)+LOOKUP(,-1/($Z$12:Z1509=1),$H$12:H1509),Первоначальный[[#This Row],[Полученный платеж]]+Y1508),
AND(S1508=0,TYPE(VLOOKUP("Да",(INDIRECT("AA"&amp;(MAX((1=Z$12:Z1508)*ROW(Z$12:Z1508),ROW($T$12))&amp;":AA"&amp;(ROW()-1)))),1,0))&lt;&gt;16),MIN(LOOKUP(,-1/($Z$12:Z1509=1),$C$12:C1509)+LOOKUP(,-1/($Z$12:Z1509=1),$H$12:H1509)-IF(AA1508="Да",0,SUM(INDIRECT("T"&amp;(MAX(("Да"=AA$12:AA1508)*ROW(AA$12:AA1508)+1,ROW($T$12))&amp;":T"&amp;(ROW()-1))))),Первоначальный[[#This Row],[Полученный платеж]]+Y1508),
AND(S1508=0,MAX((0&lt;&gt;N$12:N1508)*ROW(N$12:N1508),ROW($S$12))&gt;=MAX((1=Z$12:Z1508)*ROW(Z$12:Z1508),ROW($T$12))),MIN(LOOKUP(,-1/($Z$12:Z1509=1),$C$12:C1509)+LOOKUP(,-1/($Z$12:Z1509=1),$H$12:H1509)-IF(N1508&lt;&gt;0,0,SUM(INDIRECT("T"&amp;(MAX((0&lt;&gt;N$12:N1508)*ROW(N$12:N1508)+1,ROW($T$12))&amp;":T"&amp;(ROW()-1))))),Первоначальный[[#This Row],[Полученный платеж]]+Y1508),
AND(S1508=0,Первоначальный[[#This Row],[Дата платежа из графика]]=1),MIN(LOOKUP(,-1/($Z$12:Z1509=1),$C$12:C1509)+LOOKUP(,-1/($Z$12:Z1509=1),$H$12:H1509)-IF(Z1508=1,0,SUM(INDIRECT("T"&amp;(MAX((1=Z$12:Z1508)*ROW(Z$12:Z1508)+1,ROW($T$12))&amp;":T"&amp;(ROW()-1))))),Первоначальный[[#This Row],[Полученный платеж]]+Y1508),
AND(Z1508&gt;0,Первоначальный[[#This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платеж]]+Y1508),
AND(S1508&gt;0,MAX((0&lt;&gt;S$12:S1508)*ROW(S$12:S1508),ROW($S$12))&gt;=MAX((1=Z$12:Z1508)*ROW(Z$12:Z1508),ROW($T$12)),TYPE(VLOOKUP("Да",(INDIRECT("AA"&amp;(MAX((1=Z$12:Z1508)*ROW(Z$12:Z1508),ROW($T$12))&amp;":AA"&amp;(ROW()-1)))),1,0))=16),MIN(LOOKUP(,-1/($Z$12:Z1509=1),$C$12:C1509)+LOOKUP(,-1/($Z$12:Z1509=1),$H$12:H1509)-SUM(INDIRECT("T"&amp;(MAX((1=Z$12:Z1508)*ROW(Z$12:Z1508),ROW($T$12))&amp;":T"&amp;(ROW()-1)))),Первоначальный[[#This Row],[Полученный платеж]]+Y1508),
S1508&gt;0,MIN(LOOKUP(,-1/($Z$12:Z1509=1),$C$12:C1509)+LOOKUP(,-1/($Z$12:Z1509=1),$H$12:H1509)-IF(Z1508=1,0,SUM(INDIRECT("T"&amp;(MAX((1=Z$12:Z1508)*ROW(Z$12:Z1508)+1,ROW($T$12))&amp;":T"&amp;(ROW()-1))))),Первоначальный[[#This Row],[Полученный платеж]]+Y1508)
)
)
)</f>
        <v>0</v>
      </c>
      <c r="U150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платеж]]+Y1508-Первоначальный[[#This Row],[Полученный платёж по процентам]])</f>
        <v>0</v>
      </c>
      <c r="V1509" s="55">
        <f t="shared" ca="1" si="279"/>
        <v>0</v>
      </c>
      <c r="W1509" s="55" cm="1">
        <f t="array" aca="1" ref="W1509" ca="1">IF(Первоначальный[[#This Row],[Итого остаток на начало периода]]&lt;1,0,
_xlfn.IFS(
AND(TYPE(VLOOKUP(1,$Z$12:Z1509,1,0))=16,Первоначальный[[#This Row],[Досрочное погашение (да/"")]]=""),0,
AND(S1508=0,Первоначальный[[#This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платеж]]+Y1508-SUM(Первоначальный[[#This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комиссиям]]),VLOOKUP(LOOKUP(,-1/($Z$12:Z1509=1),$A$12:A1509),График[[Срок конец]:[Возврат основной суммы долга]],3,0)),
AND(S1508=0,Первоначальный[[#This Row],[Дата платежа из графика]]="",Первоначальный[[#This Row],[Досрочное погашение (да/"")]]&lt;&gt;"Да"),0,
AND(S1508=0,Первоначальный[[#This Row],[Досрочное погашение (да/"")]]=""),MIN(Первоначальный[[#This Row],[Полученный платеж]]+Y1508-SUM(Первоначальный[[#This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комиссиям]]),VLOOKUP(LOOKUP(,-1/($Z$12:Z1509=1),$A$12:A1509),График[[Срок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платеж]]+Y1508-SUM(Первоначальный[[#This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S1508&gt;0,MIN(Первоначальный[[#This Row],[Полученный платеж]]+Y1508-SUM(Первоначальный[[#This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комиссиям]]),SUM(INDIRECT("M"&amp;(MAX((1=S$12:S1508)*ROW(S$12:S1508),ROW($W$12))&amp;":M"&amp;(ROW()))))-SUM(INDIRECT("W"&amp;(MAX((1=S$12:S1508)*ROW(S$12:S1508),ROW($W$12))&amp;":W"&amp;(ROW()-1)))))
)
)</f>
        <v>0</v>
      </c>
      <c r="X1509" s="55">
        <f t="shared" ca="1" si="280"/>
        <v>0</v>
      </c>
      <c r="Y1509" s="101">
        <f t="shared" ca="1" si="287"/>
        <v>0</v>
      </c>
      <c r="Z1509" s="133" t="str">
        <f>IF(TYPE((VLOOKUP(Первоначальный[[#This Row],[Дата платежа]],График[Срок конец],1,0)))=16,"",1)</f>
        <v/>
      </c>
      <c r="AA1509" s="57"/>
      <c r="AB1509" s="134"/>
      <c r="AC150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0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107134.73000000005</v>
      </c>
      <c r="AE150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9842.9699999999884</v>
      </c>
      <c r="AF150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0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480663.7221065585</v>
      </c>
      <c r="AH1509" s="55"/>
      <c r="AI1509" s="55"/>
      <c r="AJ1509" s="55"/>
      <c r="AK1509" s="101">
        <f t="shared" ca="1" si="288"/>
        <v>747274.76210655854</v>
      </c>
      <c r="AL1509" s="129">
        <f t="array" ref="AL1509">MAX((УслРестрактов[Характеристика]="Дата реструктуризации")*(УслРестрактов[Значение]=Первоначальный!$A1509),0)</f>
        <v>0</v>
      </c>
    </row>
    <row r="1510" spans="1:38" x14ac:dyDescent="0.25">
      <c r="A1510" s="97">
        <f t="shared" si="281"/>
        <v>45641</v>
      </c>
      <c r="B1510" s="100">
        <f t="shared" ca="1" si="282"/>
        <v>149633.34</v>
      </c>
      <c r="C1510" s="55">
        <f t="shared" ca="1" si="278"/>
        <v>107134.73000000005</v>
      </c>
      <c r="D1510" s="55">
        <f t="shared" ca="1" si="278"/>
        <v>9842.9699999999884</v>
      </c>
      <c r="E1510" s="55">
        <f t="shared" ca="1" si="283"/>
        <v>0</v>
      </c>
      <c r="F1510" s="55">
        <f t="shared" ca="1" si="284"/>
        <v>480663.7221065585</v>
      </c>
      <c r="G1510" s="101">
        <f t="shared" ca="1" si="285"/>
        <v>747274.76210655854</v>
      </c>
      <c r="H1510" s="100">
        <f ca="1">ROUND($B1510*VLOOKUP($A1510,$A$1:$B$10,2,1)/(365+IF(MOD(YEAR($A1510),4),0,1)*($A1510-$A1509)),2)-Первоначальный[[#This Row],[Проценты на просроченный платеж по ОД за период]]</f>
        <v>65.400000000000006</v>
      </c>
      <c r="I1510" s="55">
        <f t="shared" ca="1" si="286"/>
        <v>15.96</v>
      </c>
      <c r="J1510" s="55">
        <v>0</v>
      </c>
      <c r="K1510" s="55">
        <f t="shared" ca="1" si="289"/>
        <v>680.72850327868844</v>
      </c>
      <c r="L1510" s="55">
        <v>0</v>
      </c>
      <c r="M1510" s="113">
        <f>SUMIFS(График[Возврат основной суммы долга],График[Дата с учетом нерабочих дней],$A1510)</f>
        <v>0</v>
      </c>
      <c r="N1510" s="56">
        <f>SUMIFS(График[Возврат начисленных %],График[Дата с учетом нерабочих дней],$A1510)</f>
        <v>0</v>
      </c>
      <c r="O1510" s="101">
        <v>0</v>
      </c>
      <c r="P1510" s="100" cm="1">
        <f t="array" aca="1" ref="P1510" ca="1">MAX(IF(AA1509="Да",0,SUM(INDIRECT("M"&amp;(MAX(("Да"=AA$12:AA1509)*ROW(AA$12:AA1509)+1,ROW($P$12))&amp;":M"&amp;(ROW()))))-SUM(INDIRECT("W"&amp;(MAX(("Да"=AA$12:AA1509)*ROW(AA$12:AA1509)+1,ROW($P$12))&amp;":W"&amp;(ROW()))))),0)</f>
        <v>29344.699999999997</v>
      </c>
      <c r="Q1510" s="99">
        <f ca="1">MAX(SUM($N$13:N1510)-SUM($T$13:T1510),0)</f>
        <v>106801.00065573769</v>
      </c>
      <c r="R1510" s="99">
        <f ca="1">Первоначальный[[#This Row],[Просроченный платеж по ОД]]+Первоначальный[[#This Row],[Просроченный платеж по процентам]]</f>
        <v>136145.70065573769</v>
      </c>
      <c r="S1510" s="120">
        <f ca="1">IF(Первоначальный[[#This Row],[Просроченный платеж]]&lt;1,0,S1509+1)</f>
        <v>1406</v>
      </c>
      <c r="T1510" s="100" cm="1">
        <f t="array" aca="1" ref="T1510" ca="1">IF(Первоначальный[[#This Row],[Итого остаток на начало периода]]&lt;1,0,
IF(
AND(TYPE(VLOOKUP(1,$Z$12:Z1510,1,0))=16,Первоначальный[[#This Row],[Досрочное погашение (да/"")]]=""),0,
_xlfn.IFS(AND(S1509=0,Первоначальный[[#This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платеж]]&lt;&gt;0),MIN(LOOKUP(,-1/($Z$12:Z1510=1),$C$12:C1510)+LOOKUP(,-1/($Z$12:Z1510=1),$H$12:H1510),Первоначальный[[#This Row],[Полученный платеж]]+Y1509),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платеж]]+Y1509,SUM(Первоначальный[[#This Row],[Остаток процентов на начало периода]],Первоначальный[[#This Row],[Проценты за период]])),
AND(S1509=0,Первоначальный[[#This Row],[Дата платежа из графика]]=""),0,
AND(S1509=0,Первоначальный[[#This Row],[Дата платежа из графика]]=1,MAX((0&lt;&gt;S$12:S1509)*ROW(S$12:S1509),ROW($S$12))&gt;=MAX((1=Z$12:Z1509)*ROW(Z$12:Z1509),ROW($T$12)),TYPE(VLOOKUP("Да",(INDIRECT("AA"&amp;(MAX((1=Z$12:Z1509)*ROW(Z$12:Z1509),ROW($T$12))&amp;":AA"&amp;(ROW()-1)))),1,0))=16),MIN(LOOKUP(,-1/($Z$12:Z1510=1),$C$12:C1510)+LOOKUP(,-1/($Z$12:Z1510=1),$H$12:H1510),Первоначальный[[#This Row],[Полученный платеж]]+Y1509),
AND(S1509=0,TYPE(VLOOKUP("Да",(INDIRECT("AA"&amp;(MAX((1=Z$12:Z1509)*ROW(Z$12:Z1509),ROW($T$12))&amp;":AA"&amp;(ROW()-1)))),1,0))&lt;&gt;16),MIN(LOOKUP(,-1/($Z$12:Z1510=1),$C$12:C1510)+LOOKUP(,-1/($Z$12:Z1510=1),$H$12:H1510)-IF(AA1509="Да",0,SUM(INDIRECT("T"&amp;(MAX(("Да"=AA$12:AA1509)*ROW(AA$12:AA1509)+1,ROW($T$12))&amp;":T"&amp;(ROW()-1))))),Первоначальный[[#This Row],[Полученный платеж]]+Y1509),
AND(S1509=0,MAX((0&lt;&gt;N$12:N1509)*ROW(N$12:N1509),ROW($S$12))&gt;=MAX((1=Z$12:Z1509)*ROW(Z$12:Z1509),ROW($T$12))),MIN(LOOKUP(,-1/($Z$12:Z1510=1),$C$12:C1510)+LOOKUP(,-1/($Z$12:Z1510=1),$H$12:H1510)-IF(N1509&lt;&gt;0,0,SUM(INDIRECT("T"&amp;(MAX((0&lt;&gt;N$12:N1509)*ROW(N$12:N1509)+1,ROW($T$12))&amp;":T"&amp;(ROW()-1))))),Первоначальный[[#This Row],[Полученный платеж]]+Y1509),
AND(S1509=0,Первоначальный[[#This Row],[Дата платежа из графика]]=1),MIN(LOOKUP(,-1/($Z$12:Z1510=1),$C$12:C1510)+LOOKUP(,-1/($Z$12:Z1510=1),$H$12:H1510)-IF(Z1509=1,0,SUM(INDIRECT("T"&amp;(MAX((1=Z$12:Z1509)*ROW(Z$12:Z1509)+1,ROW($T$12))&amp;":T"&amp;(ROW()-1))))),Первоначальный[[#This Row],[Полученный платеж]]+Y1509),
AND(Z1509&gt;0,Первоначальный[[#This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платеж]]+Y1509),
AND(S1509&gt;0,MAX((0&lt;&gt;S$12:S1509)*ROW(S$12:S1509),ROW($S$12))&gt;=MAX((1=Z$12:Z1509)*ROW(Z$12:Z1509),ROW($T$12)),TYPE(VLOOKUP("Да",(INDIRECT("AA"&amp;(MAX((1=Z$12:Z1509)*ROW(Z$12:Z1509),ROW($T$12))&amp;":AA"&amp;(ROW()-1)))),1,0))=16),MIN(LOOKUP(,-1/($Z$12:Z1510=1),$C$12:C1510)+LOOKUP(,-1/($Z$12:Z1510=1),$H$12:H1510)-SUM(INDIRECT("T"&amp;(MAX((1=Z$12:Z1509)*ROW(Z$12:Z1509),ROW($T$12))&amp;":T"&amp;(ROW()-1)))),Первоначальный[[#This Row],[Полученный платеж]]+Y1509),
S1509&gt;0,MIN(LOOKUP(,-1/($Z$12:Z1510=1),$C$12:C1510)+LOOKUP(,-1/($Z$12:Z1510=1),$H$12:H1510)-IF(Z1509=1,0,SUM(INDIRECT("T"&amp;(MAX((1=Z$12:Z1509)*ROW(Z$12:Z1509)+1,ROW($T$12))&amp;":T"&amp;(ROW()-1))))),Первоначальный[[#This Row],[Полученный платеж]]+Y1509)
)
)
)</f>
        <v>0</v>
      </c>
      <c r="U151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платеж]]+Y1509-Первоначальный[[#This Row],[Полученный платёж по процентам]])</f>
        <v>0</v>
      </c>
      <c r="V1510" s="55">
        <f t="shared" ca="1" si="279"/>
        <v>0</v>
      </c>
      <c r="W1510" s="55" cm="1">
        <f t="array" aca="1" ref="W1510" ca="1">IF(Первоначальный[[#This Row],[Итого остаток на начало периода]]&lt;1,0,
_xlfn.IFS(
AND(TYPE(VLOOKUP(1,$Z$12:Z1510,1,0))=16,Первоначальный[[#This Row],[Досрочное погашение (да/"")]]=""),0,
AND(S1509=0,Первоначальный[[#This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платеж]]+Y1509-SUM(Первоначальный[[#This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комиссиям]]),VLOOKUP(LOOKUP(,-1/($Z$12:Z1510=1),$A$12:A1510),График[[Срок конец]:[Возврат основной суммы долга]],3,0)),
AND(S1509=0,Первоначальный[[#This Row],[Дата платежа из графика]]="",Первоначальный[[#This Row],[Досрочное погашение (да/"")]]&lt;&gt;"Да"),0,
AND(S1509=0,Первоначальный[[#This Row],[Досрочное погашение (да/"")]]=""),MIN(Первоначальный[[#This Row],[Полученный платеж]]+Y1509-SUM(Первоначальный[[#This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комиссиям]]),VLOOKUP(LOOKUP(,-1/($Z$12:Z1510=1),$A$12:A1510),График[[Срок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платеж]]+Y1509-SUM(Первоначальный[[#This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S1509&gt;0,MIN(Первоначальный[[#This Row],[Полученный платеж]]+Y1509-SUM(Первоначальный[[#This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комиссиям]]),SUM(INDIRECT("M"&amp;(MAX((1=S$12:S1509)*ROW(S$12:S1509),ROW($W$12))&amp;":M"&amp;(ROW()))))-SUM(INDIRECT("W"&amp;(MAX((1=S$12:S1509)*ROW(S$12:S1509),ROW($W$12))&amp;":W"&amp;(ROW()-1)))))
)
)</f>
        <v>0</v>
      </c>
      <c r="X1510" s="55">
        <f t="shared" ca="1" si="280"/>
        <v>0</v>
      </c>
      <c r="Y1510" s="101">
        <f t="shared" ca="1" si="287"/>
        <v>0</v>
      </c>
      <c r="Z1510" s="133" t="str">
        <f>IF(TYPE((VLOOKUP(Первоначальный[[#This Row],[Дата платежа]],График[Срок конец],1,0)))=16,"",1)</f>
        <v/>
      </c>
      <c r="AA1510" s="57"/>
      <c r="AB1510" s="134"/>
      <c r="AC151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1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107200.13000000005</v>
      </c>
      <c r="AE151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9858.9299999999876</v>
      </c>
      <c r="AF151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1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481344.45060983719</v>
      </c>
      <c r="AH1510" s="55"/>
      <c r="AI1510" s="55"/>
      <c r="AJ1510" s="55"/>
      <c r="AK1510" s="101">
        <f t="shared" ca="1" si="288"/>
        <v>748036.85060983722</v>
      </c>
      <c r="AL1510" s="129">
        <f t="array" ref="AL1510">MAX((УслРестрактов[Характеристика]="Дата реструктуризации")*(УслРестрактов[Значение]=Первоначальный!$A1510),0)</f>
        <v>0</v>
      </c>
    </row>
    <row r="1511" spans="1:38" x14ac:dyDescent="0.25">
      <c r="A1511" s="97">
        <f t="shared" si="281"/>
        <v>45642</v>
      </c>
      <c r="B1511" s="100">
        <f t="shared" ca="1" si="282"/>
        <v>149633.34</v>
      </c>
      <c r="C1511" s="55">
        <f t="shared" ca="1" si="278"/>
        <v>107200.13000000005</v>
      </c>
      <c r="D1511" s="55">
        <f t="shared" ca="1" si="278"/>
        <v>9858.9299999999876</v>
      </c>
      <c r="E1511" s="55">
        <f t="shared" ca="1" si="283"/>
        <v>0</v>
      </c>
      <c r="F1511" s="55">
        <f t="shared" ca="1" si="284"/>
        <v>481344.45060983719</v>
      </c>
      <c r="G1511" s="101">
        <f t="shared" ca="1" si="285"/>
        <v>748036.85060983722</v>
      </c>
      <c r="H1511" s="100">
        <f ca="1">ROUND($B1511*VLOOKUP($A1511,$A$1:$B$10,2,1)/(365+IF(MOD(YEAR($A1511),4),0,1)*($A1511-$A1510)),2)-Первоначальный[[#This Row],[Проценты на просроченный платеж по ОД за период]]</f>
        <v>65.400000000000006</v>
      </c>
      <c r="I1511" s="55">
        <f t="shared" ca="1" si="286"/>
        <v>15.96</v>
      </c>
      <c r="J1511" s="55">
        <v>0</v>
      </c>
      <c r="K1511" s="55">
        <f t="shared" ca="1" si="289"/>
        <v>680.72850327868844</v>
      </c>
      <c r="L1511" s="55">
        <v>0</v>
      </c>
      <c r="M1511" s="113">
        <f>SUMIFS(График[Возврат основной суммы долга],График[Дата с учетом нерабочих дней],$A1511)</f>
        <v>0</v>
      </c>
      <c r="N1511" s="56">
        <f>SUMIFS(График[Возврат начисленных %],График[Дата с учетом нерабочих дней],$A1511)</f>
        <v>0</v>
      </c>
      <c r="O1511" s="101">
        <v>0</v>
      </c>
      <c r="P1511" s="100" cm="1">
        <f t="array" aca="1" ref="P1511" ca="1">MAX(IF(AA1510="Да",0,SUM(INDIRECT("M"&amp;(MAX(("Да"=AA$12:AA1510)*ROW(AA$12:AA1510)+1,ROW($P$12))&amp;":M"&amp;(ROW()))))-SUM(INDIRECT("W"&amp;(MAX(("Да"=AA$12:AA1510)*ROW(AA$12:AA1510)+1,ROW($P$12))&amp;":W"&amp;(ROW()))))),0)</f>
        <v>29344.699999999997</v>
      </c>
      <c r="Q1511" s="99">
        <f ca="1">MAX(SUM($N$13:N1511)-SUM($T$13:T1511),0)</f>
        <v>106801.00065573769</v>
      </c>
      <c r="R1511" s="99">
        <f ca="1">Первоначальный[[#This Row],[Просроченный платеж по ОД]]+Первоначальный[[#This Row],[Просроченный платеж по процентам]]</f>
        <v>136145.70065573769</v>
      </c>
      <c r="S1511" s="120">
        <f ca="1">IF(Первоначальный[[#This Row],[Просроченный платеж]]&lt;1,0,S1510+1)</f>
        <v>1407</v>
      </c>
      <c r="T1511" s="100" cm="1">
        <f t="array" aca="1" ref="T1511" ca="1">IF(Первоначальный[[#This Row],[Итого остаток на начало периода]]&lt;1,0,
IF(
AND(TYPE(VLOOKUP(1,$Z$12:Z1511,1,0))=16,Первоначальный[[#This Row],[Досрочное погашение (да/"")]]=""),0,
_xlfn.IFS(AND(S1510=0,Первоначальный[[#This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платеж]]&lt;&gt;0),MIN(LOOKUP(,-1/($Z$12:Z1511=1),$C$12:C1511)+LOOKUP(,-1/($Z$12:Z1511=1),$H$12:H1511),Первоначальный[[#This Row],[Полученный платеж]]+Y1510),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платеж]]+Y1510,SUM(Первоначальный[[#This Row],[Остаток процентов на начало периода]],Первоначальный[[#This Row],[Проценты за период]])),
AND(S1510=0,Первоначальный[[#This Row],[Дата платежа из графика]]=""),0,
AND(S1510=0,Первоначальный[[#This Row],[Дата платежа из графика]]=1,MAX((0&lt;&gt;S$12:S1510)*ROW(S$12:S1510),ROW($S$12))&gt;=MAX((1=Z$12:Z1510)*ROW(Z$12:Z1510),ROW($T$12)),TYPE(VLOOKUP("Да",(INDIRECT("AA"&amp;(MAX((1=Z$12:Z1510)*ROW(Z$12:Z1510),ROW($T$12))&amp;":AA"&amp;(ROW()-1)))),1,0))=16),MIN(LOOKUP(,-1/($Z$12:Z1511=1),$C$12:C1511)+LOOKUP(,-1/($Z$12:Z1511=1),$H$12:H1511),Первоначальный[[#This Row],[Полученный платеж]]+Y1510),
AND(S1510=0,TYPE(VLOOKUP("Да",(INDIRECT("AA"&amp;(MAX((1=Z$12:Z1510)*ROW(Z$12:Z1510),ROW($T$12))&amp;":AA"&amp;(ROW()-1)))),1,0))&lt;&gt;16),MIN(LOOKUP(,-1/($Z$12:Z1511=1),$C$12:C1511)+LOOKUP(,-1/($Z$12:Z1511=1),$H$12:H1511)-IF(AA1510="Да",0,SUM(INDIRECT("T"&amp;(MAX(("Да"=AA$12:AA1510)*ROW(AA$12:AA1510)+1,ROW($T$12))&amp;":T"&amp;(ROW()-1))))),Первоначальный[[#This Row],[Полученный платеж]]+Y1510),
AND(S1510=0,MAX((0&lt;&gt;N$12:N1510)*ROW(N$12:N1510),ROW($S$12))&gt;=MAX((1=Z$12:Z1510)*ROW(Z$12:Z1510),ROW($T$12))),MIN(LOOKUP(,-1/($Z$12:Z1511=1),$C$12:C1511)+LOOKUP(,-1/($Z$12:Z1511=1),$H$12:H1511)-IF(N1510&lt;&gt;0,0,SUM(INDIRECT("T"&amp;(MAX((0&lt;&gt;N$12:N1510)*ROW(N$12:N1510)+1,ROW($T$12))&amp;":T"&amp;(ROW()-1))))),Первоначальный[[#This Row],[Полученный платеж]]+Y1510),
AND(S1510=0,Первоначальный[[#This Row],[Дата платежа из графика]]=1),MIN(LOOKUP(,-1/($Z$12:Z1511=1),$C$12:C1511)+LOOKUP(,-1/($Z$12:Z1511=1),$H$12:H1511)-IF(Z1510=1,0,SUM(INDIRECT("T"&amp;(MAX((1=Z$12:Z1510)*ROW(Z$12:Z1510)+1,ROW($T$12))&amp;":T"&amp;(ROW()-1))))),Первоначальный[[#This Row],[Полученный платеж]]+Y1510),
AND(Z1510&gt;0,Первоначальный[[#This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платеж]]+Y1510),
AND(S1510&gt;0,MAX((0&lt;&gt;S$12:S1510)*ROW(S$12:S1510),ROW($S$12))&gt;=MAX((1=Z$12:Z1510)*ROW(Z$12:Z1510),ROW($T$12)),TYPE(VLOOKUP("Да",(INDIRECT("AA"&amp;(MAX((1=Z$12:Z1510)*ROW(Z$12:Z1510),ROW($T$12))&amp;":AA"&amp;(ROW()-1)))),1,0))=16),MIN(LOOKUP(,-1/($Z$12:Z1511=1),$C$12:C1511)+LOOKUP(,-1/($Z$12:Z1511=1),$H$12:H1511)-SUM(INDIRECT("T"&amp;(MAX((1=Z$12:Z1510)*ROW(Z$12:Z1510),ROW($T$12))&amp;":T"&amp;(ROW()-1)))),Первоначальный[[#This Row],[Полученный платеж]]+Y1510),
S1510&gt;0,MIN(LOOKUP(,-1/($Z$12:Z1511=1),$C$12:C1511)+LOOKUP(,-1/($Z$12:Z1511=1),$H$12:H1511)-IF(Z1510=1,0,SUM(INDIRECT("T"&amp;(MAX((1=Z$12:Z1510)*ROW(Z$12:Z1510)+1,ROW($T$12))&amp;":T"&amp;(ROW()-1))))),Первоначальный[[#This Row],[Полученный платеж]]+Y1510)
)
)
)</f>
        <v>0</v>
      </c>
      <c r="U151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платеж]]+Y1510-Первоначальный[[#This Row],[Полученный платёж по процентам]])</f>
        <v>0</v>
      </c>
      <c r="V1511" s="55">
        <f t="shared" ca="1" si="279"/>
        <v>0</v>
      </c>
      <c r="W1511" s="55" cm="1">
        <f t="array" aca="1" ref="W1511" ca="1">IF(Первоначальный[[#This Row],[Итого остаток на начало периода]]&lt;1,0,
_xlfn.IFS(
AND(TYPE(VLOOKUP(1,$Z$12:Z1511,1,0))=16,Первоначальный[[#This Row],[Досрочное погашение (да/"")]]=""),0,
AND(S1510=0,Первоначальный[[#This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платеж]]+Y1510-SUM(Первоначальный[[#This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комиссиям]]),VLOOKUP(LOOKUP(,-1/($Z$12:Z1511=1),$A$12:A1511),График[[Срок конец]:[Возврат основной суммы долга]],3,0)),
AND(S1510=0,Первоначальный[[#This Row],[Дата платежа из графика]]="",Первоначальный[[#This Row],[Досрочное погашение (да/"")]]&lt;&gt;"Да"),0,
AND(S1510=0,Первоначальный[[#This Row],[Досрочное погашение (да/"")]]=""),MIN(Первоначальный[[#This Row],[Полученный платеж]]+Y1510-SUM(Первоначальный[[#This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комиссиям]]),VLOOKUP(LOOKUP(,-1/($Z$12:Z1511=1),$A$12:A1511),График[[Срок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платеж]]+Y1510-SUM(Первоначальный[[#This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S1510&gt;0,MIN(Первоначальный[[#This Row],[Полученный платеж]]+Y1510-SUM(Первоначальный[[#This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комиссиям]]),SUM(INDIRECT("M"&amp;(MAX((1=S$12:S1510)*ROW(S$12:S1510),ROW($W$12))&amp;":M"&amp;(ROW()))))-SUM(INDIRECT("W"&amp;(MAX((1=S$12:S1510)*ROW(S$12:S1510),ROW($W$12))&amp;":W"&amp;(ROW()-1)))))
)
)</f>
        <v>0</v>
      </c>
      <c r="X1511" s="55">
        <f t="shared" ca="1" si="280"/>
        <v>0</v>
      </c>
      <c r="Y1511" s="101">
        <f t="shared" ca="1" si="287"/>
        <v>0</v>
      </c>
      <c r="Z1511" s="133" t="str">
        <f>IF(TYPE((VLOOKUP(Первоначальный[[#This Row],[Дата платежа]],График[Срок конец],1,0)))=16,"",1)</f>
        <v/>
      </c>
      <c r="AA1511" s="57"/>
      <c r="AB1511" s="134"/>
      <c r="AC151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1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107265.53000000004</v>
      </c>
      <c r="AE151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9874.8899999999867</v>
      </c>
      <c r="AF151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1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482025.17911311588</v>
      </c>
      <c r="AH1511" s="55"/>
      <c r="AI1511" s="55"/>
      <c r="AJ1511" s="55"/>
      <c r="AK1511" s="101">
        <f t="shared" ca="1" si="288"/>
        <v>748798.93911311589</v>
      </c>
      <c r="AL1511" s="129">
        <f t="array" ref="AL1511">MAX((УслРестрактов[Характеристика]="Дата реструктуризации")*(УслРестрактов[Значение]=Первоначальный!$A1511),0)</f>
        <v>0</v>
      </c>
    </row>
    <row r="1512" spans="1:38" x14ac:dyDescent="0.25">
      <c r="A1512" s="97">
        <f t="shared" si="281"/>
        <v>45643</v>
      </c>
      <c r="B1512" s="100">
        <f t="shared" ca="1" si="282"/>
        <v>149633.34</v>
      </c>
      <c r="C1512" s="55">
        <f t="shared" ca="1" si="278"/>
        <v>107265.53000000004</v>
      </c>
      <c r="D1512" s="55">
        <f t="shared" ca="1" si="278"/>
        <v>9874.8899999999867</v>
      </c>
      <c r="E1512" s="55">
        <f t="shared" ca="1" si="283"/>
        <v>0</v>
      </c>
      <c r="F1512" s="55">
        <f t="shared" ca="1" si="284"/>
        <v>482025.17911311588</v>
      </c>
      <c r="G1512" s="101">
        <f t="shared" ca="1" si="285"/>
        <v>748798.93911311589</v>
      </c>
      <c r="H1512" s="100">
        <f ca="1">ROUND($B1512*VLOOKUP($A1512,$A$1:$B$10,2,1)/(365+IF(MOD(YEAR($A1512),4),0,1)*($A1512-$A1511)),2)-Первоначальный[[#This Row],[Проценты на просроченный платеж по ОД за период]]</f>
        <v>65.400000000000006</v>
      </c>
      <c r="I1512" s="55">
        <f t="shared" ca="1" si="286"/>
        <v>15.96</v>
      </c>
      <c r="J1512" s="55">
        <v>0</v>
      </c>
      <c r="K1512" s="55">
        <f t="shared" ca="1" si="289"/>
        <v>680.72850327868844</v>
      </c>
      <c r="L1512" s="55">
        <v>0</v>
      </c>
      <c r="M1512" s="113">
        <f>SUMIFS(График[Возврат основной суммы долга],График[Дата с учетом нерабочих дней],$A1512)</f>
        <v>0</v>
      </c>
      <c r="N1512" s="56">
        <f>SUMIFS(График[Возврат начисленных %],График[Дата с учетом нерабочих дней],$A1512)</f>
        <v>0</v>
      </c>
      <c r="O1512" s="101">
        <v>0</v>
      </c>
      <c r="P1512" s="100" cm="1">
        <f t="array" aca="1" ref="P1512" ca="1">MAX(IF(AA1511="Да",0,SUM(INDIRECT("M"&amp;(MAX(("Да"=AA$12:AA1511)*ROW(AA$12:AA1511)+1,ROW($P$12))&amp;":M"&amp;(ROW()))))-SUM(INDIRECT("W"&amp;(MAX(("Да"=AA$12:AA1511)*ROW(AA$12:AA1511)+1,ROW($P$12))&amp;":W"&amp;(ROW()))))),0)</f>
        <v>29344.699999999997</v>
      </c>
      <c r="Q1512" s="99">
        <f ca="1">MAX(SUM($N$13:N1512)-SUM($T$13:T1512),0)</f>
        <v>106801.00065573769</v>
      </c>
      <c r="R1512" s="99">
        <f ca="1">Первоначальный[[#This Row],[Просроченный платеж по ОД]]+Первоначальный[[#This Row],[Просроченный платеж по процентам]]</f>
        <v>136145.70065573769</v>
      </c>
      <c r="S1512" s="120">
        <f ca="1">IF(Первоначальный[[#This Row],[Просроченный платеж]]&lt;1,0,S1511+1)</f>
        <v>1408</v>
      </c>
      <c r="T1512" s="100" cm="1">
        <f t="array" aca="1" ref="T1512" ca="1">IF(Первоначальный[[#This Row],[Итого остаток на начало периода]]&lt;1,0,
IF(
AND(TYPE(VLOOKUP(1,$Z$12:Z1512,1,0))=16,Первоначальный[[#This Row],[Досрочное погашение (да/"")]]=""),0,
_xlfn.IFS(AND(S1511=0,Первоначальный[[#This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платеж]]&lt;&gt;0),MIN(LOOKUP(,-1/($Z$12:Z1512=1),$C$12:C1512)+LOOKUP(,-1/($Z$12:Z1512=1),$H$12:H1512),Первоначальный[[#This Row],[Полученный платеж]]+Y1511),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платеж]]+Y1511,SUM(Первоначальный[[#This Row],[Остаток процентов на начало периода]],Первоначальный[[#This Row],[Проценты за период]])),
AND(S1511=0,Первоначальный[[#This Row],[Дата платежа из графика]]=""),0,
AND(S1511=0,Первоначальный[[#This Row],[Дата платежа из графика]]=1,MAX((0&lt;&gt;S$12:S1511)*ROW(S$12:S1511),ROW($S$12))&gt;=MAX((1=Z$12:Z1511)*ROW(Z$12:Z1511),ROW($T$12)),TYPE(VLOOKUP("Да",(INDIRECT("AA"&amp;(MAX((1=Z$12:Z1511)*ROW(Z$12:Z1511),ROW($T$12))&amp;":AA"&amp;(ROW()-1)))),1,0))=16),MIN(LOOKUP(,-1/($Z$12:Z1512=1),$C$12:C1512)+LOOKUP(,-1/($Z$12:Z1512=1),$H$12:H1512),Первоначальный[[#This Row],[Полученный платеж]]+Y1511),
AND(S1511=0,TYPE(VLOOKUP("Да",(INDIRECT("AA"&amp;(MAX((1=Z$12:Z1511)*ROW(Z$12:Z1511),ROW($T$12))&amp;":AA"&amp;(ROW()-1)))),1,0))&lt;&gt;16),MIN(LOOKUP(,-1/($Z$12:Z1512=1),$C$12:C1512)+LOOKUP(,-1/($Z$12:Z1512=1),$H$12:H1512)-IF(AA1511="Да",0,SUM(INDIRECT("T"&amp;(MAX(("Да"=AA$12:AA1511)*ROW(AA$12:AA1511)+1,ROW($T$12))&amp;":T"&amp;(ROW()-1))))),Первоначальный[[#This Row],[Полученный платеж]]+Y1511),
AND(S1511=0,MAX((0&lt;&gt;N$12:N1511)*ROW(N$12:N1511),ROW($S$12))&gt;=MAX((1=Z$12:Z1511)*ROW(Z$12:Z1511),ROW($T$12))),MIN(LOOKUP(,-1/($Z$12:Z1512=1),$C$12:C1512)+LOOKUP(,-1/($Z$12:Z1512=1),$H$12:H1512)-IF(N1511&lt;&gt;0,0,SUM(INDIRECT("T"&amp;(MAX((0&lt;&gt;N$12:N1511)*ROW(N$12:N1511)+1,ROW($T$12))&amp;":T"&amp;(ROW()-1))))),Первоначальный[[#This Row],[Полученный платеж]]+Y1511),
AND(S1511=0,Первоначальный[[#This Row],[Дата платежа из графика]]=1),MIN(LOOKUP(,-1/($Z$12:Z1512=1),$C$12:C1512)+LOOKUP(,-1/($Z$12:Z1512=1),$H$12:H1512)-IF(Z1511=1,0,SUM(INDIRECT("T"&amp;(MAX((1=Z$12:Z1511)*ROW(Z$12:Z1511)+1,ROW($T$12))&amp;":T"&amp;(ROW()-1))))),Первоначальный[[#This Row],[Полученный платеж]]+Y1511),
AND(Z1511&gt;0,Первоначальный[[#This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платеж]]+Y1511),
AND(S1511&gt;0,MAX((0&lt;&gt;S$12:S1511)*ROW(S$12:S1511),ROW($S$12))&gt;=MAX((1=Z$12:Z1511)*ROW(Z$12:Z1511),ROW($T$12)),TYPE(VLOOKUP("Да",(INDIRECT("AA"&amp;(MAX((1=Z$12:Z1511)*ROW(Z$12:Z1511),ROW($T$12))&amp;":AA"&amp;(ROW()-1)))),1,0))=16),MIN(LOOKUP(,-1/($Z$12:Z1512=1),$C$12:C1512)+LOOKUP(,-1/($Z$12:Z1512=1),$H$12:H1512)-SUM(INDIRECT("T"&amp;(MAX((1=Z$12:Z1511)*ROW(Z$12:Z1511),ROW($T$12))&amp;":T"&amp;(ROW()-1)))),Первоначальный[[#This Row],[Полученный платеж]]+Y1511),
S1511&gt;0,MIN(LOOKUP(,-1/($Z$12:Z1512=1),$C$12:C1512)+LOOKUP(,-1/($Z$12:Z1512=1),$H$12:H1512)-IF(Z1511=1,0,SUM(INDIRECT("T"&amp;(MAX((1=Z$12:Z1511)*ROW(Z$12:Z1511)+1,ROW($T$12))&amp;":T"&amp;(ROW()-1))))),Первоначальный[[#This Row],[Полученный платеж]]+Y1511)
)
)
)</f>
        <v>0</v>
      </c>
      <c r="U151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платеж]]+Y1511-Первоначальный[[#This Row],[Полученный платёж по процентам]])</f>
        <v>0</v>
      </c>
      <c r="V1512" s="55">
        <f t="shared" ca="1" si="279"/>
        <v>0</v>
      </c>
      <c r="W1512" s="55" cm="1">
        <f t="array" aca="1" ref="W1512" ca="1">IF(Первоначальный[[#This Row],[Итого остаток на начало периода]]&lt;1,0,
_xlfn.IFS(
AND(TYPE(VLOOKUP(1,$Z$12:Z1512,1,0))=16,Первоначальный[[#This Row],[Досрочное погашение (да/"")]]=""),0,
AND(S1511=0,Первоначальный[[#This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платеж]]+Y1511-SUM(Первоначальный[[#This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комиссиям]]),VLOOKUP(LOOKUP(,-1/($Z$12:Z1512=1),$A$12:A1512),График[[Срок конец]:[Возврат основной суммы долга]],3,0)),
AND(S1511=0,Первоначальный[[#This Row],[Дата платежа из графика]]="",Первоначальный[[#This Row],[Досрочное погашение (да/"")]]&lt;&gt;"Да"),0,
AND(S1511=0,Первоначальный[[#This Row],[Досрочное погашение (да/"")]]=""),MIN(Первоначальный[[#This Row],[Полученный платеж]]+Y1511-SUM(Первоначальный[[#This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комиссиям]]),VLOOKUP(LOOKUP(,-1/($Z$12:Z1512=1),$A$12:A1512),График[[Срок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платеж]]+Y1511-SUM(Первоначальный[[#This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S1511&gt;0,MIN(Первоначальный[[#This Row],[Полученный платеж]]+Y1511-SUM(Первоначальный[[#This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комиссиям]]),SUM(INDIRECT("M"&amp;(MAX((1=S$12:S1511)*ROW(S$12:S1511),ROW($W$12))&amp;":M"&amp;(ROW()))))-SUM(INDIRECT("W"&amp;(MAX((1=S$12:S1511)*ROW(S$12:S1511),ROW($W$12))&amp;":W"&amp;(ROW()-1)))))
)
)</f>
        <v>0</v>
      </c>
      <c r="X1512" s="55">
        <f t="shared" ca="1" si="280"/>
        <v>0</v>
      </c>
      <c r="Y1512" s="101">
        <f t="shared" ca="1" si="287"/>
        <v>0</v>
      </c>
      <c r="Z1512" s="133" t="str">
        <f>IF(TYPE((VLOOKUP(Первоначальный[[#This Row],[Дата платежа]],График[Срок конец],1,0)))=16,"",1)</f>
        <v/>
      </c>
      <c r="AA1512" s="57"/>
      <c r="AB1512" s="134"/>
      <c r="AC151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1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107330.93000000004</v>
      </c>
      <c r="AE151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9890.8499999999858</v>
      </c>
      <c r="AF151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1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482705.90761639457</v>
      </c>
      <c r="AH1512" s="55"/>
      <c r="AI1512" s="55"/>
      <c r="AJ1512" s="55"/>
      <c r="AK1512" s="101">
        <f t="shared" ca="1" si="288"/>
        <v>749561.02761639457</v>
      </c>
      <c r="AL1512" s="129">
        <f t="array" ref="AL1512">MAX((УслРестрактов[Характеристика]="Дата реструктуризации")*(УслРестрактов[Значение]=Первоначальный!$A1512),0)</f>
        <v>0</v>
      </c>
    </row>
    <row r="1513" spans="1:38" x14ac:dyDescent="0.25">
      <c r="A1513" s="97">
        <f t="shared" si="281"/>
        <v>45644</v>
      </c>
      <c r="B1513" s="100">
        <f t="shared" ca="1" si="282"/>
        <v>149633.34</v>
      </c>
      <c r="C1513" s="55">
        <f t="shared" ca="1" si="278"/>
        <v>107330.93000000004</v>
      </c>
      <c r="D1513" s="55">
        <f t="shared" ca="1" si="278"/>
        <v>9890.8499999999858</v>
      </c>
      <c r="E1513" s="55">
        <f t="shared" ca="1" si="283"/>
        <v>0</v>
      </c>
      <c r="F1513" s="55">
        <f t="shared" ca="1" si="284"/>
        <v>482705.90761639457</v>
      </c>
      <c r="G1513" s="101">
        <f t="shared" ca="1" si="285"/>
        <v>749561.02761639457</v>
      </c>
      <c r="H1513" s="100">
        <f ca="1">ROUND($B1513*VLOOKUP($A1513,$A$1:$B$10,2,1)/(365+IF(MOD(YEAR($A1513),4),0,1)*($A1513-$A1512)),2)-Первоначальный[[#This Row],[Проценты на просроченный платеж по ОД за период]]</f>
        <v>65.400000000000006</v>
      </c>
      <c r="I1513" s="55">
        <f t="shared" ca="1" si="286"/>
        <v>15.96</v>
      </c>
      <c r="J1513" s="55">
        <v>0</v>
      </c>
      <c r="K1513" s="55">
        <f t="shared" ca="1" si="289"/>
        <v>680.72850327868844</v>
      </c>
      <c r="L1513" s="55">
        <v>0</v>
      </c>
      <c r="M1513" s="113">
        <f>SUMIFS(График[Возврат основной суммы долга],График[Дата с учетом нерабочих дней],$A1513)</f>
        <v>0</v>
      </c>
      <c r="N1513" s="56">
        <f>SUMIFS(График[Возврат начисленных %],График[Дата с учетом нерабочих дней],$A1513)</f>
        <v>0</v>
      </c>
      <c r="O1513" s="101">
        <v>0</v>
      </c>
      <c r="P1513" s="100" cm="1">
        <f t="array" aca="1" ref="P1513" ca="1">MAX(IF(AA1512="Да",0,SUM(INDIRECT("M"&amp;(MAX(("Да"=AA$12:AA1512)*ROW(AA$12:AA1512)+1,ROW($P$12))&amp;":M"&amp;(ROW()))))-SUM(INDIRECT("W"&amp;(MAX(("Да"=AA$12:AA1512)*ROW(AA$12:AA1512)+1,ROW($P$12))&amp;":W"&amp;(ROW()))))),0)</f>
        <v>29344.699999999997</v>
      </c>
      <c r="Q1513" s="99">
        <f ca="1">MAX(SUM($N$13:N1513)-SUM($T$13:T1513),0)</f>
        <v>106801.00065573769</v>
      </c>
      <c r="R1513" s="99">
        <f ca="1">Первоначальный[[#This Row],[Просроченный платеж по ОД]]+Первоначальный[[#This Row],[Просроченный платеж по процентам]]</f>
        <v>136145.70065573769</v>
      </c>
      <c r="S1513" s="120">
        <f ca="1">IF(Первоначальный[[#This Row],[Просроченный платеж]]&lt;1,0,S1512+1)</f>
        <v>1409</v>
      </c>
      <c r="T1513" s="100" cm="1">
        <f t="array" aca="1" ref="T1513" ca="1">IF(Первоначальный[[#This Row],[Итого остаток на начало периода]]&lt;1,0,
IF(
AND(TYPE(VLOOKUP(1,$Z$12:Z1513,1,0))=16,Первоначальный[[#This Row],[Досрочное погашение (да/"")]]=""),0,
_xlfn.IFS(AND(S1512=0,Первоначальный[[#This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платеж]]&lt;&gt;0),MIN(LOOKUP(,-1/($Z$12:Z1513=1),$C$12:C1513)+LOOKUP(,-1/($Z$12:Z1513=1),$H$12:H1513),Первоначальный[[#This Row],[Полученный платеж]]+Y1512),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платеж]]+Y1512,SUM(Первоначальный[[#This Row],[Остаток процентов на начало периода]],Первоначальный[[#This Row],[Проценты за период]])),
AND(S1512=0,Первоначальный[[#This Row],[Дата платежа из графика]]=""),0,
AND(S1512=0,Первоначальный[[#This Row],[Дата платежа из графика]]=1,MAX((0&lt;&gt;S$12:S1512)*ROW(S$12:S1512),ROW($S$12))&gt;=MAX((1=Z$12:Z1512)*ROW(Z$12:Z1512),ROW($T$12)),TYPE(VLOOKUP("Да",(INDIRECT("AA"&amp;(MAX((1=Z$12:Z1512)*ROW(Z$12:Z1512),ROW($T$12))&amp;":AA"&amp;(ROW()-1)))),1,0))=16),MIN(LOOKUP(,-1/($Z$12:Z1513=1),$C$12:C1513)+LOOKUP(,-1/($Z$12:Z1513=1),$H$12:H1513),Первоначальный[[#This Row],[Полученный платеж]]+Y1512),
AND(S1512=0,TYPE(VLOOKUP("Да",(INDIRECT("AA"&amp;(MAX((1=Z$12:Z1512)*ROW(Z$12:Z1512),ROW($T$12))&amp;":AA"&amp;(ROW()-1)))),1,0))&lt;&gt;16),MIN(LOOKUP(,-1/($Z$12:Z1513=1),$C$12:C1513)+LOOKUP(,-1/($Z$12:Z1513=1),$H$12:H1513)-IF(AA1512="Да",0,SUM(INDIRECT("T"&amp;(MAX(("Да"=AA$12:AA1512)*ROW(AA$12:AA1512)+1,ROW($T$12))&amp;":T"&amp;(ROW()-1))))),Первоначальный[[#This Row],[Полученный платеж]]+Y1512),
AND(S1512=0,MAX((0&lt;&gt;N$12:N1512)*ROW(N$12:N1512),ROW($S$12))&gt;=MAX((1=Z$12:Z1512)*ROW(Z$12:Z1512),ROW($T$12))),MIN(LOOKUP(,-1/($Z$12:Z1513=1),$C$12:C1513)+LOOKUP(,-1/($Z$12:Z1513=1),$H$12:H1513)-IF(N1512&lt;&gt;0,0,SUM(INDIRECT("T"&amp;(MAX((0&lt;&gt;N$12:N1512)*ROW(N$12:N1512)+1,ROW($T$12))&amp;":T"&amp;(ROW()-1))))),Первоначальный[[#This Row],[Полученный платеж]]+Y1512),
AND(S1512=0,Первоначальный[[#This Row],[Дата платежа из графика]]=1),MIN(LOOKUP(,-1/($Z$12:Z1513=1),$C$12:C1513)+LOOKUP(,-1/($Z$12:Z1513=1),$H$12:H1513)-IF(Z1512=1,0,SUM(INDIRECT("T"&amp;(MAX((1=Z$12:Z1512)*ROW(Z$12:Z1512)+1,ROW($T$12))&amp;":T"&amp;(ROW()-1))))),Первоначальный[[#This Row],[Полученный платеж]]+Y1512),
AND(Z1512&gt;0,Первоначальный[[#This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платеж]]+Y1512),
AND(S1512&gt;0,MAX((0&lt;&gt;S$12:S1512)*ROW(S$12:S1512),ROW($S$12))&gt;=MAX((1=Z$12:Z1512)*ROW(Z$12:Z1512),ROW($T$12)),TYPE(VLOOKUP("Да",(INDIRECT("AA"&amp;(MAX((1=Z$12:Z1512)*ROW(Z$12:Z1512),ROW($T$12))&amp;":AA"&amp;(ROW()-1)))),1,0))=16),MIN(LOOKUP(,-1/($Z$12:Z1513=1),$C$12:C1513)+LOOKUP(,-1/($Z$12:Z1513=1),$H$12:H1513)-SUM(INDIRECT("T"&amp;(MAX((1=Z$12:Z1512)*ROW(Z$12:Z1512),ROW($T$12))&amp;":T"&amp;(ROW()-1)))),Первоначальный[[#This Row],[Полученный платеж]]+Y1512),
S1512&gt;0,MIN(LOOKUP(,-1/($Z$12:Z1513=1),$C$12:C1513)+LOOKUP(,-1/($Z$12:Z1513=1),$H$12:H1513)-IF(Z1512=1,0,SUM(INDIRECT("T"&amp;(MAX((1=Z$12:Z1512)*ROW(Z$12:Z1512)+1,ROW($T$12))&amp;":T"&amp;(ROW()-1))))),Первоначальный[[#This Row],[Полученный платеж]]+Y1512)
)
)
)</f>
        <v>0</v>
      </c>
      <c r="U151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платеж]]+Y1512-Первоначальный[[#This Row],[Полученный платёж по процентам]])</f>
        <v>0</v>
      </c>
      <c r="V1513" s="55">
        <f t="shared" ca="1" si="279"/>
        <v>0</v>
      </c>
      <c r="W1513" s="55" cm="1">
        <f t="array" aca="1" ref="W1513" ca="1">IF(Первоначальный[[#This Row],[Итого остаток на начало периода]]&lt;1,0,
_xlfn.IFS(
AND(TYPE(VLOOKUP(1,$Z$12:Z1513,1,0))=16,Первоначальный[[#This Row],[Досрочное погашение (да/"")]]=""),0,
AND(S1512=0,Первоначальный[[#This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платеж]]+Y1512-SUM(Первоначальный[[#This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комиссиям]]),VLOOKUP(LOOKUP(,-1/($Z$12:Z1513=1),$A$12:A1513),График[[Срок конец]:[Возврат основной суммы долга]],3,0)),
AND(S1512=0,Первоначальный[[#This Row],[Дата платежа из графика]]="",Первоначальный[[#This Row],[Досрочное погашение (да/"")]]&lt;&gt;"Да"),0,
AND(S1512=0,Первоначальный[[#This Row],[Досрочное погашение (да/"")]]=""),MIN(Первоначальный[[#This Row],[Полученный платеж]]+Y1512-SUM(Первоначальный[[#This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комиссиям]]),VLOOKUP(LOOKUP(,-1/($Z$12:Z1513=1),$A$12:A1513),График[[Срок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платеж]]+Y1512-SUM(Первоначальный[[#This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S1512&gt;0,MIN(Первоначальный[[#This Row],[Полученный платеж]]+Y1512-SUM(Первоначальный[[#This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комиссиям]]),SUM(INDIRECT("M"&amp;(MAX((1=S$12:S1512)*ROW(S$12:S1512),ROW($W$12))&amp;":M"&amp;(ROW()))))-SUM(INDIRECT("W"&amp;(MAX((1=S$12:S1512)*ROW(S$12:S1512),ROW($W$12))&amp;":W"&amp;(ROW()-1)))))
)
)</f>
        <v>0</v>
      </c>
      <c r="X1513" s="55">
        <f t="shared" ca="1" si="280"/>
        <v>0</v>
      </c>
      <c r="Y1513" s="101">
        <f t="shared" ca="1" si="287"/>
        <v>0</v>
      </c>
      <c r="Z1513" s="133" t="str">
        <f>IF(TYPE((VLOOKUP(Первоначальный[[#This Row],[Дата платежа]],График[Срок конец],1,0)))=16,"",1)</f>
        <v/>
      </c>
      <c r="AA1513" s="57"/>
      <c r="AB1513" s="134"/>
      <c r="AC151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1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107396.33000000003</v>
      </c>
      <c r="AE151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9906.8099999999849</v>
      </c>
      <c r="AF151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1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483386.63611967326</v>
      </c>
      <c r="AH1513" s="55"/>
      <c r="AI1513" s="55"/>
      <c r="AJ1513" s="55"/>
      <c r="AK1513" s="101">
        <f t="shared" ca="1" si="288"/>
        <v>750323.11611967324</v>
      </c>
      <c r="AL1513" s="129">
        <f t="array" ref="AL1513">MAX((УслРестрактов[Характеристика]="Дата реструктуризации")*(УслРестрактов[Значение]=Первоначальный!$A1513),0)</f>
        <v>0</v>
      </c>
    </row>
    <row r="1514" spans="1:38" x14ac:dyDescent="0.25">
      <c r="A1514" s="97">
        <f t="shared" si="281"/>
        <v>45645</v>
      </c>
      <c r="B1514" s="100">
        <f t="shared" ca="1" si="282"/>
        <v>149633.34</v>
      </c>
      <c r="C1514" s="55">
        <f t="shared" ca="1" si="278"/>
        <v>107396.33000000003</v>
      </c>
      <c r="D1514" s="55">
        <f t="shared" ca="1" si="278"/>
        <v>9906.8099999999849</v>
      </c>
      <c r="E1514" s="55">
        <f t="shared" ca="1" si="283"/>
        <v>0</v>
      </c>
      <c r="F1514" s="55">
        <f t="shared" ca="1" si="284"/>
        <v>483386.63611967326</v>
      </c>
      <c r="G1514" s="101">
        <f t="shared" ca="1" si="285"/>
        <v>750323.11611967324</v>
      </c>
      <c r="H1514" s="100">
        <f ca="1">ROUND($B1514*VLOOKUP($A1514,$A$1:$B$10,2,1)/(365+IF(MOD(YEAR($A1514),4),0,1)*($A1514-$A1513)),2)-Первоначальный[[#This Row],[Проценты на просроченный платеж по ОД за период]]</f>
        <v>65.400000000000006</v>
      </c>
      <c r="I1514" s="55">
        <f t="shared" ca="1" si="286"/>
        <v>15.96</v>
      </c>
      <c r="J1514" s="55">
        <v>0</v>
      </c>
      <c r="K1514" s="55">
        <f t="shared" ca="1" si="289"/>
        <v>680.72850327868844</v>
      </c>
      <c r="L1514" s="55">
        <v>0</v>
      </c>
      <c r="M1514" s="113">
        <f>SUMIFS(График[Возврат основной суммы долга],График[Дата с учетом нерабочих дней],$A1514)</f>
        <v>0</v>
      </c>
      <c r="N1514" s="56">
        <f>SUMIFS(График[Возврат начисленных %],График[Дата с учетом нерабочих дней],$A1514)</f>
        <v>0</v>
      </c>
      <c r="O1514" s="101">
        <v>0</v>
      </c>
      <c r="P1514" s="100" cm="1">
        <f t="array" aca="1" ref="P1514" ca="1">MAX(IF(AA1513="Да",0,SUM(INDIRECT("M"&amp;(MAX(("Да"=AA$12:AA1513)*ROW(AA$12:AA1513)+1,ROW($P$12))&amp;":M"&amp;(ROW()))))-SUM(INDIRECT("W"&amp;(MAX(("Да"=AA$12:AA1513)*ROW(AA$12:AA1513)+1,ROW($P$12))&amp;":W"&amp;(ROW()))))),0)</f>
        <v>29344.699999999997</v>
      </c>
      <c r="Q1514" s="99">
        <f ca="1">MAX(SUM($N$13:N1514)-SUM($T$13:T1514),0)</f>
        <v>106801.00065573769</v>
      </c>
      <c r="R1514" s="99">
        <f ca="1">Первоначальный[[#This Row],[Просроченный платеж по ОД]]+Первоначальный[[#This Row],[Просроченный платеж по процентам]]</f>
        <v>136145.70065573769</v>
      </c>
      <c r="S1514" s="120">
        <f ca="1">IF(Первоначальный[[#This Row],[Просроченный платеж]]&lt;1,0,S1513+1)</f>
        <v>1410</v>
      </c>
      <c r="T1514" s="100" cm="1">
        <f t="array" aca="1" ref="T1514" ca="1">IF(Первоначальный[[#This Row],[Итого остаток на начало периода]]&lt;1,0,
IF(
AND(TYPE(VLOOKUP(1,$Z$12:Z1514,1,0))=16,Первоначальный[[#This Row],[Досрочное погашение (да/"")]]=""),0,
_xlfn.IFS(AND(S1513=0,Первоначальный[[#This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платеж]]&lt;&gt;0),MIN(LOOKUP(,-1/($Z$12:Z1514=1),$C$12:C1514)+LOOKUP(,-1/($Z$12:Z1514=1),$H$12:H1514),Первоначальный[[#This Row],[Полученный платеж]]+Y1513),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платеж]]+Y1513,SUM(Первоначальный[[#This Row],[Остаток процентов на начало периода]],Первоначальный[[#This Row],[Проценты за период]])),
AND(S1513=0,Первоначальный[[#This Row],[Дата платежа из графика]]=""),0,
AND(S1513=0,Первоначальный[[#This Row],[Дата платежа из графика]]=1,MAX((0&lt;&gt;S$12:S1513)*ROW(S$12:S1513),ROW($S$12))&gt;=MAX((1=Z$12:Z1513)*ROW(Z$12:Z1513),ROW($T$12)),TYPE(VLOOKUP("Да",(INDIRECT("AA"&amp;(MAX((1=Z$12:Z1513)*ROW(Z$12:Z1513),ROW($T$12))&amp;":AA"&amp;(ROW()-1)))),1,0))=16),MIN(LOOKUP(,-1/($Z$12:Z1514=1),$C$12:C1514)+LOOKUP(,-1/($Z$12:Z1514=1),$H$12:H1514),Первоначальный[[#This Row],[Полученный платеж]]+Y1513),
AND(S1513=0,TYPE(VLOOKUP("Да",(INDIRECT("AA"&amp;(MAX((1=Z$12:Z1513)*ROW(Z$12:Z1513),ROW($T$12))&amp;":AA"&amp;(ROW()-1)))),1,0))&lt;&gt;16),MIN(LOOKUP(,-1/($Z$12:Z1514=1),$C$12:C1514)+LOOKUP(,-1/($Z$12:Z1514=1),$H$12:H1514)-IF(AA1513="Да",0,SUM(INDIRECT("T"&amp;(MAX(("Да"=AA$12:AA1513)*ROW(AA$12:AA1513)+1,ROW($T$12))&amp;":T"&amp;(ROW()-1))))),Первоначальный[[#This Row],[Полученный платеж]]+Y1513),
AND(S1513=0,MAX((0&lt;&gt;N$12:N1513)*ROW(N$12:N1513),ROW($S$12))&gt;=MAX((1=Z$12:Z1513)*ROW(Z$12:Z1513),ROW($T$12))),MIN(LOOKUP(,-1/($Z$12:Z1514=1),$C$12:C1514)+LOOKUP(,-1/($Z$12:Z1514=1),$H$12:H1514)-IF(N1513&lt;&gt;0,0,SUM(INDIRECT("T"&amp;(MAX((0&lt;&gt;N$12:N1513)*ROW(N$12:N1513)+1,ROW($T$12))&amp;":T"&amp;(ROW()-1))))),Первоначальный[[#This Row],[Полученный платеж]]+Y1513),
AND(S1513=0,Первоначальный[[#This Row],[Дата платежа из графика]]=1),MIN(LOOKUP(,-1/($Z$12:Z1514=1),$C$12:C1514)+LOOKUP(,-1/($Z$12:Z1514=1),$H$12:H1514)-IF(Z1513=1,0,SUM(INDIRECT("T"&amp;(MAX((1=Z$12:Z1513)*ROW(Z$12:Z1513)+1,ROW($T$12))&amp;":T"&amp;(ROW()-1))))),Первоначальный[[#This Row],[Полученный платеж]]+Y1513),
AND(Z1513&gt;0,Первоначальный[[#This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платеж]]+Y1513),
AND(S1513&gt;0,MAX((0&lt;&gt;S$12:S1513)*ROW(S$12:S1513),ROW($S$12))&gt;=MAX((1=Z$12:Z1513)*ROW(Z$12:Z1513),ROW($T$12)),TYPE(VLOOKUP("Да",(INDIRECT("AA"&amp;(MAX((1=Z$12:Z1513)*ROW(Z$12:Z1513),ROW($T$12))&amp;":AA"&amp;(ROW()-1)))),1,0))=16),MIN(LOOKUP(,-1/($Z$12:Z1514=1),$C$12:C1514)+LOOKUP(,-1/($Z$12:Z1514=1),$H$12:H1514)-SUM(INDIRECT("T"&amp;(MAX((1=Z$12:Z1513)*ROW(Z$12:Z1513),ROW($T$12))&amp;":T"&amp;(ROW()-1)))),Первоначальный[[#This Row],[Полученный платеж]]+Y1513),
S1513&gt;0,MIN(LOOKUP(,-1/($Z$12:Z1514=1),$C$12:C1514)+LOOKUP(,-1/($Z$12:Z1514=1),$H$12:H1514)-IF(Z1513=1,0,SUM(INDIRECT("T"&amp;(MAX((1=Z$12:Z1513)*ROW(Z$12:Z1513)+1,ROW($T$12))&amp;":T"&amp;(ROW()-1))))),Первоначальный[[#This Row],[Полученный платеж]]+Y1513)
)
)
)</f>
        <v>0</v>
      </c>
      <c r="U151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платеж]]+Y1513-Первоначальный[[#This Row],[Полученный платёж по процентам]])</f>
        <v>0</v>
      </c>
      <c r="V1514" s="55">
        <f t="shared" ca="1" si="279"/>
        <v>0</v>
      </c>
      <c r="W1514" s="55" cm="1">
        <f t="array" aca="1" ref="W1514" ca="1">IF(Первоначальный[[#This Row],[Итого остаток на начало периода]]&lt;1,0,
_xlfn.IFS(
AND(TYPE(VLOOKUP(1,$Z$12:Z1514,1,0))=16,Первоначальный[[#This Row],[Досрочное погашение (да/"")]]=""),0,
AND(S1513=0,Первоначальный[[#This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платеж]]+Y1513-SUM(Первоначальный[[#This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комиссиям]]),VLOOKUP(LOOKUP(,-1/($Z$12:Z1514=1),$A$12:A1514),График[[Срок конец]:[Возврат основной суммы долга]],3,0)),
AND(S1513=0,Первоначальный[[#This Row],[Дата платежа из графика]]="",Первоначальный[[#This Row],[Досрочное погашение (да/"")]]&lt;&gt;"Да"),0,
AND(S1513=0,Первоначальный[[#This Row],[Досрочное погашение (да/"")]]=""),MIN(Первоначальный[[#This Row],[Полученный платеж]]+Y1513-SUM(Первоначальный[[#This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комиссиям]]),VLOOKUP(LOOKUP(,-1/($Z$12:Z1514=1),$A$12:A1514),График[[Срок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платеж]]+Y1513-SUM(Первоначальный[[#This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S1513&gt;0,MIN(Первоначальный[[#This Row],[Полученный платеж]]+Y1513-SUM(Первоначальный[[#This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комиссиям]]),SUM(INDIRECT("M"&amp;(MAX((1=S$12:S1513)*ROW(S$12:S1513),ROW($W$12))&amp;":M"&amp;(ROW()))))-SUM(INDIRECT("W"&amp;(MAX((1=S$12:S1513)*ROW(S$12:S1513),ROW($W$12))&amp;":W"&amp;(ROW()-1)))))
)
)</f>
        <v>0</v>
      </c>
      <c r="X1514" s="55">
        <f t="shared" ca="1" si="280"/>
        <v>0</v>
      </c>
      <c r="Y1514" s="101">
        <f t="shared" ca="1" si="287"/>
        <v>0</v>
      </c>
      <c r="Z1514" s="133" t="str">
        <f>IF(TYPE((VLOOKUP(Первоначальный[[#This Row],[Дата платежа]],График[Срок конец],1,0)))=16,"",1)</f>
        <v/>
      </c>
      <c r="AA1514" s="57"/>
      <c r="AB1514" s="134"/>
      <c r="AC151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1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107461.73000000003</v>
      </c>
      <c r="AE151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9922.7699999999841</v>
      </c>
      <c r="AF151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1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484067.36462295195</v>
      </c>
      <c r="AH1514" s="55"/>
      <c r="AI1514" s="55"/>
      <c r="AJ1514" s="55"/>
      <c r="AK1514" s="101">
        <f t="shared" ca="1" si="288"/>
        <v>751085.20462295192</v>
      </c>
      <c r="AL1514" s="129">
        <f t="array" ref="AL1514">MAX((УслРестрактов[Характеристика]="Дата реструктуризации")*(УслРестрактов[Значение]=Первоначальный!$A1514),0)</f>
        <v>0</v>
      </c>
    </row>
    <row r="1515" spans="1:38" x14ac:dyDescent="0.25">
      <c r="A1515" s="97">
        <f t="shared" si="281"/>
        <v>45646</v>
      </c>
      <c r="B1515" s="100">
        <f t="shared" ca="1" si="282"/>
        <v>149633.34</v>
      </c>
      <c r="C1515" s="55">
        <f t="shared" ca="1" si="278"/>
        <v>107461.73000000003</v>
      </c>
      <c r="D1515" s="55">
        <f t="shared" ca="1" si="278"/>
        <v>9922.7699999999841</v>
      </c>
      <c r="E1515" s="55">
        <f t="shared" ca="1" si="283"/>
        <v>0</v>
      </c>
      <c r="F1515" s="55">
        <f t="shared" ca="1" si="284"/>
        <v>484067.36462295195</v>
      </c>
      <c r="G1515" s="101">
        <f t="shared" ca="1" si="285"/>
        <v>751085.20462295192</v>
      </c>
      <c r="H1515" s="100">
        <f ca="1">ROUND($B1515*VLOOKUP($A1515,$A$1:$B$10,2,1)/(365+IF(MOD(YEAR($A1515),4),0,1)*($A1515-$A1514)),2)-Первоначальный[[#This Row],[Проценты на просроченный платеж по ОД за период]]</f>
        <v>65.400000000000006</v>
      </c>
      <c r="I1515" s="55">
        <f t="shared" ca="1" si="286"/>
        <v>15.96</v>
      </c>
      <c r="J1515" s="55">
        <v>0</v>
      </c>
      <c r="K1515" s="55">
        <f t="shared" ca="1" si="289"/>
        <v>680.72850327868844</v>
      </c>
      <c r="L1515" s="55">
        <v>0</v>
      </c>
      <c r="M1515" s="113">
        <f>SUMIFS(График[Возврат основной суммы долга],График[Дата с учетом нерабочих дней],$A1515)</f>
        <v>0</v>
      </c>
      <c r="N1515" s="56">
        <f>SUMIFS(График[Возврат начисленных %],График[Дата с учетом нерабочих дней],$A1515)</f>
        <v>0</v>
      </c>
      <c r="O1515" s="101">
        <v>0</v>
      </c>
      <c r="P1515" s="100" cm="1">
        <f t="array" aca="1" ref="P1515" ca="1">MAX(IF(AA1514="Да",0,SUM(INDIRECT("M"&amp;(MAX(("Да"=AA$12:AA1514)*ROW(AA$12:AA1514)+1,ROW($P$12))&amp;":M"&amp;(ROW()))))-SUM(INDIRECT("W"&amp;(MAX(("Да"=AA$12:AA1514)*ROW(AA$12:AA1514)+1,ROW($P$12))&amp;":W"&amp;(ROW()))))),0)</f>
        <v>29344.699999999997</v>
      </c>
      <c r="Q1515" s="99">
        <f ca="1">MAX(SUM($N$13:N1515)-SUM($T$13:T1515),0)</f>
        <v>106801.00065573769</v>
      </c>
      <c r="R1515" s="99">
        <f ca="1">Первоначальный[[#This Row],[Просроченный платеж по ОД]]+Первоначальный[[#This Row],[Просроченный платеж по процентам]]</f>
        <v>136145.70065573769</v>
      </c>
      <c r="S1515" s="120">
        <f ca="1">IF(Первоначальный[[#This Row],[Просроченный платеж]]&lt;1,0,S1514+1)</f>
        <v>1411</v>
      </c>
      <c r="T1515" s="100" cm="1">
        <f t="array" aca="1" ref="T1515" ca="1">IF(Первоначальный[[#This Row],[Итого остаток на начало периода]]&lt;1,0,
IF(
AND(TYPE(VLOOKUP(1,$Z$12:Z1515,1,0))=16,Первоначальный[[#This Row],[Досрочное погашение (да/"")]]=""),0,
_xlfn.IFS(AND(S1514=0,Первоначальный[[#This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платеж]]&lt;&gt;0),MIN(LOOKUP(,-1/($Z$12:Z1515=1),$C$12:C1515)+LOOKUP(,-1/($Z$12:Z1515=1),$H$12:H1515),Первоначальный[[#This Row],[Полученный платеж]]+Y1514),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платеж]]+Y1514,SUM(Первоначальный[[#This Row],[Остаток процентов на начало периода]],Первоначальный[[#This Row],[Проценты за период]])),
AND(S1514=0,Первоначальный[[#This Row],[Дата платежа из графика]]=""),0,
AND(S1514=0,Первоначальный[[#This Row],[Дата платежа из графика]]=1,MAX((0&lt;&gt;S$12:S1514)*ROW(S$12:S1514),ROW($S$12))&gt;=MAX((1=Z$12:Z1514)*ROW(Z$12:Z1514),ROW($T$12)),TYPE(VLOOKUP("Да",(INDIRECT("AA"&amp;(MAX((1=Z$12:Z1514)*ROW(Z$12:Z1514),ROW($T$12))&amp;":AA"&amp;(ROW()-1)))),1,0))=16),MIN(LOOKUP(,-1/($Z$12:Z1515=1),$C$12:C1515)+LOOKUP(,-1/($Z$12:Z1515=1),$H$12:H1515),Первоначальный[[#This Row],[Полученный платеж]]+Y1514),
AND(S1514=0,TYPE(VLOOKUP("Да",(INDIRECT("AA"&amp;(MAX((1=Z$12:Z1514)*ROW(Z$12:Z1514),ROW($T$12))&amp;":AA"&amp;(ROW()-1)))),1,0))&lt;&gt;16),MIN(LOOKUP(,-1/($Z$12:Z1515=1),$C$12:C1515)+LOOKUP(,-1/($Z$12:Z1515=1),$H$12:H1515)-IF(AA1514="Да",0,SUM(INDIRECT("T"&amp;(MAX(("Да"=AA$12:AA1514)*ROW(AA$12:AA1514)+1,ROW($T$12))&amp;":T"&amp;(ROW()-1))))),Первоначальный[[#This Row],[Полученный платеж]]+Y1514),
AND(S1514=0,MAX((0&lt;&gt;N$12:N1514)*ROW(N$12:N1514),ROW($S$12))&gt;=MAX((1=Z$12:Z1514)*ROW(Z$12:Z1514),ROW($T$12))),MIN(LOOKUP(,-1/($Z$12:Z1515=1),$C$12:C1515)+LOOKUP(,-1/($Z$12:Z1515=1),$H$12:H1515)-IF(N1514&lt;&gt;0,0,SUM(INDIRECT("T"&amp;(MAX((0&lt;&gt;N$12:N1514)*ROW(N$12:N1514)+1,ROW($T$12))&amp;":T"&amp;(ROW()-1))))),Первоначальный[[#This Row],[Полученный платеж]]+Y1514),
AND(S1514=0,Первоначальный[[#This Row],[Дата платежа из графика]]=1),MIN(LOOKUP(,-1/($Z$12:Z1515=1),$C$12:C1515)+LOOKUP(,-1/($Z$12:Z1515=1),$H$12:H1515)-IF(Z1514=1,0,SUM(INDIRECT("T"&amp;(MAX((1=Z$12:Z1514)*ROW(Z$12:Z1514)+1,ROW($T$12))&amp;":T"&amp;(ROW()-1))))),Первоначальный[[#This Row],[Полученный платеж]]+Y1514),
AND(Z1514&gt;0,Первоначальный[[#This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платеж]]+Y1514),
AND(S1514&gt;0,MAX((0&lt;&gt;S$12:S1514)*ROW(S$12:S1514),ROW($S$12))&gt;=MAX((1=Z$12:Z1514)*ROW(Z$12:Z1514),ROW($T$12)),TYPE(VLOOKUP("Да",(INDIRECT("AA"&amp;(MAX((1=Z$12:Z1514)*ROW(Z$12:Z1514),ROW($T$12))&amp;":AA"&amp;(ROW()-1)))),1,0))=16),MIN(LOOKUP(,-1/($Z$12:Z1515=1),$C$12:C1515)+LOOKUP(,-1/($Z$12:Z1515=1),$H$12:H1515)-SUM(INDIRECT("T"&amp;(MAX((1=Z$12:Z1514)*ROW(Z$12:Z1514),ROW($T$12))&amp;":T"&amp;(ROW()-1)))),Первоначальный[[#This Row],[Полученный платеж]]+Y1514),
S1514&gt;0,MIN(LOOKUP(,-1/($Z$12:Z1515=1),$C$12:C1515)+LOOKUP(,-1/($Z$12:Z1515=1),$H$12:H1515)-IF(Z1514=1,0,SUM(INDIRECT("T"&amp;(MAX((1=Z$12:Z1514)*ROW(Z$12:Z1514)+1,ROW($T$12))&amp;":T"&amp;(ROW()-1))))),Первоначальный[[#This Row],[Полученный платеж]]+Y1514)
)
)
)</f>
        <v>0</v>
      </c>
      <c r="U151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платеж]]+Y1514-Первоначальный[[#This Row],[Полученный платёж по процентам]])</f>
        <v>0</v>
      </c>
      <c r="V1515" s="55">
        <f t="shared" ca="1" si="279"/>
        <v>0</v>
      </c>
      <c r="W1515" s="55" cm="1">
        <f t="array" aca="1" ref="W1515" ca="1">IF(Первоначальный[[#This Row],[Итого остаток на начало периода]]&lt;1,0,
_xlfn.IFS(
AND(TYPE(VLOOKUP(1,$Z$12:Z1515,1,0))=16,Первоначальный[[#This Row],[Досрочное погашение (да/"")]]=""),0,
AND(S1514=0,Первоначальный[[#This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платеж]]+Y1514-SUM(Первоначальный[[#This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комиссиям]]),VLOOKUP(LOOKUP(,-1/($Z$12:Z1515=1),$A$12:A1515),График[[Срок конец]:[Возврат основной суммы долга]],3,0)),
AND(S1514=0,Первоначальный[[#This Row],[Дата платежа из графика]]="",Первоначальный[[#This Row],[Досрочное погашение (да/"")]]&lt;&gt;"Да"),0,
AND(S1514=0,Первоначальный[[#This Row],[Досрочное погашение (да/"")]]=""),MIN(Первоначальный[[#This Row],[Полученный платеж]]+Y1514-SUM(Первоначальный[[#This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комиссиям]]),VLOOKUP(LOOKUP(,-1/($Z$12:Z1515=1),$A$12:A1515),График[[Срок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платеж]]+Y1514-SUM(Первоначальный[[#This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S1514&gt;0,MIN(Первоначальный[[#This Row],[Полученный платеж]]+Y1514-SUM(Первоначальный[[#This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комиссиям]]),SUM(INDIRECT("M"&amp;(MAX((1=S$12:S1514)*ROW(S$12:S1514),ROW($W$12))&amp;":M"&amp;(ROW()))))-SUM(INDIRECT("W"&amp;(MAX((1=S$12:S1514)*ROW(S$12:S1514),ROW($W$12))&amp;":W"&amp;(ROW()-1)))))
)
)</f>
        <v>0</v>
      </c>
      <c r="X1515" s="55">
        <f t="shared" ca="1" si="280"/>
        <v>0</v>
      </c>
      <c r="Y1515" s="101">
        <f t="shared" ca="1" si="287"/>
        <v>0</v>
      </c>
      <c r="Z1515" s="133" t="str">
        <f>IF(TYPE((VLOOKUP(Первоначальный[[#This Row],[Дата платежа]],График[Срок конец],1,0)))=16,"",1)</f>
        <v/>
      </c>
      <c r="AA1515" s="57"/>
      <c r="AB1515" s="134"/>
      <c r="AC151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1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107527.13000000002</v>
      </c>
      <c r="AE151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9938.7299999999832</v>
      </c>
      <c r="AF151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1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484748.09312623064</v>
      </c>
      <c r="AH1515" s="55"/>
      <c r="AI1515" s="55"/>
      <c r="AJ1515" s="55"/>
      <c r="AK1515" s="101">
        <f t="shared" ca="1" si="288"/>
        <v>751847.29312623059</v>
      </c>
      <c r="AL1515" s="129">
        <f t="array" ref="AL1515">MAX((УслРестрактов[Характеристика]="Дата реструктуризации")*(УслРестрактов[Значение]=Первоначальный!$A1515),0)</f>
        <v>0</v>
      </c>
    </row>
    <row r="1516" spans="1:38" x14ac:dyDescent="0.25">
      <c r="A1516" s="97">
        <f t="shared" si="281"/>
        <v>45647</v>
      </c>
      <c r="B1516" s="100">
        <f t="shared" ca="1" si="282"/>
        <v>149633.34</v>
      </c>
      <c r="C1516" s="55">
        <f t="shared" ca="1" si="278"/>
        <v>107527.13000000002</v>
      </c>
      <c r="D1516" s="55">
        <f t="shared" ca="1" si="278"/>
        <v>9938.7299999999832</v>
      </c>
      <c r="E1516" s="55">
        <f t="shared" ca="1" si="283"/>
        <v>0</v>
      </c>
      <c r="F1516" s="55">
        <f t="shared" ca="1" si="284"/>
        <v>484748.09312623064</v>
      </c>
      <c r="G1516" s="101">
        <f t="shared" ca="1" si="285"/>
        <v>751847.29312623059</v>
      </c>
      <c r="H1516" s="100">
        <f ca="1">ROUND($B1516*VLOOKUP($A1516,$A$1:$B$10,2,1)/(365+IF(MOD(YEAR($A1516),4),0,1)*($A1516-$A1515)),2)-Первоначальный[[#This Row],[Проценты на просроченный платеж по ОД за период]]</f>
        <v>65.400000000000006</v>
      </c>
      <c r="I1516" s="55">
        <f t="shared" ca="1" si="286"/>
        <v>15.96</v>
      </c>
      <c r="J1516" s="55">
        <v>0</v>
      </c>
      <c r="K1516" s="55">
        <f t="shared" ca="1" si="289"/>
        <v>680.72850327868844</v>
      </c>
      <c r="L1516" s="55">
        <v>0</v>
      </c>
      <c r="M1516" s="113">
        <f>SUMIFS(График[Возврат основной суммы долга],График[Дата с учетом нерабочих дней],$A1516)</f>
        <v>0</v>
      </c>
      <c r="N1516" s="56">
        <f>SUMIFS(График[Возврат начисленных %],График[Дата с учетом нерабочих дней],$A1516)</f>
        <v>0</v>
      </c>
      <c r="O1516" s="101">
        <v>0</v>
      </c>
      <c r="P1516" s="100" cm="1">
        <f t="array" aca="1" ref="P1516" ca="1">MAX(IF(AA1515="Да",0,SUM(INDIRECT("M"&amp;(MAX(("Да"=AA$12:AA1515)*ROW(AA$12:AA1515)+1,ROW($P$12))&amp;":M"&amp;(ROW()))))-SUM(INDIRECT("W"&amp;(MAX(("Да"=AA$12:AA1515)*ROW(AA$12:AA1515)+1,ROW($P$12))&amp;":W"&amp;(ROW()))))),0)</f>
        <v>29344.699999999997</v>
      </c>
      <c r="Q1516" s="99">
        <f ca="1">MAX(SUM($N$13:N1516)-SUM($T$13:T1516),0)</f>
        <v>106801.00065573769</v>
      </c>
      <c r="R1516" s="99">
        <f ca="1">Первоначальный[[#This Row],[Просроченный платеж по ОД]]+Первоначальный[[#This Row],[Просроченный платеж по процентам]]</f>
        <v>136145.70065573769</v>
      </c>
      <c r="S1516" s="120">
        <f ca="1">IF(Первоначальный[[#This Row],[Просроченный платеж]]&lt;1,0,S1515+1)</f>
        <v>1412</v>
      </c>
      <c r="T1516" s="100" cm="1">
        <f t="array" aca="1" ref="T1516" ca="1">IF(Первоначальный[[#This Row],[Итого остаток на начало периода]]&lt;1,0,
IF(
AND(TYPE(VLOOKUP(1,$Z$12:Z1516,1,0))=16,Первоначальный[[#This Row],[Досрочное погашение (да/"")]]=""),0,
_xlfn.IFS(AND(S1515=0,Первоначальный[[#This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платеж]]&lt;&gt;0),MIN(LOOKUP(,-1/($Z$12:Z1516=1),$C$12:C1516)+LOOKUP(,-1/($Z$12:Z1516=1),$H$12:H1516),Первоначальный[[#This Row],[Полученный платеж]]+Y1515),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платеж]]+Y1515,SUM(Первоначальный[[#This Row],[Остаток процентов на начало периода]],Первоначальный[[#This Row],[Проценты за период]])),
AND(S1515=0,Первоначальный[[#This Row],[Дата платежа из графика]]=""),0,
AND(S1515=0,Первоначальный[[#This Row],[Дата платежа из графика]]=1,MAX((0&lt;&gt;S$12:S1515)*ROW(S$12:S1515),ROW($S$12))&gt;=MAX((1=Z$12:Z1515)*ROW(Z$12:Z1515),ROW($T$12)),TYPE(VLOOKUP("Да",(INDIRECT("AA"&amp;(MAX((1=Z$12:Z1515)*ROW(Z$12:Z1515),ROW($T$12))&amp;":AA"&amp;(ROW()-1)))),1,0))=16),MIN(LOOKUP(,-1/($Z$12:Z1516=1),$C$12:C1516)+LOOKUP(,-1/($Z$12:Z1516=1),$H$12:H1516),Первоначальный[[#This Row],[Полученный платеж]]+Y1515),
AND(S1515=0,TYPE(VLOOKUP("Да",(INDIRECT("AA"&amp;(MAX((1=Z$12:Z1515)*ROW(Z$12:Z1515),ROW($T$12))&amp;":AA"&amp;(ROW()-1)))),1,0))&lt;&gt;16),MIN(LOOKUP(,-1/($Z$12:Z1516=1),$C$12:C1516)+LOOKUP(,-1/($Z$12:Z1516=1),$H$12:H1516)-IF(AA1515="Да",0,SUM(INDIRECT("T"&amp;(MAX(("Да"=AA$12:AA1515)*ROW(AA$12:AA1515)+1,ROW($T$12))&amp;":T"&amp;(ROW()-1))))),Первоначальный[[#This Row],[Полученный платеж]]+Y1515),
AND(S1515=0,MAX((0&lt;&gt;N$12:N1515)*ROW(N$12:N1515),ROW($S$12))&gt;=MAX((1=Z$12:Z1515)*ROW(Z$12:Z1515),ROW($T$12))),MIN(LOOKUP(,-1/($Z$12:Z1516=1),$C$12:C1516)+LOOKUP(,-1/($Z$12:Z1516=1),$H$12:H1516)-IF(N1515&lt;&gt;0,0,SUM(INDIRECT("T"&amp;(MAX((0&lt;&gt;N$12:N1515)*ROW(N$12:N1515)+1,ROW($T$12))&amp;":T"&amp;(ROW()-1))))),Первоначальный[[#This Row],[Полученный платеж]]+Y1515),
AND(S1515=0,Первоначальный[[#This Row],[Дата платежа из графика]]=1),MIN(LOOKUP(,-1/($Z$12:Z1516=1),$C$12:C1516)+LOOKUP(,-1/($Z$12:Z1516=1),$H$12:H1516)-IF(Z1515=1,0,SUM(INDIRECT("T"&amp;(MAX((1=Z$12:Z1515)*ROW(Z$12:Z1515)+1,ROW($T$12))&amp;":T"&amp;(ROW()-1))))),Первоначальный[[#This Row],[Полученный платеж]]+Y1515),
AND(Z1515&gt;0,Первоначальный[[#This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платеж]]+Y1515),
AND(S1515&gt;0,MAX((0&lt;&gt;S$12:S1515)*ROW(S$12:S1515),ROW($S$12))&gt;=MAX((1=Z$12:Z1515)*ROW(Z$12:Z1515),ROW($T$12)),TYPE(VLOOKUP("Да",(INDIRECT("AA"&amp;(MAX((1=Z$12:Z1515)*ROW(Z$12:Z1515),ROW($T$12))&amp;":AA"&amp;(ROW()-1)))),1,0))=16),MIN(LOOKUP(,-1/($Z$12:Z1516=1),$C$12:C1516)+LOOKUP(,-1/($Z$12:Z1516=1),$H$12:H1516)-SUM(INDIRECT("T"&amp;(MAX((1=Z$12:Z1515)*ROW(Z$12:Z1515),ROW($T$12))&amp;":T"&amp;(ROW()-1)))),Первоначальный[[#This Row],[Полученный платеж]]+Y1515),
S1515&gt;0,MIN(LOOKUP(,-1/($Z$12:Z1516=1),$C$12:C1516)+LOOKUP(,-1/($Z$12:Z1516=1),$H$12:H1516)-IF(Z1515=1,0,SUM(INDIRECT("T"&amp;(MAX((1=Z$12:Z1515)*ROW(Z$12:Z1515)+1,ROW($T$12))&amp;":T"&amp;(ROW()-1))))),Первоначальный[[#This Row],[Полученный платеж]]+Y1515)
)
)
)</f>
        <v>0</v>
      </c>
      <c r="U151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платеж]]+Y1515-Первоначальный[[#This Row],[Полученный платёж по процентам]])</f>
        <v>0</v>
      </c>
      <c r="V1516" s="55">
        <f t="shared" ca="1" si="279"/>
        <v>0</v>
      </c>
      <c r="W1516" s="55" cm="1">
        <f t="array" aca="1" ref="W1516" ca="1">IF(Первоначальный[[#This Row],[Итого остаток на начало периода]]&lt;1,0,
_xlfn.IFS(
AND(TYPE(VLOOKUP(1,$Z$12:Z1516,1,0))=16,Первоначальный[[#This Row],[Досрочное погашение (да/"")]]=""),0,
AND(S1515=0,Первоначальный[[#This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платеж]]+Y1515-SUM(Первоначальный[[#This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комиссиям]]),VLOOKUP(LOOKUP(,-1/($Z$12:Z1516=1),$A$12:A1516),График[[Срок конец]:[Возврат основной суммы долга]],3,0)),
AND(S1515=0,Первоначальный[[#This Row],[Дата платежа из графика]]="",Первоначальный[[#This Row],[Досрочное погашение (да/"")]]&lt;&gt;"Да"),0,
AND(S1515=0,Первоначальный[[#This Row],[Досрочное погашение (да/"")]]=""),MIN(Первоначальный[[#This Row],[Полученный платеж]]+Y1515-SUM(Первоначальный[[#This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комиссиям]]),VLOOKUP(LOOKUP(,-1/($Z$12:Z1516=1),$A$12:A1516),График[[Срок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платеж]]+Y1515-SUM(Первоначальный[[#This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S1515&gt;0,MIN(Первоначальный[[#This Row],[Полученный платеж]]+Y1515-SUM(Первоначальный[[#This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комиссиям]]),SUM(INDIRECT("M"&amp;(MAX((1=S$12:S1515)*ROW(S$12:S1515),ROW($W$12))&amp;":M"&amp;(ROW()))))-SUM(INDIRECT("W"&amp;(MAX((1=S$12:S1515)*ROW(S$12:S1515),ROW($W$12))&amp;":W"&amp;(ROW()-1)))))
)
)</f>
        <v>0</v>
      </c>
      <c r="X1516" s="55">
        <f t="shared" ca="1" si="280"/>
        <v>0</v>
      </c>
      <c r="Y1516" s="101">
        <f t="shared" ca="1" si="287"/>
        <v>0</v>
      </c>
      <c r="Z1516" s="133" t="str">
        <f>IF(TYPE((VLOOKUP(Первоначальный[[#This Row],[Дата платежа]],График[Срок конец],1,0)))=16,"",1)</f>
        <v/>
      </c>
      <c r="AA1516" s="57"/>
      <c r="AB1516" s="134"/>
      <c r="AC151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1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107592.53000000001</v>
      </c>
      <c r="AE151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9954.6899999999823</v>
      </c>
      <c r="AF151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1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485428.82162950933</v>
      </c>
      <c r="AH1516" s="55"/>
      <c r="AI1516" s="55"/>
      <c r="AJ1516" s="55"/>
      <c r="AK1516" s="101">
        <f t="shared" ca="1" si="288"/>
        <v>752609.38162950939</v>
      </c>
      <c r="AL1516" s="129">
        <f t="array" ref="AL1516">MAX((УслРестрактов[Характеристика]="Дата реструктуризации")*(УслРестрактов[Значение]=Первоначальный!$A1516),0)</f>
        <v>0</v>
      </c>
    </row>
    <row r="1517" spans="1:38" x14ac:dyDescent="0.25">
      <c r="A1517" s="97">
        <f t="shared" si="281"/>
        <v>45648</v>
      </c>
      <c r="B1517" s="100">
        <f t="shared" ca="1" si="282"/>
        <v>149633.34</v>
      </c>
      <c r="C1517" s="55">
        <f t="shared" ca="1" si="278"/>
        <v>107592.53000000001</v>
      </c>
      <c r="D1517" s="55">
        <f t="shared" ca="1" si="278"/>
        <v>9954.6899999999823</v>
      </c>
      <c r="E1517" s="55">
        <f t="shared" ca="1" si="283"/>
        <v>0</v>
      </c>
      <c r="F1517" s="55">
        <f t="shared" ca="1" si="284"/>
        <v>485428.82162950933</v>
      </c>
      <c r="G1517" s="101">
        <f t="shared" ca="1" si="285"/>
        <v>752609.38162950939</v>
      </c>
      <c r="H1517" s="100">
        <f ca="1">ROUND($B1517*VLOOKUP($A1517,$A$1:$B$10,2,1)/(365+IF(MOD(YEAR($A1517),4),0,1)*($A1517-$A1516)),2)-Первоначальный[[#This Row],[Проценты на просроченный платеж по ОД за период]]</f>
        <v>65.400000000000006</v>
      </c>
      <c r="I1517" s="55">
        <f t="shared" ca="1" si="286"/>
        <v>15.96</v>
      </c>
      <c r="J1517" s="55">
        <v>0</v>
      </c>
      <c r="K1517" s="55">
        <f t="shared" ca="1" si="289"/>
        <v>680.72850327868844</v>
      </c>
      <c r="L1517" s="55">
        <v>0</v>
      </c>
      <c r="M1517" s="113">
        <f>SUMIFS(График[Возврат основной суммы долга],График[Дата с учетом нерабочих дней],$A1517)</f>
        <v>0</v>
      </c>
      <c r="N1517" s="56">
        <f>SUMIFS(График[Возврат начисленных %],График[Дата с учетом нерабочих дней],$A1517)</f>
        <v>0</v>
      </c>
      <c r="O1517" s="101">
        <v>0</v>
      </c>
      <c r="P1517" s="100" cm="1">
        <f t="array" aca="1" ref="P1517" ca="1">MAX(IF(AA1516="Да",0,SUM(INDIRECT("M"&amp;(MAX(("Да"=AA$12:AA1516)*ROW(AA$12:AA1516)+1,ROW($P$12))&amp;":M"&amp;(ROW()))))-SUM(INDIRECT("W"&amp;(MAX(("Да"=AA$12:AA1516)*ROW(AA$12:AA1516)+1,ROW($P$12))&amp;":W"&amp;(ROW()))))),0)</f>
        <v>29344.699999999997</v>
      </c>
      <c r="Q1517" s="99">
        <f ca="1">MAX(SUM($N$13:N1517)-SUM($T$13:T1517),0)</f>
        <v>106801.00065573769</v>
      </c>
      <c r="R1517" s="99">
        <f ca="1">Первоначальный[[#This Row],[Просроченный платеж по ОД]]+Первоначальный[[#This Row],[Просроченный платеж по процентам]]</f>
        <v>136145.70065573769</v>
      </c>
      <c r="S1517" s="120">
        <f ca="1">IF(Первоначальный[[#This Row],[Просроченный платеж]]&lt;1,0,S1516+1)</f>
        <v>1413</v>
      </c>
      <c r="T1517" s="100" cm="1">
        <f t="array" aca="1" ref="T1517" ca="1">IF(Первоначальный[[#This Row],[Итого остаток на начало периода]]&lt;1,0,
IF(
AND(TYPE(VLOOKUP(1,$Z$12:Z1517,1,0))=16,Первоначальный[[#This Row],[Досрочное погашение (да/"")]]=""),0,
_xlfn.IFS(AND(S1516=0,Первоначальный[[#This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платеж]]&lt;&gt;0),MIN(LOOKUP(,-1/($Z$12:Z1517=1),$C$12:C1517)+LOOKUP(,-1/($Z$12:Z1517=1),$H$12:H1517),Первоначальный[[#This Row],[Полученный платеж]]+Y1516),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платеж]]+Y1516,SUM(Первоначальный[[#This Row],[Остаток процентов на начало периода]],Первоначальный[[#This Row],[Проценты за период]])),
AND(S1516=0,Первоначальный[[#This Row],[Дата платежа из графика]]=""),0,
AND(S1516=0,Первоначальный[[#This Row],[Дата платежа из графика]]=1,MAX((0&lt;&gt;S$12:S1516)*ROW(S$12:S1516),ROW($S$12))&gt;=MAX((1=Z$12:Z1516)*ROW(Z$12:Z1516),ROW($T$12)),TYPE(VLOOKUP("Да",(INDIRECT("AA"&amp;(MAX((1=Z$12:Z1516)*ROW(Z$12:Z1516),ROW($T$12))&amp;":AA"&amp;(ROW()-1)))),1,0))=16),MIN(LOOKUP(,-1/($Z$12:Z1517=1),$C$12:C1517)+LOOKUP(,-1/($Z$12:Z1517=1),$H$12:H1517),Первоначальный[[#This Row],[Полученный платеж]]+Y1516),
AND(S1516=0,TYPE(VLOOKUP("Да",(INDIRECT("AA"&amp;(MAX((1=Z$12:Z1516)*ROW(Z$12:Z1516),ROW($T$12))&amp;":AA"&amp;(ROW()-1)))),1,0))&lt;&gt;16),MIN(LOOKUP(,-1/($Z$12:Z1517=1),$C$12:C1517)+LOOKUP(,-1/($Z$12:Z1517=1),$H$12:H1517)-IF(AA1516="Да",0,SUM(INDIRECT("T"&amp;(MAX(("Да"=AA$12:AA1516)*ROW(AA$12:AA1516)+1,ROW($T$12))&amp;":T"&amp;(ROW()-1))))),Первоначальный[[#This Row],[Полученный платеж]]+Y1516),
AND(S1516=0,MAX((0&lt;&gt;N$12:N1516)*ROW(N$12:N1516),ROW($S$12))&gt;=MAX((1=Z$12:Z1516)*ROW(Z$12:Z1516),ROW($T$12))),MIN(LOOKUP(,-1/($Z$12:Z1517=1),$C$12:C1517)+LOOKUP(,-1/($Z$12:Z1517=1),$H$12:H1517)-IF(N1516&lt;&gt;0,0,SUM(INDIRECT("T"&amp;(MAX((0&lt;&gt;N$12:N1516)*ROW(N$12:N1516)+1,ROW($T$12))&amp;":T"&amp;(ROW()-1))))),Первоначальный[[#This Row],[Полученный платеж]]+Y1516),
AND(S1516=0,Первоначальный[[#This Row],[Дата платежа из графика]]=1),MIN(LOOKUP(,-1/($Z$12:Z1517=1),$C$12:C1517)+LOOKUP(,-1/($Z$12:Z1517=1),$H$12:H1517)-IF(Z1516=1,0,SUM(INDIRECT("T"&amp;(MAX((1=Z$12:Z1516)*ROW(Z$12:Z1516)+1,ROW($T$12))&amp;":T"&amp;(ROW()-1))))),Первоначальный[[#This Row],[Полученный платеж]]+Y1516),
AND(Z1516&gt;0,Первоначальный[[#This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платеж]]+Y1516),
AND(S1516&gt;0,MAX((0&lt;&gt;S$12:S1516)*ROW(S$12:S1516),ROW($S$12))&gt;=MAX((1=Z$12:Z1516)*ROW(Z$12:Z1516),ROW($T$12)),TYPE(VLOOKUP("Да",(INDIRECT("AA"&amp;(MAX((1=Z$12:Z1516)*ROW(Z$12:Z1516),ROW($T$12))&amp;":AA"&amp;(ROW()-1)))),1,0))=16),MIN(LOOKUP(,-1/($Z$12:Z1517=1),$C$12:C1517)+LOOKUP(,-1/($Z$12:Z1517=1),$H$12:H1517)-SUM(INDIRECT("T"&amp;(MAX((1=Z$12:Z1516)*ROW(Z$12:Z1516),ROW($T$12))&amp;":T"&amp;(ROW()-1)))),Первоначальный[[#This Row],[Полученный платеж]]+Y1516),
S1516&gt;0,MIN(LOOKUP(,-1/($Z$12:Z1517=1),$C$12:C1517)+LOOKUP(,-1/($Z$12:Z1517=1),$H$12:H1517)-IF(Z1516=1,0,SUM(INDIRECT("T"&amp;(MAX((1=Z$12:Z1516)*ROW(Z$12:Z1516)+1,ROW($T$12))&amp;":T"&amp;(ROW()-1))))),Первоначальный[[#This Row],[Полученный платеж]]+Y1516)
)
)
)</f>
        <v>0</v>
      </c>
      <c r="U151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платеж]]+Y1516-Первоначальный[[#This Row],[Полученный платёж по процентам]])</f>
        <v>0</v>
      </c>
      <c r="V1517" s="55">
        <f t="shared" ca="1" si="279"/>
        <v>0</v>
      </c>
      <c r="W1517" s="55" cm="1">
        <f t="array" aca="1" ref="W1517" ca="1">IF(Первоначальный[[#This Row],[Итого остаток на начало периода]]&lt;1,0,
_xlfn.IFS(
AND(TYPE(VLOOKUP(1,$Z$12:Z1517,1,0))=16,Первоначальный[[#This Row],[Досрочное погашение (да/"")]]=""),0,
AND(S1516=0,Первоначальный[[#This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платеж]]+Y1516-SUM(Первоначальный[[#This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комиссиям]]),VLOOKUP(LOOKUP(,-1/($Z$12:Z1517=1),$A$12:A1517),График[[Срок конец]:[Возврат основной суммы долга]],3,0)),
AND(S1516=0,Первоначальный[[#This Row],[Дата платежа из графика]]="",Первоначальный[[#This Row],[Досрочное погашение (да/"")]]&lt;&gt;"Да"),0,
AND(S1516=0,Первоначальный[[#This Row],[Досрочное погашение (да/"")]]=""),MIN(Первоначальный[[#This Row],[Полученный платеж]]+Y1516-SUM(Первоначальный[[#This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комиссиям]]),VLOOKUP(LOOKUP(,-1/($Z$12:Z1517=1),$A$12:A1517),График[[Срок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платеж]]+Y1516-SUM(Первоначальный[[#This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S1516&gt;0,MIN(Первоначальный[[#This Row],[Полученный платеж]]+Y1516-SUM(Первоначальный[[#This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комиссиям]]),SUM(INDIRECT("M"&amp;(MAX((1=S$12:S1516)*ROW(S$12:S1516),ROW($W$12))&amp;":M"&amp;(ROW()))))-SUM(INDIRECT("W"&amp;(MAX((1=S$12:S1516)*ROW(S$12:S1516),ROW($W$12))&amp;":W"&amp;(ROW()-1)))))
)
)</f>
        <v>0</v>
      </c>
      <c r="X1517" s="55">
        <f t="shared" ca="1" si="280"/>
        <v>0</v>
      </c>
      <c r="Y1517" s="101">
        <f t="shared" ca="1" si="287"/>
        <v>0</v>
      </c>
      <c r="Z1517" s="133" t="str">
        <f>IF(TYPE((VLOOKUP(Первоначальный[[#This Row],[Дата платежа]],График[Срок конец],1,0)))=16,"",1)</f>
        <v/>
      </c>
      <c r="AA1517" s="57"/>
      <c r="AB1517" s="134"/>
      <c r="AC151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1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107657.93000000001</v>
      </c>
      <c r="AE151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9970.6499999999814</v>
      </c>
      <c r="AF151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1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486109.55013278802</v>
      </c>
      <c r="AH1517" s="55"/>
      <c r="AI1517" s="55"/>
      <c r="AJ1517" s="55"/>
      <c r="AK1517" s="101">
        <f t="shared" ca="1" si="288"/>
        <v>753371.47013278794</v>
      </c>
      <c r="AL1517" s="129">
        <f t="array" ref="AL1517">MAX((УслРестрактов[Характеристика]="Дата реструктуризации")*(УслРестрактов[Значение]=Первоначальный!$A1517),0)</f>
        <v>0</v>
      </c>
    </row>
    <row r="1518" spans="1:38" x14ac:dyDescent="0.25">
      <c r="A1518" s="97">
        <f t="shared" si="281"/>
        <v>45649</v>
      </c>
      <c r="B1518" s="100">
        <f t="shared" ca="1" si="282"/>
        <v>149633.34</v>
      </c>
      <c r="C1518" s="55">
        <f t="shared" ca="1" si="278"/>
        <v>107657.93000000001</v>
      </c>
      <c r="D1518" s="55">
        <f t="shared" ca="1" si="278"/>
        <v>9970.6499999999814</v>
      </c>
      <c r="E1518" s="55">
        <f t="shared" ca="1" si="283"/>
        <v>0</v>
      </c>
      <c r="F1518" s="55">
        <f t="shared" ca="1" si="284"/>
        <v>486109.55013278802</v>
      </c>
      <c r="G1518" s="101">
        <f t="shared" ca="1" si="285"/>
        <v>753371.47013278794</v>
      </c>
      <c r="H1518" s="100">
        <f ca="1">ROUND($B1518*VLOOKUP($A1518,$A$1:$B$10,2,1)/(365+IF(MOD(YEAR($A1518),4),0,1)*($A1518-$A1517)),2)-Первоначальный[[#This Row],[Проценты на просроченный платеж по ОД за период]]</f>
        <v>65.400000000000006</v>
      </c>
      <c r="I1518" s="55">
        <f t="shared" ca="1" si="286"/>
        <v>15.96</v>
      </c>
      <c r="J1518" s="55">
        <v>0</v>
      </c>
      <c r="K1518" s="55">
        <f t="shared" ca="1" si="289"/>
        <v>680.72850327868844</v>
      </c>
      <c r="L1518" s="55">
        <v>0</v>
      </c>
      <c r="M1518" s="113">
        <f>SUMIFS(График[Возврат основной суммы долга],График[Дата с учетом нерабочих дней],$A1518)</f>
        <v>0</v>
      </c>
      <c r="N1518" s="56">
        <f>SUMIFS(График[Возврат начисленных %],График[Дата с учетом нерабочих дней],$A1518)</f>
        <v>0</v>
      </c>
      <c r="O1518" s="101">
        <v>0</v>
      </c>
      <c r="P1518" s="100" cm="1">
        <f t="array" aca="1" ref="P1518" ca="1">MAX(IF(AA1517="Да",0,SUM(INDIRECT("M"&amp;(MAX(("Да"=AA$12:AA1517)*ROW(AA$12:AA1517)+1,ROW($P$12))&amp;":M"&amp;(ROW()))))-SUM(INDIRECT("W"&amp;(MAX(("Да"=AA$12:AA1517)*ROW(AA$12:AA1517)+1,ROW($P$12))&amp;":W"&amp;(ROW()))))),0)</f>
        <v>29344.699999999997</v>
      </c>
      <c r="Q1518" s="99">
        <f ca="1">MAX(SUM($N$13:N1518)-SUM($T$13:T1518),0)</f>
        <v>106801.00065573769</v>
      </c>
      <c r="R1518" s="99">
        <f ca="1">Первоначальный[[#This Row],[Просроченный платеж по ОД]]+Первоначальный[[#This Row],[Просроченный платеж по процентам]]</f>
        <v>136145.70065573769</v>
      </c>
      <c r="S1518" s="120">
        <f ca="1">IF(Первоначальный[[#This Row],[Просроченный платеж]]&lt;1,0,S1517+1)</f>
        <v>1414</v>
      </c>
      <c r="T1518" s="100" cm="1">
        <f t="array" aca="1" ref="T1518" ca="1">IF(Первоначальный[[#This Row],[Итого остаток на начало периода]]&lt;1,0,
IF(
AND(TYPE(VLOOKUP(1,$Z$12:Z1518,1,0))=16,Первоначальный[[#This Row],[Досрочное погашение (да/"")]]=""),0,
_xlfn.IFS(AND(S1517=0,Первоначальный[[#This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платеж]]&lt;&gt;0),MIN(LOOKUP(,-1/($Z$12:Z1518=1),$C$12:C1518)+LOOKUP(,-1/($Z$12:Z1518=1),$H$12:H1518),Первоначальный[[#This Row],[Полученный платеж]]+Y1517),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платеж]]+Y1517,SUM(Первоначальный[[#This Row],[Остаток процентов на начало периода]],Первоначальный[[#This Row],[Проценты за период]])),
AND(S1517=0,Первоначальный[[#This Row],[Дата платежа из графика]]=""),0,
AND(S1517=0,Первоначальный[[#This Row],[Дата платежа из графика]]=1,MAX((0&lt;&gt;S$12:S1517)*ROW(S$12:S1517),ROW($S$12))&gt;=MAX((1=Z$12:Z1517)*ROW(Z$12:Z1517),ROW($T$12)),TYPE(VLOOKUP("Да",(INDIRECT("AA"&amp;(MAX((1=Z$12:Z1517)*ROW(Z$12:Z1517),ROW($T$12))&amp;":AA"&amp;(ROW()-1)))),1,0))=16),MIN(LOOKUP(,-1/($Z$12:Z1518=1),$C$12:C1518)+LOOKUP(,-1/($Z$12:Z1518=1),$H$12:H1518),Первоначальный[[#This Row],[Полученный платеж]]+Y1517),
AND(S1517=0,TYPE(VLOOKUP("Да",(INDIRECT("AA"&amp;(MAX((1=Z$12:Z1517)*ROW(Z$12:Z1517),ROW($T$12))&amp;":AA"&amp;(ROW()-1)))),1,0))&lt;&gt;16),MIN(LOOKUP(,-1/($Z$12:Z1518=1),$C$12:C1518)+LOOKUP(,-1/($Z$12:Z1518=1),$H$12:H1518)-IF(AA1517="Да",0,SUM(INDIRECT("T"&amp;(MAX(("Да"=AA$12:AA1517)*ROW(AA$12:AA1517)+1,ROW($T$12))&amp;":T"&amp;(ROW()-1))))),Первоначальный[[#This Row],[Полученный платеж]]+Y1517),
AND(S1517=0,MAX((0&lt;&gt;N$12:N1517)*ROW(N$12:N1517),ROW($S$12))&gt;=MAX((1=Z$12:Z1517)*ROW(Z$12:Z1517),ROW($T$12))),MIN(LOOKUP(,-1/($Z$12:Z1518=1),$C$12:C1518)+LOOKUP(,-1/($Z$12:Z1518=1),$H$12:H1518)-IF(N1517&lt;&gt;0,0,SUM(INDIRECT("T"&amp;(MAX((0&lt;&gt;N$12:N1517)*ROW(N$12:N1517)+1,ROW($T$12))&amp;":T"&amp;(ROW()-1))))),Первоначальный[[#This Row],[Полученный платеж]]+Y1517),
AND(S1517=0,Первоначальный[[#This Row],[Дата платежа из графика]]=1),MIN(LOOKUP(,-1/($Z$12:Z1518=1),$C$12:C1518)+LOOKUP(,-1/($Z$12:Z1518=1),$H$12:H1518)-IF(Z1517=1,0,SUM(INDIRECT("T"&amp;(MAX((1=Z$12:Z1517)*ROW(Z$12:Z1517)+1,ROW($T$12))&amp;":T"&amp;(ROW()-1))))),Первоначальный[[#This Row],[Полученный платеж]]+Y1517),
AND(Z1517&gt;0,Первоначальный[[#This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платеж]]+Y1517),
AND(S1517&gt;0,MAX((0&lt;&gt;S$12:S1517)*ROW(S$12:S1517),ROW($S$12))&gt;=MAX((1=Z$12:Z1517)*ROW(Z$12:Z1517),ROW($T$12)),TYPE(VLOOKUP("Да",(INDIRECT("AA"&amp;(MAX((1=Z$12:Z1517)*ROW(Z$12:Z1517),ROW($T$12))&amp;":AA"&amp;(ROW()-1)))),1,0))=16),MIN(LOOKUP(,-1/($Z$12:Z1518=1),$C$12:C1518)+LOOKUP(,-1/($Z$12:Z1518=1),$H$12:H1518)-SUM(INDIRECT("T"&amp;(MAX((1=Z$12:Z1517)*ROW(Z$12:Z1517),ROW($T$12))&amp;":T"&amp;(ROW()-1)))),Первоначальный[[#This Row],[Полученный платеж]]+Y1517),
S1517&gt;0,MIN(LOOKUP(,-1/($Z$12:Z1518=1),$C$12:C1518)+LOOKUP(,-1/($Z$12:Z1518=1),$H$12:H1518)-IF(Z1517=1,0,SUM(INDIRECT("T"&amp;(MAX((1=Z$12:Z1517)*ROW(Z$12:Z1517)+1,ROW($T$12))&amp;":T"&amp;(ROW()-1))))),Первоначальный[[#This Row],[Полученный платеж]]+Y1517)
)
)
)</f>
        <v>0</v>
      </c>
      <c r="U151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платеж]]+Y1517-Первоначальный[[#This Row],[Полученный платёж по процентам]])</f>
        <v>0</v>
      </c>
      <c r="V1518" s="55">
        <f t="shared" ca="1" si="279"/>
        <v>0</v>
      </c>
      <c r="W1518" s="55" cm="1">
        <f t="array" aca="1" ref="W1518" ca="1">IF(Первоначальный[[#This Row],[Итого остаток на начало периода]]&lt;1,0,
_xlfn.IFS(
AND(TYPE(VLOOKUP(1,$Z$12:Z1518,1,0))=16,Первоначальный[[#This Row],[Досрочное погашение (да/"")]]=""),0,
AND(S1517=0,Первоначальный[[#This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платеж]]+Y1517-SUM(Первоначальный[[#This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комиссиям]]),VLOOKUP(LOOKUP(,-1/($Z$12:Z1518=1),$A$12:A1518),График[[Срок конец]:[Возврат основной суммы долга]],3,0)),
AND(S1517=0,Первоначальный[[#This Row],[Дата платежа из графика]]="",Первоначальный[[#This Row],[Досрочное погашение (да/"")]]&lt;&gt;"Да"),0,
AND(S1517=0,Первоначальный[[#This Row],[Досрочное погашение (да/"")]]=""),MIN(Первоначальный[[#This Row],[Полученный платеж]]+Y1517-SUM(Первоначальный[[#This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комиссиям]]),VLOOKUP(LOOKUP(,-1/($Z$12:Z1518=1),$A$12:A1518),График[[Срок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платеж]]+Y1517-SUM(Первоначальный[[#This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S1517&gt;0,MIN(Первоначальный[[#This Row],[Полученный платеж]]+Y1517-SUM(Первоначальный[[#This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комиссиям]]),SUM(INDIRECT("M"&amp;(MAX((1=S$12:S1517)*ROW(S$12:S1517),ROW($W$12))&amp;":M"&amp;(ROW()))))-SUM(INDIRECT("W"&amp;(MAX((1=S$12:S1517)*ROW(S$12:S1517),ROW($W$12))&amp;":W"&amp;(ROW()-1)))))
)
)</f>
        <v>0</v>
      </c>
      <c r="X1518" s="55">
        <f t="shared" ca="1" si="280"/>
        <v>0</v>
      </c>
      <c r="Y1518" s="101">
        <f t="shared" ca="1" si="287"/>
        <v>0</v>
      </c>
      <c r="Z1518" s="133" t="str">
        <f>IF(TYPE((VLOOKUP(Первоначальный[[#This Row],[Дата платежа]],График[Срок конец],1,0)))=16,"",1)</f>
        <v/>
      </c>
      <c r="AA1518" s="57"/>
      <c r="AB1518" s="134"/>
      <c r="AC151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1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107723.33</v>
      </c>
      <c r="AE151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9986.6099999999806</v>
      </c>
      <c r="AF151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1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486790.27863606671</v>
      </c>
      <c r="AH1518" s="55"/>
      <c r="AI1518" s="55"/>
      <c r="AJ1518" s="55"/>
      <c r="AK1518" s="101">
        <f t="shared" ca="1" si="288"/>
        <v>754133.55863606674</v>
      </c>
      <c r="AL1518" s="129">
        <f t="array" ref="AL1518">MAX((УслРестрактов[Характеристика]="Дата реструктуризации")*(УслРестрактов[Значение]=Первоначальный!$A1518),0)</f>
        <v>0</v>
      </c>
    </row>
    <row r="1519" spans="1:38" x14ac:dyDescent="0.25">
      <c r="A1519" s="97">
        <f t="shared" si="281"/>
        <v>45650</v>
      </c>
      <c r="B1519" s="100">
        <f t="shared" ca="1" si="282"/>
        <v>149633.34</v>
      </c>
      <c r="C1519" s="55">
        <f t="shared" ca="1" si="278"/>
        <v>107723.33</v>
      </c>
      <c r="D1519" s="55">
        <f t="shared" ca="1" si="278"/>
        <v>9986.6099999999806</v>
      </c>
      <c r="E1519" s="55">
        <f t="shared" ca="1" si="283"/>
        <v>0</v>
      </c>
      <c r="F1519" s="55">
        <f t="shared" ca="1" si="284"/>
        <v>486790.27863606671</v>
      </c>
      <c r="G1519" s="101">
        <f t="shared" ca="1" si="285"/>
        <v>754133.55863606674</v>
      </c>
      <c r="H1519" s="100">
        <f ca="1">ROUND($B1519*VLOOKUP($A1519,$A$1:$B$10,2,1)/(365+IF(MOD(YEAR($A1519),4),0,1)*($A1519-$A1518)),2)-Первоначальный[[#This Row],[Проценты на просроченный платеж по ОД за период]]</f>
        <v>65.400000000000006</v>
      </c>
      <c r="I1519" s="55">
        <f t="shared" ca="1" si="286"/>
        <v>15.96</v>
      </c>
      <c r="J1519" s="55">
        <v>0</v>
      </c>
      <c r="K1519" s="55">
        <f t="shared" ca="1" si="289"/>
        <v>680.72850327868844</v>
      </c>
      <c r="L1519" s="55">
        <v>0</v>
      </c>
      <c r="M1519" s="113">
        <f>SUMIFS(График[Возврат основной суммы долга],График[Дата с учетом нерабочих дней],$A1519)</f>
        <v>0</v>
      </c>
      <c r="N1519" s="56">
        <f>SUMIFS(График[Возврат начисленных %],График[Дата с учетом нерабочих дней],$A1519)</f>
        <v>0</v>
      </c>
      <c r="O1519" s="101">
        <v>0</v>
      </c>
      <c r="P1519" s="100" cm="1">
        <f t="array" aca="1" ref="P1519" ca="1">MAX(IF(AA1518="Да",0,SUM(INDIRECT("M"&amp;(MAX(("Да"=AA$12:AA1518)*ROW(AA$12:AA1518)+1,ROW($P$12))&amp;":M"&amp;(ROW()))))-SUM(INDIRECT("W"&amp;(MAX(("Да"=AA$12:AA1518)*ROW(AA$12:AA1518)+1,ROW($P$12))&amp;":W"&amp;(ROW()))))),0)</f>
        <v>29344.699999999997</v>
      </c>
      <c r="Q1519" s="99">
        <f ca="1">MAX(SUM($N$13:N1519)-SUM($T$13:T1519),0)</f>
        <v>106801.00065573769</v>
      </c>
      <c r="R1519" s="99">
        <f ca="1">Первоначальный[[#This Row],[Просроченный платеж по ОД]]+Первоначальный[[#This Row],[Просроченный платеж по процентам]]</f>
        <v>136145.70065573769</v>
      </c>
      <c r="S1519" s="120">
        <f ca="1">IF(Первоначальный[[#This Row],[Просроченный платеж]]&lt;1,0,S1518+1)</f>
        <v>1415</v>
      </c>
      <c r="T1519" s="100" cm="1">
        <f t="array" aca="1" ref="T1519" ca="1">IF(Первоначальный[[#This Row],[Итого остаток на начало периода]]&lt;1,0,
IF(
AND(TYPE(VLOOKUP(1,$Z$12:Z1519,1,0))=16,Первоначальный[[#This Row],[Досрочное погашение (да/"")]]=""),0,
_xlfn.IFS(AND(S1518=0,Первоначальный[[#This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платеж]]&lt;&gt;0),MIN(LOOKUP(,-1/($Z$12:Z1519=1),$C$12:C1519)+LOOKUP(,-1/($Z$12:Z1519=1),$H$12:H1519),Первоначальный[[#This Row],[Полученный платеж]]+Y1518),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платеж]]+Y1518,SUM(Первоначальный[[#This Row],[Остаток процентов на начало периода]],Первоначальный[[#This Row],[Проценты за период]])),
AND(S1518=0,Первоначальный[[#This Row],[Дата платежа из графика]]=""),0,
AND(S1518=0,Первоначальный[[#This Row],[Дата платежа из графика]]=1,MAX((0&lt;&gt;S$12:S1518)*ROW(S$12:S1518),ROW($S$12))&gt;=MAX((1=Z$12:Z1518)*ROW(Z$12:Z1518),ROW($T$12)),TYPE(VLOOKUP("Да",(INDIRECT("AA"&amp;(MAX((1=Z$12:Z1518)*ROW(Z$12:Z1518),ROW($T$12))&amp;":AA"&amp;(ROW()-1)))),1,0))=16),MIN(LOOKUP(,-1/($Z$12:Z1519=1),$C$12:C1519)+LOOKUP(,-1/($Z$12:Z1519=1),$H$12:H1519),Первоначальный[[#This Row],[Полученный платеж]]+Y1518),
AND(S1518=0,TYPE(VLOOKUP("Да",(INDIRECT("AA"&amp;(MAX((1=Z$12:Z1518)*ROW(Z$12:Z1518),ROW($T$12))&amp;":AA"&amp;(ROW()-1)))),1,0))&lt;&gt;16),MIN(LOOKUP(,-1/($Z$12:Z1519=1),$C$12:C1519)+LOOKUP(,-1/($Z$12:Z1519=1),$H$12:H1519)-IF(AA1518="Да",0,SUM(INDIRECT("T"&amp;(MAX(("Да"=AA$12:AA1518)*ROW(AA$12:AA1518)+1,ROW($T$12))&amp;":T"&amp;(ROW()-1))))),Первоначальный[[#This Row],[Полученный платеж]]+Y1518),
AND(S1518=0,MAX((0&lt;&gt;N$12:N1518)*ROW(N$12:N1518),ROW($S$12))&gt;=MAX((1=Z$12:Z1518)*ROW(Z$12:Z1518),ROW($T$12))),MIN(LOOKUP(,-1/($Z$12:Z1519=1),$C$12:C1519)+LOOKUP(,-1/($Z$12:Z1519=1),$H$12:H1519)-IF(N1518&lt;&gt;0,0,SUM(INDIRECT("T"&amp;(MAX((0&lt;&gt;N$12:N1518)*ROW(N$12:N1518)+1,ROW($T$12))&amp;":T"&amp;(ROW()-1))))),Первоначальный[[#This Row],[Полученный платеж]]+Y1518),
AND(S1518=0,Первоначальный[[#This Row],[Дата платежа из графика]]=1),MIN(LOOKUP(,-1/($Z$12:Z1519=1),$C$12:C1519)+LOOKUP(,-1/($Z$12:Z1519=1),$H$12:H1519)-IF(Z1518=1,0,SUM(INDIRECT("T"&amp;(MAX((1=Z$12:Z1518)*ROW(Z$12:Z1518)+1,ROW($T$12))&amp;":T"&amp;(ROW()-1))))),Первоначальный[[#This Row],[Полученный платеж]]+Y1518),
AND(Z1518&gt;0,Первоначальный[[#This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платеж]]+Y1518),
AND(S1518&gt;0,MAX((0&lt;&gt;S$12:S1518)*ROW(S$12:S1518),ROW($S$12))&gt;=MAX((1=Z$12:Z1518)*ROW(Z$12:Z1518),ROW($T$12)),TYPE(VLOOKUP("Да",(INDIRECT("AA"&amp;(MAX((1=Z$12:Z1518)*ROW(Z$12:Z1518),ROW($T$12))&amp;":AA"&amp;(ROW()-1)))),1,0))=16),MIN(LOOKUP(,-1/($Z$12:Z1519=1),$C$12:C1519)+LOOKUP(,-1/($Z$12:Z1519=1),$H$12:H1519)-SUM(INDIRECT("T"&amp;(MAX((1=Z$12:Z1518)*ROW(Z$12:Z1518),ROW($T$12))&amp;":T"&amp;(ROW()-1)))),Первоначальный[[#This Row],[Полученный платеж]]+Y1518),
S1518&gt;0,MIN(LOOKUP(,-1/($Z$12:Z1519=1),$C$12:C1519)+LOOKUP(,-1/($Z$12:Z1519=1),$H$12:H1519)-IF(Z1518=1,0,SUM(INDIRECT("T"&amp;(MAX((1=Z$12:Z1518)*ROW(Z$12:Z1518)+1,ROW($T$12))&amp;":T"&amp;(ROW()-1))))),Первоначальный[[#This Row],[Полученный платеж]]+Y1518)
)
)
)</f>
        <v>0</v>
      </c>
      <c r="U151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платеж]]+Y1518-Первоначальный[[#This Row],[Полученный платёж по процентам]])</f>
        <v>0</v>
      </c>
      <c r="V1519" s="55">
        <f t="shared" ca="1" si="279"/>
        <v>0</v>
      </c>
      <c r="W1519" s="55" cm="1">
        <f t="array" aca="1" ref="W1519" ca="1">IF(Первоначальный[[#This Row],[Итого остаток на начало периода]]&lt;1,0,
_xlfn.IFS(
AND(TYPE(VLOOKUP(1,$Z$12:Z1519,1,0))=16,Первоначальный[[#This Row],[Досрочное погашение (да/"")]]=""),0,
AND(S1518=0,Первоначальный[[#This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платеж]]+Y1518-SUM(Первоначальный[[#This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комиссиям]]),VLOOKUP(LOOKUP(,-1/($Z$12:Z1519=1),$A$12:A1519),График[[Срок конец]:[Возврат основной суммы долга]],3,0)),
AND(S1518=0,Первоначальный[[#This Row],[Дата платежа из графика]]="",Первоначальный[[#This Row],[Досрочное погашение (да/"")]]&lt;&gt;"Да"),0,
AND(S1518=0,Первоначальный[[#This Row],[Досрочное погашение (да/"")]]=""),MIN(Первоначальный[[#This Row],[Полученный платеж]]+Y1518-SUM(Первоначальный[[#This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комиссиям]]),VLOOKUP(LOOKUP(,-1/($Z$12:Z1519=1),$A$12:A1519),График[[Срок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платеж]]+Y1518-SUM(Первоначальный[[#This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S1518&gt;0,MIN(Первоначальный[[#This Row],[Полученный платеж]]+Y1518-SUM(Первоначальный[[#This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комиссиям]]),SUM(INDIRECT("M"&amp;(MAX((1=S$12:S1518)*ROW(S$12:S1518),ROW($W$12))&amp;":M"&amp;(ROW()))))-SUM(INDIRECT("W"&amp;(MAX((1=S$12:S1518)*ROW(S$12:S1518),ROW($W$12))&amp;":W"&amp;(ROW()-1)))))
)
)</f>
        <v>0</v>
      </c>
      <c r="X1519" s="55">
        <f t="shared" ca="1" si="280"/>
        <v>0</v>
      </c>
      <c r="Y1519" s="101">
        <f t="shared" ca="1" si="287"/>
        <v>0</v>
      </c>
      <c r="Z1519" s="133" t="str">
        <f>IF(TYPE((VLOOKUP(Первоначальный[[#This Row],[Дата платежа]],График[Срок конец],1,0)))=16,"",1)</f>
        <v/>
      </c>
      <c r="AA1519" s="57"/>
      <c r="AB1519" s="134"/>
      <c r="AC151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1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107788.73</v>
      </c>
      <c r="AE151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10002.56999999998</v>
      </c>
      <c r="AF151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1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487471.0071393454</v>
      </c>
      <c r="AH1519" s="55"/>
      <c r="AI1519" s="55"/>
      <c r="AJ1519" s="55"/>
      <c r="AK1519" s="101">
        <f t="shared" ca="1" si="288"/>
        <v>754895.64713934541</v>
      </c>
      <c r="AL1519" s="129">
        <f t="array" ref="AL1519">MAX((УслРестрактов[Характеристика]="Дата реструктуризации")*(УслРестрактов[Значение]=Первоначальный!$A1519),0)</f>
        <v>0</v>
      </c>
    </row>
    <row r="1520" spans="1:38" x14ac:dyDescent="0.25">
      <c r="A1520" s="97">
        <f t="shared" si="281"/>
        <v>45651</v>
      </c>
      <c r="B1520" s="100">
        <f t="shared" ca="1" si="282"/>
        <v>149633.34</v>
      </c>
      <c r="C1520" s="55">
        <f t="shared" ca="1" si="278"/>
        <v>107788.73</v>
      </c>
      <c r="D1520" s="55">
        <f t="shared" ca="1" si="278"/>
        <v>10002.56999999998</v>
      </c>
      <c r="E1520" s="55">
        <f t="shared" ca="1" si="283"/>
        <v>0</v>
      </c>
      <c r="F1520" s="55">
        <f t="shared" ca="1" si="284"/>
        <v>487471.0071393454</v>
      </c>
      <c r="G1520" s="101">
        <f t="shared" ca="1" si="285"/>
        <v>754895.64713934541</v>
      </c>
      <c r="H1520" s="100">
        <f ca="1">ROUND($B1520*VLOOKUP($A1520,$A$1:$B$10,2,1)/(365+IF(MOD(YEAR($A1520),4),0,1)*($A1520-$A1519)),2)-Первоначальный[[#This Row],[Проценты на просроченный платеж по ОД за период]]</f>
        <v>65.400000000000006</v>
      </c>
      <c r="I1520" s="55">
        <f t="shared" ca="1" si="286"/>
        <v>15.96</v>
      </c>
      <c r="J1520" s="55">
        <v>0</v>
      </c>
      <c r="K1520" s="55">
        <f t="shared" ca="1" si="289"/>
        <v>680.72850327868844</v>
      </c>
      <c r="L1520" s="55">
        <v>0</v>
      </c>
      <c r="M1520" s="113">
        <f>SUMIFS(График[Возврат основной суммы долга],График[Дата с учетом нерабочих дней],$A1520)</f>
        <v>0</v>
      </c>
      <c r="N1520" s="56">
        <f>SUMIFS(График[Возврат начисленных %],График[Дата с учетом нерабочих дней],$A1520)</f>
        <v>0</v>
      </c>
      <c r="O1520" s="101">
        <v>0</v>
      </c>
      <c r="P1520" s="100" cm="1">
        <f t="array" aca="1" ref="P1520" ca="1">MAX(IF(AA1519="Да",0,SUM(INDIRECT("M"&amp;(MAX(("Да"=AA$12:AA1519)*ROW(AA$12:AA1519)+1,ROW($P$12))&amp;":M"&amp;(ROW()))))-SUM(INDIRECT("W"&amp;(MAX(("Да"=AA$12:AA1519)*ROW(AA$12:AA1519)+1,ROW($P$12))&amp;":W"&amp;(ROW()))))),0)</f>
        <v>29344.699999999997</v>
      </c>
      <c r="Q1520" s="99">
        <f ca="1">MAX(SUM($N$13:N1520)-SUM($T$13:T1520),0)</f>
        <v>106801.00065573769</v>
      </c>
      <c r="R1520" s="99">
        <f ca="1">Первоначальный[[#This Row],[Просроченный платеж по ОД]]+Первоначальный[[#This Row],[Просроченный платеж по процентам]]</f>
        <v>136145.70065573769</v>
      </c>
      <c r="S1520" s="120">
        <f ca="1">IF(Первоначальный[[#This Row],[Просроченный платеж]]&lt;1,0,S1519+1)</f>
        <v>1416</v>
      </c>
      <c r="T1520" s="100" cm="1">
        <f t="array" aca="1" ref="T1520" ca="1">IF(Первоначальный[[#This Row],[Итого остаток на начало периода]]&lt;1,0,
IF(
AND(TYPE(VLOOKUP(1,$Z$12:Z1520,1,0))=16,Первоначальный[[#This Row],[Досрочное погашение (да/"")]]=""),0,
_xlfn.IFS(AND(S1519=0,Первоначальный[[#This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платеж]]&lt;&gt;0),MIN(LOOKUP(,-1/($Z$12:Z1520=1),$C$12:C1520)+LOOKUP(,-1/($Z$12:Z1520=1),$H$12:H1520),Первоначальный[[#This Row],[Полученный платеж]]+Y1519),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платеж]]+Y1519,SUM(Первоначальный[[#This Row],[Остаток процентов на начало периода]],Первоначальный[[#This Row],[Проценты за период]])),
AND(S1519=0,Первоначальный[[#This Row],[Дата платежа из графика]]=""),0,
AND(S1519=0,Первоначальный[[#This Row],[Дата платежа из графика]]=1,MAX((0&lt;&gt;S$12:S1519)*ROW(S$12:S1519),ROW($S$12))&gt;=MAX((1=Z$12:Z1519)*ROW(Z$12:Z1519),ROW($T$12)),TYPE(VLOOKUP("Да",(INDIRECT("AA"&amp;(MAX((1=Z$12:Z1519)*ROW(Z$12:Z1519),ROW($T$12))&amp;":AA"&amp;(ROW()-1)))),1,0))=16),MIN(LOOKUP(,-1/($Z$12:Z1520=1),$C$12:C1520)+LOOKUP(,-1/($Z$12:Z1520=1),$H$12:H1520),Первоначальный[[#This Row],[Полученный платеж]]+Y1519),
AND(S1519=0,TYPE(VLOOKUP("Да",(INDIRECT("AA"&amp;(MAX((1=Z$12:Z1519)*ROW(Z$12:Z1519),ROW($T$12))&amp;":AA"&amp;(ROW()-1)))),1,0))&lt;&gt;16),MIN(LOOKUP(,-1/($Z$12:Z1520=1),$C$12:C1520)+LOOKUP(,-1/($Z$12:Z1520=1),$H$12:H1520)-IF(AA1519="Да",0,SUM(INDIRECT("T"&amp;(MAX(("Да"=AA$12:AA1519)*ROW(AA$12:AA1519)+1,ROW($T$12))&amp;":T"&amp;(ROW()-1))))),Первоначальный[[#This Row],[Полученный платеж]]+Y1519),
AND(S1519=0,MAX((0&lt;&gt;N$12:N1519)*ROW(N$12:N1519),ROW($S$12))&gt;=MAX((1=Z$12:Z1519)*ROW(Z$12:Z1519),ROW($T$12))),MIN(LOOKUP(,-1/($Z$12:Z1520=1),$C$12:C1520)+LOOKUP(,-1/($Z$12:Z1520=1),$H$12:H1520)-IF(N1519&lt;&gt;0,0,SUM(INDIRECT("T"&amp;(MAX((0&lt;&gt;N$12:N1519)*ROW(N$12:N1519)+1,ROW($T$12))&amp;":T"&amp;(ROW()-1))))),Первоначальный[[#This Row],[Полученный платеж]]+Y1519),
AND(S1519=0,Первоначальный[[#This Row],[Дата платежа из графика]]=1),MIN(LOOKUP(,-1/($Z$12:Z1520=1),$C$12:C1520)+LOOKUP(,-1/($Z$12:Z1520=1),$H$12:H1520)-IF(Z1519=1,0,SUM(INDIRECT("T"&amp;(MAX((1=Z$12:Z1519)*ROW(Z$12:Z1519)+1,ROW($T$12))&amp;":T"&amp;(ROW()-1))))),Первоначальный[[#This Row],[Полученный платеж]]+Y1519),
AND(Z1519&gt;0,Первоначальный[[#This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платеж]]+Y1519),
AND(S1519&gt;0,MAX((0&lt;&gt;S$12:S1519)*ROW(S$12:S1519),ROW($S$12))&gt;=MAX((1=Z$12:Z1519)*ROW(Z$12:Z1519),ROW($T$12)),TYPE(VLOOKUP("Да",(INDIRECT("AA"&amp;(MAX((1=Z$12:Z1519)*ROW(Z$12:Z1519),ROW($T$12))&amp;":AA"&amp;(ROW()-1)))),1,0))=16),MIN(LOOKUP(,-1/($Z$12:Z1520=1),$C$12:C1520)+LOOKUP(,-1/($Z$12:Z1520=1),$H$12:H1520)-SUM(INDIRECT("T"&amp;(MAX((1=Z$12:Z1519)*ROW(Z$12:Z1519),ROW($T$12))&amp;":T"&amp;(ROW()-1)))),Первоначальный[[#This Row],[Полученный платеж]]+Y1519),
S1519&gt;0,MIN(LOOKUP(,-1/($Z$12:Z1520=1),$C$12:C1520)+LOOKUP(,-1/($Z$12:Z1520=1),$H$12:H1520)-IF(Z1519=1,0,SUM(INDIRECT("T"&amp;(MAX((1=Z$12:Z1519)*ROW(Z$12:Z1519)+1,ROW($T$12))&amp;":T"&amp;(ROW()-1))))),Первоначальный[[#This Row],[Полученный платеж]]+Y1519)
)
)
)</f>
        <v>0</v>
      </c>
      <c r="U152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платеж]]+Y1519-Первоначальный[[#This Row],[Полученный платёж по процентам]])</f>
        <v>0</v>
      </c>
      <c r="V1520" s="55">
        <f t="shared" ca="1" si="279"/>
        <v>0</v>
      </c>
      <c r="W1520" s="55" cm="1">
        <f t="array" aca="1" ref="W1520" ca="1">IF(Первоначальный[[#This Row],[Итого остаток на начало периода]]&lt;1,0,
_xlfn.IFS(
AND(TYPE(VLOOKUP(1,$Z$12:Z1520,1,0))=16,Первоначальный[[#This Row],[Досрочное погашение (да/"")]]=""),0,
AND(S1519=0,Первоначальный[[#This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платеж]]+Y1519-SUM(Первоначальный[[#This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комиссиям]]),VLOOKUP(LOOKUP(,-1/($Z$12:Z1520=1),$A$12:A1520),График[[Срок конец]:[Возврат основной суммы долга]],3,0)),
AND(S1519=0,Первоначальный[[#This Row],[Дата платежа из графика]]="",Первоначальный[[#This Row],[Досрочное погашение (да/"")]]&lt;&gt;"Да"),0,
AND(S1519=0,Первоначальный[[#This Row],[Досрочное погашение (да/"")]]=""),MIN(Первоначальный[[#This Row],[Полученный платеж]]+Y1519-SUM(Первоначальный[[#This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комиссиям]]),VLOOKUP(LOOKUP(,-1/($Z$12:Z1520=1),$A$12:A1520),График[[Срок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платеж]]+Y1519-SUM(Первоначальный[[#This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S1519&gt;0,MIN(Первоначальный[[#This Row],[Полученный платеж]]+Y1519-SUM(Первоначальный[[#This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комиссиям]]),SUM(INDIRECT("M"&amp;(MAX((1=S$12:S1519)*ROW(S$12:S1519),ROW($W$12))&amp;":M"&amp;(ROW()))))-SUM(INDIRECT("W"&amp;(MAX((1=S$12:S1519)*ROW(S$12:S1519),ROW($W$12))&amp;":W"&amp;(ROW()-1)))))
)
)</f>
        <v>0</v>
      </c>
      <c r="X1520" s="55">
        <f t="shared" ca="1" si="280"/>
        <v>0</v>
      </c>
      <c r="Y1520" s="101">
        <f t="shared" ca="1" si="287"/>
        <v>0</v>
      </c>
      <c r="Z1520" s="133" t="str">
        <f>IF(TYPE((VLOOKUP(Первоначальный[[#This Row],[Дата платежа]],График[Срок конец],1,0)))=16,"",1)</f>
        <v/>
      </c>
      <c r="AA1520" s="57"/>
      <c r="AB1520" s="134"/>
      <c r="AC152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2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107854.12999999999</v>
      </c>
      <c r="AE152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10018.529999999979</v>
      </c>
      <c r="AF152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2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488151.73564262409</v>
      </c>
      <c r="AH1520" s="55"/>
      <c r="AI1520" s="55"/>
      <c r="AJ1520" s="55"/>
      <c r="AK1520" s="101">
        <f t="shared" ca="1" si="288"/>
        <v>755657.73564262409</v>
      </c>
      <c r="AL1520" s="129">
        <f t="array" ref="AL1520">MAX((УслРестрактов[Характеристика]="Дата реструктуризации")*(УслРестрактов[Значение]=Первоначальный!$A1520),0)</f>
        <v>0</v>
      </c>
    </row>
    <row r="1521" spans="1:38" x14ac:dyDescent="0.25">
      <c r="A1521" s="97">
        <f t="shared" si="281"/>
        <v>45652</v>
      </c>
      <c r="B1521" s="100">
        <f t="shared" ca="1" si="282"/>
        <v>149633.34</v>
      </c>
      <c r="C1521" s="55">
        <f t="shared" ca="1" si="278"/>
        <v>107854.12999999999</v>
      </c>
      <c r="D1521" s="55">
        <f t="shared" ca="1" si="278"/>
        <v>10018.529999999979</v>
      </c>
      <c r="E1521" s="55">
        <f t="shared" ca="1" si="283"/>
        <v>0</v>
      </c>
      <c r="F1521" s="55">
        <f t="shared" ca="1" si="284"/>
        <v>488151.73564262409</v>
      </c>
      <c r="G1521" s="101">
        <f t="shared" ca="1" si="285"/>
        <v>755657.73564262409</v>
      </c>
      <c r="H1521" s="100">
        <f ca="1">ROUND($B1521*VLOOKUP($A1521,$A$1:$B$10,2,1)/(365+IF(MOD(YEAR($A1521),4),0,1)*($A1521-$A1520)),2)-Первоначальный[[#This Row],[Проценты на просроченный платеж по ОД за период]]</f>
        <v>65.400000000000006</v>
      </c>
      <c r="I1521" s="55">
        <f t="shared" ca="1" si="286"/>
        <v>15.96</v>
      </c>
      <c r="J1521" s="55">
        <v>0</v>
      </c>
      <c r="K1521" s="55">
        <f t="shared" ca="1" si="289"/>
        <v>680.72850327868844</v>
      </c>
      <c r="L1521" s="55">
        <v>0</v>
      </c>
      <c r="M1521" s="113">
        <f>SUMIFS(График[Возврат основной суммы долга],График[Дата с учетом нерабочих дней],$A1521)</f>
        <v>0</v>
      </c>
      <c r="N1521" s="56">
        <f>SUMIFS(График[Возврат начисленных %],График[Дата с учетом нерабочих дней],$A1521)</f>
        <v>0</v>
      </c>
      <c r="O1521" s="101">
        <v>0</v>
      </c>
      <c r="P1521" s="100" cm="1">
        <f t="array" aca="1" ref="P1521" ca="1">MAX(IF(AA1520="Да",0,SUM(INDIRECT("M"&amp;(MAX(("Да"=AA$12:AA1520)*ROW(AA$12:AA1520)+1,ROW($P$12))&amp;":M"&amp;(ROW()))))-SUM(INDIRECT("W"&amp;(MAX(("Да"=AA$12:AA1520)*ROW(AA$12:AA1520)+1,ROW($P$12))&amp;":W"&amp;(ROW()))))),0)</f>
        <v>29344.699999999997</v>
      </c>
      <c r="Q1521" s="99">
        <f ca="1">MAX(SUM($N$13:N1521)-SUM($T$13:T1521),0)</f>
        <v>106801.00065573769</v>
      </c>
      <c r="R1521" s="99">
        <f ca="1">Первоначальный[[#This Row],[Просроченный платеж по ОД]]+Первоначальный[[#This Row],[Просроченный платеж по процентам]]</f>
        <v>136145.70065573769</v>
      </c>
      <c r="S1521" s="120">
        <f ca="1">IF(Первоначальный[[#This Row],[Просроченный платеж]]&lt;1,0,S1520+1)</f>
        <v>1417</v>
      </c>
      <c r="T1521" s="100" cm="1">
        <f t="array" aca="1" ref="T1521" ca="1">IF(Первоначальный[[#This Row],[Итого остаток на начало периода]]&lt;1,0,
IF(
AND(TYPE(VLOOKUP(1,$Z$12:Z1521,1,0))=16,Первоначальный[[#This Row],[Досрочное погашение (да/"")]]=""),0,
_xlfn.IFS(AND(S1520=0,Первоначальный[[#This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платеж]]&lt;&gt;0),MIN(LOOKUP(,-1/($Z$12:Z1521=1),$C$12:C1521)+LOOKUP(,-1/($Z$12:Z1521=1),$H$12:H1521),Первоначальный[[#This Row],[Полученный платеж]]+Y1520),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платеж]]+Y1520,SUM(Первоначальный[[#This Row],[Остаток процентов на начало периода]],Первоначальный[[#This Row],[Проценты за период]])),
AND(S1520=0,Первоначальный[[#This Row],[Дата платежа из графика]]=""),0,
AND(S1520=0,Первоначальный[[#This Row],[Дата платежа из графика]]=1,MAX((0&lt;&gt;S$12:S1520)*ROW(S$12:S1520),ROW($S$12))&gt;=MAX((1=Z$12:Z1520)*ROW(Z$12:Z1520),ROW($T$12)),TYPE(VLOOKUP("Да",(INDIRECT("AA"&amp;(MAX((1=Z$12:Z1520)*ROW(Z$12:Z1520),ROW($T$12))&amp;":AA"&amp;(ROW()-1)))),1,0))=16),MIN(LOOKUP(,-1/($Z$12:Z1521=1),$C$12:C1521)+LOOKUP(,-1/($Z$12:Z1521=1),$H$12:H1521),Первоначальный[[#This Row],[Полученный платеж]]+Y1520),
AND(S1520=0,TYPE(VLOOKUP("Да",(INDIRECT("AA"&amp;(MAX((1=Z$12:Z1520)*ROW(Z$12:Z1520),ROW($T$12))&amp;":AA"&amp;(ROW()-1)))),1,0))&lt;&gt;16),MIN(LOOKUP(,-1/($Z$12:Z1521=1),$C$12:C1521)+LOOKUP(,-1/($Z$12:Z1521=1),$H$12:H1521)-IF(AA1520="Да",0,SUM(INDIRECT("T"&amp;(MAX(("Да"=AA$12:AA1520)*ROW(AA$12:AA1520)+1,ROW($T$12))&amp;":T"&amp;(ROW()-1))))),Первоначальный[[#This Row],[Полученный платеж]]+Y1520),
AND(S1520=0,MAX((0&lt;&gt;N$12:N1520)*ROW(N$12:N1520),ROW($S$12))&gt;=MAX((1=Z$12:Z1520)*ROW(Z$12:Z1520),ROW($T$12))),MIN(LOOKUP(,-1/($Z$12:Z1521=1),$C$12:C1521)+LOOKUP(,-1/($Z$12:Z1521=1),$H$12:H1521)-IF(N1520&lt;&gt;0,0,SUM(INDIRECT("T"&amp;(MAX((0&lt;&gt;N$12:N1520)*ROW(N$12:N1520)+1,ROW($T$12))&amp;":T"&amp;(ROW()-1))))),Первоначальный[[#This Row],[Полученный платеж]]+Y1520),
AND(S1520=0,Первоначальный[[#This Row],[Дата платежа из графика]]=1),MIN(LOOKUP(,-1/($Z$12:Z1521=1),$C$12:C1521)+LOOKUP(,-1/($Z$12:Z1521=1),$H$12:H1521)-IF(Z1520=1,0,SUM(INDIRECT("T"&amp;(MAX((1=Z$12:Z1520)*ROW(Z$12:Z1520)+1,ROW($T$12))&amp;":T"&amp;(ROW()-1))))),Первоначальный[[#This Row],[Полученный платеж]]+Y1520),
AND(Z1520&gt;0,Первоначальный[[#This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платеж]]+Y1520),
AND(S1520&gt;0,MAX((0&lt;&gt;S$12:S1520)*ROW(S$12:S1520),ROW($S$12))&gt;=MAX((1=Z$12:Z1520)*ROW(Z$12:Z1520),ROW($T$12)),TYPE(VLOOKUP("Да",(INDIRECT("AA"&amp;(MAX((1=Z$12:Z1520)*ROW(Z$12:Z1520),ROW($T$12))&amp;":AA"&amp;(ROW()-1)))),1,0))=16),MIN(LOOKUP(,-1/($Z$12:Z1521=1),$C$12:C1521)+LOOKUP(,-1/($Z$12:Z1521=1),$H$12:H1521)-SUM(INDIRECT("T"&amp;(MAX((1=Z$12:Z1520)*ROW(Z$12:Z1520),ROW($T$12))&amp;":T"&amp;(ROW()-1)))),Первоначальный[[#This Row],[Полученный платеж]]+Y1520),
S1520&gt;0,MIN(LOOKUP(,-1/($Z$12:Z1521=1),$C$12:C1521)+LOOKUP(,-1/($Z$12:Z1521=1),$H$12:H1521)-IF(Z1520=1,0,SUM(INDIRECT("T"&amp;(MAX((1=Z$12:Z1520)*ROW(Z$12:Z1520)+1,ROW($T$12))&amp;":T"&amp;(ROW()-1))))),Первоначальный[[#This Row],[Полученный платеж]]+Y1520)
)
)
)</f>
        <v>0</v>
      </c>
      <c r="U152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платеж]]+Y1520-Первоначальный[[#This Row],[Полученный платёж по процентам]])</f>
        <v>0</v>
      </c>
      <c r="V1521" s="55">
        <f t="shared" ca="1" si="279"/>
        <v>0</v>
      </c>
      <c r="W1521" s="55" cm="1">
        <f t="array" aca="1" ref="W1521" ca="1">IF(Первоначальный[[#This Row],[Итого остаток на начало периода]]&lt;1,0,
_xlfn.IFS(
AND(TYPE(VLOOKUP(1,$Z$12:Z1521,1,0))=16,Первоначальный[[#This Row],[Досрочное погашение (да/"")]]=""),0,
AND(S1520=0,Первоначальный[[#This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платеж]]+Y1520-SUM(Первоначальный[[#This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комиссиям]]),VLOOKUP(LOOKUP(,-1/($Z$12:Z1521=1),$A$12:A1521),График[[Срок конец]:[Возврат основной суммы долга]],3,0)),
AND(S1520=0,Первоначальный[[#This Row],[Дата платежа из графика]]="",Первоначальный[[#This Row],[Досрочное погашение (да/"")]]&lt;&gt;"Да"),0,
AND(S1520=0,Первоначальный[[#This Row],[Досрочное погашение (да/"")]]=""),MIN(Первоначальный[[#This Row],[Полученный платеж]]+Y1520-SUM(Первоначальный[[#This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комиссиям]]),VLOOKUP(LOOKUP(,-1/($Z$12:Z1521=1),$A$12:A1521),График[[Срок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платеж]]+Y1520-SUM(Первоначальный[[#This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S1520&gt;0,MIN(Первоначальный[[#This Row],[Полученный платеж]]+Y1520-SUM(Первоначальный[[#This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комиссиям]]),SUM(INDIRECT("M"&amp;(MAX((1=S$12:S1520)*ROW(S$12:S1520),ROW($W$12))&amp;":M"&amp;(ROW()))))-SUM(INDIRECT("W"&amp;(MAX((1=S$12:S1520)*ROW(S$12:S1520),ROW($W$12))&amp;":W"&amp;(ROW()-1)))))
)
)</f>
        <v>0</v>
      </c>
      <c r="X1521" s="55">
        <f t="shared" ca="1" si="280"/>
        <v>0</v>
      </c>
      <c r="Y1521" s="101">
        <f t="shared" ca="1" si="287"/>
        <v>0</v>
      </c>
      <c r="Z1521" s="133" t="str">
        <f>IF(TYPE((VLOOKUP(Первоначальный[[#This Row],[Дата платежа]],График[Срок конец],1,0)))=16,"",1)</f>
        <v/>
      </c>
      <c r="AA1521" s="57"/>
      <c r="AB1521" s="134"/>
      <c r="AC152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2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107919.52999999998</v>
      </c>
      <c r="AE152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10034.489999999978</v>
      </c>
      <c r="AF152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2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488832.46414590278</v>
      </c>
      <c r="AH1521" s="55"/>
      <c r="AI1521" s="55"/>
      <c r="AJ1521" s="55"/>
      <c r="AK1521" s="101">
        <f t="shared" ca="1" si="288"/>
        <v>756419.82414590276</v>
      </c>
      <c r="AL1521" s="129">
        <f t="array" ref="AL1521">MAX((УслРестрактов[Характеристика]="Дата реструктуризации")*(УслРестрактов[Значение]=Первоначальный!$A1521),0)</f>
        <v>0</v>
      </c>
    </row>
    <row r="1522" spans="1:38" x14ac:dyDescent="0.25">
      <c r="A1522" s="97">
        <f t="shared" si="281"/>
        <v>45653</v>
      </c>
      <c r="B1522" s="100">
        <f t="shared" ca="1" si="282"/>
        <v>149633.34</v>
      </c>
      <c r="C1522" s="55">
        <f t="shared" ca="1" si="278"/>
        <v>107919.52999999998</v>
      </c>
      <c r="D1522" s="55">
        <f t="shared" ca="1" si="278"/>
        <v>10034.489999999978</v>
      </c>
      <c r="E1522" s="55">
        <f t="shared" ca="1" si="283"/>
        <v>0</v>
      </c>
      <c r="F1522" s="55">
        <f t="shared" ca="1" si="284"/>
        <v>488832.46414590278</v>
      </c>
      <c r="G1522" s="101">
        <f t="shared" ca="1" si="285"/>
        <v>756419.82414590276</v>
      </c>
      <c r="H1522" s="100">
        <f ca="1">ROUND($B1522*VLOOKUP($A1522,$A$1:$B$10,2,1)/(365+IF(MOD(YEAR($A1522),4),0,1)*($A1522-$A1521)),2)-Первоначальный[[#This Row],[Проценты на просроченный платеж по ОД за период]]</f>
        <v>65.400000000000006</v>
      </c>
      <c r="I1522" s="55">
        <f t="shared" ca="1" si="286"/>
        <v>15.96</v>
      </c>
      <c r="J1522" s="55">
        <v>0</v>
      </c>
      <c r="K1522" s="55">
        <f t="shared" ca="1" si="289"/>
        <v>680.72850327868844</v>
      </c>
      <c r="L1522" s="55">
        <v>0</v>
      </c>
      <c r="M1522" s="113">
        <f>SUMIFS(График[Возврат основной суммы долга],График[Дата с учетом нерабочих дней],$A1522)</f>
        <v>0</v>
      </c>
      <c r="N1522" s="56">
        <f>SUMIFS(График[Возврат начисленных %],График[Дата с учетом нерабочих дней],$A1522)</f>
        <v>0</v>
      </c>
      <c r="O1522" s="101">
        <v>0</v>
      </c>
      <c r="P1522" s="100" cm="1">
        <f t="array" aca="1" ref="P1522" ca="1">MAX(IF(AA1521="Да",0,SUM(INDIRECT("M"&amp;(MAX(("Да"=AA$12:AA1521)*ROW(AA$12:AA1521)+1,ROW($P$12))&amp;":M"&amp;(ROW()))))-SUM(INDIRECT("W"&amp;(MAX(("Да"=AA$12:AA1521)*ROW(AA$12:AA1521)+1,ROW($P$12))&amp;":W"&amp;(ROW()))))),0)</f>
        <v>29344.699999999997</v>
      </c>
      <c r="Q1522" s="99">
        <f ca="1">MAX(SUM($N$13:N1522)-SUM($T$13:T1522),0)</f>
        <v>106801.00065573769</v>
      </c>
      <c r="R1522" s="99">
        <f ca="1">Первоначальный[[#This Row],[Просроченный платеж по ОД]]+Первоначальный[[#This Row],[Просроченный платеж по процентам]]</f>
        <v>136145.70065573769</v>
      </c>
      <c r="S1522" s="120">
        <f ca="1">IF(Первоначальный[[#This Row],[Просроченный платеж]]&lt;1,0,S1521+1)</f>
        <v>1418</v>
      </c>
      <c r="T1522" s="100" cm="1">
        <f t="array" aca="1" ref="T1522" ca="1">IF(Первоначальный[[#This Row],[Итого остаток на начало периода]]&lt;1,0,
IF(
AND(TYPE(VLOOKUP(1,$Z$12:Z1522,1,0))=16,Первоначальный[[#This Row],[Досрочное погашение (да/"")]]=""),0,
_xlfn.IFS(AND(S1521=0,Первоначальный[[#This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платеж]]&lt;&gt;0),MIN(LOOKUP(,-1/($Z$12:Z1522=1),$C$12:C1522)+LOOKUP(,-1/($Z$12:Z1522=1),$H$12:H1522),Первоначальный[[#This Row],[Полученный платеж]]+Y1521),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платеж]]+Y1521,SUM(Первоначальный[[#This Row],[Остаток процентов на начало периода]],Первоначальный[[#This Row],[Проценты за период]])),
AND(S1521=0,Первоначальный[[#This Row],[Дата платежа из графика]]=""),0,
AND(S1521=0,Первоначальный[[#This Row],[Дата платежа из графика]]=1,MAX((0&lt;&gt;S$12:S1521)*ROW(S$12:S1521),ROW($S$12))&gt;=MAX((1=Z$12:Z1521)*ROW(Z$12:Z1521),ROW($T$12)),TYPE(VLOOKUP("Да",(INDIRECT("AA"&amp;(MAX((1=Z$12:Z1521)*ROW(Z$12:Z1521),ROW($T$12))&amp;":AA"&amp;(ROW()-1)))),1,0))=16),MIN(LOOKUP(,-1/($Z$12:Z1522=1),$C$12:C1522)+LOOKUP(,-1/($Z$12:Z1522=1),$H$12:H1522),Первоначальный[[#This Row],[Полученный платеж]]+Y1521),
AND(S1521=0,TYPE(VLOOKUP("Да",(INDIRECT("AA"&amp;(MAX((1=Z$12:Z1521)*ROW(Z$12:Z1521),ROW($T$12))&amp;":AA"&amp;(ROW()-1)))),1,0))&lt;&gt;16),MIN(LOOKUP(,-1/($Z$12:Z1522=1),$C$12:C1522)+LOOKUP(,-1/($Z$12:Z1522=1),$H$12:H1522)-IF(AA1521="Да",0,SUM(INDIRECT("T"&amp;(MAX(("Да"=AA$12:AA1521)*ROW(AA$12:AA1521)+1,ROW($T$12))&amp;":T"&amp;(ROW()-1))))),Первоначальный[[#This Row],[Полученный платеж]]+Y1521),
AND(S1521=0,MAX((0&lt;&gt;N$12:N1521)*ROW(N$12:N1521),ROW($S$12))&gt;=MAX((1=Z$12:Z1521)*ROW(Z$12:Z1521),ROW($T$12))),MIN(LOOKUP(,-1/($Z$12:Z1522=1),$C$12:C1522)+LOOKUP(,-1/($Z$12:Z1522=1),$H$12:H1522)-IF(N1521&lt;&gt;0,0,SUM(INDIRECT("T"&amp;(MAX((0&lt;&gt;N$12:N1521)*ROW(N$12:N1521)+1,ROW($T$12))&amp;":T"&amp;(ROW()-1))))),Первоначальный[[#This Row],[Полученный платеж]]+Y1521),
AND(S1521=0,Первоначальный[[#This Row],[Дата платежа из графика]]=1),MIN(LOOKUP(,-1/($Z$12:Z1522=1),$C$12:C1522)+LOOKUP(,-1/($Z$12:Z1522=1),$H$12:H1522)-IF(Z1521=1,0,SUM(INDIRECT("T"&amp;(MAX((1=Z$12:Z1521)*ROW(Z$12:Z1521)+1,ROW($T$12))&amp;":T"&amp;(ROW()-1))))),Первоначальный[[#This Row],[Полученный платеж]]+Y1521),
AND(Z1521&gt;0,Первоначальный[[#This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платеж]]+Y1521),
AND(S1521&gt;0,MAX((0&lt;&gt;S$12:S1521)*ROW(S$12:S1521),ROW($S$12))&gt;=MAX((1=Z$12:Z1521)*ROW(Z$12:Z1521),ROW($T$12)),TYPE(VLOOKUP("Да",(INDIRECT("AA"&amp;(MAX((1=Z$12:Z1521)*ROW(Z$12:Z1521),ROW($T$12))&amp;":AA"&amp;(ROW()-1)))),1,0))=16),MIN(LOOKUP(,-1/($Z$12:Z1522=1),$C$12:C1522)+LOOKUP(,-1/($Z$12:Z1522=1),$H$12:H1522)-SUM(INDIRECT("T"&amp;(MAX((1=Z$12:Z1521)*ROW(Z$12:Z1521),ROW($T$12))&amp;":T"&amp;(ROW()-1)))),Первоначальный[[#This Row],[Полученный платеж]]+Y1521),
S1521&gt;0,MIN(LOOKUP(,-1/($Z$12:Z1522=1),$C$12:C1522)+LOOKUP(,-1/($Z$12:Z1522=1),$H$12:H1522)-IF(Z1521=1,0,SUM(INDIRECT("T"&amp;(MAX((1=Z$12:Z1521)*ROW(Z$12:Z1521)+1,ROW($T$12))&amp;":T"&amp;(ROW()-1))))),Первоначальный[[#This Row],[Полученный платеж]]+Y1521)
)
)
)</f>
        <v>0</v>
      </c>
      <c r="U152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платеж]]+Y1521-Первоначальный[[#This Row],[Полученный платёж по процентам]])</f>
        <v>0</v>
      </c>
      <c r="V1522" s="55">
        <f t="shared" ca="1" si="279"/>
        <v>0</v>
      </c>
      <c r="W1522" s="55" cm="1">
        <f t="array" aca="1" ref="W1522" ca="1">IF(Первоначальный[[#This Row],[Итого остаток на начало периода]]&lt;1,0,
_xlfn.IFS(
AND(TYPE(VLOOKUP(1,$Z$12:Z1522,1,0))=16,Первоначальный[[#This Row],[Досрочное погашение (да/"")]]=""),0,
AND(S1521=0,Первоначальный[[#This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платеж]]+Y1521-SUM(Первоначальный[[#This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комиссиям]]),VLOOKUP(LOOKUP(,-1/($Z$12:Z1522=1),$A$12:A1522),График[[Срок конец]:[Возврат основной суммы долга]],3,0)),
AND(S1521=0,Первоначальный[[#This Row],[Дата платежа из графика]]="",Первоначальный[[#This Row],[Досрочное погашение (да/"")]]&lt;&gt;"Да"),0,
AND(S1521=0,Первоначальный[[#This Row],[Досрочное погашение (да/"")]]=""),MIN(Первоначальный[[#This Row],[Полученный платеж]]+Y1521-SUM(Первоначальный[[#This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комиссиям]]),VLOOKUP(LOOKUP(,-1/($Z$12:Z1522=1),$A$12:A1522),График[[Срок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платеж]]+Y1521-SUM(Первоначальный[[#This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S1521&gt;0,MIN(Первоначальный[[#This Row],[Полученный платеж]]+Y1521-SUM(Первоначальный[[#This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комиссиям]]),SUM(INDIRECT("M"&amp;(MAX((1=S$12:S1521)*ROW(S$12:S1521),ROW($W$12))&amp;":M"&amp;(ROW()))))-SUM(INDIRECT("W"&amp;(MAX((1=S$12:S1521)*ROW(S$12:S1521),ROW($W$12))&amp;":W"&amp;(ROW()-1)))))
)
)</f>
        <v>0</v>
      </c>
      <c r="X1522" s="55">
        <f t="shared" ca="1" si="280"/>
        <v>0</v>
      </c>
      <c r="Y1522" s="101">
        <f t="shared" ca="1" si="287"/>
        <v>0</v>
      </c>
      <c r="Z1522" s="133" t="str">
        <f>IF(TYPE((VLOOKUP(Первоначальный[[#This Row],[Дата платежа]],График[Срок конец],1,0)))=16,"",1)</f>
        <v/>
      </c>
      <c r="AA1522" s="57"/>
      <c r="AB1522" s="134"/>
      <c r="AC152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2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107984.92999999998</v>
      </c>
      <c r="AE152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10050.449999999977</v>
      </c>
      <c r="AF152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2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489513.19264918147</v>
      </c>
      <c r="AH1522" s="55"/>
      <c r="AI1522" s="55"/>
      <c r="AJ1522" s="55"/>
      <c r="AK1522" s="101">
        <f t="shared" ca="1" si="288"/>
        <v>757181.91264918144</v>
      </c>
      <c r="AL1522" s="129">
        <f t="array" ref="AL1522">MAX((УслРестрактов[Характеристика]="Дата реструктуризации")*(УслРестрактов[Значение]=Первоначальный!$A1522),0)</f>
        <v>0</v>
      </c>
    </row>
    <row r="1523" spans="1:38" x14ac:dyDescent="0.25">
      <c r="A1523" s="97">
        <f t="shared" si="281"/>
        <v>45654</v>
      </c>
      <c r="B1523" s="100">
        <f t="shared" ca="1" si="282"/>
        <v>149633.34</v>
      </c>
      <c r="C1523" s="55">
        <f t="shared" ca="1" si="278"/>
        <v>107984.92999999998</v>
      </c>
      <c r="D1523" s="55">
        <f t="shared" ca="1" si="278"/>
        <v>10050.449999999977</v>
      </c>
      <c r="E1523" s="55">
        <f t="shared" ca="1" si="283"/>
        <v>0</v>
      </c>
      <c r="F1523" s="55">
        <f t="shared" ca="1" si="284"/>
        <v>489513.19264918147</v>
      </c>
      <c r="G1523" s="101">
        <f t="shared" ca="1" si="285"/>
        <v>757181.91264918144</v>
      </c>
      <c r="H1523" s="100">
        <f ca="1">ROUND($B1523*VLOOKUP($A1523,$A$1:$B$10,2,1)/(365+IF(MOD(YEAR($A1523),4),0,1)*($A1523-$A1522)),2)-Первоначальный[[#This Row],[Проценты на просроченный платеж по ОД за период]]</f>
        <v>65.400000000000006</v>
      </c>
      <c r="I1523" s="55">
        <f t="shared" ca="1" si="286"/>
        <v>15.96</v>
      </c>
      <c r="J1523" s="55">
        <v>0</v>
      </c>
      <c r="K1523" s="55">
        <f t="shared" ca="1" si="289"/>
        <v>680.72850327868844</v>
      </c>
      <c r="L1523" s="55">
        <v>0</v>
      </c>
      <c r="M1523" s="113">
        <f>SUMIFS(График[Возврат основной суммы долга],График[Дата с учетом нерабочих дней],$A1523)</f>
        <v>0</v>
      </c>
      <c r="N1523" s="56">
        <f>SUMIFS(График[Возврат начисленных %],График[Дата с учетом нерабочих дней],$A1523)</f>
        <v>0</v>
      </c>
      <c r="O1523" s="101">
        <v>0</v>
      </c>
      <c r="P1523" s="100" cm="1">
        <f t="array" aca="1" ref="P1523" ca="1">MAX(IF(AA1522="Да",0,SUM(INDIRECT("M"&amp;(MAX(("Да"=AA$12:AA1522)*ROW(AA$12:AA1522)+1,ROW($P$12))&amp;":M"&amp;(ROW()))))-SUM(INDIRECT("W"&amp;(MAX(("Да"=AA$12:AA1522)*ROW(AA$12:AA1522)+1,ROW($P$12))&amp;":W"&amp;(ROW()))))),0)</f>
        <v>29344.699999999997</v>
      </c>
      <c r="Q1523" s="99">
        <f ca="1">MAX(SUM($N$13:N1523)-SUM($T$13:T1523),0)</f>
        <v>106801.00065573769</v>
      </c>
      <c r="R1523" s="99">
        <f ca="1">Первоначальный[[#This Row],[Просроченный платеж по ОД]]+Первоначальный[[#This Row],[Просроченный платеж по процентам]]</f>
        <v>136145.70065573769</v>
      </c>
      <c r="S1523" s="120">
        <f ca="1">IF(Первоначальный[[#This Row],[Просроченный платеж]]&lt;1,0,S1522+1)</f>
        <v>1419</v>
      </c>
      <c r="T1523" s="100" cm="1">
        <f t="array" aca="1" ref="T1523" ca="1">IF(Первоначальный[[#This Row],[Итого остаток на начало периода]]&lt;1,0,
IF(
AND(TYPE(VLOOKUP(1,$Z$12:Z1523,1,0))=16,Первоначальный[[#This Row],[Досрочное погашение (да/"")]]=""),0,
_xlfn.IFS(AND(S1522=0,Первоначальный[[#This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платеж]]&lt;&gt;0),MIN(LOOKUP(,-1/($Z$12:Z1523=1),$C$12:C1523)+LOOKUP(,-1/($Z$12:Z1523=1),$H$12:H1523),Первоначальный[[#This Row],[Полученный платеж]]+Y1522),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платеж]]+Y1522,SUM(Первоначальный[[#This Row],[Остаток процентов на начало периода]],Первоначальный[[#This Row],[Проценты за период]])),
AND(S1522=0,Первоначальный[[#This Row],[Дата платежа из графика]]=""),0,
AND(S1522=0,Первоначальный[[#This Row],[Дата платежа из графика]]=1,MAX((0&lt;&gt;S$12:S1522)*ROW(S$12:S1522),ROW($S$12))&gt;=MAX((1=Z$12:Z1522)*ROW(Z$12:Z1522),ROW($T$12)),TYPE(VLOOKUP("Да",(INDIRECT("AA"&amp;(MAX((1=Z$12:Z1522)*ROW(Z$12:Z1522),ROW($T$12))&amp;":AA"&amp;(ROW()-1)))),1,0))=16),MIN(LOOKUP(,-1/($Z$12:Z1523=1),$C$12:C1523)+LOOKUP(,-1/($Z$12:Z1523=1),$H$12:H1523),Первоначальный[[#This Row],[Полученный платеж]]+Y1522),
AND(S1522=0,TYPE(VLOOKUP("Да",(INDIRECT("AA"&amp;(MAX((1=Z$12:Z1522)*ROW(Z$12:Z1522),ROW($T$12))&amp;":AA"&amp;(ROW()-1)))),1,0))&lt;&gt;16),MIN(LOOKUP(,-1/($Z$12:Z1523=1),$C$12:C1523)+LOOKUP(,-1/($Z$12:Z1523=1),$H$12:H1523)-IF(AA1522="Да",0,SUM(INDIRECT("T"&amp;(MAX(("Да"=AA$12:AA1522)*ROW(AA$12:AA1522)+1,ROW($T$12))&amp;":T"&amp;(ROW()-1))))),Первоначальный[[#This Row],[Полученный платеж]]+Y1522),
AND(S1522=0,MAX((0&lt;&gt;N$12:N1522)*ROW(N$12:N1522),ROW($S$12))&gt;=MAX((1=Z$12:Z1522)*ROW(Z$12:Z1522),ROW($T$12))),MIN(LOOKUP(,-1/($Z$12:Z1523=1),$C$12:C1523)+LOOKUP(,-1/($Z$12:Z1523=1),$H$12:H1523)-IF(N1522&lt;&gt;0,0,SUM(INDIRECT("T"&amp;(MAX((0&lt;&gt;N$12:N1522)*ROW(N$12:N1522)+1,ROW($T$12))&amp;":T"&amp;(ROW()-1))))),Первоначальный[[#This Row],[Полученный платеж]]+Y1522),
AND(S1522=0,Первоначальный[[#This Row],[Дата платежа из графика]]=1),MIN(LOOKUP(,-1/($Z$12:Z1523=1),$C$12:C1523)+LOOKUP(,-1/($Z$12:Z1523=1),$H$12:H1523)-IF(Z1522=1,0,SUM(INDIRECT("T"&amp;(MAX((1=Z$12:Z1522)*ROW(Z$12:Z1522)+1,ROW($T$12))&amp;":T"&amp;(ROW()-1))))),Первоначальный[[#This Row],[Полученный платеж]]+Y1522),
AND(Z1522&gt;0,Первоначальный[[#This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платеж]]+Y1522),
AND(S1522&gt;0,MAX((0&lt;&gt;S$12:S1522)*ROW(S$12:S1522),ROW($S$12))&gt;=MAX((1=Z$12:Z1522)*ROW(Z$12:Z1522),ROW($T$12)),TYPE(VLOOKUP("Да",(INDIRECT("AA"&amp;(MAX((1=Z$12:Z1522)*ROW(Z$12:Z1522),ROW($T$12))&amp;":AA"&amp;(ROW()-1)))),1,0))=16),MIN(LOOKUP(,-1/($Z$12:Z1523=1),$C$12:C1523)+LOOKUP(,-1/($Z$12:Z1523=1),$H$12:H1523)-SUM(INDIRECT("T"&amp;(MAX((1=Z$12:Z1522)*ROW(Z$12:Z1522),ROW($T$12))&amp;":T"&amp;(ROW()-1)))),Первоначальный[[#This Row],[Полученный платеж]]+Y1522),
S1522&gt;0,MIN(LOOKUP(,-1/($Z$12:Z1523=1),$C$12:C1523)+LOOKUP(,-1/($Z$12:Z1523=1),$H$12:H1523)-IF(Z1522=1,0,SUM(INDIRECT("T"&amp;(MAX((1=Z$12:Z1522)*ROW(Z$12:Z1522)+1,ROW($T$12))&amp;":T"&amp;(ROW()-1))))),Первоначальный[[#This Row],[Полученный платеж]]+Y1522)
)
)
)</f>
        <v>0</v>
      </c>
      <c r="U152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платеж]]+Y1522-Первоначальный[[#This Row],[Полученный платёж по процентам]])</f>
        <v>0</v>
      </c>
      <c r="V1523" s="55">
        <f t="shared" ca="1" si="279"/>
        <v>0</v>
      </c>
      <c r="W1523" s="55" cm="1">
        <f t="array" aca="1" ref="W1523" ca="1">IF(Первоначальный[[#This Row],[Итого остаток на начало периода]]&lt;1,0,
_xlfn.IFS(
AND(TYPE(VLOOKUP(1,$Z$12:Z1523,1,0))=16,Первоначальный[[#This Row],[Досрочное погашение (да/"")]]=""),0,
AND(S1522=0,Первоначальный[[#This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платеж]]+Y1522-SUM(Первоначальный[[#This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комиссиям]]),VLOOKUP(LOOKUP(,-1/($Z$12:Z1523=1),$A$12:A1523),График[[Срок конец]:[Возврат основной суммы долга]],3,0)),
AND(S1522=0,Первоначальный[[#This Row],[Дата платежа из графика]]="",Первоначальный[[#This Row],[Досрочное погашение (да/"")]]&lt;&gt;"Да"),0,
AND(S1522=0,Первоначальный[[#This Row],[Досрочное погашение (да/"")]]=""),MIN(Первоначальный[[#This Row],[Полученный платеж]]+Y1522-SUM(Первоначальный[[#This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комиссиям]]),VLOOKUP(LOOKUP(,-1/($Z$12:Z1523=1),$A$12:A1523),График[[Срок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платеж]]+Y1522-SUM(Первоначальный[[#This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S1522&gt;0,MIN(Первоначальный[[#This Row],[Полученный платеж]]+Y1522-SUM(Первоначальный[[#This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комиссиям]]),SUM(INDIRECT("M"&amp;(MAX((1=S$12:S1522)*ROW(S$12:S1522),ROW($W$12))&amp;":M"&amp;(ROW()))))-SUM(INDIRECT("W"&amp;(MAX((1=S$12:S1522)*ROW(S$12:S1522),ROW($W$12))&amp;":W"&amp;(ROW()-1)))))
)
)</f>
        <v>0</v>
      </c>
      <c r="X1523" s="55">
        <f t="shared" ca="1" si="280"/>
        <v>0</v>
      </c>
      <c r="Y1523" s="101">
        <f t="shared" ca="1" si="287"/>
        <v>0</v>
      </c>
      <c r="Z1523" s="133" t="str">
        <f>IF(TYPE((VLOOKUP(Первоначальный[[#This Row],[Дата платежа]],График[Срок конец],1,0)))=16,"",1)</f>
        <v/>
      </c>
      <c r="AA1523" s="57"/>
      <c r="AB1523" s="134"/>
      <c r="AC152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2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108050.32999999997</v>
      </c>
      <c r="AE152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10066.409999999976</v>
      </c>
      <c r="AF152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2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490193.92115246016</v>
      </c>
      <c r="AH1523" s="55"/>
      <c r="AI1523" s="55"/>
      <c r="AJ1523" s="55"/>
      <c r="AK1523" s="101">
        <f t="shared" ca="1" si="288"/>
        <v>757944.00115246011</v>
      </c>
      <c r="AL1523" s="129">
        <f t="array" ref="AL1523">MAX((УслРестрактов[Характеристика]="Дата реструктуризации")*(УслРестрактов[Значение]=Первоначальный!$A1523),0)</f>
        <v>0</v>
      </c>
    </row>
    <row r="1524" spans="1:38" x14ac:dyDescent="0.25">
      <c r="A1524" s="97">
        <f t="shared" si="281"/>
        <v>45655</v>
      </c>
      <c r="B1524" s="100">
        <f t="shared" ca="1" si="282"/>
        <v>149633.34</v>
      </c>
      <c r="C1524" s="55">
        <f t="shared" ca="1" si="278"/>
        <v>108050.32999999997</v>
      </c>
      <c r="D1524" s="55">
        <f t="shared" ca="1" si="278"/>
        <v>10066.409999999976</v>
      </c>
      <c r="E1524" s="55">
        <f t="shared" ca="1" si="283"/>
        <v>0</v>
      </c>
      <c r="F1524" s="55">
        <f t="shared" ca="1" si="284"/>
        <v>490193.92115246016</v>
      </c>
      <c r="G1524" s="101">
        <f t="shared" ca="1" si="285"/>
        <v>757944.00115246011</v>
      </c>
      <c r="H1524" s="100">
        <f ca="1">ROUND($B1524*VLOOKUP($A1524,$A$1:$B$10,2,1)/(365+IF(MOD(YEAR($A1524),4),0,1)*($A1524-$A1523)),2)-Первоначальный[[#This Row],[Проценты на просроченный платеж по ОД за период]]</f>
        <v>65.400000000000006</v>
      </c>
      <c r="I1524" s="55">
        <f t="shared" ca="1" si="286"/>
        <v>15.96</v>
      </c>
      <c r="J1524" s="55">
        <v>0</v>
      </c>
      <c r="K1524" s="55">
        <f t="shared" ca="1" si="289"/>
        <v>680.72850327868844</v>
      </c>
      <c r="L1524" s="55">
        <v>0</v>
      </c>
      <c r="M1524" s="113">
        <f>SUMIFS(График[Возврат основной суммы долга],График[Дата с учетом нерабочих дней],$A1524)</f>
        <v>0</v>
      </c>
      <c r="N1524" s="56">
        <f>SUMIFS(График[Возврат начисленных %],График[Дата с учетом нерабочих дней],$A1524)</f>
        <v>0</v>
      </c>
      <c r="O1524" s="101">
        <v>0</v>
      </c>
      <c r="P1524" s="100" cm="1">
        <f t="array" aca="1" ref="P1524" ca="1">MAX(IF(AA1523="Да",0,SUM(INDIRECT("M"&amp;(MAX(("Да"=AA$12:AA1523)*ROW(AA$12:AA1523)+1,ROW($P$12))&amp;":M"&amp;(ROW()))))-SUM(INDIRECT("W"&amp;(MAX(("Да"=AA$12:AA1523)*ROW(AA$12:AA1523)+1,ROW($P$12))&amp;":W"&amp;(ROW()))))),0)</f>
        <v>29344.699999999997</v>
      </c>
      <c r="Q1524" s="99">
        <f ca="1">MAX(SUM($N$13:N1524)-SUM($T$13:T1524),0)</f>
        <v>106801.00065573769</v>
      </c>
      <c r="R1524" s="99">
        <f ca="1">Первоначальный[[#This Row],[Просроченный платеж по ОД]]+Первоначальный[[#This Row],[Просроченный платеж по процентам]]</f>
        <v>136145.70065573769</v>
      </c>
      <c r="S1524" s="120">
        <f ca="1">IF(Первоначальный[[#This Row],[Просроченный платеж]]&lt;1,0,S1523+1)</f>
        <v>1420</v>
      </c>
      <c r="T1524" s="100" cm="1">
        <f t="array" aca="1" ref="T1524" ca="1">IF(Первоначальный[[#This Row],[Итого остаток на начало периода]]&lt;1,0,
IF(
AND(TYPE(VLOOKUP(1,$Z$12:Z1524,1,0))=16,Первоначальный[[#This Row],[Досрочное погашение (да/"")]]=""),0,
_xlfn.IFS(AND(S1523=0,Первоначальный[[#This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платеж]]&lt;&gt;0),MIN(LOOKUP(,-1/($Z$12:Z1524=1),$C$12:C1524)+LOOKUP(,-1/($Z$12:Z1524=1),$H$12:H1524),Первоначальный[[#This Row],[Полученный платеж]]+Y1523),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платеж]]+Y1523,SUM(Первоначальный[[#This Row],[Остаток процентов на начало периода]],Первоначальный[[#This Row],[Проценты за период]])),
AND(S1523=0,Первоначальный[[#This Row],[Дата платежа из графика]]=""),0,
AND(S1523=0,Первоначальный[[#This Row],[Дата платежа из графика]]=1,MAX((0&lt;&gt;S$12:S1523)*ROW(S$12:S1523),ROW($S$12))&gt;=MAX((1=Z$12:Z1523)*ROW(Z$12:Z1523),ROW($T$12)),TYPE(VLOOKUP("Да",(INDIRECT("AA"&amp;(MAX((1=Z$12:Z1523)*ROW(Z$12:Z1523),ROW($T$12))&amp;":AA"&amp;(ROW()-1)))),1,0))=16),MIN(LOOKUP(,-1/($Z$12:Z1524=1),$C$12:C1524)+LOOKUP(,-1/($Z$12:Z1524=1),$H$12:H1524),Первоначальный[[#This Row],[Полученный платеж]]+Y1523),
AND(S1523=0,TYPE(VLOOKUP("Да",(INDIRECT("AA"&amp;(MAX((1=Z$12:Z1523)*ROW(Z$12:Z1523),ROW($T$12))&amp;":AA"&amp;(ROW()-1)))),1,0))&lt;&gt;16),MIN(LOOKUP(,-1/($Z$12:Z1524=1),$C$12:C1524)+LOOKUP(,-1/($Z$12:Z1524=1),$H$12:H1524)-IF(AA1523="Да",0,SUM(INDIRECT("T"&amp;(MAX(("Да"=AA$12:AA1523)*ROW(AA$12:AA1523)+1,ROW($T$12))&amp;":T"&amp;(ROW()-1))))),Первоначальный[[#This Row],[Полученный платеж]]+Y1523),
AND(S1523=0,MAX((0&lt;&gt;N$12:N1523)*ROW(N$12:N1523),ROW($S$12))&gt;=MAX((1=Z$12:Z1523)*ROW(Z$12:Z1523),ROW($T$12))),MIN(LOOKUP(,-1/($Z$12:Z1524=1),$C$12:C1524)+LOOKUP(,-1/($Z$12:Z1524=1),$H$12:H1524)-IF(N1523&lt;&gt;0,0,SUM(INDIRECT("T"&amp;(MAX((0&lt;&gt;N$12:N1523)*ROW(N$12:N1523)+1,ROW($T$12))&amp;":T"&amp;(ROW()-1))))),Первоначальный[[#This Row],[Полученный платеж]]+Y1523),
AND(S1523=0,Первоначальный[[#This Row],[Дата платежа из графика]]=1),MIN(LOOKUP(,-1/($Z$12:Z1524=1),$C$12:C1524)+LOOKUP(,-1/($Z$12:Z1524=1),$H$12:H1524)-IF(Z1523=1,0,SUM(INDIRECT("T"&amp;(MAX((1=Z$12:Z1523)*ROW(Z$12:Z1523)+1,ROW($T$12))&amp;":T"&amp;(ROW()-1))))),Первоначальный[[#This Row],[Полученный платеж]]+Y1523),
AND(Z1523&gt;0,Первоначальный[[#This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платеж]]+Y1523),
AND(S1523&gt;0,MAX((0&lt;&gt;S$12:S1523)*ROW(S$12:S1523),ROW($S$12))&gt;=MAX((1=Z$12:Z1523)*ROW(Z$12:Z1523),ROW($T$12)),TYPE(VLOOKUP("Да",(INDIRECT("AA"&amp;(MAX((1=Z$12:Z1523)*ROW(Z$12:Z1523),ROW($T$12))&amp;":AA"&amp;(ROW()-1)))),1,0))=16),MIN(LOOKUP(,-1/($Z$12:Z1524=1),$C$12:C1524)+LOOKUP(,-1/($Z$12:Z1524=1),$H$12:H1524)-SUM(INDIRECT("T"&amp;(MAX((1=Z$12:Z1523)*ROW(Z$12:Z1523),ROW($T$12))&amp;":T"&amp;(ROW()-1)))),Первоначальный[[#This Row],[Полученный платеж]]+Y1523),
S1523&gt;0,MIN(LOOKUP(,-1/($Z$12:Z1524=1),$C$12:C1524)+LOOKUP(,-1/($Z$12:Z1524=1),$H$12:H1524)-IF(Z1523=1,0,SUM(INDIRECT("T"&amp;(MAX((1=Z$12:Z1523)*ROW(Z$12:Z1523)+1,ROW($T$12))&amp;":T"&amp;(ROW()-1))))),Первоначальный[[#This Row],[Полученный платеж]]+Y1523)
)
)
)</f>
        <v>0</v>
      </c>
      <c r="U152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платеж]]+Y1523-Первоначальный[[#This Row],[Полученный платёж по процентам]])</f>
        <v>0</v>
      </c>
      <c r="V1524" s="55">
        <f t="shared" ca="1" si="279"/>
        <v>0</v>
      </c>
      <c r="W1524" s="55" cm="1">
        <f t="array" aca="1" ref="W1524" ca="1">IF(Первоначальный[[#This Row],[Итого остаток на начало периода]]&lt;1,0,
_xlfn.IFS(
AND(TYPE(VLOOKUP(1,$Z$12:Z1524,1,0))=16,Первоначальный[[#This Row],[Досрочное погашение (да/"")]]=""),0,
AND(S1523=0,Первоначальный[[#This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платеж]]+Y1523-SUM(Первоначальный[[#This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комиссиям]]),VLOOKUP(LOOKUP(,-1/($Z$12:Z1524=1),$A$12:A1524),График[[Срок конец]:[Возврат основной суммы долга]],3,0)),
AND(S1523=0,Первоначальный[[#This Row],[Дата платежа из графика]]="",Первоначальный[[#This Row],[Досрочное погашение (да/"")]]&lt;&gt;"Да"),0,
AND(S1523=0,Первоначальный[[#This Row],[Досрочное погашение (да/"")]]=""),MIN(Первоначальный[[#This Row],[Полученный платеж]]+Y1523-SUM(Первоначальный[[#This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комиссиям]]),VLOOKUP(LOOKUP(,-1/($Z$12:Z1524=1),$A$12:A1524),График[[Срок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платеж]]+Y1523-SUM(Первоначальный[[#This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S1523&gt;0,MIN(Первоначальный[[#This Row],[Полученный платеж]]+Y1523-SUM(Первоначальный[[#This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комиссиям]]),SUM(INDIRECT("M"&amp;(MAX((1=S$12:S1523)*ROW(S$12:S1523),ROW($W$12))&amp;":M"&amp;(ROW()))))-SUM(INDIRECT("W"&amp;(MAX((1=S$12:S1523)*ROW(S$12:S1523),ROW($W$12))&amp;":W"&amp;(ROW()-1)))))
)
)</f>
        <v>0</v>
      </c>
      <c r="X1524" s="55">
        <f t="shared" ca="1" si="280"/>
        <v>0</v>
      </c>
      <c r="Y1524" s="101">
        <f t="shared" ca="1" si="287"/>
        <v>0</v>
      </c>
      <c r="Z1524" s="133" t="str">
        <f>IF(TYPE((VLOOKUP(Первоначальный[[#This Row],[Дата платежа]],График[Срок конец],1,0)))=16,"",1)</f>
        <v/>
      </c>
      <c r="AA1524" s="57"/>
      <c r="AB1524" s="134"/>
      <c r="AC152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2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108115.72999999997</v>
      </c>
      <c r="AE152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10082.369999999975</v>
      </c>
      <c r="AF152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2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490874.64965573885</v>
      </c>
      <c r="AH1524" s="55"/>
      <c r="AI1524" s="55"/>
      <c r="AJ1524" s="55"/>
      <c r="AK1524" s="101">
        <f t="shared" ca="1" si="288"/>
        <v>758706.08965573879</v>
      </c>
      <c r="AL1524" s="129">
        <f t="array" ref="AL1524">MAX((УслРестрактов[Характеристика]="Дата реструктуризации")*(УслРестрактов[Значение]=Первоначальный!$A1524),0)</f>
        <v>0</v>
      </c>
    </row>
    <row r="1525" spans="1:38" x14ac:dyDescent="0.25">
      <c r="A1525" s="97">
        <f t="shared" si="281"/>
        <v>45656</v>
      </c>
      <c r="B1525" s="100">
        <f t="shared" ca="1" si="282"/>
        <v>149633.34</v>
      </c>
      <c r="C1525" s="55">
        <f t="shared" ca="1" si="278"/>
        <v>108115.72999999997</v>
      </c>
      <c r="D1525" s="55">
        <f t="shared" ca="1" si="278"/>
        <v>10082.369999999975</v>
      </c>
      <c r="E1525" s="55">
        <f t="shared" ca="1" si="283"/>
        <v>0</v>
      </c>
      <c r="F1525" s="55">
        <f t="shared" ca="1" si="284"/>
        <v>490874.64965573885</v>
      </c>
      <c r="G1525" s="101">
        <f t="shared" ca="1" si="285"/>
        <v>758706.08965573879</v>
      </c>
      <c r="H1525" s="100">
        <f ca="1">ROUND($B1525*VLOOKUP($A1525,$A$1:$B$10,2,1)/(365+IF(MOD(YEAR($A1525),4),0,1)*($A1525-$A1524)),2)-Первоначальный[[#This Row],[Проценты на просроченный платеж по ОД за период]]</f>
        <v>65.400000000000006</v>
      </c>
      <c r="I1525" s="55">
        <f t="shared" ca="1" si="286"/>
        <v>15.96</v>
      </c>
      <c r="J1525" s="55">
        <v>0</v>
      </c>
      <c r="K1525" s="55">
        <f t="shared" ca="1" si="289"/>
        <v>680.72850327868844</v>
      </c>
      <c r="L1525" s="55">
        <v>0</v>
      </c>
      <c r="M1525" s="113">
        <f>SUMIFS(График[Возврат основной суммы долга],График[Дата с учетом нерабочих дней],$A1525)</f>
        <v>0</v>
      </c>
      <c r="N1525" s="56">
        <f>SUMIFS(График[Возврат начисленных %],График[Дата с учетом нерабочих дней],$A1525)</f>
        <v>0</v>
      </c>
      <c r="O1525" s="101">
        <v>0</v>
      </c>
      <c r="P1525" s="100" cm="1">
        <f t="array" aca="1" ref="P1525" ca="1">MAX(IF(AA1524="Да",0,SUM(INDIRECT("M"&amp;(MAX(("Да"=AA$12:AA1524)*ROW(AA$12:AA1524)+1,ROW($P$12))&amp;":M"&amp;(ROW()))))-SUM(INDIRECT("W"&amp;(MAX(("Да"=AA$12:AA1524)*ROW(AA$12:AA1524)+1,ROW($P$12))&amp;":W"&amp;(ROW()))))),0)</f>
        <v>29344.699999999997</v>
      </c>
      <c r="Q1525" s="99">
        <f ca="1">MAX(SUM($N$13:N1525)-SUM($T$13:T1525),0)</f>
        <v>106801.00065573769</v>
      </c>
      <c r="R1525" s="99">
        <f ca="1">Первоначальный[[#This Row],[Просроченный платеж по ОД]]+Первоначальный[[#This Row],[Просроченный платеж по процентам]]</f>
        <v>136145.70065573769</v>
      </c>
      <c r="S1525" s="120">
        <f ca="1">IF(Первоначальный[[#This Row],[Просроченный платеж]]&lt;1,0,S1524+1)</f>
        <v>1421</v>
      </c>
      <c r="T1525" s="100" cm="1">
        <f t="array" aca="1" ref="T1525" ca="1">IF(Первоначальный[[#This Row],[Итого остаток на начало периода]]&lt;1,0,
IF(
AND(TYPE(VLOOKUP(1,$Z$12:Z1525,1,0))=16,Первоначальный[[#This Row],[Досрочное погашение (да/"")]]=""),0,
_xlfn.IFS(AND(S1524=0,Первоначальный[[#This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платеж]]&lt;&gt;0),MIN(LOOKUP(,-1/($Z$12:Z1525=1),$C$12:C1525)+LOOKUP(,-1/($Z$12:Z1525=1),$H$12:H1525),Первоначальный[[#This Row],[Полученный платеж]]+Y1524),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платеж]]+Y1524,SUM(Первоначальный[[#This Row],[Остаток процентов на начало периода]],Первоначальный[[#This Row],[Проценты за период]])),
AND(S1524=0,Первоначальный[[#This Row],[Дата платежа из графика]]=""),0,
AND(S1524=0,Первоначальный[[#This Row],[Дата платежа из графика]]=1,MAX((0&lt;&gt;S$12:S1524)*ROW(S$12:S1524),ROW($S$12))&gt;=MAX((1=Z$12:Z1524)*ROW(Z$12:Z1524),ROW($T$12)),TYPE(VLOOKUP("Да",(INDIRECT("AA"&amp;(MAX((1=Z$12:Z1524)*ROW(Z$12:Z1524),ROW($T$12))&amp;":AA"&amp;(ROW()-1)))),1,0))=16),MIN(LOOKUP(,-1/($Z$12:Z1525=1),$C$12:C1525)+LOOKUP(,-1/($Z$12:Z1525=1),$H$12:H1525),Первоначальный[[#This Row],[Полученный платеж]]+Y1524),
AND(S1524=0,TYPE(VLOOKUP("Да",(INDIRECT("AA"&amp;(MAX((1=Z$12:Z1524)*ROW(Z$12:Z1524),ROW($T$12))&amp;":AA"&amp;(ROW()-1)))),1,0))&lt;&gt;16),MIN(LOOKUP(,-1/($Z$12:Z1525=1),$C$12:C1525)+LOOKUP(,-1/($Z$12:Z1525=1),$H$12:H1525)-IF(AA1524="Да",0,SUM(INDIRECT("T"&amp;(MAX(("Да"=AA$12:AA1524)*ROW(AA$12:AA1524)+1,ROW($T$12))&amp;":T"&amp;(ROW()-1))))),Первоначальный[[#This Row],[Полученный платеж]]+Y1524),
AND(S1524=0,MAX((0&lt;&gt;N$12:N1524)*ROW(N$12:N1524),ROW($S$12))&gt;=MAX((1=Z$12:Z1524)*ROW(Z$12:Z1524),ROW($T$12))),MIN(LOOKUP(,-1/($Z$12:Z1525=1),$C$12:C1525)+LOOKUP(,-1/($Z$12:Z1525=1),$H$12:H1525)-IF(N1524&lt;&gt;0,0,SUM(INDIRECT("T"&amp;(MAX((0&lt;&gt;N$12:N1524)*ROW(N$12:N1524)+1,ROW($T$12))&amp;":T"&amp;(ROW()-1))))),Первоначальный[[#This Row],[Полученный платеж]]+Y1524),
AND(S1524=0,Первоначальный[[#This Row],[Дата платежа из графика]]=1),MIN(LOOKUP(,-1/($Z$12:Z1525=1),$C$12:C1525)+LOOKUP(,-1/($Z$12:Z1525=1),$H$12:H1525)-IF(Z1524=1,0,SUM(INDIRECT("T"&amp;(MAX((1=Z$12:Z1524)*ROW(Z$12:Z1524)+1,ROW($T$12))&amp;":T"&amp;(ROW()-1))))),Первоначальный[[#This Row],[Полученный платеж]]+Y1524),
AND(Z1524&gt;0,Первоначальный[[#This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платеж]]+Y1524),
AND(S1524&gt;0,MAX((0&lt;&gt;S$12:S1524)*ROW(S$12:S1524),ROW($S$12))&gt;=MAX((1=Z$12:Z1524)*ROW(Z$12:Z1524),ROW($T$12)),TYPE(VLOOKUP("Да",(INDIRECT("AA"&amp;(MAX((1=Z$12:Z1524)*ROW(Z$12:Z1524),ROW($T$12))&amp;":AA"&amp;(ROW()-1)))),1,0))=16),MIN(LOOKUP(,-1/($Z$12:Z1525=1),$C$12:C1525)+LOOKUP(,-1/($Z$12:Z1525=1),$H$12:H1525)-SUM(INDIRECT("T"&amp;(MAX((1=Z$12:Z1524)*ROW(Z$12:Z1524),ROW($T$12))&amp;":T"&amp;(ROW()-1)))),Первоначальный[[#This Row],[Полученный платеж]]+Y1524),
S1524&gt;0,MIN(LOOKUP(,-1/($Z$12:Z1525=1),$C$12:C1525)+LOOKUP(,-1/($Z$12:Z1525=1),$H$12:H1525)-IF(Z1524=1,0,SUM(INDIRECT("T"&amp;(MAX((1=Z$12:Z1524)*ROW(Z$12:Z1524)+1,ROW($T$12))&amp;":T"&amp;(ROW()-1))))),Первоначальный[[#This Row],[Полученный платеж]]+Y1524)
)
)
)</f>
        <v>0</v>
      </c>
      <c r="U152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платеж]]+Y1524-Первоначальный[[#This Row],[Полученный платёж по процентам]])</f>
        <v>0</v>
      </c>
      <c r="V1525" s="55">
        <f t="shared" ca="1" si="279"/>
        <v>0</v>
      </c>
      <c r="W1525" s="55" cm="1">
        <f t="array" aca="1" ref="W1525" ca="1">IF(Первоначальный[[#This Row],[Итого остаток на начало периода]]&lt;1,0,
_xlfn.IFS(
AND(TYPE(VLOOKUP(1,$Z$12:Z1525,1,0))=16,Первоначальный[[#This Row],[Досрочное погашение (да/"")]]=""),0,
AND(S1524=0,Первоначальный[[#This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платеж]]+Y1524-SUM(Первоначальный[[#This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комиссиям]]),VLOOKUP(LOOKUP(,-1/($Z$12:Z1525=1),$A$12:A1525),График[[Срок конец]:[Возврат основной суммы долга]],3,0)),
AND(S1524=0,Первоначальный[[#This Row],[Дата платежа из графика]]="",Первоначальный[[#This Row],[Досрочное погашение (да/"")]]&lt;&gt;"Да"),0,
AND(S1524=0,Первоначальный[[#This Row],[Досрочное погашение (да/"")]]=""),MIN(Первоначальный[[#This Row],[Полученный платеж]]+Y1524-SUM(Первоначальный[[#This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комиссиям]]),VLOOKUP(LOOKUP(,-1/($Z$12:Z1525=1),$A$12:A1525),График[[Срок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платеж]]+Y1524-SUM(Первоначальный[[#This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S1524&gt;0,MIN(Первоначальный[[#This Row],[Полученный платеж]]+Y1524-SUM(Первоначальный[[#This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комиссиям]]),SUM(INDIRECT("M"&amp;(MAX((1=S$12:S1524)*ROW(S$12:S1524),ROW($W$12))&amp;":M"&amp;(ROW()))))-SUM(INDIRECT("W"&amp;(MAX((1=S$12:S1524)*ROW(S$12:S1524),ROW($W$12))&amp;":W"&amp;(ROW()-1)))))
)
)</f>
        <v>0</v>
      </c>
      <c r="X1525" s="55">
        <f t="shared" ca="1" si="280"/>
        <v>0</v>
      </c>
      <c r="Y1525" s="101">
        <f t="shared" ca="1" si="287"/>
        <v>0</v>
      </c>
      <c r="Z1525" s="133" t="str">
        <f>IF(TYPE((VLOOKUP(Первоначальный[[#This Row],[Дата платежа]],График[Срок конец],1,0)))=16,"",1)</f>
        <v/>
      </c>
      <c r="AA1525" s="57"/>
      <c r="AB1525" s="134"/>
      <c r="AC152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2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108181.12999999996</v>
      </c>
      <c r="AE152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10098.329999999974</v>
      </c>
      <c r="AF152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2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491555.37815901753</v>
      </c>
      <c r="AH1525" s="55"/>
      <c r="AI1525" s="55"/>
      <c r="AJ1525" s="55"/>
      <c r="AK1525" s="101">
        <f t="shared" ca="1" si="288"/>
        <v>759468.17815901747</v>
      </c>
      <c r="AL1525" s="129">
        <f t="array" ref="AL1525">MAX((УслРестрактов[Характеристика]="Дата реструктуризации")*(УслРестрактов[Значение]=Первоначальный!$A1525),0)</f>
        <v>0</v>
      </c>
    </row>
    <row r="1526" spans="1:38" x14ac:dyDescent="0.25">
      <c r="A1526" s="97">
        <f t="shared" si="281"/>
        <v>45657</v>
      </c>
      <c r="B1526" s="100">
        <f t="shared" ca="1" si="282"/>
        <v>149633.34</v>
      </c>
      <c r="C1526" s="55">
        <f t="shared" ca="1" si="278"/>
        <v>108181.12999999996</v>
      </c>
      <c r="D1526" s="55">
        <f t="shared" ca="1" si="278"/>
        <v>10098.329999999974</v>
      </c>
      <c r="E1526" s="55">
        <f t="shared" ca="1" si="283"/>
        <v>0</v>
      </c>
      <c r="F1526" s="55">
        <f t="shared" ca="1" si="284"/>
        <v>491555.37815901753</v>
      </c>
      <c r="G1526" s="101">
        <f t="shared" ca="1" si="285"/>
        <v>759468.17815901747</v>
      </c>
      <c r="H1526" s="100">
        <f ca="1">ROUND($B1526*VLOOKUP($A1526,$A$1:$B$10,2,1)/(365+IF(MOD(YEAR($A1526),4),0,1)*($A1526-$A1525)),2)-Первоначальный[[#This Row],[Проценты на просроченный платеж по ОД за период]]</f>
        <v>65.400000000000006</v>
      </c>
      <c r="I1526" s="55">
        <f t="shared" ca="1" si="286"/>
        <v>15.96</v>
      </c>
      <c r="J1526" s="55">
        <v>0</v>
      </c>
      <c r="K1526" s="55">
        <f t="shared" ca="1" si="289"/>
        <v>680.72850327868844</v>
      </c>
      <c r="L1526" s="55">
        <v>0</v>
      </c>
      <c r="M1526" s="113">
        <f>SUMIFS(График[Возврат основной суммы долга],График[Дата с учетом нерабочих дней],$A1526)</f>
        <v>0</v>
      </c>
      <c r="N1526" s="56">
        <f>SUMIFS(График[Возврат начисленных %],График[Дата с учетом нерабочих дней],$A1526)</f>
        <v>0</v>
      </c>
      <c r="O1526" s="101">
        <v>0</v>
      </c>
      <c r="P1526" s="100" cm="1">
        <f t="array" aca="1" ref="P1526" ca="1">MAX(IF(AA1525="Да",0,SUM(INDIRECT("M"&amp;(MAX(("Да"=AA$12:AA1525)*ROW(AA$12:AA1525)+1,ROW($P$12))&amp;":M"&amp;(ROW()))))-SUM(INDIRECT("W"&amp;(MAX(("Да"=AA$12:AA1525)*ROW(AA$12:AA1525)+1,ROW($P$12))&amp;":W"&amp;(ROW()))))),0)</f>
        <v>29344.699999999997</v>
      </c>
      <c r="Q1526" s="99">
        <f ca="1">MAX(SUM($N$13:N1526)-SUM($T$13:T1526),0)</f>
        <v>106801.00065573769</v>
      </c>
      <c r="R1526" s="99">
        <f ca="1">Первоначальный[[#This Row],[Просроченный платеж по ОД]]+Первоначальный[[#This Row],[Просроченный платеж по процентам]]</f>
        <v>136145.70065573769</v>
      </c>
      <c r="S1526" s="120">
        <f ca="1">IF(Первоначальный[[#This Row],[Просроченный платеж]]&lt;1,0,S1525+1)</f>
        <v>1422</v>
      </c>
      <c r="T1526" s="100" cm="1">
        <f t="array" aca="1" ref="T1526" ca="1">IF(Первоначальный[[#This Row],[Итого остаток на начало периода]]&lt;1,0,
IF(
AND(TYPE(VLOOKUP(1,$Z$12:Z1526,1,0))=16,Первоначальный[[#This Row],[Досрочное погашение (да/"")]]=""),0,
_xlfn.IFS(AND(S1525=0,Первоначальный[[#This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платеж]]&lt;&gt;0),MIN(LOOKUP(,-1/($Z$12:Z1526=1),$C$12:C1526)+LOOKUP(,-1/($Z$12:Z1526=1),$H$12:H1526),Первоначальный[[#This Row],[Полученный платеж]]+Y1525),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платеж]]+Y1525,SUM(Первоначальный[[#This Row],[Остаток процентов на начало периода]],Первоначальный[[#This Row],[Проценты за период]])),
AND(S1525=0,Первоначальный[[#This Row],[Дата платежа из графика]]=""),0,
AND(S1525=0,Первоначальный[[#This Row],[Дата платежа из графика]]=1,MAX((0&lt;&gt;S$12:S1525)*ROW(S$12:S1525),ROW($S$12))&gt;=MAX((1=Z$12:Z1525)*ROW(Z$12:Z1525),ROW($T$12)),TYPE(VLOOKUP("Да",(INDIRECT("AA"&amp;(MAX((1=Z$12:Z1525)*ROW(Z$12:Z1525),ROW($T$12))&amp;":AA"&amp;(ROW()-1)))),1,0))=16),MIN(LOOKUP(,-1/($Z$12:Z1526=1),$C$12:C1526)+LOOKUP(,-1/($Z$12:Z1526=1),$H$12:H1526),Первоначальный[[#This Row],[Полученный платеж]]+Y1525),
AND(S1525=0,TYPE(VLOOKUP("Да",(INDIRECT("AA"&amp;(MAX((1=Z$12:Z1525)*ROW(Z$12:Z1525),ROW($T$12))&amp;":AA"&amp;(ROW()-1)))),1,0))&lt;&gt;16),MIN(LOOKUP(,-1/($Z$12:Z1526=1),$C$12:C1526)+LOOKUP(,-1/($Z$12:Z1526=1),$H$12:H1526)-IF(AA1525="Да",0,SUM(INDIRECT("T"&amp;(MAX(("Да"=AA$12:AA1525)*ROW(AA$12:AA1525)+1,ROW($T$12))&amp;":T"&amp;(ROW()-1))))),Первоначальный[[#This Row],[Полученный платеж]]+Y1525),
AND(S1525=0,MAX((0&lt;&gt;N$12:N1525)*ROW(N$12:N1525),ROW($S$12))&gt;=MAX((1=Z$12:Z1525)*ROW(Z$12:Z1525),ROW($T$12))),MIN(LOOKUP(,-1/($Z$12:Z1526=1),$C$12:C1526)+LOOKUP(,-1/($Z$12:Z1526=1),$H$12:H1526)-IF(N1525&lt;&gt;0,0,SUM(INDIRECT("T"&amp;(MAX((0&lt;&gt;N$12:N1525)*ROW(N$12:N1525)+1,ROW($T$12))&amp;":T"&amp;(ROW()-1))))),Первоначальный[[#This Row],[Полученный платеж]]+Y1525),
AND(S1525=0,Первоначальный[[#This Row],[Дата платежа из графика]]=1),MIN(LOOKUP(,-1/($Z$12:Z1526=1),$C$12:C1526)+LOOKUP(,-1/($Z$12:Z1526=1),$H$12:H1526)-IF(Z1525=1,0,SUM(INDIRECT("T"&amp;(MAX((1=Z$12:Z1525)*ROW(Z$12:Z1525)+1,ROW($T$12))&amp;":T"&amp;(ROW()-1))))),Первоначальный[[#This Row],[Полученный платеж]]+Y1525),
AND(Z1525&gt;0,Первоначальный[[#This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платеж]]+Y1525),
AND(S1525&gt;0,MAX((0&lt;&gt;S$12:S1525)*ROW(S$12:S1525),ROW($S$12))&gt;=MAX((1=Z$12:Z1525)*ROW(Z$12:Z1525),ROW($T$12)),TYPE(VLOOKUP("Да",(INDIRECT("AA"&amp;(MAX((1=Z$12:Z1525)*ROW(Z$12:Z1525),ROW($T$12))&amp;":AA"&amp;(ROW()-1)))),1,0))=16),MIN(LOOKUP(,-1/($Z$12:Z1526=1),$C$12:C1526)+LOOKUP(,-1/($Z$12:Z1526=1),$H$12:H1526)-SUM(INDIRECT("T"&amp;(MAX((1=Z$12:Z1525)*ROW(Z$12:Z1525),ROW($T$12))&amp;":T"&amp;(ROW()-1)))),Первоначальный[[#This Row],[Полученный платеж]]+Y1525),
S1525&gt;0,MIN(LOOKUP(,-1/($Z$12:Z1526=1),$C$12:C1526)+LOOKUP(,-1/($Z$12:Z1526=1),$H$12:H1526)-IF(Z1525=1,0,SUM(INDIRECT("T"&amp;(MAX((1=Z$12:Z1525)*ROW(Z$12:Z1525)+1,ROW($T$12))&amp;":T"&amp;(ROW()-1))))),Первоначальный[[#This Row],[Полученный платеж]]+Y1525)
)
)
)</f>
        <v>0</v>
      </c>
      <c r="U152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платеж]]+Y1525-Первоначальный[[#This Row],[Полученный платёж по процентам]])</f>
        <v>0</v>
      </c>
      <c r="V1526" s="55">
        <f t="shared" ca="1" si="279"/>
        <v>0</v>
      </c>
      <c r="W1526" s="55" cm="1">
        <f t="array" aca="1" ref="W1526" ca="1">IF(Первоначальный[[#This Row],[Итого остаток на начало периода]]&lt;1,0,
_xlfn.IFS(
AND(TYPE(VLOOKUP(1,$Z$12:Z1526,1,0))=16,Первоначальный[[#This Row],[Досрочное погашение (да/"")]]=""),0,
AND(S1525=0,Первоначальный[[#This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платеж]]+Y1525-SUM(Первоначальный[[#This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комиссиям]]),VLOOKUP(LOOKUP(,-1/($Z$12:Z1526=1),$A$12:A1526),График[[Срок конец]:[Возврат основной суммы долга]],3,0)),
AND(S1525=0,Первоначальный[[#This Row],[Дата платежа из графика]]="",Первоначальный[[#This Row],[Досрочное погашение (да/"")]]&lt;&gt;"Да"),0,
AND(S1525=0,Первоначальный[[#This Row],[Досрочное погашение (да/"")]]=""),MIN(Первоначальный[[#This Row],[Полученный платеж]]+Y1525-SUM(Первоначальный[[#This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комиссиям]]),VLOOKUP(LOOKUP(,-1/($Z$12:Z1526=1),$A$12:A1526),График[[Срок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платеж]]+Y1525-SUM(Первоначальный[[#This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S1525&gt;0,MIN(Первоначальный[[#This Row],[Полученный платеж]]+Y1525-SUM(Первоначальный[[#This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комиссиям]]),SUM(INDIRECT("M"&amp;(MAX((1=S$12:S1525)*ROW(S$12:S1525),ROW($W$12))&amp;":M"&amp;(ROW()))))-SUM(INDIRECT("W"&amp;(MAX((1=S$12:S1525)*ROW(S$12:S1525),ROW($W$12))&amp;":W"&amp;(ROW()-1)))))
)
)</f>
        <v>0</v>
      </c>
      <c r="X1526" s="55">
        <f t="shared" ca="1" si="280"/>
        <v>0</v>
      </c>
      <c r="Y1526" s="101">
        <f t="shared" ca="1" si="287"/>
        <v>0</v>
      </c>
      <c r="Z1526" s="133" t="str">
        <f>IF(TYPE((VLOOKUP(Первоначальный[[#This Row],[Дата платежа]],График[Срок конец],1,0)))=16,"",1)</f>
        <v/>
      </c>
      <c r="AA1526" s="57"/>
      <c r="AB1526" s="134"/>
      <c r="AC152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2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108246.52999999996</v>
      </c>
      <c r="AE152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10114.289999999974</v>
      </c>
      <c r="AF152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2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492236.10666229622</v>
      </c>
      <c r="AH1526" s="55"/>
      <c r="AI1526" s="55"/>
      <c r="AJ1526" s="55"/>
      <c r="AK1526" s="101">
        <f t="shared" ca="1" si="288"/>
        <v>760230.26666229614</v>
      </c>
      <c r="AL1526" s="129">
        <f t="array" ref="AL1526">MAX((УслРестрактов[Характеристика]="Дата реструктуризации")*(УслРестрактов[Значение]=Первоначальный!$A1526),0)</f>
        <v>0</v>
      </c>
    </row>
    <row r="1527" spans="1:38" x14ac:dyDescent="0.25">
      <c r="A1527" s="97">
        <f t="shared" si="281"/>
        <v>45658</v>
      </c>
      <c r="B1527" s="100">
        <f t="shared" ca="1" si="282"/>
        <v>149633.34</v>
      </c>
      <c r="C1527" s="55">
        <f t="shared" ca="1" si="278"/>
        <v>108246.52999999996</v>
      </c>
      <c r="D1527" s="55">
        <f t="shared" ca="1" si="278"/>
        <v>10114.289999999974</v>
      </c>
      <c r="E1527" s="55">
        <f t="shared" ca="1" si="283"/>
        <v>0</v>
      </c>
      <c r="F1527" s="55">
        <f t="shared" ca="1" si="284"/>
        <v>492236.10666229622</v>
      </c>
      <c r="G1527" s="101">
        <f t="shared" ca="1" si="285"/>
        <v>760230.26666229614</v>
      </c>
      <c r="H1527" s="100">
        <f ca="1">ROUND($B1527*VLOOKUP($A1527,$A$1:$B$10,2,1)/(365+IF(MOD(YEAR($A1527),4),0,1)*($A1527-$A1526)),2)-Первоначальный[[#This Row],[Проценты на просроченный платеж по ОД за период]]</f>
        <v>65.58</v>
      </c>
      <c r="I1527" s="55">
        <f t="shared" ca="1" si="286"/>
        <v>16</v>
      </c>
      <c r="J1527" s="55">
        <v>0</v>
      </c>
      <c r="K1527" s="55">
        <f t="shared" ca="1" si="289"/>
        <v>680.72850327868844</v>
      </c>
      <c r="L1527" s="55">
        <v>0</v>
      </c>
      <c r="M1527" s="113">
        <f>SUMIFS(График[Возврат основной суммы долга],График[Дата с учетом нерабочих дней],$A1527)</f>
        <v>0</v>
      </c>
      <c r="N1527" s="56">
        <f>SUMIFS(График[Возврат начисленных %],График[Дата с учетом нерабочих дней],$A1527)</f>
        <v>0</v>
      </c>
      <c r="O1527" s="101">
        <v>0</v>
      </c>
      <c r="P1527" s="100" cm="1">
        <f t="array" aca="1" ref="P1527" ca="1">MAX(IF(AA1526="Да",0,SUM(INDIRECT("M"&amp;(MAX(("Да"=AA$12:AA1526)*ROW(AA$12:AA1526)+1,ROW($P$12))&amp;":M"&amp;(ROW()))))-SUM(INDIRECT("W"&amp;(MAX(("Да"=AA$12:AA1526)*ROW(AA$12:AA1526)+1,ROW($P$12))&amp;":W"&amp;(ROW()))))),0)</f>
        <v>29344.699999999997</v>
      </c>
      <c r="Q1527" s="99">
        <f ca="1">MAX(SUM($N$13:N1527)-SUM($T$13:T1527),0)</f>
        <v>106801.00065573769</v>
      </c>
      <c r="R1527" s="99">
        <f ca="1">Первоначальный[[#This Row],[Просроченный платеж по ОД]]+Первоначальный[[#This Row],[Просроченный платеж по процентам]]</f>
        <v>136145.70065573769</v>
      </c>
      <c r="S1527" s="120">
        <f ca="1">IF(Первоначальный[[#This Row],[Просроченный платеж]]&lt;1,0,S1526+1)</f>
        <v>1423</v>
      </c>
      <c r="T1527" s="100" cm="1">
        <f t="array" aca="1" ref="T1527" ca="1">IF(Первоначальный[[#This Row],[Итого остаток на начало периода]]&lt;1,0,
IF(
AND(TYPE(VLOOKUP(1,$Z$12:Z1527,1,0))=16,Первоначальный[[#This Row],[Досрочное погашение (да/"")]]=""),0,
_xlfn.IFS(AND(S1526=0,Первоначальный[[#This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платеж]]&lt;&gt;0),MIN(LOOKUP(,-1/($Z$12:Z1527=1),$C$12:C1527)+LOOKUP(,-1/($Z$12:Z1527=1),$H$12:H1527),Первоначальный[[#This Row],[Полученный платеж]]+Y1526),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платеж]]+Y1526,SUM(Первоначальный[[#This Row],[Остаток процентов на начало периода]],Первоначальный[[#This Row],[Проценты за период]])),
AND(S1526=0,Первоначальный[[#This Row],[Дата платежа из графика]]=""),0,
AND(S1526=0,Первоначальный[[#This Row],[Дата платежа из графика]]=1,MAX((0&lt;&gt;S$12:S1526)*ROW(S$12:S1526),ROW($S$12))&gt;=MAX((1=Z$12:Z1526)*ROW(Z$12:Z1526),ROW($T$12)),TYPE(VLOOKUP("Да",(INDIRECT("AA"&amp;(MAX((1=Z$12:Z1526)*ROW(Z$12:Z1526),ROW($T$12))&amp;":AA"&amp;(ROW()-1)))),1,0))=16),MIN(LOOKUP(,-1/($Z$12:Z1527=1),$C$12:C1527)+LOOKUP(,-1/($Z$12:Z1527=1),$H$12:H1527),Первоначальный[[#This Row],[Полученный платеж]]+Y1526),
AND(S1526=0,TYPE(VLOOKUP("Да",(INDIRECT("AA"&amp;(MAX((1=Z$12:Z1526)*ROW(Z$12:Z1526),ROW($T$12))&amp;":AA"&amp;(ROW()-1)))),1,0))&lt;&gt;16),MIN(LOOKUP(,-1/($Z$12:Z1527=1),$C$12:C1527)+LOOKUP(,-1/($Z$12:Z1527=1),$H$12:H1527)-IF(AA1526="Да",0,SUM(INDIRECT("T"&amp;(MAX(("Да"=AA$12:AA1526)*ROW(AA$12:AA1526)+1,ROW($T$12))&amp;":T"&amp;(ROW()-1))))),Первоначальный[[#This Row],[Полученный платеж]]+Y1526),
AND(S1526=0,MAX((0&lt;&gt;N$12:N1526)*ROW(N$12:N1526),ROW($S$12))&gt;=MAX((1=Z$12:Z1526)*ROW(Z$12:Z1526),ROW($T$12))),MIN(LOOKUP(,-1/($Z$12:Z1527=1),$C$12:C1527)+LOOKUP(,-1/($Z$12:Z1527=1),$H$12:H1527)-IF(N1526&lt;&gt;0,0,SUM(INDIRECT("T"&amp;(MAX((0&lt;&gt;N$12:N1526)*ROW(N$12:N1526)+1,ROW($T$12))&amp;":T"&amp;(ROW()-1))))),Первоначальный[[#This Row],[Полученный платеж]]+Y1526),
AND(S1526=0,Первоначальный[[#This Row],[Дата платежа из графика]]=1),MIN(LOOKUP(,-1/($Z$12:Z1527=1),$C$12:C1527)+LOOKUP(,-1/($Z$12:Z1527=1),$H$12:H1527)-IF(Z1526=1,0,SUM(INDIRECT("T"&amp;(MAX((1=Z$12:Z1526)*ROW(Z$12:Z1526)+1,ROW($T$12))&amp;":T"&amp;(ROW()-1))))),Первоначальный[[#This Row],[Полученный платеж]]+Y1526),
AND(Z1526&gt;0,Первоначальный[[#This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платеж]]+Y1526),
AND(S1526&gt;0,MAX((0&lt;&gt;S$12:S1526)*ROW(S$12:S1526),ROW($S$12))&gt;=MAX((1=Z$12:Z1526)*ROW(Z$12:Z1526),ROW($T$12)),TYPE(VLOOKUP("Да",(INDIRECT("AA"&amp;(MAX((1=Z$12:Z1526)*ROW(Z$12:Z1526),ROW($T$12))&amp;":AA"&amp;(ROW()-1)))),1,0))=16),MIN(LOOKUP(,-1/($Z$12:Z1527=1),$C$12:C1527)+LOOKUP(,-1/($Z$12:Z1527=1),$H$12:H1527)-SUM(INDIRECT("T"&amp;(MAX((1=Z$12:Z1526)*ROW(Z$12:Z1526),ROW($T$12))&amp;":T"&amp;(ROW()-1)))),Первоначальный[[#This Row],[Полученный платеж]]+Y1526),
S1526&gt;0,MIN(LOOKUP(,-1/($Z$12:Z1527=1),$C$12:C1527)+LOOKUP(,-1/($Z$12:Z1527=1),$H$12:H1527)-IF(Z1526=1,0,SUM(INDIRECT("T"&amp;(MAX((1=Z$12:Z1526)*ROW(Z$12:Z1526)+1,ROW($T$12))&amp;":T"&amp;(ROW()-1))))),Первоначальный[[#This Row],[Полученный платеж]]+Y1526)
)
)
)</f>
        <v>0</v>
      </c>
      <c r="U152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платеж]]+Y1526-Первоначальный[[#This Row],[Полученный платёж по процентам]])</f>
        <v>0</v>
      </c>
      <c r="V1527" s="55">
        <f t="shared" ca="1" si="279"/>
        <v>0</v>
      </c>
      <c r="W1527" s="55" cm="1">
        <f t="array" aca="1" ref="W1527" ca="1">IF(Первоначальный[[#This Row],[Итого остаток на начало периода]]&lt;1,0,
_xlfn.IFS(
AND(TYPE(VLOOKUP(1,$Z$12:Z1527,1,0))=16,Первоначальный[[#This Row],[Досрочное погашение (да/"")]]=""),0,
AND(S1526=0,Первоначальный[[#This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платеж]]+Y1526-SUM(Первоначальный[[#This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комиссиям]]),VLOOKUP(LOOKUP(,-1/($Z$12:Z1527=1),$A$12:A1527),График[[Срок конец]:[Возврат основной суммы долга]],3,0)),
AND(S1526=0,Первоначальный[[#This Row],[Дата платежа из графика]]="",Первоначальный[[#This Row],[Досрочное погашение (да/"")]]&lt;&gt;"Да"),0,
AND(S1526=0,Первоначальный[[#This Row],[Досрочное погашение (да/"")]]=""),MIN(Первоначальный[[#This Row],[Полученный платеж]]+Y1526-SUM(Первоначальный[[#This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комиссиям]]),VLOOKUP(LOOKUP(,-1/($Z$12:Z1527=1),$A$12:A1527),График[[Срок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платеж]]+Y1526-SUM(Первоначальный[[#This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S1526&gt;0,MIN(Первоначальный[[#This Row],[Полученный платеж]]+Y1526-SUM(Первоначальный[[#This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комиссиям]]),SUM(INDIRECT("M"&amp;(MAX((1=S$12:S1526)*ROW(S$12:S1526),ROW($W$12))&amp;":M"&amp;(ROW()))))-SUM(INDIRECT("W"&amp;(MAX((1=S$12:S1526)*ROW(S$12:S1526),ROW($W$12))&amp;":W"&amp;(ROW()-1)))))
)
)</f>
        <v>0</v>
      </c>
      <c r="X1527" s="55">
        <f t="shared" ca="1" si="280"/>
        <v>0</v>
      </c>
      <c r="Y1527" s="101">
        <f t="shared" ca="1" si="287"/>
        <v>0</v>
      </c>
      <c r="Z1527" s="133" t="str">
        <f>IF(TYPE((VLOOKUP(Первоначальный[[#This Row],[Дата платежа]],График[Срок конец],1,0)))=16,"",1)</f>
        <v/>
      </c>
      <c r="AA1527" s="57"/>
      <c r="AB1527" s="134"/>
      <c r="AC152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2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108312.10999999996</v>
      </c>
      <c r="AE152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10130.289999999974</v>
      </c>
      <c r="AF152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2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492916.83516557491</v>
      </c>
      <c r="AH1527" s="55"/>
      <c r="AI1527" s="55"/>
      <c r="AJ1527" s="55"/>
      <c r="AK1527" s="101">
        <f t="shared" ca="1" si="288"/>
        <v>760992.5751655749</v>
      </c>
      <c r="AL1527" s="129">
        <f t="array" ref="AL1527">MAX((УслРестрактов[Характеристика]="Дата реструктуризации")*(УслРестрактов[Значение]=Первоначальный!$A1527),0)</f>
        <v>0</v>
      </c>
    </row>
    <row r="1528" spans="1:38" x14ac:dyDescent="0.25">
      <c r="A1528" s="97">
        <f t="shared" si="281"/>
        <v>45659</v>
      </c>
      <c r="B1528" s="100">
        <f t="shared" ca="1" si="282"/>
        <v>149633.34</v>
      </c>
      <c r="C1528" s="55">
        <f t="shared" ca="1" si="278"/>
        <v>108312.10999999996</v>
      </c>
      <c r="D1528" s="55">
        <f t="shared" ca="1" si="278"/>
        <v>10130.289999999974</v>
      </c>
      <c r="E1528" s="55">
        <f t="shared" ca="1" si="283"/>
        <v>0</v>
      </c>
      <c r="F1528" s="55">
        <f t="shared" ca="1" si="284"/>
        <v>492916.83516557491</v>
      </c>
      <c r="G1528" s="101">
        <f t="shared" ca="1" si="285"/>
        <v>760992.5751655749</v>
      </c>
      <c r="H1528" s="100">
        <f ca="1">ROUND($B1528*VLOOKUP($A1528,$A$1:$B$10,2,1)/(365+IF(MOD(YEAR($A1528),4),0,1)*($A1528-$A1527)),2)-Первоначальный[[#This Row],[Проценты на просроченный платеж по ОД за период]]</f>
        <v>65.58</v>
      </c>
      <c r="I1528" s="55">
        <f t="shared" ca="1" si="286"/>
        <v>16</v>
      </c>
      <c r="J1528" s="55">
        <v>0</v>
      </c>
      <c r="K1528" s="55">
        <f t="shared" ca="1" si="289"/>
        <v>680.72850327868844</v>
      </c>
      <c r="L1528" s="55">
        <v>0</v>
      </c>
      <c r="M1528" s="113">
        <f>SUMIFS(График[Возврат основной суммы долга],График[Дата с учетом нерабочих дней],$A1528)</f>
        <v>0</v>
      </c>
      <c r="N1528" s="56">
        <f>SUMIFS(График[Возврат начисленных %],График[Дата с учетом нерабочих дней],$A1528)</f>
        <v>0</v>
      </c>
      <c r="O1528" s="101">
        <v>0</v>
      </c>
      <c r="P1528" s="100" cm="1">
        <f t="array" aca="1" ref="P1528" ca="1">MAX(IF(AA1527="Да",0,SUM(INDIRECT("M"&amp;(MAX(("Да"=AA$12:AA1527)*ROW(AA$12:AA1527)+1,ROW($P$12))&amp;":M"&amp;(ROW()))))-SUM(INDIRECT("W"&amp;(MAX(("Да"=AA$12:AA1527)*ROW(AA$12:AA1527)+1,ROW($P$12))&amp;":W"&amp;(ROW()))))),0)</f>
        <v>29344.699999999997</v>
      </c>
      <c r="Q1528" s="99">
        <f ca="1">MAX(SUM($N$13:N1528)-SUM($T$13:T1528),0)</f>
        <v>106801.00065573769</v>
      </c>
      <c r="R1528" s="99">
        <f ca="1">Первоначальный[[#This Row],[Просроченный платеж по ОД]]+Первоначальный[[#This Row],[Просроченный платеж по процентам]]</f>
        <v>136145.70065573769</v>
      </c>
      <c r="S1528" s="120">
        <f ca="1">IF(Первоначальный[[#This Row],[Просроченный платеж]]&lt;1,0,S1527+1)</f>
        <v>1424</v>
      </c>
      <c r="T1528" s="100" cm="1">
        <f t="array" aca="1" ref="T1528" ca="1">IF(Первоначальный[[#This Row],[Итого остаток на начало периода]]&lt;1,0,
IF(
AND(TYPE(VLOOKUP(1,$Z$12:Z1528,1,0))=16,Первоначальный[[#This Row],[Досрочное погашение (да/"")]]=""),0,
_xlfn.IFS(AND(S1527=0,Первоначальный[[#This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платеж]]&lt;&gt;0),MIN(LOOKUP(,-1/($Z$12:Z1528=1),$C$12:C1528)+LOOKUP(,-1/($Z$12:Z1528=1),$H$12:H1528),Первоначальный[[#This Row],[Полученный платеж]]+Y1527),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платеж]]+Y1527,SUM(Первоначальный[[#This Row],[Остаток процентов на начало периода]],Первоначальный[[#This Row],[Проценты за период]])),
AND(S1527=0,Первоначальный[[#This Row],[Дата платежа из графика]]=""),0,
AND(S1527=0,Первоначальный[[#This Row],[Дата платежа из графика]]=1,MAX((0&lt;&gt;S$12:S1527)*ROW(S$12:S1527),ROW($S$12))&gt;=MAX((1=Z$12:Z1527)*ROW(Z$12:Z1527),ROW($T$12)),TYPE(VLOOKUP("Да",(INDIRECT("AA"&amp;(MAX((1=Z$12:Z1527)*ROW(Z$12:Z1527),ROW($T$12))&amp;":AA"&amp;(ROW()-1)))),1,0))=16),MIN(LOOKUP(,-1/($Z$12:Z1528=1),$C$12:C1528)+LOOKUP(,-1/($Z$12:Z1528=1),$H$12:H1528),Первоначальный[[#This Row],[Полученный платеж]]+Y1527),
AND(S1527=0,TYPE(VLOOKUP("Да",(INDIRECT("AA"&amp;(MAX((1=Z$12:Z1527)*ROW(Z$12:Z1527),ROW($T$12))&amp;":AA"&amp;(ROW()-1)))),1,0))&lt;&gt;16),MIN(LOOKUP(,-1/($Z$12:Z1528=1),$C$12:C1528)+LOOKUP(,-1/($Z$12:Z1528=1),$H$12:H1528)-IF(AA1527="Да",0,SUM(INDIRECT("T"&amp;(MAX(("Да"=AA$12:AA1527)*ROW(AA$12:AA1527)+1,ROW($T$12))&amp;":T"&amp;(ROW()-1))))),Первоначальный[[#This Row],[Полученный платеж]]+Y1527),
AND(S1527=0,MAX((0&lt;&gt;N$12:N1527)*ROW(N$12:N1527),ROW($S$12))&gt;=MAX((1=Z$12:Z1527)*ROW(Z$12:Z1527),ROW($T$12))),MIN(LOOKUP(,-1/($Z$12:Z1528=1),$C$12:C1528)+LOOKUP(,-1/($Z$12:Z1528=1),$H$12:H1528)-IF(N1527&lt;&gt;0,0,SUM(INDIRECT("T"&amp;(MAX((0&lt;&gt;N$12:N1527)*ROW(N$12:N1527)+1,ROW($T$12))&amp;":T"&amp;(ROW()-1))))),Первоначальный[[#This Row],[Полученный платеж]]+Y1527),
AND(S1527=0,Первоначальный[[#This Row],[Дата платежа из графика]]=1),MIN(LOOKUP(,-1/($Z$12:Z1528=1),$C$12:C1528)+LOOKUP(,-1/($Z$12:Z1528=1),$H$12:H1528)-IF(Z1527=1,0,SUM(INDIRECT("T"&amp;(MAX((1=Z$12:Z1527)*ROW(Z$12:Z1527)+1,ROW($T$12))&amp;":T"&amp;(ROW()-1))))),Первоначальный[[#This Row],[Полученный платеж]]+Y1527),
AND(Z1527&gt;0,Первоначальный[[#This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платеж]]+Y1527),
AND(S1527&gt;0,MAX((0&lt;&gt;S$12:S1527)*ROW(S$12:S1527),ROW($S$12))&gt;=MAX((1=Z$12:Z1527)*ROW(Z$12:Z1527),ROW($T$12)),TYPE(VLOOKUP("Да",(INDIRECT("AA"&amp;(MAX((1=Z$12:Z1527)*ROW(Z$12:Z1527),ROW($T$12))&amp;":AA"&amp;(ROW()-1)))),1,0))=16),MIN(LOOKUP(,-1/($Z$12:Z1528=1),$C$12:C1528)+LOOKUP(,-1/($Z$12:Z1528=1),$H$12:H1528)-SUM(INDIRECT("T"&amp;(MAX((1=Z$12:Z1527)*ROW(Z$12:Z1527),ROW($T$12))&amp;":T"&amp;(ROW()-1)))),Первоначальный[[#This Row],[Полученный платеж]]+Y1527),
S1527&gt;0,MIN(LOOKUP(,-1/($Z$12:Z1528=1),$C$12:C1528)+LOOKUP(,-1/($Z$12:Z1528=1),$H$12:H1528)-IF(Z1527=1,0,SUM(INDIRECT("T"&amp;(MAX((1=Z$12:Z1527)*ROW(Z$12:Z1527)+1,ROW($T$12))&amp;":T"&amp;(ROW()-1))))),Первоначальный[[#This Row],[Полученный платеж]]+Y1527)
)
)
)</f>
        <v>0</v>
      </c>
      <c r="U152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платеж]]+Y1527-Первоначальный[[#This Row],[Полученный платёж по процентам]])</f>
        <v>0</v>
      </c>
      <c r="V1528" s="55">
        <f t="shared" ca="1" si="279"/>
        <v>0</v>
      </c>
      <c r="W1528" s="55" cm="1">
        <f t="array" aca="1" ref="W1528" ca="1">IF(Первоначальный[[#This Row],[Итого остаток на начало периода]]&lt;1,0,
_xlfn.IFS(
AND(TYPE(VLOOKUP(1,$Z$12:Z1528,1,0))=16,Первоначальный[[#This Row],[Досрочное погашение (да/"")]]=""),0,
AND(S1527=0,Первоначальный[[#This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платеж]]+Y1527-SUM(Первоначальный[[#This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комиссиям]]),VLOOKUP(LOOKUP(,-1/($Z$12:Z1528=1),$A$12:A1528),График[[Срок конец]:[Возврат основной суммы долга]],3,0)),
AND(S1527=0,Первоначальный[[#This Row],[Дата платежа из графика]]="",Первоначальный[[#This Row],[Досрочное погашение (да/"")]]&lt;&gt;"Да"),0,
AND(S1527=0,Первоначальный[[#This Row],[Досрочное погашение (да/"")]]=""),MIN(Первоначальный[[#This Row],[Полученный платеж]]+Y1527-SUM(Первоначальный[[#This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комиссиям]]),VLOOKUP(LOOKUP(,-1/($Z$12:Z1528=1),$A$12:A1528),График[[Срок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платеж]]+Y1527-SUM(Первоначальный[[#This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S1527&gt;0,MIN(Первоначальный[[#This Row],[Полученный платеж]]+Y1527-SUM(Первоначальный[[#This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комиссиям]]),SUM(INDIRECT("M"&amp;(MAX((1=S$12:S1527)*ROW(S$12:S1527),ROW($W$12))&amp;":M"&amp;(ROW()))))-SUM(INDIRECT("W"&amp;(MAX((1=S$12:S1527)*ROW(S$12:S1527),ROW($W$12))&amp;":W"&amp;(ROW()-1)))))
)
)</f>
        <v>0</v>
      </c>
      <c r="X1528" s="55">
        <f t="shared" ca="1" si="280"/>
        <v>0</v>
      </c>
      <c r="Y1528" s="101">
        <f t="shared" ca="1" si="287"/>
        <v>0</v>
      </c>
      <c r="Z1528" s="133" t="str">
        <f>IF(TYPE((VLOOKUP(Первоначальный[[#This Row],[Дата платежа]],График[Срок конец],1,0)))=16,"",1)</f>
        <v/>
      </c>
      <c r="AA1528" s="57"/>
      <c r="AB1528" s="134"/>
      <c r="AC152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2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108377.68999999996</v>
      </c>
      <c r="AE152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10146.289999999974</v>
      </c>
      <c r="AF152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2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493597.5636688536</v>
      </c>
      <c r="AH1528" s="55"/>
      <c r="AI1528" s="55"/>
      <c r="AJ1528" s="55"/>
      <c r="AK1528" s="101">
        <f t="shared" ca="1" si="288"/>
        <v>761754.88366885355</v>
      </c>
      <c r="AL1528" s="129">
        <f t="array" ref="AL1528">MAX((УслРестрактов[Характеристика]="Дата реструктуризации")*(УслРестрактов[Значение]=Первоначальный!$A1528),0)</f>
        <v>0</v>
      </c>
    </row>
    <row r="1529" spans="1:38" x14ac:dyDescent="0.25">
      <c r="A1529" s="97">
        <f t="shared" si="281"/>
        <v>45660</v>
      </c>
      <c r="B1529" s="100">
        <f t="shared" ca="1" si="282"/>
        <v>149633.34</v>
      </c>
      <c r="C1529" s="55">
        <f t="shared" ca="1" si="278"/>
        <v>108377.68999999996</v>
      </c>
      <c r="D1529" s="55">
        <f t="shared" ca="1" si="278"/>
        <v>10146.289999999974</v>
      </c>
      <c r="E1529" s="55">
        <f t="shared" ca="1" si="283"/>
        <v>0</v>
      </c>
      <c r="F1529" s="55">
        <f t="shared" ca="1" si="284"/>
        <v>493597.5636688536</v>
      </c>
      <c r="G1529" s="101">
        <f t="shared" ca="1" si="285"/>
        <v>761754.88366885355</v>
      </c>
      <c r="H1529" s="100">
        <f ca="1">ROUND($B1529*VLOOKUP($A1529,$A$1:$B$10,2,1)/(365+IF(MOD(YEAR($A1529),4),0,1)*($A1529-$A1528)),2)-Первоначальный[[#This Row],[Проценты на просроченный платеж по ОД за период]]</f>
        <v>65.58</v>
      </c>
      <c r="I1529" s="55">
        <f t="shared" ca="1" si="286"/>
        <v>16</v>
      </c>
      <c r="J1529" s="55">
        <v>0</v>
      </c>
      <c r="K1529" s="55">
        <f t="shared" ca="1" si="289"/>
        <v>680.72850327868844</v>
      </c>
      <c r="L1529" s="55">
        <v>0</v>
      </c>
      <c r="M1529" s="113">
        <f>SUMIFS(График[Возврат основной суммы долга],График[Дата с учетом нерабочих дней],$A1529)</f>
        <v>0</v>
      </c>
      <c r="N1529" s="56">
        <f>SUMIFS(График[Возврат начисленных %],График[Дата с учетом нерабочих дней],$A1529)</f>
        <v>0</v>
      </c>
      <c r="O1529" s="101">
        <v>0</v>
      </c>
      <c r="P1529" s="100" cm="1">
        <f t="array" aca="1" ref="P1529" ca="1">MAX(IF(AA1528="Да",0,SUM(INDIRECT("M"&amp;(MAX(("Да"=AA$12:AA1528)*ROW(AA$12:AA1528)+1,ROW($P$12))&amp;":M"&amp;(ROW()))))-SUM(INDIRECT("W"&amp;(MAX(("Да"=AA$12:AA1528)*ROW(AA$12:AA1528)+1,ROW($P$12))&amp;":W"&amp;(ROW()))))),0)</f>
        <v>29344.699999999997</v>
      </c>
      <c r="Q1529" s="99">
        <f ca="1">MAX(SUM($N$13:N1529)-SUM($T$13:T1529),0)</f>
        <v>106801.00065573769</v>
      </c>
      <c r="R1529" s="99">
        <f ca="1">Первоначальный[[#This Row],[Просроченный платеж по ОД]]+Первоначальный[[#This Row],[Просроченный платеж по процентам]]</f>
        <v>136145.70065573769</v>
      </c>
      <c r="S1529" s="120">
        <f ca="1">IF(Первоначальный[[#This Row],[Просроченный платеж]]&lt;1,0,S1528+1)</f>
        <v>1425</v>
      </c>
      <c r="T1529" s="100" cm="1">
        <f t="array" aca="1" ref="T1529" ca="1">IF(Первоначальный[[#This Row],[Итого остаток на начало периода]]&lt;1,0,
IF(
AND(TYPE(VLOOKUP(1,$Z$12:Z1529,1,0))=16,Первоначальный[[#This Row],[Досрочное погашение (да/"")]]=""),0,
_xlfn.IFS(AND(S1528=0,Первоначальный[[#This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платеж]]&lt;&gt;0),MIN(LOOKUP(,-1/($Z$12:Z1529=1),$C$12:C1529)+LOOKUP(,-1/($Z$12:Z1529=1),$H$12:H1529),Первоначальный[[#This Row],[Полученный платеж]]+Y1528),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платеж]]+Y1528,SUM(Первоначальный[[#This Row],[Остаток процентов на начало периода]],Первоначальный[[#This Row],[Проценты за период]])),
AND(S1528=0,Первоначальный[[#This Row],[Дата платежа из графика]]=""),0,
AND(S1528=0,Первоначальный[[#This Row],[Дата платежа из графика]]=1,MAX((0&lt;&gt;S$12:S1528)*ROW(S$12:S1528),ROW($S$12))&gt;=MAX((1=Z$12:Z1528)*ROW(Z$12:Z1528),ROW($T$12)),TYPE(VLOOKUP("Да",(INDIRECT("AA"&amp;(MAX((1=Z$12:Z1528)*ROW(Z$12:Z1528),ROW($T$12))&amp;":AA"&amp;(ROW()-1)))),1,0))=16),MIN(LOOKUP(,-1/($Z$12:Z1529=1),$C$12:C1529)+LOOKUP(,-1/($Z$12:Z1529=1),$H$12:H1529),Первоначальный[[#This Row],[Полученный платеж]]+Y1528),
AND(S1528=0,TYPE(VLOOKUP("Да",(INDIRECT("AA"&amp;(MAX((1=Z$12:Z1528)*ROW(Z$12:Z1528),ROW($T$12))&amp;":AA"&amp;(ROW()-1)))),1,0))&lt;&gt;16),MIN(LOOKUP(,-1/($Z$12:Z1529=1),$C$12:C1529)+LOOKUP(,-1/($Z$12:Z1529=1),$H$12:H1529)-IF(AA1528="Да",0,SUM(INDIRECT("T"&amp;(MAX(("Да"=AA$12:AA1528)*ROW(AA$12:AA1528)+1,ROW($T$12))&amp;":T"&amp;(ROW()-1))))),Первоначальный[[#This Row],[Полученный платеж]]+Y1528),
AND(S1528=0,MAX((0&lt;&gt;N$12:N1528)*ROW(N$12:N1528),ROW($S$12))&gt;=MAX((1=Z$12:Z1528)*ROW(Z$12:Z1528),ROW($T$12))),MIN(LOOKUP(,-1/($Z$12:Z1529=1),$C$12:C1529)+LOOKUP(,-1/($Z$12:Z1529=1),$H$12:H1529)-IF(N1528&lt;&gt;0,0,SUM(INDIRECT("T"&amp;(MAX((0&lt;&gt;N$12:N1528)*ROW(N$12:N1528)+1,ROW($T$12))&amp;":T"&amp;(ROW()-1))))),Первоначальный[[#This Row],[Полученный платеж]]+Y1528),
AND(S1528=0,Первоначальный[[#This Row],[Дата платежа из графика]]=1),MIN(LOOKUP(,-1/($Z$12:Z1529=1),$C$12:C1529)+LOOKUP(,-1/($Z$12:Z1529=1),$H$12:H1529)-IF(Z1528=1,0,SUM(INDIRECT("T"&amp;(MAX((1=Z$12:Z1528)*ROW(Z$12:Z1528)+1,ROW($T$12))&amp;":T"&amp;(ROW()-1))))),Первоначальный[[#This Row],[Полученный платеж]]+Y1528),
AND(Z1528&gt;0,Первоначальный[[#This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платеж]]+Y1528),
AND(S1528&gt;0,MAX((0&lt;&gt;S$12:S1528)*ROW(S$12:S1528),ROW($S$12))&gt;=MAX((1=Z$12:Z1528)*ROW(Z$12:Z1528),ROW($T$12)),TYPE(VLOOKUP("Да",(INDIRECT("AA"&amp;(MAX((1=Z$12:Z1528)*ROW(Z$12:Z1528),ROW($T$12))&amp;":AA"&amp;(ROW()-1)))),1,0))=16),MIN(LOOKUP(,-1/($Z$12:Z1529=1),$C$12:C1529)+LOOKUP(,-1/($Z$12:Z1529=1),$H$12:H1529)-SUM(INDIRECT("T"&amp;(MAX((1=Z$12:Z1528)*ROW(Z$12:Z1528),ROW($T$12))&amp;":T"&amp;(ROW()-1)))),Первоначальный[[#This Row],[Полученный платеж]]+Y1528),
S1528&gt;0,MIN(LOOKUP(,-1/($Z$12:Z1529=1),$C$12:C1529)+LOOKUP(,-1/($Z$12:Z1529=1),$H$12:H1529)-IF(Z1528=1,0,SUM(INDIRECT("T"&amp;(MAX((1=Z$12:Z1528)*ROW(Z$12:Z1528)+1,ROW($T$12))&amp;":T"&amp;(ROW()-1))))),Первоначальный[[#This Row],[Полученный платеж]]+Y1528)
)
)
)</f>
        <v>0</v>
      </c>
      <c r="U152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платеж]]+Y1528-Первоначальный[[#This Row],[Полученный платёж по процентам]])</f>
        <v>0</v>
      </c>
      <c r="V1529" s="55">
        <f t="shared" ca="1" si="279"/>
        <v>0</v>
      </c>
      <c r="W1529" s="55" cm="1">
        <f t="array" aca="1" ref="W1529" ca="1">IF(Первоначальный[[#This Row],[Итого остаток на начало периода]]&lt;1,0,
_xlfn.IFS(
AND(TYPE(VLOOKUP(1,$Z$12:Z1529,1,0))=16,Первоначальный[[#This Row],[Досрочное погашение (да/"")]]=""),0,
AND(S1528=0,Первоначальный[[#This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платеж]]+Y1528-SUM(Первоначальный[[#This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комиссиям]]),VLOOKUP(LOOKUP(,-1/($Z$12:Z1529=1),$A$12:A1529),График[[Срок конец]:[Возврат основной суммы долга]],3,0)),
AND(S1528=0,Первоначальный[[#This Row],[Дата платежа из графика]]="",Первоначальный[[#This Row],[Досрочное погашение (да/"")]]&lt;&gt;"Да"),0,
AND(S1528=0,Первоначальный[[#This Row],[Досрочное погашение (да/"")]]=""),MIN(Первоначальный[[#This Row],[Полученный платеж]]+Y1528-SUM(Первоначальный[[#This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комиссиям]]),VLOOKUP(LOOKUP(,-1/($Z$12:Z1529=1),$A$12:A1529),График[[Срок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платеж]]+Y1528-SUM(Первоначальный[[#This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S1528&gt;0,MIN(Первоначальный[[#This Row],[Полученный платеж]]+Y1528-SUM(Первоначальный[[#This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комиссиям]]),SUM(INDIRECT("M"&amp;(MAX((1=S$12:S1528)*ROW(S$12:S1528),ROW($W$12))&amp;":M"&amp;(ROW()))))-SUM(INDIRECT("W"&amp;(MAX((1=S$12:S1528)*ROW(S$12:S1528),ROW($W$12))&amp;":W"&amp;(ROW()-1)))))
)
)</f>
        <v>0</v>
      </c>
      <c r="X1529" s="55">
        <f t="shared" ca="1" si="280"/>
        <v>0</v>
      </c>
      <c r="Y1529" s="101">
        <f t="shared" ca="1" si="287"/>
        <v>0</v>
      </c>
      <c r="Z1529" s="133" t="str">
        <f>IF(TYPE((VLOOKUP(Первоначальный[[#This Row],[Дата платежа]],График[Срок конец],1,0)))=16,"",1)</f>
        <v/>
      </c>
      <c r="AA1529" s="57"/>
      <c r="AB1529" s="134"/>
      <c r="AC152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2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108443.26999999996</v>
      </c>
      <c r="AE152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10162.289999999974</v>
      </c>
      <c r="AF152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2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494278.29217213229</v>
      </c>
      <c r="AH1529" s="55"/>
      <c r="AI1529" s="55"/>
      <c r="AJ1529" s="55"/>
      <c r="AK1529" s="101">
        <f t="shared" ca="1" si="288"/>
        <v>762517.1921721322</v>
      </c>
      <c r="AL1529" s="129">
        <f t="array" ref="AL1529">MAX((УслРестрактов[Характеристика]="Дата реструктуризации")*(УслРестрактов[Значение]=Первоначальный!$A1529),0)</f>
        <v>0</v>
      </c>
    </row>
    <row r="1530" spans="1:38" x14ac:dyDescent="0.25">
      <c r="A1530" s="97">
        <f t="shared" si="281"/>
        <v>45661</v>
      </c>
      <c r="B1530" s="100">
        <f t="shared" ca="1" si="282"/>
        <v>149633.34</v>
      </c>
      <c r="C1530" s="55">
        <f t="shared" ca="1" si="278"/>
        <v>108443.26999999996</v>
      </c>
      <c r="D1530" s="55">
        <f t="shared" ca="1" si="278"/>
        <v>10162.289999999974</v>
      </c>
      <c r="E1530" s="55">
        <f t="shared" ca="1" si="283"/>
        <v>0</v>
      </c>
      <c r="F1530" s="55">
        <f t="shared" ca="1" si="284"/>
        <v>494278.29217213229</v>
      </c>
      <c r="G1530" s="101">
        <f t="shared" ca="1" si="285"/>
        <v>762517.1921721322</v>
      </c>
      <c r="H1530" s="100">
        <f ca="1">ROUND($B1530*VLOOKUP($A1530,$A$1:$B$10,2,1)/(365+IF(MOD(YEAR($A1530),4),0,1)*($A1530-$A1529)),2)-Первоначальный[[#This Row],[Проценты на просроченный платеж по ОД за период]]</f>
        <v>65.58</v>
      </c>
      <c r="I1530" s="55">
        <f t="shared" ca="1" si="286"/>
        <v>16</v>
      </c>
      <c r="J1530" s="55">
        <v>0</v>
      </c>
      <c r="K1530" s="55">
        <f t="shared" ca="1" si="289"/>
        <v>680.72850327868844</v>
      </c>
      <c r="L1530" s="55">
        <v>0</v>
      </c>
      <c r="M1530" s="113">
        <f>SUMIFS(График[Возврат основной суммы долга],График[Дата с учетом нерабочих дней],$A1530)</f>
        <v>0</v>
      </c>
      <c r="N1530" s="56">
        <f>SUMIFS(График[Возврат начисленных %],График[Дата с учетом нерабочих дней],$A1530)</f>
        <v>0</v>
      </c>
      <c r="O1530" s="101">
        <v>0</v>
      </c>
      <c r="P1530" s="100" cm="1">
        <f t="array" aca="1" ref="P1530" ca="1">MAX(IF(AA1529="Да",0,SUM(INDIRECT("M"&amp;(MAX(("Да"=AA$12:AA1529)*ROW(AA$12:AA1529)+1,ROW($P$12))&amp;":M"&amp;(ROW()))))-SUM(INDIRECT("W"&amp;(MAX(("Да"=AA$12:AA1529)*ROW(AA$12:AA1529)+1,ROW($P$12))&amp;":W"&amp;(ROW()))))),0)</f>
        <v>29344.699999999997</v>
      </c>
      <c r="Q1530" s="99">
        <f ca="1">MAX(SUM($N$13:N1530)-SUM($T$13:T1530),0)</f>
        <v>106801.00065573769</v>
      </c>
      <c r="R1530" s="99">
        <f ca="1">Первоначальный[[#This Row],[Просроченный платеж по ОД]]+Первоначальный[[#This Row],[Просроченный платеж по процентам]]</f>
        <v>136145.70065573769</v>
      </c>
      <c r="S1530" s="120">
        <f ca="1">IF(Первоначальный[[#This Row],[Просроченный платеж]]&lt;1,0,S1529+1)</f>
        <v>1426</v>
      </c>
      <c r="T1530" s="100" cm="1">
        <f t="array" aca="1" ref="T1530" ca="1">IF(Первоначальный[[#This Row],[Итого остаток на начало периода]]&lt;1,0,
IF(
AND(TYPE(VLOOKUP(1,$Z$12:Z1530,1,0))=16,Первоначальный[[#This Row],[Досрочное погашение (да/"")]]=""),0,
_xlfn.IFS(AND(S1529=0,Первоначальный[[#This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платеж]]&lt;&gt;0),MIN(LOOKUP(,-1/($Z$12:Z1530=1),$C$12:C1530)+LOOKUP(,-1/($Z$12:Z1530=1),$H$12:H1530),Первоначальный[[#This Row],[Полученный платеж]]+Y1529),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платеж]]+Y1529,SUM(Первоначальный[[#This Row],[Остаток процентов на начало периода]],Первоначальный[[#This Row],[Проценты за период]])),
AND(S1529=0,Первоначальный[[#This Row],[Дата платежа из графика]]=""),0,
AND(S1529=0,Первоначальный[[#This Row],[Дата платежа из графика]]=1,MAX((0&lt;&gt;S$12:S1529)*ROW(S$12:S1529),ROW($S$12))&gt;=MAX((1=Z$12:Z1529)*ROW(Z$12:Z1529),ROW($T$12)),TYPE(VLOOKUP("Да",(INDIRECT("AA"&amp;(MAX((1=Z$12:Z1529)*ROW(Z$12:Z1529),ROW($T$12))&amp;":AA"&amp;(ROW()-1)))),1,0))=16),MIN(LOOKUP(,-1/($Z$12:Z1530=1),$C$12:C1530)+LOOKUP(,-1/($Z$12:Z1530=1),$H$12:H1530),Первоначальный[[#This Row],[Полученный платеж]]+Y1529),
AND(S1529=0,TYPE(VLOOKUP("Да",(INDIRECT("AA"&amp;(MAX((1=Z$12:Z1529)*ROW(Z$12:Z1529),ROW($T$12))&amp;":AA"&amp;(ROW()-1)))),1,0))&lt;&gt;16),MIN(LOOKUP(,-1/($Z$12:Z1530=1),$C$12:C1530)+LOOKUP(,-1/($Z$12:Z1530=1),$H$12:H1530)-IF(AA1529="Да",0,SUM(INDIRECT("T"&amp;(MAX(("Да"=AA$12:AA1529)*ROW(AA$12:AA1529)+1,ROW($T$12))&amp;":T"&amp;(ROW()-1))))),Первоначальный[[#This Row],[Полученный платеж]]+Y1529),
AND(S1529=0,MAX((0&lt;&gt;N$12:N1529)*ROW(N$12:N1529),ROW($S$12))&gt;=MAX((1=Z$12:Z1529)*ROW(Z$12:Z1529),ROW($T$12))),MIN(LOOKUP(,-1/($Z$12:Z1530=1),$C$12:C1530)+LOOKUP(,-1/($Z$12:Z1530=1),$H$12:H1530)-IF(N1529&lt;&gt;0,0,SUM(INDIRECT("T"&amp;(MAX((0&lt;&gt;N$12:N1529)*ROW(N$12:N1529)+1,ROW($T$12))&amp;":T"&amp;(ROW()-1))))),Первоначальный[[#This Row],[Полученный платеж]]+Y1529),
AND(S1529=0,Первоначальный[[#This Row],[Дата платежа из графика]]=1),MIN(LOOKUP(,-1/($Z$12:Z1530=1),$C$12:C1530)+LOOKUP(,-1/($Z$12:Z1530=1),$H$12:H1530)-IF(Z1529=1,0,SUM(INDIRECT("T"&amp;(MAX((1=Z$12:Z1529)*ROW(Z$12:Z1529)+1,ROW($T$12))&amp;":T"&amp;(ROW()-1))))),Первоначальный[[#This Row],[Полученный платеж]]+Y1529),
AND(Z1529&gt;0,Первоначальный[[#This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платеж]]+Y1529),
AND(S1529&gt;0,MAX((0&lt;&gt;S$12:S1529)*ROW(S$12:S1529),ROW($S$12))&gt;=MAX((1=Z$12:Z1529)*ROW(Z$12:Z1529),ROW($T$12)),TYPE(VLOOKUP("Да",(INDIRECT("AA"&amp;(MAX((1=Z$12:Z1529)*ROW(Z$12:Z1529),ROW($T$12))&amp;":AA"&amp;(ROW()-1)))),1,0))=16),MIN(LOOKUP(,-1/($Z$12:Z1530=1),$C$12:C1530)+LOOKUP(,-1/($Z$12:Z1530=1),$H$12:H1530)-SUM(INDIRECT("T"&amp;(MAX((1=Z$12:Z1529)*ROW(Z$12:Z1529),ROW($T$12))&amp;":T"&amp;(ROW()-1)))),Первоначальный[[#This Row],[Полученный платеж]]+Y1529),
S1529&gt;0,MIN(LOOKUP(,-1/($Z$12:Z1530=1),$C$12:C1530)+LOOKUP(,-1/($Z$12:Z1530=1),$H$12:H1530)-IF(Z1529=1,0,SUM(INDIRECT("T"&amp;(MAX((1=Z$12:Z1529)*ROW(Z$12:Z1529)+1,ROW($T$12))&amp;":T"&amp;(ROW()-1))))),Первоначальный[[#This Row],[Полученный платеж]]+Y1529)
)
)
)</f>
        <v>0</v>
      </c>
      <c r="U153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платеж]]+Y1529-Первоначальный[[#This Row],[Полученный платёж по процентам]])</f>
        <v>0</v>
      </c>
      <c r="V1530" s="55">
        <f t="shared" ca="1" si="279"/>
        <v>0</v>
      </c>
      <c r="W1530" s="55" cm="1">
        <f t="array" aca="1" ref="W1530" ca="1">IF(Первоначальный[[#This Row],[Итого остаток на начало периода]]&lt;1,0,
_xlfn.IFS(
AND(TYPE(VLOOKUP(1,$Z$12:Z1530,1,0))=16,Первоначальный[[#This Row],[Досрочное погашение (да/"")]]=""),0,
AND(S1529=0,Первоначальный[[#This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платеж]]+Y1529-SUM(Первоначальный[[#This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комиссиям]]),VLOOKUP(LOOKUP(,-1/($Z$12:Z1530=1),$A$12:A1530),График[[Срок конец]:[Возврат основной суммы долга]],3,0)),
AND(S1529=0,Первоначальный[[#This Row],[Дата платежа из графика]]="",Первоначальный[[#This Row],[Досрочное погашение (да/"")]]&lt;&gt;"Да"),0,
AND(S1529=0,Первоначальный[[#This Row],[Досрочное погашение (да/"")]]=""),MIN(Первоначальный[[#This Row],[Полученный платеж]]+Y1529-SUM(Первоначальный[[#This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комиссиям]]),VLOOKUP(LOOKUP(,-1/($Z$12:Z1530=1),$A$12:A1530),График[[Срок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платеж]]+Y1529-SUM(Первоначальный[[#This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S1529&gt;0,MIN(Первоначальный[[#This Row],[Полученный платеж]]+Y1529-SUM(Первоначальный[[#This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комиссиям]]),SUM(INDIRECT("M"&amp;(MAX((1=S$12:S1529)*ROW(S$12:S1529),ROW($W$12))&amp;":M"&amp;(ROW()))))-SUM(INDIRECT("W"&amp;(MAX((1=S$12:S1529)*ROW(S$12:S1529),ROW($W$12))&amp;":W"&amp;(ROW()-1)))))
)
)</f>
        <v>0</v>
      </c>
      <c r="X1530" s="55">
        <f t="shared" ca="1" si="280"/>
        <v>0</v>
      </c>
      <c r="Y1530" s="101">
        <f t="shared" ca="1" si="287"/>
        <v>0</v>
      </c>
      <c r="Z1530" s="133" t="str">
        <f>IF(TYPE((VLOOKUP(Первоначальный[[#This Row],[Дата платежа]],График[Срок конец],1,0)))=16,"",1)</f>
        <v/>
      </c>
      <c r="AA1530" s="57"/>
      <c r="AB1530" s="134"/>
      <c r="AC153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3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108508.84999999996</v>
      </c>
      <c r="AE153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10178.289999999974</v>
      </c>
      <c r="AF153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3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494959.02067541098</v>
      </c>
      <c r="AH1530" s="55"/>
      <c r="AI1530" s="55"/>
      <c r="AJ1530" s="55"/>
      <c r="AK1530" s="101">
        <f t="shared" ca="1" si="288"/>
        <v>763279.50067541096</v>
      </c>
      <c r="AL1530" s="129">
        <f t="array" ref="AL1530">MAX((УслРестрактов[Характеристика]="Дата реструктуризации")*(УслРестрактов[Значение]=Первоначальный!$A1530),0)</f>
        <v>0</v>
      </c>
    </row>
    <row r="1531" spans="1:38" x14ac:dyDescent="0.25">
      <c r="A1531" s="97">
        <f t="shared" si="281"/>
        <v>45662</v>
      </c>
      <c r="B1531" s="100">
        <f t="shared" ca="1" si="282"/>
        <v>149633.34</v>
      </c>
      <c r="C1531" s="55">
        <f t="shared" ca="1" si="278"/>
        <v>108508.84999999996</v>
      </c>
      <c r="D1531" s="55">
        <f t="shared" ca="1" si="278"/>
        <v>10178.289999999974</v>
      </c>
      <c r="E1531" s="55">
        <f t="shared" ca="1" si="283"/>
        <v>0</v>
      </c>
      <c r="F1531" s="55">
        <f t="shared" ca="1" si="284"/>
        <v>494959.02067541098</v>
      </c>
      <c r="G1531" s="101">
        <f t="shared" ca="1" si="285"/>
        <v>763279.50067541096</v>
      </c>
      <c r="H1531" s="100">
        <f ca="1">ROUND($B1531*VLOOKUP($A1531,$A$1:$B$10,2,1)/(365+IF(MOD(YEAR($A1531),4),0,1)*($A1531-$A1530)),2)-Первоначальный[[#This Row],[Проценты на просроченный платеж по ОД за период]]</f>
        <v>65.58</v>
      </c>
      <c r="I1531" s="55">
        <f t="shared" ca="1" si="286"/>
        <v>16</v>
      </c>
      <c r="J1531" s="55">
        <v>0</v>
      </c>
      <c r="K1531" s="55">
        <f t="shared" ca="1" si="289"/>
        <v>680.72850327868844</v>
      </c>
      <c r="L1531" s="55">
        <v>0</v>
      </c>
      <c r="M1531" s="113">
        <f>SUMIFS(График[Возврат основной суммы долга],График[Дата с учетом нерабочих дней],$A1531)</f>
        <v>0</v>
      </c>
      <c r="N1531" s="56">
        <f>SUMIFS(График[Возврат начисленных %],График[Дата с учетом нерабочих дней],$A1531)</f>
        <v>0</v>
      </c>
      <c r="O1531" s="101">
        <v>0</v>
      </c>
      <c r="P1531" s="100" cm="1">
        <f t="array" aca="1" ref="P1531" ca="1">MAX(IF(AA1530="Да",0,SUM(INDIRECT("M"&amp;(MAX(("Да"=AA$12:AA1530)*ROW(AA$12:AA1530)+1,ROW($P$12))&amp;":M"&amp;(ROW()))))-SUM(INDIRECT("W"&amp;(MAX(("Да"=AA$12:AA1530)*ROW(AA$12:AA1530)+1,ROW($P$12))&amp;":W"&amp;(ROW()))))),0)</f>
        <v>29344.699999999997</v>
      </c>
      <c r="Q1531" s="99">
        <f ca="1">MAX(SUM($N$13:N1531)-SUM($T$13:T1531),0)</f>
        <v>106801.00065573769</v>
      </c>
      <c r="R1531" s="99">
        <f ca="1">Первоначальный[[#This Row],[Просроченный платеж по ОД]]+Первоначальный[[#This Row],[Просроченный платеж по процентам]]</f>
        <v>136145.70065573769</v>
      </c>
      <c r="S1531" s="120">
        <f ca="1">IF(Первоначальный[[#This Row],[Просроченный платеж]]&lt;1,0,S1530+1)</f>
        <v>1427</v>
      </c>
      <c r="T1531" s="100" cm="1">
        <f t="array" aca="1" ref="T1531" ca="1">IF(Первоначальный[[#This Row],[Итого остаток на начало периода]]&lt;1,0,
IF(
AND(TYPE(VLOOKUP(1,$Z$12:Z1531,1,0))=16,Первоначальный[[#This Row],[Досрочное погашение (да/"")]]=""),0,
_xlfn.IFS(AND(S1530=0,Первоначальный[[#This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платеж]]&lt;&gt;0),MIN(LOOKUP(,-1/($Z$12:Z1531=1),$C$12:C1531)+LOOKUP(,-1/($Z$12:Z1531=1),$H$12:H1531),Первоначальный[[#This Row],[Полученный платеж]]+Y1530),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платеж]]+Y1530,SUM(Первоначальный[[#This Row],[Остаток процентов на начало периода]],Первоначальный[[#This Row],[Проценты за период]])),
AND(S1530=0,Первоначальный[[#This Row],[Дата платежа из графика]]=""),0,
AND(S1530=0,Первоначальный[[#This Row],[Дата платежа из графика]]=1,MAX((0&lt;&gt;S$12:S1530)*ROW(S$12:S1530),ROW($S$12))&gt;=MAX((1=Z$12:Z1530)*ROW(Z$12:Z1530),ROW($T$12)),TYPE(VLOOKUP("Да",(INDIRECT("AA"&amp;(MAX((1=Z$12:Z1530)*ROW(Z$12:Z1530),ROW($T$12))&amp;":AA"&amp;(ROW()-1)))),1,0))=16),MIN(LOOKUP(,-1/($Z$12:Z1531=1),$C$12:C1531)+LOOKUP(,-1/($Z$12:Z1531=1),$H$12:H1531),Первоначальный[[#This Row],[Полученный платеж]]+Y1530),
AND(S1530=0,TYPE(VLOOKUP("Да",(INDIRECT("AA"&amp;(MAX((1=Z$12:Z1530)*ROW(Z$12:Z1530),ROW($T$12))&amp;":AA"&amp;(ROW()-1)))),1,0))&lt;&gt;16),MIN(LOOKUP(,-1/($Z$12:Z1531=1),$C$12:C1531)+LOOKUP(,-1/($Z$12:Z1531=1),$H$12:H1531)-IF(AA1530="Да",0,SUM(INDIRECT("T"&amp;(MAX(("Да"=AA$12:AA1530)*ROW(AA$12:AA1530)+1,ROW($T$12))&amp;":T"&amp;(ROW()-1))))),Первоначальный[[#This Row],[Полученный платеж]]+Y1530),
AND(S1530=0,MAX((0&lt;&gt;N$12:N1530)*ROW(N$12:N1530),ROW($S$12))&gt;=MAX((1=Z$12:Z1530)*ROW(Z$12:Z1530),ROW($T$12))),MIN(LOOKUP(,-1/($Z$12:Z1531=1),$C$12:C1531)+LOOKUP(,-1/($Z$12:Z1531=1),$H$12:H1531)-IF(N1530&lt;&gt;0,0,SUM(INDIRECT("T"&amp;(MAX((0&lt;&gt;N$12:N1530)*ROW(N$12:N1530)+1,ROW($T$12))&amp;":T"&amp;(ROW()-1))))),Первоначальный[[#This Row],[Полученный платеж]]+Y1530),
AND(S1530=0,Первоначальный[[#This Row],[Дата платежа из графика]]=1),MIN(LOOKUP(,-1/($Z$12:Z1531=1),$C$12:C1531)+LOOKUP(,-1/($Z$12:Z1531=1),$H$12:H1531)-IF(Z1530=1,0,SUM(INDIRECT("T"&amp;(MAX((1=Z$12:Z1530)*ROW(Z$12:Z1530)+1,ROW($T$12))&amp;":T"&amp;(ROW()-1))))),Первоначальный[[#This Row],[Полученный платеж]]+Y1530),
AND(Z1530&gt;0,Первоначальный[[#This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платеж]]+Y1530),
AND(S1530&gt;0,MAX((0&lt;&gt;S$12:S1530)*ROW(S$12:S1530),ROW($S$12))&gt;=MAX((1=Z$12:Z1530)*ROW(Z$12:Z1530),ROW($T$12)),TYPE(VLOOKUP("Да",(INDIRECT("AA"&amp;(MAX((1=Z$12:Z1530)*ROW(Z$12:Z1530),ROW($T$12))&amp;":AA"&amp;(ROW()-1)))),1,0))=16),MIN(LOOKUP(,-1/($Z$12:Z1531=1),$C$12:C1531)+LOOKUP(,-1/($Z$12:Z1531=1),$H$12:H1531)-SUM(INDIRECT("T"&amp;(MAX((1=Z$12:Z1530)*ROW(Z$12:Z1530),ROW($T$12))&amp;":T"&amp;(ROW()-1)))),Первоначальный[[#This Row],[Полученный платеж]]+Y1530),
S1530&gt;0,MIN(LOOKUP(,-1/($Z$12:Z1531=1),$C$12:C1531)+LOOKUP(,-1/($Z$12:Z1531=1),$H$12:H1531)-IF(Z1530=1,0,SUM(INDIRECT("T"&amp;(MAX((1=Z$12:Z1530)*ROW(Z$12:Z1530)+1,ROW($T$12))&amp;":T"&amp;(ROW()-1))))),Первоначальный[[#This Row],[Полученный платеж]]+Y1530)
)
)
)</f>
        <v>0</v>
      </c>
      <c r="U153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платеж]]+Y1530-Первоначальный[[#This Row],[Полученный платёж по процентам]])</f>
        <v>0</v>
      </c>
      <c r="V1531" s="55">
        <f t="shared" ca="1" si="279"/>
        <v>0</v>
      </c>
      <c r="W1531" s="55" cm="1">
        <f t="array" aca="1" ref="W1531" ca="1">IF(Первоначальный[[#This Row],[Итого остаток на начало периода]]&lt;1,0,
_xlfn.IFS(
AND(TYPE(VLOOKUP(1,$Z$12:Z1531,1,0))=16,Первоначальный[[#This Row],[Досрочное погашение (да/"")]]=""),0,
AND(S1530=0,Первоначальный[[#This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платеж]]+Y1530-SUM(Первоначальный[[#This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комиссиям]]),VLOOKUP(LOOKUP(,-1/($Z$12:Z1531=1),$A$12:A1531),График[[Срок конец]:[Возврат основной суммы долга]],3,0)),
AND(S1530=0,Первоначальный[[#This Row],[Дата платежа из графика]]="",Первоначальный[[#This Row],[Досрочное погашение (да/"")]]&lt;&gt;"Да"),0,
AND(S1530=0,Первоначальный[[#This Row],[Досрочное погашение (да/"")]]=""),MIN(Первоначальный[[#This Row],[Полученный платеж]]+Y1530-SUM(Первоначальный[[#This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комиссиям]]),VLOOKUP(LOOKUP(,-1/($Z$12:Z1531=1),$A$12:A1531),График[[Срок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платеж]]+Y1530-SUM(Первоначальный[[#This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S1530&gt;0,MIN(Первоначальный[[#This Row],[Полученный платеж]]+Y1530-SUM(Первоначальный[[#This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комиссиям]]),SUM(INDIRECT("M"&amp;(MAX((1=S$12:S1530)*ROW(S$12:S1530),ROW($W$12))&amp;":M"&amp;(ROW()))))-SUM(INDIRECT("W"&amp;(MAX((1=S$12:S1530)*ROW(S$12:S1530),ROW($W$12))&amp;":W"&amp;(ROW()-1)))))
)
)</f>
        <v>0</v>
      </c>
      <c r="X1531" s="55">
        <f t="shared" ca="1" si="280"/>
        <v>0</v>
      </c>
      <c r="Y1531" s="101">
        <f t="shared" ca="1" si="287"/>
        <v>0</v>
      </c>
      <c r="Z1531" s="133" t="str">
        <f>IF(TYPE((VLOOKUP(Первоначальный[[#This Row],[Дата платежа]],График[Срок конец],1,0)))=16,"",1)</f>
        <v/>
      </c>
      <c r="AA1531" s="57"/>
      <c r="AB1531" s="134"/>
      <c r="AC153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3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108574.42999999996</v>
      </c>
      <c r="AE153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10194.289999999974</v>
      </c>
      <c r="AF153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3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495639.74917868967</v>
      </c>
      <c r="AH1531" s="55"/>
      <c r="AI1531" s="55"/>
      <c r="AJ1531" s="55"/>
      <c r="AK1531" s="101">
        <f t="shared" ca="1" si="288"/>
        <v>764041.80917868961</v>
      </c>
      <c r="AL1531" s="129">
        <f t="array" ref="AL1531">MAX((УслРестрактов[Характеристика]="Дата реструктуризации")*(УслРестрактов[Значение]=Первоначальный!$A1531),0)</f>
        <v>0</v>
      </c>
    </row>
    <row r="1532" spans="1:38" x14ac:dyDescent="0.25">
      <c r="A1532" s="97">
        <f t="shared" si="281"/>
        <v>45663</v>
      </c>
      <c r="B1532" s="100">
        <f t="shared" ca="1" si="282"/>
        <v>149633.34</v>
      </c>
      <c r="C1532" s="55">
        <f t="shared" ca="1" si="278"/>
        <v>108574.42999999996</v>
      </c>
      <c r="D1532" s="55">
        <f t="shared" ca="1" si="278"/>
        <v>10194.289999999974</v>
      </c>
      <c r="E1532" s="55">
        <f t="shared" ca="1" si="283"/>
        <v>0</v>
      </c>
      <c r="F1532" s="55">
        <f t="shared" ca="1" si="284"/>
        <v>495639.74917868967</v>
      </c>
      <c r="G1532" s="101">
        <f t="shared" ca="1" si="285"/>
        <v>764041.80917868961</v>
      </c>
      <c r="H1532" s="100">
        <f ca="1">ROUND($B1532*VLOOKUP($A1532,$A$1:$B$10,2,1)/(365+IF(MOD(YEAR($A1532),4),0,1)*($A1532-$A1531)),2)-Первоначальный[[#This Row],[Проценты на просроченный платеж по ОД за период]]</f>
        <v>65.58</v>
      </c>
      <c r="I1532" s="55">
        <f t="shared" ca="1" si="286"/>
        <v>16</v>
      </c>
      <c r="J1532" s="55">
        <v>0</v>
      </c>
      <c r="K1532" s="55">
        <f t="shared" ca="1" si="289"/>
        <v>680.72850327868844</v>
      </c>
      <c r="L1532" s="55">
        <v>0</v>
      </c>
      <c r="M1532" s="113">
        <f>SUMIFS(График[Возврат основной суммы долга],График[Дата с учетом нерабочих дней],$A1532)</f>
        <v>0</v>
      </c>
      <c r="N1532" s="56">
        <f>SUMIFS(График[Возврат начисленных %],График[Дата с учетом нерабочих дней],$A1532)</f>
        <v>0</v>
      </c>
      <c r="O1532" s="101">
        <v>0</v>
      </c>
      <c r="P1532" s="100" cm="1">
        <f t="array" aca="1" ref="P1532" ca="1">MAX(IF(AA1531="Да",0,SUM(INDIRECT("M"&amp;(MAX(("Да"=AA$12:AA1531)*ROW(AA$12:AA1531)+1,ROW($P$12))&amp;":M"&amp;(ROW()))))-SUM(INDIRECT("W"&amp;(MAX(("Да"=AA$12:AA1531)*ROW(AA$12:AA1531)+1,ROW($P$12))&amp;":W"&amp;(ROW()))))),0)</f>
        <v>29344.699999999997</v>
      </c>
      <c r="Q1532" s="99">
        <f ca="1">MAX(SUM($N$13:N1532)-SUM($T$13:T1532),0)</f>
        <v>106801.00065573769</v>
      </c>
      <c r="R1532" s="99">
        <f ca="1">Первоначальный[[#This Row],[Просроченный платеж по ОД]]+Первоначальный[[#This Row],[Просроченный платеж по процентам]]</f>
        <v>136145.70065573769</v>
      </c>
      <c r="S1532" s="120">
        <f ca="1">IF(Первоначальный[[#This Row],[Просроченный платеж]]&lt;1,0,S1531+1)</f>
        <v>1428</v>
      </c>
      <c r="T1532" s="100" cm="1">
        <f t="array" aca="1" ref="T1532" ca="1">IF(Первоначальный[[#This Row],[Итого остаток на начало периода]]&lt;1,0,
IF(
AND(TYPE(VLOOKUP(1,$Z$12:Z1532,1,0))=16,Первоначальный[[#This Row],[Досрочное погашение (да/"")]]=""),0,
_xlfn.IFS(AND(S1531=0,Первоначальный[[#This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платеж]]&lt;&gt;0),MIN(LOOKUP(,-1/($Z$12:Z1532=1),$C$12:C1532)+LOOKUP(,-1/($Z$12:Z1532=1),$H$12:H1532),Первоначальный[[#This Row],[Полученный платеж]]+Y1531),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платеж]]+Y1531,SUM(Первоначальный[[#This Row],[Остаток процентов на начало периода]],Первоначальный[[#This Row],[Проценты за период]])),
AND(S1531=0,Первоначальный[[#This Row],[Дата платежа из графика]]=""),0,
AND(S1531=0,Первоначальный[[#This Row],[Дата платежа из графика]]=1,MAX((0&lt;&gt;S$12:S1531)*ROW(S$12:S1531),ROW($S$12))&gt;=MAX((1=Z$12:Z1531)*ROW(Z$12:Z1531),ROW($T$12)),TYPE(VLOOKUP("Да",(INDIRECT("AA"&amp;(MAX((1=Z$12:Z1531)*ROW(Z$12:Z1531),ROW($T$12))&amp;":AA"&amp;(ROW()-1)))),1,0))=16),MIN(LOOKUP(,-1/($Z$12:Z1532=1),$C$12:C1532)+LOOKUP(,-1/($Z$12:Z1532=1),$H$12:H1532),Первоначальный[[#This Row],[Полученный платеж]]+Y1531),
AND(S1531=0,TYPE(VLOOKUP("Да",(INDIRECT("AA"&amp;(MAX((1=Z$12:Z1531)*ROW(Z$12:Z1531),ROW($T$12))&amp;":AA"&amp;(ROW()-1)))),1,0))&lt;&gt;16),MIN(LOOKUP(,-1/($Z$12:Z1532=1),$C$12:C1532)+LOOKUP(,-1/($Z$12:Z1532=1),$H$12:H1532)-IF(AA1531="Да",0,SUM(INDIRECT("T"&amp;(MAX(("Да"=AA$12:AA1531)*ROW(AA$12:AA1531)+1,ROW($T$12))&amp;":T"&amp;(ROW()-1))))),Первоначальный[[#This Row],[Полученный платеж]]+Y1531),
AND(S1531=0,MAX((0&lt;&gt;N$12:N1531)*ROW(N$12:N1531),ROW($S$12))&gt;=MAX((1=Z$12:Z1531)*ROW(Z$12:Z1531),ROW($T$12))),MIN(LOOKUP(,-1/($Z$12:Z1532=1),$C$12:C1532)+LOOKUP(,-1/($Z$12:Z1532=1),$H$12:H1532)-IF(N1531&lt;&gt;0,0,SUM(INDIRECT("T"&amp;(MAX((0&lt;&gt;N$12:N1531)*ROW(N$12:N1531)+1,ROW($T$12))&amp;":T"&amp;(ROW()-1))))),Первоначальный[[#This Row],[Полученный платеж]]+Y1531),
AND(S1531=0,Первоначальный[[#This Row],[Дата платежа из графика]]=1),MIN(LOOKUP(,-1/($Z$12:Z1532=1),$C$12:C1532)+LOOKUP(,-1/($Z$12:Z1532=1),$H$12:H1532)-IF(Z1531=1,0,SUM(INDIRECT("T"&amp;(MAX((1=Z$12:Z1531)*ROW(Z$12:Z1531)+1,ROW($T$12))&amp;":T"&amp;(ROW()-1))))),Первоначальный[[#This Row],[Полученный платеж]]+Y1531),
AND(Z1531&gt;0,Первоначальный[[#This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платеж]]+Y1531),
AND(S1531&gt;0,MAX((0&lt;&gt;S$12:S1531)*ROW(S$12:S1531),ROW($S$12))&gt;=MAX((1=Z$12:Z1531)*ROW(Z$12:Z1531),ROW($T$12)),TYPE(VLOOKUP("Да",(INDIRECT("AA"&amp;(MAX((1=Z$12:Z1531)*ROW(Z$12:Z1531),ROW($T$12))&amp;":AA"&amp;(ROW()-1)))),1,0))=16),MIN(LOOKUP(,-1/($Z$12:Z1532=1),$C$12:C1532)+LOOKUP(,-1/($Z$12:Z1532=1),$H$12:H1532)-SUM(INDIRECT("T"&amp;(MAX((1=Z$12:Z1531)*ROW(Z$12:Z1531),ROW($T$12))&amp;":T"&amp;(ROW()-1)))),Первоначальный[[#This Row],[Полученный платеж]]+Y1531),
S1531&gt;0,MIN(LOOKUP(,-1/($Z$12:Z1532=1),$C$12:C1532)+LOOKUP(,-1/($Z$12:Z1532=1),$H$12:H1532)-IF(Z1531=1,0,SUM(INDIRECT("T"&amp;(MAX((1=Z$12:Z1531)*ROW(Z$12:Z1531)+1,ROW($T$12))&amp;":T"&amp;(ROW()-1))))),Первоначальный[[#This Row],[Полученный платеж]]+Y1531)
)
)
)</f>
        <v>0</v>
      </c>
      <c r="U153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платеж]]+Y1531-Первоначальный[[#This Row],[Полученный платёж по процентам]])</f>
        <v>0</v>
      </c>
      <c r="V1532" s="55">
        <f t="shared" ca="1" si="279"/>
        <v>0</v>
      </c>
      <c r="W1532" s="55" cm="1">
        <f t="array" aca="1" ref="W1532" ca="1">IF(Первоначальный[[#This Row],[Итого остаток на начало периода]]&lt;1,0,
_xlfn.IFS(
AND(TYPE(VLOOKUP(1,$Z$12:Z1532,1,0))=16,Первоначальный[[#This Row],[Досрочное погашение (да/"")]]=""),0,
AND(S1531=0,Первоначальный[[#This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платеж]]+Y1531-SUM(Первоначальный[[#This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комиссиям]]),VLOOKUP(LOOKUP(,-1/($Z$12:Z1532=1),$A$12:A1532),График[[Срок конец]:[Возврат основной суммы долга]],3,0)),
AND(S1531=0,Первоначальный[[#This Row],[Дата платежа из графика]]="",Первоначальный[[#This Row],[Досрочное погашение (да/"")]]&lt;&gt;"Да"),0,
AND(S1531=0,Первоначальный[[#This Row],[Досрочное погашение (да/"")]]=""),MIN(Первоначальный[[#This Row],[Полученный платеж]]+Y1531-SUM(Первоначальный[[#This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комиссиям]]),VLOOKUP(LOOKUP(,-1/($Z$12:Z1532=1),$A$12:A1532),График[[Срок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платеж]]+Y1531-SUM(Первоначальный[[#This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S1531&gt;0,MIN(Первоначальный[[#This Row],[Полученный платеж]]+Y1531-SUM(Первоначальный[[#This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комиссиям]]),SUM(INDIRECT("M"&amp;(MAX((1=S$12:S1531)*ROW(S$12:S1531),ROW($W$12))&amp;":M"&amp;(ROW()))))-SUM(INDIRECT("W"&amp;(MAX((1=S$12:S1531)*ROW(S$12:S1531),ROW($W$12))&amp;":W"&amp;(ROW()-1)))))
)
)</f>
        <v>0</v>
      </c>
      <c r="X1532" s="55">
        <f t="shared" ca="1" si="280"/>
        <v>0</v>
      </c>
      <c r="Y1532" s="101">
        <f t="shared" ca="1" si="287"/>
        <v>0</v>
      </c>
      <c r="Z1532" s="133" t="str">
        <f>IF(TYPE((VLOOKUP(Первоначальный[[#This Row],[Дата платежа]],График[Срок конец],1,0)))=16,"",1)</f>
        <v/>
      </c>
      <c r="AA1532" s="57"/>
      <c r="AB1532" s="134"/>
      <c r="AC153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3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108640.00999999997</v>
      </c>
      <c r="AE153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10210.289999999974</v>
      </c>
      <c r="AF153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3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496320.47768196836</v>
      </c>
      <c r="AH1532" s="55"/>
      <c r="AI1532" s="55"/>
      <c r="AJ1532" s="55"/>
      <c r="AK1532" s="101">
        <f t="shared" ca="1" si="288"/>
        <v>764804.11768196826</v>
      </c>
      <c r="AL1532" s="129">
        <f t="array" ref="AL1532">MAX((УслРестрактов[Характеристика]="Дата реструктуризации")*(УслРестрактов[Значение]=Первоначальный!$A1532),0)</f>
        <v>0</v>
      </c>
    </row>
    <row r="1533" spans="1:38" x14ac:dyDescent="0.25">
      <c r="A1533" s="97">
        <f t="shared" si="281"/>
        <v>45664</v>
      </c>
      <c r="B1533" s="100">
        <f t="shared" ca="1" si="282"/>
        <v>149633.34</v>
      </c>
      <c r="C1533" s="55">
        <f t="shared" ca="1" si="278"/>
        <v>108640.00999999997</v>
      </c>
      <c r="D1533" s="55">
        <f t="shared" ca="1" si="278"/>
        <v>10210.289999999974</v>
      </c>
      <c r="E1533" s="55">
        <f t="shared" ca="1" si="283"/>
        <v>0</v>
      </c>
      <c r="F1533" s="55">
        <f t="shared" ca="1" si="284"/>
        <v>496320.47768196836</v>
      </c>
      <c r="G1533" s="101">
        <f t="shared" ca="1" si="285"/>
        <v>764804.11768196826</v>
      </c>
      <c r="H1533" s="100">
        <f ca="1">ROUND($B1533*VLOOKUP($A1533,$A$1:$B$10,2,1)/(365+IF(MOD(YEAR($A1533),4),0,1)*($A1533-$A1532)),2)-Первоначальный[[#This Row],[Проценты на просроченный платеж по ОД за период]]</f>
        <v>65.58</v>
      </c>
      <c r="I1533" s="55">
        <f t="shared" ca="1" si="286"/>
        <v>16</v>
      </c>
      <c r="J1533" s="55">
        <v>0</v>
      </c>
      <c r="K1533" s="55">
        <f t="shared" ca="1" si="289"/>
        <v>680.72850327868844</v>
      </c>
      <c r="L1533" s="55">
        <v>0</v>
      </c>
      <c r="M1533" s="113">
        <f>SUMIFS(График[Возврат основной суммы долга],График[Дата с учетом нерабочих дней],$A1533)</f>
        <v>0</v>
      </c>
      <c r="N1533" s="56">
        <f>SUMIFS(График[Возврат начисленных %],График[Дата с учетом нерабочих дней],$A1533)</f>
        <v>0</v>
      </c>
      <c r="O1533" s="101">
        <v>0</v>
      </c>
      <c r="P1533" s="100" cm="1">
        <f t="array" aca="1" ref="P1533" ca="1">MAX(IF(AA1532="Да",0,SUM(INDIRECT("M"&amp;(MAX(("Да"=AA$12:AA1532)*ROW(AA$12:AA1532)+1,ROW($P$12))&amp;":M"&amp;(ROW()))))-SUM(INDIRECT("W"&amp;(MAX(("Да"=AA$12:AA1532)*ROW(AA$12:AA1532)+1,ROW($P$12))&amp;":W"&amp;(ROW()))))),0)</f>
        <v>29344.699999999997</v>
      </c>
      <c r="Q1533" s="99">
        <f ca="1">MAX(SUM($N$13:N1533)-SUM($T$13:T1533),0)</f>
        <v>106801.00065573769</v>
      </c>
      <c r="R1533" s="99">
        <f ca="1">Первоначальный[[#This Row],[Просроченный платеж по ОД]]+Первоначальный[[#This Row],[Просроченный платеж по процентам]]</f>
        <v>136145.70065573769</v>
      </c>
      <c r="S1533" s="120">
        <f ca="1">IF(Первоначальный[[#This Row],[Просроченный платеж]]&lt;1,0,S1532+1)</f>
        <v>1429</v>
      </c>
      <c r="T1533" s="100" cm="1">
        <f t="array" aca="1" ref="T1533" ca="1">IF(Первоначальный[[#This Row],[Итого остаток на начало периода]]&lt;1,0,
IF(
AND(TYPE(VLOOKUP(1,$Z$12:Z1533,1,0))=16,Первоначальный[[#This Row],[Досрочное погашение (да/"")]]=""),0,
_xlfn.IFS(AND(S1532=0,Первоначальный[[#This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платеж]]&lt;&gt;0),MIN(LOOKUP(,-1/($Z$12:Z1533=1),$C$12:C1533)+LOOKUP(,-1/($Z$12:Z1533=1),$H$12:H1533),Первоначальный[[#This Row],[Полученный платеж]]+Y1532),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платеж]]+Y1532,SUM(Первоначальный[[#This Row],[Остаток процентов на начало периода]],Первоначальный[[#This Row],[Проценты за период]])),
AND(S1532=0,Первоначальный[[#This Row],[Дата платежа из графика]]=""),0,
AND(S1532=0,Первоначальный[[#This Row],[Дата платежа из графика]]=1,MAX((0&lt;&gt;S$12:S1532)*ROW(S$12:S1532),ROW($S$12))&gt;=MAX((1=Z$12:Z1532)*ROW(Z$12:Z1532),ROW($T$12)),TYPE(VLOOKUP("Да",(INDIRECT("AA"&amp;(MAX((1=Z$12:Z1532)*ROW(Z$12:Z1532),ROW($T$12))&amp;":AA"&amp;(ROW()-1)))),1,0))=16),MIN(LOOKUP(,-1/($Z$12:Z1533=1),$C$12:C1533)+LOOKUP(,-1/($Z$12:Z1533=1),$H$12:H1533),Первоначальный[[#This Row],[Полученный платеж]]+Y1532),
AND(S1532=0,TYPE(VLOOKUP("Да",(INDIRECT("AA"&amp;(MAX((1=Z$12:Z1532)*ROW(Z$12:Z1532),ROW($T$12))&amp;":AA"&amp;(ROW()-1)))),1,0))&lt;&gt;16),MIN(LOOKUP(,-1/($Z$12:Z1533=1),$C$12:C1533)+LOOKUP(,-1/($Z$12:Z1533=1),$H$12:H1533)-IF(AA1532="Да",0,SUM(INDIRECT("T"&amp;(MAX(("Да"=AA$12:AA1532)*ROW(AA$12:AA1532)+1,ROW($T$12))&amp;":T"&amp;(ROW()-1))))),Первоначальный[[#This Row],[Полученный платеж]]+Y1532),
AND(S1532=0,MAX((0&lt;&gt;N$12:N1532)*ROW(N$12:N1532),ROW($S$12))&gt;=MAX((1=Z$12:Z1532)*ROW(Z$12:Z1532),ROW($T$12))),MIN(LOOKUP(,-1/($Z$12:Z1533=1),$C$12:C1533)+LOOKUP(,-1/($Z$12:Z1533=1),$H$12:H1533)-IF(N1532&lt;&gt;0,0,SUM(INDIRECT("T"&amp;(MAX((0&lt;&gt;N$12:N1532)*ROW(N$12:N1532)+1,ROW($T$12))&amp;":T"&amp;(ROW()-1))))),Первоначальный[[#This Row],[Полученный платеж]]+Y1532),
AND(S1532=0,Первоначальный[[#This Row],[Дата платежа из графика]]=1),MIN(LOOKUP(,-1/($Z$12:Z1533=1),$C$12:C1533)+LOOKUP(,-1/($Z$12:Z1533=1),$H$12:H1533)-IF(Z1532=1,0,SUM(INDIRECT("T"&amp;(MAX((1=Z$12:Z1532)*ROW(Z$12:Z1532)+1,ROW($T$12))&amp;":T"&amp;(ROW()-1))))),Первоначальный[[#This Row],[Полученный платеж]]+Y1532),
AND(Z1532&gt;0,Первоначальный[[#This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платеж]]+Y1532),
AND(S1532&gt;0,MAX((0&lt;&gt;S$12:S1532)*ROW(S$12:S1532),ROW($S$12))&gt;=MAX((1=Z$12:Z1532)*ROW(Z$12:Z1532),ROW($T$12)),TYPE(VLOOKUP("Да",(INDIRECT("AA"&amp;(MAX((1=Z$12:Z1532)*ROW(Z$12:Z1532),ROW($T$12))&amp;":AA"&amp;(ROW()-1)))),1,0))=16),MIN(LOOKUP(,-1/($Z$12:Z1533=1),$C$12:C1533)+LOOKUP(,-1/($Z$12:Z1533=1),$H$12:H1533)-SUM(INDIRECT("T"&amp;(MAX((1=Z$12:Z1532)*ROW(Z$12:Z1532),ROW($T$12))&amp;":T"&amp;(ROW()-1)))),Первоначальный[[#This Row],[Полученный платеж]]+Y1532),
S1532&gt;0,MIN(LOOKUP(,-1/($Z$12:Z1533=1),$C$12:C1533)+LOOKUP(,-1/($Z$12:Z1533=1),$H$12:H1533)-IF(Z1532=1,0,SUM(INDIRECT("T"&amp;(MAX((1=Z$12:Z1532)*ROW(Z$12:Z1532)+1,ROW($T$12))&amp;":T"&amp;(ROW()-1))))),Первоначальный[[#This Row],[Полученный платеж]]+Y1532)
)
)
)</f>
        <v>0</v>
      </c>
      <c r="U153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платеж]]+Y1532-Первоначальный[[#This Row],[Полученный платёж по процентам]])</f>
        <v>0</v>
      </c>
      <c r="V1533" s="55">
        <f t="shared" ca="1" si="279"/>
        <v>0</v>
      </c>
      <c r="W1533" s="55" cm="1">
        <f t="array" aca="1" ref="W1533" ca="1">IF(Первоначальный[[#This Row],[Итого остаток на начало периода]]&lt;1,0,
_xlfn.IFS(
AND(TYPE(VLOOKUP(1,$Z$12:Z1533,1,0))=16,Первоначальный[[#This Row],[Досрочное погашение (да/"")]]=""),0,
AND(S1532=0,Первоначальный[[#This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платеж]]+Y1532-SUM(Первоначальный[[#This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комиссиям]]),VLOOKUP(LOOKUP(,-1/($Z$12:Z1533=1),$A$12:A1533),График[[Срок конец]:[Возврат основной суммы долга]],3,0)),
AND(S1532=0,Первоначальный[[#This Row],[Дата платежа из графика]]="",Первоначальный[[#This Row],[Досрочное погашение (да/"")]]&lt;&gt;"Да"),0,
AND(S1532=0,Первоначальный[[#This Row],[Досрочное погашение (да/"")]]=""),MIN(Первоначальный[[#This Row],[Полученный платеж]]+Y1532-SUM(Первоначальный[[#This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комиссиям]]),VLOOKUP(LOOKUP(,-1/($Z$12:Z1533=1),$A$12:A1533),График[[Срок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платеж]]+Y1532-SUM(Первоначальный[[#This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S1532&gt;0,MIN(Первоначальный[[#This Row],[Полученный платеж]]+Y1532-SUM(Первоначальный[[#This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комиссиям]]),SUM(INDIRECT("M"&amp;(MAX((1=S$12:S1532)*ROW(S$12:S1532),ROW($W$12))&amp;":M"&amp;(ROW()))))-SUM(INDIRECT("W"&amp;(MAX((1=S$12:S1532)*ROW(S$12:S1532),ROW($W$12))&amp;":W"&amp;(ROW()-1)))))
)
)</f>
        <v>0</v>
      </c>
      <c r="X1533" s="55">
        <f t="shared" ca="1" si="280"/>
        <v>0</v>
      </c>
      <c r="Y1533" s="101">
        <f t="shared" ca="1" si="287"/>
        <v>0</v>
      </c>
      <c r="Z1533" s="133" t="str">
        <f>IF(TYPE((VLOOKUP(Первоначальный[[#This Row],[Дата платежа]],График[Срок конец],1,0)))=16,"",1)</f>
        <v/>
      </c>
      <c r="AA1533" s="57"/>
      <c r="AB1533" s="134"/>
      <c r="AC153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3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108705.58999999997</v>
      </c>
      <c r="AE153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10226.289999999974</v>
      </c>
      <c r="AF153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3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497001.20618524705</v>
      </c>
      <c r="AH1533" s="55"/>
      <c r="AI1533" s="55"/>
      <c r="AJ1533" s="55"/>
      <c r="AK1533" s="101">
        <f t="shared" ca="1" si="288"/>
        <v>765566.42618524702</v>
      </c>
      <c r="AL1533" s="129">
        <f t="array" ref="AL1533">MAX((УслРестрактов[Характеристика]="Дата реструктуризации")*(УслРестрактов[Значение]=Первоначальный!$A1533),0)</f>
        <v>0</v>
      </c>
    </row>
    <row r="1534" spans="1:38" x14ac:dyDescent="0.25">
      <c r="A1534" s="97">
        <f t="shared" si="281"/>
        <v>45665</v>
      </c>
      <c r="B1534" s="100">
        <f t="shared" ca="1" si="282"/>
        <v>149633.34</v>
      </c>
      <c r="C1534" s="55">
        <f t="shared" ca="1" si="278"/>
        <v>108705.58999999997</v>
      </c>
      <c r="D1534" s="55">
        <f t="shared" ca="1" si="278"/>
        <v>10226.289999999974</v>
      </c>
      <c r="E1534" s="55">
        <f t="shared" ca="1" si="283"/>
        <v>0</v>
      </c>
      <c r="F1534" s="55">
        <f t="shared" ca="1" si="284"/>
        <v>497001.20618524705</v>
      </c>
      <c r="G1534" s="101">
        <f t="shared" ca="1" si="285"/>
        <v>765566.42618524702</v>
      </c>
      <c r="H1534" s="100">
        <f ca="1">ROUND($B1534*VLOOKUP($A1534,$A$1:$B$10,2,1)/(365+IF(MOD(YEAR($A1534),4),0,1)*($A1534-$A1533)),2)-Первоначальный[[#This Row],[Проценты на просроченный платеж по ОД за период]]</f>
        <v>65.58</v>
      </c>
      <c r="I1534" s="55">
        <f t="shared" ca="1" si="286"/>
        <v>16</v>
      </c>
      <c r="J1534" s="55">
        <v>0</v>
      </c>
      <c r="K1534" s="55">
        <f t="shared" ca="1" si="289"/>
        <v>680.72850327868844</v>
      </c>
      <c r="L1534" s="55">
        <v>0</v>
      </c>
      <c r="M1534" s="113">
        <f>SUMIFS(График[Возврат основной суммы долга],График[Дата с учетом нерабочих дней],$A1534)</f>
        <v>0</v>
      </c>
      <c r="N1534" s="56">
        <f>SUMIFS(График[Возврат начисленных %],График[Дата с учетом нерабочих дней],$A1534)</f>
        <v>0</v>
      </c>
      <c r="O1534" s="101">
        <v>0</v>
      </c>
      <c r="P1534" s="100" cm="1">
        <f t="array" aca="1" ref="P1534" ca="1">MAX(IF(AA1533="Да",0,SUM(INDIRECT("M"&amp;(MAX(("Да"=AA$12:AA1533)*ROW(AA$12:AA1533)+1,ROW($P$12))&amp;":M"&amp;(ROW()))))-SUM(INDIRECT("W"&amp;(MAX(("Да"=AA$12:AA1533)*ROW(AA$12:AA1533)+1,ROW($P$12))&amp;":W"&amp;(ROW()))))),0)</f>
        <v>29344.699999999997</v>
      </c>
      <c r="Q1534" s="99">
        <f ca="1">MAX(SUM($N$13:N1534)-SUM($T$13:T1534),0)</f>
        <v>106801.00065573769</v>
      </c>
      <c r="R1534" s="99">
        <f ca="1">Первоначальный[[#This Row],[Просроченный платеж по ОД]]+Первоначальный[[#This Row],[Просроченный платеж по процентам]]</f>
        <v>136145.70065573769</v>
      </c>
      <c r="S1534" s="120">
        <f ca="1">IF(Первоначальный[[#This Row],[Просроченный платеж]]&lt;1,0,S1533+1)</f>
        <v>1430</v>
      </c>
      <c r="T1534" s="100" cm="1">
        <f t="array" aca="1" ref="T1534" ca="1">IF(Первоначальный[[#This Row],[Итого остаток на начало периода]]&lt;1,0,
IF(
AND(TYPE(VLOOKUP(1,$Z$12:Z1534,1,0))=16,Первоначальный[[#This Row],[Досрочное погашение (да/"")]]=""),0,
_xlfn.IFS(AND(S1533=0,Первоначальный[[#This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платеж]]&lt;&gt;0),MIN(LOOKUP(,-1/($Z$12:Z1534=1),$C$12:C1534)+LOOKUP(,-1/($Z$12:Z1534=1),$H$12:H1534),Первоначальный[[#This Row],[Полученный платеж]]+Y1533),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платеж]]+Y1533,SUM(Первоначальный[[#This Row],[Остаток процентов на начало периода]],Первоначальный[[#This Row],[Проценты за период]])),
AND(S1533=0,Первоначальный[[#This Row],[Дата платежа из графика]]=""),0,
AND(S1533=0,Первоначальный[[#This Row],[Дата платежа из графика]]=1,MAX((0&lt;&gt;S$12:S1533)*ROW(S$12:S1533),ROW($S$12))&gt;=MAX((1=Z$12:Z1533)*ROW(Z$12:Z1533),ROW($T$12)),TYPE(VLOOKUP("Да",(INDIRECT("AA"&amp;(MAX((1=Z$12:Z1533)*ROW(Z$12:Z1533),ROW($T$12))&amp;":AA"&amp;(ROW()-1)))),1,0))=16),MIN(LOOKUP(,-1/($Z$12:Z1534=1),$C$12:C1534)+LOOKUP(,-1/($Z$12:Z1534=1),$H$12:H1534),Первоначальный[[#This Row],[Полученный платеж]]+Y1533),
AND(S1533=0,TYPE(VLOOKUP("Да",(INDIRECT("AA"&amp;(MAX((1=Z$12:Z1533)*ROW(Z$12:Z1533),ROW($T$12))&amp;":AA"&amp;(ROW()-1)))),1,0))&lt;&gt;16),MIN(LOOKUP(,-1/($Z$12:Z1534=1),$C$12:C1534)+LOOKUP(,-1/($Z$12:Z1534=1),$H$12:H1534)-IF(AA1533="Да",0,SUM(INDIRECT("T"&amp;(MAX(("Да"=AA$12:AA1533)*ROW(AA$12:AA1533)+1,ROW($T$12))&amp;":T"&amp;(ROW()-1))))),Первоначальный[[#This Row],[Полученный платеж]]+Y1533),
AND(S1533=0,MAX((0&lt;&gt;N$12:N1533)*ROW(N$12:N1533),ROW($S$12))&gt;=MAX((1=Z$12:Z1533)*ROW(Z$12:Z1533),ROW($T$12))),MIN(LOOKUP(,-1/($Z$12:Z1534=1),$C$12:C1534)+LOOKUP(,-1/($Z$12:Z1534=1),$H$12:H1534)-IF(N1533&lt;&gt;0,0,SUM(INDIRECT("T"&amp;(MAX((0&lt;&gt;N$12:N1533)*ROW(N$12:N1533)+1,ROW($T$12))&amp;":T"&amp;(ROW()-1))))),Первоначальный[[#This Row],[Полученный платеж]]+Y1533),
AND(S1533=0,Первоначальный[[#This Row],[Дата платежа из графика]]=1),MIN(LOOKUP(,-1/($Z$12:Z1534=1),$C$12:C1534)+LOOKUP(,-1/($Z$12:Z1534=1),$H$12:H1534)-IF(Z1533=1,0,SUM(INDIRECT("T"&amp;(MAX((1=Z$12:Z1533)*ROW(Z$12:Z1533)+1,ROW($T$12))&amp;":T"&amp;(ROW()-1))))),Первоначальный[[#This Row],[Полученный платеж]]+Y1533),
AND(Z1533&gt;0,Первоначальный[[#This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платеж]]+Y1533),
AND(S1533&gt;0,MAX((0&lt;&gt;S$12:S1533)*ROW(S$12:S1533),ROW($S$12))&gt;=MAX((1=Z$12:Z1533)*ROW(Z$12:Z1533),ROW($T$12)),TYPE(VLOOKUP("Да",(INDIRECT("AA"&amp;(MAX((1=Z$12:Z1533)*ROW(Z$12:Z1533),ROW($T$12))&amp;":AA"&amp;(ROW()-1)))),1,0))=16),MIN(LOOKUP(,-1/($Z$12:Z1534=1),$C$12:C1534)+LOOKUP(,-1/($Z$12:Z1534=1),$H$12:H1534)-SUM(INDIRECT("T"&amp;(MAX((1=Z$12:Z1533)*ROW(Z$12:Z1533),ROW($T$12))&amp;":T"&amp;(ROW()-1)))),Первоначальный[[#This Row],[Полученный платеж]]+Y1533),
S1533&gt;0,MIN(LOOKUP(,-1/($Z$12:Z1534=1),$C$12:C1534)+LOOKUP(,-1/($Z$12:Z1534=1),$H$12:H1534)-IF(Z1533=1,0,SUM(INDIRECT("T"&amp;(MAX((1=Z$12:Z1533)*ROW(Z$12:Z1533)+1,ROW($T$12))&amp;":T"&amp;(ROW()-1))))),Первоначальный[[#This Row],[Полученный платеж]]+Y1533)
)
)
)</f>
        <v>0</v>
      </c>
      <c r="U153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платеж]]+Y1533-Первоначальный[[#This Row],[Полученный платёж по процентам]])</f>
        <v>0</v>
      </c>
      <c r="V1534" s="55">
        <f t="shared" ca="1" si="279"/>
        <v>0</v>
      </c>
      <c r="W1534" s="55" cm="1">
        <f t="array" aca="1" ref="W1534" ca="1">IF(Первоначальный[[#This Row],[Итого остаток на начало периода]]&lt;1,0,
_xlfn.IFS(
AND(TYPE(VLOOKUP(1,$Z$12:Z1534,1,0))=16,Первоначальный[[#This Row],[Досрочное погашение (да/"")]]=""),0,
AND(S1533=0,Первоначальный[[#This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платеж]]+Y1533-SUM(Первоначальный[[#This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комиссиям]]),VLOOKUP(LOOKUP(,-1/($Z$12:Z1534=1),$A$12:A1534),График[[Срок конец]:[Возврат основной суммы долга]],3,0)),
AND(S1533=0,Первоначальный[[#This Row],[Дата платежа из графика]]="",Первоначальный[[#This Row],[Досрочное погашение (да/"")]]&lt;&gt;"Да"),0,
AND(S1533=0,Первоначальный[[#This Row],[Досрочное погашение (да/"")]]=""),MIN(Первоначальный[[#This Row],[Полученный платеж]]+Y1533-SUM(Первоначальный[[#This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комиссиям]]),VLOOKUP(LOOKUP(,-1/($Z$12:Z1534=1),$A$12:A1534),График[[Срок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платеж]]+Y1533-SUM(Первоначальный[[#This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S1533&gt;0,MIN(Первоначальный[[#This Row],[Полученный платеж]]+Y1533-SUM(Первоначальный[[#This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комиссиям]]),SUM(INDIRECT("M"&amp;(MAX((1=S$12:S1533)*ROW(S$12:S1533),ROW($W$12))&amp;":M"&amp;(ROW()))))-SUM(INDIRECT("W"&amp;(MAX((1=S$12:S1533)*ROW(S$12:S1533),ROW($W$12))&amp;":W"&amp;(ROW()-1)))))
)
)</f>
        <v>0</v>
      </c>
      <c r="X1534" s="55">
        <f t="shared" ca="1" si="280"/>
        <v>0</v>
      </c>
      <c r="Y1534" s="101">
        <f t="shared" ca="1" si="287"/>
        <v>0</v>
      </c>
      <c r="Z1534" s="133" t="str">
        <f>IF(TYPE((VLOOKUP(Первоначальный[[#This Row],[Дата платежа]],График[Срок конец],1,0)))=16,"",1)</f>
        <v/>
      </c>
      <c r="AA1534" s="57"/>
      <c r="AB1534" s="134"/>
      <c r="AC153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3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108771.16999999997</v>
      </c>
      <c r="AE153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10242.289999999974</v>
      </c>
      <c r="AF153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3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497681.93468852574</v>
      </c>
      <c r="AH1534" s="55"/>
      <c r="AI1534" s="55"/>
      <c r="AJ1534" s="55"/>
      <c r="AK1534" s="101">
        <f t="shared" ca="1" si="288"/>
        <v>766328.73468852567</v>
      </c>
      <c r="AL1534" s="129">
        <f t="array" ref="AL1534">MAX((УслРестрактов[Характеристика]="Дата реструктуризации")*(УслРестрактов[Значение]=Первоначальный!$A1534),0)</f>
        <v>0</v>
      </c>
    </row>
    <row r="1535" spans="1:38" x14ac:dyDescent="0.25">
      <c r="A1535" s="97">
        <f t="shared" si="281"/>
        <v>45666</v>
      </c>
      <c r="B1535" s="100">
        <f t="shared" ca="1" si="282"/>
        <v>149633.34</v>
      </c>
      <c r="C1535" s="55">
        <f t="shared" ca="1" si="278"/>
        <v>108771.16999999997</v>
      </c>
      <c r="D1535" s="55">
        <f t="shared" ca="1" si="278"/>
        <v>10242.289999999974</v>
      </c>
      <c r="E1535" s="55">
        <f t="shared" ca="1" si="283"/>
        <v>0</v>
      </c>
      <c r="F1535" s="55">
        <f t="shared" ca="1" si="284"/>
        <v>497681.93468852574</v>
      </c>
      <c r="G1535" s="101">
        <f t="shared" ca="1" si="285"/>
        <v>766328.73468852567</v>
      </c>
      <c r="H1535" s="100">
        <f ca="1">ROUND($B1535*VLOOKUP($A1535,$A$1:$B$10,2,1)/(365+IF(MOD(YEAR($A1535),4),0,1)*($A1535-$A1534)),2)-Первоначальный[[#This Row],[Проценты на просроченный платеж по ОД за период]]</f>
        <v>65.58</v>
      </c>
      <c r="I1535" s="55">
        <f t="shared" ca="1" si="286"/>
        <v>16</v>
      </c>
      <c r="J1535" s="55">
        <v>0</v>
      </c>
      <c r="K1535" s="55">
        <f t="shared" ca="1" si="289"/>
        <v>695.21350327868845</v>
      </c>
      <c r="L1535" s="55">
        <v>0</v>
      </c>
      <c r="M1535" s="113">
        <f>SUMIFS(График[Возврат основной суммы долга],График[Дата с учетом нерабочих дней],$A1535)</f>
        <v>867.90000000000009</v>
      </c>
      <c r="N1535" s="56">
        <f>SUMIFS(График[Возврат начисленных %],График[Дата с учетом нерабочих дней],$A1535)</f>
        <v>2029.1</v>
      </c>
      <c r="O1535" s="101">
        <v>0</v>
      </c>
      <c r="P1535" s="100" cm="1">
        <f t="array" aca="1" ref="P1535" ca="1">MAX(IF(AA1534="Да",0,SUM(INDIRECT("M"&amp;(MAX(("Да"=AA$12:AA1534)*ROW(AA$12:AA1534)+1,ROW($P$12))&amp;":M"&amp;(ROW()))))-SUM(INDIRECT("W"&amp;(MAX(("Да"=AA$12:AA1534)*ROW(AA$12:AA1534)+1,ROW($P$12))&amp;":W"&amp;(ROW()))))),0)</f>
        <v>30212.6</v>
      </c>
      <c r="Q1535" s="99">
        <f ca="1">MAX(SUM($N$13:N1535)-SUM($T$13:T1535),0)</f>
        <v>108830.1006557377</v>
      </c>
      <c r="R1535" s="99">
        <f ca="1">Первоначальный[[#This Row],[Просроченный платеж по ОД]]+Первоначальный[[#This Row],[Просроченный платеж по процентам]]</f>
        <v>139042.70065573769</v>
      </c>
      <c r="S1535" s="120">
        <f ca="1">IF(Первоначальный[[#This Row],[Просроченный платеж]]&lt;1,0,S1534+1)</f>
        <v>1431</v>
      </c>
      <c r="T1535" s="100" cm="1">
        <f t="array" aca="1" ref="T1535" ca="1">IF(Первоначальный[[#This Row],[Итого остаток на начало периода]]&lt;1,0,
IF(
AND(TYPE(VLOOKUP(1,$Z$12:Z1535,1,0))=16,Первоначальный[[#This Row],[Досрочное погашение (да/"")]]=""),0,
_xlfn.IFS(AND(S1534=0,Первоначальный[[#This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платеж]]&lt;&gt;0),MIN(LOOKUP(,-1/($Z$12:Z1535=1),$C$12:C1535)+LOOKUP(,-1/($Z$12:Z1535=1),$H$12:H1535),Первоначальный[[#This Row],[Полученный платеж]]+Y1534),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платеж]]+Y1534,SUM(Первоначальный[[#This Row],[Остаток процентов на начало периода]],Первоначальный[[#This Row],[Проценты за период]])),
AND(S1534=0,Первоначальный[[#This Row],[Дата платежа из графика]]=""),0,
AND(S1534=0,Первоначальный[[#This Row],[Дата платежа из графика]]=1,MAX((0&lt;&gt;S$12:S1534)*ROW(S$12:S1534),ROW($S$12))&gt;=MAX((1=Z$12:Z1534)*ROW(Z$12:Z1534),ROW($T$12)),TYPE(VLOOKUP("Да",(INDIRECT("AA"&amp;(MAX((1=Z$12:Z1534)*ROW(Z$12:Z1534),ROW($T$12))&amp;":AA"&amp;(ROW()-1)))),1,0))=16),MIN(LOOKUP(,-1/($Z$12:Z1535=1),$C$12:C1535)+LOOKUP(,-1/($Z$12:Z1535=1),$H$12:H1535),Первоначальный[[#This Row],[Полученный платеж]]+Y1534),
AND(S1534=0,TYPE(VLOOKUP("Да",(INDIRECT("AA"&amp;(MAX((1=Z$12:Z1534)*ROW(Z$12:Z1534),ROW($T$12))&amp;":AA"&amp;(ROW()-1)))),1,0))&lt;&gt;16),MIN(LOOKUP(,-1/($Z$12:Z1535=1),$C$12:C1535)+LOOKUP(,-1/($Z$12:Z1535=1),$H$12:H1535)-IF(AA1534="Да",0,SUM(INDIRECT("T"&amp;(MAX(("Да"=AA$12:AA1534)*ROW(AA$12:AA1534)+1,ROW($T$12))&amp;":T"&amp;(ROW()-1))))),Первоначальный[[#This Row],[Полученный платеж]]+Y1534),
AND(S1534=0,MAX((0&lt;&gt;N$12:N1534)*ROW(N$12:N1534),ROW($S$12))&gt;=MAX((1=Z$12:Z1534)*ROW(Z$12:Z1534),ROW($T$12))),MIN(LOOKUP(,-1/($Z$12:Z1535=1),$C$12:C1535)+LOOKUP(,-1/($Z$12:Z1535=1),$H$12:H1535)-IF(N1534&lt;&gt;0,0,SUM(INDIRECT("T"&amp;(MAX((0&lt;&gt;N$12:N1534)*ROW(N$12:N1534)+1,ROW($T$12))&amp;":T"&amp;(ROW()-1))))),Первоначальный[[#This Row],[Полученный платеж]]+Y1534),
AND(S1534=0,Первоначальный[[#This Row],[Дата платежа из графика]]=1),MIN(LOOKUP(,-1/($Z$12:Z1535=1),$C$12:C1535)+LOOKUP(,-1/($Z$12:Z1535=1),$H$12:H1535)-IF(Z1534=1,0,SUM(INDIRECT("T"&amp;(MAX((1=Z$12:Z1534)*ROW(Z$12:Z1534)+1,ROW($T$12))&amp;":T"&amp;(ROW()-1))))),Первоначальный[[#This Row],[Полученный платеж]]+Y1534),
AND(Z1534&gt;0,Первоначальный[[#This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платеж]]+Y1534),
AND(S1534&gt;0,MAX((0&lt;&gt;S$12:S1534)*ROW(S$12:S1534),ROW($S$12))&gt;=MAX((1=Z$12:Z1534)*ROW(Z$12:Z1534),ROW($T$12)),TYPE(VLOOKUP("Да",(INDIRECT("AA"&amp;(MAX((1=Z$12:Z1534)*ROW(Z$12:Z1534),ROW($T$12))&amp;":AA"&amp;(ROW()-1)))),1,0))=16),MIN(LOOKUP(,-1/($Z$12:Z1535=1),$C$12:C1535)+LOOKUP(,-1/($Z$12:Z1535=1),$H$12:H1535)-SUM(INDIRECT("T"&amp;(MAX((1=Z$12:Z1534)*ROW(Z$12:Z1534),ROW($T$12))&amp;":T"&amp;(ROW()-1)))),Первоначальный[[#This Row],[Полученный платеж]]+Y1534),
S1534&gt;0,MIN(LOOKUP(,-1/($Z$12:Z1535=1),$C$12:C1535)+LOOKUP(,-1/($Z$12:Z1535=1),$H$12:H1535)-IF(Z1534=1,0,SUM(INDIRECT("T"&amp;(MAX((1=Z$12:Z1534)*ROW(Z$12:Z1534)+1,ROW($T$12))&amp;":T"&amp;(ROW()-1))))),Первоначальный[[#This Row],[Полученный платеж]]+Y1534)
)
)
)</f>
        <v>0</v>
      </c>
      <c r="U153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платеж]]+Y1534-Первоначальный[[#This Row],[Полученный платёж по процентам]])</f>
        <v>0</v>
      </c>
      <c r="V1535" s="55">
        <f t="shared" ca="1" si="279"/>
        <v>0</v>
      </c>
      <c r="W1535" s="55" cm="1">
        <f t="array" aca="1" ref="W1535" ca="1">IF(Первоначальный[[#This Row],[Итого остаток на начало периода]]&lt;1,0,
_xlfn.IFS(
AND(TYPE(VLOOKUP(1,$Z$12:Z1535,1,0))=16,Первоначальный[[#This Row],[Досрочное погашение (да/"")]]=""),0,
AND(S1534=0,Первоначальный[[#This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платеж]]+Y1534-SUM(Первоначальный[[#This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комиссиям]]),VLOOKUP(LOOKUP(,-1/($Z$12:Z1535=1),$A$12:A1535),График[[Срок конец]:[Возврат основной суммы долга]],3,0)),
AND(S1534=0,Первоначальный[[#This Row],[Дата платежа из графика]]="",Первоначальный[[#This Row],[Досрочное погашение (да/"")]]&lt;&gt;"Да"),0,
AND(S1534=0,Первоначальный[[#This Row],[Досрочное погашение (да/"")]]=""),MIN(Первоначальный[[#This Row],[Полученный платеж]]+Y1534-SUM(Первоначальный[[#This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комиссиям]]),VLOOKUP(LOOKUP(,-1/($Z$12:Z1535=1),$A$12:A1535),График[[Срок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платеж]]+Y1534-SUM(Первоначальный[[#This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S1534&gt;0,MIN(Первоначальный[[#This Row],[Полученный платеж]]+Y1534-SUM(Первоначальный[[#This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комиссиям]]),SUM(INDIRECT("M"&amp;(MAX((1=S$12:S1534)*ROW(S$12:S1534),ROW($W$12))&amp;":M"&amp;(ROW()))))-SUM(INDIRECT("W"&amp;(MAX((1=S$12:S1534)*ROW(S$12:S1534),ROW($W$12))&amp;":W"&amp;(ROW()-1)))))
)
)</f>
        <v>0</v>
      </c>
      <c r="X1535" s="55">
        <f t="shared" ca="1" si="280"/>
        <v>0</v>
      </c>
      <c r="Y1535" s="101">
        <f t="shared" ca="1" si="287"/>
        <v>0</v>
      </c>
      <c r="Z1535" s="133">
        <f>IF(TYPE((VLOOKUP(Первоначальный[[#This Row],[Дата платежа]],График[Срок конец],1,0)))=16,"",1)</f>
        <v>1</v>
      </c>
      <c r="AA1535" s="57"/>
      <c r="AB1535" s="134"/>
      <c r="AC153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3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108836.74999999997</v>
      </c>
      <c r="AE153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10258.289999999974</v>
      </c>
      <c r="AF153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3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498377.14819180442</v>
      </c>
      <c r="AH1535" s="55"/>
      <c r="AI1535" s="55"/>
      <c r="AJ1535" s="55"/>
      <c r="AK1535" s="101">
        <f t="shared" ca="1" si="288"/>
        <v>767105.52819180442</v>
      </c>
      <c r="AL1535" s="129">
        <f t="array" ref="AL1535">MAX((УслРестрактов[Характеристика]="Дата реструктуризации")*(УслРестрактов[Значение]=Первоначальный!$A1535),0)</f>
        <v>0</v>
      </c>
    </row>
    <row r="1536" spans="1:38" x14ac:dyDescent="0.25">
      <c r="A1536" s="97">
        <f t="shared" si="281"/>
        <v>45667</v>
      </c>
      <c r="B1536" s="100">
        <f t="shared" ca="1" si="282"/>
        <v>149633.34</v>
      </c>
      <c r="C1536" s="55">
        <f t="shared" ca="1" si="278"/>
        <v>108836.74999999997</v>
      </c>
      <c r="D1536" s="55">
        <f t="shared" ca="1" si="278"/>
        <v>10258.289999999974</v>
      </c>
      <c r="E1536" s="55">
        <f t="shared" ca="1" si="283"/>
        <v>0</v>
      </c>
      <c r="F1536" s="55">
        <f t="shared" ca="1" si="284"/>
        <v>498377.14819180442</v>
      </c>
      <c r="G1536" s="101">
        <f t="shared" ca="1" si="285"/>
        <v>767105.52819180442</v>
      </c>
      <c r="H1536" s="100">
        <f ca="1">ROUND($B1536*VLOOKUP($A1536,$A$1:$B$10,2,1)/(365+IF(MOD(YEAR($A1536),4),0,1)*($A1536-$A1535)),2)-Первоначальный[[#This Row],[Проценты на просроченный платеж по ОД за период]]</f>
        <v>65.11</v>
      </c>
      <c r="I1536" s="55">
        <f t="shared" ca="1" si="286"/>
        <v>16.47</v>
      </c>
      <c r="J1536" s="55">
        <v>0</v>
      </c>
      <c r="K1536" s="55">
        <f t="shared" ca="1" si="289"/>
        <v>695.21350327868845</v>
      </c>
      <c r="L1536" s="55">
        <v>0</v>
      </c>
      <c r="M1536" s="113">
        <f>SUMIFS(График[Возврат основной суммы долга],График[Дата с учетом нерабочих дней],$A1536)</f>
        <v>0</v>
      </c>
      <c r="N1536" s="56">
        <f>SUMIFS(График[Возврат начисленных %],График[Дата с учетом нерабочих дней],$A1536)</f>
        <v>0</v>
      </c>
      <c r="O1536" s="101">
        <v>0</v>
      </c>
      <c r="P1536" s="100" cm="1">
        <f t="array" aca="1" ref="P1536" ca="1">MAX(IF(AA1535="Да",0,SUM(INDIRECT("M"&amp;(MAX(("Да"=AA$12:AA1535)*ROW(AA$12:AA1535)+1,ROW($P$12))&amp;":M"&amp;(ROW()))))-SUM(INDIRECT("W"&amp;(MAX(("Да"=AA$12:AA1535)*ROW(AA$12:AA1535)+1,ROW($P$12))&amp;":W"&amp;(ROW()))))),0)</f>
        <v>30212.6</v>
      </c>
      <c r="Q1536" s="99">
        <f ca="1">MAX(SUM($N$13:N1536)-SUM($T$13:T1536),0)</f>
        <v>108830.1006557377</v>
      </c>
      <c r="R1536" s="99">
        <f ca="1">Первоначальный[[#This Row],[Просроченный платеж по ОД]]+Первоначальный[[#This Row],[Просроченный платеж по процентам]]</f>
        <v>139042.70065573769</v>
      </c>
      <c r="S1536" s="120">
        <f ca="1">IF(Первоначальный[[#This Row],[Просроченный платеж]]&lt;1,0,S1535+1)</f>
        <v>1432</v>
      </c>
      <c r="T1536" s="100" cm="1">
        <f t="array" aca="1" ref="T1536" ca="1">IF(Первоначальный[[#This Row],[Итого остаток на начало периода]]&lt;1,0,
IF(
AND(TYPE(VLOOKUP(1,$Z$12:Z1536,1,0))=16,Первоначальный[[#This Row],[Досрочное погашение (да/"")]]=""),0,
_xlfn.IFS(AND(S1535=0,Первоначальный[[#This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платеж]]&lt;&gt;0),MIN(LOOKUP(,-1/($Z$12:Z1536=1),$C$12:C1536)+LOOKUP(,-1/($Z$12:Z1536=1),$H$12:H1536),Первоначальный[[#This Row],[Полученный платеж]]+Y1535),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платеж]]+Y1535,SUM(Первоначальный[[#This Row],[Остаток процентов на начало периода]],Первоначальный[[#This Row],[Проценты за период]])),
AND(S1535=0,Первоначальный[[#This Row],[Дата платежа из графика]]=""),0,
AND(S1535=0,Первоначальный[[#This Row],[Дата платежа из графика]]=1,MAX((0&lt;&gt;S$12:S1535)*ROW(S$12:S1535),ROW($S$12))&gt;=MAX((1=Z$12:Z1535)*ROW(Z$12:Z1535),ROW($T$12)),TYPE(VLOOKUP("Да",(INDIRECT("AA"&amp;(MAX((1=Z$12:Z1535)*ROW(Z$12:Z1535),ROW($T$12))&amp;":AA"&amp;(ROW()-1)))),1,0))=16),MIN(LOOKUP(,-1/($Z$12:Z1536=1),$C$12:C1536)+LOOKUP(,-1/($Z$12:Z1536=1),$H$12:H1536),Первоначальный[[#This Row],[Полученный платеж]]+Y1535),
AND(S1535=0,TYPE(VLOOKUP("Да",(INDIRECT("AA"&amp;(MAX((1=Z$12:Z1535)*ROW(Z$12:Z1535),ROW($T$12))&amp;":AA"&amp;(ROW()-1)))),1,0))&lt;&gt;16),MIN(LOOKUP(,-1/($Z$12:Z1536=1),$C$12:C1536)+LOOKUP(,-1/($Z$12:Z1536=1),$H$12:H1536)-IF(AA1535="Да",0,SUM(INDIRECT("T"&amp;(MAX(("Да"=AA$12:AA1535)*ROW(AA$12:AA1535)+1,ROW($T$12))&amp;":T"&amp;(ROW()-1))))),Первоначальный[[#This Row],[Полученный платеж]]+Y1535),
AND(S1535=0,MAX((0&lt;&gt;N$12:N1535)*ROW(N$12:N1535),ROW($S$12))&gt;=MAX((1=Z$12:Z1535)*ROW(Z$12:Z1535),ROW($T$12))),MIN(LOOKUP(,-1/($Z$12:Z1536=1),$C$12:C1536)+LOOKUP(,-1/($Z$12:Z1536=1),$H$12:H1536)-IF(N1535&lt;&gt;0,0,SUM(INDIRECT("T"&amp;(MAX((0&lt;&gt;N$12:N1535)*ROW(N$12:N1535)+1,ROW($T$12))&amp;":T"&amp;(ROW()-1))))),Первоначальный[[#This Row],[Полученный платеж]]+Y1535),
AND(S1535=0,Первоначальный[[#This Row],[Дата платежа из графика]]=1),MIN(LOOKUP(,-1/($Z$12:Z1536=1),$C$12:C1536)+LOOKUP(,-1/($Z$12:Z1536=1),$H$12:H1536)-IF(Z1535=1,0,SUM(INDIRECT("T"&amp;(MAX((1=Z$12:Z1535)*ROW(Z$12:Z1535)+1,ROW($T$12))&amp;":T"&amp;(ROW()-1))))),Первоначальный[[#This Row],[Полученный платеж]]+Y1535),
AND(Z1535&gt;0,Первоначальный[[#This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платеж]]+Y1535),
AND(S1535&gt;0,MAX((0&lt;&gt;S$12:S1535)*ROW(S$12:S1535),ROW($S$12))&gt;=MAX((1=Z$12:Z1535)*ROW(Z$12:Z1535),ROW($T$12)),TYPE(VLOOKUP("Да",(INDIRECT("AA"&amp;(MAX((1=Z$12:Z1535)*ROW(Z$12:Z1535),ROW($T$12))&amp;":AA"&amp;(ROW()-1)))),1,0))=16),MIN(LOOKUP(,-1/($Z$12:Z1536=1),$C$12:C1536)+LOOKUP(,-1/($Z$12:Z1536=1),$H$12:H1536)-SUM(INDIRECT("T"&amp;(MAX((1=Z$12:Z1535)*ROW(Z$12:Z1535),ROW($T$12))&amp;":T"&amp;(ROW()-1)))),Первоначальный[[#This Row],[Полученный платеж]]+Y1535),
S1535&gt;0,MIN(LOOKUP(,-1/($Z$12:Z1536=1),$C$12:C1536)+LOOKUP(,-1/($Z$12:Z1536=1),$H$12:H1536)-IF(Z1535=1,0,SUM(INDIRECT("T"&amp;(MAX((1=Z$12:Z1535)*ROW(Z$12:Z1535)+1,ROW($T$12))&amp;":T"&amp;(ROW()-1))))),Первоначальный[[#This Row],[Полученный платеж]]+Y1535)
)
)
)</f>
        <v>0</v>
      </c>
      <c r="U153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платеж]]+Y1535-Первоначальный[[#This Row],[Полученный платёж по процентам]])</f>
        <v>0</v>
      </c>
      <c r="V1536" s="55">
        <f t="shared" ca="1" si="279"/>
        <v>0</v>
      </c>
      <c r="W1536" s="55" cm="1">
        <f t="array" aca="1" ref="W1536" ca="1">IF(Первоначальный[[#This Row],[Итого остаток на начало периода]]&lt;1,0,
_xlfn.IFS(
AND(TYPE(VLOOKUP(1,$Z$12:Z1536,1,0))=16,Первоначальный[[#This Row],[Досрочное погашение (да/"")]]=""),0,
AND(S1535=0,Первоначальный[[#This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платеж]]+Y1535-SUM(Первоначальный[[#This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комиссиям]]),VLOOKUP(LOOKUP(,-1/($Z$12:Z1536=1),$A$12:A1536),График[[Срок конец]:[Возврат основной суммы долга]],3,0)),
AND(S1535=0,Первоначальный[[#This Row],[Дата платежа из графика]]="",Первоначальный[[#This Row],[Досрочное погашение (да/"")]]&lt;&gt;"Да"),0,
AND(S1535=0,Первоначальный[[#This Row],[Досрочное погашение (да/"")]]=""),MIN(Первоначальный[[#This Row],[Полученный платеж]]+Y1535-SUM(Первоначальный[[#This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комиссиям]]),VLOOKUP(LOOKUP(,-1/($Z$12:Z1536=1),$A$12:A1536),График[[Срок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платеж]]+Y1535-SUM(Первоначальный[[#This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S1535&gt;0,MIN(Первоначальный[[#This Row],[Полученный платеж]]+Y1535-SUM(Первоначальный[[#This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комиссиям]]),SUM(INDIRECT("M"&amp;(MAX((1=S$12:S1535)*ROW(S$12:S1535),ROW($W$12))&amp;":M"&amp;(ROW()))))-SUM(INDIRECT("W"&amp;(MAX((1=S$12:S1535)*ROW(S$12:S1535),ROW($W$12))&amp;":W"&amp;(ROW()-1)))))
)
)</f>
        <v>0</v>
      </c>
      <c r="X1536" s="55">
        <f t="shared" ca="1" si="280"/>
        <v>0</v>
      </c>
      <c r="Y1536" s="101">
        <f t="shared" ca="1" si="287"/>
        <v>0</v>
      </c>
      <c r="Z1536" s="133" t="str">
        <f>IF(TYPE((VLOOKUP(Первоначальный[[#This Row],[Дата платежа]],График[Срок конец],1,0)))=16,"",1)</f>
        <v/>
      </c>
      <c r="AA1536" s="57"/>
      <c r="AB1536" s="134"/>
      <c r="AC153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3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108901.85999999997</v>
      </c>
      <c r="AE153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10274.759999999973</v>
      </c>
      <c r="AF153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3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499072.36169508309</v>
      </c>
      <c r="AH1536" s="55"/>
      <c r="AI1536" s="55"/>
      <c r="AJ1536" s="55"/>
      <c r="AK1536" s="101">
        <f t="shared" ca="1" si="288"/>
        <v>767882.32169508305</v>
      </c>
      <c r="AL1536" s="129">
        <f t="array" ref="AL1536">MAX((УслРестрактов[Характеристика]="Дата реструктуризации")*(УслРестрактов[Значение]=Первоначальный!$A1536),0)</f>
        <v>0</v>
      </c>
    </row>
    <row r="1537" spans="1:38" x14ac:dyDescent="0.25">
      <c r="A1537" s="97">
        <f t="shared" si="281"/>
        <v>45668</v>
      </c>
      <c r="B1537" s="100">
        <f t="shared" ca="1" si="282"/>
        <v>149633.34</v>
      </c>
      <c r="C1537" s="55">
        <f t="shared" ref="C1537:D1571" ca="1" si="290">AD1536+AI1536</f>
        <v>108901.85999999997</v>
      </c>
      <c r="D1537" s="55">
        <f t="shared" ca="1" si="290"/>
        <v>10274.759999999973</v>
      </c>
      <c r="E1537" s="55">
        <f t="shared" ca="1" si="283"/>
        <v>0</v>
      </c>
      <c r="F1537" s="55">
        <f t="shared" ca="1" si="284"/>
        <v>499072.36169508309</v>
      </c>
      <c r="G1537" s="101">
        <f t="shared" ca="1" si="285"/>
        <v>767882.32169508305</v>
      </c>
      <c r="H1537" s="100">
        <f ca="1">ROUND($B1537*VLOOKUP($A1537,$A$1:$B$10,2,1)/(365+IF(MOD(YEAR($A1537),4),0,1)*($A1537-$A1536)),2)-Первоначальный[[#This Row],[Проценты на просроченный платеж по ОД за период]]</f>
        <v>65.11</v>
      </c>
      <c r="I1537" s="55">
        <f t="shared" ca="1" si="286"/>
        <v>16.47</v>
      </c>
      <c r="J1537" s="55">
        <v>0</v>
      </c>
      <c r="K1537" s="55">
        <f t="shared" ca="1" si="289"/>
        <v>695.21350327868845</v>
      </c>
      <c r="L1537" s="55">
        <v>0</v>
      </c>
      <c r="M1537" s="113">
        <f>SUMIFS(График[Возврат основной суммы долга],График[Дата с учетом нерабочих дней],$A1537)</f>
        <v>0</v>
      </c>
      <c r="N1537" s="56">
        <f>SUMIFS(График[Возврат начисленных %],График[Дата с учетом нерабочих дней],$A1537)</f>
        <v>0</v>
      </c>
      <c r="O1537" s="101">
        <v>0</v>
      </c>
      <c r="P1537" s="100" cm="1">
        <f t="array" aca="1" ref="P1537" ca="1">MAX(IF(AA1536="Да",0,SUM(INDIRECT("M"&amp;(MAX(("Да"=AA$12:AA1536)*ROW(AA$12:AA1536)+1,ROW($P$12))&amp;":M"&amp;(ROW()))))-SUM(INDIRECT("W"&amp;(MAX(("Да"=AA$12:AA1536)*ROW(AA$12:AA1536)+1,ROW($P$12))&amp;":W"&amp;(ROW()))))),0)</f>
        <v>30212.6</v>
      </c>
      <c r="Q1537" s="99">
        <f ca="1">MAX(SUM($N$13:N1537)-SUM($T$13:T1537),0)</f>
        <v>108830.1006557377</v>
      </c>
      <c r="R1537" s="99">
        <f ca="1">Первоначальный[[#This Row],[Просроченный платеж по ОД]]+Первоначальный[[#This Row],[Просроченный платеж по процентам]]</f>
        <v>139042.70065573769</v>
      </c>
      <c r="S1537" s="120">
        <f ca="1">IF(Первоначальный[[#This Row],[Просроченный платеж]]&lt;1,0,S1536+1)</f>
        <v>1433</v>
      </c>
      <c r="T1537" s="100" cm="1">
        <f t="array" aca="1" ref="T1537" ca="1">IF(Первоначальный[[#This Row],[Итого остаток на начало периода]]&lt;1,0,
IF(
AND(TYPE(VLOOKUP(1,$Z$12:Z1537,1,0))=16,Первоначальный[[#This Row],[Досрочное погашение (да/"")]]=""),0,
_xlfn.IFS(AND(S1536=0,Первоначальный[[#This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платеж]]&lt;&gt;0),MIN(LOOKUP(,-1/($Z$12:Z1537=1),$C$12:C1537)+LOOKUP(,-1/($Z$12:Z1537=1),$H$12:H1537),Первоначальный[[#This Row],[Полученный платеж]]+Y1536),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платеж]]+Y1536,SUM(Первоначальный[[#This Row],[Остаток процентов на начало периода]],Первоначальный[[#This Row],[Проценты за период]])),
AND(S1536=0,Первоначальный[[#This Row],[Дата платежа из графика]]=""),0,
AND(S1536=0,Первоначальный[[#This Row],[Дата платежа из графика]]=1,MAX((0&lt;&gt;S$12:S1536)*ROW(S$12:S1536),ROW($S$12))&gt;=MAX((1=Z$12:Z1536)*ROW(Z$12:Z1536),ROW($T$12)),TYPE(VLOOKUP("Да",(INDIRECT("AA"&amp;(MAX((1=Z$12:Z1536)*ROW(Z$12:Z1536),ROW($T$12))&amp;":AA"&amp;(ROW()-1)))),1,0))=16),MIN(LOOKUP(,-1/($Z$12:Z1537=1),$C$12:C1537)+LOOKUP(,-1/($Z$12:Z1537=1),$H$12:H1537),Первоначальный[[#This Row],[Полученный платеж]]+Y1536),
AND(S1536=0,TYPE(VLOOKUP("Да",(INDIRECT("AA"&amp;(MAX((1=Z$12:Z1536)*ROW(Z$12:Z1536),ROW($T$12))&amp;":AA"&amp;(ROW()-1)))),1,0))&lt;&gt;16),MIN(LOOKUP(,-1/($Z$12:Z1537=1),$C$12:C1537)+LOOKUP(,-1/($Z$12:Z1537=1),$H$12:H1537)-IF(AA1536="Да",0,SUM(INDIRECT("T"&amp;(MAX(("Да"=AA$12:AA1536)*ROW(AA$12:AA1536)+1,ROW($T$12))&amp;":T"&amp;(ROW()-1))))),Первоначальный[[#This Row],[Полученный платеж]]+Y1536),
AND(S1536=0,MAX((0&lt;&gt;N$12:N1536)*ROW(N$12:N1536),ROW($S$12))&gt;=MAX((1=Z$12:Z1536)*ROW(Z$12:Z1536),ROW($T$12))),MIN(LOOKUP(,-1/($Z$12:Z1537=1),$C$12:C1537)+LOOKUP(,-1/($Z$12:Z1537=1),$H$12:H1537)-IF(N1536&lt;&gt;0,0,SUM(INDIRECT("T"&amp;(MAX((0&lt;&gt;N$12:N1536)*ROW(N$12:N1536)+1,ROW($T$12))&amp;":T"&amp;(ROW()-1))))),Первоначальный[[#This Row],[Полученный платеж]]+Y1536),
AND(S1536=0,Первоначальный[[#This Row],[Дата платежа из графика]]=1),MIN(LOOKUP(,-1/($Z$12:Z1537=1),$C$12:C1537)+LOOKUP(,-1/($Z$12:Z1537=1),$H$12:H1537)-IF(Z1536=1,0,SUM(INDIRECT("T"&amp;(MAX((1=Z$12:Z1536)*ROW(Z$12:Z1536)+1,ROW($T$12))&amp;":T"&amp;(ROW()-1))))),Первоначальный[[#This Row],[Полученный платеж]]+Y1536),
AND(Z1536&gt;0,Первоначальный[[#This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платеж]]+Y1536),
AND(S1536&gt;0,MAX((0&lt;&gt;S$12:S1536)*ROW(S$12:S1536),ROW($S$12))&gt;=MAX((1=Z$12:Z1536)*ROW(Z$12:Z1536),ROW($T$12)),TYPE(VLOOKUP("Да",(INDIRECT("AA"&amp;(MAX((1=Z$12:Z1536)*ROW(Z$12:Z1536),ROW($T$12))&amp;":AA"&amp;(ROW()-1)))),1,0))=16),MIN(LOOKUP(,-1/($Z$12:Z1537=1),$C$12:C1537)+LOOKUP(,-1/($Z$12:Z1537=1),$H$12:H1537)-SUM(INDIRECT("T"&amp;(MAX((1=Z$12:Z1536)*ROW(Z$12:Z1536),ROW($T$12))&amp;":T"&amp;(ROW()-1)))),Первоначальный[[#This Row],[Полученный платеж]]+Y1536),
S1536&gt;0,MIN(LOOKUP(,-1/($Z$12:Z1537=1),$C$12:C1537)+LOOKUP(,-1/($Z$12:Z1537=1),$H$12:H1537)-IF(Z1536=1,0,SUM(INDIRECT("T"&amp;(MAX((1=Z$12:Z1536)*ROW(Z$12:Z1536)+1,ROW($T$12))&amp;":T"&amp;(ROW()-1))))),Первоначальный[[#This Row],[Полученный платеж]]+Y1536)
)
)
)</f>
        <v>0</v>
      </c>
      <c r="U153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платеж]]+Y1536-Первоначальный[[#This Row],[Полученный платёж по процентам]])</f>
        <v>0</v>
      </c>
      <c r="V1537" s="55">
        <f t="shared" ca="1" si="279"/>
        <v>0</v>
      </c>
      <c r="W1537" s="55" cm="1">
        <f t="array" aca="1" ref="W1537" ca="1">IF(Первоначальный[[#This Row],[Итого остаток на начало периода]]&lt;1,0,
_xlfn.IFS(
AND(TYPE(VLOOKUP(1,$Z$12:Z1537,1,0))=16,Первоначальный[[#This Row],[Досрочное погашение (да/"")]]=""),0,
AND(S1536=0,Первоначальный[[#This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платеж]]+Y1536-SUM(Первоначальный[[#This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комиссиям]]),VLOOKUP(LOOKUP(,-1/($Z$12:Z1537=1),$A$12:A1537),График[[Срок конец]:[Возврат основной суммы долга]],3,0)),
AND(S1536=0,Первоначальный[[#This Row],[Дата платежа из графика]]="",Первоначальный[[#This Row],[Досрочное погашение (да/"")]]&lt;&gt;"Да"),0,
AND(S1536=0,Первоначальный[[#This Row],[Досрочное погашение (да/"")]]=""),MIN(Первоначальный[[#This Row],[Полученный платеж]]+Y1536-SUM(Первоначальный[[#This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комиссиям]]),VLOOKUP(LOOKUP(,-1/($Z$12:Z1537=1),$A$12:A1537),График[[Срок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платеж]]+Y1536-SUM(Первоначальный[[#This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S1536&gt;0,MIN(Первоначальный[[#This Row],[Полученный платеж]]+Y1536-SUM(Первоначальный[[#This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комиссиям]]),SUM(INDIRECT("M"&amp;(MAX((1=S$12:S1536)*ROW(S$12:S1536),ROW($W$12))&amp;":M"&amp;(ROW()))))-SUM(INDIRECT("W"&amp;(MAX((1=S$12:S1536)*ROW(S$12:S1536),ROW($W$12))&amp;":W"&amp;(ROW()-1)))))
)
)</f>
        <v>0</v>
      </c>
      <c r="X1537" s="55">
        <f t="shared" ca="1" si="280"/>
        <v>0</v>
      </c>
      <c r="Y1537" s="101">
        <f t="shared" ca="1" si="287"/>
        <v>0</v>
      </c>
      <c r="Z1537" s="133" t="str">
        <f>IF(TYPE((VLOOKUP(Первоначальный[[#This Row],[Дата платежа]],График[Срок конец],1,0)))=16,"",1)</f>
        <v/>
      </c>
      <c r="AA1537" s="57"/>
      <c r="AB1537" s="134"/>
      <c r="AC153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3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108966.96999999997</v>
      </c>
      <c r="AE153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10291.229999999972</v>
      </c>
      <c r="AF153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3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499767.57519836177</v>
      </c>
      <c r="AH1537" s="55"/>
      <c r="AI1537" s="55"/>
      <c r="AJ1537" s="55"/>
      <c r="AK1537" s="101">
        <f t="shared" ca="1" si="288"/>
        <v>768659.11519836169</v>
      </c>
      <c r="AL1537" s="129">
        <f t="array" ref="AL1537">MAX((УслРестрактов[Характеристика]="Дата реструктуризации")*(УслРестрактов[Значение]=Первоначальный!$A1537),0)</f>
        <v>0</v>
      </c>
    </row>
    <row r="1538" spans="1:38" x14ac:dyDescent="0.25">
      <c r="A1538" s="97">
        <f t="shared" si="281"/>
        <v>45669</v>
      </c>
      <c r="B1538" s="100">
        <f t="shared" ca="1" si="282"/>
        <v>149633.34</v>
      </c>
      <c r="C1538" s="55">
        <f t="shared" ca="1" si="290"/>
        <v>108966.96999999997</v>
      </c>
      <c r="D1538" s="55">
        <f t="shared" ca="1" si="290"/>
        <v>10291.229999999972</v>
      </c>
      <c r="E1538" s="55">
        <f t="shared" ca="1" si="283"/>
        <v>0</v>
      </c>
      <c r="F1538" s="55">
        <f t="shared" ca="1" si="284"/>
        <v>499767.57519836177</v>
      </c>
      <c r="G1538" s="101">
        <f t="shared" ca="1" si="285"/>
        <v>768659.11519836169</v>
      </c>
      <c r="H1538" s="100">
        <f ca="1">ROUND($B1538*VLOOKUP($A1538,$A$1:$B$10,2,1)/(365+IF(MOD(YEAR($A1538),4),0,1)*($A1538-$A1537)),2)-Первоначальный[[#This Row],[Проценты на просроченный платеж по ОД за период]]</f>
        <v>65.11</v>
      </c>
      <c r="I1538" s="55">
        <f t="shared" ca="1" si="286"/>
        <v>16.47</v>
      </c>
      <c r="J1538" s="55">
        <v>0</v>
      </c>
      <c r="K1538" s="55">
        <f t="shared" ca="1" si="289"/>
        <v>695.21350327868845</v>
      </c>
      <c r="L1538" s="55">
        <v>0</v>
      </c>
      <c r="M1538" s="113">
        <f>SUMIFS(График[Возврат основной суммы долга],График[Дата с учетом нерабочих дней],$A1538)</f>
        <v>0</v>
      </c>
      <c r="N1538" s="56">
        <f>SUMIFS(График[Возврат начисленных %],График[Дата с учетом нерабочих дней],$A1538)</f>
        <v>0</v>
      </c>
      <c r="O1538" s="101">
        <v>0</v>
      </c>
      <c r="P1538" s="100" cm="1">
        <f t="array" aca="1" ref="P1538" ca="1">MAX(IF(AA1537="Да",0,SUM(INDIRECT("M"&amp;(MAX(("Да"=AA$12:AA1537)*ROW(AA$12:AA1537)+1,ROW($P$12))&amp;":M"&amp;(ROW()))))-SUM(INDIRECT("W"&amp;(MAX(("Да"=AA$12:AA1537)*ROW(AA$12:AA1537)+1,ROW($P$12))&amp;":W"&amp;(ROW()))))),0)</f>
        <v>30212.6</v>
      </c>
      <c r="Q1538" s="99">
        <f ca="1">MAX(SUM($N$13:N1538)-SUM($T$13:T1538),0)</f>
        <v>108830.1006557377</v>
      </c>
      <c r="R1538" s="99">
        <f ca="1">Первоначальный[[#This Row],[Просроченный платеж по ОД]]+Первоначальный[[#This Row],[Просроченный платеж по процентам]]</f>
        <v>139042.70065573769</v>
      </c>
      <c r="S1538" s="120">
        <f ca="1">IF(Первоначальный[[#This Row],[Просроченный платеж]]&lt;1,0,S1537+1)</f>
        <v>1434</v>
      </c>
      <c r="T1538" s="100" cm="1">
        <f t="array" aca="1" ref="T1538" ca="1">IF(Первоначальный[[#This Row],[Итого остаток на начало периода]]&lt;1,0,
IF(
AND(TYPE(VLOOKUP(1,$Z$12:Z1538,1,0))=16,Первоначальный[[#This Row],[Досрочное погашение (да/"")]]=""),0,
_xlfn.IFS(AND(S1537=0,Первоначальный[[#This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платеж]]&lt;&gt;0),MIN(LOOKUP(,-1/($Z$12:Z1538=1),$C$12:C1538)+LOOKUP(,-1/($Z$12:Z1538=1),$H$12:H1538),Первоначальный[[#This Row],[Полученный платеж]]+Y1537),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платеж]]+Y1537,SUM(Первоначальный[[#This Row],[Остаток процентов на начало периода]],Первоначальный[[#This Row],[Проценты за период]])),
AND(S1537=0,Первоначальный[[#This Row],[Дата платежа из графика]]=""),0,
AND(S1537=0,Первоначальный[[#This Row],[Дата платежа из графика]]=1,MAX((0&lt;&gt;S$12:S1537)*ROW(S$12:S1537),ROW($S$12))&gt;=MAX((1=Z$12:Z1537)*ROW(Z$12:Z1537),ROW($T$12)),TYPE(VLOOKUP("Да",(INDIRECT("AA"&amp;(MAX((1=Z$12:Z1537)*ROW(Z$12:Z1537),ROW($T$12))&amp;":AA"&amp;(ROW()-1)))),1,0))=16),MIN(LOOKUP(,-1/($Z$12:Z1538=1),$C$12:C1538)+LOOKUP(,-1/($Z$12:Z1538=1),$H$12:H1538),Первоначальный[[#This Row],[Полученный платеж]]+Y1537),
AND(S1537=0,TYPE(VLOOKUP("Да",(INDIRECT("AA"&amp;(MAX((1=Z$12:Z1537)*ROW(Z$12:Z1537),ROW($T$12))&amp;":AA"&amp;(ROW()-1)))),1,0))&lt;&gt;16),MIN(LOOKUP(,-1/($Z$12:Z1538=1),$C$12:C1538)+LOOKUP(,-1/($Z$12:Z1538=1),$H$12:H1538)-IF(AA1537="Да",0,SUM(INDIRECT("T"&amp;(MAX(("Да"=AA$12:AA1537)*ROW(AA$12:AA1537)+1,ROW($T$12))&amp;":T"&amp;(ROW()-1))))),Первоначальный[[#This Row],[Полученный платеж]]+Y1537),
AND(S1537=0,MAX((0&lt;&gt;N$12:N1537)*ROW(N$12:N1537),ROW($S$12))&gt;=MAX((1=Z$12:Z1537)*ROW(Z$12:Z1537),ROW($T$12))),MIN(LOOKUP(,-1/($Z$12:Z1538=1),$C$12:C1538)+LOOKUP(,-1/($Z$12:Z1538=1),$H$12:H1538)-IF(N1537&lt;&gt;0,0,SUM(INDIRECT("T"&amp;(MAX((0&lt;&gt;N$12:N1537)*ROW(N$12:N1537)+1,ROW($T$12))&amp;":T"&amp;(ROW()-1))))),Первоначальный[[#This Row],[Полученный платеж]]+Y1537),
AND(S1537=0,Первоначальный[[#This Row],[Дата платежа из графика]]=1),MIN(LOOKUP(,-1/($Z$12:Z1538=1),$C$12:C1538)+LOOKUP(,-1/($Z$12:Z1538=1),$H$12:H1538)-IF(Z1537=1,0,SUM(INDIRECT("T"&amp;(MAX((1=Z$12:Z1537)*ROW(Z$12:Z1537)+1,ROW($T$12))&amp;":T"&amp;(ROW()-1))))),Первоначальный[[#This Row],[Полученный платеж]]+Y1537),
AND(Z1537&gt;0,Первоначальный[[#This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платеж]]+Y1537),
AND(S1537&gt;0,MAX((0&lt;&gt;S$12:S1537)*ROW(S$12:S1537),ROW($S$12))&gt;=MAX((1=Z$12:Z1537)*ROW(Z$12:Z1537),ROW($T$12)),TYPE(VLOOKUP("Да",(INDIRECT("AA"&amp;(MAX((1=Z$12:Z1537)*ROW(Z$12:Z1537),ROW($T$12))&amp;":AA"&amp;(ROW()-1)))),1,0))=16),MIN(LOOKUP(,-1/($Z$12:Z1538=1),$C$12:C1538)+LOOKUP(,-1/($Z$12:Z1538=1),$H$12:H1538)-SUM(INDIRECT("T"&amp;(MAX((1=Z$12:Z1537)*ROW(Z$12:Z1537),ROW($T$12))&amp;":T"&amp;(ROW()-1)))),Первоначальный[[#This Row],[Полученный платеж]]+Y1537),
S1537&gt;0,MIN(LOOKUP(,-1/($Z$12:Z1538=1),$C$12:C1538)+LOOKUP(,-1/($Z$12:Z1538=1),$H$12:H1538)-IF(Z1537=1,0,SUM(INDIRECT("T"&amp;(MAX((1=Z$12:Z1537)*ROW(Z$12:Z1537)+1,ROW($T$12))&amp;":T"&amp;(ROW()-1))))),Первоначальный[[#This Row],[Полученный платеж]]+Y1537)
)
)
)</f>
        <v>0</v>
      </c>
      <c r="U153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платеж]]+Y1537-Первоначальный[[#This Row],[Полученный платёж по процентам]])</f>
        <v>0</v>
      </c>
      <c r="V1538" s="55">
        <f t="shared" ca="1" si="279"/>
        <v>0</v>
      </c>
      <c r="W1538" s="55" cm="1">
        <f t="array" aca="1" ref="W1538" ca="1">IF(Первоначальный[[#This Row],[Итого остаток на начало периода]]&lt;1,0,
_xlfn.IFS(
AND(TYPE(VLOOKUP(1,$Z$12:Z1538,1,0))=16,Первоначальный[[#This Row],[Досрочное погашение (да/"")]]=""),0,
AND(S1537=0,Первоначальный[[#This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платеж]]+Y1537-SUM(Первоначальный[[#This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комиссиям]]),VLOOKUP(LOOKUP(,-1/($Z$12:Z1538=1),$A$12:A1538),График[[Срок конец]:[Возврат основной суммы долга]],3,0)),
AND(S1537=0,Первоначальный[[#This Row],[Дата платежа из графика]]="",Первоначальный[[#This Row],[Досрочное погашение (да/"")]]&lt;&gt;"Да"),0,
AND(S1537=0,Первоначальный[[#This Row],[Досрочное погашение (да/"")]]=""),MIN(Первоначальный[[#This Row],[Полученный платеж]]+Y1537-SUM(Первоначальный[[#This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комиссиям]]),VLOOKUP(LOOKUP(,-1/($Z$12:Z1538=1),$A$12:A1538),График[[Срок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платеж]]+Y1537-SUM(Первоначальный[[#This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S1537&gt;0,MIN(Первоначальный[[#This Row],[Полученный платеж]]+Y1537-SUM(Первоначальный[[#This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комиссиям]]),SUM(INDIRECT("M"&amp;(MAX((1=S$12:S1537)*ROW(S$12:S1537),ROW($W$12))&amp;":M"&amp;(ROW()))))-SUM(INDIRECT("W"&amp;(MAX((1=S$12:S1537)*ROW(S$12:S1537),ROW($W$12))&amp;":W"&amp;(ROW()-1)))))
)
)</f>
        <v>0</v>
      </c>
      <c r="X1538" s="55">
        <f t="shared" ca="1" si="280"/>
        <v>0</v>
      </c>
      <c r="Y1538" s="101">
        <f t="shared" ca="1" si="287"/>
        <v>0</v>
      </c>
      <c r="Z1538" s="133" t="str">
        <f>IF(TYPE((VLOOKUP(Первоначальный[[#This Row],[Дата платежа]],График[Срок конец],1,0)))=16,"",1)</f>
        <v/>
      </c>
      <c r="AA1538" s="57"/>
      <c r="AB1538" s="134"/>
      <c r="AC153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3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109032.07999999997</v>
      </c>
      <c r="AE153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10307.699999999972</v>
      </c>
      <c r="AF153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3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500462.78870164044</v>
      </c>
      <c r="AH1538" s="55"/>
      <c r="AI1538" s="55"/>
      <c r="AJ1538" s="55"/>
      <c r="AK1538" s="101">
        <f t="shared" ca="1" si="288"/>
        <v>769435.90870164032</v>
      </c>
      <c r="AL1538" s="129">
        <f t="array" ref="AL1538">MAX((УслРестрактов[Характеристика]="Дата реструктуризации")*(УслРестрактов[Значение]=Первоначальный!$A1538),0)</f>
        <v>0</v>
      </c>
    </row>
    <row r="1539" spans="1:38" x14ac:dyDescent="0.25">
      <c r="A1539" s="97">
        <f t="shared" si="281"/>
        <v>45670</v>
      </c>
      <c r="B1539" s="100">
        <f t="shared" ca="1" si="282"/>
        <v>149633.34</v>
      </c>
      <c r="C1539" s="55">
        <f t="shared" ca="1" si="290"/>
        <v>109032.07999999997</v>
      </c>
      <c r="D1539" s="55">
        <f t="shared" ca="1" si="290"/>
        <v>10307.699999999972</v>
      </c>
      <c r="E1539" s="55">
        <f t="shared" ca="1" si="283"/>
        <v>0</v>
      </c>
      <c r="F1539" s="55">
        <f t="shared" ca="1" si="284"/>
        <v>500462.78870164044</v>
      </c>
      <c r="G1539" s="101">
        <f t="shared" ca="1" si="285"/>
        <v>769435.90870164032</v>
      </c>
      <c r="H1539" s="100">
        <f ca="1">ROUND($B1539*VLOOKUP($A1539,$A$1:$B$10,2,1)/(365+IF(MOD(YEAR($A1539),4),0,1)*($A1539-$A1538)),2)-Первоначальный[[#This Row],[Проценты на просроченный платеж по ОД за период]]</f>
        <v>65.11</v>
      </c>
      <c r="I1539" s="55">
        <f t="shared" ca="1" si="286"/>
        <v>16.47</v>
      </c>
      <c r="J1539" s="55">
        <v>0</v>
      </c>
      <c r="K1539" s="55">
        <f t="shared" ca="1" si="289"/>
        <v>695.21350327868845</v>
      </c>
      <c r="L1539" s="55">
        <v>0</v>
      </c>
      <c r="M1539" s="113">
        <f>SUMIFS(График[Возврат основной суммы долга],График[Дата с учетом нерабочих дней],$A1539)</f>
        <v>0</v>
      </c>
      <c r="N1539" s="56">
        <f>SUMIFS(График[Возврат начисленных %],График[Дата с учетом нерабочих дней],$A1539)</f>
        <v>0</v>
      </c>
      <c r="O1539" s="101">
        <v>0</v>
      </c>
      <c r="P1539" s="100" cm="1">
        <f t="array" aca="1" ref="P1539" ca="1">MAX(IF(AA1538="Да",0,SUM(INDIRECT("M"&amp;(MAX(("Да"=AA$12:AA1538)*ROW(AA$12:AA1538)+1,ROW($P$12))&amp;":M"&amp;(ROW()))))-SUM(INDIRECT("W"&amp;(MAX(("Да"=AA$12:AA1538)*ROW(AA$12:AA1538)+1,ROW($P$12))&amp;":W"&amp;(ROW()))))),0)</f>
        <v>30212.6</v>
      </c>
      <c r="Q1539" s="99">
        <f ca="1">MAX(SUM($N$13:N1539)-SUM($T$13:T1539),0)</f>
        <v>108830.1006557377</v>
      </c>
      <c r="R1539" s="99">
        <f ca="1">Первоначальный[[#This Row],[Просроченный платеж по ОД]]+Первоначальный[[#This Row],[Просроченный платеж по процентам]]</f>
        <v>139042.70065573769</v>
      </c>
      <c r="S1539" s="120">
        <f ca="1">IF(Первоначальный[[#This Row],[Просроченный платеж]]&lt;1,0,S1538+1)</f>
        <v>1435</v>
      </c>
      <c r="T1539" s="100" cm="1">
        <f t="array" aca="1" ref="T1539" ca="1">IF(Первоначальный[[#This Row],[Итого остаток на начало периода]]&lt;1,0,
IF(
AND(TYPE(VLOOKUP(1,$Z$12:Z1539,1,0))=16,Первоначальный[[#This Row],[Досрочное погашение (да/"")]]=""),0,
_xlfn.IFS(AND(S1538=0,Первоначальный[[#This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платеж]]&lt;&gt;0),MIN(LOOKUP(,-1/($Z$12:Z1539=1),$C$12:C1539)+LOOKUP(,-1/($Z$12:Z1539=1),$H$12:H1539),Первоначальный[[#This Row],[Полученный платеж]]+Y1538),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платеж]]+Y1538,SUM(Первоначальный[[#This Row],[Остаток процентов на начало периода]],Первоначальный[[#This Row],[Проценты за период]])),
AND(S1538=0,Первоначальный[[#This Row],[Дата платежа из графика]]=""),0,
AND(S1538=0,Первоначальный[[#This Row],[Дата платежа из графика]]=1,MAX((0&lt;&gt;S$12:S1538)*ROW(S$12:S1538),ROW($S$12))&gt;=MAX((1=Z$12:Z1538)*ROW(Z$12:Z1538),ROW($T$12)),TYPE(VLOOKUP("Да",(INDIRECT("AA"&amp;(MAX((1=Z$12:Z1538)*ROW(Z$12:Z1538),ROW($T$12))&amp;":AA"&amp;(ROW()-1)))),1,0))=16),MIN(LOOKUP(,-1/($Z$12:Z1539=1),$C$12:C1539)+LOOKUP(,-1/($Z$12:Z1539=1),$H$12:H1539),Первоначальный[[#This Row],[Полученный платеж]]+Y1538),
AND(S1538=0,TYPE(VLOOKUP("Да",(INDIRECT("AA"&amp;(MAX((1=Z$12:Z1538)*ROW(Z$12:Z1538),ROW($T$12))&amp;":AA"&amp;(ROW()-1)))),1,0))&lt;&gt;16),MIN(LOOKUP(,-1/($Z$12:Z1539=1),$C$12:C1539)+LOOKUP(,-1/($Z$12:Z1539=1),$H$12:H1539)-IF(AA1538="Да",0,SUM(INDIRECT("T"&amp;(MAX(("Да"=AA$12:AA1538)*ROW(AA$12:AA1538)+1,ROW($T$12))&amp;":T"&amp;(ROW()-1))))),Первоначальный[[#This Row],[Полученный платеж]]+Y1538),
AND(S1538=0,MAX((0&lt;&gt;N$12:N1538)*ROW(N$12:N1538),ROW($S$12))&gt;=MAX((1=Z$12:Z1538)*ROW(Z$12:Z1538),ROW($T$12))),MIN(LOOKUP(,-1/($Z$12:Z1539=1),$C$12:C1539)+LOOKUP(,-1/($Z$12:Z1539=1),$H$12:H1539)-IF(N1538&lt;&gt;0,0,SUM(INDIRECT("T"&amp;(MAX((0&lt;&gt;N$12:N1538)*ROW(N$12:N1538)+1,ROW($T$12))&amp;":T"&amp;(ROW()-1))))),Первоначальный[[#This Row],[Полученный платеж]]+Y1538),
AND(S1538=0,Первоначальный[[#This Row],[Дата платежа из графика]]=1),MIN(LOOKUP(,-1/($Z$12:Z1539=1),$C$12:C1539)+LOOKUP(,-1/($Z$12:Z1539=1),$H$12:H1539)-IF(Z1538=1,0,SUM(INDIRECT("T"&amp;(MAX((1=Z$12:Z1538)*ROW(Z$12:Z1538)+1,ROW($T$12))&amp;":T"&amp;(ROW()-1))))),Первоначальный[[#This Row],[Полученный платеж]]+Y1538),
AND(Z1538&gt;0,Первоначальный[[#This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платеж]]+Y1538),
AND(S1538&gt;0,MAX((0&lt;&gt;S$12:S1538)*ROW(S$12:S1538),ROW($S$12))&gt;=MAX((1=Z$12:Z1538)*ROW(Z$12:Z1538),ROW($T$12)),TYPE(VLOOKUP("Да",(INDIRECT("AA"&amp;(MAX((1=Z$12:Z1538)*ROW(Z$12:Z1538),ROW($T$12))&amp;":AA"&amp;(ROW()-1)))),1,0))=16),MIN(LOOKUP(,-1/($Z$12:Z1539=1),$C$12:C1539)+LOOKUP(,-1/($Z$12:Z1539=1),$H$12:H1539)-SUM(INDIRECT("T"&amp;(MAX((1=Z$12:Z1538)*ROW(Z$12:Z1538),ROW($T$12))&amp;":T"&amp;(ROW()-1)))),Первоначальный[[#This Row],[Полученный платеж]]+Y1538),
S1538&gt;0,MIN(LOOKUP(,-1/($Z$12:Z1539=1),$C$12:C1539)+LOOKUP(,-1/($Z$12:Z1539=1),$H$12:H1539)-IF(Z1538=1,0,SUM(INDIRECT("T"&amp;(MAX((1=Z$12:Z1538)*ROW(Z$12:Z1538)+1,ROW($T$12))&amp;":T"&amp;(ROW()-1))))),Первоначальный[[#This Row],[Полученный платеж]]+Y1538)
)
)
)</f>
        <v>0</v>
      </c>
      <c r="U153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платеж]]+Y1538-Первоначальный[[#This Row],[Полученный платёж по процентам]])</f>
        <v>0</v>
      </c>
      <c r="V1539" s="55">
        <f t="shared" ca="1" si="279"/>
        <v>0</v>
      </c>
      <c r="W1539" s="55" cm="1">
        <f t="array" aca="1" ref="W1539" ca="1">IF(Первоначальный[[#This Row],[Итого остаток на начало периода]]&lt;1,0,
_xlfn.IFS(
AND(TYPE(VLOOKUP(1,$Z$12:Z1539,1,0))=16,Первоначальный[[#This Row],[Досрочное погашение (да/"")]]=""),0,
AND(S1538=0,Первоначальный[[#This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платеж]]+Y1538-SUM(Первоначальный[[#This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комиссиям]]),VLOOKUP(LOOKUP(,-1/($Z$12:Z1539=1),$A$12:A1539),График[[Срок конец]:[Возврат основной суммы долга]],3,0)),
AND(S1538=0,Первоначальный[[#This Row],[Дата платежа из графика]]="",Первоначальный[[#This Row],[Досрочное погашение (да/"")]]&lt;&gt;"Да"),0,
AND(S1538=0,Первоначальный[[#This Row],[Досрочное погашение (да/"")]]=""),MIN(Первоначальный[[#This Row],[Полученный платеж]]+Y1538-SUM(Первоначальный[[#This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комиссиям]]),VLOOKUP(LOOKUP(,-1/($Z$12:Z1539=1),$A$12:A1539),График[[Срок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платеж]]+Y1538-SUM(Первоначальный[[#This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S1538&gt;0,MIN(Первоначальный[[#This Row],[Полученный платеж]]+Y1538-SUM(Первоначальный[[#This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комиссиям]]),SUM(INDIRECT("M"&amp;(MAX((1=S$12:S1538)*ROW(S$12:S1538),ROW($W$12))&amp;":M"&amp;(ROW()))))-SUM(INDIRECT("W"&amp;(MAX((1=S$12:S1538)*ROW(S$12:S1538),ROW($W$12))&amp;":W"&amp;(ROW()-1)))))
)
)</f>
        <v>0</v>
      </c>
      <c r="X1539" s="55">
        <f t="shared" ca="1" si="280"/>
        <v>0</v>
      </c>
      <c r="Y1539" s="101">
        <f t="shared" ca="1" si="287"/>
        <v>0</v>
      </c>
      <c r="Z1539" s="133" t="str">
        <f>IF(TYPE((VLOOKUP(Первоначальный[[#This Row],[Дата платежа]],График[Срок конец],1,0)))=16,"",1)</f>
        <v/>
      </c>
      <c r="AA1539" s="57"/>
      <c r="AB1539" s="134"/>
      <c r="AC153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3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109097.18999999997</v>
      </c>
      <c r="AE153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10324.169999999971</v>
      </c>
      <c r="AF153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3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501158.00220491912</v>
      </c>
      <c r="AH1539" s="55"/>
      <c r="AI1539" s="55"/>
      <c r="AJ1539" s="55"/>
      <c r="AK1539" s="101">
        <f t="shared" ca="1" si="288"/>
        <v>770212.70220491907</v>
      </c>
      <c r="AL1539" s="129">
        <f t="array" ref="AL1539">MAX((УслРестрактов[Характеристика]="Дата реструктуризации")*(УслРестрактов[Значение]=Первоначальный!$A1539),0)</f>
        <v>0</v>
      </c>
    </row>
    <row r="1540" spans="1:38" x14ac:dyDescent="0.25">
      <c r="A1540" s="97">
        <f t="shared" si="281"/>
        <v>45671</v>
      </c>
      <c r="B1540" s="100">
        <f t="shared" ca="1" si="282"/>
        <v>149633.34</v>
      </c>
      <c r="C1540" s="55">
        <f t="shared" ca="1" si="290"/>
        <v>109097.18999999997</v>
      </c>
      <c r="D1540" s="55">
        <f t="shared" ca="1" si="290"/>
        <v>10324.169999999971</v>
      </c>
      <c r="E1540" s="55">
        <f t="shared" ca="1" si="283"/>
        <v>0</v>
      </c>
      <c r="F1540" s="55">
        <f t="shared" ca="1" si="284"/>
        <v>501158.00220491912</v>
      </c>
      <c r="G1540" s="101">
        <f t="shared" ca="1" si="285"/>
        <v>770212.70220491907</v>
      </c>
      <c r="H1540" s="100">
        <f ca="1">ROUND($B1540*VLOOKUP($A1540,$A$1:$B$10,2,1)/(365+IF(MOD(YEAR($A1540),4),0,1)*($A1540-$A1539)),2)-Первоначальный[[#This Row],[Проценты на просроченный платеж по ОД за период]]</f>
        <v>65.11</v>
      </c>
      <c r="I1540" s="55">
        <f t="shared" ca="1" si="286"/>
        <v>16.47</v>
      </c>
      <c r="J1540" s="55">
        <v>0</v>
      </c>
      <c r="K1540" s="55">
        <f t="shared" ca="1" si="289"/>
        <v>695.21350327868845</v>
      </c>
      <c r="L1540" s="55">
        <v>0</v>
      </c>
      <c r="M1540" s="113">
        <f>SUMIFS(График[Возврат основной суммы долга],График[Дата с учетом нерабочих дней],$A1540)</f>
        <v>0</v>
      </c>
      <c r="N1540" s="56">
        <f>SUMIFS(График[Возврат начисленных %],График[Дата с учетом нерабочих дней],$A1540)</f>
        <v>0</v>
      </c>
      <c r="O1540" s="101">
        <v>0</v>
      </c>
      <c r="P1540" s="100" cm="1">
        <f t="array" aca="1" ref="P1540" ca="1">MAX(IF(AA1539="Да",0,SUM(INDIRECT("M"&amp;(MAX(("Да"=AA$12:AA1539)*ROW(AA$12:AA1539)+1,ROW($P$12))&amp;":M"&amp;(ROW()))))-SUM(INDIRECT("W"&amp;(MAX(("Да"=AA$12:AA1539)*ROW(AA$12:AA1539)+1,ROW($P$12))&amp;":W"&amp;(ROW()))))),0)</f>
        <v>30212.6</v>
      </c>
      <c r="Q1540" s="99">
        <f ca="1">MAX(SUM($N$13:N1540)-SUM($T$13:T1540),0)</f>
        <v>108830.1006557377</v>
      </c>
      <c r="R1540" s="99">
        <f ca="1">Первоначальный[[#This Row],[Просроченный платеж по ОД]]+Первоначальный[[#This Row],[Просроченный платеж по процентам]]</f>
        <v>139042.70065573769</v>
      </c>
      <c r="S1540" s="120">
        <f ca="1">IF(Первоначальный[[#This Row],[Просроченный платеж]]&lt;1,0,S1539+1)</f>
        <v>1436</v>
      </c>
      <c r="T1540" s="100" cm="1">
        <f t="array" aca="1" ref="T1540" ca="1">IF(Первоначальный[[#This Row],[Итого остаток на начало периода]]&lt;1,0,
IF(
AND(TYPE(VLOOKUP(1,$Z$12:Z1540,1,0))=16,Первоначальный[[#This Row],[Досрочное погашение (да/"")]]=""),0,
_xlfn.IFS(AND(S1539=0,Первоначальный[[#This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платеж]]&lt;&gt;0),MIN(LOOKUP(,-1/($Z$12:Z1540=1),$C$12:C1540)+LOOKUP(,-1/($Z$12:Z1540=1),$H$12:H1540),Первоначальный[[#This Row],[Полученный платеж]]+Y1539),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платеж]]+Y1539,SUM(Первоначальный[[#This Row],[Остаток процентов на начало периода]],Первоначальный[[#This Row],[Проценты за период]])),
AND(S1539=0,Первоначальный[[#This Row],[Дата платежа из графика]]=""),0,
AND(S1539=0,Первоначальный[[#This Row],[Дата платежа из графика]]=1,MAX((0&lt;&gt;S$12:S1539)*ROW(S$12:S1539),ROW($S$12))&gt;=MAX((1=Z$12:Z1539)*ROW(Z$12:Z1539),ROW($T$12)),TYPE(VLOOKUP("Да",(INDIRECT("AA"&amp;(MAX((1=Z$12:Z1539)*ROW(Z$12:Z1539),ROW($T$12))&amp;":AA"&amp;(ROW()-1)))),1,0))=16),MIN(LOOKUP(,-1/($Z$12:Z1540=1),$C$12:C1540)+LOOKUP(,-1/($Z$12:Z1540=1),$H$12:H1540),Первоначальный[[#This Row],[Полученный платеж]]+Y1539),
AND(S1539=0,TYPE(VLOOKUP("Да",(INDIRECT("AA"&amp;(MAX((1=Z$12:Z1539)*ROW(Z$12:Z1539),ROW($T$12))&amp;":AA"&amp;(ROW()-1)))),1,0))&lt;&gt;16),MIN(LOOKUP(,-1/($Z$12:Z1540=1),$C$12:C1540)+LOOKUP(,-1/($Z$12:Z1540=1),$H$12:H1540)-IF(AA1539="Да",0,SUM(INDIRECT("T"&amp;(MAX(("Да"=AA$12:AA1539)*ROW(AA$12:AA1539)+1,ROW($T$12))&amp;":T"&amp;(ROW()-1))))),Первоначальный[[#This Row],[Полученный платеж]]+Y1539),
AND(S1539=0,MAX((0&lt;&gt;N$12:N1539)*ROW(N$12:N1539),ROW($S$12))&gt;=MAX((1=Z$12:Z1539)*ROW(Z$12:Z1539),ROW($T$12))),MIN(LOOKUP(,-1/($Z$12:Z1540=1),$C$12:C1540)+LOOKUP(,-1/($Z$12:Z1540=1),$H$12:H1540)-IF(N1539&lt;&gt;0,0,SUM(INDIRECT("T"&amp;(MAX((0&lt;&gt;N$12:N1539)*ROW(N$12:N1539)+1,ROW($T$12))&amp;":T"&amp;(ROW()-1))))),Первоначальный[[#This Row],[Полученный платеж]]+Y1539),
AND(S1539=0,Первоначальный[[#This Row],[Дата платежа из графика]]=1),MIN(LOOKUP(,-1/($Z$12:Z1540=1),$C$12:C1540)+LOOKUP(,-1/($Z$12:Z1540=1),$H$12:H1540)-IF(Z1539=1,0,SUM(INDIRECT("T"&amp;(MAX((1=Z$12:Z1539)*ROW(Z$12:Z1539)+1,ROW($T$12))&amp;":T"&amp;(ROW()-1))))),Первоначальный[[#This Row],[Полученный платеж]]+Y1539),
AND(Z1539&gt;0,Первоначальный[[#This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платеж]]+Y1539),
AND(S1539&gt;0,MAX((0&lt;&gt;S$12:S1539)*ROW(S$12:S1539),ROW($S$12))&gt;=MAX((1=Z$12:Z1539)*ROW(Z$12:Z1539),ROW($T$12)),TYPE(VLOOKUP("Да",(INDIRECT("AA"&amp;(MAX((1=Z$12:Z1539)*ROW(Z$12:Z1539),ROW($T$12))&amp;":AA"&amp;(ROW()-1)))),1,0))=16),MIN(LOOKUP(,-1/($Z$12:Z1540=1),$C$12:C1540)+LOOKUP(,-1/($Z$12:Z1540=1),$H$12:H1540)-SUM(INDIRECT("T"&amp;(MAX((1=Z$12:Z1539)*ROW(Z$12:Z1539),ROW($T$12))&amp;":T"&amp;(ROW()-1)))),Первоначальный[[#This Row],[Полученный платеж]]+Y1539),
S1539&gt;0,MIN(LOOKUP(,-1/($Z$12:Z1540=1),$C$12:C1540)+LOOKUP(,-1/($Z$12:Z1540=1),$H$12:H1540)-IF(Z1539=1,0,SUM(INDIRECT("T"&amp;(MAX((1=Z$12:Z1539)*ROW(Z$12:Z1539)+1,ROW($T$12))&amp;":T"&amp;(ROW()-1))))),Первоначальный[[#This Row],[Полученный платеж]]+Y1539)
)
)
)</f>
        <v>0</v>
      </c>
      <c r="U154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платеж]]+Y1539-Первоначальный[[#This Row],[Полученный платёж по процентам]])</f>
        <v>0</v>
      </c>
      <c r="V1540" s="55">
        <f t="shared" ca="1" si="279"/>
        <v>0</v>
      </c>
      <c r="W1540" s="55" cm="1">
        <f t="array" aca="1" ref="W1540" ca="1">IF(Первоначальный[[#This Row],[Итого остаток на начало периода]]&lt;1,0,
_xlfn.IFS(
AND(TYPE(VLOOKUP(1,$Z$12:Z1540,1,0))=16,Первоначальный[[#This Row],[Досрочное погашение (да/"")]]=""),0,
AND(S1539=0,Первоначальный[[#This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платеж]]+Y1539-SUM(Первоначальный[[#This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комиссиям]]),VLOOKUP(LOOKUP(,-1/($Z$12:Z1540=1),$A$12:A1540),График[[Срок конец]:[Возврат основной суммы долга]],3,0)),
AND(S1539=0,Первоначальный[[#This Row],[Дата платежа из графика]]="",Первоначальный[[#This Row],[Досрочное погашение (да/"")]]&lt;&gt;"Да"),0,
AND(S1539=0,Первоначальный[[#This Row],[Досрочное погашение (да/"")]]=""),MIN(Первоначальный[[#This Row],[Полученный платеж]]+Y1539-SUM(Первоначальный[[#This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комиссиям]]),VLOOKUP(LOOKUP(,-1/($Z$12:Z1540=1),$A$12:A1540),График[[Срок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платеж]]+Y1539-SUM(Первоначальный[[#This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S1539&gt;0,MIN(Первоначальный[[#This Row],[Полученный платеж]]+Y1539-SUM(Первоначальный[[#This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комиссиям]]),SUM(INDIRECT("M"&amp;(MAX((1=S$12:S1539)*ROW(S$12:S1539),ROW($W$12))&amp;":M"&amp;(ROW()))))-SUM(INDIRECT("W"&amp;(MAX((1=S$12:S1539)*ROW(S$12:S1539),ROW($W$12))&amp;":W"&amp;(ROW()-1)))))
)
)</f>
        <v>0</v>
      </c>
      <c r="X1540" s="55">
        <f t="shared" ca="1" si="280"/>
        <v>0</v>
      </c>
      <c r="Y1540" s="101">
        <f t="shared" ca="1" si="287"/>
        <v>0</v>
      </c>
      <c r="Z1540" s="133" t="str">
        <f>IF(TYPE((VLOOKUP(Первоначальный[[#This Row],[Дата платежа]],График[Срок конец],1,0)))=16,"",1)</f>
        <v/>
      </c>
      <c r="AA1540" s="57"/>
      <c r="AB1540" s="134"/>
      <c r="AC154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4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109162.29999999997</v>
      </c>
      <c r="AE154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10340.63999999997</v>
      </c>
      <c r="AF154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4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501853.21570819779</v>
      </c>
      <c r="AH1540" s="55"/>
      <c r="AI1540" s="55"/>
      <c r="AJ1540" s="55"/>
      <c r="AK1540" s="101">
        <f t="shared" ca="1" si="288"/>
        <v>770989.4957081977</v>
      </c>
      <c r="AL1540" s="129">
        <f t="array" ref="AL1540">MAX((УслРестрактов[Характеристика]="Дата реструктуризации")*(УслРестрактов[Значение]=Первоначальный!$A1540),0)</f>
        <v>0</v>
      </c>
    </row>
    <row r="1541" spans="1:38" x14ac:dyDescent="0.25">
      <c r="A1541" s="97">
        <f t="shared" si="281"/>
        <v>45672</v>
      </c>
      <c r="B1541" s="100">
        <f t="shared" ca="1" si="282"/>
        <v>149633.34</v>
      </c>
      <c r="C1541" s="55">
        <f t="shared" ca="1" si="290"/>
        <v>109162.29999999997</v>
      </c>
      <c r="D1541" s="55">
        <f t="shared" ca="1" si="290"/>
        <v>10340.63999999997</v>
      </c>
      <c r="E1541" s="55">
        <f t="shared" ca="1" si="283"/>
        <v>0</v>
      </c>
      <c r="F1541" s="55">
        <f t="shared" ca="1" si="284"/>
        <v>501853.21570819779</v>
      </c>
      <c r="G1541" s="101">
        <f t="shared" ca="1" si="285"/>
        <v>770989.4957081977</v>
      </c>
      <c r="H1541" s="100">
        <f ca="1">ROUND($B1541*VLOOKUP($A1541,$A$1:$B$10,2,1)/(365+IF(MOD(YEAR($A1541),4),0,1)*($A1541-$A1540)),2)-Первоначальный[[#This Row],[Проценты на просроченный платеж по ОД за период]]</f>
        <v>65.11</v>
      </c>
      <c r="I1541" s="55">
        <f t="shared" ca="1" si="286"/>
        <v>16.47</v>
      </c>
      <c r="J1541" s="55">
        <v>0</v>
      </c>
      <c r="K1541" s="55">
        <f t="shared" ca="1" si="289"/>
        <v>695.21350327868845</v>
      </c>
      <c r="L1541" s="55">
        <v>0</v>
      </c>
      <c r="M1541" s="113">
        <f>SUMIFS(График[Возврат основной суммы долга],График[Дата с учетом нерабочих дней],$A1541)</f>
        <v>0</v>
      </c>
      <c r="N1541" s="56">
        <f>SUMIFS(График[Возврат начисленных %],График[Дата с учетом нерабочих дней],$A1541)</f>
        <v>0</v>
      </c>
      <c r="O1541" s="101">
        <v>0</v>
      </c>
      <c r="P1541" s="100" cm="1">
        <f t="array" aca="1" ref="P1541" ca="1">MAX(IF(AA1540="Да",0,SUM(INDIRECT("M"&amp;(MAX(("Да"=AA$12:AA1540)*ROW(AA$12:AA1540)+1,ROW($P$12))&amp;":M"&amp;(ROW()))))-SUM(INDIRECT("W"&amp;(MAX(("Да"=AA$12:AA1540)*ROW(AA$12:AA1540)+1,ROW($P$12))&amp;":W"&amp;(ROW()))))),0)</f>
        <v>30212.6</v>
      </c>
      <c r="Q1541" s="99">
        <f ca="1">MAX(SUM($N$13:N1541)-SUM($T$13:T1541),0)</f>
        <v>108830.1006557377</v>
      </c>
      <c r="R1541" s="99">
        <f ca="1">Первоначальный[[#This Row],[Просроченный платеж по ОД]]+Первоначальный[[#This Row],[Просроченный платеж по процентам]]</f>
        <v>139042.70065573769</v>
      </c>
      <c r="S1541" s="120">
        <f ca="1">IF(Первоначальный[[#This Row],[Просроченный платеж]]&lt;1,0,S1540+1)</f>
        <v>1437</v>
      </c>
      <c r="T1541" s="100" cm="1">
        <f t="array" aca="1" ref="T1541" ca="1">IF(Первоначальный[[#This Row],[Итого остаток на начало периода]]&lt;1,0,
IF(
AND(TYPE(VLOOKUP(1,$Z$12:Z1541,1,0))=16,Первоначальный[[#This Row],[Досрочное погашение (да/"")]]=""),0,
_xlfn.IFS(AND(S1540=0,Первоначальный[[#This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платеж]]&lt;&gt;0),MIN(LOOKUP(,-1/($Z$12:Z1541=1),$C$12:C1541)+LOOKUP(,-1/($Z$12:Z1541=1),$H$12:H1541),Первоначальный[[#This Row],[Полученный платеж]]+Y1540),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платеж]]+Y1540,SUM(Первоначальный[[#This Row],[Остаток процентов на начало периода]],Первоначальный[[#This Row],[Проценты за период]])),
AND(S1540=0,Первоначальный[[#This Row],[Дата платежа из графика]]=""),0,
AND(S1540=0,Первоначальный[[#This Row],[Дата платежа из графика]]=1,MAX((0&lt;&gt;S$12:S1540)*ROW(S$12:S1540),ROW($S$12))&gt;=MAX((1=Z$12:Z1540)*ROW(Z$12:Z1540),ROW($T$12)),TYPE(VLOOKUP("Да",(INDIRECT("AA"&amp;(MAX((1=Z$12:Z1540)*ROW(Z$12:Z1540),ROW($T$12))&amp;":AA"&amp;(ROW()-1)))),1,0))=16),MIN(LOOKUP(,-1/($Z$12:Z1541=1),$C$12:C1541)+LOOKUP(,-1/($Z$12:Z1541=1),$H$12:H1541),Первоначальный[[#This Row],[Полученный платеж]]+Y1540),
AND(S1540=0,TYPE(VLOOKUP("Да",(INDIRECT("AA"&amp;(MAX((1=Z$12:Z1540)*ROW(Z$12:Z1540),ROW($T$12))&amp;":AA"&amp;(ROW()-1)))),1,0))&lt;&gt;16),MIN(LOOKUP(,-1/($Z$12:Z1541=1),$C$12:C1541)+LOOKUP(,-1/($Z$12:Z1541=1),$H$12:H1541)-IF(AA1540="Да",0,SUM(INDIRECT("T"&amp;(MAX(("Да"=AA$12:AA1540)*ROW(AA$12:AA1540)+1,ROW($T$12))&amp;":T"&amp;(ROW()-1))))),Первоначальный[[#This Row],[Полученный платеж]]+Y1540),
AND(S1540=0,MAX((0&lt;&gt;N$12:N1540)*ROW(N$12:N1540),ROW($S$12))&gt;=MAX((1=Z$12:Z1540)*ROW(Z$12:Z1540),ROW($T$12))),MIN(LOOKUP(,-1/($Z$12:Z1541=1),$C$12:C1541)+LOOKUP(,-1/($Z$12:Z1541=1),$H$12:H1541)-IF(N1540&lt;&gt;0,0,SUM(INDIRECT("T"&amp;(MAX((0&lt;&gt;N$12:N1540)*ROW(N$12:N1540)+1,ROW($T$12))&amp;":T"&amp;(ROW()-1))))),Первоначальный[[#This Row],[Полученный платеж]]+Y1540),
AND(S1540=0,Первоначальный[[#This Row],[Дата платежа из графика]]=1),MIN(LOOKUP(,-1/($Z$12:Z1541=1),$C$12:C1541)+LOOKUP(,-1/($Z$12:Z1541=1),$H$12:H1541)-IF(Z1540=1,0,SUM(INDIRECT("T"&amp;(MAX((1=Z$12:Z1540)*ROW(Z$12:Z1540)+1,ROW($T$12))&amp;":T"&amp;(ROW()-1))))),Первоначальный[[#This Row],[Полученный платеж]]+Y1540),
AND(Z1540&gt;0,Первоначальный[[#This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платеж]]+Y1540),
AND(S1540&gt;0,MAX((0&lt;&gt;S$12:S1540)*ROW(S$12:S1540),ROW($S$12))&gt;=MAX((1=Z$12:Z1540)*ROW(Z$12:Z1540),ROW($T$12)),TYPE(VLOOKUP("Да",(INDIRECT("AA"&amp;(MAX((1=Z$12:Z1540)*ROW(Z$12:Z1540),ROW($T$12))&amp;":AA"&amp;(ROW()-1)))),1,0))=16),MIN(LOOKUP(,-1/($Z$12:Z1541=1),$C$12:C1541)+LOOKUP(,-1/($Z$12:Z1541=1),$H$12:H1541)-SUM(INDIRECT("T"&amp;(MAX((1=Z$12:Z1540)*ROW(Z$12:Z1540),ROW($T$12))&amp;":T"&amp;(ROW()-1)))),Первоначальный[[#This Row],[Полученный платеж]]+Y1540),
S1540&gt;0,MIN(LOOKUP(,-1/($Z$12:Z1541=1),$C$12:C1541)+LOOKUP(,-1/($Z$12:Z1541=1),$H$12:H1541)-IF(Z1540=1,0,SUM(INDIRECT("T"&amp;(MAX((1=Z$12:Z1540)*ROW(Z$12:Z1540)+1,ROW($T$12))&amp;":T"&amp;(ROW()-1))))),Первоначальный[[#This Row],[Полученный платеж]]+Y1540)
)
)
)</f>
        <v>0</v>
      </c>
      <c r="U154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платеж]]+Y1540-Первоначальный[[#This Row],[Полученный платёж по процентам]])</f>
        <v>0</v>
      </c>
      <c r="V1541" s="55">
        <f t="shared" ca="1" si="279"/>
        <v>0</v>
      </c>
      <c r="W1541" s="55" cm="1">
        <f t="array" aca="1" ref="W1541" ca="1">IF(Первоначальный[[#This Row],[Итого остаток на начало периода]]&lt;1,0,
_xlfn.IFS(
AND(TYPE(VLOOKUP(1,$Z$12:Z1541,1,0))=16,Первоначальный[[#This Row],[Досрочное погашение (да/"")]]=""),0,
AND(S1540=0,Первоначальный[[#This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платеж]]+Y1540-SUM(Первоначальный[[#This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комиссиям]]),VLOOKUP(LOOKUP(,-1/($Z$12:Z1541=1),$A$12:A1541),График[[Срок конец]:[Возврат основной суммы долга]],3,0)),
AND(S1540=0,Первоначальный[[#This Row],[Дата платежа из графика]]="",Первоначальный[[#This Row],[Досрочное погашение (да/"")]]&lt;&gt;"Да"),0,
AND(S1540=0,Первоначальный[[#This Row],[Досрочное погашение (да/"")]]=""),MIN(Первоначальный[[#This Row],[Полученный платеж]]+Y1540-SUM(Первоначальный[[#This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комиссиям]]),VLOOKUP(LOOKUP(,-1/($Z$12:Z1541=1),$A$12:A1541),График[[Срок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платеж]]+Y1540-SUM(Первоначальный[[#This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S1540&gt;0,MIN(Первоначальный[[#This Row],[Полученный платеж]]+Y1540-SUM(Первоначальный[[#This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комиссиям]]),SUM(INDIRECT("M"&amp;(MAX((1=S$12:S1540)*ROW(S$12:S1540),ROW($W$12))&amp;":M"&amp;(ROW()))))-SUM(INDIRECT("W"&amp;(MAX((1=S$12:S1540)*ROW(S$12:S1540),ROW($W$12))&amp;":W"&amp;(ROW()-1)))))
)
)</f>
        <v>0</v>
      </c>
      <c r="X1541" s="55">
        <f t="shared" ca="1" si="280"/>
        <v>0</v>
      </c>
      <c r="Y1541" s="101">
        <f t="shared" ca="1" si="287"/>
        <v>0</v>
      </c>
      <c r="Z1541" s="133" t="str">
        <f>IF(TYPE((VLOOKUP(Первоначальный[[#This Row],[Дата платежа]],График[Срок конец],1,0)))=16,"",1)</f>
        <v/>
      </c>
      <c r="AA1541" s="57"/>
      <c r="AB1541" s="134"/>
      <c r="AC154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4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109227.40999999997</v>
      </c>
      <c r="AE154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10357.10999999997</v>
      </c>
      <c r="AF154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4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502548.42921147647</v>
      </c>
      <c r="AH1541" s="55"/>
      <c r="AI1541" s="55"/>
      <c r="AJ1541" s="55"/>
      <c r="AK1541" s="101">
        <f t="shared" ca="1" si="288"/>
        <v>771766.28921147645</v>
      </c>
      <c r="AL1541" s="129">
        <f t="array" ref="AL1541">MAX((УслРестрактов[Характеристика]="Дата реструктуризации")*(УслРестрактов[Значение]=Первоначальный!$A1541),0)</f>
        <v>0</v>
      </c>
    </row>
    <row r="1542" spans="1:38" x14ac:dyDescent="0.25">
      <c r="A1542" s="97">
        <f t="shared" si="281"/>
        <v>45673</v>
      </c>
      <c r="B1542" s="100">
        <f t="shared" ca="1" si="282"/>
        <v>149633.34</v>
      </c>
      <c r="C1542" s="55">
        <f t="shared" ca="1" si="290"/>
        <v>109227.40999999997</v>
      </c>
      <c r="D1542" s="55">
        <f t="shared" ca="1" si="290"/>
        <v>10357.10999999997</v>
      </c>
      <c r="E1542" s="55">
        <f t="shared" ca="1" si="283"/>
        <v>0</v>
      </c>
      <c r="F1542" s="55">
        <f t="shared" ca="1" si="284"/>
        <v>502548.42921147647</v>
      </c>
      <c r="G1542" s="101">
        <f t="shared" ca="1" si="285"/>
        <v>771766.28921147645</v>
      </c>
      <c r="H1542" s="100">
        <f ca="1">ROUND($B1542*VLOOKUP($A1542,$A$1:$B$10,2,1)/(365+IF(MOD(YEAR($A1542),4),0,1)*($A1542-$A1541)),2)-Первоначальный[[#This Row],[Проценты на просроченный платеж по ОД за период]]</f>
        <v>65.11</v>
      </c>
      <c r="I1542" s="55">
        <f t="shared" ca="1" si="286"/>
        <v>16.47</v>
      </c>
      <c r="J1542" s="55">
        <v>0</v>
      </c>
      <c r="K1542" s="55">
        <f t="shared" ca="1" si="289"/>
        <v>695.21350327868845</v>
      </c>
      <c r="L1542" s="55">
        <v>0</v>
      </c>
      <c r="M1542" s="113">
        <f>SUMIFS(График[Возврат основной суммы долга],График[Дата с учетом нерабочих дней],$A1542)</f>
        <v>0</v>
      </c>
      <c r="N1542" s="56">
        <f>SUMIFS(График[Возврат начисленных %],График[Дата с учетом нерабочих дней],$A1542)</f>
        <v>0</v>
      </c>
      <c r="O1542" s="101">
        <v>0</v>
      </c>
      <c r="P1542" s="100" cm="1">
        <f t="array" aca="1" ref="P1542" ca="1">MAX(IF(AA1541="Да",0,SUM(INDIRECT("M"&amp;(MAX(("Да"=AA$12:AA1541)*ROW(AA$12:AA1541)+1,ROW($P$12))&amp;":M"&amp;(ROW()))))-SUM(INDIRECT("W"&amp;(MAX(("Да"=AA$12:AA1541)*ROW(AA$12:AA1541)+1,ROW($P$12))&amp;":W"&amp;(ROW()))))),0)</f>
        <v>30212.6</v>
      </c>
      <c r="Q1542" s="99">
        <f ca="1">MAX(SUM($N$13:N1542)-SUM($T$13:T1542),0)</f>
        <v>108830.1006557377</v>
      </c>
      <c r="R1542" s="99">
        <f ca="1">Первоначальный[[#This Row],[Просроченный платеж по ОД]]+Первоначальный[[#This Row],[Просроченный платеж по процентам]]</f>
        <v>139042.70065573769</v>
      </c>
      <c r="S1542" s="120">
        <f ca="1">IF(Первоначальный[[#This Row],[Просроченный платеж]]&lt;1,0,S1541+1)</f>
        <v>1438</v>
      </c>
      <c r="T1542" s="100" cm="1">
        <f t="array" aca="1" ref="T1542" ca="1">IF(Первоначальный[[#This Row],[Итого остаток на начало периода]]&lt;1,0,
IF(
AND(TYPE(VLOOKUP(1,$Z$12:Z1542,1,0))=16,Первоначальный[[#This Row],[Досрочное погашение (да/"")]]=""),0,
_xlfn.IFS(AND(S1541=0,Первоначальный[[#This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платеж]]&lt;&gt;0),MIN(LOOKUP(,-1/($Z$12:Z1542=1),$C$12:C1542)+LOOKUP(,-1/($Z$12:Z1542=1),$H$12:H1542),Первоначальный[[#This Row],[Полученный платеж]]+Y1541),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платеж]]+Y1541,SUM(Первоначальный[[#This Row],[Остаток процентов на начало периода]],Первоначальный[[#This Row],[Проценты за период]])),
AND(S1541=0,Первоначальный[[#This Row],[Дата платежа из графика]]=""),0,
AND(S1541=0,Первоначальный[[#This Row],[Дата платежа из графика]]=1,MAX((0&lt;&gt;S$12:S1541)*ROW(S$12:S1541),ROW($S$12))&gt;=MAX((1=Z$12:Z1541)*ROW(Z$12:Z1541),ROW($T$12)),TYPE(VLOOKUP("Да",(INDIRECT("AA"&amp;(MAX((1=Z$12:Z1541)*ROW(Z$12:Z1541),ROW($T$12))&amp;":AA"&amp;(ROW()-1)))),1,0))=16),MIN(LOOKUP(,-1/($Z$12:Z1542=1),$C$12:C1542)+LOOKUP(,-1/($Z$12:Z1542=1),$H$12:H1542),Первоначальный[[#This Row],[Полученный платеж]]+Y1541),
AND(S1541=0,TYPE(VLOOKUP("Да",(INDIRECT("AA"&amp;(MAX((1=Z$12:Z1541)*ROW(Z$12:Z1541),ROW($T$12))&amp;":AA"&amp;(ROW()-1)))),1,0))&lt;&gt;16),MIN(LOOKUP(,-1/($Z$12:Z1542=1),$C$12:C1542)+LOOKUP(,-1/($Z$12:Z1542=1),$H$12:H1542)-IF(AA1541="Да",0,SUM(INDIRECT("T"&amp;(MAX(("Да"=AA$12:AA1541)*ROW(AA$12:AA1541)+1,ROW($T$12))&amp;":T"&amp;(ROW()-1))))),Первоначальный[[#This Row],[Полученный платеж]]+Y1541),
AND(S1541=0,MAX((0&lt;&gt;N$12:N1541)*ROW(N$12:N1541),ROW($S$12))&gt;=MAX((1=Z$12:Z1541)*ROW(Z$12:Z1541),ROW($T$12))),MIN(LOOKUP(,-1/($Z$12:Z1542=1),$C$12:C1542)+LOOKUP(,-1/($Z$12:Z1542=1),$H$12:H1542)-IF(N1541&lt;&gt;0,0,SUM(INDIRECT("T"&amp;(MAX((0&lt;&gt;N$12:N1541)*ROW(N$12:N1541)+1,ROW($T$12))&amp;":T"&amp;(ROW()-1))))),Первоначальный[[#This Row],[Полученный платеж]]+Y1541),
AND(S1541=0,Первоначальный[[#This Row],[Дата платежа из графика]]=1),MIN(LOOKUP(,-1/($Z$12:Z1542=1),$C$12:C1542)+LOOKUP(,-1/($Z$12:Z1542=1),$H$12:H1542)-IF(Z1541=1,0,SUM(INDIRECT("T"&amp;(MAX((1=Z$12:Z1541)*ROW(Z$12:Z1541)+1,ROW($T$12))&amp;":T"&amp;(ROW()-1))))),Первоначальный[[#This Row],[Полученный платеж]]+Y1541),
AND(Z1541&gt;0,Первоначальный[[#This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платеж]]+Y1541),
AND(S1541&gt;0,MAX((0&lt;&gt;S$12:S1541)*ROW(S$12:S1541),ROW($S$12))&gt;=MAX((1=Z$12:Z1541)*ROW(Z$12:Z1541),ROW($T$12)),TYPE(VLOOKUP("Да",(INDIRECT("AA"&amp;(MAX((1=Z$12:Z1541)*ROW(Z$12:Z1541),ROW($T$12))&amp;":AA"&amp;(ROW()-1)))),1,0))=16),MIN(LOOKUP(,-1/($Z$12:Z1542=1),$C$12:C1542)+LOOKUP(,-1/($Z$12:Z1542=1),$H$12:H1542)-SUM(INDIRECT("T"&amp;(MAX((1=Z$12:Z1541)*ROW(Z$12:Z1541),ROW($T$12))&amp;":T"&amp;(ROW()-1)))),Первоначальный[[#This Row],[Полученный платеж]]+Y1541),
S1541&gt;0,MIN(LOOKUP(,-1/($Z$12:Z1542=1),$C$12:C1542)+LOOKUP(,-1/($Z$12:Z1542=1),$H$12:H1542)-IF(Z1541=1,0,SUM(INDIRECT("T"&amp;(MAX((1=Z$12:Z1541)*ROW(Z$12:Z1541)+1,ROW($T$12))&amp;":T"&amp;(ROW()-1))))),Первоначальный[[#This Row],[Полученный платеж]]+Y1541)
)
)
)</f>
        <v>0</v>
      </c>
      <c r="U154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платеж]]+Y1541-Первоначальный[[#This Row],[Полученный платёж по процентам]])</f>
        <v>0</v>
      </c>
      <c r="V1542" s="55">
        <f t="shared" ca="1" si="279"/>
        <v>0</v>
      </c>
      <c r="W1542" s="55" cm="1">
        <f t="array" aca="1" ref="W1542" ca="1">IF(Первоначальный[[#This Row],[Итого остаток на начало периода]]&lt;1,0,
_xlfn.IFS(
AND(TYPE(VLOOKUP(1,$Z$12:Z1542,1,0))=16,Первоначальный[[#This Row],[Досрочное погашение (да/"")]]=""),0,
AND(S1541=0,Первоначальный[[#This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платеж]]+Y1541-SUM(Первоначальный[[#This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комиссиям]]),VLOOKUP(LOOKUP(,-1/($Z$12:Z1542=1),$A$12:A1542),График[[Срок конец]:[Возврат основной суммы долга]],3,0)),
AND(S1541=0,Первоначальный[[#This Row],[Дата платежа из графика]]="",Первоначальный[[#This Row],[Досрочное погашение (да/"")]]&lt;&gt;"Да"),0,
AND(S1541=0,Первоначальный[[#This Row],[Досрочное погашение (да/"")]]=""),MIN(Первоначальный[[#This Row],[Полученный платеж]]+Y1541-SUM(Первоначальный[[#This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комиссиям]]),VLOOKUP(LOOKUP(,-1/($Z$12:Z1542=1),$A$12:A1542),График[[Срок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платеж]]+Y1541-SUM(Первоначальный[[#This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S1541&gt;0,MIN(Первоначальный[[#This Row],[Полученный платеж]]+Y1541-SUM(Первоначальный[[#This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комиссиям]]),SUM(INDIRECT("M"&amp;(MAX((1=S$12:S1541)*ROW(S$12:S1541),ROW($W$12))&amp;":M"&amp;(ROW()))))-SUM(INDIRECT("W"&amp;(MAX((1=S$12:S1541)*ROW(S$12:S1541),ROW($W$12))&amp;":W"&amp;(ROW()-1)))))
)
)</f>
        <v>0</v>
      </c>
      <c r="X1542" s="55">
        <f t="shared" ca="1" si="280"/>
        <v>0</v>
      </c>
      <c r="Y1542" s="101">
        <f t="shared" ca="1" si="287"/>
        <v>0</v>
      </c>
      <c r="Z1542" s="133" t="str">
        <f>IF(TYPE((VLOOKUP(Первоначальный[[#This Row],[Дата платежа]],График[Срок конец],1,0)))=16,"",1)</f>
        <v/>
      </c>
      <c r="AA1542" s="57"/>
      <c r="AB1542" s="134"/>
      <c r="AC154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4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109292.51999999997</v>
      </c>
      <c r="AE154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10373.579999999969</v>
      </c>
      <c r="AF154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4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503243.64271475514</v>
      </c>
      <c r="AH1542" s="55"/>
      <c r="AI1542" s="55"/>
      <c r="AJ1542" s="55"/>
      <c r="AK1542" s="101">
        <f t="shared" ca="1" si="288"/>
        <v>772543.08271475509</v>
      </c>
      <c r="AL1542" s="129">
        <f t="array" ref="AL1542">MAX((УслРестрактов[Характеристика]="Дата реструктуризации")*(УслРестрактов[Значение]=Первоначальный!$A1542),0)</f>
        <v>0</v>
      </c>
    </row>
    <row r="1543" spans="1:38" x14ac:dyDescent="0.25">
      <c r="A1543" s="97">
        <f t="shared" si="281"/>
        <v>45674</v>
      </c>
      <c r="B1543" s="100">
        <f t="shared" ca="1" si="282"/>
        <v>149633.34</v>
      </c>
      <c r="C1543" s="55">
        <f t="shared" ca="1" si="290"/>
        <v>109292.51999999997</v>
      </c>
      <c r="D1543" s="55">
        <f t="shared" ca="1" si="290"/>
        <v>10373.579999999969</v>
      </c>
      <c r="E1543" s="55">
        <f t="shared" ca="1" si="283"/>
        <v>0</v>
      </c>
      <c r="F1543" s="55">
        <f t="shared" ca="1" si="284"/>
        <v>503243.64271475514</v>
      </c>
      <c r="G1543" s="101">
        <f t="shared" ca="1" si="285"/>
        <v>772543.08271475509</v>
      </c>
      <c r="H1543" s="100">
        <f ca="1">ROUND($B1543*VLOOKUP($A1543,$A$1:$B$10,2,1)/(365+IF(MOD(YEAR($A1543),4),0,1)*($A1543-$A1542)),2)-Первоначальный[[#This Row],[Проценты на просроченный платеж по ОД за период]]</f>
        <v>65.11</v>
      </c>
      <c r="I1543" s="55">
        <f t="shared" ca="1" si="286"/>
        <v>16.47</v>
      </c>
      <c r="J1543" s="55">
        <v>0</v>
      </c>
      <c r="K1543" s="55">
        <f t="shared" ca="1" si="289"/>
        <v>695.21350327868845</v>
      </c>
      <c r="L1543" s="55">
        <v>0</v>
      </c>
      <c r="M1543" s="113">
        <f>SUMIFS(График[Возврат основной суммы долга],График[Дата с учетом нерабочих дней],$A1543)</f>
        <v>0</v>
      </c>
      <c r="N1543" s="56">
        <f>SUMIFS(График[Возврат начисленных %],График[Дата с учетом нерабочих дней],$A1543)</f>
        <v>0</v>
      </c>
      <c r="O1543" s="101">
        <v>0</v>
      </c>
      <c r="P1543" s="100" cm="1">
        <f t="array" aca="1" ref="P1543" ca="1">MAX(IF(AA1542="Да",0,SUM(INDIRECT("M"&amp;(MAX(("Да"=AA$12:AA1542)*ROW(AA$12:AA1542)+1,ROW($P$12))&amp;":M"&amp;(ROW()))))-SUM(INDIRECT("W"&amp;(MAX(("Да"=AA$12:AA1542)*ROW(AA$12:AA1542)+1,ROW($P$12))&amp;":W"&amp;(ROW()))))),0)</f>
        <v>30212.6</v>
      </c>
      <c r="Q1543" s="99">
        <f ca="1">MAX(SUM($N$13:N1543)-SUM($T$13:T1543),0)</f>
        <v>108830.1006557377</v>
      </c>
      <c r="R1543" s="99">
        <f ca="1">Первоначальный[[#This Row],[Просроченный платеж по ОД]]+Первоначальный[[#This Row],[Просроченный платеж по процентам]]</f>
        <v>139042.70065573769</v>
      </c>
      <c r="S1543" s="120">
        <f ca="1">IF(Первоначальный[[#This Row],[Просроченный платеж]]&lt;1,0,S1542+1)</f>
        <v>1439</v>
      </c>
      <c r="T1543" s="100" cm="1">
        <f t="array" aca="1" ref="T1543" ca="1">IF(Первоначальный[[#This Row],[Итого остаток на начало периода]]&lt;1,0,
IF(
AND(TYPE(VLOOKUP(1,$Z$12:Z1543,1,0))=16,Первоначальный[[#This Row],[Досрочное погашение (да/"")]]=""),0,
_xlfn.IFS(AND(S1542=0,Первоначальный[[#This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платеж]]&lt;&gt;0),MIN(LOOKUP(,-1/($Z$12:Z1543=1),$C$12:C1543)+LOOKUP(,-1/($Z$12:Z1543=1),$H$12:H1543),Первоначальный[[#This Row],[Полученный платеж]]+Y1542),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платеж]]+Y1542,SUM(Первоначальный[[#This Row],[Остаток процентов на начало периода]],Первоначальный[[#This Row],[Проценты за период]])),
AND(S1542=0,Первоначальный[[#This Row],[Дата платежа из графика]]=""),0,
AND(S1542=0,Первоначальный[[#This Row],[Дата платежа из графика]]=1,MAX((0&lt;&gt;S$12:S1542)*ROW(S$12:S1542),ROW($S$12))&gt;=MAX((1=Z$12:Z1542)*ROW(Z$12:Z1542),ROW($T$12)),TYPE(VLOOKUP("Да",(INDIRECT("AA"&amp;(MAX((1=Z$12:Z1542)*ROW(Z$12:Z1542),ROW($T$12))&amp;":AA"&amp;(ROW()-1)))),1,0))=16),MIN(LOOKUP(,-1/($Z$12:Z1543=1),$C$12:C1543)+LOOKUP(,-1/($Z$12:Z1543=1),$H$12:H1543),Первоначальный[[#This Row],[Полученный платеж]]+Y1542),
AND(S1542=0,TYPE(VLOOKUP("Да",(INDIRECT("AA"&amp;(MAX((1=Z$12:Z1542)*ROW(Z$12:Z1542),ROW($T$12))&amp;":AA"&amp;(ROW()-1)))),1,0))&lt;&gt;16),MIN(LOOKUP(,-1/($Z$12:Z1543=1),$C$12:C1543)+LOOKUP(,-1/($Z$12:Z1543=1),$H$12:H1543)-IF(AA1542="Да",0,SUM(INDIRECT("T"&amp;(MAX(("Да"=AA$12:AA1542)*ROW(AA$12:AA1542)+1,ROW($T$12))&amp;":T"&amp;(ROW()-1))))),Первоначальный[[#This Row],[Полученный платеж]]+Y1542),
AND(S1542=0,MAX((0&lt;&gt;N$12:N1542)*ROW(N$12:N1542),ROW($S$12))&gt;=MAX((1=Z$12:Z1542)*ROW(Z$12:Z1542),ROW($T$12))),MIN(LOOKUP(,-1/($Z$12:Z1543=1),$C$12:C1543)+LOOKUP(,-1/($Z$12:Z1543=1),$H$12:H1543)-IF(N1542&lt;&gt;0,0,SUM(INDIRECT("T"&amp;(MAX((0&lt;&gt;N$12:N1542)*ROW(N$12:N1542)+1,ROW($T$12))&amp;":T"&amp;(ROW()-1))))),Первоначальный[[#This Row],[Полученный платеж]]+Y1542),
AND(S1542=0,Первоначальный[[#This Row],[Дата платежа из графика]]=1),MIN(LOOKUP(,-1/($Z$12:Z1543=1),$C$12:C1543)+LOOKUP(,-1/($Z$12:Z1543=1),$H$12:H1543)-IF(Z1542=1,0,SUM(INDIRECT("T"&amp;(MAX((1=Z$12:Z1542)*ROW(Z$12:Z1542)+1,ROW($T$12))&amp;":T"&amp;(ROW()-1))))),Первоначальный[[#This Row],[Полученный платеж]]+Y1542),
AND(Z1542&gt;0,Первоначальный[[#This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платеж]]+Y1542),
AND(S1542&gt;0,MAX((0&lt;&gt;S$12:S1542)*ROW(S$12:S1542),ROW($S$12))&gt;=MAX((1=Z$12:Z1542)*ROW(Z$12:Z1542),ROW($T$12)),TYPE(VLOOKUP("Да",(INDIRECT("AA"&amp;(MAX((1=Z$12:Z1542)*ROW(Z$12:Z1542),ROW($T$12))&amp;":AA"&amp;(ROW()-1)))),1,0))=16),MIN(LOOKUP(,-1/($Z$12:Z1543=1),$C$12:C1543)+LOOKUP(,-1/($Z$12:Z1543=1),$H$12:H1543)-SUM(INDIRECT("T"&amp;(MAX((1=Z$12:Z1542)*ROW(Z$12:Z1542),ROW($T$12))&amp;":T"&amp;(ROW()-1)))),Первоначальный[[#This Row],[Полученный платеж]]+Y1542),
S1542&gt;0,MIN(LOOKUP(,-1/($Z$12:Z1543=1),$C$12:C1543)+LOOKUP(,-1/($Z$12:Z1543=1),$H$12:H1543)-IF(Z1542=1,0,SUM(INDIRECT("T"&amp;(MAX((1=Z$12:Z1542)*ROW(Z$12:Z1542)+1,ROW($T$12))&amp;":T"&amp;(ROW()-1))))),Первоначальный[[#This Row],[Полученный платеж]]+Y1542)
)
)
)</f>
        <v>0</v>
      </c>
      <c r="U154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платеж]]+Y1542-Первоначальный[[#This Row],[Полученный платёж по процентам]])</f>
        <v>0</v>
      </c>
      <c r="V1543" s="55">
        <f t="shared" ca="1" si="279"/>
        <v>0</v>
      </c>
      <c r="W1543" s="55" cm="1">
        <f t="array" aca="1" ref="W1543" ca="1">IF(Первоначальный[[#This Row],[Итого остаток на начало периода]]&lt;1,0,
_xlfn.IFS(
AND(TYPE(VLOOKUP(1,$Z$12:Z1543,1,0))=16,Первоначальный[[#This Row],[Досрочное погашение (да/"")]]=""),0,
AND(S1542=0,Первоначальный[[#This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платеж]]+Y1542-SUM(Первоначальный[[#This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комиссиям]]),VLOOKUP(LOOKUP(,-1/($Z$12:Z1543=1),$A$12:A1543),График[[Срок конец]:[Возврат основной суммы долга]],3,0)),
AND(S1542=0,Первоначальный[[#This Row],[Дата платежа из графика]]="",Первоначальный[[#This Row],[Досрочное погашение (да/"")]]&lt;&gt;"Да"),0,
AND(S1542=0,Первоначальный[[#This Row],[Досрочное погашение (да/"")]]=""),MIN(Первоначальный[[#This Row],[Полученный платеж]]+Y1542-SUM(Первоначальный[[#This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комиссиям]]),VLOOKUP(LOOKUP(,-1/($Z$12:Z1543=1),$A$12:A1543),График[[Срок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платеж]]+Y1542-SUM(Первоначальный[[#This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S1542&gt;0,MIN(Первоначальный[[#This Row],[Полученный платеж]]+Y1542-SUM(Первоначальный[[#This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комиссиям]]),SUM(INDIRECT("M"&amp;(MAX((1=S$12:S1542)*ROW(S$12:S1542),ROW($W$12))&amp;":M"&amp;(ROW()))))-SUM(INDIRECT("W"&amp;(MAX((1=S$12:S1542)*ROW(S$12:S1542),ROW($W$12))&amp;":W"&amp;(ROW()-1)))))
)
)</f>
        <v>0</v>
      </c>
      <c r="X1543" s="55">
        <f t="shared" ca="1" si="280"/>
        <v>0</v>
      </c>
      <c r="Y1543" s="101">
        <f t="shared" ca="1" si="287"/>
        <v>0</v>
      </c>
      <c r="Z1543" s="133" t="str">
        <f>IF(TYPE((VLOOKUP(Первоначальный[[#This Row],[Дата платежа]],График[Срок конец],1,0)))=16,"",1)</f>
        <v/>
      </c>
      <c r="AA1543" s="57"/>
      <c r="AB1543" s="134"/>
      <c r="AC154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4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109357.62999999998</v>
      </c>
      <c r="AE154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10390.049999999968</v>
      </c>
      <c r="AF154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4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503938.85621803382</v>
      </c>
      <c r="AH1543" s="55"/>
      <c r="AI1543" s="55"/>
      <c r="AJ1543" s="55"/>
      <c r="AK1543" s="101">
        <f t="shared" ca="1" si="288"/>
        <v>773319.87621803372</v>
      </c>
      <c r="AL1543" s="129">
        <f t="array" ref="AL1543">MAX((УслРестрактов[Характеристика]="Дата реструктуризации")*(УслРестрактов[Значение]=Первоначальный!$A1543),0)</f>
        <v>0</v>
      </c>
    </row>
    <row r="1544" spans="1:38" x14ac:dyDescent="0.25">
      <c r="A1544" s="97">
        <f t="shared" si="281"/>
        <v>45675</v>
      </c>
      <c r="B1544" s="100">
        <f t="shared" ca="1" si="282"/>
        <v>149633.34</v>
      </c>
      <c r="C1544" s="55">
        <f t="shared" ca="1" si="290"/>
        <v>109357.62999999998</v>
      </c>
      <c r="D1544" s="55">
        <f t="shared" ca="1" si="290"/>
        <v>10390.049999999968</v>
      </c>
      <c r="E1544" s="55">
        <f t="shared" ca="1" si="283"/>
        <v>0</v>
      </c>
      <c r="F1544" s="55">
        <f t="shared" ca="1" si="284"/>
        <v>503938.85621803382</v>
      </c>
      <c r="G1544" s="101">
        <f t="shared" ca="1" si="285"/>
        <v>773319.87621803372</v>
      </c>
      <c r="H1544" s="100">
        <f ca="1">ROUND($B1544*VLOOKUP($A1544,$A$1:$B$10,2,1)/(365+IF(MOD(YEAR($A1544),4),0,1)*($A1544-$A1543)),2)-Первоначальный[[#This Row],[Проценты на просроченный платеж по ОД за период]]</f>
        <v>65.11</v>
      </c>
      <c r="I1544" s="55">
        <f t="shared" ca="1" si="286"/>
        <v>16.47</v>
      </c>
      <c r="J1544" s="55">
        <v>0</v>
      </c>
      <c r="K1544" s="55">
        <f t="shared" ca="1" si="289"/>
        <v>695.21350327868845</v>
      </c>
      <c r="L1544" s="55">
        <v>0</v>
      </c>
      <c r="M1544" s="113">
        <f>SUMIFS(График[Возврат основной суммы долга],График[Дата с учетом нерабочих дней],$A1544)</f>
        <v>0</v>
      </c>
      <c r="N1544" s="56">
        <f>SUMIFS(График[Возврат начисленных %],График[Дата с учетом нерабочих дней],$A1544)</f>
        <v>0</v>
      </c>
      <c r="O1544" s="101">
        <v>0</v>
      </c>
      <c r="P1544" s="100" cm="1">
        <f t="array" aca="1" ref="P1544" ca="1">MAX(IF(AA1543="Да",0,SUM(INDIRECT("M"&amp;(MAX(("Да"=AA$12:AA1543)*ROW(AA$12:AA1543)+1,ROW($P$12))&amp;":M"&amp;(ROW()))))-SUM(INDIRECT("W"&amp;(MAX(("Да"=AA$12:AA1543)*ROW(AA$12:AA1543)+1,ROW($P$12))&amp;":W"&amp;(ROW()))))),0)</f>
        <v>30212.6</v>
      </c>
      <c r="Q1544" s="99">
        <f ca="1">MAX(SUM($N$13:N1544)-SUM($T$13:T1544),0)</f>
        <v>108830.1006557377</v>
      </c>
      <c r="R1544" s="99">
        <f ca="1">Первоначальный[[#This Row],[Просроченный платеж по ОД]]+Первоначальный[[#This Row],[Просроченный платеж по процентам]]</f>
        <v>139042.70065573769</v>
      </c>
      <c r="S1544" s="120">
        <f ca="1">IF(Первоначальный[[#This Row],[Просроченный платеж]]&lt;1,0,S1543+1)</f>
        <v>1440</v>
      </c>
      <c r="T1544" s="100" cm="1">
        <f t="array" aca="1" ref="T1544" ca="1">IF(Первоначальный[[#This Row],[Итого остаток на начало периода]]&lt;1,0,
IF(
AND(TYPE(VLOOKUP(1,$Z$12:Z1544,1,0))=16,Первоначальный[[#This Row],[Досрочное погашение (да/"")]]=""),0,
_xlfn.IFS(AND(S1543=0,Первоначальный[[#This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платеж]]&lt;&gt;0),MIN(LOOKUP(,-1/($Z$12:Z1544=1),$C$12:C1544)+LOOKUP(,-1/($Z$12:Z1544=1),$H$12:H1544),Первоначальный[[#This Row],[Полученный платеж]]+Y1543),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платеж]]+Y1543,SUM(Первоначальный[[#This Row],[Остаток процентов на начало периода]],Первоначальный[[#This Row],[Проценты за период]])),
AND(S1543=0,Первоначальный[[#This Row],[Дата платежа из графика]]=""),0,
AND(S1543=0,Первоначальный[[#This Row],[Дата платежа из графика]]=1,MAX((0&lt;&gt;S$12:S1543)*ROW(S$12:S1543),ROW($S$12))&gt;=MAX((1=Z$12:Z1543)*ROW(Z$12:Z1543),ROW($T$12)),TYPE(VLOOKUP("Да",(INDIRECT("AA"&amp;(MAX((1=Z$12:Z1543)*ROW(Z$12:Z1543),ROW($T$12))&amp;":AA"&amp;(ROW()-1)))),1,0))=16),MIN(LOOKUP(,-1/($Z$12:Z1544=1),$C$12:C1544)+LOOKUP(,-1/($Z$12:Z1544=1),$H$12:H1544),Первоначальный[[#This Row],[Полученный платеж]]+Y1543),
AND(S1543=0,TYPE(VLOOKUP("Да",(INDIRECT("AA"&amp;(MAX((1=Z$12:Z1543)*ROW(Z$12:Z1543),ROW($T$12))&amp;":AA"&amp;(ROW()-1)))),1,0))&lt;&gt;16),MIN(LOOKUP(,-1/($Z$12:Z1544=1),$C$12:C1544)+LOOKUP(,-1/($Z$12:Z1544=1),$H$12:H1544)-IF(AA1543="Да",0,SUM(INDIRECT("T"&amp;(MAX(("Да"=AA$12:AA1543)*ROW(AA$12:AA1543)+1,ROW($T$12))&amp;":T"&amp;(ROW()-1))))),Первоначальный[[#This Row],[Полученный платеж]]+Y1543),
AND(S1543=0,MAX((0&lt;&gt;N$12:N1543)*ROW(N$12:N1543),ROW($S$12))&gt;=MAX((1=Z$12:Z1543)*ROW(Z$12:Z1543),ROW($T$12))),MIN(LOOKUP(,-1/($Z$12:Z1544=1),$C$12:C1544)+LOOKUP(,-1/($Z$12:Z1544=1),$H$12:H1544)-IF(N1543&lt;&gt;0,0,SUM(INDIRECT("T"&amp;(MAX((0&lt;&gt;N$12:N1543)*ROW(N$12:N1543)+1,ROW($T$12))&amp;":T"&amp;(ROW()-1))))),Первоначальный[[#This Row],[Полученный платеж]]+Y1543),
AND(S1543=0,Первоначальный[[#This Row],[Дата платежа из графика]]=1),MIN(LOOKUP(,-1/($Z$12:Z1544=1),$C$12:C1544)+LOOKUP(,-1/($Z$12:Z1544=1),$H$12:H1544)-IF(Z1543=1,0,SUM(INDIRECT("T"&amp;(MAX((1=Z$12:Z1543)*ROW(Z$12:Z1543)+1,ROW($T$12))&amp;":T"&amp;(ROW()-1))))),Первоначальный[[#This Row],[Полученный платеж]]+Y1543),
AND(Z1543&gt;0,Первоначальный[[#This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платеж]]+Y1543),
AND(S1543&gt;0,MAX((0&lt;&gt;S$12:S1543)*ROW(S$12:S1543),ROW($S$12))&gt;=MAX((1=Z$12:Z1543)*ROW(Z$12:Z1543),ROW($T$12)),TYPE(VLOOKUP("Да",(INDIRECT("AA"&amp;(MAX((1=Z$12:Z1543)*ROW(Z$12:Z1543),ROW($T$12))&amp;":AA"&amp;(ROW()-1)))),1,0))=16),MIN(LOOKUP(,-1/($Z$12:Z1544=1),$C$12:C1544)+LOOKUP(,-1/($Z$12:Z1544=1),$H$12:H1544)-SUM(INDIRECT("T"&amp;(MAX((1=Z$12:Z1543)*ROW(Z$12:Z1543),ROW($T$12))&amp;":T"&amp;(ROW()-1)))),Первоначальный[[#This Row],[Полученный платеж]]+Y1543),
S1543&gt;0,MIN(LOOKUP(,-1/($Z$12:Z1544=1),$C$12:C1544)+LOOKUP(,-1/($Z$12:Z1544=1),$H$12:H1544)-IF(Z1543=1,0,SUM(INDIRECT("T"&amp;(MAX((1=Z$12:Z1543)*ROW(Z$12:Z1543)+1,ROW($T$12))&amp;":T"&amp;(ROW()-1))))),Первоначальный[[#This Row],[Полученный платеж]]+Y1543)
)
)
)</f>
        <v>0</v>
      </c>
      <c r="U154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платеж]]+Y1543-Первоначальный[[#This Row],[Полученный платёж по процентам]])</f>
        <v>0</v>
      </c>
      <c r="V1544" s="55">
        <f t="shared" ca="1" si="279"/>
        <v>0</v>
      </c>
      <c r="W1544" s="55" cm="1">
        <f t="array" aca="1" ref="W1544" ca="1">IF(Первоначальный[[#This Row],[Итого остаток на начало периода]]&lt;1,0,
_xlfn.IFS(
AND(TYPE(VLOOKUP(1,$Z$12:Z1544,1,0))=16,Первоначальный[[#This Row],[Досрочное погашение (да/"")]]=""),0,
AND(S1543=0,Первоначальный[[#This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платеж]]+Y1543-SUM(Первоначальный[[#This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комиссиям]]),VLOOKUP(LOOKUP(,-1/($Z$12:Z1544=1),$A$12:A1544),График[[Срок конец]:[Возврат основной суммы долга]],3,0)),
AND(S1543=0,Первоначальный[[#This Row],[Дата платежа из графика]]="",Первоначальный[[#This Row],[Досрочное погашение (да/"")]]&lt;&gt;"Да"),0,
AND(S1543=0,Первоначальный[[#This Row],[Досрочное погашение (да/"")]]=""),MIN(Первоначальный[[#This Row],[Полученный платеж]]+Y1543-SUM(Первоначальный[[#This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комиссиям]]),VLOOKUP(LOOKUP(,-1/($Z$12:Z1544=1),$A$12:A1544),График[[Срок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платеж]]+Y1543-SUM(Первоначальный[[#This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S1543&gt;0,MIN(Первоначальный[[#This Row],[Полученный платеж]]+Y1543-SUM(Первоначальный[[#This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комиссиям]]),SUM(INDIRECT("M"&amp;(MAX((1=S$12:S1543)*ROW(S$12:S1543),ROW($W$12))&amp;":M"&amp;(ROW()))))-SUM(INDIRECT("W"&amp;(MAX((1=S$12:S1543)*ROW(S$12:S1543),ROW($W$12))&amp;":W"&amp;(ROW()-1)))))
)
)</f>
        <v>0</v>
      </c>
      <c r="X1544" s="55">
        <f t="shared" ca="1" si="280"/>
        <v>0</v>
      </c>
      <c r="Y1544" s="101">
        <f t="shared" ca="1" si="287"/>
        <v>0</v>
      </c>
      <c r="Z1544" s="133" t="str">
        <f>IF(TYPE((VLOOKUP(Первоначальный[[#This Row],[Дата платежа]],График[Срок конец],1,0)))=16,"",1)</f>
        <v/>
      </c>
      <c r="AA1544" s="57"/>
      <c r="AB1544" s="134"/>
      <c r="AC154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4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109422.73999999998</v>
      </c>
      <c r="AE154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10406.519999999968</v>
      </c>
      <c r="AF154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4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504634.06972131249</v>
      </c>
      <c r="AH1544" s="55"/>
      <c r="AI1544" s="55"/>
      <c r="AJ1544" s="55"/>
      <c r="AK1544" s="101">
        <f t="shared" ca="1" si="288"/>
        <v>774096.66972131236</v>
      </c>
      <c r="AL1544" s="129">
        <f t="array" ref="AL1544">MAX((УслРестрактов[Характеристика]="Дата реструктуризации")*(УслРестрактов[Значение]=Первоначальный!$A1544),0)</f>
        <v>0</v>
      </c>
    </row>
    <row r="1545" spans="1:38" x14ac:dyDescent="0.25">
      <c r="A1545" s="97">
        <f t="shared" si="281"/>
        <v>45676</v>
      </c>
      <c r="B1545" s="100">
        <f t="shared" ca="1" si="282"/>
        <v>149633.34</v>
      </c>
      <c r="C1545" s="55">
        <f t="shared" ca="1" si="290"/>
        <v>109422.73999999998</v>
      </c>
      <c r="D1545" s="55">
        <f t="shared" ca="1" si="290"/>
        <v>10406.519999999968</v>
      </c>
      <c r="E1545" s="55">
        <f t="shared" ca="1" si="283"/>
        <v>0</v>
      </c>
      <c r="F1545" s="55">
        <f t="shared" ca="1" si="284"/>
        <v>504634.06972131249</v>
      </c>
      <c r="G1545" s="101">
        <f t="shared" ca="1" si="285"/>
        <v>774096.66972131236</v>
      </c>
      <c r="H1545" s="100">
        <f ca="1">ROUND($B1545*VLOOKUP($A1545,$A$1:$B$10,2,1)/(365+IF(MOD(YEAR($A1545),4),0,1)*($A1545-$A1544)),2)-Первоначальный[[#This Row],[Проценты на просроченный платеж по ОД за период]]</f>
        <v>65.11</v>
      </c>
      <c r="I1545" s="55">
        <f t="shared" ca="1" si="286"/>
        <v>16.47</v>
      </c>
      <c r="J1545" s="55">
        <v>0</v>
      </c>
      <c r="K1545" s="55">
        <f t="shared" ca="1" si="289"/>
        <v>695.21350327868845</v>
      </c>
      <c r="L1545" s="55">
        <v>0</v>
      </c>
      <c r="M1545" s="113">
        <f>SUMIFS(График[Возврат основной суммы долга],График[Дата с учетом нерабочих дней],$A1545)</f>
        <v>0</v>
      </c>
      <c r="N1545" s="56">
        <f>SUMIFS(График[Возврат начисленных %],График[Дата с учетом нерабочих дней],$A1545)</f>
        <v>0</v>
      </c>
      <c r="O1545" s="101">
        <v>0</v>
      </c>
      <c r="P1545" s="100" cm="1">
        <f t="array" aca="1" ref="P1545" ca="1">MAX(IF(AA1544="Да",0,SUM(INDIRECT("M"&amp;(MAX(("Да"=AA$12:AA1544)*ROW(AA$12:AA1544)+1,ROW($P$12))&amp;":M"&amp;(ROW()))))-SUM(INDIRECT("W"&amp;(MAX(("Да"=AA$12:AA1544)*ROW(AA$12:AA1544)+1,ROW($P$12))&amp;":W"&amp;(ROW()))))),0)</f>
        <v>30212.6</v>
      </c>
      <c r="Q1545" s="99">
        <f ca="1">MAX(SUM($N$13:N1545)-SUM($T$13:T1545),0)</f>
        <v>108830.1006557377</v>
      </c>
      <c r="R1545" s="99">
        <f ca="1">Первоначальный[[#This Row],[Просроченный платеж по ОД]]+Первоначальный[[#This Row],[Просроченный платеж по процентам]]</f>
        <v>139042.70065573769</v>
      </c>
      <c r="S1545" s="120">
        <f ca="1">IF(Первоначальный[[#This Row],[Просроченный платеж]]&lt;1,0,S1544+1)</f>
        <v>1441</v>
      </c>
      <c r="T1545" s="100" cm="1">
        <f t="array" aca="1" ref="T1545" ca="1">IF(Первоначальный[[#This Row],[Итого остаток на начало периода]]&lt;1,0,
IF(
AND(TYPE(VLOOKUP(1,$Z$12:Z1545,1,0))=16,Первоначальный[[#This Row],[Досрочное погашение (да/"")]]=""),0,
_xlfn.IFS(AND(S1544=0,Первоначальный[[#This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платеж]]&lt;&gt;0),MIN(LOOKUP(,-1/($Z$12:Z1545=1),$C$12:C1545)+LOOKUP(,-1/($Z$12:Z1545=1),$H$12:H1545),Первоначальный[[#This Row],[Полученный платеж]]+Y1544),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платеж]]+Y1544,SUM(Первоначальный[[#This Row],[Остаток процентов на начало периода]],Первоначальный[[#This Row],[Проценты за период]])),
AND(S1544=0,Первоначальный[[#This Row],[Дата платежа из графика]]=""),0,
AND(S1544=0,Первоначальный[[#This Row],[Дата платежа из графика]]=1,MAX((0&lt;&gt;S$12:S1544)*ROW(S$12:S1544),ROW($S$12))&gt;=MAX((1=Z$12:Z1544)*ROW(Z$12:Z1544),ROW($T$12)),TYPE(VLOOKUP("Да",(INDIRECT("AA"&amp;(MAX((1=Z$12:Z1544)*ROW(Z$12:Z1544),ROW($T$12))&amp;":AA"&amp;(ROW()-1)))),1,0))=16),MIN(LOOKUP(,-1/($Z$12:Z1545=1),$C$12:C1545)+LOOKUP(,-1/($Z$12:Z1545=1),$H$12:H1545),Первоначальный[[#This Row],[Полученный платеж]]+Y1544),
AND(S1544=0,TYPE(VLOOKUP("Да",(INDIRECT("AA"&amp;(MAX((1=Z$12:Z1544)*ROW(Z$12:Z1544),ROW($T$12))&amp;":AA"&amp;(ROW()-1)))),1,0))&lt;&gt;16),MIN(LOOKUP(,-1/($Z$12:Z1545=1),$C$12:C1545)+LOOKUP(,-1/($Z$12:Z1545=1),$H$12:H1545)-IF(AA1544="Да",0,SUM(INDIRECT("T"&amp;(MAX(("Да"=AA$12:AA1544)*ROW(AA$12:AA1544)+1,ROW($T$12))&amp;":T"&amp;(ROW()-1))))),Первоначальный[[#This Row],[Полученный платеж]]+Y1544),
AND(S1544=0,MAX((0&lt;&gt;N$12:N1544)*ROW(N$12:N1544),ROW($S$12))&gt;=MAX((1=Z$12:Z1544)*ROW(Z$12:Z1544),ROW($T$12))),MIN(LOOKUP(,-1/($Z$12:Z1545=1),$C$12:C1545)+LOOKUP(,-1/($Z$12:Z1545=1),$H$12:H1545)-IF(N1544&lt;&gt;0,0,SUM(INDIRECT("T"&amp;(MAX((0&lt;&gt;N$12:N1544)*ROW(N$12:N1544)+1,ROW($T$12))&amp;":T"&amp;(ROW()-1))))),Первоначальный[[#This Row],[Полученный платеж]]+Y1544),
AND(S1544=0,Первоначальный[[#This Row],[Дата платежа из графика]]=1),MIN(LOOKUP(,-1/($Z$12:Z1545=1),$C$12:C1545)+LOOKUP(,-1/($Z$12:Z1545=1),$H$12:H1545)-IF(Z1544=1,0,SUM(INDIRECT("T"&amp;(MAX((1=Z$12:Z1544)*ROW(Z$12:Z1544)+1,ROW($T$12))&amp;":T"&amp;(ROW()-1))))),Первоначальный[[#This Row],[Полученный платеж]]+Y1544),
AND(Z1544&gt;0,Первоначальный[[#This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платеж]]+Y1544),
AND(S1544&gt;0,MAX((0&lt;&gt;S$12:S1544)*ROW(S$12:S1544),ROW($S$12))&gt;=MAX((1=Z$12:Z1544)*ROW(Z$12:Z1544),ROW($T$12)),TYPE(VLOOKUP("Да",(INDIRECT("AA"&amp;(MAX((1=Z$12:Z1544)*ROW(Z$12:Z1544),ROW($T$12))&amp;":AA"&amp;(ROW()-1)))),1,0))=16),MIN(LOOKUP(,-1/($Z$12:Z1545=1),$C$12:C1545)+LOOKUP(,-1/($Z$12:Z1545=1),$H$12:H1545)-SUM(INDIRECT("T"&amp;(MAX((1=Z$12:Z1544)*ROW(Z$12:Z1544),ROW($T$12))&amp;":T"&amp;(ROW()-1)))),Первоначальный[[#This Row],[Полученный платеж]]+Y1544),
S1544&gt;0,MIN(LOOKUP(,-1/($Z$12:Z1545=1),$C$12:C1545)+LOOKUP(,-1/($Z$12:Z1545=1),$H$12:H1545)-IF(Z1544=1,0,SUM(INDIRECT("T"&amp;(MAX((1=Z$12:Z1544)*ROW(Z$12:Z1544)+1,ROW($T$12))&amp;":T"&amp;(ROW()-1))))),Первоначальный[[#This Row],[Полученный платеж]]+Y1544)
)
)
)</f>
        <v>0</v>
      </c>
      <c r="U154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платеж]]+Y1544-Первоначальный[[#This Row],[Полученный платёж по процентам]])</f>
        <v>0</v>
      </c>
      <c r="V1545" s="55">
        <f t="shared" ca="1" si="279"/>
        <v>0</v>
      </c>
      <c r="W1545" s="55" cm="1">
        <f t="array" aca="1" ref="W1545" ca="1">IF(Первоначальный[[#This Row],[Итого остаток на начало периода]]&lt;1,0,
_xlfn.IFS(
AND(TYPE(VLOOKUP(1,$Z$12:Z1545,1,0))=16,Первоначальный[[#This Row],[Досрочное погашение (да/"")]]=""),0,
AND(S1544=0,Первоначальный[[#This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платеж]]+Y1544-SUM(Первоначальный[[#This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комиссиям]]),VLOOKUP(LOOKUP(,-1/($Z$12:Z1545=1),$A$12:A1545),График[[Срок конец]:[Возврат основной суммы долга]],3,0)),
AND(S1544=0,Первоначальный[[#This Row],[Дата платежа из графика]]="",Первоначальный[[#This Row],[Досрочное погашение (да/"")]]&lt;&gt;"Да"),0,
AND(S1544=0,Первоначальный[[#This Row],[Досрочное погашение (да/"")]]=""),MIN(Первоначальный[[#This Row],[Полученный платеж]]+Y1544-SUM(Первоначальный[[#This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комиссиям]]),VLOOKUP(LOOKUP(,-1/($Z$12:Z1545=1),$A$12:A1545),График[[Срок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платеж]]+Y1544-SUM(Первоначальный[[#This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S1544&gt;0,MIN(Первоначальный[[#This Row],[Полученный платеж]]+Y1544-SUM(Первоначальный[[#This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комиссиям]]),SUM(INDIRECT("M"&amp;(MAX((1=S$12:S1544)*ROW(S$12:S1544),ROW($W$12))&amp;":M"&amp;(ROW()))))-SUM(INDIRECT("W"&amp;(MAX((1=S$12:S1544)*ROW(S$12:S1544),ROW($W$12))&amp;":W"&amp;(ROW()-1)))))
)
)</f>
        <v>0</v>
      </c>
      <c r="X1545" s="55">
        <f t="shared" ca="1" si="280"/>
        <v>0</v>
      </c>
      <c r="Y1545" s="101">
        <f t="shared" ca="1" si="287"/>
        <v>0</v>
      </c>
      <c r="Z1545" s="133" t="str">
        <f>IF(TYPE((VLOOKUP(Первоначальный[[#This Row],[Дата платежа]],График[Срок конец],1,0)))=16,"",1)</f>
        <v/>
      </c>
      <c r="AA1545" s="57"/>
      <c r="AB1545" s="134"/>
      <c r="AC154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4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109487.84999999998</v>
      </c>
      <c r="AE154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10422.989999999967</v>
      </c>
      <c r="AF154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4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505329.28322459117</v>
      </c>
      <c r="AH1545" s="55"/>
      <c r="AI1545" s="55"/>
      <c r="AJ1545" s="55"/>
      <c r="AK1545" s="101">
        <f t="shared" ca="1" si="288"/>
        <v>774873.46322459111</v>
      </c>
      <c r="AL1545" s="129">
        <f t="array" ref="AL1545">MAX((УслРестрактов[Характеристика]="Дата реструктуризации")*(УслРестрактов[Значение]=Первоначальный!$A1545),0)</f>
        <v>0</v>
      </c>
    </row>
    <row r="1546" spans="1:38" x14ac:dyDescent="0.25">
      <c r="A1546" s="97">
        <f t="shared" si="281"/>
        <v>45677</v>
      </c>
      <c r="B1546" s="100">
        <f t="shared" ca="1" si="282"/>
        <v>149633.34</v>
      </c>
      <c r="C1546" s="55">
        <f t="shared" ca="1" si="290"/>
        <v>109487.84999999998</v>
      </c>
      <c r="D1546" s="55">
        <f t="shared" ca="1" si="290"/>
        <v>10422.989999999967</v>
      </c>
      <c r="E1546" s="55">
        <f t="shared" ca="1" si="283"/>
        <v>0</v>
      </c>
      <c r="F1546" s="55">
        <f t="shared" ca="1" si="284"/>
        <v>505329.28322459117</v>
      </c>
      <c r="G1546" s="101">
        <f t="shared" ca="1" si="285"/>
        <v>774873.46322459111</v>
      </c>
      <c r="H1546" s="100">
        <f ca="1">ROUND($B1546*VLOOKUP($A1546,$A$1:$B$10,2,1)/(365+IF(MOD(YEAR($A1546),4),0,1)*($A1546-$A1545)),2)-Первоначальный[[#This Row],[Проценты на просроченный платеж по ОД за период]]</f>
        <v>65.11</v>
      </c>
      <c r="I1546" s="55">
        <f t="shared" ca="1" si="286"/>
        <v>16.47</v>
      </c>
      <c r="J1546" s="55">
        <v>0</v>
      </c>
      <c r="K1546" s="55">
        <f t="shared" ca="1" si="289"/>
        <v>695.21350327868845</v>
      </c>
      <c r="L1546" s="55">
        <v>0</v>
      </c>
      <c r="M1546" s="113">
        <f>SUMIFS(График[Возврат основной суммы долга],График[Дата с учетом нерабочих дней],$A1546)</f>
        <v>0</v>
      </c>
      <c r="N1546" s="56">
        <f>SUMIFS(График[Возврат начисленных %],График[Дата с учетом нерабочих дней],$A1546)</f>
        <v>0</v>
      </c>
      <c r="O1546" s="101">
        <v>0</v>
      </c>
      <c r="P1546" s="100" cm="1">
        <f t="array" aca="1" ref="P1546" ca="1">MAX(IF(AA1545="Да",0,SUM(INDIRECT("M"&amp;(MAX(("Да"=AA$12:AA1545)*ROW(AA$12:AA1545)+1,ROW($P$12))&amp;":M"&amp;(ROW()))))-SUM(INDIRECT("W"&amp;(MAX(("Да"=AA$12:AA1545)*ROW(AA$12:AA1545)+1,ROW($P$12))&amp;":W"&amp;(ROW()))))),0)</f>
        <v>30212.6</v>
      </c>
      <c r="Q1546" s="99">
        <f ca="1">MAX(SUM($N$13:N1546)-SUM($T$13:T1546),0)</f>
        <v>108830.1006557377</v>
      </c>
      <c r="R1546" s="99">
        <f ca="1">Первоначальный[[#This Row],[Просроченный платеж по ОД]]+Первоначальный[[#This Row],[Просроченный платеж по процентам]]</f>
        <v>139042.70065573769</v>
      </c>
      <c r="S1546" s="120">
        <f ca="1">IF(Первоначальный[[#This Row],[Просроченный платеж]]&lt;1,0,S1545+1)</f>
        <v>1442</v>
      </c>
      <c r="T1546" s="100" cm="1">
        <f t="array" aca="1" ref="T1546" ca="1">IF(Первоначальный[[#This Row],[Итого остаток на начало периода]]&lt;1,0,
IF(
AND(TYPE(VLOOKUP(1,$Z$12:Z1546,1,0))=16,Первоначальный[[#This Row],[Досрочное погашение (да/"")]]=""),0,
_xlfn.IFS(AND(S1545=0,Первоначальный[[#This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платеж]]&lt;&gt;0),MIN(LOOKUP(,-1/($Z$12:Z1546=1),$C$12:C1546)+LOOKUP(,-1/($Z$12:Z1546=1),$H$12:H1546),Первоначальный[[#This Row],[Полученный платеж]]+Y1545),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платеж]]+Y1545,SUM(Первоначальный[[#This Row],[Остаток процентов на начало периода]],Первоначальный[[#This Row],[Проценты за период]])),
AND(S1545=0,Первоначальный[[#This Row],[Дата платежа из графика]]=""),0,
AND(S1545=0,Первоначальный[[#This Row],[Дата платежа из графика]]=1,MAX((0&lt;&gt;S$12:S1545)*ROW(S$12:S1545),ROW($S$12))&gt;=MAX((1=Z$12:Z1545)*ROW(Z$12:Z1545),ROW($T$12)),TYPE(VLOOKUP("Да",(INDIRECT("AA"&amp;(MAX((1=Z$12:Z1545)*ROW(Z$12:Z1545),ROW($T$12))&amp;":AA"&amp;(ROW()-1)))),1,0))=16),MIN(LOOKUP(,-1/($Z$12:Z1546=1),$C$12:C1546)+LOOKUP(,-1/($Z$12:Z1546=1),$H$12:H1546),Первоначальный[[#This Row],[Полученный платеж]]+Y1545),
AND(S1545=0,TYPE(VLOOKUP("Да",(INDIRECT("AA"&amp;(MAX((1=Z$12:Z1545)*ROW(Z$12:Z1545),ROW($T$12))&amp;":AA"&amp;(ROW()-1)))),1,0))&lt;&gt;16),MIN(LOOKUP(,-1/($Z$12:Z1546=1),$C$12:C1546)+LOOKUP(,-1/($Z$12:Z1546=1),$H$12:H1546)-IF(AA1545="Да",0,SUM(INDIRECT("T"&amp;(MAX(("Да"=AA$12:AA1545)*ROW(AA$12:AA1545)+1,ROW($T$12))&amp;":T"&amp;(ROW()-1))))),Первоначальный[[#This Row],[Полученный платеж]]+Y1545),
AND(S1545=0,MAX((0&lt;&gt;N$12:N1545)*ROW(N$12:N1545),ROW($S$12))&gt;=MAX((1=Z$12:Z1545)*ROW(Z$12:Z1545),ROW($T$12))),MIN(LOOKUP(,-1/($Z$12:Z1546=1),$C$12:C1546)+LOOKUP(,-1/($Z$12:Z1546=1),$H$12:H1546)-IF(N1545&lt;&gt;0,0,SUM(INDIRECT("T"&amp;(MAX((0&lt;&gt;N$12:N1545)*ROW(N$12:N1545)+1,ROW($T$12))&amp;":T"&amp;(ROW()-1))))),Первоначальный[[#This Row],[Полученный платеж]]+Y1545),
AND(S1545=0,Первоначальный[[#This Row],[Дата платежа из графика]]=1),MIN(LOOKUP(,-1/($Z$12:Z1546=1),$C$12:C1546)+LOOKUP(,-1/($Z$12:Z1546=1),$H$12:H1546)-IF(Z1545=1,0,SUM(INDIRECT("T"&amp;(MAX((1=Z$12:Z1545)*ROW(Z$12:Z1545)+1,ROW($T$12))&amp;":T"&amp;(ROW()-1))))),Первоначальный[[#This Row],[Полученный платеж]]+Y1545),
AND(Z1545&gt;0,Первоначальный[[#This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платеж]]+Y1545),
AND(S1545&gt;0,MAX((0&lt;&gt;S$12:S1545)*ROW(S$12:S1545),ROW($S$12))&gt;=MAX((1=Z$12:Z1545)*ROW(Z$12:Z1545),ROW($T$12)),TYPE(VLOOKUP("Да",(INDIRECT("AA"&amp;(MAX((1=Z$12:Z1545)*ROW(Z$12:Z1545),ROW($T$12))&amp;":AA"&amp;(ROW()-1)))),1,0))=16),MIN(LOOKUP(,-1/($Z$12:Z1546=1),$C$12:C1546)+LOOKUP(,-1/($Z$12:Z1546=1),$H$12:H1546)-SUM(INDIRECT("T"&amp;(MAX((1=Z$12:Z1545)*ROW(Z$12:Z1545),ROW($T$12))&amp;":T"&amp;(ROW()-1)))),Первоначальный[[#This Row],[Полученный платеж]]+Y1545),
S1545&gt;0,MIN(LOOKUP(,-1/($Z$12:Z1546=1),$C$12:C1546)+LOOKUP(,-1/($Z$12:Z1546=1),$H$12:H1546)-IF(Z1545=1,0,SUM(INDIRECT("T"&amp;(MAX((1=Z$12:Z1545)*ROW(Z$12:Z1545)+1,ROW($T$12))&amp;":T"&amp;(ROW()-1))))),Первоначальный[[#This Row],[Полученный платеж]]+Y1545)
)
)
)</f>
        <v>0</v>
      </c>
      <c r="U154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платеж]]+Y1545-Первоначальный[[#This Row],[Полученный платёж по процентам]])</f>
        <v>0</v>
      </c>
      <c r="V1546" s="55">
        <f t="shared" ca="1" si="279"/>
        <v>0</v>
      </c>
      <c r="W1546" s="55" cm="1">
        <f t="array" aca="1" ref="W1546" ca="1">IF(Первоначальный[[#This Row],[Итого остаток на начало периода]]&lt;1,0,
_xlfn.IFS(
AND(TYPE(VLOOKUP(1,$Z$12:Z1546,1,0))=16,Первоначальный[[#This Row],[Досрочное погашение (да/"")]]=""),0,
AND(S1545=0,Первоначальный[[#This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платеж]]+Y1545-SUM(Первоначальный[[#This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комиссиям]]),VLOOKUP(LOOKUP(,-1/($Z$12:Z1546=1),$A$12:A1546),График[[Срок конец]:[Возврат основной суммы долга]],3,0)),
AND(S1545=0,Первоначальный[[#This Row],[Дата платежа из графика]]="",Первоначальный[[#This Row],[Досрочное погашение (да/"")]]&lt;&gt;"Да"),0,
AND(S1545=0,Первоначальный[[#This Row],[Досрочное погашение (да/"")]]=""),MIN(Первоначальный[[#This Row],[Полученный платеж]]+Y1545-SUM(Первоначальный[[#This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комиссиям]]),VLOOKUP(LOOKUP(,-1/($Z$12:Z1546=1),$A$12:A1546),График[[Срок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платеж]]+Y1545-SUM(Первоначальный[[#This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S1545&gt;0,MIN(Первоначальный[[#This Row],[Полученный платеж]]+Y1545-SUM(Первоначальный[[#This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комиссиям]]),SUM(INDIRECT("M"&amp;(MAX((1=S$12:S1545)*ROW(S$12:S1545),ROW($W$12))&amp;":M"&amp;(ROW()))))-SUM(INDIRECT("W"&amp;(MAX((1=S$12:S1545)*ROW(S$12:S1545),ROW($W$12))&amp;":W"&amp;(ROW()-1)))))
)
)</f>
        <v>0</v>
      </c>
      <c r="X1546" s="55">
        <f t="shared" ca="1" si="280"/>
        <v>0</v>
      </c>
      <c r="Y1546" s="101">
        <f t="shared" ca="1" si="287"/>
        <v>0</v>
      </c>
      <c r="Z1546" s="133" t="str">
        <f>IF(TYPE((VLOOKUP(Первоначальный[[#This Row],[Дата платежа]],График[Срок конец],1,0)))=16,"",1)</f>
        <v/>
      </c>
      <c r="AA1546" s="57"/>
      <c r="AB1546" s="134"/>
      <c r="AC154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4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109552.95999999998</v>
      </c>
      <c r="AE154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10439.459999999966</v>
      </c>
      <c r="AF154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4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506024.49672786985</v>
      </c>
      <c r="AH1546" s="55"/>
      <c r="AI1546" s="55"/>
      <c r="AJ1546" s="55"/>
      <c r="AK1546" s="101">
        <f t="shared" ca="1" si="288"/>
        <v>775650.25672786986</v>
      </c>
      <c r="AL1546" s="129">
        <f t="array" ref="AL1546">MAX((УслРестрактов[Характеристика]="Дата реструктуризации")*(УслРестрактов[Значение]=Первоначальный!$A1546),0)</f>
        <v>0</v>
      </c>
    </row>
    <row r="1547" spans="1:38" x14ac:dyDescent="0.25">
      <c r="A1547" s="97">
        <f t="shared" si="281"/>
        <v>45678</v>
      </c>
      <c r="B1547" s="100">
        <f t="shared" ca="1" si="282"/>
        <v>149633.34</v>
      </c>
      <c r="C1547" s="55">
        <f t="shared" ca="1" si="290"/>
        <v>109552.95999999998</v>
      </c>
      <c r="D1547" s="55">
        <f t="shared" ca="1" si="290"/>
        <v>10439.459999999966</v>
      </c>
      <c r="E1547" s="55">
        <f t="shared" ca="1" si="283"/>
        <v>0</v>
      </c>
      <c r="F1547" s="55">
        <f t="shared" ca="1" si="284"/>
        <v>506024.49672786985</v>
      </c>
      <c r="G1547" s="101">
        <f t="shared" ca="1" si="285"/>
        <v>775650.25672786986</v>
      </c>
      <c r="H1547" s="100">
        <f ca="1">ROUND($B1547*VLOOKUP($A1547,$A$1:$B$10,2,1)/(365+IF(MOD(YEAR($A1547),4),0,1)*($A1547-$A1546)),2)-Первоначальный[[#This Row],[Проценты на просроченный платеж по ОД за период]]</f>
        <v>65.11</v>
      </c>
      <c r="I1547" s="55">
        <f t="shared" ca="1" si="286"/>
        <v>16.47</v>
      </c>
      <c r="J1547" s="55">
        <v>0</v>
      </c>
      <c r="K1547" s="55">
        <f t="shared" ca="1" si="289"/>
        <v>695.21350327868845</v>
      </c>
      <c r="L1547" s="55">
        <v>0</v>
      </c>
      <c r="M1547" s="113">
        <f>SUMIFS(График[Возврат основной суммы долга],График[Дата с учетом нерабочих дней],$A1547)</f>
        <v>0</v>
      </c>
      <c r="N1547" s="56">
        <f>SUMIFS(График[Возврат начисленных %],График[Дата с учетом нерабочих дней],$A1547)</f>
        <v>0</v>
      </c>
      <c r="O1547" s="101">
        <v>0</v>
      </c>
      <c r="P1547" s="100" cm="1">
        <f t="array" aca="1" ref="P1547" ca="1">MAX(IF(AA1546="Да",0,SUM(INDIRECT("M"&amp;(MAX(("Да"=AA$12:AA1546)*ROW(AA$12:AA1546)+1,ROW($P$12))&amp;":M"&amp;(ROW()))))-SUM(INDIRECT("W"&amp;(MAX(("Да"=AA$12:AA1546)*ROW(AA$12:AA1546)+1,ROW($P$12))&amp;":W"&amp;(ROW()))))),0)</f>
        <v>30212.6</v>
      </c>
      <c r="Q1547" s="99">
        <f ca="1">MAX(SUM($N$13:N1547)-SUM($T$13:T1547),0)</f>
        <v>108830.1006557377</v>
      </c>
      <c r="R1547" s="99">
        <f ca="1">Первоначальный[[#This Row],[Просроченный платеж по ОД]]+Первоначальный[[#This Row],[Просроченный платеж по процентам]]</f>
        <v>139042.70065573769</v>
      </c>
      <c r="S1547" s="120">
        <f ca="1">IF(Первоначальный[[#This Row],[Просроченный платеж]]&lt;1,0,S1546+1)</f>
        <v>1443</v>
      </c>
      <c r="T1547" s="100" cm="1">
        <f t="array" aca="1" ref="T1547" ca="1">IF(Первоначальный[[#This Row],[Итого остаток на начало периода]]&lt;1,0,
IF(
AND(TYPE(VLOOKUP(1,$Z$12:Z1547,1,0))=16,Первоначальный[[#This Row],[Досрочное погашение (да/"")]]=""),0,
_xlfn.IFS(AND(S1546=0,Первоначальный[[#This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платеж]]&lt;&gt;0),MIN(LOOKUP(,-1/($Z$12:Z1547=1),$C$12:C1547)+LOOKUP(,-1/($Z$12:Z1547=1),$H$12:H1547),Первоначальный[[#This Row],[Полученный платеж]]+Y1546),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платеж]]+Y1546,SUM(Первоначальный[[#This Row],[Остаток процентов на начало периода]],Первоначальный[[#This Row],[Проценты за период]])),
AND(S1546=0,Первоначальный[[#This Row],[Дата платежа из графика]]=""),0,
AND(S1546=0,Первоначальный[[#This Row],[Дата платежа из графика]]=1,MAX((0&lt;&gt;S$12:S1546)*ROW(S$12:S1546),ROW($S$12))&gt;=MAX((1=Z$12:Z1546)*ROW(Z$12:Z1546),ROW($T$12)),TYPE(VLOOKUP("Да",(INDIRECT("AA"&amp;(MAX((1=Z$12:Z1546)*ROW(Z$12:Z1546),ROW($T$12))&amp;":AA"&amp;(ROW()-1)))),1,0))=16),MIN(LOOKUP(,-1/($Z$12:Z1547=1),$C$12:C1547)+LOOKUP(,-1/($Z$12:Z1547=1),$H$12:H1547),Первоначальный[[#This Row],[Полученный платеж]]+Y1546),
AND(S1546=0,TYPE(VLOOKUP("Да",(INDIRECT("AA"&amp;(MAX((1=Z$12:Z1546)*ROW(Z$12:Z1546),ROW($T$12))&amp;":AA"&amp;(ROW()-1)))),1,0))&lt;&gt;16),MIN(LOOKUP(,-1/($Z$12:Z1547=1),$C$12:C1547)+LOOKUP(,-1/($Z$12:Z1547=1),$H$12:H1547)-IF(AA1546="Да",0,SUM(INDIRECT("T"&amp;(MAX(("Да"=AA$12:AA1546)*ROW(AA$12:AA1546)+1,ROW($T$12))&amp;":T"&amp;(ROW()-1))))),Первоначальный[[#This Row],[Полученный платеж]]+Y1546),
AND(S1546=0,MAX((0&lt;&gt;N$12:N1546)*ROW(N$12:N1546),ROW($S$12))&gt;=MAX((1=Z$12:Z1546)*ROW(Z$12:Z1546),ROW($T$12))),MIN(LOOKUP(,-1/($Z$12:Z1547=1),$C$12:C1547)+LOOKUP(,-1/($Z$12:Z1547=1),$H$12:H1547)-IF(N1546&lt;&gt;0,0,SUM(INDIRECT("T"&amp;(MAX((0&lt;&gt;N$12:N1546)*ROW(N$12:N1546)+1,ROW($T$12))&amp;":T"&amp;(ROW()-1))))),Первоначальный[[#This Row],[Полученный платеж]]+Y1546),
AND(S1546=0,Первоначальный[[#This Row],[Дата платежа из графика]]=1),MIN(LOOKUP(,-1/($Z$12:Z1547=1),$C$12:C1547)+LOOKUP(,-1/($Z$12:Z1547=1),$H$12:H1547)-IF(Z1546=1,0,SUM(INDIRECT("T"&amp;(MAX((1=Z$12:Z1546)*ROW(Z$12:Z1546)+1,ROW($T$12))&amp;":T"&amp;(ROW()-1))))),Первоначальный[[#This Row],[Полученный платеж]]+Y1546),
AND(Z1546&gt;0,Первоначальный[[#This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платеж]]+Y1546),
AND(S1546&gt;0,MAX((0&lt;&gt;S$12:S1546)*ROW(S$12:S1546),ROW($S$12))&gt;=MAX((1=Z$12:Z1546)*ROW(Z$12:Z1546),ROW($T$12)),TYPE(VLOOKUP("Да",(INDIRECT("AA"&amp;(MAX((1=Z$12:Z1546)*ROW(Z$12:Z1546),ROW($T$12))&amp;":AA"&amp;(ROW()-1)))),1,0))=16),MIN(LOOKUP(,-1/($Z$12:Z1547=1),$C$12:C1547)+LOOKUP(,-1/($Z$12:Z1547=1),$H$12:H1547)-SUM(INDIRECT("T"&amp;(MAX((1=Z$12:Z1546)*ROW(Z$12:Z1546),ROW($T$12))&amp;":T"&amp;(ROW()-1)))),Первоначальный[[#This Row],[Полученный платеж]]+Y1546),
S1546&gt;0,MIN(LOOKUP(,-1/($Z$12:Z1547=1),$C$12:C1547)+LOOKUP(,-1/($Z$12:Z1547=1),$H$12:H1547)-IF(Z1546=1,0,SUM(INDIRECT("T"&amp;(MAX((1=Z$12:Z1546)*ROW(Z$12:Z1546)+1,ROW($T$12))&amp;":T"&amp;(ROW()-1))))),Первоначальный[[#This Row],[Полученный платеж]]+Y1546)
)
)
)</f>
        <v>0</v>
      </c>
      <c r="U154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платеж]]+Y1546-Первоначальный[[#This Row],[Полученный платёж по процентам]])</f>
        <v>0</v>
      </c>
      <c r="V1547" s="55">
        <f t="shared" ca="1" si="279"/>
        <v>0</v>
      </c>
      <c r="W1547" s="55" cm="1">
        <f t="array" aca="1" ref="W1547" ca="1">IF(Первоначальный[[#This Row],[Итого остаток на начало периода]]&lt;1,0,
_xlfn.IFS(
AND(TYPE(VLOOKUP(1,$Z$12:Z1547,1,0))=16,Первоначальный[[#This Row],[Досрочное погашение (да/"")]]=""),0,
AND(S1546=0,Первоначальный[[#This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платеж]]+Y1546-SUM(Первоначальный[[#This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комиссиям]]),VLOOKUP(LOOKUP(,-1/($Z$12:Z1547=1),$A$12:A1547),График[[Срок конец]:[Возврат основной суммы долга]],3,0)),
AND(S1546=0,Первоначальный[[#This Row],[Дата платежа из графика]]="",Первоначальный[[#This Row],[Досрочное погашение (да/"")]]&lt;&gt;"Да"),0,
AND(S1546=0,Первоначальный[[#This Row],[Досрочное погашение (да/"")]]=""),MIN(Первоначальный[[#This Row],[Полученный платеж]]+Y1546-SUM(Первоначальный[[#This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комиссиям]]),VLOOKUP(LOOKUP(,-1/($Z$12:Z1547=1),$A$12:A1547),График[[Срок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платеж]]+Y1546-SUM(Первоначальный[[#This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S1546&gt;0,MIN(Первоначальный[[#This Row],[Полученный платеж]]+Y1546-SUM(Первоначальный[[#This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комиссиям]]),SUM(INDIRECT("M"&amp;(MAX((1=S$12:S1546)*ROW(S$12:S1546),ROW($W$12))&amp;":M"&amp;(ROW()))))-SUM(INDIRECT("W"&amp;(MAX((1=S$12:S1546)*ROW(S$12:S1546),ROW($W$12))&amp;":W"&amp;(ROW()-1)))))
)
)</f>
        <v>0</v>
      </c>
      <c r="X1547" s="55">
        <f t="shared" ca="1" si="280"/>
        <v>0</v>
      </c>
      <c r="Y1547" s="101">
        <f t="shared" ca="1" si="287"/>
        <v>0</v>
      </c>
      <c r="Z1547" s="133" t="str">
        <f>IF(TYPE((VLOOKUP(Первоначальный[[#This Row],[Дата платежа]],График[Срок конец],1,0)))=16,"",1)</f>
        <v/>
      </c>
      <c r="AA1547" s="57"/>
      <c r="AB1547" s="134"/>
      <c r="AC154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4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109618.06999999998</v>
      </c>
      <c r="AE154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10455.929999999966</v>
      </c>
      <c r="AF154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4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506719.71023114852</v>
      </c>
      <c r="AH1547" s="55"/>
      <c r="AI1547" s="55"/>
      <c r="AJ1547" s="55"/>
      <c r="AK1547" s="101">
        <f t="shared" ca="1" si="288"/>
        <v>776427.05023114849</v>
      </c>
      <c r="AL1547" s="129">
        <f t="array" ref="AL1547">MAX((УслРестрактов[Характеристика]="Дата реструктуризации")*(УслРестрактов[Значение]=Первоначальный!$A1547),0)</f>
        <v>0</v>
      </c>
    </row>
    <row r="1548" spans="1:38" x14ac:dyDescent="0.25">
      <c r="A1548" s="97">
        <f t="shared" si="281"/>
        <v>45679</v>
      </c>
      <c r="B1548" s="100">
        <f t="shared" ca="1" si="282"/>
        <v>149633.34</v>
      </c>
      <c r="C1548" s="55">
        <f t="shared" ca="1" si="290"/>
        <v>109618.06999999998</v>
      </c>
      <c r="D1548" s="55">
        <f t="shared" ca="1" si="290"/>
        <v>10455.929999999966</v>
      </c>
      <c r="E1548" s="55">
        <f t="shared" ca="1" si="283"/>
        <v>0</v>
      </c>
      <c r="F1548" s="55">
        <f t="shared" ca="1" si="284"/>
        <v>506719.71023114852</v>
      </c>
      <c r="G1548" s="101">
        <f t="shared" ca="1" si="285"/>
        <v>776427.05023114849</v>
      </c>
      <c r="H1548" s="100">
        <f ca="1">ROUND($B1548*VLOOKUP($A1548,$A$1:$B$10,2,1)/(365+IF(MOD(YEAR($A1548),4),0,1)*($A1548-$A1547)),2)-Первоначальный[[#This Row],[Проценты на просроченный платеж по ОД за период]]</f>
        <v>65.11</v>
      </c>
      <c r="I1548" s="55">
        <f t="shared" ca="1" si="286"/>
        <v>16.47</v>
      </c>
      <c r="J1548" s="55">
        <v>0</v>
      </c>
      <c r="K1548" s="55">
        <f t="shared" ca="1" si="289"/>
        <v>695.21350327868845</v>
      </c>
      <c r="L1548" s="55">
        <v>0</v>
      </c>
      <c r="M1548" s="113">
        <f>SUMIFS(График[Возврат основной суммы долга],График[Дата с учетом нерабочих дней],$A1548)</f>
        <v>0</v>
      </c>
      <c r="N1548" s="56">
        <f>SUMIFS(График[Возврат начисленных %],График[Дата с учетом нерабочих дней],$A1548)</f>
        <v>0</v>
      </c>
      <c r="O1548" s="101">
        <v>0</v>
      </c>
      <c r="P1548" s="100" cm="1">
        <f t="array" aca="1" ref="P1548" ca="1">MAX(IF(AA1547="Да",0,SUM(INDIRECT("M"&amp;(MAX(("Да"=AA$12:AA1547)*ROW(AA$12:AA1547)+1,ROW($P$12))&amp;":M"&amp;(ROW()))))-SUM(INDIRECT("W"&amp;(MAX(("Да"=AA$12:AA1547)*ROW(AA$12:AA1547)+1,ROW($P$12))&amp;":W"&amp;(ROW()))))),0)</f>
        <v>30212.6</v>
      </c>
      <c r="Q1548" s="99">
        <f ca="1">MAX(SUM($N$13:N1548)-SUM($T$13:T1548),0)</f>
        <v>108830.1006557377</v>
      </c>
      <c r="R1548" s="99">
        <f ca="1">Первоначальный[[#This Row],[Просроченный платеж по ОД]]+Первоначальный[[#This Row],[Просроченный платеж по процентам]]</f>
        <v>139042.70065573769</v>
      </c>
      <c r="S1548" s="120">
        <f ca="1">IF(Первоначальный[[#This Row],[Просроченный платеж]]&lt;1,0,S1547+1)</f>
        <v>1444</v>
      </c>
      <c r="T1548" s="100" cm="1">
        <f t="array" aca="1" ref="T1548" ca="1">IF(Первоначальный[[#This Row],[Итого остаток на начало периода]]&lt;1,0,
IF(
AND(TYPE(VLOOKUP(1,$Z$12:Z1548,1,0))=16,Первоначальный[[#This Row],[Досрочное погашение (да/"")]]=""),0,
_xlfn.IFS(AND(S1547=0,Первоначальный[[#This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платеж]]&lt;&gt;0),MIN(LOOKUP(,-1/($Z$12:Z1548=1),$C$12:C1548)+LOOKUP(,-1/($Z$12:Z1548=1),$H$12:H1548),Первоначальный[[#This Row],[Полученный платеж]]+Y1547),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платеж]]+Y1547,SUM(Первоначальный[[#This Row],[Остаток процентов на начало периода]],Первоначальный[[#This Row],[Проценты за период]])),
AND(S1547=0,Первоначальный[[#This Row],[Дата платежа из графика]]=""),0,
AND(S1547=0,Первоначальный[[#This Row],[Дата платежа из графика]]=1,MAX((0&lt;&gt;S$12:S1547)*ROW(S$12:S1547),ROW($S$12))&gt;=MAX((1=Z$12:Z1547)*ROW(Z$12:Z1547),ROW($T$12)),TYPE(VLOOKUP("Да",(INDIRECT("AA"&amp;(MAX((1=Z$12:Z1547)*ROW(Z$12:Z1547),ROW($T$12))&amp;":AA"&amp;(ROW()-1)))),1,0))=16),MIN(LOOKUP(,-1/($Z$12:Z1548=1),$C$12:C1548)+LOOKUP(,-1/($Z$12:Z1548=1),$H$12:H1548),Первоначальный[[#This Row],[Полученный платеж]]+Y1547),
AND(S1547=0,TYPE(VLOOKUP("Да",(INDIRECT("AA"&amp;(MAX((1=Z$12:Z1547)*ROW(Z$12:Z1547),ROW($T$12))&amp;":AA"&amp;(ROW()-1)))),1,0))&lt;&gt;16),MIN(LOOKUP(,-1/($Z$12:Z1548=1),$C$12:C1548)+LOOKUP(,-1/($Z$12:Z1548=1),$H$12:H1548)-IF(AA1547="Да",0,SUM(INDIRECT("T"&amp;(MAX(("Да"=AA$12:AA1547)*ROW(AA$12:AA1547)+1,ROW($T$12))&amp;":T"&amp;(ROW()-1))))),Первоначальный[[#This Row],[Полученный платеж]]+Y1547),
AND(S1547=0,MAX((0&lt;&gt;N$12:N1547)*ROW(N$12:N1547),ROW($S$12))&gt;=MAX((1=Z$12:Z1547)*ROW(Z$12:Z1547),ROW($T$12))),MIN(LOOKUP(,-1/($Z$12:Z1548=1),$C$12:C1548)+LOOKUP(,-1/($Z$12:Z1548=1),$H$12:H1548)-IF(N1547&lt;&gt;0,0,SUM(INDIRECT("T"&amp;(MAX((0&lt;&gt;N$12:N1547)*ROW(N$12:N1547)+1,ROW($T$12))&amp;":T"&amp;(ROW()-1))))),Первоначальный[[#This Row],[Полученный платеж]]+Y1547),
AND(S1547=0,Первоначальный[[#This Row],[Дата платежа из графика]]=1),MIN(LOOKUP(,-1/($Z$12:Z1548=1),$C$12:C1548)+LOOKUP(,-1/($Z$12:Z1548=1),$H$12:H1548)-IF(Z1547=1,0,SUM(INDIRECT("T"&amp;(MAX((1=Z$12:Z1547)*ROW(Z$12:Z1547)+1,ROW($T$12))&amp;":T"&amp;(ROW()-1))))),Первоначальный[[#This Row],[Полученный платеж]]+Y1547),
AND(Z1547&gt;0,Первоначальный[[#This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платеж]]+Y1547),
AND(S1547&gt;0,MAX((0&lt;&gt;S$12:S1547)*ROW(S$12:S1547),ROW($S$12))&gt;=MAX((1=Z$12:Z1547)*ROW(Z$12:Z1547),ROW($T$12)),TYPE(VLOOKUP("Да",(INDIRECT("AA"&amp;(MAX((1=Z$12:Z1547)*ROW(Z$12:Z1547),ROW($T$12))&amp;":AA"&amp;(ROW()-1)))),1,0))=16),MIN(LOOKUP(,-1/($Z$12:Z1548=1),$C$12:C1548)+LOOKUP(,-1/($Z$12:Z1548=1),$H$12:H1548)-SUM(INDIRECT("T"&amp;(MAX((1=Z$12:Z1547)*ROW(Z$12:Z1547),ROW($T$12))&amp;":T"&amp;(ROW()-1)))),Первоначальный[[#This Row],[Полученный платеж]]+Y1547),
S1547&gt;0,MIN(LOOKUP(,-1/($Z$12:Z1548=1),$C$12:C1548)+LOOKUP(,-1/($Z$12:Z1548=1),$H$12:H1548)-IF(Z1547=1,0,SUM(INDIRECT("T"&amp;(MAX((1=Z$12:Z1547)*ROW(Z$12:Z1547)+1,ROW($T$12))&amp;":T"&amp;(ROW()-1))))),Первоначальный[[#This Row],[Полученный платеж]]+Y1547)
)
)
)</f>
        <v>0</v>
      </c>
      <c r="U154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платеж]]+Y1547-Первоначальный[[#This Row],[Полученный платёж по процентам]])</f>
        <v>0</v>
      </c>
      <c r="V1548" s="55">
        <f t="shared" ca="1" si="279"/>
        <v>0</v>
      </c>
      <c r="W1548" s="55" cm="1">
        <f t="array" aca="1" ref="W1548" ca="1">IF(Первоначальный[[#This Row],[Итого остаток на начало периода]]&lt;1,0,
_xlfn.IFS(
AND(TYPE(VLOOKUP(1,$Z$12:Z1548,1,0))=16,Первоначальный[[#This Row],[Досрочное погашение (да/"")]]=""),0,
AND(S1547=0,Первоначальный[[#This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платеж]]+Y1547-SUM(Первоначальный[[#This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комиссиям]]),VLOOKUP(LOOKUP(,-1/($Z$12:Z1548=1),$A$12:A1548),График[[Срок конец]:[Возврат основной суммы долга]],3,0)),
AND(S1547=0,Первоначальный[[#This Row],[Дата платежа из графика]]="",Первоначальный[[#This Row],[Досрочное погашение (да/"")]]&lt;&gt;"Да"),0,
AND(S1547=0,Первоначальный[[#This Row],[Досрочное погашение (да/"")]]=""),MIN(Первоначальный[[#This Row],[Полученный платеж]]+Y1547-SUM(Первоначальный[[#This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комиссиям]]),VLOOKUP(LOOKUP(,-1/($Z$12:Z1548=1),$A$12:A1548),График[[Срок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платеж]]+Y1547-SUM(Первоначальный[[#This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S1547&gt;0,MIN(Первоначальный[[#This Row],[Полученный платеж]]+Y1547-SUM(Первоначальный[[#This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комиссиям]]),SUM(INDIRECT("M"&amp;(MAX((1=S$12:S1547)*ROW(S$12:S1547),ROW($W$12))&amp;":M"&amp;(ROW()))))-SUM(INDIRECT("W"&amp;(MAX((1=S$12:S1547)*ROW(S$12:S1547),ROW($W$12))&amp;":W"&amp;(ROW()-1)))))
)
)</f>
        <v>0</v>
      </c>
      <c r="X1548" s="55">
        <f t="shared" ca="1" si="280"/>
        <v>0</v>
      </c>
      <c r="Y1548" s="101">
        <f t="shared" ca="1" si="287"/>
        <v>0</v>
      </c>
      <c r="Z1548" s="133" t="str">
        <f>IF(TYPE((VLOOKUP(Первоначальный[[#This Row],[Дата платежа]],График[Срок конец],1,0)))=16,"",1)</f>
        <v/>
      </c>
      <c r="AA1548" s="57"/>
      <c r="AB1548" s="134"/>
      <c r="AC154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4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109683.17999999998</v>
      </c>
      <c r="AE154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10472.399999999965</v>
      </c>
      <c r="AF154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4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507414.9237344272</v>
      </c>
      <c r="AH1548" s="55"/>
      <c r="AI1548" s="55"/>
      <c r="AJ1548" s="55"/>
      <c r="AK1548" s="101">
        <f t="shared" ca="1" si="288"/>
        <v>777203.84373442712</v>
      </c>
      <c r="AL1548" s="129">
        <f t="array" ref="AL1548">MAX((УслРестрактов[Характеристика]="Дата реструктуризации")*(УслРестрактов[Значение]=Первоначальный!$A1548),0)</f>
        <v>0</v>
      </c>
    </row>
    <row r="1549" spans="1:38" x14ac:dyDescent="0.25">
      <c r="A1549" s="97">
        <f t="shared" si="281"/>
        <v>45680</v>
      </c>
      <c r="B1549" s="100">
        <f t="shared" ca="1" si="282"/>
        <v>149633.34</v>
      </c>
      <c r="C1549" s="55">
        <f t="shared" ca="1" si="290"/>
        <v>109683.17999999998</v>
      </c>
      <c r="D1549" s="55">
        <f t="shared" ca="1" si="290"/>
        <v>10472.399999999965</v>
      </c>
      <c r="E1549" s="55">
        <f t="shared" ca="1" si="283"/>
        <v>0</v>
      </c>
      <c r="F1549" s="55">
        <f t="shared" ca="1" si="284"/>
        <v>507414.9237344272</v>
      </c>
      <c r="G1549" s="101">
        <f t="shared" ca="1" si="285"/>
        <v>777203.84373442712</v>
      </c>
      <c r="H1549" s="100">
        <f ca="1">ROUND($B1549*VLOOKUP($A1549,$A$1:$B$10,2,1)/(365+IF(MOD(YEAR($A1549),4),0,1)*($A1549-$A1548)),2)-Первоначальный[[#This Row],[Проценты на просроченный платеж по ОД за период]]</f>
        <v>65.11</v>
      </c>
      <c r="I1549" s="55">
        <f t="shared" ca="1" si="286"/>
        <v>16.47</v>
      </c>
      <c r="J1549" s="55">
        <v>0</v>
      </c>
      <c r="K1549" s="55">
        <f t="shared" ca="1" si="289"/>
        <v>695.21350327868845</v>
      </c>
      <c r="L1549" s="55">
        <v>0</v>
      </c>
      <c r="M1549" s="113">
        <f>SUMIFS(График[Возврат основной суммы долга],График[Дата с учетом нерабочих дней],$A1549)</f>
        <v>0</v>
      </c>
      <c r="N1549" s="56">
        <f>SUMIFS(График[Возврат начисленных %],График[Дата с учетом нерабочих дней],$A1549)</f>
        <v>0</v>
      </c>
      <c r="O1549" s="101">
        <v>0</v>
      </c>
      <c r="P1549" s="100" cm="1">
        <f t="array" aca="1" ref="P1549" ca="1">MAX(IF(AA1548="Да",0,SUM(INDIRECT("M"&amp;(MAX(("Да"=AA$12:AA1548)*ROW(AA$12:AA1548)+1,ROW($P$12))&amp;":M"&amp;(ROW()))))-SUM(INDIRECT("W"&amp;(MAX(("Да"=AA$12:AA1548)*ROW(AA$12:AA1548)+1,ROW($P$12))&amp;":W"&amp;(ROW()))))),0)</f>
        <v>30212.6</v>
      </c>
      <c r="Q1549" s="99">
        <f ca="1">MAX(SUM($N$13:N1549)-SUM($T$13:T1549),0)</f>
        <v>108830.1006557377</v>
      </c>
      <c r="R1549" s="99">
        <f ca="1">Первоначальный[[#This Row],[Просроченный платеж по ОД]]+Первоначальный[[#This Row],[Просроченный платеж по процентам]]</f>
        <v>139042.70065573769</v>
      </c>
      <c r="S1549" s="120">
        <f ca="1">IF(Первоначальный[[#This Row],[Просроченный платеж]]&lt;1,0,S1548+1)</f>
        <v>1445</v>
      </c>
      <c r="T1549" s="100" cm="1">
        <f t="array" aca="1" ref="T1549" ca="1">IF(Первоначальный[[#This Row],[Итого остаток на начало периода]]&lt;1,0,
IF(
AND(TYPE(VLOOKUP(1,$Z$12:Z1549,1,0))=16,Первоначальный[[#This Row],[Досрочное погашение (да/"")]]=""),0,
_xlfn.IFS(AND(S1548=0,Первоначальный[[#This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платеж]]&lt;&gt;0),MIN(LOOKUP(,-1/($Z$12:Z1549=1),$C$12:C1549)+LOOKUP(,-1/($Z$12:Z1549=1),$H$12:H1549),Первоначальный[[#This Row],[Полученный платеж]]+Y1548),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платеж]]+Y1548,SUM(Первоначальный[[#This Row],[Остаток процентов на начало периода]],Первоначальный[[#This Row],[Проценты за период]])),
AND(S1548=0,Первоначальный[[#This Row],[Дата платежа из графика]]=""),0,
AND(S1548=0,Первоначальный[[#This Row],[Дата платежа из графика]]=1,MAX((0&lt;&gt;S$12:S1548)*ROW(S$12:S1548),ROW($S$12))&gt;=MAX((1=Z$12:Z1548)*ROW(Z$12:Z1548),ROW($T$12)),TYPE(VLOOKUP("Да",(INDIRECT("AA"&amp;(MAX((1=Z$12:Z1548)*ROW(Z$12:Z1548),ROW($T$12))&amp;":AA"&amp;(ROW()-1)))),1,0))=16),MIN(LOOKUP(,-1/($Z$12:Z1549=1),$C$12:C1549)+LOOKUP(,-1/($Z$12:Z1549=1),$H$12:H1549),Первоначальный[[#This Row],[Полученный платеж]]+Y1548),
AND(S1548=0,TYPE(VLOOKUP("Да",(INDIRECT("AA"&amp;(MAX((1=Z$12:Z1548)*ROW(Z$12:Z1548),ROW($T$12))&amp;":AA"&amp;(ROW()-1)))),1,0))&lt;&gt;16),MIN(LOOKUP(,-1/($Z$12:Z1549=1),$C$12:C1549)+LOOKUP(,-1/($Z$12:Z1549=1),$H$12:H1549)-IF(AA1548="Да",0,SUM(INDIRECT("T"&amp;(MAX(("Да"=AA$12:AA1548)*ROW(AA$12:AA1548)+1,ROW($T$12))&amp;":T"&amp;(ROW()-1))))),Первоначальный[[#This Row],[Полученный платеж]]+Y1548),
AND(S1548=0,MAX((0&lt;&gt;N$12:N1548)*ROW(N$12:N1548),ROW($S$12))&gt;=MAX((1=Z$12:Z1548)*ROW(Z$12:Z1548),ROW($T$12))),MIN(LOOKUP(,-1/($Z$12:Z1549=1),$C$12:C1549)+LOOKUP(,-1/($Z$12:Z1549=1),$H$12:H1549)-IF(N1548&lt;&gt;0,0,SUM(INDIRECT("T"&amp;(MAX((0&lt;&gt;N$12:N1548)*ROW(N$12:N1548)+1,ROW($T$12))&amp;":T"&amp;(ROW()-1))))),Первоначальный[[#This Row],[Полученный платеж]]+Y1548),
AND(S1548=0,Первоначальный[[#This Row],[Дата платежа из графика]]=1),MIN(LOOKUP(,-1/($Z$12:Z1549=1),$C$12:C1549)+LOOKUP(,-1/($Z$12:Z1549=1),$H$12:H1549)-IF(Z1548=1,0,SUM(INDIRECT("T"&amp;(MAX((1=Z$12:Z1548)*ROW(Z$12:Z1548)+1,ROW($T$12))&amp;":T"&amp;(ROW()-1))))),Первоначальный[[#This Row],[Полученный платеж]]+Y1548),
AND(Z1548&gt;0,Первоначальный[[#This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платеж]]+Y1548),
AND(S1548&gt;0,MAX((0&lt;&gt;S$12:S1548)*ROW(S$12:S1548),ROW($S$12))&gt;=MAX((1=Z$12:Z1548)*ROW(Z$12:Z1548),ROW($T$12)),TYPE(VLOOKUP("Да",(INDIRECT("AA"&amp;(MAX((1=Z$12:Z1548)*ROW(Z$12:Z1548),ROW($T$12))&amp;":AA"&amp;(ROW()-1)))),1,0))=16),MIN(LOOKUP(,-1/($Z$12:Z1549=1),$C$12:C1549)+LOOKUP(,-1/($Z$12:Z1549=1),$H$12:H1549)-SUM(INDIRECT("T"&amp;(MAX((1=Z$12:Z1548)*ROW(Z$12:Z1548),ROW($T$12))&amp;":T"&amp;(ROW()-1)))),Первоначальный[[#This Row],[Полученный платеж]]+Y1548),
S1548&gt;0,MIN(LOOKUP(,-1/($Z$12:Z1549=1),$C$12:C1549)+LOOKUP(,-1/($Z$12:Z1549=1),$H$12:H1549)-IF(Z1548=1,0,SUM(INDIRECT("T"&amp;(MAX((1=Z$12:Z1548)*ROW(Z$12:Z1548)+1,ROW($T$12))&amp;":T"&amp;(ROW()-1))))),Первоначальный[[#This Row],[Полученный платеж]]+Y1548)
)
)
)</f>
        <v>0</v>
      </c>
      <c r="U154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платеж]]+Y1548-Первоначальный[[#This Row],[Полученный платёж по процентам]])</f>
        <v>0</v>
      </c>
      <c r="V1549" s="55">
        <f t="shared" ref="V1549:V1571" ca="1" si="291">MAX(MIN(SUM(O1549,Y1548)-SUM(T1549:T1549),SUM(E1549,J1549)),0)</f>
        <v>0</v>
      </c>
      <c r="W1549" s="55" cm="1">
        <f t="array" aca="1" ref="W1549" ca="1">IF(Первоначальный[[#This Row],[Итого остаток на начало периода]]&lt;1,0,
_xlfn.IFS(
AND(TYPE(VLOOKUP(1,$Z$12:Z1549,1,0))=16,Первоначальный[[#This Row],[Досрочное погашение (да/"")]]=""),0,
AND(S1548=0,Первоначальный[[#This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платеж]]+Y1548-SUM(Первоначальный[[#This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комиссиям]]),VLOOKUP(LOOKUP(,-1/($Z$12:Z1549=1),$A$12:A1549),График[[Срок конец]:[Возврат основной суммы долга]],3,0)),
AND(S1548=0,Первоначальный[[#This Row],[Дата платежа из графика]]="",Первоначальный[[#This Row],[Досрочное погашение (да/"")]]&lt;&gt;"Да"),0,
AND(S1548=0,Первоначальный[[#This Row],[Досрочное погашение (да/"")]]=""),MIN(Первоначальный[[#This Row],[Полученный платеж]]+Y1548-SUM(Первоначальный[[#This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комиссиям]]),VLOOKUP(LOOKUP(,-1/($Z$12:Z1549=1),$A$12:A1549),График[[Срок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платеж]]+Y1548-SUM(Первоначальный[[#This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S1548&gt;0,MIN(Первоначальный[[#This Row],[Полученный платеж]]+Y1548-SUM(Первоначальный[[#This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комиссиям]]),SUM(INDIRECT("M"&amp;(MAX((1=S$12:S1548)*ROW(S$12:S1548),ROW($W$12))&amp;":M"&amp;(ROW()))))-SUM(INDIRECT("W"&amp;(MAX((1=S$12:S1548)*ROW(S$12:S1548),ROW($W$12))&amp;":W"&amp;(ROW()-1)))))
)
)</f>
        <v>0</v>
      </c>
      <c r="X1549" s="55">
        <f t="shared" ref="X1549:X1571" ca="1" si="292">MAX(MIN(SUM(O1549,Y1548)-SUM(T1549:W1549),SUM(F1549,K1549)),0)</f>
        <v>0</v>
      </c>
      <c r="Y1549" s="101">
        <f t="shared" ca="1" si="287"/>
        <v>0</v>
      </c>
      <c r="Z1549" s="133" t="str">
        <f>IF(TYPE((VLOOKUP(Первоначальный[[#This Row],[Дата платежа]],График[Срок конец],1,0)))=16,"",1)</f>
        <v/>
      </c>
      <c r="AA1549" s="57"/>
      <c r="AB1549" s="134"/>
      <c r="AC154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4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109748.28999999998</v>
      </c>
      <c r="AE154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10488.869999999964</v>
      </c>
      <c r="AF154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4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508110.13723770587</v>
      </c>
      <c r="AH1549" s="55"/>
      <c r="AI1549" s="55"/>
      <c r="AJ1549" s="55"/>
      <c r="AK1549" s="101">
        <f t="shared" ca="1" si="288"/>
        <v>777980.63723770576</v>
      </c>
      <c r="AL1549" s="129">
        <f t="array" ref="AL1549">MAX((УслРестрактов[Характеристика]="Дата реструктуризации")*(УслРестрактов[Значение]=Первоначальный!$A1549),0)</f>
        <v>0</v>
      </c>
    </row>
    <row r="1550" spans="1:38" x14ac:dyDescent="0.25">
      <c r="A1550" s="97">
        <f t="shared" ref="A1550:A1571" si="293">A1549+1</f>
        <v>45681</v>
      </c>
      <c r="B1550" s="100">
        <f t="shared" ref="B1550:B1571" ca="1" si="294">AC1549</f>
        <v>149633.34</v>
      </c>
      <c r="C1550" s="55">
        <f t="shared" ca="1" si="290"/>
        <v>109748.28999999998</v>
      </c>
      <c r="D1550" s="55">
        <f t="shared" ca="1" si="290"/>
        <v>10488.869999999964</v>
      </c>
      <c r="E1550" s="55">
        <f t="shared" ref="E1550:E1571" ca="1" si="295">AF1549</f>
        <v>0</v>
      </c>
      <c r="F1550" s="55">
        <f t="shared" ref="F1550:F1571" ca="1" si="296">AG1549+AH1549</f>
        <v>508110.13723770587</v>
      </c>
      <c r="G1550" s="101">
        <f t="shared" ref="G1550:G1571" ca="1" si="297">AK1549</f>
        <v>777980.63723770576</v>
      </c>
      <c r="H1550" s="100">
        <f ca="1">ROUND($B1550*VLOOKUP($A1550,$A$1:$B$10,2,1)/(365+IF(MOD(YEAR($A1550),4),0,1)*($A1550-$A1549)),2)-Первоначальный[[#This Row],[Проценты на просроченный платеж по ОД за период]]</f>
        <v>65.11</v>
      </c>
      <c r="I1550" s="55">
        <f t="shared" ref="I1550:I1571" ca="1" si="298">ROUND(P1549*VLOOKUP($A1550,$A$1:$B$10,2,1)/(365+IF(MOD(YEAR($A1550),4),0,1)*($A1550-$A1549)),2)</f>
        <v>16.47</v>
      </c>
      <c r="J1550" s="55">
        <v>0</v>
      </c>
      <c r="K1550" s="55">
        <f t="shared" ca="1" si="289"/>
        <v>695.21350327868845</v>
      </c>
      <c r="L1550" s="55">
        <v>0</v>
      </c>
      <c r="M1550" s="113">
        <f>SUMIFS(График[Возврат основной суммы долга],График[Дата с учетом нерабочих дней],$A1550)</f>
        <v>0</v>
      </c>
      <c r="N1550" s="56">
        <f>SUMIFS(График[Возврат начисленных %],График[Дата с учетом нерабочих дней],$A1550)</f>
        <v>0</v>
      </c>
      <c r="O1550" s="101">
        <v>0</v>
      </c>
      <c r="P1550" s="100" cm="1">
        <f t="array" aca="1" ref="P1550" ca="1">MAX(IF(AA1549="Да",0,SUM(INDIRECT("M"&amp;(MAX(("Да"=AA$12:AA1549)*ROW(AA$12:AA1549)+1,ROW($P$12))&amp;":M"&amp;(ROW()))))-SUM(INDIRECT("W"&amp;(MAX(("Да"=AA$12:AA1549)*ROW(AA$12:AA1549)+1,ROW($P$12))&amp;":W"&amp;(ROW()))))),0)</f>
        <v>30212.6</v>
      </c>
      <c r="Q1550" s="99">
        <f ca="1">MAX(SUM($N$13:N1550)-SUM($T$13:T1550),0)</f>
        <v>108830.1006557377</v>
      </c>
      <c r="R1550" s="99">
        <f ca="1">Первоначальный[[#This Row],[Просроченный платеж по ОД]]+Первоначальный[[#This Row],[Просроченный платеж по процентам]]</f>
        <v>139042.70065573769</v>
      </c>
      <c r="S1550" s="120">
        <f ca="1">IF(Первоначальный[[#This Row],[Просроченный платеж]]&lt;1,0,S1549+1)</f>
        <v>1446</v>
      </c>
      <c r="T1550" s="100" cm="1">
        <f t="array" aca="1" ref="T1550" ca="1">IF(Первоначальный[[#This Row],[Итого остаток на начало периода]]&lt;1,0,
IF(
AND(TYPE(VLOOKUP(1,$Z$12:Z1550,1,0))=16,Первоначальный[[#This Row],[Досрочное погашение (да/"")]]=""),0,
_xlfn.IFS(AND(S1549=0,Первоначальный[[#This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платеж]]&lt;&gt;0),MIN(LOOKUP(,-1/($Z$12:Z1550=1),$C$12:C1550)+LOOKUP(,-1/($Z$12:Z1550=1),$H$12:H1550),Первоначальный[[#This Row],[Полученный платеж]]+Y1549),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платеж]]+Y1549,SUM(Первоначальный[[#This Row],[Остаток процентов на начало периода]],Первоначальный[[#This Row],[Проценты за период]])),
AND(S1549=0,Первоначальный[[#This Row],[Дата платежа из графика]]=""),0,
AND(S1549=0,Первоначальный[[#This Row],[Дата платежа из графика]]=1,MAX((0&lt;&gt;S$12:S1549)*ROW(S$12:S1549),ROW($S$12))&gt;=MAX((1=Z$12:Z1549)*ROW(Z$12:Z1549),ROW($T$12)),TYPE(VLOOKUP("Да",(INDIRECT("AA"&amp;(MAX((1=Z$12:Z1549)*ROW(Z$12:Z1549),ROW($T$12))&amp;":AA"&amp;(ROW()-1)))),1,0))=16),MIN(LOOKUP(,-1/($Z$12:Z1550=1),$C$12:C1550)+LOOKUP(,-1/($Z$12:Z1550=1),$H$12:H1550),Первоначальный[[#This Row],[Полученный платеж]]+Y1549),
AND(S1549=0,TYPE(VLOOKUP("Да",(INDIRECT("AA"&amp;(MAX((1=Z$12:Z1549)*ROW(Z$12:Z1549),ROW($T$12))&amp;":AA"&amp;(ROW()-1)))),1,0))&lt;&gt;16),MIN(LOOKUP(,-1/($Z$12:Z1550=1),$C$12:C1550)+LOOKUP(,-1/($Z$12:Z1550=1),$H$12:H1550)-IF(AA1549="Да",0,SUM(INDIRECT("T"&amp;(MAX(("Да"=AA$12:AA1549)*ROW(AA$12:AA1549)+1,ROW($T$12))&amp;":T"&amp;(ROW()-1))))),Первоначальный[[#This Row],[Полученный платеж]]+Y1549),
AND(S1549=0,MAX((0&lt;&gt;N$12:N1549)*ROW(N$12:N1549),ROW($S$12))&gt;=MAX((1=Z$12:Z1549)*ROW(Z$12:Z1549),ROW($T$12))),MIN(LOOKUP(,-1/($Z$12:Z1550=1),$C$12:C1550)+LOOKUP(,-1/($Z$12:Z1550=1),$H$12:H1550)-IF(N1549&lt;&gt;0,0,SUM(INDIRECT("T"&amp;(MAX((0&lt;&gt;N$12:N1549)*ROW(N$12:N1549)+1,ROW($T$12))&amp;":T"&amp;(ROW()-1))))),Первоначальный[[#This Row],[Полученный платеж]]+Y1549),
AND(S1549=0,Первоначальный[[#This Row],[Дата платежа из графика]]=1),MIN(LOOKUP(,-1/($Z$12:Z1550=1),$C$12:C1550)+LOOKUP(,-1/($Z$12:Z1550=1),$H$12:H1550)-IF(Z1549=1,0,SUM(INDIRECT("T"&amp;(MAX((1=Z$12:Z1549)*ROW(Z$12:Z1549)+1,ROW($T$12))&amp;":T"&amp;(ROW()-1))))),Первоначальный[[#This Row],[Полученный платеж]]+Y1549),
AND(Z1549&gt;0,Первоначальный[[#This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платеж]]+Y1549),
AND(S1549&gt;0,MAX((0&lt;&gt;S$12:S1549)*ROW(S$12:S1549),ROW($S$12))&gt;=MAX((1=Z$12:Z1549)*ROW(Z$12:Z1549),ROW($T$12)),TYPE(VLOOKUP("Да",(INDIRECT("AA"&amp;(MAX((1=Z$12:Z1549)*ROW(Z$12:Z1549),ROW($T$12))&amp;":AA"&amp;(ROW()-1)))),1,0))=16),MIN(LOOKUP(,-1/($Z$12:Z1550=1),$C$12:C1550)+LOOKUP(,-1/($Z$12:Z1550=1),$H$12:H1550)-SUM(INDIRECT("T"&amp;(MAX((1=Z$12:Z1549)*ROW(Z$12:Z1549),ROW($T$12))&amp;":T"&amp;(ROW()-1)))),Первоначальный[[#This Row],[Полученный платеж]]+Y1549),
S1549&gt;0,MIN(LOOKUP(,-1/($Z$12:Z1550=1),$C$12:C1550)+LOOKUP(,-1/($Z$12:Z1550=1),$H$12:H1550)-IF(Z1549=1,0,SUM(INDIRECT("T"&amp;(MAX((1=Z$12:Z1549)*ROW(Z$12:Z1549)+1,ROW($T$12))&amp;":T"&amp;(ROW()-1))))),Первоначальный[[#This Row],[Полученный платеж]]+Y1549)
)
)
)</f>
        <v>0</v>
      </c>
      <c r="U155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платеж]]+Y1549-Первоначальный[[#This Row],[Полученный платёж по процентам]])</f>
        <v>0</v>
      </c>
      <c r="V1550" s="55">
        <f t="shared" ca="1" si="291"/>
        <v>0</v>
      </c>
      <c r="W1550" s="55" cm="1">
        <f t="array" aca="1" ref="W1550" ca="1">IF(Первоначальный[[#This Row],[Итого остаток на начало периода]]&lt;1,0,
_xlfn.IFS(
AND(TYPE(VLOOKUP(1,$Z$12:Z1550,1,0))=16,Первоначальный[[#This Row],[Досрочное погашение (да/"")]]=""),0,
AND(S1549=0,Первоначальный[[#This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платеж]]+Y1549-SUM(Первоначальный[[#This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комиссиям]]),VLOOKUP(LOOKUP(,-1/($Z$12:Z1550=1),$A$12:A1550),График[[Срок конец]:[Возврат основной суммы долга]],3,0)),
AND(S1549=0,Первоначальный[[#This Row],[Дата платежа из графика]]="",Первоначальный[[#This Row],[Досрочное погашение (да/"")]]&lt;&gt;"Да"),0,
AND(S1549=0,Первоначальный[[#This Row],[Досрочное погашение (да/"")]]=""),MIN(Первоначальный[[#This Row],[Полученный платеж]]+Y1549-SUM(Первоначальный[[#This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комиссиям]]),VLOOKUP(LOOKUP(,-1/($Z$12:Z1550=1),$A$12:A1550),График[[Срок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платеж]]+Y1549-SUM(Первоначальный[[#This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S1549&gt;0,MIN(Первоначальный[[#This Row],[Полученный платеж]]+Y1549-SUM(Первоначальный[[#This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комиссиям]]),SUM(INDIRECT("M"&amp;(MAX((1=S$12:S1549)*ROW(S$12:S1549),ROW($W$12))&amp;":M"&amp;(ROW()))))-SUM(INDIRECT("W"&amp;(MAX((1=S$12:S1549)*ROW(S$12:S1549),ROW($W$12))&amp;":W"&amp;(ROW()-1)))))
)
)</f>
        <v>0</v>
      </c>
      <c r="X1550" s="55">
        <f t="shared" ca="1" si="292"/>
        <v>0</v>
      </c>
      <c r="Y1550" s="101">
        <f t="shared" ref="Y1550:Y1571" ca="1" si="299">ROUND(Y1549+O1550-SUM(T1550:X1550),2)</f>
        <v>0</v>
      </c>
      <c r="Z1550" s="133" t="str">
        <f>IF(TYPE((VLOOKUP(Первоначальный[[#This Row],[Дата платежа]],График[Срок конец],1,0)))=16,"",1)</f>
        <v/>
      </c>
      <c r="AA1550" s="57"/>
      <c r="AB1550" s="134"/>
      <c r="AC155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5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109813.39999999998</v>
      </c>
      <c r="AE155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10505.339999999964</v>
      </c>
      <c r="AF155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5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508805.35074098455</v>
      </c>
      <c r="AH1550" s="55"/>
      <c r="AI1550" s="55"/>
      <c r="AJ1550" s="55"/>
      <c r="AK1550" s="101">
        <f t="shared" ref="AK1550:AK1571" ca="1" si="300">SUM(AC1550:AJ1550)</f>
        <v>778757.43074098451</v>
      </c>
      <c r="AL1550" s="129">
        <f t="array" ref="AL1550">MAX((УслРестрактов[Характеристика]="Дата реструктуризации")*(УслРестрактов[Значение]=Первоначальный!$A1550),0)</f>
        <v>0</v>
      </c>
    </row>
    <row r="1551" spans="1:38" x14ac:dyDescent="0.25">
      <c r="A1551" s="97">
        <f t="shared" si="293"/>
        <v>45682</v>
      </c>
      <c r="B1551" s="100">
        <f t="shared" ca="1" si="294"/>
        <v>149633.34</v>
      </c>
      <c r="C1551" s="55">
        <f t="shared" ca="1" si="290"/>
        <v>109813.39999999998</v>
      </c>
      <c r="D1551" s="55">
        <f t="shared" ca="1" si="290"/>
        <v>10505.339999999964</v>
      </c>
      <c r="E1551" s="55">
        <f t="shared" ca="1" si="295"/>
        <v>0</v>
      </c>
      <c r="F1551" s="55">
        <f t="shared" ca="1" si="296"/>
        <v>508805.35074098455</v>
      </c>
      <c r="G1551" s="101">
        <f t="shared" ca="1" si="297"/>
        <v>778757.43074098451</v>
      </c>
      <c r="H1551" s="100">
        <f ca="1">ROUND($B1551*VLOOKUP($A1551,$A$1:$B$10,2,1)/(365+IF(MOD(YEAR($A1551),4),0,1)*($A1551-$A1550)),2)-Первоначальный[[#This Row],[Проценты на просроченный платеж по ОД за период]]</f>
        <v>65.11</v>
      </c>
      <c r="I1551" s="55">
        <f t="shared" ca="1" si="298"/>
        <v>16.47</v>
      </c>
      <c r="J1551" s="55">
        <v>0</v>
      </c>
      <c r="K1551" s="55">
        <f t="shared" ref="K1551:K1571" ca="1" si="301">IF(S1551&lt;&gt;0,R1551*$B$7,0)</f>
        <v>695.21350327868845</v>
      </c>
      <c r="L1551" s="55">
        <v>0</v>
      </c>
      <c r="M1551" s="113">
        <f>SUMIFS(График[Возврат основной суммы долга],График[Дата с учетом нерабочих дней],$A1551)</f>
        <v>0</v>
      </c>
      <c r="N1551" s="56">
        <f>SUMIFS(График[Возврат начисленных %],График[Дата с учетом нерабочих дней],$A1551)</f>
        <v>0</v>
      </c>
      <c r="O1551" s="101">
        <v>0</v>
      </c>
      <c r="P1551" s="100" cm="1">
        <f t="array" aca="1" ref="P1551" ca="1">MAX(IF(AA1550="Да",0,SUM(INDIRECT("M"&amp;(MAX(("Да"=AA$12:AA1550)*ROW(AA$12:AA1550)+1,ROW($P$12))&amp;":M"&amp;(ROW()))))-SUM(INDIRECT("W"&amp;(MAX(("Да"=AA$12:AA1550)*ROW(AA$12:AA1550)+1,ROW($P$12))&amp;":W"&amp;(ROW()))))),0)</f>
        <v>30212.6</v>
      </c>
      <c r="Q1551" s="99">
        <f ca="1">MAX(SUM($N$13:N1551)-SUM($T$13:T1551),0)</f>
        <v>108830.1006557377</v>
      </c>
      <c r="R1551" s="99">
        <f ca="1">Первоначальный[[#This Row],[Просроченный платеж по ОД]]+Первоначальный[[#This Row],[Просроченный платеж по процентам]]</f>
        <v>139042.70065573769</v>
      </c>
      <c r="S1551" s="120">
        <f ca="1">IF(Первоначальный[[#This Row],[Просроченный платеж]]&lt;1,0,S1550+1)</f>
        <v>1447</v>
      </c>
      <c r="T1551" s="100" cm="1">
        <f t="array" aca="1" ref="T1551" ca="1">IF(Первоначальный[[#This Row],[Итого остаток на начало периода]]&lt;1,0,
IF(
AND(TYPE(VLOOKUP(1,$Z$12:Z1551,1,0))=16,Первоначальный[[#This Row],[Досрочное погашение (да/"")]]=""),0,
_xlfn.IFS(AND(S1550=0,Первоначальный[[#This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платеж]]&lt;&gt;0),MIN(LOOKUP(,-1/($Z$12:Z1551=1),$C$12:C1551)+LOOKUP(,-1/($Z$12:Z1551=1),$H$12:H1551),Первоначальный[[#This Row],[Полученный платеж]]+Y1550),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платеж]]+Y1550,SUM(Первоначальный[[#This Row],[Остаток процентов на начало периода]],Первоначальный[[#This Row],[Проценты за период]])),
AND(S1550=0,Первоначальный[[#This Row],[Дата платежа из графика]]=""),0,
AND(S1550=0,Первоначальный[[#This Row],[Дата платежа из графика]]=1,MAX((0&lt;&gt;S$12:S1550)*ROW(S$12:S1550),ROW($S$12))&gt;=MAX((1=Z$12:Z1550)*ROW(Z$12:Z1550),ROW($T$12)),TYPE(VLOOKUP("Да",(INDIRECT("AA"&amp;(MAX((1=Z$12:Z1550)*ROW(Z$12:Z1550),ROW($T$12))&amp;":AA"&amp;(ROW()-1)))),1,0))=16),MIN(LOOKUP(,-1/($Z$12:Z1551=1),$C$12:C1551)+LOOKUP(,-1/($Z$12:Z1551=1),$H$12:H1551),Первоначальный[[#This Row],[Полученный платеж]]+Y1550),
AND(S1550=0,TYPE(VLOOKUP("Да",(INDIRECT("AA"&amp;(MAX((1=Z$12:Z1550)*ROW(Z$12:Z1550),ROW($T$12))&amp;":AA"&amp;(ROW()-1)))),1,0))&lt;&gt;16),MIN(LOOKUP(,-1/($Z$12:Z1551=1),$C$12:C1551)+LOOKUP(,-1/($Z$12:Z1551=1),$H$12:H1551)-IF(AA1550="Да",0,SUM(INDIRECT("T"&amp;(MAX(("Да"=AA$12:AA1550)*ROW(AA$12:AA1550)+1,ROW($T$12))&amp;":T"&amp;(ROW()-1))))),Первоначальный[[#This Row],[Полученный платеж]]+Y1550),
AND(S1550=0,MAX((0&lt;&gt;N$12:N1550)*ROW(N$12:N1550),ROW($S$12))&gt;=MAX((1=Z$12:Z1550)*ROW(Z$12:Z1550),ROW($T$12))),MIN(LOOKUP(,-1/($Z$12:Z1551=1),$C$12:C1551)+LOOKUP(,-1/($Z$12:Z1551=1),$H$12:H1551)-IF(N1550&lt;&gt;0,0,SUM(INDIRECT("T"&amp;(MAX((0&lt;&gt;N$12:N1550)*ROW(N$12:N1550)+1,ROW($T$12))&amp;":T"&amp;(ROW()-1))))),Первоначальный[[#This Row],[Полученный платеж]]+Y1550),
AND(S1550=0,Первоначальный[[#This Row],[Дата платежа из графика]]=1),MIN(LOOKUP(,-1/($Z$12:Z1551=1),$C$12:C1551)+LOOKUP(,-1/($Z$12:Z1551=1),$H$12:H1551)-IF(Z1550=1,0,SUM(INDIRECT("T"&amp;(MAX((1=Z$12:Z1550)*ROW(Z$12:Z1550)+1,ROW($T$12))&amp;":T"&amp;(ROW()-1))))),Первоначальный[[#This Row],[Полученный платеж]]+Y1550),
AND(Z1550&gt;0,Первоначальный[[#This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платеж]]+Y1550),
AND(S1550&gt;0,MAX((0&lt;&gt;S$12:S1550)*ROW(S$12:S1550),ROW($S$12))&gt;=MAX((1=Z$12:Z1550)*ROW(Z$12:Z1550),ROW($T$12)),TYPE(VLOOKUP("Да",(INDIRECT("AA"&amp;(MAX((1=Z$12:Z1550)*ROW(Z$12:Z1550),ROW($T$12))&amp;":AA"&amp;(ROW()-1)))),1,0))=16),MIN(LOOKUP(,-1/($Z$12:Z1551=1),$C$12:C1551)+LOOKUP(,-1/($Z$12:Z1551=1),$H$12:H1551)-SUM(INDIRECT("T"&amp;(MAX((1=Z$12:Z1550)*ROW(Z$12:Z1550),ROW($T$12))&amp;":T"&amp;(ROW()-1)))),Первоначальный[[#This Row],[Полученный платеж]]+Y1550),
S1550&gt;0,MIN(LOOKUP(,-1/($Z$12:Z1551=1),$C$12:C1551)+LOOKUP(,-1/($Z$12:Z1551=1),$H$12:H1551)-IF(Z1550=1,0,SUM(INDIRECT("T"&amp;(MAX((1=Z$12:Z1550)*ROW(Z$12:Z1550)+1,ROW($T$12))&amp;":T"&amp;(ROW()-1))))),Первоначальный[[#This Row],[Полученный платеж]]+Y1550)
)
)
)</f>
        <v>0</v>
      </c>
      <c r="U155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платеж]]+Y1550-Первоначальный[[#This Row],[Полученный платёж по процентам]])</f>
        <v>0</v>
      </c>
      <c r="V1551" s="55">
        <f t="shared" ca="1" si="291"/>
        <v>0</v>
      </c>
      <c r="W1551" s="55" cm="1">
        <f t="array" aca="1" ref="W1551" ca="1">IF(Первоначальный[[#This Row],[Итого остаток на начало периода]]&lt;1,0,
_xlfn.IFS(
AND(TYPE(VLOOKUP(1,$Z$12:Z1551,1,0))=16,Первоначальный[[#This Row],[Досрочное погашение (да/"")]]=""),0,
AND(S1550=0,Первоначальный[[#This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платеж]]+Y1550-SUM(Первоначальный[[#This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комиссиям]]),VLOOKUP(LOOKUP(,-1/($Z$12:Z1551=1),$A$12:A1551),График[[Срок конец]:[Возврат основной суммы долга]],3,0)),
AND(S1550=0,Первоначальный[[#This Row],[Дата платежа из графика]]="",Первоначальный[[#This Row],[Досрочное погашение (да/"")]]&lt;&gt;"Да"),0,
AND(S1550=0,Первоначальный[[#This Row],[Досрочное погашение (да/"")]]=""),MIN(Первоначальный[[#This Row],[Полученный платеж]]+Y1550-SUM(Первоначальный[[#This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комиссиям]]),VLOOKUP(LOOKUP(,-1/($Z$12:Z1551=1),$A$12:A1551),График[[Срок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платеж]]+Y1550-SUM(Первоначальный[[#This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S1550&gt;0,MIN(Первоначальный[[#This Row],[Полученный платеж]]+Y1550-SUM(Первоначальный[[#This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комиссиям]]),SUM(INDIRECT("M"&amp;(MAX((1=S$12:S1550)*ROW(S$12:S1550),ROW($W$12))&amp;":M"&amp;(ROW()))))-SUM(INDIRECT("W"&amp;(MAX((1=S$12:S1550)*ROW(S$12:S1550),ROW($W$12))&amp;":W"&amp;(ROW()-1)))))
)
)</f>
        <v>0</v>
      </c>
      <c r="X1551" s="55">
        <f t="shared" ca="1" si="292"/>
        <v>0</v>
      </c>
      <c r="Y1551" s="101">
        <f t="shared" ca="1" si="299"/>
        <v>0</v>
      </c>
      <c r="Z1551" s="133" t="str">
        <f>IF(TYPE((VLOOKUP(Первоначальный[[#This Row],[Дата платежа]],График[Срок конец],1,0)))=16,"",1)</f>
        <v/>
      </c>
      <c r="AA1551" s="57"/>
      <c r="AB1551" s="134"/>
      <c r="AC155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5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109878.50999999998</v>
      </c>
      <c r="AE155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10521.809999999963</v>
      </c>
      <c r="AF155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5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509500.56424426322</v>
      </c>
      <c r="AH1551" s="55"/>
      <c r="AI1551" s="55"/>
      <c r="AJ1551" s="55"/>
      <c r="AK1551" s="101">
        <f t="shared" ca="1" si="300"/>
        <v>779534.22424426314</v>
      </c>
      <c r="AL1551" s="129">
        <f t="array" ref="AL1551">MAX((УслРестрактов[Характеристика]="Дата реструктуризации")*(УслРестрактов[Значение]=Первоначальный!$A1551),0)</f>
        <v>0</v>
      </c>
    </row>
    <row r="1552" spans="1:38" x14ac:dyDescent="0.25">
      <c r="A1552" s="97">
        <f t="shared" si="293"/>
        <v>45683</v>
      </c>
      <c r="B1552" s="100">
        <f t="shared" ca="1" si="294"/>
        <v>149633.34</v>
      </c>
      <c r="C1552" s="55">
        <f t="shared" ca="1" si="290"/>
        <v>109878.50999999998</v>
      </c>
      <c r="D1552" s="55">
        <f t="shared" ca="1" si="290"/>
        <v>10521.809999999963</v>
      </c>
      <c r="E1552" s="55">
        <f t="shared" ca="1" si="295"/>
        <v>0</v>
      </c>
      <c r="F1552" s="55">
        <f t="shared" ca="1" si="296"/>
        <v>509500.56424426322</v>
      </c>
      <c r="G1552" s="101">
        <f t="shared" ca="1" si="297"/>
        <v>779534.22424426314</v>
      </c>
      <c r="H1552" s="100">
        <f ca="1">ROUND($B1552*VLOOKUP($A1552,$A$1:$B$10,2,1)/(365+IF(MOD(YEAR($A1552),4),0,1)*($A1552-$A1551)),2)-Первоначальный[[#This Row],[Проценты на просроченный платеж по ОД за период]]</f>
        <v>65.11</v>
      </c>
      <c r="I1552" s="55">
        <f t="shared" ca="1" si="298"/>
        <v>16.47</v>
      </c>
      <c r="J1552" s="55">
        <v>0</v>
      </c>
      <c r="K1552" s="55">
        <f t="shared" ca="1" si="301"/>
        <v>695.21350327868845</v>
      </c>
      <c r="L1552" s="55">
        <v>0</v>
      </c>
      <c r="M1552" s="113">
        <f>SUMIFS(График[Возврат основной суммы долга],График[Дата с учетом нерабочих дней],$A1552)</f>
        <v>0</v>
      </c>
      <c r="N1552" s="56">
        <f>SUMIFS(График[Возврат начисленных %],График[Дата с учетом нерабочих дней],$A1552)</f>
        <v>0</v>
      </c>
      <c r="O1552" s="101">
        <v>0</v>
      </c>
      <c r="P1552" s="100" cm="1">
        <f t="array" aca="1" ref="P1552" ca="1">MAX(IF(AA1551="Да",0,SUM(INDIRECT("M"&amp;(MAX(("Да"=AA$12:AA1551)*ROW(AA$12:AA1551)+1,ROW($P$12))&amp;":M"&amp;(ROW()))))-SUM(INDIRECT("W"&amp;(MAX(("Да"=AA$12:AA1551)*ROW(AA$12:AA1551)+1,ROW($P$12))&amp;":W"&amp;(ROW()))))),0)</f>
        <v>30212.6</v>
      </c>
      <c r="Q1552" s="99">
        <f ca="1">MAX(SUM($N$13:N1552)-SUM($T$13:T1552),0)</f>
        <v>108830.1006557377</v>
      </c>
      <c r="R1552" s="99">
        <f ca="1">Первоначальный[[#This Row],[Просроченный платеж по ОД]]+Первоначальный[[#This Row],[Просроченный платеж по процентам]]</f>
        <v>139042.70065573769</v>
      </c>
      <c r="S1552" s="120">
        <f ca="1">IF(Первоначальный[[#This Row],[Просроченный платеж]]&lt;1,0,S1551+1)</f>
        <v>1448</v>
      </c>
      <c r="T1552" s="100" cm="1">
        <f t="array" aca="1" ref="T1552" ca="1">IF(Первоначальный[[#This Row],[Итого остаток на начало периода]]&lt;1,0,
IF(
AND(TYPE(VLOOKUP(1,$Z$12:Z1552,1,0))=16,Первоначальный[[#This Row],[Досрочное погашение (да/"")]]=""),0,
_xlfn.IFS(AND(S1551=0,Первоначальный[[#This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платеж]]&lt;&gt;0),MIN(LOOKUP(,-1/($Z$12:Z1552=1),$C$12:C1552)+LOOKUP(,-1/($Z$12:Z1552=1),$H$12:H1552),Первоначальный[[#This Row],[Полученный платеж]]+Y1551),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платеж]]+Y1551,SUM(Первоначальный[[#This Row],[Остаток процентов на начало периода]],Первоначальный[[#This Row],[Проценты за период]])),
AND(S1551=0,Первоначальный[[#This Row],[Дата платежа из графика]]=""),0,
AND(S1551=0,Первоначальный[[#This Row],[Дата платежа из графика]]=1,MAX((0&lt;&gt;S$12:S1551)*ROW(S$12:S1551),ROW($S$12))&gt;=MAX((1=Z$12:Z1551)*ROW(Z$12:Z1551),ROW($T$12)),TYPE(VLOOKUP("Да",(INDIRECT("AA"&amp;(MAX((1=Z$12:Z1551)*ROW(Z$12:Z1551),ROW($T$12))&amp;":AA"&amp;(ROW()-1)))),1,0))=16),MIN(LOOKUP(,-1/($Z$12:Z1552=1),$C$12:C1552)+LOOKUP(,-1/($Z$12:Z1552=1),$H$12:H1552),Первоначальный[[#This Row],[Полученный платеж]]+Y1551),
AND(S1551=0,TYPE(VLOOKUP("Да",(INDIRECT("AA"&amp;(MAX((1=Z$12:Z1551)*ROW(Z$12:Z1551),ROW($T$12))&amp;":AA"&amp;(ROW()-1)))),1,0))&lt;&gt;16),MIN(LOOKUP(,-1/($Z$12:Z1552=1),$C$12:C1552)+LOOKUP(,-1/($Z$12:Z1552=1),$H$12:H1552)-IF(AA1551="Да",0,SUM(INDIRECT("T"&amp;(MAX(("Да"=AA$12:AA1551)*ROW(AA$12:AA1551)+1,ROW($T$12))&amp;":T"&amp;(ROW()-1))))),Первоначальный[[#This Row],[Полученный платеж]]+Y1551),
AND(S1551=0,MAX((0&lt;&gt;N$12:N1551)*ROW(N$12:N1551),ROW($S$12))&gt;=MAX((1=Z$12:Z1551)*ROW(Z$12:Z1551),ROW($T$12))),MIN(LOOKUP(,-1/($Z$12:Z1552=1),$C$12:C1552)+LOOKUP(,-1/($Z$12:Z1552=1),$H$12:H1552)-IF(N1551&lt;&gt;0,0,SUM(INDIRECT("T"&amp;(MAX((0&lt;&gt;N$12:N1551)*ROW(N$12:N1551)+1,ROW($T$12))&amp;":T"&amp;(ROW()-1))))),Первоначальный[[#This Row],[Полученный платеж]]+Y1551),
AND(S1551=0,Первоначальный[[#This Row],[Дата платежа из графика]]=1),MIN(LOOKUP(,-1/($Z$12:Z1552=1),$C$12:C1552)+LOOKUP(,-1/($Z$12:Z1552=1),$H$12:H1552)-IF(Z1551=1,0,SUM(INDIRECT("T"&amp;(MAX((1=Z$12:Z1551)*ROW(Z$12:Z1551)+1,ROW($T$12))&amp;":T"&amp;(ROW()-1))))),Первоначальный[[#This Row],[Полученный платеж]]+Y1551),
AND(Z1551&gt;0,Первоначальный[[#This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платеж]]+Y1551),
AND(S1551&gt;0,MAX((0&lt;&gt;S$12:S1551)*ROW(S$12:S1551),ROW($S$12))&gt;=MAX((1=Z$12:Z1551)*ROW(Z$12:Z1551),ROW($T$12)),TYPE(VLOOKUP("Да",(INDIRECT("AA"&amp;(MAX((1=Z$12:Z1551)*ROW(Z$12:Z1551),ROW($T$12))&amp;":AA"&amp;(ROW()-1)))),1,0))=16),MIN(LOOKUP(,-1/($Z$12:Z1552=1),$C$12:C1552)+LOOKUP(,-1/($Z$12:Z1552=1),$H$12:H1552)-SUM(INDIRECT("T"&amp;(MAX((1=Z$12:Z1551)*ROW(Z$12:Z1551),ROW($T$12))&amp;":T"&amp;(ROW()-1)))),Первоначальный[[#This Row],[Полученный платеж]]+Y1551),
S1551&gt;0,MIN(LOOKUP(,-1/($Z$12:Z1552=1),$C$12:C1552)+LOOKUP(,-1/($Z$12:Z1552=1),$H$12:H1552)-IF(Z1551=1,0,SUM(INDIRECT("T"&amp;(MAX((1=Z$12:Z1551)*ROW(Z$12:Z1551)+1,ROW($T$12))&amp;":T"&amp;(ROW()-1))))),Первоначальный[[#This Row],[Полученный платеж]]+Y1551)
)
)
)</f>
        <v>0</v>
      </c>
      <c r="U155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платеж]]+Y1551-Первоначальный[[#This Row],[Полученный платёж по процентам]])</f>
        <v>0</v>
      </c>
      <c r="V1552" s="55">
        <f t="shared" ca="1" si="291"/>
        <v>0</v>
      </c>
      <c r="W1552" s="55" cm="1">
        <f t="array" aca="1" ref="W1552" ca="1">IF(Первоначальный[[#This Row],[Итого остаток на начало периода]]&lt;1,0,
_xlfn.IFS(
AND(TYPE(VLOOKUP(1,$Z$12:Z1552,1,0))=16,Первоначальный[[#This Row],[Досрочное погашение (да/"")]]=""),0,
AND(S1551=0,Первоначальный[[#This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платеж]]+Y1551-SUM(Первоначальный[[#This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комиссиям]]),VLOOKUP(LOOKUP(,-1/($Z$12:Z1552=1),$A$12:A1552),График[[Срок конец]:[Возврат основной суммы долга]],3,0)),
AND(S1551=0,Первоначальный[[#This Row],[Дата платежа из графика]]="",Первоначальный[[#This Row],[Досрочное погашение (да/"")]]&lt;&gt;"Да"),0,
AND(S1551=0,Первоначальный[[#This Row],[Досрочное погашение (да/"")]]=""),MIN(Первоначальный[[#This Row],[Полученный платеж]]+Y1551-SUM(Первоначальный[[#This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комиссиям]]),VLOOKUP(LOOKUP(,-1/($Z$12:Z1552=1),$A$12:A1552),График[[Срок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платеж]]+Y1551-SUM(Первоначальный[[#This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S1551&gt;0,MIN(Первоначальный[[#This Row],[Полученный платеж]]+Y1551-SUM(Первоначальный[[#This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комиссиям]]),SUM(INDIRECT("M"&amp;(MAX((1=S$12:S1551)*ROW(S$12:S1551),ROW($W$12))&amp;":M"&amp;(ROW()))))-SUM(INDIRECT("W"&amp;(MAX((1=S$12:S1551)*ROW(S$12:S1551),ROW($W$12))&amp;":W"&amp;(ROW()-1)))))
)
)</f>
        <v>0</v>
      </c>
      <c r="X1552" s="55">
        <f t="shared" ca="1" si="292"/>
        <v>0</v>
      </c>
      <c r="Y1552" s="101">
        <f t="shared" ca="1" si="299"/>
        <v>0</v>
      </c>
      <c r="Z1552" s="133" t="str">
        <f>IF(TYPE((VLOOKUP(Первоначальный[[#This Row],[Дата платежа]],График[Срок конец],1,0)))=16,"",1)</f>
        <v/>
      </c>
      <c r="AA1552" s="57"/>
      <c r="AB1552" s="134"/>
      <c r="AC155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5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109943.61999999998</v>
      </c>
      <c r="AE155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10538.279999999962</v>
      </c>
      <c r="AF155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5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510195.7777475419</v>
      </c>
      <c r="AH1552" s="55"/>
      <c r="AI1552" s="55"/>
      <c r="AJ1552" s="55"/>
      <c r="AK1552" s="101">
        <f t="shared" ca="1" si="300"/>
        <v>780311.01774754189</v>
      </c>
      <c r="AL1552" s="129">
        <f t="array" ref="AL1552">MAX((УслРестрактов[Характеристика]="Дата реструктуризации")*(УслРестрактов[Значение]=Первоначальный!$A1552),0)</f>
        <v>0</v>
      </c>
    </row>
    <row r="1553" spans="1:38" x14ac:dyDescent="0.25">
      <c r="A1553" s="97">
        <f t="shared" si="293"/>
        <v>45684</v>
      </c>
      <c r="B1553" s="100">
        <f t="shared" ca="1" si="294"/>
        <v>149633.34</v>
      </c>
      <c r="C1553" s="55">
        <f t="shared" ca="1" si="290"/>
        <v>109943.61999999998</v>
      </c>
      <c r="D1553" s="55">
        <f t="shared" ca="1" si="290"/>
        <v>10538.279999999962</v>
      </c>
      <c r="E1553" s="55">
        <f t="shared" ca="1" si="295"/>
        <v>0</v>
      </c>
      <c r="F1553" s="55">
        <f t="shared" ca="1" si="296"/>
        <v>510195.7777475419</v>
      </c>
      <c r="G1553" s="101">
        <f t="shared" ca="1" si="297"/>
        <v>780311.01774754189</v>
      </c>
      <c r="H1553" s="100">
        <f ca="1">ROUND($B1553*VLOOKUP($A1553,$A$1:$B$10,2,1)/(365+IF(MOD(YEAR($A1553),4),0,1)*($A1553-$A1552)),2)-Первоначальный[[#This Row],[Проценты на просроченный платеж по ОД за период]]</f>
        <v>65.11</v>
      </c>
      <c r="I1553" s="55">
        <f t="shared" ca="1" si="298"/>
        <v>16.47</v>
      </c>
      <c r="J1553" s="55">
        <v>0</v>
      </c>
      <c r="K1553" s="55">
        <f t="shared" ca="1" si="301"/>
        <v>695.21350327868845</v>
      </c>
      <c r="L1553" s="55">
        <v>0</v>
      </c>
      <c r="M1553" s="113">
        <f>SUMIFS(График[Возврат основной суммы долга],График[Дата с учетом нерабочих дней],$A1553)</f>
        <v>0</v>
      </c>
      <c r="N1553" s="56">
        <f>SUMIFS(График[Возврат начисленных %],График[Дата с учетом нерабочих дней],$A1553)</f>
        <v>0</v>
      </c>
      <c r="O1553" s="101">
        <v>0</v>
      </c>
      <c r="P1553" s="100" cm="1">
        <f t="array" aca="1" ref="P1553" ca="1">MAX(IF(AA1552="Да",0,SUM(INDIRECT("M"&amp;(MAX(("Да"=AA$12:AA1552)*ROW(AA$12:AA1552)+1,ROW($P$12))&amp;":M"&amp;(ROW()))))-SUM(INDIRECT("W"&amp;(MAX(("Да"=AA$12:AA1552)*ROW(AA$12:AA1552)+1,ROW($P$12))&amp;":W"&amp;(ROW()))))),0)</f>
        <v>30212.6</v>
      </c>
      <c r="Q1553" s="99">
        <f ca="1">MAX(SUM($N$13:N1553)-SUM($T$13:T1553),0)</f>
        <v>108830.1006557377</v>
      </c>
      <c r="R1553" s="99">
        <f ca="1">Первоначальный[[#This Row],[Просроченный платеж по ОД]]+Первоначальный[[#This Row],[Просроченный платеж по процентам]]</f>
        <v>139042.70065573769</v>
      </c>
      <c r="S1553" s="120">
        <f ca="1">IF(Первоначальный[[#This Row],[Просроченный платеж]]&lt;1,0,S1552+1)</f>
        <v>1449</v>
      </c>
      <c r="T1553" s="100" cm="1">
        <f t="array" aca="1" ref="T1553" ca="1">IF(Первоначальный[[#This Row],[Итого остаток на начало периода]]&lt;1,0,
IF(
AND(TYPE(VLOOKUP(1,$Z$12:Z1553,1,0))=16,Первоначальный[[#This Row],[Досрочное погашение (да/"")]]=""),0,
_xlfn.IFS(AND(S1552=0,Первоначальный[[#This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платеж]]&lt;&gt;0),MIN(LOOKUP(,-1/($Z$12:Z1553=1),$C$12:C1553)+LOOKUP(,-1/($Z$12:Z1553=1),$H$12:H1553),Первоначальный[[#This Row],[Полученный платеж]]+Y1552),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платеж]]+Y1552,SUM(Первоначальный[[#This Row],[Остаток процентов на начало периода]],Первоначальный[[#This Row],[Проценты за период]])),
AND(S1552=0,Первоначальный[[#This Row],[Дата платежа из графика]]=""),0,
AND(S1552=0,Первоначальный[[#This Row],[Дата платежа из графика]]=1,MAX((0&lt;&gt;S$12:S1552)*ROW(S$12:S1552),ROW($S$12))&gt;=MAX((1=Z$12:Z1552)*ROW(Z$12:Z1552),ROW($T$12)),TYPE(VLOOKUP("Да",(INDIRECT("AA"&amp;(MAX((1=Z$12:Z1552)*ROW(Z$12:Z1552),ROW($T$12))&amp;":AA"&amp;(ROW()-1)))),1,0))=16),MIN(LOOKUP(,-1/($Z$12:Z1553=1),$C$12:C1553)+LOOKUP(,-1/($Z$12:Z1553=1),$H$12:H1553),Первоначальный[[#This Row],[Полученный платеж]]+Y1552),
AND(S1552=0,TYPE(VLOOKUP("Да",(INDIRECT("AA"&amp;(MAX((1=Z$12:Z1552)*ROW(Z$12:Z1552),ROW($T$12))&amp;":AA"&amp;(ROW()-1)))),1,0))&lt;&gt;16),MIN(LOOKUP(,-1/($Z$12:Z1553=1),$C$12:C1553)+LOOKUP(,-1/($Z$12:Z1553=1),$H$12:H1553)-IF(AA1552="Да",0,SUM(INDIRECT("T"&amp;(MAX(("Да"=AA$12:AA1552)*ROW(AA$12:AA1552)+1,ROW($T$12))&amp;":T"&amp;(ROW()-1))))),Первоначальный[[#This Row],[Полученный платеж]]+Y1552),
AND(S1552=0,MAX((0&lt;&gt;N$12:N1552)*ROW(N$12:N1552),ROW($S$12))&gt;=MAX((1=Z$12:Z1552)*ROW(Z$12:Z1552),ROW($T$12))),MIN(LOOKUP(,-1/($Z$12:Z1553=1),$C$12:C1553)+LOOKUP(,-1/($Z$12:Z1553=1),$H$12:H1553)-IF(N1552&lt;&gt;0,0,SUM(INDIRECT("T"&amp;(MAX((0&lt;&gt;N$12:N1552)*ROW(N$12:N1552)+1,ROW($T$12))&amp;":T"&amp;(ROW()-1))))),Первоначальный[[#This Row],[Полученный платеж]]+Y1552),
AND(S1552=0,Первоначальный[[#This Row],[Дата платежа из графика]]=1),MIN(LOOKUP(,-1/($Z$12:Z1553=1),$C$12:C1553)+LOOKUP(,-1/($Z$12:Z1553=1),$H$12:H1553)-IF(Z1552=1,0,SUM(INDIRECT("T"&amp;(MAX((1=Z$12:Z1552)*ROW(Z$12:Z1552)+1,ROW($T$12))&amp;":T"&amp;(ROW()-1))))),Первоначальный[[#This Row],[Полученный платеж]]+Y1552),
AND(Z1552&gt;0,Первоначальный[[#This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платеж]]+Y1552),
AND(S1552&gt;0,MAX((0&lt;&gt;S$12:S1552)*ROW(S$12:S1552),ROW($S$12))&gt;=MAX((1=Z$12:Z1552)*ROW(Z$12:Z1552),ROW($T$12)),TYPE(VLOOKUP("Да",(INDIRECT("AA"&amp;(MAX((1=Z$12:Z1552)*ROW(Z$12:Z1552),ROW($T$12))&amp;":AA"&amp;(ROW()-1)))),1,0))=16),MIN(LOOKUP(,-1/($Z$12:Z1553=1),$C$12:C1553)+LOOKUP(,-1/($Z$12:Z1553=1),$H$12:H1553)-SUM(INDIRECT("T"&amp;(MAX((1=Z$12:Z1552)*ROW(Z$12:Z1552),ROW($T$12))&amp;":T"&amp;(ROW()-1)))),Первоначальный[[#This Row],[Полученный платеж]]+Y1552),
S1552&gt;0,MIN(LOOKUP(,-1/($Z$12:Z1553=1),$C$12:C1553)+LOOKUP(,-1/($Z$12:Z1553=1),$H$12:H1553)-IF(Z1552=1,0,SUM(INDIRECT("T"&amp;(MAX((1=Z$12:Z1552)*ROW(Z$12:Z1552)+1,ROW($T$12))&amp;":T"&amp;(ROW()-1))))),Первоначальный[[#This Row],[Полученный платеж]]+Y1552)
)
)
)</f>
        <v>0</v>
      </c>
      <c r="U155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платеж]]+Y1552-Первоначальный[[#This Row],[Полученный платёж по процентам]])</f>
        <v>0</v>
      </c>
      <c r="V1553" s="55">
        <f t="shared" ca="1" si="291"/>
        <v>0</v>
      </c>
      <c r="W1553" s="55" cm="1">
        <f t="array" aca="1" ref="W1553" ca="1">IF(Первоначальный[[#This Row],[Итого остаток на начало периода]]&lt;1,0,
_xlfn.IFS(
AND(TYPE(VLOOKUP(1,$Z$12:Z1553,1,0))=16,Первоначальный[[#This Row],[Досрочное погашение (да/"")]]=""),0,
AND(S1552=0,Первоначальный[[#This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платеж]]+Y1552-SUM(Первоначальный[[#This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комиссиям]]),VLOOKUP(LOOKUP(,-1/($Z$12:Z1553=1),$A$12:A1553),График[[Срок конец]:[Возврат основной суммы долга]],3,0)),
AND(S1552=0,Первоначальный[[#This Row],[Дата платежа из графика]]="",Первоначальный[[#This Row],[Досрочное погашение (да/"")]]&lt;&gt;"Да"),0,
AND(S1552=0,Первоначальный[[#This Row],[Досрочное погашение (да/"")]]=""),MIN(Первоначальный[[#This Row],[Полученный платеж]]+Y1552-SUM(Первоначальный[[#This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комиссиям]]),VLOOKUP(LOOKUP(,-1/($Z$12:Z1553=1),$A$12:A1553),График[[Срок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платеж]]+Y1552-SUM(Первоначальный[[#This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S1552&gt;0,MIN(Первоначальный[[#This Row],[Полученный платеж]]+Y1552-SUM(Первоначальный[[#This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комиссиям]]),SUM(INDIRECT("M"&amp;(MAX((1=S$12:S1552)*ROW(S$12:S1552),ROW($W$12))&amp;":M"&amp;(ROW()))))-SUM(INDIRECT("W"&amp;(MAX((1=S$12:S1552)*ROW(S$12:S1552),ROW($W$12))&amp;":W"&amp;(ROW()-1)))))
)
)</f>
        <v>0</v>
      </c>
      <c r="X1553" s="55">
        <f t="shared" ca="1" si="292"/>
        <v>0</v>
      </c>
      <c r="Y1553" s="101">
        <f t="shared" ca="1" si="299"/>
        <v>0</v>
      </c>
      <c r="Z1553" s="133" t="str">
        <f>IF(TYPE((VLOOKUP(Первоначальный[[#This Row],[Дата платежа]],График[Срок конец],1,0)))=16,"",1)</f>
        <v/>
      </c>
      <c r="AA1553" s="57"/>
      <c r="AB1553" s="134"/>
      <c r="AC155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5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110008.72999999998</v>
      </c>
      <c r="AE155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10554.749999999962</v>
      </c>
      <c r="AF155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5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510890.99125082057</v>
      </c>
      <c r="AH1553" s="55"/>
      <c r="AI1553" s="55"/>
      <c r="AJ1553" s="55"/>
      <c r="AK1553" s="101">
        <f t="shared" ca="1" si="300"/>
        <v>781087.81125082052</v>
      </c>
      <c r="AL1553" s="129">
        <f t="array" ref="AL1553">MAX((УслРестрактов[Характеристика]="Дата реструктуризации")*(УслРестрактов[Значение]=Первоначальный!$A1553),0)</f>
        <v>0</v>
      </c>
    </row>
    <row r="1554" spans="1:38" x14ac:dyDescent="0.25">
      <c r="A1554" s="97">
        <f t="shared" si="293"/>
        <v>45685</v>
      </c>
      <c r="B1554" s="100">
        <f t="shared" ca="1" si="294"/>
        <v>149633.34</v>
      </c>
      <c r="C1554" s="55">
        <f t="shared" ca="1" si="290"/>
        <v>110008.72999999998</v>
      </c>
      <c r="D1554" s="55">
        <f t="shared" ca="1" si="290"/>
        <v>10554.749999999962</v>
      </c>
      <c r="E1554" s="55">
        <f t="shared" ca="1" si="295"/>
        <v>0</v>
      </c>
      <c r="F1554" s="55">
        <f t="shared" ca="1" si="296"/>
        <v>510890.99125082057</v>
      </c>
      <c r="G1554" s="101">
        <f t="shared" ca="1" si="297"/>
        <v>781087.81125082052</v>
      </c>
      <c r="H1554" s="100">
        <f ca="1">ROUND($B1554*VLOOKUP($A1554,$A$1:$B$10,2,1)/(365+IF(MOD(YEAR($A1554),4),0,1)*($A1554-$A1553)),2)-Первоначальный[[#This Row],[Проценты на просроченный платеж по ОД за период]]</f>
        <v>65.11</v>
      </c>
      <c r="I1554" s="55">
        <f t="shared" ca="1" si="298"/>
        <v>16.47</v>
      </c>
      <c r="J1554" s="55">
        <v>0</v>
      </c>
      <c r="K1554" s="55">
        <f t="shared" ca="1" si="301"/>
        <v>695.21350327868845</v>
      </c>
      <c r="L1554" s="55">
        <v>0</v>
      </c>
      <c r="M1554" s="113">
        <f>SUMIFS(График[Возврат основной суммы долга],График[Дата с учетом нерабочих дней],$A1554)</f>
        <v>0</v>
      </c>
      <c r="N1554" s="56">
        <f>SUMIFS(График[Возврат начисленных %],График[Дата с учетом нерабочих дней],$A1554)</f>
        <v>0</v>
      </c>
      <c r="O1554" s="101">
        <v>0</v>
      </c>
      <c r="P1554" s="100" cm="1">
        <f t="array" aca="1" ref="P1554" ca="1">MAX(IF(AA1553="Да",0,SUM(INDIRECT("M"&amp;(MAX(("Да"=AA$12:AA1553)*ROW(AA$12:AA1553)+1,ROW($P$12))&amp;":M"&amp;(ROW()))))-SUM(INDIRECT("W"&amp;(MAX(("Да"=AA$12:AA1553)*ROW(AA$12:AA1553)+1,ROW($P$12))&amp;":W"&amp;(ROW()))))),0)</f>
        <v>30212.6</v>
      </c>
      <c r="Q1554" s="99">
        <f ca="1">MAX(SUM($N$13:N1554)-SUM($T$13:T1554),0)</f>
        <v>108830.1006557377</v>
      </c>
      <c r="R1554" s="99">
        <f ca="1">Первоначальный[[#This Row],[Просроченный платеж по ОД]]+Первоначальный[[#This Row],[Просроченный платеж по процентам]]</f>
        <v>139042.70065573769</v>
      </c>
      <c r="S1554" s="120">
        <f ca="1">IF(Первоначальный[[#This Row],[Просроченный платеж]]&lt;1,0,S1553+1)</f>
        <v>1450</v>
      </c>
      <c r="T1554" s="100" cm="1">
        <f t="array" aca="1" ref="T1554" ca="1">IF(Первоначальный[[#This Row],[Итого остаток на начало периода]]&lt;1,0,
IF(
AND(TYPE(VLOOKUP(1,$Z$12:Z1554,1,0))=16,Первоначальный[[#This Row],[Досрочное погашение (да/"")]]=""),0,
_xlfn.IFS(AND(S1553=0,Первоначальный[[#This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платеж]]&lt;&gt;0),MIN(LOOKUP(,-1/($Z$12:Z1554=1),$C$12:C1554)+LOOKUP(,-1/($Z$12:Z1554=1),$H$12:H1554),Первоначальный[[#This Row],[Полученный платеж]]+Y1553),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платеж]]+Y1553,SUM(Первоначальный[[#This Row],[Остаток процентов на начало периода]],Первоначальный[[#This Row],[Проценты за период]])),
AND(S1553=0,Первоначальный[[#This Row],[Дата платежа из графика]]=""),0,
AND(S1553=0,Первоначальный[[#This Row],[Дата платежа из графика]]=1,MAX((0&lt;&gt;S$12:S1553)*ROW(S$12:S1553),ROW($S$12))&gt;=MAX((1=Z$12:Z1553)*ROW(Z$12:Z1553),ROW($T$12)),TYPE(VLOOKUP("Да",(INDIRECT("AA"&amp;(MAX((1=Z$12:Z1553)*ROW(Z$12:Z1553),ROW($T$12))&amp;":AA"&amp;(ROW()-1)))),1,0))=16),MIN(LOOKUP(,-1/($Z$12:Z1554=1),$C$12:C1554)+LOOKUP(,-1/($Z$12:Z1554=1),$H$12:H1554),Первоначальный[[#This Row],[Полученный платеж]]+Y1553),
AND(S1553=0,TYPE(VLOOKUP("Да",(INDIRECT("AA"&amp;(MAX((1=Z$12:Z1553)*ROW(Z$12:Z1553),ROW($T$12))&amp;":AA"&amp;(ROW()-1)))),1,0))&lt;&gt;16),MIN(LOOKUP(,-1/($Z$12:Z1554=1),$C$12:C1554)+LOOKUP(,-1/($Z$12:Z1554=1),$H$12:H1554)-IF(AA1553="Да",0,SUM(INDIRECT("T"&amp;(MAX(("Да"=AA$12:AA1553)*ROW(AA$12:AA1553)+1,ROW($T$12))&amp;":T"&amp;(ROW()-1))))),Первоначальный[[#This Row],[Полученный платеж]]+Y1553),
AND(S1553=0,MAX((0&lt;&gt;N$12:N1553)*ROW(N$12:N1553),ROW($S$12))&gt;=MAX((1=Z$12:Z1553)*ROW(Z$12:Z1553),ROW($T$12))),MIN(LOOKUP(,-1/($Z$12:Z1554=1),$C$12:C1554)+LOOKUP(,-1/($Z$12:Z1554=1),$H$12:H1554)-IF(N1553&lt;&gt;0,0,SUM(INDIRECT("T"&amp;(MAX((0&lt;&gt;N$12:N1553)*ROW(N$12:N1553)+1,ROW($T$12))&amp;":T"&amp;(ROW()-1))))),Первоначальный[[#This Row],[Полученный платеж]]+Y1553),
AND(S1553=0,Первоначальный[[#This Row],[Дата платежа из графика]]=1),MIN(LOOKUP(,-1/($Z$12:Z1554=1),$C$12:C1554)+LOOKUP(,-1/($Z$12:Z1554=1),$H$12:H1554)-IF(Z1553=1,0,SUM(INDIRECT("T"&amp;(MAX((1=Z$12:Z1553)*ROW(Z$12:Z1553)+1,ROW($T$12))&amp;":T"&amp;(ROW()-1))))),Первоначальный[[#This Row],[Полученный платеж]]+Y1553),
AND(Z1553&gt;0,Первоначальный[[#This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платеж]]+Y1553),
AND(S1553&gt;0,MAX((0&lt;&gt;S$12:S1553)*ROW(S$12:S1553),ROW($S$12))&gt;=MAX((1=Z$12:Z1553)*ROW(Z$12:Z1553),ROW($T$12)),TYPE(VLOOKUP("Да",(INDIRECT("AA"&amp;(MAX((1=Z$12:Z1553)*ROW(Z$12:Z1553),ROW($T$12))&amp;":AA"&amp;(ROW()-1)))),1,0))=16),MIN(LOOKUP(,-1/($Z$12:Z1554=1),$C$12:C1554)+LOOKUP(,-1/($Z$12:Z1554=1),$H$12:H1554)-SUM(INDIRECT("T"&amp;(MAX((1=Z$12:Z1553)*ROW(Z$12:Z1553),ROW($T$12))&amp;":T"&amp;(ROW()-1)))),Первоначальный[[#This Row],[Полученный платеж]]+Y1553),
S1553&gt;0,MIN(LOOKUP(,-1/($Z$12:Z1554=1),$C$12:C1554)+LOOKUP(,-1/($Z$12:Z1554=1),$H$12:H1554)-IF(Z1553=1,0,SUM(INDIRECT("T"&amp;(MAX((1=Z$12:Z1553)*ROW(Z$12:Z1553)+1,ROW($T$12))&amp;":T"&amp;(ROW()-1))))),Первоначальный[[#This Row],[Полученный платеж]]+Y1553)
)
)
)</f>
        <v>0</v>
      </c>
      <c r="U155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платеж]]+Y1553-Первоначальный[[#This Row],[Полученный платёж по процентам]])</f>
        <v>0</v>
      </c>
      <c r="V1554" s="55">
        <f t="shared" ca="1" si="291"/>
        <v>0</v>
      </c>
      <c r="W1554" s="55" cm="1">
        <f t="array" aca="1" ref="W1554" ca="1">IF(Первоначальный[[#This Row],[Итого остаток на начало периода]]&lt;1,0,
_xlfn.IFS(
AND(TYPE(VLOOKUP(1,$Z$12:Z1554,1,0))=16,Первоначальный[[#This Row],[Досрочное погашение (да/"")]]=""),0,
AND(S1553=0,Первоначальный[[#This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платеж]]+Y1553-SUM(Первоначальный[[#This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комиссиям]]),VLOOKUP(LOOKUP(,-1/($Z$12:Z1554=1),$A$12:A1554),График[[Срок конец]:[Возврат основной суммы долга]],3,0)),
AND(S1553=0,Первоначальный[[#This Row],[Дата платежа из графика]]="",Первоначальный[[#This Row],[Досрочное погашение (да/"")]]&lt;&gt;"Да"),0,
AND(S1553=0,Первоначальный[[#This Row],[Досрочное погашение (да/"")]]=""),MIN(Первоначальный[[#This Row],[Полученный платеж]]+Y1553-SUM(Первоначальный[[#This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комиссиям]]),VLOOKUP(LOOKUP(,-1/($Z$12:Z1554=1),$A$12:A1554),График[[Срок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платеж]]+Y1553-SUM(Первоначальный[[#This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S1553&gt;0,MIN(Первоначальный[[#This Row],[Полученный платеж]]+Y1553-SUM(Первоначальный[[#This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комиссиям]]),SUM(INDIRECT("M"&amp;(MAX((1=S$12:S1553)*ROW(S$12:S1553),ROW($W$12))&amp;":M"&amp;(ROW()))))-SUM(INDIRECT("W"&amp;(MAX((1=S$12:S1553)*ROW(S$12:S1553),ROW($W$12))&amp;":W"&amp;(ROW()-1)))))
)
)</f>
        <v>0</v>
      </c>
      <c r="X1554" s="55">
        <f t="shared" ca="1" si="292"/>
        <v>0</v>
      </c>
      <c r="Y1554" s="101">
        <f t="shared" ca="1" si="299"/>
        <v>0</v>
      </c>
      <c r="Z1554" s="133" t="str">
        <f>IF(TYPE((VLOOKUP(Первоначальный[[#This Row],[Дата платежа]],График[Срок конец],1,0)))=16,"",1)</f>
        <v/>
      </c>
      <c r="AA1554" s="57"/>
      <c r="AB1554" s="134"/>
      <c r="AC155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5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110073.83999999998</v>
      </c>
      <c r="AE155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10571.219999999961</v>
      </c>
      <c r="AF155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5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511586.20475409925</v>
      </c>
      <c r="AH1554" s="55"/>
      <c r="AI1554" s="55"/>
      <c r="AJ1554" s="55"/>
      <c r="AK1554" s="101">
        <f t="shared" ca="1" si="300"/>
        <v>781864.60475409916</v>
      </c>
      <c r="AL1554" s="129">
        <f t="array" ref="AL1554">MAX((УслРестрактов[Характеристика]="Дата реструктуризации")*(УслРестрактов[Значение]=Первоначальный!$A1554),0)</f>
        <v>0</v>
      </c>
    </row>
    <row r="1555" spans="1:38" x14ac:dyDescent="0.25">
      <c r="A1555" s="97">
        <f t="shared" si="293"/>
        <v>45686</v>
      </c>
      <c r="B1555" s="100">
        <f t="shared" ca="1" si="294"/>
        <v>149633.34</v>
      </c>
      <c r="C1555" s="55">
        <f t="shared" ca="1" si="290"/>
        <v>110073.83999999998</v>
      </c>
      <c r="D1555" s="55">
        <f t="shared" ca="1" si="290"/>
        <v>10571.219999999961</v>
      </c>
      <c r="E1555" s="55">
        <f t="shared" ca="1" si="295"/>
        <v>0</v>
      </c>
      <c r="F1555" s="55">
        <f t="shared" ca="1" si="296"/>
        <v>511586.20475409925</v>
      </c>
      <c r="G1555" s="101">
        <f t="shared" ca="1" si="297"/>
        <v>781864.60475409916</v>
      </c>
      <c r="H1555" s="100">
        <f ca="1">ROUND($B1555*VLOOKUP($A1555,$A$1:$B$10,2,1)/(365+IF(MOD(YEAR($A1555),4),0,1)*($A1555-$A1554)),2)-Первоначальный[[#This Row],[Проценты на просроченный платеж по ОД за период]]</f>
        <v>65.11</v>
      </c>
      <c r="I1555" s="55">
        <f t="shared" ca="1" si="298"/>
        <v>16.47</v>
      </c>
      <c r="J1555" s="55">
        <v>0</v>
      </c>
      <c r="K1555" s="55">
        <f t="shared" ca="1" si="301"/>
        <v>695.21350327868845</v>
      </c>
      <c r="L1555" s="55">
        <v>0</v>
      </c>
      <c r="M1555" s="113">
        <f>SUMIFS(График[Возврат основной суммы долга],График[Дата с учетом нерабочих дней],$A1555)</f>
        <v>0</v>
      </c>
      <c r="N1555" s="56">
        <f>SUMIFS(График[Возврат начисленных %],График[Дата с учетом нерабочих дней],$A1555)</f>
        <v>0</v>
      </c>
      <c r="O1555" s="101">
        <v>0</v>
      </c>
      <c r="P1555" s="100" cm="1">
        <f t="array" aca="1" ref="P1555" ca="1">MAX(IF(AA1554="Да",0,SUM(INDIRECT("M"&amp;(MAX(("Да"=AA$12:AA1554)*ROW(AA$12:AA1554)+1,ROW($P$12))&amp;":M"&amp;(ROW()))))-SUM(INDIRECT("W"&amp;(MAX(("Да"=AA$12:AA1554)*ROW(AA$12:AA1554)+1,ROW($P$12))&amp;":W"&amp;(ROW()))))),0)</f>
        <v>30212.6</v>
      </c>
      <c r="Q1555" s="99">
        <f ca="1">MAX(SUM($N$13:N1555)-SUM($T$13:T1555),0)</f>
        <v>108830.1006557377</v>
      </c>
      <c r="R1555" s="99">
        <f ca="1">Первоначальный[[#This Row],[Просроченный платеж по ОД]]+Первоначальный[[#This Row],[Просроченный платеж по процентам]]</f>
        <v>139042.70065573769</v>
      </c>
      <c r="S1555" s="120">
        <f ca="1">IF(Первоначальный[[#This Row],[Просроченный платеж]]&lt;1,0,S1554+1)</f>
        <v>1451</v>
      </c>
      <c r="T1555" s="100" cm="1">
        <f t="array" aca="1" ref="T1555" ca="1">IF(Первоначальный[[#This Row],[Итого остаток на начало периода]]&lt;1,0,
IF(
AND(TYPE(VLOOKUP(1,$Z$12:Z1555,1,0))=16,Первоначальный[[#This Row],[Досрочное погашение (да/"")]]=""),0,
_xlfn.IFS(AND(S1554=0,Первоначальный[[#This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платеж]]&lt;&gt;0),MIN(LOOKUP(,-1/($Z$12:Z1555=1),$C$12:C1555)+LOOKUP(,-1/($Z$12:Z1555=1),$H$12:H1555),Первоначальный[[#This Row],[Полученный платеж]]+Y1554),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платеж]]+Y1554,SUM(Первоначальный[[#This Row],[Остаток процентов на начало периода]],Первоначальный[[#This Row],[Проценты за период]])),
AND(S1554=0,Первоначальный[[#This Row],[Дата платежа из графика]]=""),0,
AND(S1554=0,Первоначальный[[#This Row],[Дата платежа из графика]]=1,MAX((0&lt;&gt;S$12:S1554)*ROW(S$12:S1554),ROW($S$12))&gt;=MAX((1=Z$12:Z1554)*ROW(Z$12:Z1554),ROW($T$12)),TYPE(VLOOKUP("Да",(INDIRECT("AA"&amp;(MAX((1=Z$12:Z1554)*ROW(Z$12:Z1554),ROW($T$12))&amp;":AA"&amp;(ROW()-1)))),1,0))=16),MIN(LOOKUP(,-1/($Z$12:Z1555=1),$C$12:C1555)+LOOKUP(,-1/($Z$12:Z1555=1),$H$12:H1555),Первоначальный[[#This Row],[Полученный платеж]]+Y1554),
AND(S1554=0,TYPE(VLOOKUP("Да",(INDIRECT("AA"&amp;(MAX((1=Z$12:Z1554)*ROW(Z$12:Z1554),ROW($T$12))&amp;":AA"&amp;(ROW()-1)))),1,0))&lt;&gt;16),MIN(LOOKUP(,-1/($Z$12:Z1555=1),$C$12:C1555)+LOOKUP(,-1/($Z$12:Z1555=1),$H$12:H1555)-IF(AA1554="Да",0,SUM(INDIRECT("T"&amp;(MAX(("Да"=AA$12:AA1554)*ROW(AA$12:AA1554)+1,ROW($T$12))&amp;":T"&amp;(ROW()-1))))),Первоначальный[[#This Row],[Полученный платеж]]+Y1554),
AND(S1554=0,MAX((0&lt;&gt;N$12:N1554)*ROW(N$12:N1554),ROW($S$12))&gt;=MAX((1=Z$12:Z1554)*ROW(Z$12:Z1554),ROW($T$12))),MIN(LOOKUP(,-1/($Z$12:Z1555=1),$C$12:C1555)+LOOKUP(,-1/($Z$12:Z1555=1),$H$12:H1555)-IF(N1554&lt;&gt;0,0,SUM(INDIRECT("T"&amp;(MAX((0&lt;&gt;N$12:N1554)*ROW(N$12:N1554)+1,ROW($T$12))&amp;":T"&amp;(ROW()-1))))),Первоначальный[[#This Row],[Полученный платеж]]+Y1554),
AND(S1554=0,Первоначальный[[#This Row],[Дата платежа из графика]]=1),MIN(LOOKUP(,-1/($Z$12:Z1555=1),$C$12:C1555)+LOOKUP(,-1/($Z$12:Z1555=1),$H$12:H1555)-IF(Z1554=1,0,SUM(INDIRECT("T"&amp;(MAX((1=Z$12:Z1554)*ROW(Z$12:Z1554)+1,ROW($T$12))&amp;":T"&amp;(ROW()-1))))),Первоначальный[[#This Row],[Полученный платеж]]+Y1554),
AND(Z1554&gt;0,Первоначальный[[#This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платеж]]+Y1554),
AND(S1554&gt;0,MAX((0&lt;&gt;S$12:S1554)*ROW(S$12:S1554),ROW($S$12))&gt;=MAX((1=Z$12:Z1554)*ROW(Z$12:Z1554),ROW($T$12)),TYPE(VLOOKUP("Да",(INDIRECT("AA"&amp;(MAX((1=Z$12:Z1554)*ROW(Z$12:Z1554),ROW($T$12))&amp;":AA"&amp;(ROW()-1)))),1,0))=16),MIN(LOOKUP(,-1/($Z$12:Z1555=1),$C$12:C1555)+LOOKUP(,-1/($Z$12:Z1555=1),$H$12:H1555)-SUM(INDIRECT("T"&amp;(MAX((1=Z$12:Z1554)*ROW(Z$12:Z1554),ROW($T$12))&amp;":T"&amp;(ROW()-1)))),Первоначальный[[#This Row],[Полученный платеж]]+Y1554),
S1554&gt;0,MIN(LOOKUP(,-1/($Z$12:Z1555=1),$C$12:C1555)+LOOKUP(,-1/($Z$12:Z1555=1),$H$12:H1555)-IF(Z1554=1,0,SUM(INDIRECT("T"&amp;(MAX((1=Z$12:Z1554)*ROW(Z$12:Z1554)+1,ROW($T$12))&amp;":T"&amp;(ROW()-1))))),Первоначальный[[#This Row],[Полученный платеж]]+Y1554)
)
)
)</f>
        <v>0</v>
      </c>
      <c r="U155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платеж]]+Y1554-Первоначальный[[#This Row],[Полученный платёж по процентам]])</f>
        <v>0</v>
      </c>
      <c r="V1555" s="55">
        <f t="shared" ca="1" si="291"/>
        <v>0</v>
      </c>
      <c r="W1555" s="55" cm="1">
        <f t="array" aca="1" ref="W1555" ca="1">IF(Первоначальный[[#This Row],[Итого остаток на начало периода]]&lt;1,0,
_xlfn.IFS(
AND(TYPE(VLOOKUP(1,$Z$12:Z1555,1,0))=16,Первоначальный[[#This Row],[Досрочное погашение (да/"")]]=""),0,
AND(S1554=0,Первоначальный[[#This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платеж]]+Y1554-SUM(Первоначальный[[#This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комиссиям]]),VLOOKUP(LOOKUP(,-1/($Z$12:Z1555=1),$A$12:A1555),График[[Срок конец]:[Возврат основной суммы долга]],3,0)),
AND(S1554=0,Первоначальный[[#This Row],[Дата платежа из графика]]="",Первоначальный[[#This Row],[Досрочное погашение (да/"")]]&lt;&gt;"Да"),0,
AND(S1554=0,Первоначальный[[#This Row],[Досрочное погашение (да/"")]]=""),MIN(Первоначальный[[#This Row],[Полученный платеж]]+Y1554-SUM(Первоначальный[[#This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комиссиям]]),VLOOKUP(LOOKUP(,-1/($Z$12:Z1555=1),$A$12:A1555),График[[Срок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платеж]]+Y1554-SUM(Первоначальный[[#This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S1554&gt;0,MIN(Первоначальный[[#This Row],[Полученный платеж]]+Y1554-SUM(Первоначальный[[#This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комиссиям]]),SUM(INDIRECT("M"&amp;(MAX((1=S$12:S1554)*ROW(S$12:S1554),ROW($W$12))&amp;":M"&amp;(ROW()))))-SUM(INDIRECT("W"&amp;(MAX((1=S$12:S1554)*ROW(S$12:S1554),ROW($W$12))&amp;":W"&amp;(ROW()-1)))))
)
)</f>
        <v>0</v>
      </c>
      <c r="X1555" s="55">
        <f t="shared" ca="1" si="292"/>
        <v>0</v>
      </c>
      <c r="Y1555" s="101">
        <f t="shared" ca="1" si="299"/>
        <v>0</v>
      </c>
      <c r="Z1555" s="133" t="str">
        <f>IF(TYPE((VLOOKUP(Первоначальный[[#This Row],[Дата платежа]],График[Срок конец],1,0)))=16,"",1)</f>
        <v/>
      </c>
      <c r="AA1555" s="57"/>
      <c r="AB1555" s="134"/>
      <c r="AC155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5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110138.94999999998</v>
      </c>
      <c r="AE155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10587.68999999996</v>
      </c>
      <c r="AF155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5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512281.41825737793</v>
      </c>
      <c r="AH1555" s="55"/>
      <c r="AI1555" s="55"/>
      <c r="AJ1555" s="55"/>
      <c r="AK1555" s="101">
        <f t="shared" ca="1" si="300"/>
        <v>782641.39825737779</v>
      </c>
      <c r="AL1555" s="129">
        <f t="array" ref="AL1555">MAX((УслРестрактов[Характеристика]="Дата реструктуризации")*(УслРестрактов[Значение]=Первоначальный!$A1555),0)</f>
        <v>0</v>
      </c>
    </row>
    <row r="1556" spans="1:38" x14ac:dyDescent="0.25">
      <c r="A1556" s="97">
        <f t="shared" si="293"/>
        <v>45687</v>
      </c>
      <c r="B1556" s="100">
        <f t="shared" ca="1" si="294"/>
        <v>149633.34</v>
      </c>
      <c r="C1556" s="55">
        <f t="shared" ca="1" si="290"/>
        <v>110138.94999999998</v>
      </c>
      <c r="D1556" s="55">
        <f t="shared" ca="1" si="290"/>
        <v>10587.68999999996</v>
      </c>
      <c r="E1556" s="55">
        <f t="shared" ca="1" si="295"/>
        <v>0</v>
      </c>
      <c r="F1556" s="55">
        <f t="shared" ca="1" si="296"/>
        <v>512281.41825737793</v>
      </c>
      <c r="G1556" s="101">
        <f t="shared" ca="1" si="297"/>
        <v>782641.39825737779</v>
      </c>
      <c r="H1556" s="100">
        <f ca="1">ROUND($B1556*VLOOKUP($A1556,$A$1:$B$10,2,1)/(365+IF(MOD(YEAR($A1556),4),0,1)*($A1556-$A1555)),2)-Первоначальный[[#This Row],[Проценты на просроченный платеж по ОД за период]]</f>
        <v>65.11</v>
      </c>
      <c r="I1556" s="55">
        <f t="shared" ca="1" si="298"/>
        <v>16.47</v>
      </c>
      <c r="J1556" s="55">
        <v>0</v>
      </c>
      <c r="K1556" s="55">
        <f t="shared" ca="1" si="301"/>
        <v>695.21350327868845</v>
      </c>
      <c r="L1556" s="55">
        <v>0</v>
      </c>
      <c r="M1556" s="113">
        <f>SUMIFS(График[Возврат основной суммы долга],График[Дата с учетом нерабочих дней],$A1556)</f>
        <v>0</v>
      </c>
      <c r="N1556" s="56">
        <f>SUMIFS(График[Возврат начисленных %],График[Дата с учетом нерабочих дней],$A1556)</f>
        <v>0</v>
      </c>
      <c r="O1556" s="101">
        <v>0</v>
      </c>
      <c r="P1556" s="100" cm="1">
        <f t="array" aca="1" ref="P1556" ca="1">MAX(IF(AA1555="Да",0,SUM(INDIRECT("M"&amp;(MAX(("Да"=AA$12:AA1555)*ROW(AA$12:AA1555)+1,ROW($P$12))&amp;":M"&amp;(ROW()))))-SUM(INDIRECT("W"&amp;(MAX(("Да"=AA$12:AA1555)*ROW(AA$12:AA1555)+1,ROW($P$12))&amp;":W"&amp;(ROW()))))),0)</f>
        <v>30212.6</v>
      </c>
      <c r="Q1556" s="99">
        <f ca="1">MAX(SUM($N$13:N1556)-SUM($T$13:T1556),0)</f>
        <v>108830.1006557377</v>
      </c>
      <c r="R1556" s="99">
        <f ca="1">Первоначальный[[#This Row],[Просроченный платеж по ОД]]+Первоначальный[[#This Row],[Просроченный платеж по процентам]]</f>
        <v>139042.70065573769</v>
      </c>
      <c r="S1556" s="120">
        <f ca="1">IF(Первоначальный[[#This Row],[Просроченный платеж]]&lt;1,0,S1555+1)</f>
        <v>1452</v>
      </c>
      <c r="T1556" s="100" cm="1">
        <f t="array" aca="1" ref="T1556" ca="1">IF(Первоначальный[[#This Row],[Итого остаток на начало периода]]&lt;1,0,
IF(
AND(TYPE(VLOOKUP(1,$Z$12:Z1556,1,0))=16,Первоначальный[[#This Row],[Досрочное погашение (да/"")]]=""),0,
_xlfn.IFS(AND(S1555=0,Первоначальный[[#This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платеж]]&lt;&gt;0),MIN(LOOKUP(,-1/($Z$12:Z1556=1),$C$12:C1556)+LOOKUP(,-1/($Z$12:Z1556=1),$H$12:H1556),Первоначальный[[#This Row],[Полученный платеж]]+Y1555),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платеж]]+Y1555,SUM(Первоначальный[[#This Row],[Остаток процентов на начало периода]],Первоначальный[[#This Row],[Проценты за период]])),
AND(S1555=0,Первоначальный[[#This Row],[Дата платежа из графика]]=""),0,
AND(S1555=0,Первоначальный[[#This Row],[Дата платежа из графика]]=1,MAX((0&lt;&gt;S$12:S1555)*ROW(S$12:S1555),ROW($S$12))&gt;=MAX((1=Z$12:Z1555)*ROW(Z$12:Z1555),ROW($T$12)),TYPE(VLOOKUP("Да",(INDIRECT("AA"&amp;(MAX((1=Z$12:Z1555)*ROW(Z$12:Z1555),ROW($T$12))&amp;":AA"&amp;(ROW()-1)))),1,0))=16),MIN(LOOKUP(,-1/($Z$12:Z1556=1),$C$12:C1556)+LOOKUP(,-1/($Z$12:Z1556=1),$H$12:H1556),Первоначальный[[#This Row],[Полученный платеж]]+Y1555),
AND(S1555=0,TYPE(VLOOKUP("Да",(INDIRECT("AA"&amp;(MAX((1=Z$12:Z1555)*ROW(Z$12:Z1555),ROW($T$12))&amp;":AA"&amp;(ROW()-1)))),1,0))&lt;&gt;16),MIN(LOOKUP(,-1/($Z$12:Z1556=1),$C$12:C1556)+LOOKUP(,-1/($Z$12:Z1556=1),$H$12:H1556)-IF(AA1555="Да",0,SUM(INDIRECT("T"&amp;(MAX(("Да"=AA$12:AA1555)*ROW(AA$12:AA1555)+1,ROW($T$12))&amp;":T"&amp;(ROW()-1))))),Первоначальный[[#This Row],[Полученный платеж]]+Y1555),
AND(S1555=0,MAX((0&lt;&gt;N$12:N1555)*ROW(N$12:N1555),ROW($S$12))&gt;=MAX((1=Z$12:Z1555)*ROW(Z$12:Z1555),ROW($T$12))),MIN(LOOKUP(,-1/($Z$12:Z1556=1),$C$12:C1556)+LOOKUP(,-1/($Z$12:Z1556=1),$H$12:H1556)-IF(N1555&lt;&gt;0,0,SUM(INDIRECT("T"&amp;(MAX((0&lt;&gt;N$12:N1555)*ROW(N$12:N1555)+1,ROW($T$12))&amp;":T"&amp;(ROW()-1))))),Первоначальный[[#This Row],[Полученный платеж]]+Y1555),
AND(S1555=0,Первоначальный[[#This Row],[Дата платежа из графика]]=1),MIN(LOOKUP(,-1/($Z$12:Z1556=1),$C$12:C1556)+LOOKUP(,-1/($Z$12:Z1556=1),$H$12:H1556)-IF(Z1555=1,0,SUM(INDIRECT("T"&amp;(MAX((1=Z$12:Z1555)*ROW(Z$12:Z1555)+1,ROW($T$12))&amp;":T"&amp;(ROW()-1))))),Первоначальный[[#This Row],[Полученный платеж]]+Y1555),
AND(Z1555&gt;0,Первоначальный[[#This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платеж]]+Y1555),
AND(S1555&gt;0,MAX((0&lt;&gt;S$12:S1555)*ROW(S$12:S1555),ROW($S$12))&gt;=MAX((1=Z$12:Z1555)*ROW(Z$12:Z1555),ROW($T$12)),TYPE(VLOOKUP("Да",(INDIRECT("AA"&amp;(MAX((1=Z$12:Z1555)*ROW(Z$12:Z1555),ROW($T$12))&amp;":AA"&amp;(ROW()-1)))),1,0))=16),MIN(LOOKUP(,-1/($Z$12:Z1556=1),$C$12:C1556)+LOOKUP(,-1/($Z$12:Z1556=1),$H$12:H1556)-SUM(INDIRECT("T"&amp;(MAX((1=Z$12:Z1555)*ROW(Z$12:Z1555),ROW($T$12))&amp;":T"&amp;(ROW()-1)))),Первоначальный[[#This Row],[Полученный платеж]]+Y1555),
S1555&gt;0,MIN(LOOKUP(,-1/($Z$12:Z1556=1),$C$12:C1556)+LOOKUP(,-1/($Z$12:Z1556=1),$H$12:H1556)-IF(Z1555=1,0,SUM(INDIRECT("T"&amp;(MAX((1=Z$12:Z1555)*ROW(Z$12:Z1555)+1,ROW($T$12))&amp;":T"&amp;(ROW()-1))))),Первоначальный[[#This Row],[Полученный платеж]]+Y1555)
)
)
)</f>
        <v>0</v>
      </c>
      <c r="U155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платеж]]+Y1555-Первоначальный[[#This Row],[Полученный платёж по процентам]])</f>
        <v>0</v>
      </c>
      <c r="V1556" s="55">
        <f t="shared" ca="1" si="291"/>
        <v>0</v>
      </c>
      <c r="W1556" s="55" cm="1">
        <f t="array" aca="1" ref="W1556" ca="1">IF(Первоначальный[[#This Row],[Итого остаток на начало периода]]&lt;1,0,
_xlfn.IFS(
AND(TYPE(VLOOKUP(1,$Z$12:Z1556,1,0))=16,Первоначальный[[#This Row],[Досрочное погашение (да/"")]]=""),0,
AND(S1555=0,Первоначальный[[#This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платеж]]+Y1555-SUM(Первоначальный[[#This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комиссиям]]),VLOOKUP(LOOKUP(,-1/($Z$12:Z1556=1),$A$12:A1556),График[[Срок конец]:[Возврат основной суммы долга]],3,0)),
AND(S1555=0,Первоначальный[[#This Row],[Дата платежа из графика]]="",Первоначальный[[#This Row],[Досрочное погашение (да/"")]]&lt;&gt;"Да"),0,
AND(S1555=0,Первоначальный[[#This Row],[Досрочное погашение (да/"")]]=""),MIN(Первоначальный[[#This Row],[Полученный платеж]]+Y1555-SUM(Первоначальный[[#This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комиссиям]]),VLOOKUP(LOOKUP(,-1/($Z$12:Z1556=1),$A$12:A1556),График[[Срок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платеж]]+Y1555-SUM(Первоначальный[[#This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S1555&gt;0,MIN(Первоначальный[[#This Row],[Полученный платеж]]+Y1555-SUM(Первоначальный[[#This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комиссиям]]),SUM(INDIRECT("M"&amp;(MAX((1=S$12:S1555)*ROW(S$12:S1555),ROW($W$12))&amp;":M"&amp;(ROW()))))-SUM(INDIRECT("W"&amp;(MAX((1=S$12:S1555)*ROW(S$12:S1555),ROW($W$12))&amp;":W"&amp;(ROW()-1)))))
)
)</f>
        <v>0</v>
      </c>
      <c r="X1556" s="55">
        <f t="shared" ca="1" si="292"/>
        <v>0</v>
      </c>
      <c r="Y1556" s="101">
        <f t="shared" ca="1" si="299"/>
        <v>0</v>
      </c>
      <c r="Z1556" s="133" t="str">
        <f>IF(TYPE((VLOOKUP(Первоначальный[[#This Row],[Дата платежа]],График[Срок конец],1,0)))=16,"",1)</f>
        <v/>
      </c>
      <c r="AA1556" s="57"/>
      <c r="AB1556" s="134"/>
      <c r="AC155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5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110204.05999999998</v>
      </c>
      <c r="AE155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10604.15999999996</v>
      </c>
      <c r="AF155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5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512976.6317606566</v>
      </c>
      <c r="AH1556" s="55"/>
      <c r="AI1556" s="55"/>
      <c r="AJ1556" s="55"/>
      <c r="AK1556" s="101">
        <f t="shared" ca="1" si="300"/>
        <v>783418.19176065654</v>
      </c>
      <c r="AL1556" s="129">
        <f t="array" ref="AL1556">MAX((УслРестрактов[Характеристика]="Дата реструктуризации")*(УслРестрактов[Значение]=Первоначальный!$A1556),0)</f>
        <v>0</v>
      </c>
    </row>
    <row r="1557" spans="1:38" x14ac:dyDescent="0.25">
      <c r="A1557" s="97">
        <f t="shared" si="293"/>
        <v>45688</v>
      </c>
      <c r="B1557" s="100">
        <f t="shared" ca="1" si="294"/>
        <v>149633.34</v>
      </c>
      <c r="C1557" s="55">
        <f t="shared" ca="1" si="290"/>
        <v>110204.05999999998</v>
      </c>
      <c r="D1557" s="55">
        <f t="shared" ca="1" si="290"/>
        <v>10604.15999999996</v>
      </c>
      <c r="E1557" s="55">
        <f t="shared" ca="1" si="295"/>
        <v>0</v>
      </c>
      <c r="F1557" s="55">
        <f t="shared" ca="1" si="296"/>
        <v>512976.6317606566</v>
      </c>
      <c r="G1557" s="101">
        <f t="shared" ca="1" si="297"/>
        <v>783418.19176065654</v>
      </c>
      <c r="H1557" s="100">
        <f ca="1">ROUND($B1557*VLOOKUP($A1557,$A$1:$B$10,2,1)/(365+IF(MOD(YEAR($A1557),4),0,1)*($A1557-$A1556)),2)-Первоначальный[[#This Row],[Проценты на просроченный платеж по ОД за период]]</f>
        <v>65.11</v>
      </c>
      <c r="I1557" s="55">
        <f t="shared" ca="1" si="298"/>
        <v>16.47</v>
      </c>
      <c r="J1557" s="55">
        <v>0</v>
      </c>
      <c r="K1557" s="55">
        <f t="shared" ca="1" si="301"/>
        <v>695.21350327868845</v>
      </c>
      <c r="L1557" s="55">
        <v>0</v>
      </c>
      <c r="M1557" s="113">
        <f>SUMIFS(График[Возврат основной суммы долга],График[Дата с учетом нерабочих дней],$A1557)</f>
        <v>0</v>
      </c>
      <c r="N1557" s="56">
        <f>SUMIFS(График[Возврат начисленных %],График[Дата с учетом нерабочих дней],$A1557)</f>
        <v>0</v>
      </c>
      <c r="O1557" s="101">
        <v>0</v>
      </c>
      <c r="P1557" s="100" cm="1">
        <f t="array" aca="1" ref="P1557" ca="1">MAX(IF(AA1556="Да",0,SUM(INDIRECT("M"&amp;(MAX(("Да"=AA$12:AA1556)*ROW(AA$12:AA1556)+1,ROW($P$12))&amp;":M"&amp;(ROW()))))-SUM(INDIRECT("W"&amp;(MAX(("Да"=AA$12:AA1556)*ROW(AA$12:AA1556)+1,ROW($P$12))&amp;":W"&amp;(ROW()))))),0)</f>
        <v>30212.6</v>
      </c>
      <c r="Q1557" s="99">
        <f ca="1">MAX(SUM($N$13:N1557)-SUM($T$13:T1557),0)</f>
        <v>108830.1006557377</v>
      </c>
      <c r="R1557" s="99">
        <f ca="1">Первоначальный[[#This Row],[Просроченный платеж по ОД]]+Первоначальный[[#This Row],[Просроченный платеж по процентам]]</f>
        <v>139042.70065573769</v>
      </c>
      <c r="S1557" s="120">
        <f ca="1">IF(Первоначальный[[#This Row],[Просроченный платеж]]&lt;1,0,S1556+1)</f>
        <v>1453</v>
      </c>
      <c r="T1557" s="100" cm="1">
        <f t="array" aca="1" ref="T1557" ca="1">IF(Первоначальный[[#This Row],[Итого остаток на начало периода]]&lt;1,0,
IF(
AND(TYPE(VLOOKUP(1,$Z$12:Z1557,1,0))=16,Первоначальный[[#This Row],[Досрочное погашение (да/"")]]=""),0,
_xlfn.IFS(AND(S1556=0,Первоначальный[[#This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платеж]]&lt;&gt;0),MIN(LOOKUP(,-1/($Z$12:Z1557=1),$C$12:C1557)+LOOKUP(,-1/($Z$12:Z1557=1),$H$12:H1557),Первоначальный[[#This Row],[Полученный платеж]]+Y1556),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платеж]]+Y1556,SUM(Первоначальный[[#This Row],[Остаток процентов на начало периода]],Первоначальный[[#This Row],[Проценты за период]])),
AND(S1556=0,Первоначальный[[#This Row],[Дата платежа из графика]]=""),0,
AND(S1556=0,Первоначальный[[#This Row],[Дата платежа из графика]]=1,MAX((0&lt;&gt;S$12:S1556)*ROW(S$12:S1556),ROW($S$12))&gt;=MAX((1=Z$12:Z1556)*ROW(Z$12:Z1556),ROW($T$12)),TYPE(VLOOKUP("Да",(INDIRECT("AA"&amp;(MAX((1=Z$12:Z1556)*ROW(Z$12:Z1556),ROW($T$12))&amp;":AA"&amp;(ROW()-1)))),1,0))=16),MIN(LOOKUP(,-1/($Z$12:Z1557=1),$C$12:C1557)+LOOKUP(,-1/($Z$12:Z1557=1),$H$12:H1557),Первоначальный[[#This Row],[Полученный платеж]]+Y1556),
AND(S1556=0,TYPE(VLOOKUP("Да",(INDIRECT("AA"&amp;(MAX((1=Z$12:Z1556)*ROW(Z$12:Z1556),ROW($T$12))&amp;":AA"&amp;(ROW()-1)))),1,0))&lt;&gt;16),MIN(LOOKUP(,-1/($Z$12:Z1557=1),$C$12:C1557)+LOOKUP(,-1/($Z$12:Z1557=1),$H$12:H1557)-IF(AA1556="Да",0,SUM(INDIRECT("T"&amp;(MAX(("Да"=AA$12:AA1556)*ROW(AA$12:AA1556)+1,ROW($T$12))&amp;":T"&amp;(ROW()-1))))),Первоначальный[[#This Row],[Полученный платеж]]+Y1556),
AND(S1556=0,MAX((0&lt;&gt;N$12:N1556)*ROW(N$12:N1556),ROW($S$12))&gt;=MAX((1=Z$12:Z1556)*ROW(Z$12:Z1556),ROW($T$12))),MIN(LOOKUP(,-1/($Z$12:Z1557=1),$C$12:C1557)+LOOKUP(,-1/($Z$12:Z1557=1),$H$12:H1557)-IF(N1556&lt;&gt;0,0,SUM(INDIRECT("T"&amp;(MAX((0&lt;&gt;N$12:N1556)*ROW(N$12:N1556)+1,ROW($T$12))&amp;":T"&amp;(ROW()-1))))),Первоначальный[[#This Row],[Полученный платеж]]+Y1556),
AND(S1556=0,Первоначальный[[#This Row],[Дата платежа из графика]]=1),MIN(LOOKUP(,-1/($Z$12:Z1557=1),$C$12:C1557)+LOOKUP(,-1/($Z$12:Z1557=1),$H$12:H1557)-IF(Z1556=1,0,SUM(INDIRECT("T"&amp;(MAX((1=Z$12:Z1556)*ROW(Z$12:Z1556)+1,ROW($T$12))&amp;":T"&amp;(ROW()-1))))),Первоначальный[[#This Row],[Полученный платеж]]+Y1556),
AND(Z1556&gt;0,Первоначальный[[#This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платеж]]+Y1556),
AND(S1556&gt;0,MAX((0&lt;&gt;S$12:S1556)*ROW(S$12:S1556),ROW($S$12))&gt;=MAX((1=Z$12:Z1556)*ROW(Z$12:Z1556),ROW($T$12)),TYPE(VLOOKUP("Да",(INDIRECT("AA"&amp;(MAX((1=Z$12:Z1556)*ROW(Z$12:Z1556),ROW($T$12))&amp;":AA"&amp;(ROW()-1)))),1,0))=16),MIN(LOOKUP(,-1/($Z$12:Z1557=1),$C$12:C1557)+LOOKUP(,-1/($Z$12:Z1557=1),$H$12:H1557)-SUM(INDIRECT("T"&amp;(MAX((1=Z$12:Z1556)*ROW(Z$12:Z1556),ROW($T$12))&amp;":T"&amp;(ROW()-1)))),Первоначальный[[#This Row],[Полученный платеж]]+Y1556),
S1556&gt;0,MIN(LOOKUP(,-1/($Z$12:Z1557=1),$C$12:C1557)+LOOKUP(,-1/($Z$12:Z1557=1),$H$12:H1557)-IF(Z1556=1,0,SUM(INDIRECT("T"&amp;(MAX((1=Z$12:Z1556)*ROW(Z$12:Z1556)+1,ROW($T$12))&amp;":T"&amp;(ROW()-1))))),Первоначальный[[#This Row],[Полученный платеж]]+Y1556)
)
)
)</f>
        <v>0</v>
      </c>
      <c r="U155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платеж]]+Y1556-Первоначальный[[#This Row],[Полученный платёж по процентам]])</f>
        <v>0</v>
      </c>
      <c r="V1557" s="55">
        <f t="shared" ca="1" si="291"/>
        <v>0</v>
      </c>
      <c r="W1557" s="55" cm="1">
        <f t="array" aca="1" ref="W1557" ca="1">IF(Первоначальный[[#This Row],[Итого остаток на начало периода]]&lt;1,0,
_xlfn.IFS(
AND(TYPE(VLOOKUP(1,$Z$12:Z1557,1,0))=16,Первоначальный[[#This Row],[Досрочное погашение (да/"")]]=""),0,
AND(S1556=0,Первоначальный[[#This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платеж]]+Y1556-SUM(Первоначальный[[#This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комиссиям]]),VLOOKUP(LOOKUP(,-1/($Z$12:Z1557=1),$A$12:A1557),График[[Срок конец]:[Возврат основной суммы долга]],3,0)),
AND(S1556=0,Первоначальный[[#This Row],[Дата платежа из графика]]="",Первоначальный[[#This Row],[Досрочное погашение (да/"")]]&lt;&gt;"Да"),0,
AND(S1556=0,Первоначальный[[#This Row],[Досрочное погашение (да/"")]]=""),MIN(Первоначальный[[#This Row],[Полученный платеж]]+Y1556-SUM(Первоначальный[[#This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комиссиям]]),VLOOKUP(LOOKUP(,-1/($Z$12:Z1557=1),$A$12:A1557),График[[Срок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платеж]]+Y1556-SUM(Первоначальный[[#This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S1556&gt;0,MIN(Первоначальный[[#This Row],[Полученный платеж]]+Y1556-SUM(Первоначальный[[#This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комиссиям]]),SUM(INDIRECT("M"&amp;(MAX((1=S$12:S1556)*ROW(S$12:S1556),ROW($W$12))&amp;":M"&amp;(ROW()))))-SUM(INDIRECT("W"&amp;(MAX((1=S$12:S1556)*ROW(S$12:S1556),ROW($W$12))&amp;":W"&amp;(ROW()-1)))))
)
)</f>
        <v>0</v>
      </c>
      <c r="X1557" s="55">
        <f t="shared" ca="1" si="292"/>
        <v>0</v>
      </c>
      <c r="Y1557" s="101">
        <f t="shared" ca="1" si="299"/>
        <v>0</v>
      </c>
      <c r="Z1557" s="133" t="str">
        <f>IF(TYPE((VLOOKUP(Первоначальный[[#This Row],[Дата платежа]],График[Срок конец],1,0)))=16,"",1)</f>
        <v/>
      </c>
      <c r="AA1557" s="57"/>
      <c r="AB1557" s="134"/>
      <c r="AC155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5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110269.16999999998</v>
      </c>
      <c r="AE155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10620.629999999959</v>
      </c>
      <c r="AF155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5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513671.84526393528</v>
      </c>
      <c r="AH1557" s="55"/>
      <c r="AI1557" s="55"/>
      <c r="AJ1557" s="55"/>
      <c r="AK1557" s="101">
        <f t="shared" ca="1" si="300"/>
        <v>784194.98526393529</v>
      </c>
      <c r="AL1557" s="129">
        <f t="array" ref="AL1557">MAX((УслРестрактов[Характеристика]="Дата реструктуризации")*(УслРестрактов[Значение]=Первоначальный!$A1557),0)</f>
        <v>0</v>
      </c>
    </row>
    <row r="1558" spans="1:38" x14ac:dyDescent="0.25">
      <c r="A1558" s="97">
        <f t="shared" si="293"/>
        <v>45689</v>
      </c>
      <c r="B1558" s="100">
        <f t="shared" ca="1" si="294"/>
        <v>149633.34</v>
      </c>
      <c r="C1558" s="55">
        <f t="shared" ca="1" si="290"/>
        <v>110269.16999999998</v>
      </c>
      <c r="D1558" s="55">
        <f t="shared" ca="1" si="290"/>
        <v>10620.629999999959</v>
      </c>
      <c r="E1558" s="55">
        <f t="shared" ca="1" si="295"/>
        <v>0</v>
      </c>
      <c r="F1558" s="55">
        <f t="shared" ca="1" si="296"/>
        <v>513671.84526393528</v>
      </c>
      <c r="G1558" s="101">
        <f t="shared" ca="1" si="297"/>
        <v>784194.98526393529</v>
      </c>
      <c r="H1558" s="100">
        <f ca="1">ROUND($B1558*VLOOKUP($A1558,$A$1:$B$10,2,1)/(365+IF(MOD(YEAR($A1558),4),0,1)*($A1558-$A1557)),2)-Первоначальный[[#This Row],[Проценты на просроченный платеж по ОД за период]]</f>
        <v>65.11</v>
      </c>
      <c r="I1558" s="55">
        <f t="shared" ca="1" si="298"/>
        <v>16.47</v>
      </c>
      <c r="J1558" s="55">
        <v>0</v>
      </c>
      <c r="K1558" s="55">
        <f t="shared" ca="1" si="301"/>
        <v>695.21350327868845</v>
      </c>
      <c r="L1558" s="55">
        <v>0</v>
      </c>
      <c r="M1558" s="113">
        <f>SUMIFS(График[Возврат основной суммы долга],График[Дата с учетом нерабочих дней],$A1558)</f>
        <v>0</v>
      </c>
      <c r="N1558" s="56">
        <f>SUMIFS(График[Возврат начисленных %],График[Дата с учетом нерабочих дней],$A1558)</f>
        <v>0</v>
      </c>
      <c r="O1558" s="101">
        <v>0</v>
      </c>
      <c r="P1558" s="100" cm="1">
        <f t="array" aca="1" ref="P1558" ca="1">MAX(IF(AA1557="Да",0,SUM(INDIRECT("M"&amp;(MAX(("Да"=AA$12:AA1557)*ROW(AA$12:AA1557)+1,ROW($P$12))&amp;":M"&amp;(ROW()))))-SUM(INDIRECT("W"&amp;(MAX(("Да"=AA$12:AA1557)*ROW(AA$12:AA1557)+1,ROW($P$12))&amp;":W"&amp;(ROW()))))),0)</f>
        <v>30212.6</v>
      </c>
      <c r="Q1558" s="99">
        <f ca="1">MAX(SUM($N$13:N1558)-SUM($T$13:T1558),0)</f>
        <v>108830.1006557377</v>
      </c>
      <c r="R1558" s="99">
        <f ca="1">Первоначальный[[#This Row],[Просроченный платеж по ОД]]+Первоначальный[[#This Row],[Просроченный платеж по процентам]]</f>
        <v>139042.70065573769</v>
      </c>
      <c r="S1558" s="120">
        <f ca="1">IF(Первоначальный[[#This Row],[Просроченный платеж]]&lt;1,0,S1557+1)</f>
        <v>1454</v>
      </c>
      <c r="T1558" s="100" cm="1">
        <f t="array" aca="1" ref="T1558" ca="1">IF(Первоначальный[[#This Row],[Итого остаток на начало периода]]&lt;1,0,
IF(
AND(TYPE(VLOOKUP(1,$Z$12:Z1558,1,0))=16,Первоначальный[[#This Row],[Досрочное погашение (да/"")]]=""),0,
_xlfn.IFS(AND(S1557=0,Первоначальный[[#This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платеж]]&lt;&gt;0),MIN(LOOKUP(,-1/($Z$12:Z1558=1),$C$12:C1558)+LOOKUP(,-1/($Z$12:Z1558=1),$H$12:H1558),Первоначальный[[#This Row],[Полученный платеж]]+Y1557),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платеж]]+Y1557,SUM(Первоначальный[[#This Row],[Остаток процентов на начало периода]],Первоначальный[[#This Row],[Проценты за период]])),
AND(S1557=0,Первоначальный[[#This Row],[Дата платежа из графика]]=""),0,
AND(S1557=0,Первоначальный[[#This Row],[Дата платежа из графика]]=1,MAX((0&lt;&gt;S$12:S1557)*ROW(S$12:S1557),ROW($S$12))&gt;=MAX((1=Z$12:Z1557)*ROW(Z$12:Z1557),ROW($T$12)),TYPE(VLOOKUP("Да",(INDIRECT("AA"&amp;(MAX((1=Z$12:Z1557)*ROW(Z$12:Z1557),ROW($T$12))&amp;":AA"&amp;(ROW()-1)))),1,0))=16),MIN(LOOKUP(,-1/($Z$12:Z1558=1),$C$12:C1558)+LOOKUP(,-1/($Z$12:Z1558=1),$H$12:H1558),Первоначальный[[#This Row],[Полученный платеж]]+Y1557),
AND(S1557=0,TYPE(VLOOKUP("Да",(INDIRECT("AA"&amp;(MAX((1=Z$12:Z1557)*ROW(Z$12:Z1557),ROW($T$12))&amp;":AA"&amp;(ROW()-1)))),1,0))&lt;&gt;16),MIN(LOOKUP(,-1/($Z$12:Z1558=1),$C$12:C1558)+LOOKUP(,-1/($Z$12:Z1558=1),$H$12:H1558)-IF(AA1557="Да",0,SUM(INDIRECT("T"&amp;(MAX(("Да"=AA$12:AA1557)*ROW(AA$12:AA1557)+1,ROW($T$12))&amp;":T"&amp;(ROW()-1))))),Первоначальный[[#This Row],[Полученный платеж]]+Y1557),
AND(S1557=0,MAX((0&lt;&gt;N$12:N1557)*ROW(N$12:N1557),ROW($S$12))&gt;=MAX((1=Z$12:Z1557)*ROW(Z$12:Z1557),ROW($T$12))),MIN(LOOKUP(,-1/($Z$12:Z1558=1),$C$12:C1558)+LOOKUP(,-1/($Z$12:Z1558=1),$H$12:H1558)-IF(N1557&lt;&gt;0,0,SUM(INDIRECT("T"&amp;(MAX((0&lt;&gt;N$12:N1557)*ROW(N$12:N1557)+1,ROW($T$12))&amp;":T"&amp;(ROW()-1))))),Первоначальный[[#This Row],[Полученный платеж]]+Y1557),
AND(S1557=0,Первоначальный[[#This Row],[Дата платежа из графика]]=1),MIN(LOOKUP(,-1/($Z$12:Z1558=1),$C$12:C1558)+LOOKUP(,-1/($Z$12:Z1558=1),$H$12:H1558)-IF(Z1557=1,0,SUM(INDIRECT("T"&amp;(MAX((1=Z$12:Z1557)*ROW(Z$12:Z1557)+1,ROW($T$12))&amp;":T"&amp;(ROW()-1))))),Первоначальный[[#This Row],[Полученный платеж]]+Y1557),
AND(Z1557&gt;0,Первоначальный[[#This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платеж]]+Y1557),
AND(S1557&gt;0,MAX((0&lt;&gt;S$12:S1557)*ROW(S$12:S1557),ROW($S$12))&gt;=MAX((1=Z$12:Z1557)*ROW(Z$12:Z1557),ROW($T$12)),TYPE(VLOOKUP("Да",(INDIRECT("AA"&amp;(MAX((1=Z$12:Z1557)*ROW(Z$12:Z1557),ROW($T$12))&amp;":AA"&amp;(ROW()-1)))),1,0))=16),MIN(LOOKUP(,-1/($Z$12:Z1558=1),$C$12:C1558)+LOOKUP(,-1/($Z$12:Z1558=1),$H$12:H1558)-SUM(INDIRECT("T"&amp;(MAX((1=Z$12:Z1557)*ROW(Z$12:Z1557),ROW($T$12))&amp;":T"&amp;(ROW()-1)))),Первоначальный[[#This Row],[Полученный платеж]]+Y1557),
S1557&gt;0,MIN(LOOKUP(,-1/($Z$12:Z1558=1),$C$12:C1558)+LOOKUP(,-1/($Z$12:Z1558=1),$H$12:H1558)-IF(Z1557=1,0,SUM(INDIRECT("T"&amp;(MAX((1=Z$12:Z1557)*ROW(Z$12:Z1557)+1,ROW($T$12))&amp;":T"&amp;(ROW()-1))))),Первоначальный[[#This Row],[Полученный платеж]]+Y1557)
)
)
)</f>
        <v>0</v>
      </c>
      <c r="U155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платеж]]+Y1557-Первоначальный[[#This Row],[Полученный платёж по процентам]])</f>
        <v>0</v>
      </c>
      <c r="V1558" s="55">
        <f t="shared" ca="1" si="291"/>
        <v>0</v>
      </c>
      <c r="W1558" s="55" cm="1">
        <f t="array" aca="1" ref="W1558" ca="1">IF(Первоначальный[[#This Row],[Итого остаток на начало периода]]&lt;1,0,
_xlfn.IFS(
AND(TYPE(VLOOKUP(1,$Z$12:Z1558,1,0))=16,Первоначальный[[#This Row],[Досрочное погашение (да/"")]]=""),0,
AND(S1557=0,Первоначальный[[#This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платеж]]+Y1557-SUM(Первоначальный[[#This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комиссиям]]),VLOOKUP(LOOKUP(,-1/($Z$12:Z1558=1),$A$12:A1558),График[[Срок конец]:[Возврат основной суммы долга]],3,0)),
AND(S1557=0,Первоначальный[[#This Row],[Дата платежа из графика]]="",Первоначальный[[#This Row],[Досрочное погашение (да/"")]]&lt;&gt;"Да"),0,
AND(S1557=0,Первоначальный[[#This Row],[Досрочное погашение (да/"")]]=""),MIN(Первоначальный[[#This Row],[Полученный платеж]]+Y1557-SUM(Первоначальный[[#This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комиссиям]]),VLOOKUP(LOOKUP(,-1/($Z$12:Z1558=1),$A$12:A1558),График[[Срок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платеж]]+Y1557-SUM(Первоначальный[[#This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S1557&gt;0,MIN(Первоначальный[[#This Row],[Полученный платеж]]+Y1557-SUM(Первоначальный[[#This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комиссиям]]),SUM(INDIRECT("M"&amp;(MAX((1=S$12:S1557)*ROW(S$12:S1557),ROW($W$12))&amp;":M"&amp;(ROW()))))-SUM(INDIRECT("W"&amp;(MAX((1=S$12:S1557)*ROW(S$12:S1557),ROW($W$12))&amp;":W"&amp;(ROW()-1)))))
)
)</f>
        <v>0</v>
      </c>
      <c r="X1558" s="55">
        <f t="shared" ca="1" si="292"/>
        <v>0</v>
      </c>
      <c r="Y1558" s="101">
        <f t="shared" ca="1" si="299"/>
        <v>0</v>
      </c>
      <c r="Z1558" s="133" t="str">
        <f>IF(TYPE((VLOOKUP(Первоначальный[[#This Row],[Дата платежа]],График[Срок конец],1,0)))=16,"",1)</f>
        <v/>
      </c>
      <c r="AA1558" s="57"/>
      <c r="AB1558" s="134"/>
      <c r="AC155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5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110334.27999999998</v>
      </c>
      <c r="AE155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10637.099999999959</v>
      </c>
      <c r="AF155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5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514367.05876721395</v>
      </c>
      <c r="AH1558" s="55"/>
      <c r="AI1558" s="55"/>
      <c r="AJ1558" s="55"/>
      <c r="AK1558" s="101">
        <f t="shared" ca="1" si="300"/>
        <v>784971.77876721392</v>
      </c>
      <c r="AL1558" s="129">
        <f t="array" ref="AL1558">MAX((УслРестрактов[Характеристика]="Дата реструктуризации")*(УслРестрактов[Значение]=Первоначальный!$A1558),0)</f>
        <v>0</v>
      </c>
    </row>
    <row r="1559" spans="1:38" x14ac:dyDescent="0.25">
      <c r="A1559" s="97">
        <f t="shared" si="293"/>
        <v>45690</v>
      </c>
      <c r="B1559" s="100">
        <f t="shared" ca="1" si="294"/>
        <v>149633.34</v>
      </c>
      <c r="C1559" s="55">
        <f t="shared" ca="1" si="290"/>
        <v>110334.27999999998</v>
      </c>
      <c r="D1559" s="55">
        <f t="shared" ca="1" si="290"/>
        <v>10637.099999999959</v>
      </c>
      <c r="E1559" s="55">
        <f t="shared" ca="1" si="295"/>
        <v>0</v>
      </c>
      <c r="F1559" s="55">
        <f t="shared" ca="1" si="296"/>
        <v>514367.05876721395</v>
      </c>
      <c r="G1559" s="101">
        <f t="shared" ca="1" si="297"/>
        <v>784971.77876721392</v>
      </c>
      <c r="H1559" s="100">
        <f ca="1">ROUND($B1559*VLOOKUP($A1559,$A$1:$B$10,2,1)/(365+IF(MOD(YEAR($A1559),4),0,1)*($A1559-$A1558)),2)-Первоначальный[[#This Row],[Проценты на просроченный платеж по ОД за период]]</f>
        <v>65.11</v>
      </c>
      <c r="I1559" s="55">
        <f t="shared" ca="1" si="298"/>
        <v>16.47</v>
      </c>
      <c r="J1559" s="55">
        <v>0</v>
      </c>
      <c r="K1559" s="55">
        <f t="shared" ca="1" si="301"/>
        <v>695.21350327868845</v>
      </c>
      <c r="L1559" s="55">
        <v>0</v>
      </c>
      <c r="M1559" s="113">
        <f>SUMIFS(График[Возврат основной суммы долга],График[Дата с учетом нерабочих дней],$A1559)</f>
        <v>0</v>
      </c>
      <c r="N1559" s="56">
        <f>SUMIFS(График[Возврат начисленных %],График[Дата с учетом нерабочих дней],$A1559)</f>
        <v>0</v>
      </c>
      <c r="O1559" s="101">
        <v>0</v>
      </c>
      <c r="P1559" s="100" cm="1">
        <f t="array" aca="1" ref="P1559" ca="1">MAX(IF(AA1558="Да",0,SUM(INDIRECT("M"&amp;(MAX(("Да"=AA$12:AA1558)*ROW(AA$12:AA1558)+1,ROW($P$12))&amp;":M"&amp;(ROW()))))-SUM(INDIRECT("W"&amp;(MAX(("Да"=AA$12:AA1558)*ROW(AA$12:AA1558)+1,ROW($P$12))&amp;":W"&amp;(ROW()))))),0)</f>
        <v>30212.6</v>
      </c>
      <c r="Q1559" s="99">
        <f ca="1">MAX(SUM($N$13:N1559)-SUM($T$13:T1559),0)</f>
        <v>108830.1006557377</v>
      </c>
      <c r="R1559" s="99">
        <f ca="1">Первоначальный[[#This Row],[Просроченный платеж по ОД]]+Первоначальный[[#This Row],[Просроченный платеж по процентам]]</f>
        <v>139042.70065573769</v>
      </c>
      <c r="S1559" s="120">
        <f ca="1">IF(Первоначальный[[#This Row],[Просроченный платеж]]&lt;1,0,S1558+1)</f>
        <v>1455</v>
      </c>
      <c r="T1559" s="100" cm="1">
        <f t="array" aca="1" ref="T1559" ca="1">IF(Первоначальный[[#This Row],[Итого остаток на начало периода]]&lt;1,0,
IF(
AND(TYPE(VLOOKUP(1,$Z$12:Z1559,1,0))=16,Первоначальный[[#This Row],[Досрочное погашение (да/"")]]=""),0,
_xlfn.IFS(AND(S1558=0,Первоначальный[[#This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платеж]]&lt;&gt;0),MIN(LOOKUP(,-1/($Z$12:Z1559=1),$C$12:C1559)+LOOKUP(,-1/($Z$12:Z1559=1),$H$12:H1559),Первоначальный[[#This Row],[Полученный платеж]]+Y1558),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платеж]]+Y1558,SUM(Первоначальный[[#This Row],[Остаток процентов на начало периода]],Первоначальный[[#This Row],[Проценты за период]])),
AND(S1558=0,Первоначальный[[#This Row],[Дата платежа из графика]]=""),0,
AND(S1558=0,Первоначальный[[#This Row],[Дата платежа из графика]]=1,MAX((0&lt;&gt;S$12:S1558)*ROW(S$12:S1558),ROW($S$12))&gt;=MAX((1=Z$12:Z1558)*ROW(Z$12:Z1558),ROW($T$12)),TYPE(VLOOKUP("Да",(INDIRECT("AA"&amp;(MAX((1=Z$12:Z1558)*ROW(Z$12:Z1558),ROW($T$12))&amp;":AA"&amp;(ROW()-1)))),1,0))=16),MIN(LOOKUP(,-1/($Z$12:Z1559=1),$C$12:C1559)+LOOKUP(,-1/($Z$12:Z1559=1),$H$12:H1559),Первоначальный[[#This Row],[Полученный платеж]]+Y1558),
AND(S1558=0,TYPE(VLOOKUP("Да",(INDIRECT("AA"&amp;(MAX((1=Z$12:Z1558)*ROW(Z$12:Z1558),ROW($T$12))&amp;":AA"&amp;(ROW()-1)))),1,0))&lt;&gt;16),MIN(LOOKUP(,-1/($Z$12:Z1559=1),$C$12:C1559)+LOOKUP(,-1/($Z$12:Z1559=1),$H$12:H1559)-IF(AA1558="Да",0,SUM(INDIRECT("T"&amp;(MAX(("Да"=AA$12:AA1558)*ROW(AA$12:AA1558)+1,ROW($T$12))&amp;":T"&amp;(ROW()-1))))),Первоначальный[[#This Row],[Полученный платеж]]+Y1558),
AND(S1558=0,MAX((0&lt;&gt;N$12:N1558)*ROW(N$12:N1558),ROW($S$12))&gt;=MAX((1=Z$12:Z1558)*ROW(Z$12:Z1558),ROW($T$12))),MIN(LOOKUP(,-1/($Z$12:Z1559=1),$C$12:C1559)+LOOKUP(,-1/($Z$12:Z1559=1),$H$12:H1559)-IF(N1558&lt;&gt;0,0,SUM(INDIRECT("T"&amp;(MAX((0&lt;&gt;N$12:N1558)*ROW(N$12:N1558)+1,ROW($T$12))&amp;":T"&amp;(ROW()-1))))),Первоначальный[[#This Row],[Полученный платеж]]+Y1558),
AND(S1558=0,Первоначальный[[#This Row],[Дата платежа из графика]]=1),MIN(LOOKUP(,-1/($Z$12:Z1559=1),$C$12:C1559)+LOOKUP(,-1/($Z$12:Z1559=1),$H$12:H1559)-IF(Z1558=1,0,SUM(INDIRECT("T"&amp;(MAX((1=Z$12:Z1558)*ROW(Z$12:Z1558)+1,ROW($T$12))&amp;":T"&amp;(ROW()-1))))),Первоначальный[[#This Row],[Полученный платеж]]+Y1558),
AND(Z1558&gt;0,Первоначальный[[#This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платеж]]+Y1558),
AND(S1558&gt;0,MAX((0&lt;&gt;S$12:S1558)*ROW(S$12:S1558),ROW($S$12))&gt;=MAX((1=Z$12:Z1558)*ROW(Z$12:Z1558),ROW($T$12)),TYPE(VLOOKUP("Да",(INDIRECT("AA"&amp;(MAX((1=Z$12:Z1558)*ROW(Z$12:Z1558),ROW($T$12))&amp;":AA"&amp;(ROW()-1)))),1,0))=16),MIN(LOOKUP(,-1/($Z$12:Z1559=1),$C$12:C1559)+LOOKUP(,-1/($Z$12:Z1559=1),$H$12:H1559)-SUM(INDIRECT("T"&amp;(MAX((1=Z$12:Z1558)*ROW(Z$12:Z1558),ROW($T$12))&amp;":T"&amp;(ROW()-1)))),Первоначальный[[#This Row],[Полученный платеж]]+Y1558),
S1558&gt;0,MIN(LOOKUP(,-1/($Z$12:Z1559=1),$C$12:C1559)+LOOKUP(,-1/($Z$12:Z1559=1),$H$12:H1559)-IF(Z1558=1,0,SUM(INDIRECT("T"&amp;(MAX((1=Z$12:Z1558)*ROW(Z$12:Z1558)+1,ROW($T$12))&amp;":T"&amp;(ROW()-1))))),Первоначальный[[#This Row],[Полученный платеж]]+Y1558)
)
)
)</f>
        <v>0</v>
      </c>
      <c r="U155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платеж]]+Y1558-Первоначальный[[#This Row],[Полученный платёж по процентам]])</f>
        <v>0</v>
      </c>
      <c r="V1559" s="55">
        <f t="shared" ca="1" si="291"/>
        <v>0</v>
      </c>
      <c r="W1559" s="55" cm="1">
        <f t="array" aca="1" ref="W1559" ca="1">IF(Первоначальный[[#This Row],[Итого остаток на начало периода]]&lt;1,0,
_xlfn.IFS(
AND(TYPE(VLOOKUP(1,$Z$12:Z1559,1,0))=16,Первоначальный[[#This Row],[Досрочное погашение (да/"")]]=""),0,
AND(S1558=0,Первоначальный[[#This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платеж]]+Y1558-SUM(Первоначальный[[#This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комиссиям]]),VLOOKUP(LOOKUP(,-1/($Z$12:Z1559=1),$A$12:A1559),График[[Срок конец]:[Возврат основной суммы долга]],3,0)),
AND(S1558=0,Первоначальный[[#This Row],[Дата платежа из графика]]="",Первоначальный[[#This Row],[Досрочное погашение (да/"")]]&lt;&gt;"Да"),0,
AND(S1558=0,Первоначальный[[#This Row],[Досрочное погашение (да/"")]]=""),MIN(Первоначальный[[#This Row],[Полученный платеж]]+Y1558-SUM(Первоначальный[[#This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комиссиям]]),VLOOKUP(LOOKUP(,-1/($Z$12:Z1559=1),$A$12:A1559),График[[Срок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платеж]]+Y1558-SUM(Первоначальный[[#This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S1558&gt;0,MIN(Первоначальный[[#This Row],[Полученный платеж]]+Y1558-SUM(Первоначальный[[#This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комиссиям]]),SUM(INDIRECT("M"&amp;(MAX((1=S$12:S1558)*ROW(S$12:S1558),ROW($W$12))&amp;":M"&amp;(ROW()))))-SUM(INDIRECT("W"&amp;(MAX((1=S$12:S1558)*ROW(S$12:S1558),ROW($W$12))&amp;":W"&amp;(ROW()-1)))))
)
)</f>
        <v>0</v>
      </c>
      <c r="X1559" s="55">
        <f t="shared" ca="1" si="292"/>
        <v>0</v>
      </c>
      <c r="Y1559" s="101">
        <f t="shared" ca="1" si="299"/>
        <v>0</v>
      </c>
      <c r="Z1559" s="133" t="str">
        <f>IF(TYPE((VLOOKUP(Первоначальный[[#This Row],[Дата платежа]],График[Срок конец],1,0)))=16,"",1)</f>
        <v/>
      </c>
      <c r="AA1559" s="57"/>
      <c r="AB1559" s="134"/>
      <c r="AC155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5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110399.38999999998</v>
      </c>
      <c r="AE155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10653.569999999958</v>
      </c>
      <c r="AF155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5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515062.27227049263</v>
      </c>
      <c r="AH1559" s="55"/>
      <c r="AI1559" s="55"/>
      <c r="AJ1559" s="55"/>
      <c r="AK1559" s="101">
        <f t="shared" ca="1" si="300"/>
        <v>785748.57227049256</v>
      </c>
      <c r="AL1559" s="129">
        <f t="array" ref="AL1559">MAX((УслРестрактов[Характеристика]="Дата реструктуризации")*(УслРестрактов[Значение]=Первоначальный!$A1559),0)</f>
        <v>0</v>
      </c>
    </row>
    <row r="1560" spans="1:38" x14ac:dyDescent="0.25">
      <c r="A1560" s="97">
        <f t="shared" si="293"/>
        <v>45691</v>
      </c>
      <c r="B1560" s="100">
        <f t="shared" ca="1" si="294"/>
        <v>149633.34</v>
      </c>
      <c r="C1560" s="55">
        <f t="shared" ca="1" si="290"/>
        <v>110399.38999999998</v>
      </c>
      <c r="D1560" s="55">
        <f t="shared" ca="1" si="290"/>
        <v>10653.569999999958</v>
      </c>
      <c r="E1560" s="55">
        <f t="shared" ca="1" si="295"/>
        <v>0</v>
      </c>
      <c r="F1560" s="55">
        <f t="shared" ca="1" si="296"/>
        <v>515062.27227049263</v>
      </c>
      <c r="G1560" s="101">
        <f t="shared" ca="1" si="297"/>
        <v>785748.57227049256</v>
      </c>
      <c r="H1560" s="100">
        <f ca="1">ROUND($B1560*VLOOKUP($A1560,$A$1:$B$10,2,1)/(365+IF(MOD(YEAR($A1560),4),0,1)*($A1560-$A1559)),2)-Первоначальный[[#This Row],[Проценты на просроченный платеж по ОД за период]]</f>
        <v>65.11</v>
      </c>
      <c r="I1560" s="55">
        <f t="shared" ca="1" si="298"/>
        <v>16.47</v>
      </c>
      <c r="J1560" s="55">
        <v>0</v>
      </c>
      <c r="K1560" s="55">
        <f t="shared" ca="1" si="301"/>
        <v>695.21350327868845</v>
      </c>
      <c r="L1560" s="55">
        <v>0</v>
      </c>
      <c r="M1560" s="113">
        <f>SUMIFS(График[Возврат основной суммы долга],График[Дата с учетом нерабочих дней],$A1560)</f>
        <v>0</v>
      </c>
      <c r="N1560" s="56">
        <f>SUMIFS(График[Возврат начисленных %],График[Дата с учетом нерабочих дней],$A1560)</f>
        <v>0</v>
      </c>
      <c r="O1560" s="101">
        <v>0</v>
      </c>
      <c r="P1560" s="100" cm="1">
        <f t="array" aca="1" ref="P1560" ca="1">MAX(IF(AA1559="Да",0,SUM(INDIRECT("M"&amp;(MAX(("Да"=AA$12:AA1559)*ROW(AA$12:AA1559)+1,ROW($P$12))&amp;":M"&amp;(ROW()))))-SUM(INDIRECT("W"&amp;(MAX(("Да"=AA$12:AA1559)*ROW(AA$12:AA1559)+1,ROW($P$12))&amp;":W"&amp;(ROW()))))),0)</f>
        <v>30212.6</v>
      </c>
      <c r="Q1560" s="99">
        <f ca="1">MAX(SUM($N$13:N1560)-SUM($T$13:T1560),0)</f>
        <v>108830.1006557377</v>
      </c>
      <c r="R1560" s="99">
        <f ca="1">Первоначальный[[#This Row],[Просроченный платеж по ОД]]+Первоначальный[[#This Row],[Просроченный платеж по процентам]]</f>
        <v>139042.70065573769</v>
      </c>
      <c r="S1560" s="120">
        <f ca="1">IF(Первоначальный[[#This Row],[Просроченный платеж]]&lt;1,0,S1559+1)</f>
        <v>1456</v>
      </c>
      <c r="T1560" s="100" cm="1">
        <f t="array" aca="1" ref="T1560" ca="1">IF(Первоначальный[[#This Row],[Итого остаток на начало периода]]&lt;1,0,
IF(
AND(TYPE(VLOOKUP(1,$Z$12:Z1560,1,0))=16,Первоначальный[[#This Row],[Досрочное погашение (да/"")]]=""),0,
_xlfn.IFS(AND(S1559=0,Первоначальный[[#This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платеж]]&lt;&gt;0),MIN(LOOKUP(,-1/($Z$12:Z1560=1),$C$12:C1560)+LOOKUP(,-1/($Z$12:Z1560=1),$H$12:H1560),Первоначальный[[#This Row],[Полученный платеж]]+Y1559),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платеж]]+Y1559,SUM(Первоначальный[[#This Row],[Остаток процентов на начало периода]],Первоначальный[[#This Row],[Проценты за период]])),
AND(S1559=0,Первоначальный[[#This Row],[Дата платежа из графика]]=""),0,
AND(S1559=0,Первоначальный[[#This Row],[Дата платежа из графика]]=1,MAX((0&lt;&gt;S$12:S1559)*ROW(S$12:S1559),ROW($S$12))&gt;=MAX((1=Z$12:Z1559)*ROW(Z$12:Z1559),ROW($T$12)),TYPE(VLOOKUP("Да",(INDIRECT("AA"&amp;(MAX((1=Z$12:Z1559)*ROW(Z$12:Z1559),ROW($T$12))&amp;":AA"&amp;(ROW()-1)))),1,0))=16),MIN(LOOKUP(,-1/($Z$12:Z1560=1),$C$12:C1560)+LOOKUP(,-1/($Z$12:Z1560=1),$H$12:H1560),Первоначальный[[#This Row],[Полученный платеж]]+Y1559),
AND(S1559=0,TYPE(VLOOKUP("Да",(INDIRECT("AA"&amp;(MAX((1=Z$12:Z1559)*ROW(Z$12:Z1559),ROW($T$12))&amp;":AA"&amp;(ROW()-1)))),1,0))&lt;&gt;16),MIN(LOOKUP(,-1/($Z$12:Z1560=1),$C$12:C1560)+LOOKUP(,-1/($Z$12:Z1560=1),$H$12:H1560)-IF(AA1559="Да",0,SUM(INDIRECT("T"&amp;(MAX(("Да"=AA$12:AA1559)*ROW(AA$12:AA1559)+1,ROW($T$12))&amp;":T"&amp;(ROW()-1))))),Первоначальный[[#This Row],[Полученный платеж]]+Y1559),
AND(S1559=0,MAX((0&lt;&gt;N$12:N1559)*ROW(N$12:N1559),ROW($S$12))&gt;=MAX((1=Z$12:Z1559)*ROW(Z$12:Z1559),ROW($T$12))),MIN(LOOKUP(,-1/($Z$12:Z1560=1),$C$12:C1560)+LOOKUP(,-1/($Z$12:Z1560=1),$H$12:H1560)-IF(N1559&lt;&gt;0,0,SUM(INDIRECT("T"&amp;(MAX((0&lt;&gt;N$12:N1559)*ROW(N$12:N1559)+1,ROW($T$12))&amp;":T"&amp;(ROW()-1))))),Первоначальный[[#This Row],[Полученный платеж]]+Y1559),
AND(S1559=0,Первоначальный[[#This Row],[Дата платежа из графика]]=1),MIN(LOOKUP(,-1/($Z$12:Z1560=1),$C$12:C1560)+LOOKUP(,-1/($Z$12:Z1560=1),$H$12:H1560)-IF(Z1559=1,0,SUM(INDIRECT("T"&amp;(MAX((1=Z$12:Z1559)*ROW(Z$12:Z1559)+1,ROW($T$12))&amp;":T"&amp;(ROW()-1))))),Первоначальный[[#This Row],[Полученный платеж]]+Y1559),
AND(Z1559&gt;0,Первоначальный[[#This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платеж]]+Y1559),
AND(S1559&gt;0,MAX((0&lt;&gt;S$12:S1559)*ROW(S$12:S1559),ROW($S$12))&gt;=MAX((1=Z$12:Z1559)*ROW(Z$12:Z1559),ROW($T$12)),TYPE(VLOOKUP("Да",(INDIRECT("AA"&amp;(MAX((1=Z$12:Z1559)*ROW(Z$12:Z1559),ROW($T$12))&amp;":AA"&amp;(ROW()-1)))),1,0))=16),MIN(LOOKUP(,-1/($Z$12:Z1560=1),$C$12:C1560)+LOOKUP(,-1/($Z$12:Z1560=1),$H$12:H1560)-SUM(INDIRECT("T"&amp;(MAX((1=Z$12:Z1559)*ROW(Z$12:Z1559),ROW($T$12))&amp;":T"&amp;(ROW()-1)))),Первоначальный[[#This Row],[Полученный платеж]]+Y1559),
S1559&gt;0,MIN(LOOKUP(,-1/($Z$12:Z1560=1),$C$12:C1560)+LOOKUP(,-1/($Z$12:Z1560=1),$H$12:H1560)-IF(Z1559=1,0,SUM(INDIRECT("T"&amp;(MAX((1=Z$12:Z1559)*ROW(Z$12:Z1559)+1,ROW($T$12))&amp;":T"&amp;(ROW()-1))))),Первоначальный[[#This Row],[Полученный платеж]]+Y1559)
)
)
)</f>
        <v>0</v>
      </c>
      <c r="U156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платеж]]+Y1559-Первоначальный[[#This Row],[Полученный платёж по процентам]])</f>
        <v>0</v>
      </c>
      <c r="V1560" s="55">
        <f t="shared" ca="1" si="291"/>
        <v>0</v>
      </c>
      <c r="W1560" s="55" cm="1">
        <f t="array" aca="1" ref="W1560" ca="1">IF(Первоначальный[[#This Row],[Итого остаток на начало периода]]&lt;1,0,
_xlfn.IFS(
AND(TYPE(VLOOKUP(1,$Z$12:Z1560,1,0))=16,Первоначальный[[#This Row],[Досрочное погашение (да/"")]]=""),0,
AND(S1559=0,Первоначальный[[#This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платеж]]+Y1559-SUM(Первоначальный[[#This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комиссиям]]),VLOOKUP(LOOKUP(,-1/($Z$12:Z1560=1),$A$12:A1560),График[[Срок конец]:[Возврат основной суммы долга]],3,0)),
AND(S1559=0,Первоначальный[[#This Row],[Дата платежа из графика]]="",Первоначальный[[#This Row],[Досрочное погашение (да/"")]]&lt;&gt;"Да"),0,
AND(S1559=0,Первоначальный[[#This Row],[Досрочное погашение (да/"")]]=""),MIN(Первоначальный[[#This Row],[Полученный платеж]]+Y1559-SUM(Первоначальный[[#This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комиссиям]]),VLOOKUP(LOOKUP(,-1/($Z$12:Z1560=1),$A$12:A1560),График[[Срок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платеж]]+Y1559-SUM(Первоначальный[[#This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S1559&gt;0,MIN(Первоначальный[[#This Row],[Полученный платеж]]+Y1559-SUM(Первоначальный[[#This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комиссиям]]),SUM(INDIRECT("M"&amp;(MAX((1=S$12:S1559)*ROW(S$12:S1559),ROW($W$12))&amp;":M"&amp;(ROW()))))-SUM(INDIRECT("W"&amp;(MAX((1=S$12:S1559)*ROW(S$12:S1559),ROW($W$12))&amp;":W"&amp;(ROW()-1)))))
)
)</f>
        <v>0</v>
      </c>
      <c r="X1560" s="55">
        <f t="shared" ca="1" si="292"/>
        <v>0</v>
      </c>
      <c r="Y1560" s="101">
        <f t="shared" ca="1" si="299"/>
        <v>0</v>
      </c>
      <c r="Z1560" s="133" t="str">
        <f>IF(TYPE((VLOOKUP(Первоначальный[[#This Row],[Дата платежа]],График[Срок конец],1,0)))=16,"",1)</f>
        <v/>
      </c>
      <c r="AA1560" s="57"/>
      <c r="AB1560" s="134"/>
      <c r="AC156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6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110464.49999999999</v>
      </c>
      <c r="AE156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10670.039999999957</v>
      </c>
      <c r="AF156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6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515757.4857737713</v>
      </c>
      <c r="AH1560" s="55"/>
      <c r="AI1560" s="55"/>
      <c r="AJ1560" s="55"/>
      <c r="AK1560" s="101">
        <f t="shared" ca="1" si="300"/>
        <v>786525.36577377119</v>
      </c>
      <c r="AL1560" s="129">
        <f t="array" ref="AL1560">MAX((УслРестрактов[Характеристика]="Дата реструктуризации")*(УслРестрактов[Значение]=Первоначальный!$A1560),0)</f>
        <v>0</v>
      </c>
    </row>
    <row r="1561" spans="1:38" x14ac:dyDescent="0.25">
      <c r="A1561" s="97">
        <f t="shared" si="293"/>
        <v>45692</v>
      </c>
      <c r="B1561" s="100">
        <f t="shared" ca="1" si="294"/>
        <v>149633.34</v>
      </c>
      <c r="C1561" s="55">
        <f t="shared" ca="1" si="290"/>
        <v>110464.49999999999</v>
      </c>
      <c r="D1561" s="55">
        <f t="shared" ca="1" si="290"/>
        <v>10670.039999999957</v>
      </c>
      <c r="E1561" s="55">
        <f t="shared" ca="1" si="295"/>
        <v>0</v>
      </c>
      <c r="F1561" s="55">
        <f t="shared" ca="1" si="296"/>
        <v>515757.4857737713</v>
      </c>
      <c r="G1561" s="101">
        <f t="shared" ca="1" si="297"/>
        <v>786525.36577377119</v>
      </c>
      <c r="H1561" s="100">
        <f ca="1">ROUND($B1561*VLOOKUP($A1561,$A$1:$B$10,2,1)/(365+IF(MOD(YEAR($A1561),4),0,1)*($A1561-$A1560)),2)-Первоначальный[[#This Row],[Проценты на просроченный платеж по ОД за период]]</f>
        <v>65.11</v>
      </c>
      <c r="I1561" s="55">
        <f t="shared" ca="1" si="298"/>
        <v>16.47</v>
      </c>
      <c r="J1561" s="55">
        <v>0</v>
      </c>
      <c r="K1561" s="55">
        <f t="shared" ca="1" si="301"/>
        <v>695.21350327868845</v>
      </c>
      <c r="L1561" s="55">
        <v>0</v>
      </c>
      <c r="M1561" s="113">
        <f>SUMIFS(График[Возврат основной суммы долга],График[Дата с учетом нерабочих дней],$A1561)</f>
        <v>0</v>
      </c>
      <c r="N1561" s="56">
        <f>SUMIFS(График[Возврат начисленных %],График[Дата с учетом нерабочих дней],$A1561)</f>
        <v>0</v>
      </c>
      <c r="O1561" s="101">
        <v>0</v>
      </c>
      <c r="P1561" s="100" cm="1">
        <f t="array" aca="1" ref="P1561" ca="1">MAX(IF(AA1560="Да",0,SUM(INDIRECT("M"&amp;(MAX(("Да"=AA$12:AA1560)*ROW(AA$12:AA1560)+1,ROW($P$12))&amp;":M"&amp;(ROW()))))-SUM(INDIRECT("W"&amp;(MAX(("Да"=AA$12:AA1560)*ROW(AA$12:AA1560)+1,ROW($P$12))&amp;":W"&amp;(ROW()))))),0)</f>
        <v>30212.6</v>
      </c>
      <c r="Q1561" s="99">
        <f ca="1">MAX(SUM($N$13:N1561)-SUM($T$13:T1561),0)</f>
        <v>108830.1006557377</v>
      </c>
      <c r="R1561" s="99">
        <f ca="1">Первоначальный[[#This Row],[Просроченный платеж по ОД]]+Первоначальный[[#This Row],[Просроченный платеж по процентам]]</f>
        <v>139042.70065573769</v>
      </c>
      <c r="S1561" s="120">
        <f ca="1">IF(Первоначальный[[#This Row],[Просроченный платеж]]&lt;1,0,S1560+1)</f>
        <v>1457</v>
      </c>
      <c r="T1561" s="100" cm="1">
        <f t="array" aca="1" ref="T1561" ca="1">IF(Первоначальный[[#This Row],[Итого остаток на начало периода]]&lt;1,0,
IF(
AND(TYPE(VLOOKUP(1,$Z$12:Z1561,1,0))=16,Первоначальный[[#This Row],[Досрочное погашение (да/"")]]=""),0,
_xlfn.IFS(AND(S1560=0,Первоначальный[[#This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платеж]]&lt;&gt;0),MIN(LOOKUP(,-1/($Z$12:Z1561=1),$C$12:C1561)+LOOKUP(,-1/($Z$12:Z1561=1),$H$12:H1561),Первоначальный[[#This Row],[Полученный платеж]]+Y1560),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платеж]]+Y1560,SUM(Первоначальный[[#This Row],[Остаток процентов на начало периода]],Первоначальный[[#This Row],[Проценты за период]])),
AND(S1560=0,Первоначальный[[#This Row],[Дата платежа из графика]]=""),0,
AND(S1560=0,Первоначальный[[#This Row],[Дата платежа из графика]]=1,MAX((0&lt;&gt;S$12:S1560)*ROW(S$12:S1560),ROW($S$12))&gt;=MAX((1=Z$12:Z1560)*ROW(Z$12:Z1560),ROW($T$12)),TYPE(VLOOKUP("Да",(INDIRECT("AA"&amp;(MAX((1=Z$12:Z1560)*ROW(Z$12:Z1560),ROW($T$12))&amp;":AA"&amp;(ROW()-1)))),1,0))=16),MIN(LOOKUP(,-1/($Z$12:Z1561=1),$C$12:C1561)+LOOKUP(,-1/($Z$12:Z1561=1),$H$12:H1561),Первоначальный[[#This Row],[Полученный платеж]]+Y1560),
AND(S1560=0,TYPE(VLOOKUP("Да",(INDIRECT("AA"&amp;(MAX((1=Z$12:Z1560)*ROW(Z$12:Z1560),ROW($T$12))&amp;":AA"&amp;(ROW()-1)))),1,0))&lt;&gt;16),MIN(LOOKUP(,-1/($Z$12:Z1561=1),$C$12:C1561)+LOOKUP(,-1/($Z$12:Z1561=1),$H$12:H1561)-IF(AA1560="Да",0,SUM(INDIRECT("T"&amp;(MAX(("Да"=AA$12:AA1560)*ROW(AA$12:AA1560)+1,ROW($T$12))&amp;":T"&amp;(ROW()-1))))),Первоначальный[[#This Row],[Полученный платеж]]+Y1560),
AND(S1560=0,MAX((0&lt;&gt;N$12:N1560)*ROW(N$12:N1560),ROW($S$12))&gt;=MAX((1=Z$12:Z1560)*ROW(Z$12:Z1560),ROW($T$12))),MIN(LOOKUP(,-1/($Z$12:Z1561=1),$C$12:C1561)+LOOKUP(,-1/($Z$12:Z1561=1),$H$12:H1561)-IF(N1560&lt;&gt;0,0,SUM(INDIRECT("T"&amp;(MAX((0&lt;&gt;N$12:N1560)*ROW(N$12:N1560)+1,ROW($T$12))&amp;":T"&amp;(ROW()-1))))),Первоначальный[[#This Row],[Полученный платеж]]+Y1560),
AND(S1560=0,Первоначальный[[#This Row],[Дата платежа из графика]]=1),MIN(LOOKUP(,-1/($Z$12:Z1561=1),$C$12:C1561)+LOOKUP(,-1/($Z$12:Z1561=1),$H$12:H1561)-IF(Z1560=1,0,SUM(INDIRECT("T"&amp;(MAX((1=Z$12:Z1560)*ROW(Z$12:Z1560)+1,ROW($T$12))&amp;":T"&amp;(ROW()-1))))),Первоначальный[[#This Row],[Полученный платеж]]+Y1560),
AND(Z1560&gt;0,Первоначальный[[#This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платеж]]+Y1560),
AND(S1560&gt;0,MAX((0&lt;&gt;S$12:S1560)*ROW(S$12:S1560),ROW($S$12))&gt;=MAX((1=Z$12:Z1560)*ROW(Z$12:Z1560),ROW($T$12)),TYPE(VLOOKUP("Да",(INDIRECT("AA"&amp;(MAX((1=Z$12:Z1560)*ROW(Z$12:Z1560),ROW($T$12))&amp;":AA"&amp;(ROW()-1)))),1,0))=16),MIN(LOOKUP(,-1/($Z$12:Z1561=1),$C$12:C1561)+LOOKUP(,-1/($Z$12:Z1561=1),$H$12:H1561)-SUM(INDIRECT("T"&amp;(MAX((1=Z$12:Z1560)*ROW(Z$12:Z1560),ROW($T$12))&amp;":T"&amp;(ROW()-1)))),Первоначальный[[#This Row],[Полученный платеж]]+Y1560),
S1560&gt;0,MIN(LOOKUP(,-1/($Z$12:Z1561=1),$C$12:C1561)+LOOKUP(,-1/($Z$12:Z1561=1),$H$12:H1561)-IF(Z1560=1,0,SUM(INDIRECT("T"&amp;(MAX((1=Z$12:Z1560)*ROW(Z$12:Z1560)+1,ROW($T$12))&amp;":T"&amp;(ROW()-1))))),Первоначальный[[#This Row],[Полученный платеж]]+Y1560)
)
)
)</f>
        <v>0</v>
      </c>
      <c r="U156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платеж]]+Y1560-Первоначальный[[#This Row],[Полученный платёж по процентам]])</f>
        <v>0</v>
      </c>
      <c r="V1561" s="55">
        <f t="shared" ca="1" si="291"/>
        <v>0</v>
      </c>
      <c r="W1561" s="55" cm="1">
        <f t="array" aca="1" ref="W1561" ca="1">IF(Первоначальный[[#This Row],[Итого остаток на начало периода]]&lt;1,0,
_xlfn.IFS(
AND(TYPE(VLOOKUP(1,$Z$12:Z1561,1,0))=16,Первоначальный[[#This Row],[Досрочное погашение (да/"")]]=""),0,
AND(S1560=0,Первоначальный[[#This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платеж]]+Y1560-SUM(Первоначальный[[#This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комиссиям]]),VLOOKUP(LOOKUP(,-1/($Z$12:Z1561=1),$A$12:A1561),График[[Срок конец]:[Возврат основной суммы долга]],3,0)),
AND(S1560=0,Первоначальный[[#This Row],[Дата платежа из графика]]="",Первоначальный[[#This Row],[Досрочное погашение (да/"")]]&lt;&gt;"Да"),0,
AND(S1560=0,Первоначальный[[#This Row],[Досрочное погашение (да/"")]]=""),MIN(Первоначальный[[#This Row],[Полученный платеж]]+Y1560-SUM(Первоначальный[[#This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комиссиям]]),VLOOKUP(LOOKUP(,-1/($Z$12:Z1561=1),$A$12:A1561),График[[Срок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платеж]]+Y1560-SUM(Первоначальный[[#This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S1560&gt;0,MIN(Первоначальный[[#This Row],[Полученный платеж]]+Y1560-SUM(Первоначальный[[#This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комиссиям]]),SUM(INDIRECT("M"&amp;(MAX((1=S$12:S1560)*ROW(S$12:S1560),ROW($W$12))&amp;":M"&amp;(ROW()))))-SUM(INDIRECT("W"&amp;(MAX((1=S$12:S1560)*ROW(S$12:S1560),ROW($W$12))&amp;":W"&amp;(ROW()-1)))))
)
)</f>
        <v>0</v>
      </c>
      <c r="X1561" s="55">
        <f t="shared" ca="1" si="292"/>
        <v>0</v>
      </c>
      <c r="Y1561" s="101">
        <f t="shared" ca="1" si="299"/>
        <v>0</v>
      </c>
      <c r="Z1561" s="133" t="str">
        <f>IF(TYPE((VLOOKUP(Первоначальный[[#This Row],[Дата платежа]],График[Срок конец],1,0)))=16,"",1)</f>
        <v/>
      </c>
      <c r="AA1561" s="57"/>
      <c r="AB1561" s="134"/>
      <c r="AC156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6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110529.60999999999</v>
      </c>
      <c r="AE156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10686.509999999957</v>
      </c>
      <c r="AF156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6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516452.69927704998</v>
      </c>
      <c r="AH1561" s="55"/>
      <c r="AI1561" s="55"/>
      <c r="AJ1561" s="55"/>
      <c r="AK1561" s="101">
        <f t="shared" ca="1" si="300"/>
        <v>787302.15927704994</v>
      </c>
      <c r="AL1561" s="129">
        <f t="array" ref="AL1561">MAX((УслРестрактов[Характеристика]="Дата реструктуризации")*(УслРестрактов[Значение]=Первоначальный!$A1561),0)</f>
        <v>0</v>
      </c>
    </row>
    <row r="1562" spans="1:38" x14ac:dyDescent="0.25">
      <c r="A1562" s="97">
        <f t="shared" si="293"/>
        <v>45693</v>
      </c>
      <c r="B1562" s="100">
        <f t="shared" ca="1" si="294"/>
        <v>149633.34</v>
      </c>
      <c r="C1562" s="55">
        <f t="shared" ca="1" si="290"/>
        <v>110529.60999999999</v>
      </c>
      <c r="D1562" s="55">
        <f t="shared" ca="1" si="290"/>
        <v>10686.509999999957</v>
      </c>
      <c r="E1562" s="55">
        <f t="shared" ca="1" si="295"/>
        <v>0</v>
      </c>
      <c r="F1562" s="55">
        <f t="shared" ca="1" si="296"/>
        <v>516452.69927704998</v>
      </c>
      <c r="G1562" s="101">
        <f t="shared" ca="1" si="297"/>
        <v>787302.15927704994</v>
      </c>
      <c r="H1562" s="100">
        <f ca="1">ROUND($B1562*VLOOKUP($A1562,$A$1:$B$10,2,1)/(365+IF(MOD(YEAR($A1562),4),0,1)*($A1562-$A1561)),2)-Первоначальный[[#This Row],[Проценты на просроченный платеж по ОД за период]]</f>
        <v>65.11</v>
      </c>
      <c r="I1562" s="55">
        <f t="shared" ca="1" si="298"/>
        <v>16.47</v>
      </c>
      <c r="J1562" s="55">
        <v>0</v>
      </c>
      <c r="K1562" s="55">
        <f t="shared" ca="1" si="301"/>
        <v>695.21350327868845</v>
      </c>
      <c r="L1562" s="55">
        <v>0</v>
      </c>
      <c r="M1562" s="113">
        <f>SUMIFS(График[Возврат основной суммы долга],График[Дата с учетом нерабочих дней],$A1562)</f>
        <v>0</v>
      </c>
      <c r="N1562" s="56">
        <f>SUMIFS(График[Возврат начисленных %],График[Дата с учетом нерабочих дней],$A1562)</f>
        <v>0</v>
      </c>
      <c r="O1562" s="101">
        <v>0</v>
      </c>
      <c r="P1562" s="100" cm="1">
        <f t="array" aca="1" ref="P1562" ca="1">MAX(IF(AA1561="Да",0,SUM(INDIRECT("M"&amp;(MAX(("Да"=AA$12:AA1561)*ROW(AA$12:AA1561)+1,ROW($P$12))&amp;":M"&amp;(ROW()))))-SUM(INDIRECT("W"&amp;(MAX(("Да"=AA$12:AA1561)*ROW(AA$12:AA1561)+1,ROW($P$12))&amp;":W"&amp;(ROW()))))),0)</f>
        <v>30212.6</v>
      </c>
      <c r="Q1562" s="99">
        <f ca="1">MAX(SUM($N$13:N1562)-SUM($T$13:T1562),0)</f>
        <v>108830.1006557377</v>
      </c>
      <c r="R1562" s="99">
        <f ca="1">Первоначальный[[#This Row],[Просроченный платеж по ОД]]+Первоначальный[[#This Row],[Просроченный платеж по процентам]]</f>
        <v>139042.70065573769</v>
      </c>
      <c r="S1562" s="120">
        <f ca="1">IF(Первоначальный[[#This Row],[Просроченный платеж]]&lt;1,0,S1561+1)</f>
        <v>1458</v>
      </c>
      <c r="T1562" s="100" cm="1">
        <f t="array" aca="1" ref="T1562" ca="1">IF(Первоначальный[[#This Row],[Итого остаток на начало периода]]&lt;1,0,
IF(
AND(TYPE(VLOOKUP(1,$Z$12:Z1562,1,0))=16,Первоначальный[[#This Row],[Досрочное погашение (да/"")]]=""),0,
_xlfn.IFS(AND(S1561=0,Первоначальный[[#This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платеж]]&lt;&gt;0),MIN(LOOKUP(,-1/($Z$12:Z1562=1),$C$12:C1562)+LOOKUP(,-1/($Z$12:Z1562=1),$H$12:H1562),Первоначальный[[#This Row],[Полученный платеж]]+Y1561),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платеж]]+Y1561,SUM(Первоначальный[[#This Row],[Остаток процентов на начало периода]],Первоначальный[[#This Row],[Проценты за период]])),
AND(S1561=0,Первоначальный[[#This Row],[Дата платежа из графика]]=""),0,
AND(S1561=0,Первоначальный[[#This Row],[Дата платежа из графика]]=1,MAX((0&lt;&gt;S$12:S1561)*ROW(S$12:S1561),ROW($S$12))&gt;=MAX((1=Z$12:Z1561)*ROW(Z$12:Z1561),ROW($T$12)),TYPE(VLOOKUP("Да",(INDIRECT("AA"&amp;(MAX((1=Z$12:Z1561)*ROW(Z$12:Z1561),ROW($T$12))&amp;":AA"&amp;(ROW()-1)))),1,0))=16),MIN(LOOKUP(,-1/($Z$12:Z1562=1),$C$12:C1562)+LOOKUP(,-1/($Z$12:Z1562=1),$H$12:H1562),Первоначальный[[#This Row],[Полученный платеж]]+Y1561),
AND(S1561=0,TYPE(VLOOKUP("Да",(INDIRECT("AA"&amp;(MAX((1=Z$12:Z1561)*ROW(Z$12:Z1561),ROW($T$12))&amp;":AA"&amp;(ROW()-1)))),1,0))&lt;&gt;16),MIN(LOOKUP(,-1/($Z$12:Z1562=1),$C$12:C1562)+LOOKUP(,-1/($Z$12:Z1562=1),$H$12:H1562)-IF(AA1561="Да",0,SUM(INDIRECT("T"&amp;(MAX(("Да"=AA$12:AA1561)*ROW(AA$12:AA1561)+1,ROW($T$12))&amp;":T"&amp;(ROW()-1))))),Первоначальный[[#This Row],[Полученный платеж]]+Y1561),
AND(S1561=0,MAX((0&lt;&gt;N$12:N1561)*ROW(N$12:N1561),ROW($S$12))&gt;=MAX((1=Z$12:Z1561)*ROW(Z$12:Z1561),ROW($T$12))),MIN(LOOKUP(,-1/($Z$12:Z1562=1),$C$12:C1562)+LOOKUP(,-1/($Z$12:Z1562=1),$H$12:H1562)-IF(N1561&lt;&gt;0,0,SUM(INDIRECT("T"&amp;(MAX((0&lt;&gt;N$12:N1561)*ROW(N$12:N1561)+1,ROW($T$12))&amp;":T"&amp;(ROW()-1))))),Первоначальный[[#This Row],[Полученный платеж]]+Y1561),
AND(S1561=0,Первоначальный[[#This Row],[Дата платежа из графика]]=1),MIN(LOOKUP(,-1/($Z$12:Z1562=1),$C$12:C1562)+LOOKUP(,-1/($Z$12:Z1562=1),$H$12:H1562)-IF(Z1561=1,0,SUM(INDIRECT("T"&amp;(MAX((1=Z$12:Z1561)*ROW(Z$12:Z1561)+1,ROW($T$12))&amp;":T"&amp;(ROW()-1))))),Первоначальный[[#This Row],[Полученный платеж]]+Y1561),
AND(Z1561&gt;0,Первоначальный[[#This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платеж]]+Y1561),
AND(S1561&gt;0,MAX((0&lt;&gt;S$12:S1561)*ROW(S$12:S1561),ROW($S$12))&gt;=MAX((1=Z$12:Z1561)*ROW(Z$12:Z1561),ROW($T$12)),TYPE(VLOOKUP("Да",(INDIRECT("AA"&amp;(MAX((1=Z$12:Z1561)*ROW(Z$12:Z1561),ROW($T$12))&amp;":AA"&amp;(ROW()-1)))),1,0))=16),MIN(LOOKUP(,-1/($Z$12:Z1562=1),$C$12:C1562)+LOOKUP(,-1/($Z$12:Z1562=1),$H$12:H1562)-SUM(INDIRECT("T"&amp;(MAX((1=Z$12:Z1561)*ROW(Z$12:Z1561),ROW($T$12))&amp;":T"&amp;(ROW()-1)))),Первоначальный[[#This Row],[Полученный платеж]]+Y1561),
S1561&gt;0,MIN(LOOKUP(,-1/($Z$12:Z1562=1),$C$12:C1562)+LOOKUP(,-1/($Z$12:Z1562=1),$H$12:H1562)-IF(Z1561=1,0,SUM(INDIRECT("T"&amp;(MAX((1=Z$12:Z1561)*ROW(Z$12:Z1561)+1,ROW($T$12))&amp;":T"&amp;(ROW()-1))))),Первоначальный[[#This Row],[Полученный платеж]]+Y1561)
)
)
)</f>
        <v>0</v>
      </c>
      <c r="U1562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платеж]]+Y1561-Первоначальный[[#This Row],[Полученный платёж по процентам]])</f>
        <v>0</v>
      </c>
      <c r="V1562" s="55">
        <f t="shared" ca="1" si="291"/>
        <v>0</v>
      </c>
      <c r="W1562" s="55" cm="1">
        <f t="array" aca="1" ref="W1562" ca="1">IF(Первоначальный[[#This Row],[Итого остаток на начало периода]]&lt;1,0,
_xlfn.IFS(
AND(TYPE(VLOOKUP(1,$Z$12:Z1562,1,0))=16,Первоначальный[[#This Row],[Досрочное погашение (да/"")]]=""),0,
AND(S1561=0,Первоначальный[[#This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платеж]]+Y1561-SUM(Первоначальный[[#This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комиссиям]]),VLOOKUP(LOOKUP(,-1/($Z$12:Z1562=1),$A$12:A1562),График[[Срок конец]:[Возврат основной суммы долга]],3,0)),
AND(S1561=0,Первоначальный[[#This Row],[Дата платежа из графика]]="",Первоначальный[[#This Row],[Досрочное погашение (да/"")]]&lt;&gt;"Да"),0,
AND(S1561=0,Первоначальный[[#This Row],[Досрочное погашение (да/"")]]=""),MIN(Первоначальный[[#This Row],[Полученный платеж]]+Y1561-SUM(Первоначальный[[#This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комиссиям]]),VLOOKUP(LOOKUP(,-1/($Z$12:Z1562=1),$A$12:A1562),График[[Срок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платеж]]+Y1561-SUM(Первоначальный[[#This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S1561&gt;0,MIN(Первоначальный[[#This Row],[Полученный платеж]]+Y1561-SUM(Первоначальный[[#This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комиссиям]]),SUM(INDIRECT("M"&amp;(MAX((1=S$12:S1561)*ROW(S$12:S1561),ROW($W$12))&amp;":M"&amp;(ROW()))))-SUM(INDIRECT("W"&amp;(MAX((1=S$12:S1561)*ROW(S$12:S1561),ROW($W$12))&amp;":W"&amp;(ROW()-1)))))
)
)</f>
        <v>0</v>
      </c>
      <c r="X1562" s="55">
        <f t="shared" ca="1" si="292"/>
        <v>0</v>
      </c>
      <c r="Y1562" s="101">
        <f t="shared" ca="1" si="299"/>
        <v>0</v>
      </c>
      <c r="Z1562" s="133" t="str">
        <f>IF(TYPE((VLOOKUP(Первоначальный[[#This Row],[Дата платежа]],График[Срок конец],1,0)))=16,"",1)</f>
        <v/>
      </c>
      <c r="AA1562" s="57"/>
      <c r="AB1562" s="134"/>
      <c r="AC1562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62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110594.71999999999</v>
      </c>
      <c r="AE1562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10702.979999999956</v>
      </c>
      <c r="AF1562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62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517147.91278032865</v>
      </c>
      <c r="AH1562" s="55"/>
      <c r="AI1562" s="55"/>
      <c r="AJ1562" s="55"/>
      <c r="AK1562" s="101">
        <f t="shared" ca="1" si="300"/>
        <v>788078.95278032869</v>
      </c>
      <c r="AL1562" s="129">
        <f t="array" ref="AL1562">MAX((УслРестрактов[Характеристика]="Дата реструктуризации")*(УслРестрактов[Значение]=Первоначальный!$A1562),0)</f>
        <v>0</v>
      </c>
    </row>
    <row r="1563" spans="1:38" x14ac:dyDescent="0.25">
      <c r="A1563" s="97">
        <f t="shared" si="293"/>
        <v>45694</v>
      </c>
      <c r="B1563" s="100">
        <f t="shared" ca="1" si="294"/>
        <v>149633.34</v>
      </c>
      <c r="C1563" s="55">
        <f t="shared" ca="1" si="290"/>
        <v>110594.71999999999</v>
      </c>
      <c r="D1563" s="55">
        <f t="shared" ca="1" si="290"/>
        <v>10702.979999999956</v>
      </c>
      <c r="E1563" s="55">
        <f t="shared" ca="1" si="295"/>
        <v>0</v>
      </c>
      <c r="F1563" s="55">
        <f t="shared" ca="1" si="296"/>
        <v>517147.91278032865</v>
      </c>
      <c r="G1563" s="101">
        <f t="shared" ca="1" si="297"/>
        <v>788078.95278032869</v>
      </c>
      <c r="H1563" s="100">
        <f ca="1">ROUND($B1563*VLOOKUP($A1563,$A$1:$B$10,2,1)/(365+IF(MOD(YEAR($A1563),4),0,1)*($A1563-$A1562)),2)-Первоначальный[[#This Row],[Проценты на просроченный платеж по ОД за период]]</f>
        <v>65.11</v>
      </c>
      <c r="I1563" s="55">
        <f t="shared" ca="1" si="298"/>
        <v>16.47</v>
      </c>
      <c r="J1563" s="55">
        <v>0</v>
      </c>
      <c r="K1563" s="55">
        <f t="shared" ca="1" si="301"/>
        <v>695.21350327868845</v>
      </c>
      <c r="L1563" s="55">
        <v>0</v>
      </c>
      <c r="M1563" s="113">
        <f>SUMIFS(График[Возврат основной суммы долга],График[Дата с учетом нерабочих дней],$A1563)</f>
        <v>0</v>
      </c>
      <c r="N1563" s="56">
        <f>SUMIFS(График[Возврат начисленных %],График[Дата с учетом нерабочих дней],$A1563)</f>
        <v>0</v>
      </c>
      <c r="O1563" s="101">
        <v>0</v>
      </c>
      <c r="P1563" s="100" cm="1">
        <f t="array" aca="1" ref="P1563" ca="1">MAX(IF(AA1562="Да",0,SUM(INDIRECT("M"&amp;(MAX(("Да"=AA$12:AA1562)*ROW(AA$12:AA1562)+1,ROW($P$12))&amp;":M"&amp;(ROW()))))-SUM(INDIRECT("W"&amp;(MAX(("Да"=AA$12:AA1562)*ROW(AA$12:AA1562)+1,ROW($P$12))&amp;":W"&amp;(ROW()))))),0)</f>
        <v>30212.6</v>
      </c>
      <c r="Q1563" s="99">
        <f ca="1">MAX(SUM($N$13:N1563)-SUM($T$13:T1563),0)</f>
        <v>108830.1006557377</v>
      </c>
      <c r="R1563" s="99">
        <f ca="1">Первоначальный[[#This Row],[Просроченный платеж по ОД]]+Первоначальный[[#This Row],[Просроченный платеж по процентам]]</f>
        <v>139042.70065573769</v>
      </c>
      <c r="S1563" s="120">
        <f ca="1">IF(Первоначальный[[#This Row],[Просроченный платеж]]&lt;1,0,S1562+1)</f>
        <v>1459</v>
      </c>
      <c r="T1563" s="100" cm="1">
        <f t="array" aca="1" ref="T1563" ca="1">IF(Первоначальный[[#This Row],[Итого остаток на начало периода]]&lt;1,0,
IF(
AND(TYPE(VLOOKUP(1,$Z$12:Z1563,1,0))=16,Первоначальный[[#This Row],[Досрочное погашение (да/"")]]=""),0,
_xlfn.IFS(AND(S1562=0,Первоначальный[[#This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платеж]]&lt;&gt;0),MIN(LOOKUP(,-1/($Z$12:Z1563=1),$C$12:C1563)+LOOKUP(,-1/($Z$12:Z1563=1),$H$12:H1563),Первоначальный[[#This Row],[Полученный платеж]]+Y1562),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платеж]]+Y1562,SUM(Первоначальный[[#This Row],[Остаток процентов на начало периода]],Первоначальный[[#This Row],[Проценты за период]])),
AND(S1562=0,Первоначальный[[#This Row],[Дата платежа из графика]]=""),0,
AND(S1562=0,Первоначальный[[#This Row],[Дата платежа из графика]]=1,MAX((0&lt;&gt;S$12:S1562)*ROW(S$12:S1562),ROW($S$12))&gt;=MAX((1=Z$12:Z1562)*ROW(Z$12:Z1562),ROW($T$12)),TYPE(VLOOKUP("Да",(INDIRECT("AA"&amp;(MAX((1=Z$12:Z1562)*ROW(Z$12:Z1562),ROW($T$12))&amp;":AA"&amp;(ROW()-1)))),1,0))=16),MIN(LOOKUP(,-1/($Z$12:Z1563=1),$C$12:C1563)+LOOKUP(,-1/($Z$12:Z1563=1),$H$12:H1563),Первоначальный[[#This Row],[Полученный платеж]]+Y1562),
AND(S1562=0,TYPE(VLOOKUP("Да",(INDIRECT("AA"&amp;(MAX((1=Z$12:Z1562)*ROW(Z$12:Z1562),ROW($T$12))&amp;":AA"&amp;(ROW()-1)))),1,0))&lt;&gt;16),MIN(LOOKUP(,-1/($Z$12:Z1563=1),$C$12:C1563)+LOOKUP(,-1/($Z$12:Z1563=1),$H$12:H1563)-IF(AA1562="Да",0,SUM(INDIRECT("T"&amp;(MAX(("Да"=AA$12:AA1562)*ROW(AA$12:AA1562)+1,ROW($T$12))&amp;":T"&amp;(ROW()-1))))),Первоначальный[[#This Row],[Полученный платеж]]+Y1562),
AND(S1562=0,MAX((0&lt;&gt;N$12:N1562)*ROW(N$12:N1562),ROW($S$12))&gt;=MAX((1=Z$12:Z1562)*ROW(Z$12:Z1562),ROW($T$12))),MIN(LOOKUP(,-1/($Z$12:Z1563=1),$C$12:C1563)+LOOKUP(,-1/($Z$12:Z1563=1),$H$12:H1563)-IF(N1562&lt;&gt;0,0,SUM(INDIRECT("T"&amp;(MAX((0&lt;&gt;N$12:N1562)*ROW(N$12:N1562)+1,ROW($T$12))&amp;":T"&amp;(ROW()-1))))),Первоначальный[[#This Row],[Полученный платеж]]+Y1562),
AND(S1562=0,Первоначальный[[#This Row],[Дата платежа из графика]]=1),MIN(LOOKUP(,-1/($Z$12:Z1563=1),$C$12:C1563)+LOOKUP(,-1/($Z$12:Z1563=1),$H$12:H1563)-IF(Z1562=1,0,SUM(INDIRECT("T"&amp;(MAX((1=Z$12:Z1562)*ROW(Z$12:Z1562)+1,ROW($T$12))&amp;":T"&amp;(ROW()-1))))),Первоначальный[[#This Row],[Полученный платеж]]+Y1562),
AND(Z1562&gt;0,Первоначальный[[#This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платеж]]+Y1562),
AND(S1562&gt;0,MAX((0&lt;&gt;S$12:S1562)*ROW(S$12:S1562),ROW($S$12))&gt;=MAX((1=Z$12:Z1562)*ROW(Z$12:Z1562),ROW($T$12)),TYPE(VLOOKUP("Да",(INDIRECT("AA"&amp;(MAX((1=Z$12:Z1562)*ROW(Z$12:Z1562),ROW($T$12))&amp;":AA"&amp;(ROW()-1)))),1,0))=16),MIN(LOOKUP(,-1/($Z$12:Z1563=1),$C$12:C1563)+LOOKUP(,-1/($Z$12:Z1563=1),$H$12:H1563)-SUM(INDIRECT("T"&amp;(MAX((1=Z$12:Z1562)*ROW(Z$12:Z1562),ROW($T$12))&amp;":T"&amp;(ROW()-1)))),Первоначальный[[#This Row],[Полученный платеж]]+Y1562),
S1562&gt;0,MIN(LOOKUP(,-1/($Z$12:Z1563=1),$C$12:C1563)+LOOKUP(,-1/($Z$12:Z1563=1),$H$12:H1563)-IF(Z1562=1,0,SUM(INDIRECT("T"&amp;(MAX((1=Z$12:Z1562)*ROW(Z$12:Z1562)+1,ROW($T$12))&amp;":T"&amp;(ROW()-1))))),Первоначальный[[#This Row],[Полученный платеж]]+Y1562)
)
)
)</f>
        <v>0</v>
      </c>
      <c r="U1563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платеж]]+Y1562-Первоначальный[[#This Row],[Полученный платёж по процентам]])</f>
        <v>0</v>
      </c>
      <c r="V1563" s="55">
        <f t="shared" ca="1" si="291"/>
        <v>0</v>
      </c>
      <c r="W1563" s="55" cm="1">
        <f t="array" aca="1" ref="W1563" ca="1">IF(Первоначальный[[#This Row],[Итого остаток на начало периода]]&lt;1,0,
_xlfn.IFS(
AND(TYPE(VLOOKUP(1,$Z$12:Z1563,1,0))=16,Первоначальный[[#This Row],[Досрочное погашение (да/"")]]=""),0,
AND(S1562=0,Первоначальный[[#This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платеж]]+Y1562-SUM(Первоначальный[[#This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комиссиям]]),VLOOKUP(LOOKUP(,-1/($Z$12:Z1563=1),$A$12:A1563),График[[Срок конец]:[Возврат основной суммы долга]],3,0)),
AND(S1562=0,Первоначальный[[#This Row],[Дата платежа из графика]]="",Первоначальный[[#This Row],[Досрочное погашение (да/"")]]&lt;&gt;"Да"),0,
AND(S1562=0,Первоначальный[[#This Row],[Досрочное погашение (да/"")]]=""),MIN(Первоначальный[[#This Row],[Полученный платеж]]+Y1562-SUM(Первоначальный[[#This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комиссиям]]),VLOOKUP(LOOKUP(,-1/($Z$12:Z1563=1),$A$12:A1563),График[[Срок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платеж]]+Y1562-SUM(Первоначальный[[#This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S1562&gt;0,MIN(Первоначальный[[#This Row],[Полученный платеж]]+Y1562-SUM(Первоначальный[[#This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комиссиям]]),SUM(INDIRECT("M"&amp;(MAX((1=S$12:S1562)*ROW(S$12:S1562),ROW($W$12))&amp;":M"&amp;(ROW()))))-SUM(INDIRECT("W"&amp;(MAX((1=S$12:S1562)*ROW(S$12:S1562),ROW($W$12))&amp;":W"&amp;(ROW()-1)))))
)
)</f>
        <v>0</v>
      </c>
      <c r="X1563" s="55">
        <f t="shared" ca="1" si="292"/>
        <v>0</v>
      </c>
      <c r="Y1563" s="101">
        <f t="shared" ca="1" si="299"/>
        <v>0</v>
      </c>
      <c r="Z1563" s="133" t="str">
        <f>IF(TYPE((VLOOKUP(Первоначальный[[#This Row],[Дата платежа]],График[Срок конец],1,0)))=16,"",1)</f>
        <v/>
      </c>
      <c r="AA1563" s="57"/>
      <c r="AB1563" s="134"/>
      <c r="AC1563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63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110659.82999999999</v>
      </c>
      <c r="AE1563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10719.449999999955</v>
      </c>
      <c r="AF1563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63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517843.12628360733</v>
      </c>
      <c r="AH1563" s="55"/>
      <c r="AI1563" s="55"/>
      <c r="AJ1563" s="55"/>
      <c r="AK1563" s="101">
        <f t="shared" ca="1" si="300"/>
        <v>788855.74628360732</v>
      </c>
      <c r="AL1563" s="129">
        <f t="array" ref="AL1563">MAX((УслРестрактов[Характеристика]="Дата реструктуризации")*(УслРестрактов[Значение]=Первоначальный!$A1563),0)</f>
        <v>0</v>
      </c>
    </row>
    <row r="1564" spans="1:38" x14ac:dyDescent="0.25">
      <c r="A1564" s="97">
        <f t="shared" si="293"/>
        <v>45695</v>
      </c>
      <c r="B1564" s="100">
        <f t="shared" ca="1" si="294"/>
        <v>149633.34</v>
      </c>
      <c r="C1564" s="55">
        <f t="shared" ca="1" si="290"/>
        <v>110659.82999999999</v>
      </c>
      <c r="D1564" s="55">
        <f t="shared" ca="1" si="290"/>
        <v>10719.449999999955</v>
      </c>
      <c r="E1564" s="55">
        <f t="shared" ca="1" si="295"/>
        <v>0</v>
      </c>
      <c r="F1564" s="55">
        <f t="shared" ca="1" si="296"/>
        <v>517843.12628360733</v>
      </c>
      <c r="G1564" s="101">
        <f t="shared" ca="1" si="297"/>
        <v>788855.74628360732</v>
      </c>
      <c r="H1564" s="100">
        <f ca="1">ROUND($B1564*VLOOKUP($A1564,$A$1:$B$10,2,1)/(365+IF(MOD(YEAR($A1564),4),0,1)*($A1564-$A1563)),2)-Первоначальный[[#This Row],[Проценты на просроченный платеж по ОД за период]]</f>
        <v>65.11</v>
      </c>
      <c r="I1564" s="55">
        <f t="shared" ca="1" si="298"/>
        <v>16.47</v>
      </c>
      <c r="J1564" s="55">
        <v>0</v>
      </c>
      <c r="K1564" s="55">
        <f t="shared" ca="1" si="301"/>
        <v>695.21350327868845</v>
      </c>
      <c r="L1564" s="55">
        <v>0</v>
      </c>
      <c r="M1564" s="113">
        <f>SUMIFS(График[Возврат основной суммы долга],График[Дата с учетом нерабочих дней],$A1564)</f>
        <v>0</v>
      </c>
      <c r="N1564" s="56">
        <f>SUMIFS(График[Возврат начисленных %],График[Дата с учетом нерабочих дней],$A1564)</f>
        <v>0</v>
      </c>
      <c r="O1564" s="101">
        <v>0</v>
      </c>
      <c r="P1564" s="100" cm="1">
        <f t="array" aca="1" ref="P1564" ca="1">MAX(IF(AA1563="Да",0,SUM(INDIRECT("M"&amp;(MAX(("Да"=AA$12:AA1563)*ROW(AA$12:AA1563)+1,ROW($P$12))&amp;":M"&amp;(ROW()))))-SUM(INDIRECT("W"&amp;(MAX(("Да"=AA$12:AA1563)*ROW(AA$12:AA1563)+1,ROW($P$12))&amp;":W"&amp;(ROW()))))),0)</f>
        <v>30212.6</v>
      </c>
      <c r="Q1564" s="99">
        <f ca="1">MAX(SUM($N$13:N1564)-SUM($T$13:T1564),0)</f>
        <v>108830.1006557377</v>
      </c>
      <c r="R1564" s="99">
        <f ca="1">Первоначальный[[#This Row],[Просроченный платеж по ОД]]+Первоначальный[[#This Row],[Просроченный платеж по процентам]]</f>
        <v>139042.70065573769</v>
      </c>
      <c r="S1564" s="120">
        <f ca="1">IF(Первоначальный[[#This Row],[Просроченный платеж]]&lt;1,0,S1563+1)</f>
        <v>1460</v>
      </c>
      <c r="T1564" s="100" cm="1">
        <f t="array" aca="1" ref="T1564" ca="1">IF(Первоначальный[[#This Row],[Итого остаток на начало периода]]&lt;1,0,
IF(
AND(TYPE(VLOOKUP(1,$Z$12:Z1564,1,0))=16,Первоначальный[[#This Row],[Досрочное погашение (да/"")]]=""),0,
_xlfn.IFS(AND(S1563=0,Первоначальный[[#This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платеж]]&lt;&gt;0),MIN(LOOKUP(,-1/($Z$12:Z1564=1),$C$12:C1564)+LOOKUP(,-1/($Z$12:Z1564=1),$H$12:H1564),Первоначальный[[#This Row],[Полученный платеж]]+Y1563),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платеж]]+Y1563,SUM(Первоначальный[[#This Row],[Остаток процентов на начало периода]],Первоначальный[[#This Row],[Проценты за период]])),
AND(S1563=0,Первоначальный[[#This Row],[Дата платежа из графика]]=""),0,
AND(S1563=0,Первоначальный[[#This Row],[Дата платежа из графика]]=1,MAX((0&lt;&gt;S$12:S1563)*ROW(S$12:S1563),ROW($S$12))&gt;=MAX((1=Z$12:Z1563)*ROW(Z$12:Z1563),ROW($T$12)),TYPE(VLOOKUP("Да",(INDIRECT("AA"&amp;(MAX((1=Z$12:Z1563)*ROW(Z$12:Z1563),ROW($T$12))&amp;":AA"&amp;(ROW()-1)))),1,0))=16),MIN(LOOKUP(,-1/($Z$12:Z1564=1),$C$12:C1564)+LOOKUP(,-1/($Z$12:Z1564=1),$H$12:H1564),Первоначальный[[#This Row],[Полученный платеж]]+Y1563),
AND(S1563=0,TYPE(VLOOKUP("Да",(INDIRECT("AA"&amp;(MAX((1=Z$12:Z1563)*ROW(Z$12:Z1563),ROW($T$12))&amp;":AA"&amp;(ROW()-1)))),1,0))&lt;&gt;16),MIN(LOOKUP(,-1/($Z$12:Z1564=1),$C$12:C1564)+LOOKUP(,-1/($Z$12:Z1564=1),$H$12:H1564)-IF(AA1563="Да",0,SUM(INDIRECT("T"&amp;(MAX(("Да"=AA$12:AA1563)*ROW(AA$12:AA1563)+1,ROW($T$12))&amp;":T"&amp;(ROW()-1))))),Первоначальный[[#This Row],[Полученный платеж]]+Y1563),
AND(S1563=0,MAX((0&lt;&gt;N$12:N1563)*ROW(N$12:N1563),ROW($S$12))&gt;=MAX((1=Z$12:Z1563)*ROW(Z$12:Z1563),ROW($T$12))),MIN(LOOKUP(,-1/($Z$12:Z1564=1),$C$12:C1564)+LOOKUP(,-1/($Z$12:Z1564=1),$H$12:H1564)-IF(N1563&lt;&gt;0,0,SUM(INDIRECT("T"&amp;(MAX((0&lt;&gt;N$12:N1563)*ROW(N$12:N1563)+1,ROW($T$12))&amp;":T"&amp;(ROW()-1))))),Первоначальный[[#This Row],[Полученный платеж]]+Y1563),
AND(S1563=0,Первоначальный[[#This Row],[Дата платежа из графика]]=1),MIN(LOOKUP(,-1/($Z$12:Z1564=1),$C$12:C1564)+LOOKUP(,-1/($Z$12:Z1564=1),$H$12:H1564)-IF(Z1563=1,0,SUM(INDIRECT("T"&amp;(MAX((1=Z$12:Z1563)*ROW(Z$12:Z1563)+1,ROW($T$12))&amp;":T"&amp;(ROW()-1))))),Первоначальный[[#This Row],[Полученный платеж]]+Y1563),
AND(Z1563&gt;0,Первоначальный[[#This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платеж]]+Y1563),
AND(S1563&gt;0,MAX((0&lt;&gt;S$12:S1563)*ROW(S$12:S1563),ROW($S$12))&gt;=MAX((1=Z$12:Z1563)*ROW(Z$12:Z1563),ROW($T$12)),TYPE(VLOOKUP("Да",(INDIRECT("AA"&amp;(MAX((1=Z$12:Z1563)*ROW(Z$12:Z1563),ROW($T$12))&amp;":AA"&amp;(ROW()-1)))),1,0))=16),MIN(LOOKUP(,-1/($Z$12:Z1564=1),$C$12:C1564)+LOOKUP(,-1/($Z$12:Z1564=1),$H$12:H1564)-SUM(INDIRECT("T"&amp;(MAX((1=Z$12:Z1563)*ROW(Z$12:Z1563),ROW($T$12))&amp;":T"&amp;(ROW()-1)))),Первоначальный[[#This Row],[Полученный платеж]]+Y1563),
S1563&gt;0,MIN(LOOKUP(,-1/($Z$12:Z1564=1),$C$12:C1564)+LOOKUP(,-1/($Z$12:Z1564=1),$H$12:H1564)-IF(Z1563=1,0,SUM(INDIRECT("T"&amp;(MAX((1=Z$12:Z1563)*ROW(Z$12:Z1563)+1,ROW($T$12))&amp;":T"&amp;(ROW()-1))))),Первоначальный[[#This Row],[Полученный платеж]]+Y1563)
)
)
)</f>
        <v>0</v>
      </c>
      <c r="U1564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платеж]]+Y1563-Первоначальный[[#This Row],[Полученный платёж по процентам]])</f>
        <v>0</v>
      </c>
      <c r="V1564" s="55">
        <f t="shared" ca="1" si="291"/>
        <v>0</v>
      </c>
      <c r="W1564" s="55" cm="1">
        <f t="array" aca="1" ref="W1564" ca="1">IF(Первоначальный[[#This Row],[Итого остаток на начало периода]]&lt;1,0,
_xlfn.IFS(
AND(TYPE(VLOOKUP(1,$Z$12:Z1564,1,0))=16,Первоначальный[[#This Row],[Досрочное погашение (да/"")]]=""),0,
AND(S1563=0,Первоначальный[[#This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платеж]]+Y1563-SUM(Первоначальный[[#This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комиссиям]]),VLOOKUP(LOOKUP(,-1/($Z$12:Z1564=1),$A$12:A1564),График[[Срок конец]:[Возврат основной суммы долга]],3,0)),
AND(S1563=0,Первоначальный[[#This Row],[Дата платежа из графика]]="",Первоначальный[[#This Row],[Досрочное погашение (да/"")]]&lt;&gt;"Да"),0,
AND(S1563=0,Первоначальный[[#This Row],[Досрочное погашение (да/"")]]=""),MIN(Первоначальный[[#This Row],[Полученный платеж]]+Y1563-SUM(Первоначальный[[#This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комиссиям]]),VLOOKUP(LOOKUP(,-1/($Z$12:Z1564=1),$A$12:A1564),График[[Срок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платеж]]+Y1563-SUM(Первоначальный[[#This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S1563&gt;0,MIN(Первоначальный[[#This Row],[Полученный платеж]]+Y1563-SUM(Первоначальный[[#This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комиссиям]]),SUM(INDIRECT("M"&amp;(MAX((1=S$12:S1563)*ROW(S$12:S1563),ROW($W$12))&amp;":M"&amp;(ROW()))))-SUM(INDIRECT("W"&amp;(MAX((1=S$12:S1563)*ROW(S$12:S1563),ROW($W$12))&amp;":W"&amp;(ROW()-1)))))
)
)</f>
        <v>0</v>
      </c>
      <c r="X1564" s="55">
        <f t="shared" ca="1" si="292"/>
        <v>0</v>
      </c>
      <c r="Y1564" s="101">
        <f t="shared" ca="1" si="299"/>
        <v>0</v>
      </c>
      <c r="Z1564" s="133" t="str">
        <f>IF(TYPE((VLOOKUP(Первоначальный[[#This Row],[Дата платежа]],График[Срок конец],1,0)))=16,"",1)</f>
        <v/>
      </c>
      <c r="AA1564" s="57"/>
      <c r="AB1564" s="134"/>
      <c r="AC1564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64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110724.93999999999</v>
      </c>
      <c r="AE1564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10735.919999999955</v>
      </c>
      <c r="AF1564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64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518538.339786886</v>
      </c>
      <c r="AH1564" s="55"/>
      <c r="AI1564" s="55"/>
      <c r="AJ1564" s="55"/>
      <c r="AK1564" s="101">
        <f t="shared" ca="1" si="300"/>
        <v>789632.53978688596</v>
      </c>
      <c r="AL1564" s="129">
        <f t="array" ref="AL1564">MAX((УслРестрактов[Характеристика]="Дата реструктуризации")*(УслРестрактов[Значение]=Первоначальный!$A1564),0)</f>
        <v>0</v>
      </c>
    </row>
    <row r="1565" spans="1:38" x14ac:dyDescent="0.25">
      <c r="A1565" s="97">
        <f t="shared" si="293"/>
        <v>45696</v>
      </c>
      <c r="B1565" s="100">
        <f t="shared" ca="1" si="294"/>
        <v>149633.34</v>
      </c>
      <c r="C1565" s="55">
        <f t="shared" ca="1" si="290"/>
        <v>110724.93999999999</v>
      </c>
      <c r="D1565" s="55">
        <f t="shared" ca="1" si="290"/>
        <v>10735.919999999955</v>
      </c>
      <c r="E1565" s="55">
        <f t="shared" ca="1" si="295"/>
        <v>0</v>
      </c>
      <c r="F1565" s="55">
        <f t="shared" ca="1" si="296"/>
        <v>518538.339786886</v>
      </c>
      <c r="G1565" s="101">
        <f t="shared" ca="1" si="297"/>
        <v>789632.53978688596</v>
      </c>
      <c r="H1565" s="100">
        <f ca="1">ROUND($B1565*VLOOKUP($A1565,$A$1:$B$10,2,1)/(365+IF(MOD(YEAR($A1565),4),0,1)*($A1565-$A1564)),2)-Первоначальный[[#This Row],[Проценты на просроченный платеж по ОД за период]]</f>
        <v>65.11</v>
      </c>
      <c r="I1565" s="55">
        <f t="shared" ca="1" si="298"/>
        <v>16.47</v>
      </c>
      <c r="J1565" s="55">
        <v>0</v>
      </c>
      <c r="K1565" s="55">
        <f t="shared" ca="1" si="301"/>
        <v>695.21350327868845</v>
      </c>
      <c r="L1565" s="55">
        <v>0</v>
      </c>
      <c r="M1565" s="113">
        <f>SUMIFS(График[Возврат основной суммы долга],График[Дата с учетом нерабочих дней],$A1565)</f>
        <v>0</v>
      </c>
      <c r="N1565" s="56">
        <f>SUMIFS(График[Возврат начисленных %],График[Дата с учетом нерабочих дней],$A1565)</f>
        <v>0</v>
      </c>
      <c r="O1565" s="101">
        <v>0</v>
      </c>
      <c r="P1565" s="100" cm="1">
        <f t="array" aca="1" ref="P1565" ca="1">MAX(IF(AA1564="Да",0,SUM(INDIRECT("M"&amp;(MAX(("Да"=AA$12:AA1564)*ROW(AA$12:AA1564)+1,ROW($P$12))&amp;":M"&amp;(ROW()))))-SUM(INDIRECT("W"&amp;(MAX(("Да"=AA$12:AA1564)*ROW(AA$12:AA1564)+1,ROW($P$12))&amp;":W"&amp;(ROW()))))),0)</f>
        <v>30212.6</v>
      </c>
      <c r="Q1565" s="99">
        <f ca="1">MAX(SUM($N$13:N1565)-SUM($T$13:T1565),0)</f>
        <v>108830.1006557377</v>
      </c>
      <c r="R1565" s="99">
        <f ca="1">Первоначальный[[#This Row],[Просроченный платеж по ОД]]+Первоначальный[[#This Row],[Просроченный платеж по процентам]]</f>
        <v>139042.70065573769</v>
      </c>
      <c r="S1565" s="120">
        <f ca="1">IF(Первоначальный[[#This Row],[Просроченный платеж]]&lt;1,0,S1564+1)</f>
        <v>1461</v>
      </c>
      <c r="T1565" s="100" cm="1">
        <f t="array" aca="1" ref="T1565" ca="1">IF(Первоначальный[[#This Row],[Итого остаток на начало периода]]&lt;1,0,
IF(
AND(TYPE(VLOOKUP(1,$Z$12:Z1565,1,0))=16,Первоначальный[[#This Row],[Досрочное погашение (да/"")]]=""),0,
_xlfn.IFS(AND(S1564=0,Первоначальный[[#This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платеж]]&lt;&gt;0),MIN(LOOKUP(,-1/($Z$12:Z1565=1),$C$12:C1565)+LOOKUP(,-1/($Z$12:Z1565=1),$H$12:H1565),Первоначальный[[#This Row],[Полученный платеж]]+Y1564),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платеж]]+Y1564,SUM(Первоначальный[[#This Row],[Остаток процентов на начало периода]],Первоначальный[[#This Row],[Проценты за период]])),
AND(S1564=0,Первоначальный[[#This Row],[Дата платежа из графика]]=""),0,
AND(S1564=0,Первоначальный[[#This Row],[Дата платежа из графика]]=1,MAX((0&lt;&gt;S$12:S1564)*ROW(S$12:S1564),ROW($S$12))&gt;=MAX((1=Z$12:Z1564)*ROW(Z$12:Z1564),ROW($T$12)),TYPE(VLOOKUP("Да",(INDIRECT("AA"&amp;(MAX((1=Z$12:Z1564)*ROW(Z$12:Z1564),ROW($T$12))&amp;":AA"&amp;(ROW()-1)))),1,0))=16),MIN(LOOKUP(,-1/($Z$12:Z1565=1),$C$12:C1565)+LOOKUP(,-1/($Z$12:Z1565=1),$H$12:H1565),Первоначальный[[#This Row],[Полученный платеж]]+Y1564),
AND(S1564=0,TYPE(VLOOKUP("Да",(INDIRECT("AA"&amp;(MAX((1=Z$12:Z1564)*ROW(Z$12:Z1564),ROW($T$12))&amp;":AA"&amp;(ROW()-1)))),1,0))&lt;&gt;16),MIN(LOOKUP(,-1/($Z$12:Z1565=1),$C$12:C1565)+LOOKUP(,-1/($Z$12:Z1565=1),$H$12:H1565)-IF(AA1564="Да",0,SUM(INDIRECT("T"&amp;(MAX(("Да"=AA$12:AA1564)*ROW(AA$12:AA1564)+1,ROW($T$12))&amp;":T"&amp;(ROW()-1))))),Первоначальный[[#This Row],[Полученный платеж]]+Y1564),
AND(S1564=0,MAX((0&lt;&gt;N$12:N1564)*ROW(N$12:N1564),ROW($S$12))&gt;=MAX((1=Z$12:Z1564)*ROW(Z$12:Z1564),ROW($T$12))),MIN(LOOKUP(,-1/($Z$12:Z1565=1),$C$12:C1565)+LOOKUP(,-1/($Z$12:Z1565=1),$H$12:H1565)-IF(N1564&lt;&gt;0,0,SUM(INDIRECT("T"&amp;(MAX((0&lt;&gt;N$12:N1564)*ROW(N$12:N1564)+1,ROW($T$12))&amp;":T"&amp;(ROW()-1))))),Первоначальный[[#This Row],[Полученный платеж]]+Y1564),
AND(S1564=0,Первоначальный[[#This Row],[Дата платежа из графика]]=1),MIN(LOOKUP(,-1/($Z$12:Z1565=1),$C$12:C1565)+LOOKUP(,-1/($Z$12:Z1565=1),$H$12:H1565)-IF(Z1564=1,0,SUM(INDIRECT("T"&amp;(MAX((1=Z$12:Z1564)*ROW(Z$12:Z1564)+1,ROW($T$12))&amp;":T"&amp;(ROW()-1))))),Первоначальный[[#This Row],[Полученный платеж]]+Y1564),
AND(Z1564&gt;0,Первоначальный[[#This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платеж]]+Y1564),
AND(S1564&gt;0,MAX((0&lt;&gt;S$12:S1564)*ROW(S$12:S1564),ROW($S$12))&gt;=MAX((1=Z$12:Z1564)*ROW(Z$12:Z1564),ROW($T$12)),TYPE(VLOOKUP("Да",(INDIRECT("AA"&amp;(MAX((1=Z$12:Z1564)*ROW(Z$12:Z1564),ROW($T$12))&amp;":AA"&amp;(ROW()-1)))),1,0))=16),MIN(LOOKUP(,-1/($Z$12:Z1565=1),$C$12:C1565)+LOOKUP(,-1/($Z$12:Z1565=1),$H$12:H1565)-SUM(INDIRECT("T"&amp;(MAX((1=Z$12:Z1564)*ROW(Z$12:Z1564),ROW($T$12))&amp;":T"&amp;(ROW()-1)))),Первоначальный[[#This Row],[Полученный платеж]]+Y1564),
S1564&gt;0,MIN(LOOKUP(,-1/($Z$12:Z1565=1),$C$12:C1565)+LOOKUP(,-1/($Z$12:Z1565=1),$H$12:H1565)-IF(Z1564=1,0,SUM(INDIRECT("T"&amp;(MAX((1=Z$12:Z1564)*ROW(Z$12:Z1564)+1,ROW($T$12))&amp;":T"&amp;(ROW()-1))))),Первоначальный[[#This Row],[Полученный платеж]]+Y1564)
)
)
)</f>
        <v>0</v>
      </c>
      <c r="U1565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платеж]]+Y1564-Первоначальный[[#This Row],[Полученный платёж по процентам]])</f>
        <v>0</v>
      </c>
      <c r="V1565" s="55">
        <f t="shared" ca="1" si="291"/>
        <v>0</v>
      </c>
      <c r="W1565" s="55" cm="1">
        <f t="array" aca="1" ref="W1565" ca="1">IF(Первоначальный[[#This Row],[Итого остаток на начало периода]]&lt;1,0,
_xlfn.IFS(
AND(TYPE(VLOOKUP(1,$Z$12:Z1565,1,0))=16,Первоначальный[[#This Row],[Досрочное погашение (да/"")]]=""),0,
AND(S1564=0,Первоначальный[[#This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платеж]]+Y1564-SUM(Первоначальный[[#This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комиссиям]]),VLOOKUP(LOOKUP(,-1/($Z$12:Z1565=1),$A$12:A1565),График[[Срок конец]:[Возврат основной суммы долга]],3,0)),
AND(S1564=0,Первоначальный[[#This Row],[Дата платежа из графика]]="",Первоначальный[[#This Row],[Досрочное погашение (да/"")]]&lt;&gt;"Да"),0,
AND(S1564=0,Первоначальный[[#This Row],[Досрочное погашение (да/"")]]=""),MIN(Первоначальный[[#This Row],[Полученный платеж]]+Y1564-SUM(Первоначальный[[#This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комиссиям]]),VLOOKUP(LOOKUP(,-1/($Z$12:Z1565=1),$A$12:A1565),График[[Срок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платеж]]+Y1564-SUM(Первоначальный[[#This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S1564&gt;0,MIN(Первоначальный[[#This Row],[Полученный платеж]]+Y1564-SUM(Первоначальный[[#This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комиссиям]]),SUM(INDIRECT("M"&amp;(MAX((1=S$12:S1564)*ROW(S$12:S1564),ROW($W$12))&amp;":M"&amp;(ROW()))))-SUM(INDIRECT("W"&amp;(MAX((1=S$12:S1564)*ROW(S$12:S1564),ROW($W$12))&amp;":W"&amp;(ROW()-1)))))
)
)</f>
        <v>0</v>
      </c>
      <c r="X1565" s="55">
        <f t="shared" ca="1" si="292"/>
        <v>0</v>
      </c>
      <c r="Y1565" s="101">
        <f t="shared" ca="1" si="299"/>
        <v>0</v>
      </c>
      <c r="Z1565" s="133" t="str">
        <f>IF(TYPE((VLOOKUP(Первоначальный[[#This Row],[Дата платежа]],График[Срок конец],1,0)))=16,"",1)</f>
        <v/>
      </c>
      <c r="AA1565" s="57"/>
      <c r="AB1565" s="134"/>
      <c r="AC1565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65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110790.04999999999</v>
      </c>
      <c r="AE1565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10752.389999999954</v>
      </c>
      <c r="AF1565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65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519233.55329016468</v>
      </c>
      <c r="AH1565" s="55"/>
      <c r="AI1565" s="55"/>
      <c r="AJ1565" s="55"/>
      <c r="AK1565" s="101">
        <f t="shared" ca="1" si="300"/>
        <v>790409.33329016459</v>
      </c>
      <c r="AL1565" s="129">
        <f t="array" ref="AL1565">MAX((УслРестрактов[Характеристика]="Дата реструктуризации")*(УслРестрактов[Значение]=Первоначальный!$A1565),0)</f>
        <v>0</v>
      </c>
    </row>
    <row r="1566" spans="1:38" x14ac:dyDescent="0.25">
      <c r="A1566" s="97">
        <f t="shared" si="293"/>
        <v>45697</v>
      </c>
      <c r="B1566" s="100">
        <f t="shared" ca="1" si="294"/>
        <v>149633.34</v>
      </c>
      <c r="C1566" s="55">
        <f t="shared" ca="1" si="290"/>
        <v>110790.04999999999</v>
      </c>
      <c r="D1566" s="55">
        <f t="shared" ca="1" si="290"/>
        <v>10752.389999999954</v>
      </c>
      <c r="E1566" s="55">
        <f t="shared" ca="1" si="295"/>
        <v>0</v>
      </c>
      <c r="F1566" s="55">
        <f t="shared" ca="1" si="296"/>
        <v>519233.55329016468</v>
      </c>
      <c r="G1566" s="101">
        <f t="shared" ca="1" si="297"/>
        <v>790409.33329016459</v>
      </c>
      <c r="H1566" s="100">
        <f ca="1">ROUND($B1566*VLOOKUP($A1566,$A$1:$B$10,2,1)/(365+IF(MOD(YEAR($A1566),4),0,1)*($A1566-$A1565)),2)-Первоначальный[[#This Row],[Проценты на просроченный платеж по ОД за период]]</f>
        <v>65.11</v>
      </c>
      <c r="I1566" s="55">
        <f t="shared" ca="1" si="298"/>
        <v>16.47</v>
      </c>
      <c r="J1566" s="55">
        <v>0</v>
      </c>
      <c r="K1566" s="55">
        <f t="shared" ca="1" si="301"/>
        <v>695.21350327868845</v>
      </c>
      <c r="L1566" s="55">
        <v>0</v>
      </c>
      <c r="M1566" s="113">
        <f>SUMIFS(График[Возврат основной суммы долга],График[Дата с учетом нерабочих дней],$A1566)</f>
        <v>0</v>
      </c>
      <c r="N1566" s="56">
        <f>SUMIFS(График[Возврат начисленных %],График[Дата с учетом нерабочих дней],$A1566)</f>
        <v>0</v>
      </c>
      <c r="O1566" s="101">
        <v>0</v>
      </c>
      <c r="P1566" s="100" cm="1">
        <f t="array" aca="1" ref="P1566" ca="1">MAX(IF(AA1565="Да",0,SUM(INDIRECT("M"&amp;(MAX(("Да"=AA$12:AA1565)*ROW(AA$12:AA1565)+1,ROW($P$12))&amp;":M"&amp;(ROW()))))-SUM(INDIRECT("W"&amp;(MAX(("Да"=AA$12:AA1565)*ROW(AA$12:AA1565)+1,ROW($P$12))&amp;":W"&amp;(ROW()))))),0)</f>
        <v>30212.6</v>
      </c>
      <c r="Q1566" s="99">
        <f ca="1">MAX(SUM($N$13:N1566)-SUM($T$13:T1566),0)</f>
        <v>108830.1006557377</v>
      </c>
      <c r="R1566" s="99">
        <f ca="1">Первоначальный[[#This Row],[Просроченный платеж по ОД]]+Первоначальный[[#This Row],[Просроченный платеж по процентам]]</f>
        <v>139042.70065573769</v>
      </c>
      <c r="S1566" s="120">
        <f ca="1">IF(Первоначальный[[#This Row],[Просроченный платеж]]&lt;1,0,S1565+1)</f>
        <v>1462</v>
      </c>
      <c r="T1566" s="100" cm="1">
        <f t="array" aca="1" ref="T1566" ca="1">IF(Первоначальный[[#This Row],[Итого остаток на начало периода]]&lt;1,0,
IF(
AND(TYPE(VLOOKUP(1,$Z$12:Z1566,1,0))=16,Первоначальный[[#This Row],[Досрочное погашение (да/"")]]=""),0,
_xlfn.IFS(AND(S1565=0,Первоначальный[[#This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платеж]]&lt;&gt;0),MIN(LOOKUP(,-1/($Z$12:Z1566=1),$C$12:C1566)+LOOKUP(,-1/($Z$12:Z1566=1),$H$12:H1566),Первоначальный[[#This Row],[Полученный платеж]]+Y1565),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платеж]]+Y1565,SUM(Первоначальный[[#This Row],[Остаток процентов на начало периода]],Первоначальный[[#This Row],[Проценты за период]])),
AND(S1565=0,Первоначальный[[#This Row],[Дата платежа из графика]]=""),0,
AND(S1565=0,Первоначальный[[#This Row],[Дата платежа из графика]]=1,MAX((0&lt;&gt;S$12:S1565)*ROW(S$12:S1565),ROW($S$12))&gt;=MAX((1=Z$12:Z1565)*ROW(Z$12:Z1565),ROW($T$12)),TYPE(VLOOKUP("Да",(INDIRECT("AA"&amp;(MAX((1=Z$12:Z1565)*ROW(Z$12:Z1565),ROW($T$12))&amp;":AA"&amp;(ROW()-1)))),1,0))=16),MIN(LOOKUP(,-1/($Z$12:Z1566=1),$C$12:C1566)+LOOKUP(,-1/($Z$12:Z1566=1),$H$12:H1566),Первоначальный[[#This Row],[Полученный платеж]]+Y1565),
AND(S1565=0,TYPE(VLOOKUP("Да",(INDIRECT("AA"&amp;(MAX((1=Z$12:Z1565)*ROW(Z$12:Z1565),ROW($T$12))&amp;":AA"&amp;(ROW()-1)))),1,0))&lt;&gt;16),MIN(LOOKUP(,-1/($Z$12:Z1566=1),$C$12:C1566)+LOOKUP(,-1/($Z$12:Z1566=1),$H$12:H1566)-IF(AA1565="Да",0,SUM(INDIRECT("T"&amp;(MAX(("Да"=AA$12:AA1565)*ROW(AA$12:AA1565)+1,ROW($T$12))&amp;":T"&amp;(ROW()-1))))),Первоначальный[[#This Row],[Полученный платеж]]+Y1565),
AND(S1565=0,MAX((0&lt;&gt;N$12:N1565)*ROW(N$12:N1565),ROW($S$12))&gt;=MAX((1=Z$12:Z1565)*ROW(Z$12:Z1565),ROW($T$12))),MIN(LOOKUP(,-1/($Z$12:Z1566=1),$C$12:C1566)+LOOKUP(,-1/($Z$12:Z1566=1),$H$12:H1566)-IF(N1565&lt;&gt;0,0,SUM(INDIRECT("T"&amp;(MAX((0&lt;&gt;N$12:N1565)*ROW(N$12:N1565)+1,ROW($T$12))&amp;":T"&amp;(ROW()-1))))),Первоначальный[[#This Row],[Полученный платеж]]+Y1565),
AND(S1565=0,Первоначальный[[#This Row],[Дата платежа из графика]]=1),MIN(LOOKUP(,-1/($Z$12:Z1566=1),$C$12:C1566)+LOOKUP(,-1/($Z$12:Z1566=1),$H$12:H1566)-IF(Z1565=1,0,SUM(INDIRECT("T"&amp;(MAX((1=Z$12:Z1565)*ROW(Z$12:Z1565)+1,ROW($T$12))&amp;":T"&amp;(ROW()-1))))),Первоначальный[[#This Row],[Полученный платеж]]+Y1565),
AND(Z1565&gt;0,Первоначальный[[#This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платеж]]+Y1565),
AND(S1565&gt;0,MAX((0&lt;&gt;S$12:S1565)*ROW(S$12:S1565),ROW($S$12))&gt;=MAX((1=Z$12:Z1565)*ROW(Z$12:Z1565),ROW($T$12)),TYPE(VLOOKUP("Да",(INDIRECT("AA"&amp;(MAX((1=Z$12:Z1565)*ROW(Z$12:Z1565),ROW($T$12))&amp;":AA"&amp;(ROW()-1)))),1,0))=16),MIN(LOOKUP(,-1/($Z$12:Z1566=1),$C$12:C1566)+LOOKUP(,-1/($Z$12:Z1566=1),$H$12:H1566)-SUM(INDIRECT("T"&amp;(MAX((1=Z$12:Z1565)*ROW(Z$12:Z1565),ROW($T$12))&amp;":T"&amp;(ROW()-1)))),Первоначальный[[#This Row],[Полученный платеж]]+Y1565),
S1565&gt;0,MIN(LOOKUP(,-1/($Z$12:Z1566=1),$C$12:C1566)+LOOKUP(,-1/($Z$12:Z1566=1),$H$12:H1566)-IF(Z1565=1,0,SUM(INDIRECT("T"&amp;(MAX((1=Z$12:Z1565)*ROW(Z$12:Z1565)+1,ROW($T$12))&amp;":T"&amp;(ROW()-1))))),Первоначальный[[#This Row],[Полученный платеж]]+Y1565)
)
)
)</f>
        <v>0</v>
      </c>
      <c r="U1566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платеж]]+Y1565-Первоначальный[[#This Row],[Полученный платёж по процентам]])</f>
        <v>0</v>
      </c>
      <c r="V1566" s="55">
        <f t="shared" ca="1" si="291"/>
        <v>0</v>
      </c>
      <c r="W1566" s="55" cm="1">
        <f t="array" aca="1" ref="W1566" ca="1">IF(Первоначальный[[#This Row],[Итого остаток на начало периода]]&lt;1,0,
_xlfn.IFS(
AND(TYPE(VLOOKUP(1,$Z$12:Z1566,1,0))=16,Первоначальный[[#This Row],[Досрочное погашение (да/"")]]=""),0,
AND(S1565=0,Первоначальный[[#This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платеж]]+Y1565-SUM(Первоначальный[[#This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комиссиям]]),VLOOKUP(LOOKUP(,-1/($Z$12:Z1566=1),$A$12:A1566),График[[Срок конец]:[Возврат основной суммы долга]],3,0)),
AND(S1565=0,Первоначальный[[#This Row],[Дата платежа из графика]]="",Первоначальный[[#This Row],[Досрочное погашение (да/"")]]&lt;&gt;"Да"),0,
AND(S1565=0,Первоначальный[[#This Row],[Досрочное погашение (да/"")]]=""),MIN(Первоначальный[[#This Row],[Полученный платеж]]+Y1565-SUM(Первоначальный[[#This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комиссиям]]),VLOOKUP(LOOKUP(,-1/($Z$12:Z1566=1),$A$12:A1566),График[[Срок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платеж]]+Y1565-SUM(Первоначальный[[#This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S1565&gt;0,MIN(Первоначальный[[#This Row],[Полученный платеж]]+Y1565-SUM(Первоначальный[[#This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комиссиям]]),SUM(INDIRECT("M"&amp;(MAX((1=S$12:S1565)*ROW(S$12:S1565),ROW($W$12))&amp;":M"&amp;(ROW()))))-SUM(INDIRECT("W"&amp;(MAX((1=S$12:S1565)*ROW(S$12:S1565),ROW($W$12))&amp;":W"&amp;(ROW()-1)))))
)
)</f>
        <v>0</v>
      </c>
      <c r="X1566" s="55">
        <f t="shared" ca="1" si="292"/>
        <v>0</v>
      </c>
      <c r="Y1566" s="101">
        <f t="shared" ca="1" si="299"/>
        <v>0</v>
      </c>
      <c r="Z1566" s="133">
        <f>IF(TYPE((VLOOKUP(Первоначальный[[#This Row],[Дата платежа]],График[Срок конец],1,0)))=16,"",1)</f>
        <v>1</v>
      </c>
      <c r="AA1566" s="57"/>
      <c r="AB1566" s="134"/>
      <c r="AC1566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66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110855.15999999999</v>
      </c>
      <c r="AE1566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10768.859999999953</v>
      </c>
      <c r="AF1566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66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519928.76679344336</v>
      </c>
      <c r="AH1566" s="55"/>
      <c r="AI1566" s="55"/>
      <c r="AJ1566" s="55"/>
      <c r="AK1566" s="101">
        <f t="shared" ca="1" si="300"/>
        <v>791186.12679344323</v>
      </c>
      <c r="AL1566" s="129">
        <f t="array" ref="AL1566">MAX((УслРестрактов[Характеристика]="Дата реструктуризации")*(УслРестрактов[Значение]=Первоначальный!$A1566),0)</f>
        <v>0</v>
      </c>
    </row>
    <row r="1567" spans="1:38" x14ac:dyDescent="0.25">
      <c r="A1567" s="97">
        <f t="shared" si="293"/>
        <v>45698</v>
      </c>
      <c r="B1567" s="100">
        <f t="shared" ca="1" si="294"/>
        <v>149633.34</v>
      </c>
      <c r="C1567" s="55">
        <f t="shared" ca="1" si="290"/>
        <v>110855.15999999999</v>
      </c>
      <c r="D1567" s="55">
        <f t="shared" ca="1" si="290"/>
        <v>10768.859999999953</v>
      </c>
      <c r="E1567" s="55">
        <f t="shared" ca="1" si="295"/>
        <v>0</v>
      </c>
      <c r="F1567" s="55">
        <f t="shared" ca="1" si="296"/>
        <v>519928.76679344336</v>
      </c>
      <c r="G1567" s="101">
        <f t="shared" ca="1" si="297"/>
        <v>791186.12679344323</v>
      </c>
      <c r="H1567" s="100">
        <f ca="1">ROUND($B1567*VLOOKUP($A1567,$A$1:$B$10,2,1)/(365+IF(MOD(YEAR($A1567),4),0,1)*($A1567-$A1566)),2)-Первоначальный[[#This Row],[Проценты на просроченный платеж по ОД за период]]</f>
        <v>65.11</v>
      </c>
      <c r="I1567" s="55">
        <f t="shared" ca="1" si="298"/>
        <v>16.47</v>
      </c>
      <c r="J1567" s="55">
        <v>0</v>
      </c>
      <c r="K1567" s="55">
        <f t="shared" ca="1" si="301"/>
        <v>709.69850327868846</v>
      </c>
      <c r="L1567" s="55">
        <v>0</v>
      </c>
      <c r="M1567" s="113">
        <f>SUMIFS(График[Возврат основной суммы долга],График[Дата с учетом нерабочих дней],$A1567)</f>
        <v>878.63000000000011</v>
      </c>
      <c r="N1567" s="56">
        <f>SUMIFS(График[Возврат начисленных %],График[Дата с учетом нерабочих дней],$A1567)</f>
        <v>2018.37</v>
      </c>
      <c r="O1567" s="101">
        <v>0</v>
      </c>
      <c r="P1567" s="100" cm="1">
        <f t="array" aca="1" ref="P1567" ca="1">MAX(IF(AA1566="Да",0,SUM(INDIRECT("M"&amp;(MAX(("Да"=AA$12:AA1566)*ROW(AA$12:AA1566)+1,ROW($P$12))&amp;":M"&amp;(ROW()))))-SUM(INDIRECT("W"&amp;(MAX(("Да"=AA$12:AA1566)*ROW(AA$12:AA1566)+1,ROW($P$12))&amp;":W"&amp;(ROW()))))),0)</f>
        <v>31091.23</v>
      </c>
      <c r="Q1567" s="99">
        <f ca="1">MAX(SUM($N$13:N1567)-SUM($T$13:T1567),0)</f>
        <v>110848.47065573769</v>
      </c>
      <c r="R1567" s="99">
        <f ca="1">Первоначальный[[#This Row],[Просроченный платеж по ОД]]+Первоначальный[[#This Row],[Просроченный платеж по процентам]]</f>
        <v>141939.70065573769</v>
      </c>
      <c r="S1567" s="120">
        <f ca="1">IF(Первоначальный[[#This Row],[Просроченный платеж]]&lt;1,0,S1566+1)</f>
        <v>1463</v>
      </c>
      <c r="T1567" s="100" cm="1">
        <f t="array" aca="1" ref="T1567" ca="1">IF(Первоначальный[[#This Row],[Итого остаток на начало периода]]&lt;1,0,
IF(
AND(TYPE(VLOOKUP(1,$Z$12:Z1567,1,0))=16,Первоначальный[[#This Row],[Досрочное погашение (да/"")]]=""),0,
_xlfn.IFS(AND(S1566=0,Первоначальный[[#This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платеж]]&lt;&gt;0),MIN(LOOKUP(,-1/($Z$12:Z1567=1),$C$12:C1567)+LOOKUP(,-1/($Z$12:Z1567=1),$H$12:H1567),Первоначальный[[#This Row],[Полученный платеж]]+Y1566),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платеж]]+Y1566,SUM(Первоначальный[[#This Row],[Остаток процентов на начало периода]],Первоначальный[[#This Row],[Проценты за период]])),
AND(S1566=0,Первоначальный[[#This Row],[Дата платежа из графика]]=""),0,
AND(S1566=0,Первоначальный[[#This Row],[Дата платежа из графика]]=1,MAX((0&lt;&gt;S$12:S1566)*ROW(S$12:S1566),ROW($S$12))&gt;=MAX((1=Z$12:Z1566)*ROW(Z$12:Z1566),ROW($T$12)),TYPE(VLOOKUP("Да",(INDIRECT("AA"&amp;(MAX((1=Z$12:Z1566)*ROW(Z$12:Z1566),ROW($T$12))&amp;":AA"&amp;(ROW()-1)))),1,0))=16),MIN(LOOKUP(,-1/($Z$12:Z1567=1),$C$12:C1567)+LOOKUP(,-1/($Z$12:Z1567=1),$H$12:H1567),Первоначальный[[#This Row],[Полученный платеж]]+Y1566),
AND(S1566=0,TYPE(VLOOKUP("Да",(INDIRECT("AA"&amp;(MAX((1=Z$12:Z1566)*ROW(Z$12:Z1566),ROW($T$12))&amp;":AA"&amp;(ROW()-1)))),1,0))&lt;&gt;16),MIN(LOOKUP(,-1/($Z$12:Z1567=1),$C$12:C1567)+LOOKUP(,-1/($Z$12:Z1567=1),$H$12:H1567)-IF(AA1566="Да",0,SUM(INDIRECT("T"&amp;(MAX(("Да"=AA$12:AA1566)*ROW(AA$12:AA1566)+1,ROW($T$12))&amp;":T"&amp;(ROW()-1))))),Первоначальный[[#This Row],[Полученный платеж]]+Y1566),
AND(S1566=0,MAX((0&lt;&gt;N$12:N1566)*ROW(N$12:N1566),ROW($S$12))&gt;=MAX((1=Z$12:Z1566)*ROW(Z$12:Z1566),ROW($T$12))),MIN(LOOKUP(,-1/($Z$12:Z1567=1),$C$12:C1567)+LOOKUP(,-1/($Z$12:Z1567=1),$H$12:H1567)-IF(N1566&lt;&gt;0,0,SUM(INDIRECT("T"&amp;(MAX((0&lt;&gt;N$12:N1566)*ROW(N$12:N1566)+1,ROW($T$12))&amp;":T"&amp;(ROW()-1))))),Первоначальный[[#This Row],[Полученный платеж]]+Y1566),
AND(S1566=0,Первоначальный[[#This Row],[Дата платежа из графика]]=1),MIN(LOOKUP(,-1/($Z$12:Z1567=1),$C$12:C1567)+LOOKUP(,-1/($Z$12:Z1567=1),$H$12:H1567)-IF(Z1566=1,0,SUM(INDIRECT("T"&amp;(MAX((1=Z$12:Z1566)*ROW(Z$12:Z1566)+1,ROW($T$12))&amp;":T"&amp;(ROW()-1))))),Первоначальный[[#This Row],[Полученный платеж]]+Y1566),
AND(Z1566&gt;0,Первоначальный[[#This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платеж]]+Y1566),
AND(S1566&gt;0,MAX((0&lt;&gt;S$12:S1566)*ROW(S$12:S1566),ROW($S$12))&gt;=MAX((1=Z$12:Z1566)*ROW(Z$12:Z1566),ROW($T$12)),TYPE(VLOOKUP("Да",(INDIRECT("AA"&amp;(MAX((1=Z$12:Z1566)*ROW(Z$12:Z1566),ROW($T$12))&amp;":AA"&amp;(ROW()-1)))),1,0))=16),MIN(LOOKUP(,-1/($Z$12:Z1567=1),$C$12:C1567)+LOOKUP(,-1/($Z$12:Z1567=1),$H$12:H1567)-SUM(INDIRECT("T"&amp;(MAX((1=Z$12:Z1566)*ROW(Z$12:Z1566),ROW($T$12))&amp;":T"&amp;(ROW()-1)))),Первоначальный[[#This Row],[Полученный платеж]]+Y1566),
S1566&gt;0,MIN(LOOKUP(,-1/($Z$12:Z1567=1),$C$12:C1567)+LOOKUP(,-1/($Z$12:Z1567=1),$H$12:H1567)-IF(Z1566=1,0,SUM(INDIRECT("T"&amp;(MAX((1=Z$12:Z1566)*ROW(Z$12:Z1566)+1,ROW($T$12))&amp;":T"&amp;(ROW()-1))))),Первоначальный[[#This Row],[Полученный платеж]]+Y1566)
)
)
)</f>
        <v>0</v>
      </c>
      <c r="U1567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платеж]]+Y1566-Первоначальный[[#This Row],[Полученный платёж по процентам]])</f>
        <v>0</v>
      </c>
      <c r="V1567" s="55">
        <f t="shared" ca="1" si="291"/>
        <v>0</v>
      </c>
      <c r="W1567" s="55" cm="1">
        <f t="array" aca="1" ref="W1567" ca="1">IF(Первоначальный[[#This Row],[Итого остаток на начало периода]]&lt;1,0,
_xlfn.IFS(
AND(TYPE(VLOOKUP(1,$Z$12:Z1567,1,0))=16,Первоначальный[[#This Row],[Досрочное погашение (да/"")]]=""),0,
AND(S1566=0,Первоначальный[[#This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платеж]]+Y1566-SUM(Первоначальный[[#This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комиссиям]]),VLOOKUP(LOOKUP(,-1/($Z$12:Z1567=1),$A$12:A1567),График[[Срок конец]:[Возврат основной суммы долга]],3,0)),
AND(S1566=0,Первоначальный[[#This Row],[Дата платежа из графика]]="",Первоначальный[[#This Row],[Досрочное погашение (да/"")]]&lt;&gt;"Да"),0,
AND(S1566=0,Первоначальный[[#This Row],[Досрочное погашение (да/"")]]=""),MIN(Первоначальный[[#This Row],[Полученный платеж]]+Y1566-SUM(Первоначальный[[#This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комиссиям]]),VLOOKUP(LOOKUP(,-1/($Z$12:Z1567=1),$A$12:A1567),График[[Срок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платеж]]+Y1566-SUM(Первоначальный[[#This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S1566&gt;0,MIN(Первоначальный[[#This Row],[Полученный платеж]]+Y1566-SUM(Первоначальный[[#This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комиссиям]]),SUM(INDIRECT("M"&amp;(MAX((1=S$12:S1566)*ROW(S$12:S1566),ROW($W$12))&amp;":M"&amp;(ROW()))))-SUM(INDIRECT("W"&amp;(MAX((1=S$12:S1566)*ROW(S$12:S1566),ROW($W$12))&amp;":W"&amp;(ROW()-1)))))
)
)</f>
        <v>0</v>
      </c>
      <c r="X1567" s="55">
        <f t="shared" ca="1" si="292"/>
        <v>0</v>
      </c>
      <c r="Y1567" s="101">
        <f t="shared" ca="1" si="299"/>
        <v>0</v>
      </c>
      <c r="Z1567" s="133" t="str">
        <f>IF(TYPE((VLOOKUP(Первоначальный[[#This Row],[Дата платежа]],График[Срок конец],1,0)))=16,"",1)</f>
        <v/>
      </c>
      <c r="AA1567" s="57"/>
      <c r="AB1567" s="134"/>
      <c r="AC1567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67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110920.26999999999</v>
      </c>
      <c r="AE1567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10785.329999999953</v>
      </c>
      <c r="AF1567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67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520638.46529672202</v>
      </c>
      <c r="AH1567" s="55"/>
      <c r="AI1567" s="55"/>
      <c r="AJ1567" s="55"/>
      <c r="AK1567" s="101">
        <f t="shared" ca="1" si="300"/>
        <v>791977.40529672196</v>
      </c>
      <c r="AL1567" s="129">
        <f t="array" ref="AL1567">MAX((УслРестрактов[Характеристика]="Дата реструктуризации")*(УслРестрактов[Значение]=Первоначальный!$A1567),0)</f>
        <v>0</v>
      </c>
    </row>
    <row r="1568" spans="1:38" x14ac:dyDescent="0.25">
      <c r="A1568" s="97">
        <f t="shared" si="293"/>
        <v>45699</v>
      </c>
      <c r="B1568" s="100">
        <f t="shared" ca="1" si="294"/>
        <v>149633.34</v>
      </c>
      <c r="C1568" s="55">
        <f t="shared" ca="1" si="290"/>
        <v>110920.26999999999</v>
      </c>
      <c r="D1568" s="55">
        <f t="shared" ca="1" si="290"/>
        <v>10785.329999999953</v>
      </c>
      <c r="E1568" s="55">
        <f t="shared" ca="1" si="295"/>
        <v>0</v>
      </c>
      <c r="F1568" s="55">
        <f t="shared" ca="1" si="296"/>
        <v>520638.46529672202</v>
      </c>
      <c r="G1568" s="101">
        <f t="shared" ca="1" si="297"/>
        <v>791977.40529672196</v>
      </c>
      <c r="H1568" s="100">
        <f ca="1">ROUND($B1568*VLOOKUP($A1568,$A$1:$B$10,2,1)/(365+IF(MOD(YEAR($A1568),4),0,1)*($A1568-$A1567)),2)-Первоначальный[[#This Row],[Проценты на просроченный платеж по ОД за период]]</f>
        <v>64.63</v>
      </c>
      <c r="I1568" s="55">
        <f t="shared" ca="1" si="298"/>
        <v>16.95</v>
      </c>
      <c r="J1568" s="55">
        <v>0</v>
      </c>
      <c r="K1568" s="55">
        <f t="shared" ca="1" si="301"/>
        <v>709.69850327868846</v>
      </c>
      <c r="L1568" s="55">
        <v>0</v>
      </c>
      <c r="M1568" s="113">
        <f>SUMIFS(График[Возврат основной суммы долга],График[Дата с учетом нерабочих дней],$A1568)</f>
        <v>0</v>
      </c>
      <c r="N1568" s="56">
        <f>SUMIFS(График[Возврат начисленных %],График[Дата с учетом нерабочих дней],$A1568)</f>
        <v>0</v>
      </c>
      <c r="O1568" s="101">
        <v>0</v>
      </c>
      <c r="P1568" s="100" cm="1">
        <f t="array" aca="1" ref="P1568" ca="1">MAX(IF(AA1567="Да",0,SUM(INDIRECT("M"&amp;(MAX(("Да"=AA$12:AA1567)*ROW(AA$12:AA1567)+1,ROW($P$12))&amp;":M"&amp;(ROW()))))-SUM(INDIRECT("W"&amp;(MAX(("Да"=AA$12:AA1567)*ROW(AA$12:AA1567)+1,ROW($P$12))&amp;":W"&amp;(ROW()))))),0)</f>
        <v>31091.23</v>
      </c>
      <c r="Q1568" s="99">
        <f ca="1">MAX(SUM($N$13:N1568)-SUM($T$13:T1568),0)</f>
        <v>110848.47065573769</v>
      </c>
      <c r="R1568" s="99">
        <f ca="1">Первоначальный[[#This Row],[Просроченный платеж по ОД]]+Первоначальный[[#This Row],[Просроченный платеж по процентам]]</f>
        <v>141939.70065573769</v>
      </c>
      <c r="S1568" s="120">
        <f ca="1">IF(Первоначальный[[#This Row],[Просроченный платеж]]&lt;1,0,S1567+1)</f>
        <v>1464</v>
      </c>
      <c r="T1568" s="100" cm="1">
        <f t="array" aca="1" ref="T1568" ca="1">IF(Первоначальный[[#This Row],[Итого остаток на начало периода]]&lt;1,0,
IF(
AND(TYPE(VLOOKUP(1,$Z$12:Z1568,1,0))=16,Первоначальный[[#This Row],[Досрочное погашение (да/"")]]=""),0,
_xlfn.IFS(AND(S1567=0,Первоначальный[[#This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платеж]]&lt;&gt;0),MIN(LOOKUP(,-1/($Z$12:Z1568=1),$C$12:C1568)+LOOKUP(,-1/($Z$12:Z1568=1),$H$12:H1568),Первоначальный[[#This Row],[Полученный платеж]]+Y1567),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платеж]]+Y1567,SUM(Первоначальный[[#This Row],[Остаток процентов на начало периода]],Первоначальный[[#This Row],[Проценты за период]])),
AND(S1567=0,Первоначальный[[#This Row],[Дата платежа из графика]]=""),0,
AND(S1567=0,Первоначальный[[#This Row],[Дата платежа из графика]]=1,MAX((0&lt;&gt;S$12:S1567)*ROW(S$12:S1567),ROW($S$12))&gt;=MAX((1=Z$12:Z1567)*ROW(Z$12:Z1567),ROW($T$12)),TYPE(VLOOKUP("Да",(INDIRECT("AA"&amp;(MAX((1=Z$12:Z1567)*ROW(Z$12:Z1567),ROW($T$12))&amp;":AA"&amp;(ROW()-1)))),1,0))=16),MIN(LOOKUP(,-1/($Z$12:Z1568=1),$C$12:C1568)+LOOKUP(,-1/($Z$12:Z1568=1),$H$12:H1568),Первоначальный[[#This Row],[Полученный платеж]]+Y1567),
AND(S1567=0,TYPE(VLOOKUP("Да",(INDIRECT("AA"&amp;(MAX((1=Z$12:Z1567)*ROW(Z$12:Z1567),ROW($T$12))&amp;":AA"&amp;(ROW()-1)))),1,0))&lt;&gt;16),MIN(LOOKUP(,-1/($Z$12:Z1568=1),$C$12:C1568)+LOOKUP(,-1/($Z$12:Z1568=1),$H$12:H1568)-IF(AA1567="Да",0,SUM(INDIRECT("T"&amp;(MAX(("Да"=AA$12:AA1567)*ROW(AA$12:AA1567)+1,ROW($T$12))&amp;":T"&amp;(ROW()-1))))),Первоначальный[[#This Row],[Полученный платеж]]+Y1567),
AND(S1567=0,MAX((0&lt;&gt;N$12:N1567)*ROW(N$12:N1567),ROW($S$12))&gt;=MAX((1=Z$12:Z1567)*ROW(Z$12:Z1567),ROW($T$12))),MIN(LOOKUP(,-1/($Z$12:Z1568=1),$C$12:C1568)+LOOKUP(,-1/($Z$12:Z1568=1),$H$12:H1568)-IF(N1567&lt;&gt;0,0,SUM(INDIRECT("T"&amp;(MAX((0&lt;&gt;N$12:N1567)*ROW(N$12:N1567)+1,ROW($T$12))&amp;":T"&amp;(ROW()-1))))),Первоначальный[[#This Row],[Полученный платеж]]+Y1567),
AND(S1567=0,Первоначальный[[#This Row],[Дата платежа из графика]]=1),MIN(LOOKUP(,-1/($Z$12:Z1568=1),$C$12:C1568)+LOOKUP(,-1/($Z$12:Z1568=1),$H$12:H1568)-IF(Z1567=1,0,SUM(INDIRECT("T"&amp;(MAX((1=Z$12:Z1567)*ROW(Z$12:Z1567)+1,ROW($T$12))&amp;":T"&amp;(ROW()-1))))),Первоначальный[[#This Row],[Полученный платеж]]+Y1567),
AND(Z1567&gt;0,Первоначальный[[#This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платеж]]+Y1567),
AND(S1567&gt;0,MAX((0&lt;&gt;S$12:S1567)*ROW(S$12:S1567),ROW($S$12))&gt;=MAX((1=Z$12:Z1567)*ROW(Z$12:Z1567),ROW($T$12)),TYPE(VLOOKUP("Да",(INDIRECT("AA"&amp;(MAX((1=Z$12:Z1567)*ROW(Z$12:Z1567),ROW($T$12))&amp;":AA"&amp;(ROW()-1)))),1,0))=16),MIN(LOOKUP(,-1/($Z$12:Z1568=1),$C$12:C1568)+LOOKUP(,-1/($Z$12:Z1568=1),$H$12:H1568)-SUM(INDIRECT("T"&amp;(MAX((1=Z$12:Z1567)*ROW(Z$12:Z1567),ROW($T$12))&amp;":T"&amp;(ROW()-1)))),Первоначальный[[#This Row],[Полученный платеж]]+Y1567),
S1567&gt;0,MIN(LOOKUP(,-1/($Z$12:Z1568=1),$C$12:C1568)+LOOKUP(,-1/($Z$12:Z1568=1),$H$12:H1568)-IF(Z1567=1,0,SUM(INDIRECT("T"&amp;(MAX((1=Z$12:Z1567)*ROW(Z$12:Z1567)+1,ROW($T$12))&amp;":T"&amp;(ROW()-1))))),Первоначальный[[#This Row],[Полученный платеж]]+Y1567)
)
)
)</f>
        <v>0</v>
      </c>
      <c r="U1568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платеж]]+Y1567-Первоначальный[[#This Row],[Полученный платёж по процентам]])</f>
        <v>0</v>
      </c>
      <c r="V1568" s="55">
        <f t="shared" ca="1" si="291"/>
        <v>0</v>
      </c>
      <c r="W1568" s="55" cm="1">
        <f t="array" aca="1" ref="W1568" ca="1">IF(Первоначальный[[#This Row],[Итого остаток на начало периода]]&lt;1,0,
_xlfn.IFS(
AND(TYPE(VLOOKUP(1,$Z$12:Z1568,1,0))=16,Первоначальный[[#This Row],[Досрочное погашение (да/"")]]=""),0,
AND(S1567=0,Первоначальный[[#This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платеж]]+Y1567-SUM(Первоначальный[[#This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комиссиям]]),VLOOKUP(LOOKUP(,-1/($Z$12:Z1568=1),$A$12:A1568),График[[Срок конец]:[Возврат основной суммы долга]],3,0)),
AND(S1567=0,Первоначальный[[#This Row],[Дата платежа из графика]]="",Первоначальный[[#This Row],[Досрочное погашение (да/"")]]&lt;&gt;"Да"),0,
AND(S1567=0,Первоначальный[[#This Row],[Досрочное погашение (да/"")]]=""),MIN(Первоначальный[[#This Row],[Полученный платеж]]+Y1567-SUM(Первоначальный[[#This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комиссиям]]),VLOOKUP(LOOKUP(,-1/($Z$12:Z1568=1),$A$12:A1568),График[[Срок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платеж]]+Y1567-SUM(Первоначальный[[#This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S1567&gt;0,MIN(Первоначальный[[#This Row],[Полученный платеж]]+Y1567-SUM(Первоначальный[[#This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комиссиям]]),SUM(INDIRECT("M"&amp;(MAX((1=S$12:S1567)*ROW(S$12:S1567),ROW($W$12))&amp;":M"&amp;(ROW()))))-SUM(INDIRECT("W"&amp;(MAX((1=S$12:S1567)*ROW(S$12:S1567),ROW($W$12))&amp;":W"&amp;(ROW()-1)))))
)
)</f>
        <v>0</v>
      </c>
      <c r="X1568" s="55">
        <f t="shared" ca="1" si="292"/>
        <v>0</v>
      </c>
      <c r="Y1568" s="101">
        <f t="shared" ca="1" si="299"/>
        <v>0</v>
      </c>
      <c r="Z1568" s="133" t="str">
        <f>IF(TYPE((VLOOKUP(Первоначальный[[#This Row],[Дата платежа]],График[Срок конец],1,0)))=16,"",1)</f>
        <v/>
      </c>
      <c r="AA1568" s="57"/>
      <c r="AB1568" s="134"/>
      <c r="AC1568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68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110984.9</v>
      </c>
      <c r="AE1568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10802.279999999953</v>
      </c>
      <c r="AF1568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68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521348.16380000068</v>
      </c>
      <c r="AH1568" s="55"/>
      <c r="AI1568" s="55"/>
      <c r="AJ1568" s="55"/>
      <c r="AK1568" s="101">
        <f t="shared" ca="1" si="300"/>
        <v>792768.6838000007</v>
      </c>
      <c r="AL1568" s="129">
        <f t="array" ref="AL1568">MAX((УслРестрактов[Характеристика]="Дата реструктуризации")*(УслРестрактов[Значение]=Первоначальный!$A1568),0)</f>
        <v>0</v>
      </c>
    </row>
    <row r="1569" spans="1:38" x14ac:dyDescent="0.25">
      <c r="A1569" s="97">
        <f t="shared" si="293"/>
        <v>45700</v>
      </c>
      <c r="B1569" s="100">
        <f t="shared" ca="1" si="294"/>
        <v>149633.34</v>
      </c>
      <c r="C1569" s="55">
        <f t="shared" ca="1" si="290"/>
        <v>110984.9</v>
      </c>
      <c r="D1569" s="55">
        <f t="shared" ca="1" si="290"/>
        <v>10802.279999999953</v>
      </c>
      <c r="E1569" s="55">
        <f t="shared" ca="1" si="295"/>
        <v>0</v>
      </c>
      <c r="F1569" s="55">
        <f t="shared" ca="1" si="296"/>
        <v>521348.16380000068</v>
      </c>
      <c r="G1569" s="101">
        <f t="shared" ca="1" si="297"/>
        <v>792768.6838000007</v>
      </c>
      <c r="H1569" s="100">
        <f ca="1">ROUND($B1569*VLOOKUP($A1569,$A$1:$B$10,2,1)/(365+IF(MOD(YEAR($A1569),4),0,1)*($A1569-$A1568)),2)-Первоначальный[[#This Row],[Проценты на просроченный платеж по ОД за период]]</f>
        <v>64.63</v>
      </c>
      <c r="I1569" s="55">
        <f t="shared" ca="1" si="298"/>
        <v>16.95</v>
      </c>
      <c r="J1569" s="55">
        <v>0</v>
      </c>
      <c r="K1569" s="55">
        <f t="shared" ca="1" si="301"/>
        <v>709.69850327868846</v>
      </c>
      <c r="L1569" s="55">
        <v>0</v>
      </c>
      <c r="M1569" s="113">
        <f>SUMIFS(График[Возврат основной суммы долга],График[Дата с учетом нерабочих дней],$A1569)</f>
        <v>0</v>
      </c>
      <c r="N1569" s="56">
        <f>SUMIFS(График[Возврат начисленных %],График[Дата с учетом нерабочих дней],$A1569)</f>
        <v>0</v>
      </c>
      <c r="O1569" s="101">
        <v>0</v>
      </c>
      <c r="P1569" s="100" cm="1">
        <f t="array" aca="1" ref="P1569" ca="1">MAX(IF(AA1568="Да",0,SUM(INDIRECT("M"&amp;(MAX(("Да"=AA$12:AA1568)*ROW(AA$12:AA1568)+1,ROW($P$12))&amp;":M"&amp;(ROW()))))-SUM(INDIRECT("W"&amp;(MAX(("Да"=AA$12:AA1568)*ROW(AA$12:AA1568)+1,ROW($P$12))&amp;":W"&amp;(ROW()))))),0)</f>
        <v>31091.23</v>
      </c>
      <c r="Q1569" s="99">
        <f ca="1">MAX(SUM($N$13:N1569)-SUM($T$13:T1569),0)</f>
        <v>110848.47065573769</v>
      </c>
      <c r="R1569" s="99">
        <f ca="1">Первоначальный[[#This Row],[Просроченный платеж по ОД]]+Первоначальный[[#This Row],[Просроченный платеж по процентам]]</f>
        <v>141939.70065573769</v>
      </c>
      <c r="S1569" s="120">
        <f ca="1">IF(Первоначальный[[#This Row],[Просроченный платеж]]&lt;1,0,S1568+1)</f>
        <v>1465</v>
      </c>
      <c r="T1569" s="100" cm="1">
        <f t="array" aca="1" ref="T1569" ca="1">IF(Первоначальный[[#This Row],[Итого остаток на начало периода]]&lt;1,0,
IF(
AND(TYPE(VLOOKUP(1,$Z$12:Z1569,1,0))=16,Первоначальный[[#This Row],[Досрочное погашение (да/"")]]=""),0,
_xlfn.IFS(AND(S1568=0,Первоначальный[[#This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платеж]]&lt;&gt;0),MIN(LOOKUP(,-1/($Z$12:Z1569=1),$C$12:C1569)+LOOKUP(,-1/($Z$12:Z1569=1),$H$12:H1569),Первоначальный[[#This Row],[Полученный платеж]]+Y1568),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платеж]]+Y1568,SUM(Первоначальный[[#This Row],[Остаток процентов на начало периода]],Первоначальный[[#This Row],[Проценты за период]])),
AND(S1568=0,Первоначальный[[#This Row],[Дата платежа из графика]]=""),0,
AND(S1568=0,Первоначальный[[#This Row],[Дата платежа из графика]]=1,MAX((0&lt;&gt;S$12:S1568)*ROW(S$12:S1568),ROW($S$12))&gt;=MAX((1=Z$12:Z1568)*ROW(Z$12:Z1568),ROW($T$12)),TYPE(VLOOKUP("Да",(INDIRECT("AA"&amp;(MAX((1=Z$12:Z1568)*ROW(Z$12:Z1568),ROW($T$12))&amp;":AA"&amp;(ROW()-1)))),1,0))=16),MIN(LOOKUP(,-1/($Z$12:Z1569=1),$C$12:C1569)+LOOKUP(,-1/($Z$12:Z1569=1),$H$12:H1569),Первоначальный[[#This Row],[Полученный платеж]]+Y1568),
AND(S1568=0,TYPE(VLOOKUP("Да",(INDIRECT("AA"&amp;(MAX((1=Z$12:Z1568)*ROW(Z$12:Z1568),ROW($T$12))&amp;":AA"&amp;(ROW()-1)))),1,0))&lt;&gt;16),MIN(LOOKUP(,-1/($Z$12:Z1569=1),$C$12:C1569)+LOOKUP(,-1/($Z$12:Z1569=1),$H$12:H1569)-IF(AA1568="Да",0,SUM(INDIRECT("T"&amp;(MAX(("Да"=AA$12:AA1568)*ROW(AA$12:AA1568)+1,ROW($T$12))&amp;":T"&amp;(ROW()-1))))),Первоначальный[[#This Row],[Полученный платеж]]+Y1568),
AND(S1568=0,MAX((0&lt;&gt;N$12:N1568)*ROW(N$12:N1568),ROW($S$12))&gt;=MAX((1=Z$12:Z1568)*ROW(Z$12:Z1568),ROW($T$12))),MIN(LOOKUP(,-1/($Z$12:Z1569=1),$C$12:C1569)+LOOKUP(,-1/($Z$12:Z1569=1),$H$12:H1569)-IF(N1568&lt;&gt;0,0,SUM(INDIRECT("T"&amp;(MAX((0&lt;&gt;N$12:N1568)*ROW(N$12:N1568)+1,ROW($T$12))&amp;":T"&amp;(ROW()-1))))),Первоначальный[[#This Row],[Полученный платеж]]+Y1568),
AND(S1568=0,Первоначальный[[#This Row],[Дата платежа из графика]]=1),MIN(LOOKUP(,-1/($Z$12:Z1569=1),$C$12:C1569)+LOOKUP(,-1/($Z$12:Z1569=1),$H$12:H1569)-IF(Z1568=1,0,SUM(INDIRECT("T"&amp;(MAX((1=Z$12:Z1568)*ROW(Z$12:Z1568)+1,ROW($T$12))&amp;":T"&amp;(ROW()-1))))),Первоначальный[[#This Row],[Полученный платеж]]+Y1568),
AND(Z1568&gt;0,Первоначальный[[#This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платеж]]+Y1568),
AND(S1568&gt;0,MAX((0&lt;&gt;S$12:S1568)*ROW(S$12:S1568),ROW($S$12))&gt;=MAX((1=Z$12:Z1568)*ROW(Z$12:Z1568),ROW($T$12)),TYPE(VLOOKUP("Да",(INDIRECT("AA"&amp;(MAX((1=Z$12:Z1568)*ROW(Z$12:Z1568),ROW($T$12))&amp;":AA"&amp;(ROW()-1)))),1,0))=16),MIN(LOOKUP(,-1/($Z$12:Z1569=1),$C$12:C1569)+LOOKUP(,-1/($Z$12:Z1569=1),$H$12:H1569)-SUM(INDIRECT("T"&amp;(MAX((1=Z$12:Z1568)*ROW(Z$12:Z1568),ROW($T$12))&amp;":T"&amp;(ROW()-1)))),Первоначальный[[#This Row],[Полученный платеж]]+Y1568),
S1568&gt;0,MIN(LOOKUP(,-1/($Z$12:Z1569=1),$C$12:C1569)+LOOKUP(,-1/($Z$12:Z1569=1),$H$12:H1569)-IF(Z1568=1,0,SUM(INDIRECT("T"&amp;(MAX((1=Z$12:Z1568)*ROW(Z$12:Z1568)+1,ROW($T$12))&amp;":T"&amp;(ROW()-1))))),Первоначальный[[#This Row],[Полученный платеж]]+Y1568)
)
)
)</f>
        <v>0</v>
      </c>
      <c r="U1569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платеж]]+Y1568-Первоначальный[[#This Row],[Полученный платёж по процентам]])</f>
        <v>0</v>
      </c>
      <c r="V1569" s="55">
        <f t="shared" ca="1" si="291"/>
        <v>0</v>
      </c>
      <c r="W1569" s="55" cm="1">
        <f t="array" aca="1" ref="W1569" ca="1">IF(Первоначальный[[#This Row],[Итого остаток на начало периода]]&lt;1,0,
_xlfn.IFS(
AND(TYPE(VLOOKUP(1,$Z$12:Z1569,1,0))=16,Первоначальный[[#This Row],[Досрочное погашение (да/"")]]=""),0,
AND(S1568=0,Первоначальный[[#This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платеж]]+Y1568-SUM(Первоначальный[[#This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комиссиям]]),VLOOKUP(LOOKUP(,-1/($Z$12:Z1569=1),$A$12:A1569),График[[Срок конец]:[Возврат основной суммы долга]],3,0)),
AND(S1568=0,Первоначальный[[#This Row],[Дата платежа из графика]]="",Первоначальный[[#This Row],[Досрочное погашение (да/"")]]&lt;&gt;"Да"),0,
AND(S1568=0,Первоначальный[[#This Row],[Досрочное погашение (да/"")]]=""),MIN(Первоначальный[[#This Row],[Полученный платеж]]+Y1568-SUM(Первоначальный[[#This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комиссиям]]),VLOOKUP(LOOKUP(,-1/($Z$12:Z1569=1),$A$12:A1569),График[[Срок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платеж]]+Y1568-SUM(Первоначальный[[#This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S1568&gt;0,MIN(Первоначальный[[#This Row],[Полученный платеж]]+Y1568-SUM(Первоначальный[[#This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комиссиям]]),SUM(INDIRECT("M"&amp;(MAX((1=S$12:S1568)*ROW(S$12:S1568),ROW($W$12))&amp;":M"&amp;(ROW()))))-SUM(INDIRECT("W"&amp;(MAX((1=S$12:S1568)*ROW(S$12:S1568),ROW($W$12))&amp;":W"&amp;(ROW()-1)))))
)
)</f>
        <v>0</v>
      </c>
      <c r="X1569" s="55">
        <f t="shared" ca="1" si="292"/>
        <v>0</v>
      </c>
      <c r="Y1569" s="101">
        <f t="shared" ca="1" si="299"/>
        <v>0</v>
      </c>
      <c r="Z1569" s="133" t="str">
        <f>IF(TYPE((VLOOKUP(Первоначальный[[#This Row],[Дата платежа]],График[Срок конец],1,0)))=16,"",1)</f>
        <v/>
      </c>
      <c r="AA1569" s="57"/>
      <c r="AB1569" s="134"/>
      <c r="AC1569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69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111049.53</v>
      </c>
      <c r="AE1569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10819.229999999954</v>
      </c>
      <c r="AF1569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69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522057.86230327934</v>
      </c>
      <c r="AH1569" s="55"/>
      <c r="AI1569" s="55"/>
      <c r="AJ1569" s="55"/>
      <c r="AK1569" s="101">
        <f t="shared" ca="1" si="300"/>
        <v>793559.96230327932</v>
      </c>
      <c r="AL1569" s="129">
        <f t="array" ref="AL1569">MAX((УслРестрактов[Характеристика]="Дата реструктуризации")*(УслРестрактов[Значение]=Первоначальный!$A1569),0)</f>
        <v>0</v>
      </c>
    </row>
    <row r="1570" spans="1:38" x14ac:dyDescent="0.25">
      <c r="A1570" s="97">
        <f t="shared" si="293"/>
        <v>45701</v>
      </c>
      <c r="B1570" s="100">
        <f t="shared" ca="1" si="294"/>
        <v>149633.34</v>
      </c>
      <c r="C1570" s="55">
        <f t="shared" ca="1" si="290"/>
        <v>111049.53</v>
      </c>
      <c r="D1570" s="55">
        <f t="shared" ca="1" si="290"/>
        <v>10819.229999999954</v>
      </c>
      <c r="E1570" s="55">
        <f t="shared" ca="1" si="295"/>
        <v>0</v>
      </c>
      <c r="F1570" s="55">
        <f t="shared" ca="1" si="296"/>
        <v>522057.86230327934</v>
      </c>
      <c r="G1570" s="101">
        <f t="shared" ca="1" si="297"/>
        <v>793559.96230327932</v>
      </c>
      <c r="H1570" s="100">
        <f ca="1">ROUND($B1570*VLOOKUP($A1570,$A$1:$B$10,2,1)/(365+IF(MOD(YEAR($A1570),4),0,1)*($A1570-$A1569)),2)-Первоначальный[[#This Row],[Проценты на просроченный платеж по ОД за период]]</f>
        <v>64.63</v>
      </c>
      <c r="I1570" s="55">
        <f t="shared" ca="1" si="298"/>
        <v>16.95</v>
      </c>
      <c r="J1570" s="55">
        <v>0</v>
      </c>
      <c r="K1570" s="55">
        <f t="shared" ca="1" si="301"/>
        <v>709.69850327868846</v>
      </c>
      <c r="L1570" s="55">
        <v>0</v>
      </c>
      <c r="M1570" s="113">
        <f>SUMIFS(График[Возврат основной суммы долга],График[Дата с учетом нерабочих дней],$A1570)</f>
        <v>0</v>
      </c>
      <c r="N1570" s="56">
        <f>SUMIFS(График[Возврат начисленных %],График[Дата с учетом нерабочих дней],$A1570)</f>
        <v>0</v>
      </c>
      <c r="O1570" s="101">
        <v>0</v>
      </c>
      <c r="P1570" s="100" cm="1">
        <f t="array" aca="1" ref="P1570" ca="1">MAX(IF(AA1569="Да",0,SUM(INDIRECT("M"&amp;(MAX(("Да"=AA$12:AA1569)*ROW(AA$12:AA1569)+1,ROW($P$12))&amp;":M"&amp;(ROW()))))-SUM(INDIRECT("W"&amp;(MAX(("Да"=AA$12:AA1569)*ROW(AA$12:AA1569)+1,ROW($P$12))&amp;":W"&amp;(ROW()))))),0)</f>
        <v>31091.23</v>
      </c>
      <c r="Q1570" s="99">
        <f ca="1">MAX(SUM($N$13:N1570)-SUM($T$13:T1570),0)</f>
        <v>110848.47065573769</v>
      </c>
      <c r="R1570" s="99">
        <f ca="1">Первоначальный[[#This Row],[Просроченный платеж по ОД]]+Первоначальный[[#This Row],[Просроченный платеж по процентам]]</f>
        <v>141939.70065573769</v>
      </c>
      <c r="S1570" s="120">
        <f ca="1">IF(Первоначальный[[#This Row],[Просроченный платеж]]&lt;1,0,S1569+1)</f>
        <v>1466</v>
      </c>
      <c r="T1570" s="100" cm="1">
        <f t="array" aca="1" ref="T1570" ca="1">IF(Первоначальный[[#This Row],[Итого остаток на начало периода]]&lt;1,0,
IF(
AND(TYPE(VLOOKUP(1,$Z$12:Z1570,1,0))=16,Первоначальный[[#This Row],[Досрочное погашение (да/"")]]=""),0,
_xlfn.IFS(AND(S1569=0,Первоначальный[[#This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платеж]]&lt;&gt;0),MIN(LOOKUP(,-1/($Z$12:Z1570=1),$C$12:C1570)+LOOKUP(,-1/($Z$12:Z1570=1),$H$12:H1570),Первоначальный[[#This Row],[Полученный платеж]]+Y1569),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платеж]]+Y1569,SUM(Первоначальный[[#This Row],[Остаток процентов на начало периода]],Первоначальный[[#This Row],[Проценты за период]])),
AND(S1569=0,Первоначальный[[#This Row],[Дата платежа из графика]]=""),0,
AND(S1569=0,Первоначальный[[#This Row],[Дата платежа из графика]]=1,MAX((0&lt;&gt;S$12:S1569)*ROW(S$12:S1569),ROW($S$12))&gt;=MAX((1=Z$12:Z1569)*ROW(Z$12:Z1569),ROW($T$12)),TYPE(VLOOKUP("Да",(INDIRECT("AA"&amp;(MAX((1=Z$12:Z1569)*ROW(Z$12:Z1569),ROW($T$12))&amp;":AA"&amp;(ROW()-1)))),1,0))=16),MIN(LOOKUP(,-1/($Z$12:Z1570=1),$C$12:C1570)+LOOKUP(,-1/($Z$12:Z1570=1),$H$12:H1570),Первоначальный[[#This Row],[Полученный платеж]]+Y1569),
AND(S1569=0,TYPE(VLOOKUP("Да",(INDIRECT("AA"&amp;(MAX((1=Z$12:Z1569)*ROW(Z$12:Z1569),ROW($T$12))&amp;":AA"&amp;(ROW()-1)))),1,0))&lt;&gt;16),MIN(LOOKUP(,-1/($Z$12:Z1570=1),$C$12:C1570)+LOOKUP(,-1/($Z$12:Z1570=1),$H$12:H1570)-IF(AA1569="Да",0,SUM(INDIRECT("T"&amp;(MAX(("Да"=AA$12:AA1569)*ROW(AA$12:AA1569)+1,ROW($T$12))&amp;":T"&amp;(ROW()-1))))),Первоначальный[[#This Row],[Полученный платеж]]+Y1569),
AND(S1569=0,MAX((0&lt;&gt;N$12:N1569)*ROW(N$12:N1569),ROW($S$12))&gt;=MAX((1=Z$12:Z1569)*ROW(Z$12:Z1569),ROW($T$12))),MIN(LOOKUP(,-1/($Z$12:Z1570=1),$C$12:C1570)+LOOKUP(,-1/($Z$12:Z1570=1),$H$12:H1570)-IF(N1569&lt;&gt;0,0,SUM(INDIRECT("T"&amp;(MAX((0&lt;&gt;N$12:N1569)*ROW(N$12:N1569)+1,ROW($T$12))&amp;":T"&amp;(ROW()-1))))),Первоначальный[[#This Row],[Полученный платеж]]+Y1569),
AND(S1569=0,Первоначальный[[#This Row],[Дата платежа из графика]]=1),MIN(LOOKUP(,-1/($Z$12:Z1570=1),$C$12:C1570)+LOOKUP(,-1/($Z$12:Z1570=1),$H$12:H1570)-IF(Z1569=1,0,SUM(INDIRECT("T"&amp;(MAX((1=Z$12:Z1569)*ROW(Z$12:Z1569)+1,ROW($T$12))&amp;":T"&amp;(ROW()-1))))),Первоначальный[[#This Row],[Полученный платеж]]+Y1569),
AND(Z1569&gt;0,Первоначальный[[#This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платеж]]+Y1569),
AND(S1569&gt;0,MAX((0&lt;&gt;S$12:S1569)*ROW(S$12:S1569),ROW($S$12))&gt;=MAX((1=Z$12:Z1569)*ROW(Z$12:Z1569),ROW($T$12)),TYPE(VLOOKUP("Да",(INDIRECT("AA"&amp;(MAX((1=Z$12:Z1569)*ROW(Z$12:Z1569),ROW($T$12))&amp;":AA"&amp;(ROW()-1)))),1,0))=16),MIN(LOOKUP(,-1/($Z$12:Z1570=1),$C$12:C1570)+LOOKUP(,-1/($Z$12:Z1570=1),$H$12:H1570)-SUM(INDIRECT("T"&amp;(MAX((1=Z$12:Z1569)*ROW(Z$12:Z1569),ROW($T$12))&amp;":T"&amp;(ROW()-1)))),Первоначальный[[#This Row],[Полученный платеж]]+Y1569),
S1569&gt;0,MIN(LOOKUP(,-1/($Z$12:Z1570=1),$C$12:C1570)+LOOKUP(,-1/($Z$12:Z1570=1),$H$12:H1570)-IF(Z1569=1,0,SUM(INDIRECT("T"&amp;(MAX((1=Z$12:Z1569)*ROW(Z$12:Z1569)+1,ROW($T$12))&amp;":T"&amp;(ROW()-1))))),Первоначальный[[#This Row],[Полученный платеж]]+Y1569)
)
)
)</f>
        <v>0</v>
      </c>
      <c r="U1570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платеж]]+Y1569-Первоначальный[[#This Row],[Полученный платёж по процентам]])</f>
        <v>0</v>
      </c>
      <c r="V1570" s="55">
        <f t="shared" ca="1" si="291"/>
        <v>0</v>
      </c>
      <c r="W1570" s="55" cm="1">
        <f t="array" aca="1" ref="W1570" ca="1">IF(Первоначальный[[#This Row],[Итого остаток на начало периода]]&lt;1,0,
_xlfn.IFS(
AND(TYPE(VLOOKUP(1,$Z$12:Z1570,1,0))=16,Первоначальный[[#This Row],[Досрочное погашение (да/"")]]=""),0,
AND(S1569=0,Первоначальный[[#This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платеж]]+Y1569-SUM(Первоначальный[[#This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комиссиям]]),VLOOKUP(LOOKUP(,-1/($Z$12:Z1570=1),$A$12:A1570),График[[Срок конец]:[Возврат основной суммы долга]],3,0)),
AND(S1569=0,Первоначальный[[#This Row],[Дата платежа из графика]]="",Первоначальный[[#This Row],[Досрочное погашение (да/"")]]&lt;&gt;"Да"),0,
AND(S1569=0,Первоначальный[[#This Row],[Досрочное погашение (да/"")]]=""),MIN(Первоначальный[[#This Row],[Полученный платеж]]+Y1569-SUM(Первоначальный[[#This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комиссиям]]),VLOOKUP(LOOKUP(,-1/($Z$12:Z1570=1),$A$12:A1570),График[[Срок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платеж]]+Y1569-SUM(Первоначальный[[#This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S1569&gt;0,MIN(Первоначальный[[#This Row],[Полученный платеж]]+Y1569-SUM(Первоначальный[[#This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комиссиям]]),SUM(INDIRECT("M"&amp;(MAX((1=S$12:S1569)*ROW(S$12:S1569),ROW($W$12))&amp;":M"&amp;(ROW()))))-SUM(INDIRECT("W"&amp;(MAX((1=S$12:S1569)*ROW(S$12:S1569),ROW($W$12))&amp;":W"&amp;(ROW()-1)))))
)
)</f>
        <v>0</v>
      </c>
      <c r="X1570" s="55">
        <f t="shared" ca="1" si="292"/>
        <v>0</v>
      </c>
      <c r="Y1570" s="101">
        <f t="shared" ca="1" si="299"/>
        <v>0</v>
      </c>
      <c r="Z1570" s="133" t="str">
        <f>IF(TYPE((VLOOKUP(Первоначальный[[#This Row],[Дата платежа]],График[Срок конец],1,0)))=16,"",1)</f>
        <v/>
      </c>
      <c r="AA1570" s="57"/>
      <c r="AB1570" s="134"/>
      <c r="AC1570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70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111114.16</v>
      </c>
      <c r="AE1570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10836.179999999955</v>
      </c>
      <c r="AF1570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70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522767.560806558</v>
      </c>
      <c r="AH1570" s="55"/>
      <c r="AI1570" s="55"/>
      <c r="AJ1570" s="55"/>
      <c r="AK1570" s="101">
        <f t="shared" ca="1" si="300"/>
        <v>794351.24080655794</v>
      </c>
      <c r="AL1570" s="129">
        <f t="array" ref="AL1570">MAX((УслРестрактов[Характеристика]="Дата реструктуризации")*(УслРестрактов[Значение]=Первоначальный!$A1570),0)</f>
        <v>0</v>
      </c>
    </row>
    <row r="1571" spans="1:38" x14ac:dyDescent="0.25">
      <c r="A1571" s="97">
        <f t="shared" si="293"/>
        <v>45702</v>
      </c>
      <c r="B1571" s="100">
        <f t="shared" ca="1" si="294"/>
        <v>149633.34</v>
      </c>
      <c r="C1571" s="55">
        <f t="shared" ca="1" si="290"/>
        <v>111114.16</v>
      </c>
      <c r="D1571" s="55">
        <f t="shared" ca="1" si="290"/>
        <v>10836.179999999955</v>
      </c>
      <c r="E1571" s="55">
        <f t="shared" ca="1" si="295"/>
        <v>0</v>
      </c>
      <c r="F1571" s="55">
        <f t="shared" ca="1" si="296"/>
        <v>522767.560806558</v>
      </c>
      <c r="G1571" s="101">
        <f t="shared" ca="1" si="297"/>
        <v>794351.24080655794</v>
      </c>
      <c r="H1571" s="100">
        <f ca="1">ROUND($B1571*VLOOKUP($A1571,$A$1:$B$10,2,1)/(365+IF(MOD(YEAR($A1571),4),0,1)*($A1571-$A1570)),2)-Первоначальный[[#This Row],[Проценты на просроченный платеж по ОД за период]]</f>
        <v>64.63</v>
      </c>
      <c r="I1571" s="55">
        <f t="shared" ca="1" si="298"/>
        <v>16.95</v>
      </c>
      <c r="J1571" s="55">
        <v>0</v>
      </c>
      <c r="K1571" s="55">
        <f t="shared" ca="1" si="301"/>
        <v>709.69850327868846</v>
      </c>
      <c r="L1571" s="55">
        <v>0</v>
      </c>
      <c r="M1571" s="113">
        <f>SUMIFS(График[Возврат основной суммы долга],График[Дата с учетом нерабочих дней],$A1571)</f>
        <v>0</v>
      </c>
      <c r="N1571" s="56">
        <f>SUMIFS(График[Возврат начисленных %],График[Дата с учетом нерабочих дней],$A1571)</f>
        <v>0</v>
      </c>
      <c r="O1571" s="101">
        <v>0</v>
      </c>
      <c r="P1571" s="100" cm="1">
        <f t="array" aca="1" ref="P1571" ca="1">MAX(IF(AA1570="Да",0,SUM(INDIRECT("M"&amp;(MAX(("Да"=AA$12:AA1570)*ROW(AA$12:AA1570)+1,ROW($P$12))&amp;":M"&amp;(ROW()))))-SUM(INDIRECT("W"&amp;(MAX(("Да"=AA$12:AA1570)*ROW(AA$12:AA1570)+1,ROW($P$12))&amp;":W"&amp;(ROW()))))),0)</f>
        <v>31091.23</v>
      </c>
      <c r="Q1571" s="99">
        <f ca="1">MAX(SUM($N$13:N1571)-SUM($T$13:T1571),0)</f>
        <v>110848.47065573769</v>
      </c>
      <c r="R1571" s="99">
        <f ca="1">Первоначальный[[#This Row],[Просроченный платеж по ОД]]+Первоначальный[[#This Row],[Просроченный платеж по процентам]]</f>
        <v>141939.70065573769</v>
      </c>
      <c r="S1571" s="120">
        <f ca="1">IF(Первоначальный[[#This Row],[Просроченный платеж]]&lt;1,0,S1570+1)</f>
        <v>1467</v>
      </c>
      <c r="T1571" s="100" cm="1">
        <f t="array" aca="1" ref="T1571" ca="1">IF(Первоначальный[[#This Row],[Итого остаток на начало периода]]&lt;1,0,
IF(
AND(TYPE(VLOOKUP(1,$Z$12:Z1571,1,0))=16,Первоначальный[[#This Row],[Досрочное погашение (да/"")]]=""),0,
_xlfn.IFS(AND(S1570=0,Первоначальный[[#This Row],[Дата платежа из графика]]&lt;&gt;1,Первоначальный[[#This Row],[Платеж процентов и комиссий по графику]]&lt;&gt;0,Первоначальный[[#This Row],[Полученный платеж]]&lt;&gt;0),MIN(LOOKUP(,-1/($Z$12:Z1571=1),$C$12:C1571)+LOOKUP(,-1/($Z$12:Z1571=1),$H$12:H1571),Первоначальный[[#This Row],[Полученный платеж]]+Y1570),
AND(Первоначальный[[#This Row],[Досрочное погашение (да/"")]]="Да",Первоначальный[[#This Row],[Цель досрочного погашения (ОД/"")]]&lt;&gt;"ОД"),MIN(Первоначальный[[#This Row],[Полученный платеж]]+Y1570,SUM(Первоначальный[[#This Row],[Остаток процентов на начало периода]],Первоначальный[[#This Row],[Проценты за период]])),
AND(S1570=0,Первоначальный[[#This Row],[Дата платежа из графика]]=""),0,
AND(S1570=0,Первоначальный[[#This Row],[Дата платежа из графика]]=1,MAX((0&lt;&gt;S$12:S1570)*ROW(S$12:S1570),ROW($S$12))&gt;=MAX((1=Z$12:Z1570)*ROW(Z$12:Z1570),ROW($T$12)),TYPE(VLOOKUP("Да",(INDIRECT("AA"&amp;(MAX((1=Z$12:Z1570)*ROW(Z$12:Z1570),ROW($T$12))&amp;":AA"&amp;(ROW()-1)))),1,0))=16),MIN(LOOKUP(,-1/($Z$12:Z1571=1),$C$12:C1571)+LOOKUP(,-1/($Z$12:Z1571=1),$H$12:H1571),Первоначальный[[#This Row],[Полученный платеж]]+Y1570),
AND(S1570=0,TYPE(VLOOKUP("Да",(INDIRECT("AA"&amp;(MAX((1=Z$12:Z1570)*ROW(Z$12:Z1570),ROW($T$12))&amp;":AA"&amp;(ROW()-1)))),1,0))&lt;&gt;16),MIN(LOOKUP(,-1/($Z$12:Z1571=1),$C$12:C1571)+LOOKUP(,-1/($Z$12:Z1571=1),$H$12:H1571)-IF(AA1570="Да",0,SUM(INDIRECT("T"&amp;(MAX(("Да"=AA$12:AA1570)*ROW(AA$12:AA1570)+1,ROW($T$12))&amp;":T"&amp;(ROW()-1))))),Первоначальный[[#This Row],[Полученный платеж]]+Y1570),
AND(S1570=0,MAX((0&lt;&gt;N$12:N1570)*ROW(N$12:N1570),ROW($S$12))&gt;=MAX((1=Z$12:Z1570)*ROW(Z$12:Z1570),ROW($T$12))),MIN(LOOKUP(,-1/($Z$12:Z1571=1),$C$12:C1571)+LOOKUP(,-1/($Z$12:Z1571=1),$H$12:H1571)-IF(N1570&lt;&gt;0,0,SUM(INDIRECT("T"&amp;(MAX((0&lt;&gt;N$12:N1570)*ROW(N$12:N1570)+1,ROW($T$12))&amp;":T"&amp;(ROW()-1))))),Первоначальный[[#This Row],[Полученный платеж]]+Y1570),
AND(S1570=0,Первоначальный[[#This Row],[Дата платежа из графика]]=1),MIN(LOOKUP(,-1/($Z$12:Z1571=1),$C$12:C1571)+LOOKUP(,-1/($Z$12:Z1571=1),$H$12:H1571)-IF(Z1570=1,0,SUM(INDIRECT("T"&amp;(MAX((1=Z$12:Z1570)*ROW(Z$12:Z1570)+1,ROW($T$12))&amp;":T"&amp;(ROW()-1))))),Первоначальный[[#This Row],[Полученный платеж]]+Y1570),
AND(Z1570&gt;0,Первоначальный[[#This Row],[Дата платежа из графика]]=1),MIN(Первоначальный[[#This Row],[Остаток процентов на начало периода]]+Первоначальный[[#This Row],[Проценты за период]],Первоначальный[[#This Row],[Полученный платеж]]+Y1570),
AND(S1570&gt;0,MAX((0&lt;&gt;S$12:S1570)*ROW(S$12:S1570),ROW($S$12))&gt;=MAX((1=Z$12:Z1570)*ROW(Z$12:Z1570),ROW($T$12)),TYPE(VLOOKUP("Да",(INDIRECT("AA"&amp;(MAX((1=Z$12:Z1570)*ROW(Z$12:Z1570),ROW($T$12))&amp;":AA"&amp;(ROW()-1)))),1,0))=16),MIN(LOOKUP(,-1/($Z$12:Z1571=1),$C$12:C1571)+LOOKUP(,-1/($Z$12:Z1571=1),$H$12:H1571)-SUM(INDIRECT("T"&amp;(MAX((1=Z$12:Z1570)*ROW(Z$12:Z1570),ROW($T$12))&amp;":T"&amp;(ROW()-1)))),Первоначальный[[#This Row],[Полученный платеж]]+Y1570),
S1570&gt;0,MIN(LOOKUP(,-1/($Z$12:Z1571=1),$C$12:C1571)+LOOKUP(,-1/($Z$12:Z1571=1),$H$12:H1571)-IF(Z1570=1,0,SUM(INDIRECT("T"&amp;(MAX((1=Z$12:Z1570)*ROW(Z$12:Z1570)+1,ROW($T$12))&amp;":T"&amp;(ROW()-1))))),Первоначальный[[#This Row],[Полученный платеж]]+Y1570)
)
)
)</f>
        <v>0</v>
      </c>
      <c r="U1571" s="99">
        <f ca="1">MIN(Первоначальный[[#This Row],[Остаток процентов на просроченный ОД на начало периода]]+Первоначальный[[#This Row],[Проценты на просроченный платеж по ОД за период]],Первоначальный[[#This Row],[Полученный платеж]]+Y1570-Первоначальный[[#This Row],[Полученный платёж по процентам]])</f>
        <v>0</v>
      </c>
      <c r="V1571" s="55">
        <f t="shared" ca="1" si="291"/>
        <v>0</v>
      </c>
      <c r="W1571" s="55" cm="1">
        <f t="array" aca="1" ref="W1571" ca="1">IF(Первоначальный[[#This Row],[Итого остаток на начало периода]]&lt;1,0,
_xlfn.IFS(
AND(TYPE(VLOOKUP(1,$Z$12:Z1571,1,0))=16,Первоначальный[[#This Row],[Досрочное погашение (да/"")]]=""),0,
AND(S1570=0,Первоначальный[[#This Row],[Дата платежа из графика]]&lt;&gt;1,Первоначальный[[#This Row],[Платеж ОД по графику]]&lt;&gt;0,Первоначальный[[#This Row],[Полученный платеж]]&lt;&gt;0),MIN(Первоначальный[[#This Row],[Полученный платеж]]+Y1570-SUM(Первоначальный[[#This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комиссиям]]),VLOOKUP(LOOKUP(,-1/($Z$12:Z1571=1),$A$12:A1571),График[[Срок конец]:[Возврат основной суммы долга]],3,0)),
AND(S1570=0,Первоначальный[[#This Row],[Дата платежа из графика]]="",Первоначальный[[#This Row],[Досрочное погашение (да/"")]]&lt;&gt;"Да"),0,
AND(S1570=0,Первоначальный[[#This Row],[Досрочное погашение (да/"")]]=""),MIN(Первоначальный[[#This Row],[Полученный платеж]]+Y1570-SUM(Первоначальный[[#This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комиссиям]]),VLOOKUP(LOOKUP(,-1/($Z$12:Z1571=1),$A$12:A1571),График[[Срок конец]:[Возврат основной суммы долга]],3,0)),
Первоначальный[[#This Row],[Досрочное погашение (да/"")]]="Да",MIN(Первоначальный[[#This Row],[Полученный платеж]]+Y1570-SUM(Первоначальный[[#This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комиссиям]]),Первоначальный[[#This Row],[Остаток ОД на начало периода]]),
S1570&gt;0,MIN(Первоначальный[[#This Row],[Полученный платеж]]+Y1570-SUM(Первоначальный[[#This Row],[Полученный платёж по процентам]],Первоначальный[[#This Row],[Полученный платёж по процентам на просроченный ОД]],Первоначальный[[#This Row],[Полученный платёж по прочим комиссиям]]),SUM(INDIRECT("M"&amp;(MAX((1=S$12:S1570)*ROW(S$12:S1570),ROW($W$12))&amp;":M"&amp;(ROW()))))-SUM(INDIRECT("W"&amp;(MAX((1=S$12:S1570)*ROW(S$12:S1570),ROW($W$12))&amp;":W"&amp;(ROW()-1)))))
)
)</f>
        <v>0</v>
      </c>
      <c r="X1571" s="55">
        <f t="shared" ca="1" si="292"/>
        <v>0</v>
      </c>
      <c r="Y1571" s="101">
        <f t="shared" ca="1" si="299"/>
        <v>0</v>
      </c>
      <c r="Z1571" s="133" t="str">
        <f>IF(TYPE((VLOOKUP(Первоначальный[[#This Row],[Дата платежа]],График[Срок конец],1,0)))=16,"",1)</f>
        <v/>
      </c>
      <c r="AA1571" s="57"/>
      <c r="AB1571" s="134"/>
      <c r="AC1571" s="100">
        <f ca="1">Первоначальный[[#This Row],[Остаток ОД на начало периода]]-Первоначальный[[#This Row],[Полученный платёж по ОД]]+Первоначальный[[#This Row],[Выдача ОД за период]]</f>
        <v>149633.34</v>
      </c>
      <c r="AD1571" s="55">
        <f ca="1">Первоначальный[[#This Row],[Остаток процентов на начало периода]]+Первоначальный[[#This Row],[Проценты за период]]-Первоначальный[[#This Row],[Полученный платёж по процентам]]</f>
        <v>111178.79000000001</v>
      </c>
      <c r="AE1571" s="55">
        <f ca="1">Первоначальный[[#This Row],[Остаток процентов на просроченный ОД на начало периода]]+Первоначальный[[#This Row],[Проценты на просроченный платеж по ОД за период]]-Первоначальный[[#This Row],[Полученный платёж по процентам на просроченный ОД]]</f>
        <v>10853.129999999956</v>
      </c>
      <c r="AF1571" s="55">
        <f ca="1">Первоначальный[[#This Row],[Остаток прочих комиссий на начало периода]]+Первоначальный[[#This Row],[Комиссия за период]]-Первоначальный[[#This Row],[Полученный платёж по прочим комиссиям]]</f>
        <v>0</v>
      </c>
      <c r="AG1571" s="55">
        <f ca="1">Первоначальный[[#This Row],[Неустойка на начало периода]]+Первоначальный[[#This Row],[Неустойка за период]]-Первоначальный[[#This Row],[Полученный платёж по неустойке]]</f>
        <v>523477.25930983666</v>
      </c>
      <c r="AH1571" s="55"/>
      <c r="AI1571" s="55"/>
      <c r="AJ1571" s="55"/>
      <c r="AK1571" s="101">
        <f t="shared" ca="1" si="300"/>
        <v>795142.51930983667</v>
      </c>
      <c r="AL1571" s="129">
        <f t="array" ref="AL1571">MAX((УслРестрактов[Характеристика]="Дата реструктуризации")*(УслРестрактов[Значение]=Первоначальный!$A1571),0)</f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BEAFC-7417-4B94-A074-1A2F4118A62F}">
  <sheetPr codeName="Лист3"/>
  <dimension ref="A1:H85"/>
  <sheetViews>
    <sheetView zoomScale="90" zoomScaleNormal="90" workbookViewId="0">
      <selection activeCell="C5" sqref="C5"/>
    </sheetView>
  </sheetViews>
  <sheetFormatPr defaultColWidth="9.08984375" defaultRowHeight="12.5" x14ac:dyDescent="0.25"/>
  <cols>
    <col min="1" max="1" width="16.36328125" style="5" bestFit="1" customWidth="1"/>
    <col min="2" max="2" width="9.08984375" style="5"/>
    <col min="3" max="3" width="49" style="5" bestFit="1" customWidth="1"/>
    <col min="4" max="4" width="6.54296875" style="5" customWidth="1"/>
    <col min="5" max="5" width="19.36328125" style="5" bestFit="1" customWidth="1"/>
    <col min="6" max="6" width="29.54296875" style="5" customWidth="1"/>
    <col min="7" max="16384" width="9.08984375" style="5"/>
  </cols>
  <sheetData>
    <row r="1" spans="1:8" s="14" customFormat="1" x14ac:dyDescent="0.35">
      <c r="A1" s="4" t="s">
        <v>32</v>
      </c>
      <c r="C1" s="14" t="s">
        <v>54</v>
      </c>
      <c r="D1" s="14" t="s">
        <v>58</v>
      </c>
      <c r="F1" s="6"/>
    </row>
    <row r="2" spans="1:8" x14ac:dyDescent="0.25">
      <c r="A2" s="7">
        <v>42735</v>
      </c>
      <c r="C2" s="19" t="s">
        <v>45</v>
      </c>
      <c r="D2" s="21">
        <v>1</v>
      </c>
      <c r="E2" s="8"/>
      <c r="F2" s="4"/>
      <c r="G2" s="9"/>
      <c r="H2" s="9"/>
    </row>
    <row r="3" spans="1:8" x14ac:dyDescent="0.25">
      <c r="A3" s="10">
        <v>42736</v>
      </c>
      <c r="C3" s="20" t="s">
        <v>46</v>
      </c>
      <c r="D3" s="21">
        <v>2</v>
      </c>
      <c r="E3" s="11"/>
      <c r="F3" s="12"/>
      <c r="G3" s="9"/>
      <c r="H3" s="9"/>
    </row>
    <row r="4" spans="1:8" x14ac:dyDescent="0.25">
      <c r="A4" s="7">
        <v>42737</v>
      </c>
      <c r="C4" s="19" t="s">
        <v>47</v>
      </c>
      <c r="D4" s="21">
        <v>3</v>
      </c>
      <c r="E4" s="9"/>
      <c r="F4" s="9"/>
      <c r="G4" s="9"/>
      <c r="H4" s="9"/>
    </row>
    <row r="5" spans="1:8" x14ac:dyDescent="0.25">
      <c r="A5" s="7">
        <v>42738</v>
      </c>
      <c r="C5" s="19" t="s">
        <v>48</v>
      </c>
      <c r="D5" s="21">
        <v>4</v>
      </c>
      <c r="E5" s="9"/>
      <c r="F5" s="9"/>
      <c r="G5" s="9"/>
      <c r="H5" s="9"/>
    </row>
    <row r="6" spans="1:8" ht="13" x14ac:dyDescent="0.3">
      <c r="A6" s="7">
        <v>42739</v>
      </c>
      <c r="C6" s="23" t="s">
        <v>49</v>
      </c>
      <c r="D6" s="22" t="s">
        <v>42</v>
      </c>
      <c r="E6" s="9"/>
      <c r="F6" s="9"/>
      <c r="G6" s="9"/>
      <c r="H6" s="9"/>
    </row>
    <row r="7" spans="1:8" ht="13" x14ac:dyDescent="0.3">
      <c r="A7" s="7">
        <v>42740</v>
      </c>
      <c r="C7" s="23" t="s">
        <v>50</v>
      </c>
      <c r="D7" s="24" t="s">
        <v>43</v>
      </c>
      <c r="E7" s="9"/>
      <c r="F7" s="9"/>
      <c r="G7" s="9"/>
      <c r="H7" s="9"/>
    </row>
    <row r="8" spans="1:8" ht="13" x14ac:dyDescent="0.3">
      <c r="A8" s="7">
        <v>42741</v>
      </c>
      <c r="C8" s="23" t="s">
        <v>51</v>
      </c>
      <c r="D8" s="22" t="s">
        <v>44</v>
      </c>
      <c r="E8" s="9"/>
      <c r="F8" s="9"/>
      <c r="G8" s="9"/>
      <c r="H8" s="9"/>
    </row>
    <row r="9" spans="1:8" x14ac:dyDescent="0.25">
      <c r="A9" s="13">
        <v>42742</v>
      </c>
      <c r="C9" s="19" t="s">
        <v>52</v>
      </c>
      <c r="D9" s="21">
        <v>5</v>
      </c>
    </row>
    <row r="10" spans="1:8" x14ac:dyDescent="0.25">
      <c r="A10" s="13">
        <v>42743</v>
      </c>
      <c r="C10" s="19" t="s">
        <v>53</v>
      </c>
      <c r="D10" s="21">
        <v>6</v>
      </c>
    </row>
    <row r="11" spans="1:8" x14ac:dyDescent="0.25">
      <c r="A11" s="13">
        <v>42789</v>
      </c>
      <c r="C11" s="61" t="s">
        <v>73</v>
      </c>
      <c r="D11" s="21">
        <v>7</v>
      </c>
    </row>
    <row r="12" spans="1:8" x14ac:dyDescent="0.25">
      <c r="A12" s="13">
        <v>42790</v>
      </c>
      <c r="C12" s="61" t="s">
        <v>74</v>
      </c>
      <c r="D12" s="5">
        <v>8</v>
      </c>
    </row>
    <row r="13" spans="1:8" x14ac:dyDescent="0.25">
      <c r="A13" s="13">
        <v>42791</v>
      </c>
      <c r="C13" s="61" t="s">
        <v>75</v>
      </c>
      <c r="D13" s="5">
        <v>9</v>
      </c>
    </row>
    <row r="14" spans="1:8" x14ac:dyDescent="0.25">
      <c r="A14" s="13">
        <v>42792</v>
      </c>
    </row>
    <row r="15" spans="1:8" x14ac:dyDescent="0.25">
      <c r="A15" s="13">
        <v>42802</v>
      </c>
    </row>
    <row r="16" spans="1:8" x14ac:dyDescent="0.25">
      <c r="A16" s="13">
        <v>42854</v>
      </c>
    </row>
    <row r="17" spans="1:1" x14ac:dyDescent="0.25">
      <c r="A17" s="13">
        <v>42855</v>
      </c>
    </row>
    <row r="18" spans="1:1" x14ac:dyDescent="0.25">
      <c r="A18" s="13">
        <v>42856</v>
      </c>
    </row>
    <row r="19" spans="1:1" x14ac:dyDescent="0.25">
      <c r="A19" s="13">
        <v>42861</v>
      </c>
    </row>
    <row r="20" spans="1:1" x14ac:dyDescent="0.25">
      <c r="A20" s="13">
        <v>42862</v>
      </c>
    </row>
    <row r="21" spans="1:1" x14ac:dyDescent="0.25">
      <c r="A21" s="13">
        <v>42863</v>
      </c>
    </row>
    <row r="22" spans="1:1" x14ac:dyDescent="0.25">
      <c r="A22" s="13">
        <v>42864</v>
      </c>
    </row>
    <row r="23" spans="1:1" x14ac:dyDescent="0.25">
      <c r="A23" s="13">
        <v>42896</v>
      </c>
    </row>
    <row r="24" spans="1:1" x14ac:dyDescent="0.25">
      <c r="A24" s="13">
        <v>42897</v>
      </c>
    </row>
    <row r="25" spans="1:1" x14ac:dyDescent="0.25">
      <c r="A25" s="13">
        <v>42898</v>
      </c>
    </row>
    <row r="26" spans="1:1" x14ac:dyDescent="0.25">
      <c r="A26" s="13">
        <v>43043</v>
      </c>
    </row>
    <row r="27" spans="1:1" x14ac:dyDescent="0.25">
      <c r="A27" s="13">
        <v>43044</v>
      </c>
    </row>
    <row r="28" spans="1:1" x14ac:dyDescent="0.25">
      <c r="A28" s="13">
        <v>43045</v>
      </c>
    </row>
    <row r="29" spans="1:1" x14ac:dyDescent="0.25">
      <c r="A29" s="13">
        <v>43099</v>
      </c>
    </row>
    <row r="30" spans="1:1" x14ac:dyDescent="0.25">
      <c r="A30" s="13">
        <v>43100</v>
      </c>
    </row>
    <row r="31" spans="1:1" x14ac:dyDescent="0.25">
      <c r="A31" s="13">
        <v>43101</v>
      </c>
    </row>
    <row r="32" spans="1:1" x14ac:dyDescent="0.25">
      <c r="A32" s="13">
        <v>43102</v>
      </c>
    </row>
    <row r="33" spans="1:8" x14ac:dyDescent="0.25">
      <c r="A33" s="13">
        <v>43103</v>
      </c>
    </row>
    <row r="34" spans="1:8" x14ac:dyDescent="0.25">
      <c r="A34" s="13">
        <v>43104</v>
      </c>
    </row>
    <row r="35" spans="1:8" x14ac:dyDescent="0.25">
      <c r="A35" s="13">
        <v>43105</v>
      </c>
    </row>
    <row r="36" spans="1:8" x14ac:dyDescent="0.25">
      <c r="A36" s="13">
        <v>43106</v>
      </c>
    </row>
    <row r="37" spans="1:8" x14ac:dyDescent="0.25">
      <c r="A37" s="13">
        <v>43107</v>
      </c>
    </row>
    <row r="38" spans="1:8" x14ac:dyDescent="0.25">
      <c r="A38" s="13">
        <v>43108</v>
      </c>
    </row>
    <row r="39" spans="1:8" x14ac:dyDescent="0.25">
      <c r="A39" s="7">
        <v>43154</v>
      </c>
      <c r="E39" s="9"/>
      <c r="F39" s="9"/>
      <c r="G39" s="9"/>
      <c r="H39" s="9"/>
    </row>
    <row r="40" spans="1:8" x14ac:dyDescent="0.25">
      <c r="A40" s="7">
        <v>43155</v>
      </c>
      <c r="E40" s="9"/>
      <c r="F40" s="9"/>
      <c r="G40" s="9"/>
      <c r="H40" s="9"/>
    </row>
    <row r="41" spans="1:8" x14ac:dyDescent="0.25">
      <c r="A41" s="7">
        <v>43156</v>
      </c>
      <c r="E41" s="9"/>
      <c r="F41" s="9"/>
      <c r="G41" s="9"/>
    </row>
    <row r="42" spans="1:8" x14ac:dyDescent="0.25">
      <c r="A42" s="7">
        <v>43167</v>
      </c>
      <c r="E42" s="9"/>
      <c r="F42" s="9"/>
      <c r="G42" s="9"/>
    </row>
    <row r="43" spans="1:8" x14ac:dyDescent="0.25">
      <c r="A43" s="7">
        <v>43221</v>
      </c>
      <c r="E43" s="9"/>
      <c r="F43" s="9"/>
      <c r="G43" s="9"/>
    </row>
    <row r="44" spans="1:8" x14ac:dyDescent="0.25">
      <c r="A44" s="7">
        <v>43229</v>
      </c>
      <c r="E44" s="9"/>
      <c r="F44" s="9"/>
      <c r="G44" s="9"/>
    </row>
    <row r="45" spans="1:8" x14ac:dyDescent="0.25">
      <c r="A45" s="7">
        <v>43263</v>
      </c>
      <c r="E45" s="9"/>
      <c r="F45" s="9"/>
      <c r="G45" s="9"/>
    </row>
    <row r="46" spans="1:8" x14ac:dyDescent="0.25">
      <c r="A46" s="7">
        <v>43407</v>
      </c>
      <c r="E46" s="9"/>
      <c r="F46" s="9"/>
      <c r="G46" s="9"/>
    </row>
    <row r="47" spans="1:8" x14ac:dyDescent="0.25">
      <c r="A47" s="7">
        <v>43408</v>
      </c>
      <c r="E47" s="9"/>
      <c r="F47" s="9"/>
      <c r="G47" s="9"/>
    </row>
    <row r="48" spans="1:8" x14ac:dyDescent="0.25">
      <c r="A48" s="7">
        <v>43465</v>
      </c>
      <c r="E48" s="9"/>
      <c r="F48" s="9"/>
      <c r="G48" s="9"/>
    </row>
    <row r="49" spans="1:1" x14ac:dyDescent="0.25">
      <c r="A49" s="13">
        <v>43466</v>
      </c>
    </row>
    <row r="50" spans="1:1" x14ac:dyDescent="0.25">
      <c r="A50" s="13">
        <v>43467</v>
      </c>
    </row>
    <row r="51" spans="1:1" x14ac:dyDescent="0.25">
      <c r="A51" s="13">
        <v>43468</v>
      </c>
    </row>
    <row r="52" spans="1:1" x14ac:dyDescent="0.25">
      <c r="A52" s="13">
        <v>43469</v>
      </c>
    </row>
    <row r="53" spans="1:1" x14ac:dyDescent="0.25">
      <c r="A53" s="13">
        <v>43470</v>
      </c>
    </row>
    <row r="54" spans="1:1" x14ac:dyDescent="0.25">
      <c r="A54" s="13">
        <v>43471</v>
      </c>
    </row>
    <row r="55" spans="1:1" x14ac:dyDescent="0.25">
      <c r="A55" s="13">
        <v>43472</v>
      </c>
    </row>
    <row r="56" spans="1:1" x14ac:dyDescent="0.25">
      <c r="A56" s="13">
        <v>43473</v>
      </c>
    </row>
    <row r="57" spans="1:1" x14ac:dyDescent="0.25">
      <c r="A57" s="13">
        <v>43532</v>
      </c>
    </row>
    <row r="58" spans="1:1" x14ac:dyDescent="0.25">
      <c r="A58" s="13">
        <v>43586</v>
      </c>
    </row>
    <row r="59" spans="1:1" x14ac:dyDescent="0.25">
      <c r="A59" s="13">
        <v>43587</v>
      </c>
    </row>
    <row r="60" spans="1:1" x14ac:dyDescent="0.25">
      <c r="A60" s="13">
        <v>43588</v>
      </c>
    </row>
    <row r="61" spans="1:1" x14ac:dyDescent="0.25">
      <c r="A61" s="13">
        <v>43594</v>
      </c>
    </row>
    <row r="62" spans="1:1" x14ac:dyDescent="0.25">
      <c r="A62" s="13">
        <v>43595</v>
      </c>
    </row>
    <row r="63" spans="1:1" x14ac:dyDescent="0.25">
      <c r="A63" s="13">
        <v>43628</v>
      </c>
    </row>
    <row r="64" spans="1:1" x14ac:dyDescent="0.25">
      <c r="A64" s="13">
        <v>43773</v>
      </c>
    </row>
    <row r="65" spans="1:1" x14ac:dyDescent="0.25">
      <c r="A65" s="13">
        <v>43831</v>
      </c>
    </row>
    <row r="66" spans="1:1" x14ac:dyDescent="0.25">
      <c r="A66" s="13">
        <v>43832</v>
      </c>
    </row>
    <row r="67" spans="1:1" x14ac:dyDescent="0.25">
      <c r="A67" s="13">
        <v>43833</v>
      </c>
    </row>
    <row r="68" spans="1:1" x14ac:dyDescent="0.25">
      <c r="A68" s="13">
        <v>43836</v>
      </c>
    </row>
    <row r="69" spans="1:1" x14ac:dyDescent="0.25">
      <c r="A69" s="13">
        <v>43837</v>
      </c>
    </row>
    <row r="70" spans="1:1" x14ac:dyDescent="0.25">
      <c r="A70" s="13">
        <v>43838</v>
      </c>
    </row>
    <row r="71" spans="1:1" x14ac:dyDescent="0.25">
      <c r="A71" s="13">
        <v>43885</v>
      </c>
    </row>
    <row r="72" spans="1:1" x14ac:dyDescent="0.25">
      <c r="A72" s="13">
        <v>43899</v>
      </c>
    </row>
    <row r="73" spans="1:1" x14ac:dyDescent="0.25">
      <c r="A73" s="13">
        <v>43922</v>
      </c>
    </row>
    <row r="74" spans="1:1" x14ac:dyDescent="0.25">
      <c r="A74" s="13">
        <v>43923</v>
      </c>
    </row>
    <row r="75" spans="1:1" x14ac:dyDescent="0.25">
      <c r="A75" s="13">
        <v>43924</v>
      </c>
    </row>
    <row r="76" spans="1:1" x14ac:dyDescent="0.25">
      <c r="A76" s="13">
        <v>43925</v>
      </c>
    </row>
    <row r="77" spans="1:1" x14ac:dyDescent="0.25">
      <c r="A77" s="13">
        <v>43926</v>
      </c>
    </row>
    <row r="78" spans="1:1" x14ac:dyDescent="0.25">
      <c r="A78" s="13">
        <v>43952</v>
      </c>
    </row>
    <row r="79" spans="1:1" x14ac:dyDescent="0.25">
      <c r="A79" s="13">
        <v>43955</v>
      </c>
    </row>
    <row r="80" spans="1:1" x14ac:dyDescent="0.25">
      <c r="A80" s="13">
        <v>43956</v>
      </c>
    </row>
    <row r="81" spans="1:1" x14ac:dyDescent="0.25">
      <c r="A81" s="13">
        <v>43962</v>
      </c>
    </row>
    <row r="82" spans="1:1" x14ac:dyDescent="0.25">
      <c r="A82" s="13">
        <v>43994</v>
      </c>
    </row>
    <row r="83" spans="1:1" x14ac:dyDescent="0.25">
      <c r="A83" s="13">
        <v>44006</v>
      </c>
    </row>
    <row r="84" spans="1:1" x14ac:dyDescent="0.25">
      <c r="A84" s="13">
        <v>44013</v>
      </c>
    </row>
    <row r="85" spans="1:1" x14ac:dyDescent="0.25">
      <c r="A85" s="13">
        <v>44139</v>
      </c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График</vt:lpstr>
      <vt:lpstr>Первоначальный</vt:lpstr>
      <vt:lpstr>Support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Semenova</dc:creator>
  <cp:lastModifiedBy>Anna Semenova</cp:lastModifiedBy>
  <dcterms:created xsi:type="dcterms:W3CDTF">2020-09-09T10:55:32Z</dcterms:created>
  <dcterms:modified xsi:type="dcterms:W3CDTF">2021-01-26T09:23:17Z</dcterms:modified>
</cp:coreProperties>
</file>